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c Lynn\Desktop\4\"/>
    </mc:Choice>
  </mc:AlternateContent>
  <xr:revisionPtr revIDLastSave="0" documentId="13_ncr:1_{795BF0B5-A37F-470A-BD86-67EE76DB633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" sheetId="3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33" i="3" l="1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B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B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B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B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B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B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B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B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2145" i="3"/>
  <c r="B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B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B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B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B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B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B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B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B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B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B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B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B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B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A25000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B12153" i="3"/>
  <c r="B12154" i="3"/>
  <c r="B12155" i="3"/>
  <c r="B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B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B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B12288" i="3"/>
  <c r="B12289" i="3"/>
  <c r="B12290" i="3"/>
  <c r="B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B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B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B12423" i="3"/>
  <c r="B12424" i="3"/>
  <c r="B12425" i="3"/>
  <c r="B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B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B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B12558" i="3"/>
  <c r="B12559" i="3"/>
  <c r="B12560" i="3"/>
  <c r="B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B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B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B12693" i="3"/>
  <c r="B12694" i="3"/>
  <c r="B12695" i="3"/>
  <c r="B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B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B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B12828" i="3"/>
  <c r="B12829" i="3"/>
  <c r="B12830" i="3"/>
  <c r="B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B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B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B12963" i="3"/>
  <c r="B12964" i="3"/>
  <c r="B12965" i="3"/>
  <c r="B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B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B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B13098" i="3"/>
  <c r="B13099" i="3"/>
  <c r="B13100" i="3"/>
  <c r="B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B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B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B13233" i="3"/>
  <c r="B13234" i="3"/>
  <c r="B13235" i="3"/>
  <c r="B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B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B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B13368" i="3"/>
  <c r="B13369" i="3"/>
  <c r="B13370" i="3"/>
  <c r="B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B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B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B13503" i="3"/>
  <c r="B13504" i="3"/>
  <c r="B13505" i="3"/>
  <c r="B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B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B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B13638" i="3"/>
  <c r="B13639" i="3"/>
  <c r="B13640" i="3"/>
  <c r="B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B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B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B13773" i="3"/>
  <c r="B13774" i="3"/>
  <c r="B13775" i="3"/>
  <c r="B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B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B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B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B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B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B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B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B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B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B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B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B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B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B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B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B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B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B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B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B10128" i="3"/>
  <c r="B10129" i="3"/>
  <c r="B10130" i="3"/>
  <c r="B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B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B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B10263" i="3"/>
  <c r="B10264" i="3"/>
  <c r="B10265" i="3"/>
  <c r="B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B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B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B10398" i="3"/>
  <c r="B10399" i="3"/>
  <c r="B10400" i="3"/>
  <c r="B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B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B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B10533" i="3"/>
  <c r="B10534" i="3"/>
  <c r="B10535" i="3"/>
  <c r="B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B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B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B10668" i="3"/>
  <c r="B10669" i="3"/>
  <c r="B10670" i="3"/>
  <c r="B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B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B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B10803" i="3"/>
  <c r="B10804" i="3"/>
  <c r="B10805" i="3"/>
  <c r="B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B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B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B10938" i="3"/>
  <c r="B10939" i="3"/>
  <c r="B10940" i="3"/>
  <c r="B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B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B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B11073" i="3"/>
  <c r="B11074" i="3"/>
  <c r="B11075" i="3"/>
  <c r="B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B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B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B11208" i="3"/>
  <c r="B11209" i="3"/>
  <c r="B11210" i="3"/>
  <c r="B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B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B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B11343" i="3"/>
  <c r="B11344" i="3"/>
  <c r="B11345" i="3"/>
  <c r="B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B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B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B11478" i="3"/>
  <c r="B11479" i="3"/>
  <c r="B11480" i="3"/>
  <c r="B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B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B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B11613" i="3"/>
  <c r="B11614" i="3"/>
  <c r="B11615" i="3"/>
  <c r="B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B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B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B11748" i="3"/>
  <c r="B11749" i="3"/>
  <c r="B11750" i="3"/>
  <c r="B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B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B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B11883" i="3"/>
  <c r="B11884" i="3"/>
  <c r="B11885" i="3"/>
  <c r="B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B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B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B12018" i="3"/>
  <c r="B12019" i="3"/>
  <c r="B12020" i="3"/>
  <c r="B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B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B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A24999" i="3"/>
  <c r="A24998" i="3"/>
  <c r="A24997" i="3"/>
  <c r="A24996" i="3"/>
  <c r="A24995" i="3"/>
  <c r="A24994" i="3"/>
  <c r="A24993" i="3"/>
  <c r="A24992" i="3"/>
  <c r="A24991" i="3"/>
  <c r="A24990" i="3"/>
  <c r="A24989" i="3"/>
  <c r="A24988" i="3"/>
  <c r="A24987" i="3"/>
  <c r="A24986" i="3"/>
  <c r="A24985" i="3"/>
  <c r="A24984" i="3"/>
  <c r="A24983" i="3"/>
  <c r="A24982" i="3"/>
  <c r="A24981" i="3"/>
  <c r="A24980" i="3"/>
  <c r="A24979" i="3"/>
  <c r="A24978" i="3"/>
  <c r="A24977" i="3"/>
  <c r="A24976" i="3"/>
  <c r="A24975" i="3"/>
  <c r="A24974" i="3"/>
  <c r="A24973" i="3"/>
  <c r="A24972" i="3"/>
  <c r="A24971" i="3"/>
  <c r="A24970" i="3"/>
  <c r="A24969" i="3"/>
  <c r="A24968" i="3"/>
  <c r="A24967" i="3"/>
  <c r="A24966" i="3"/>
  <c r="A24965" i="3"/>
  <c r="A24964" i="3"/>
  <c r="A24963" i="3"/>
  <c r="A24962" i="3"/>
  <c r="A24961" i="3"/>
  <c r="A24960" i="3"/>
  <c r="A24959" i="3"/>
  <c r="A24958" i="3"/>
  <c r="A24957" i="3"/>
  <c r="A24956" i="3"/>
  <c r="A24955" i="3"/>
  <c r="A24954" i="3"/>
  <c r="A24953" i="3"/>
  <c r="A24952" i="3"/>
  <c r="A24951" i="3"/>
  <c r="A24950" i="3"/>
  <c r="A24949" i="3"/>
  <c r="A24948" i="3"/>
  <c r="A24947" i="3"/>
  <c r="A24946" i="3"/>
  <c r="A24945" i="3"/>
  <c r="A24944" i="3"/>
  <c r="A24943" i="3"/>
  <c r="A24942" i="3"/>
  <c r="A24941" i="3"/>
  <c r="A24940" i="3"/>
  <c r="A24939" i="3"/>
  <c r="A24938" i="3"/>
  <c r="A24937" i="3"/>
  <c r="A24936" i="3"/>
  <c r="A24935" i="3"/>
  <c r="A24934" i="3"/>
  <c r="A24933" i="3"/>
  <c r="A24932" i="3"/>
  <c r="A24931" i="3"/>
  <c r="A24930" i="3"/>
  <c r="A24929" i="3"/>
  <c r="A24928" i="3"/>
  <c r="A24927" i="3"/>
  <c r="A24926" i="3"/>
  <c r="A24925" i="3"/>
  <c r="A24924" i="3"/>
  <c r="A24923" i="3"/>
  <c r="A24922" i="3"/>
  <c r="A24921" i="3"/>
  <c r="A24920" i="3"/>
  <c r="A24919" i="3"/>
  <c r="A24918" i="3"/>
  <c r="A24917" i="3"/>
  <c r="A24916" i="3"/>
  <c r="A24915" i="3"/>
  <c r="A24914" i="3"/>
  <c r="A24913" i="3"/>
  <c r="A24912" i="3"/>
  <c r="A24911" i="3"/>
  <c r="A24910" i="3"/>
  <c r="A24909" i="3"/>
  <c r="A24908" i="3"/>
  <c r="A24907" i="3"/>
  <c r="A24906" i="3"/>
  <c r="A24905" i="3"/>
  <c r="A24904" i="3"/>
  <c r="A24903" i="3"/>
  <c r="A24902" i="3"/>
  <c r="A24901" i="3"/>
  <c r="A24900" i="3"/>
  <c r="A24899" i="3"/>
  <c r="A24898" i="3"/>
  <c r="A24897" i="3"/>
  <c r="A24896" i="3"/>
  <c r="A24895" i="3"/>
  <c r="A24894" i="3"/>
  <c r="A24893" i="3"/>
  <c r="A24892" i="3"/>
  <c r="A24891" i="3"/>
  <c r="A24890" i="3"/>
  <c r="A24889" i="3"/>
  <c r="A24888" i="3"/>
  <c r="A24887" i="3"/>
  <c r="A24886" i="3"/>
  <c r="A24885" i="3"/>
  <c r="A24884" i="3"/>
  <c r="A24883" i="3"/>
  <c r="A24882" i="3"/>
  <c r="A24881" i="3"/>
  <c r="A24880" i="3"/>
  <c r="A24879" i="3"/>
  <c r="A24878" i="3"/>
  <c r="A24877" i="3"/>
  <c r="A24876" i="3"/>
  <c r="A24875" i="3"/>
  <c r="A24874" i="3"/>
  <c r="A24873" i="3"/>
  <c r="A24872" i="3"/>
  <c r="A24871" i="3"/>
  <c r="A24870" i="3"/>
  <c r="A24869" i="3"/>
  <c r="A24868" i="3"/>
  <c r="A24867" i="3"/>
  <c r="A24866" i="3"/>
  <c r="A24865" i="3"/>
  <c r="A24864" i="3"/>
  <c r="A24863" i="3"/>
  <c r="A24862" i="3"/>
  <c r="A24861" i="3"/>
  <c r="A24860" i="3"/>
  <c r="A24859" i="3"/>
  <c r="A24858" i="3"/>
  <c r="A24857" i="3"/>
  <c r="A24856" i="3"/>
  <c r="A24855" i="3"/>
  <c r="A24854" i="3"/>
  <c r="A24853" i="3"/>
  <c r="A24852" i="3"/>
  <c r="A24851" i="3"/>
  <c r="A24850" i="3"/>
  <c r="A24849" i="3"/>
  <c r="A24848" i="3"/>
  <c r="A24847" i="3"/>
  <c r="A24846" i="3"/>
  <c r="A24845" i="3"/>
  <c r="A24844" i="3"/>
  <c r="A24843" i="3"/>
  <c r="A24842" i="3"/>
  <c r="A24841" i="3"/>
  <c r="A24840" i="3"/>
  <c r="A24839" i="3"/>
  <c r="A24838" i="3"/>
  <c r="A24837" i="3"/>
  <c r="A24836" i="3"/>
  <c r="A24835" i="3"/>
  <c r="A24834" i="3"/>
  <c r="A24833" i="3"/>
  <c r="A24832" i="3"/>
  <c r="A24831" i="3"/>
  <c r="A24830" i="3"/>
  <c r="A24829" i="3"/>
  <c r="A24828" i="3"/>
  <c r="A24827" i="3"/>
  <c r="A24826" i="3"/>
  <c r="A24825" i="3"/>
  <c r="A24824" i="3"/>
  <c r="A24823" i="3"/>
  <c r="A24822" i="3"/>
  <c r="A24821" i="3"/>
  <c r="A24820" i="3"/>
  <c r="A24819" i="3"/>
  <c r="A24818" i="3"/>
  <c r="A24817" i="3"/>
  <c r="A24816" i="3"/>
  <c r="A24815" i="3"/>
  <c r="A24814" i="3"/>
  <c r="A24813" i="3"/>
  <c r="A24812" i="3"/>
  <c r="A24811" i="3"/>
  <c r="A24810" i="3"/>
  <c r="A24809" i="3"/>
  <c r="A24808" i="3"/>
  <c r="A24807" i="3"/>
  <c r="A24806" i="3"/>
  <c r="A24805" i="3"/>
  <c r="A24804" i="3"/>
  <c r="A24803" i="3"/>
  <c r="A24802" i="3"/>
  <c r="A24801" i="3"/>
  <c r="A24800" i="3"/>
  <c r="A24799" i="3"/>
  <c r="A24798" i="3"/>
  <c r="A24797" i="3"/>
  <c r="A24796" i="3"/>
  <c r="A24795" i="3"/>
  <c r="A24794" i="3"/>
  <c r="A24793" i="3"/>
  <c r="A24792" i="3"/>
  <c r="A24791" i="3"/>
  <c r="A24790" i="3"/>
  <c r="A24789" i="3"/>
  <c r="A24788" i="3"/>
  <c r="A24787" i="3"/>
  <c r="A24786" i="3"/>
  <c r="A24785" i="3"/>
  <c r="A24784" i="3"/>
  <c r="A24783" i="3"/>
  <c r="A24782" i="3"/>
  <c r="A24781" i="3"/>
  <c r="A24780" i="3"/>
  <c r="A24779" i="3"/>
  <c r="A24778" i="3"/>
  <c r="A24777" i="3"/>
  <c r="A24776" i="3"/>
  <c r="A24775" i="3"/>
  <c r="A24774" i="3"/>
  <c r="A24773" i="3"/>
  <c r="A24772" i="3"/>
  <c r="A24771" i="3"/>
  <c r="A24770" i="3"/>
  <c r="A24769" i="3"/>
  <c r="A24768" i="3"/>
  <c r="A24767" i="3"/>
  <c r="A24766" i="3"/>
  <c r="A24765" i="3"/>
  <c r="A24764" i="3"/>
  <c r="A24763" i="3"/>
  <c r="A24762" i="3"/>
  <c r="A24761" i="3"/>
  <c r="A24760" i="3"/>
  <c r="A24759" i="3"/>
  <c r="A24758" i="3"/>
  <c r="A24757" i="3"/>
  <c r="A24756" i="3"/>
  <c r="A24755" i="3"/>
  <c r="A24754" i="3"/>
  <c r="A24753" i="3"/>
  <c r="A24752" i="3"/>
  <c r="A24751" i="3"/>
  <c r="A24750" i="3"/>
  <c r="A24749" i="3"/>
  <c r="A24748" i="3"/>
  <c r="A24747" i="3"/>
  <c r="A24746" i="3"/>
  <c r="A24745" i="3"/>
  <c r="A24744" i="3"/>
  <c r="A24743" i="3"/>
  <c r="A24742" i="3"/>
  <c r="A24741" i="3"/>
  <c r="A24740" i="3"/>
  <c r="A24739" i="3"/>
  <c r="A24738" i="3"/>
  <c r="A24737" i="3"/>
  <c r="A24736" i="3"/>
  <c r="A24735" i="3"/>
  <c r="A24734" i="3"/>
  <c r="A24733" i="3"/>
  <c r="A24732" i="3"/>
  <c r="A24731" i="3"/>
  <c r="A24730" i="3"/>
  <c r="A24729" i="3"/>
  <c r="A24728" i="3"/>
  <c r="A24727" i="3"/>
  <c r="A24726" i="3"/>
  <c r="A24725" i="3"/>
  <c r="A24724" i="3"/>
  <c r="A24723" i="3"/>
  <c r="A24722" i="3"/>
  <c r="A24721" i="3"/>
  <c r="A24720" i="3"/>
  <c r="A24719" i="3"/>
  <c r="A24718" i="3"/>
  <c r="A24717" i="3"/>
  <c r="A24716" i="3"/>
  <c r="A24715" i="3"/>
  <c r="A24714" i="3"/>
  <c r="A24713" i="3"/>
  <c r="A24712" i="3"/>
  <c r="A24711" i="3"/>
  <c r="A24710" i="3"/>
  <c r="A24709" i="3"/>
  <c r="A24708" i="3"/>
  <c r="A24707" i="3"/>
  <c r="A24706" i="3"/>
  <c r="A24705" i="3"/>
  <c r="A24704" i="3"/>
  <c r="A24703" i="3"/>
  <c r="A24702" i="3"/>
  <c r="A24701" i="3"/>
  <c r="A24700" i="3"/>
  <c r="A24699" i="3"/>
  <c r="A24698" i="3"/>
  <c r="A24697" i="3"/>
  <c r="A24696" i="3"/>
  <c r="A24695" i="3"/>
  <c r="A24694" i="3"/>
  <c r="A24693" i="3"/>
  <c r="A24692" i="3"/>
  <c r="A24691" i="3"/>
  <c r="A24690" i="3"/>
  <c r="A24689" i="3"/>
  <c r="A24688" i="3"/>
  <c r="A24687" i="3"/>
  <c r="A24686" i="3"/>
  <c r="A24685" i="3"/>
  <c r="A24684" i="3"/>
  <c r="A24683" i="3"/>
  <c r="A24682" i="3"/>
  <c r="A24681" i="3"/>
  <c r="A24680" i="3"/>
  <c r="A24679" i="3"/>
  <c r="A24678" i="3"/>
  <c r="A24677" i="3"/>
  <c r="A24676" i="3"/>
  <c r="A24675" i="3"/>
  <c r="A24674" i="3"/>
  <c r="A24673" i="3"/>
  <c r="A24672" i="3"/>
  <c r="A24671" i="3"/>
  <c r="A24670" i="3"/>
  <c r="A24669" i="3"/>
  <c r="A24668" i="3"/>
  <c r="A24667" i="3"/>
  <c r="A24666" i="3"/>
  <c r="A24665" i="3"/>
  <c r="A24664" i="3"/>
  <c r="A24663" i="3"/>
  <c r="A24662" i="3"/>
  <c r="A24661" i="3"/>
  <c r="A24660" i="3"/>
  <c r="A24659" i="3"/>
  <c r="A24658" i="3"/>
  <c r="A24657" i="3"/>
  <c r="A24656" i="3"/>
  <c r="A24655" i="3"/>
  <c r="A24654" i="3"/>
  <c r="A24653" i="3"/>
  <c r="A24652" i="3"/>
  <c r="A24651" i="3"/>
  <c r="A24650" i="3"/>
  <c r="A24649" i="3"/>
  <c r="A24648" i="3"/>
  <c r="A24647" i="3"/>
  <c r="A24646" i="3"/>
  <c r="A24645" i="3"/>
  <c r="A24644" i="3"/>
  <c r="A24643" i="3"/>
  <c r="A24642" i="3"/>
  <c r="A24641" i="3"/>
  <c r="A24640" i="3"/>
  <c r="A24639" i="3"/>
  <c r="A24638" i="3"/>
  <c r="A24637" i="3"/>
  <c r="A24636" i="3"/>
  <c r="A24635" i="3"/>
  <c r="A24634" i="3"/>
  <c r="A24633" i="3"/>
  <c r="A24632" i="3"/>
  <c r="A24631" i="3"/>
  <c r="A24630" i="3"/>
  <c r="A24629" i="3"/>
  <c r="A24628" i="3"/>
  <c r="A24627" i="3"/>
  <c r="A24626" i="3"/>
  <c r="A24625" i="3"/>
  <c r="A24624" i="3"/>
  <c r="A24623" i="3"/>
  <c r="A24622" i="3"/>
  <c r="A24621" i="3"/>
  <c r="A24620" i="3"/>
  <c r="A24619" i="3"/>
  <c r="A24618" i="3"/>
  <c r="A24617" i="3"/>
  <c r="A24616" i="3"/>
  <c r="A24615" i="3"/>
  <c r="A24614" i="3"/>
  <c r="A24613" i="3"/>
  <c r="A24612" i="3"/>
  <c r="A24611" i="3"/>
  <c r="A24610" i="3"/>
  <c r="A24609" i="3"/>
  <c r="A24608" i="3"/>
  <c r="A24607" i="3"/>
  <c r="A24606" i="3"/>
  <c r="A24605" i="3"/>
  <c r="A24604" i="3"/>
  <c r="A24603" i="3"/>
  <c r="A24602" i="3"/>
  <c r="A24601" i="3"/>
  <c r="A24600" i="3"/>
  <c r="A24599" i="3"/>
  <c r="A24598" i="3"/>
  <c r="A24597" i="3"/>
  <c r="A24596" i="3"/>
  <c r="A24595" i="3"/>
  <c r="A24594" i="3"/>
  <c r="A24593" i="3"/>
  <c r="A24592" i="3"/>
  <c r="A24591" i="3"/>
  <c r="A24590" i="3"/>
  <c r="A24589" i="3"/>
  <c r="A24588" i="3"/>
  <c r="A24587" i="3"/>
  <c r="A24586" i="3"/>
  <c r="A24585" i="3"/>
  <c r="A24584" i="3"/>
  <c r="A24583" i="3"/>
  <c r="A24582" i="3"/>
  <c r="A24581" i="3"/>
  <c r="A24580" i="3"/>
  <c r="A24579" i="3"/>
  <c r="A24578" i="3"/>
  <c r="A24577" i="3"/>
  <c r="A24576" i="3"/>
  <c r="A24575" i="3"/>
  <c r="A24574" i="3"/>
  <c r="A24573" i="3"/>
  <c r="A24572" i="3"/>
  <c r="A24571" i="3"/>
  <c r="A24570" i="3"/>
  <c r="A24569" i="3"/>
  <c r="A24568" i="3"/>
  <c r="A24567" i="3"/>
  <c r="A24566" i="3"/>
  <c r="A24565" i="3"/>
  <c r="A24564" i="3"/>
  <c r="A24563" i="3"/>
  <c r="A24562" i="3"/>
  <c r="A24561" i="3"/>
  <c r="A24560" i="3"/>
  <c r="A24559" i="3"/>
  <c r="A24558" i="3"/>
  <c r="A24557" i="3"/>
  <c r="A24556" i="3"/>
  <c r="A24555" i="3"/>
  <c r="A24554" i="3"/>
  <c r="A24553" i="3"/>
  <c r="A24552" i="3"/>
  <c r="A24551" i="3"/>
  <c r="A24550" i="3"/>
  <c r="A24549" i="3"/>
  <c r="A24548" i="3"/>
  <c r="A24547" i="3"/>
  <c r="A24546" i="3"/>
  <c r="A24545" i="3"/>
  <c r="A24544" i="3"/>
  <c r="A24543" i="3"/>
  <c r="A24542" i="3"/>
  <c r="A24541" i="3"/>
  <c r="A24540" i="3"/>
  <c r="A24539" i="3"/>
  <c r="A24538" i="3"/>
  <c r="A24537" i="3"/>
  <c r="A24536" i="3"/>
  <c r="A24535" i="3"/>
  <c r="A24534" i="3"/>
  <c r="A24533" i="3"/>
  <c r="A24532" i="3"/>
  <c r="A24531" i="3"/>
  <c r="A24530" i="3"/>
  <c r="A24529" i="3"/>
  <c r="A24528" i="3"/>
  <c r="A24527" i="3"/>
  <c r="A24526" i="3"/>
  <c r="A24525" i="3"/>
  <c r="A24524" i="3"/>
  <c r="A24523" i="3"/>
  <c r="A24522" i="3"/>
  <c r="A24521" i="3"/>
  <c r="A24520" i="3"/>
  <c r="A24519" i="3"/>
  <c r="A24518" i="3"/>
  <c r="A24517" i="3"/>
  <c r="A24516" i="3"/>
  <c r="A24515" i="3"/>
  <c r="A24514" i="3"/>
  <c r="A24513" i="3"/>
  <c r="A24512" i="3"/>
  <c r="A24511" i="3"/>
  <c r="A24510" i="3"/>
  <c r="A24509" i="3"/>
  <c r="A24508" i="3"/>
  <c r="A24507" i="3"/>
  <c r="A24506" i="3"/>
  <c r="A24505" i="3"/>
  <c r="A24504" i="3"/>
  <c r="A24503" i="3"/>
  <c r="A24502" i="3"/>
  <c r="A24501" i="3"/>
  <c r="A24500" i="3"/>
  <c r="A24499" i="3"/>
  <c r="A24498" i="3"/>
  <c r="A24497" i="3"/>
  <c r="A24496" i="3"/>
  <c r="A24495" i="3"/>
  <c r="A24494" i="3"/>
  <c r="A24493" i="3"/>
  <c r="A24492" i="3"/>
  <c r="A24491" i="3"/>
  <c r="A24490" i="3"/>
  <c r="A24489" i="3"/>
  <c r="A24488" i="3"/>
  <c r="A24487" i="3"/>
  <c r="A24486" i="3"/>
  <c r="A24485" i="3"/>
  <c r="A24484" i="3"/>
  <c r="A24483" i="3"/>
  <c r="A24482" i="3"/>
  <c r="A24481" i="3"/>
  <c r="A24480" i="3"/>
  <c r="A24479" i="3"/>
  <c r="A24478" i="3"/>
  <c r="A24477" i="3"/>
  <c r="A24476" i="3"/>
  <c r="A24475" i="3"/>
  <c r="A24474" i="3"/>
  <c r="A24473" i="3"/>
  <c r="A24472" i="3"/>
  <c r="A24471" i="3"/>
  <c r="A24470" i="3"/>
  <c r="A24469" i="3"/>
  <c r="A24468" i="3"/>
  <c r="A24467" i="3"/>
  <c r="A24466" i="3"/>
  <c r="A24465" i="3"/>
  <c r="A24464" i="3"/>
  <c r="A24463" i="3"/>
  <c r="A24462" i="3"/>
  <c r="A24461" i="3"/>
  <c r="A24460" i="3"/>
  <c r="A24459" i="3"/>
  <c r="A24458" i="3"/>
  <c r="A24457" i="3"/>
  <c r="A24456" i="3"/>
  <c r="A24455" i="3"/>
  <c r="A24454" i="3"/>
  <c r="A24453" i="3"/>
  <c r="A24452" i="3"/>
  <c r="A24451" i="3"/>
  <c r="A24450" i="3"/>
  <c r="A24449" i="3"/>
  <c r="A24448" i="3"/>
  <c r="A24447" i="3"/>
  <c r="A24446" i="3"/>
  <c r="A24445" i="3"/>
  <c r="A24444" i="3"/>
  <c r="A24443" i="3"/>
  <c r="A24442" i="3"/>
  <c r="A24441" i="3"/>
  <c r="A24440" i="3"/>
  <c r="A24439" i="3"/>
  <c r="A24438" i="3"/>
  <c r="A24437" i="3"/>
  <c r="A24436" i="3"/>
  <c r="A24435" i="3"/>
  <c r="A24434" i="3"/>
  <c r="A24433" i="3"/>
  <c r="A24432" i="3"/>
  <c r="A24431" i="3"/>
  <c r="A24430" i="3"/>
  <c r="A24429" i="3"/>
  <c r="A24428" i="3"/>
  <c r="A24427" i="3"/>
  <c r="A24426" i="3"/>
  <c r="A24425" i="3"/>
  <c r="A24424" i="3"/>
  <c r="A24423" i="3"/>
  <c r="A24422" i="3"/>
  <c r="A24421" i="3"/>
  <c r="A24420" i="3"/>
  <c r="A24419" i="3"/>
  <c r="A24418" i="3"/>
  <c r="A24417" i="3"/>
  <c r="A24416" i="3"/>
  <c r="A24415" i="3"/>
  <c r="A24414" i="3"/>
  <c r="A24413" i="3"/>
  <c r="A24412" i="3"/>
  <c r="A24411" i="3"/>
  <c r="A24410" i="3"/>
  <c r="A24409" i="3"/>
  <c r="A24408" i="3"/>
  <c r="A24407" i="3"/>
  <c r="A24406" i="3"/>
  <c r="A24405" i="3"/>
  <c r="A24404" i="3"/>
  <c r="A24403" i="3"/>
  <c r="A24402" i="3"/>
  <c r="A24401" i="3"/>
  <c r="A24400" i="3"/>
  <c r="A24399" i="3"/>
  <c r="A24398" i="3"/>
  <c r="A24397" i="3"/>
  <c r="A24396" i="3"/>
  <c r="A24395" i="3"/>
  <c r="A24394" i="3"/>
  <c r="A24393" i="3"/>
  <c r="A24392" i="3"/>
  <c r="A24391" i="3"/>
  <c r="A24390" i="3"/>
  <c r="A24389" i="3"/>
  <c r="A24388" i="3"/>
  <c r="A24387" i="3"/>
  <c r="A24386" i="3"/>
  <c r="A24385" i="3"/>
  <c r="A24384" i="3"/>
  <c r="A24383" i="3"/>
  <c r="A24382" i="3"/>
  <c r="A24381" i="3"/>
  <c r="A24380" i="3"/>
  <c r="A24379" i="3"/>
  <c r="A24378" i="3"/>
  <c r="A24377" i="3"/>
  <c r="A24376" i="3"/>
  <c r="A24375" i="3"/>
  <c r="A24374" i="3"/>
  <c r="A24373" i="3"/>
  <c r="A24372" i="3"/>
  <c r="A24371" i="3"/>
  <c r="A24370" i="3"/>
  <c r="A24369" i="3"/>
  <c r="A24368" i="3"/>
  <c r="A24367" i="3"/>
  <c r="A24366" i="3"/>
  <c r="A24365" i="3"/>
  <c r="A24364" i="3"/>
  <c r="A24363" i="3"/>
  <c r="A24362" i="3"/>
  <c r="A24361" i="3"/>
  <c r="A24360" i="3"/>
  <c r="A24359" i="3"/>
  <c r="A24358" i="3"/>
  <c r="A24357" i="3"/>
  <c r="A24356" i="3"/>
  <c r="A24355" i="3"/>
  <c r="A24354" i="3"/>
  <c r="A24353" i="3"/>
  <c r="A24352" i="3"/>
  <c r="A24351" i="3"/>
  <c r="A24350" i="3"/>
  <c r="A24349" i="3"/>
  <c r="A24348" i="3"/>
  <c r="A24347" i="3"/>
  <c r="A24346" i="3"/>
  <c r="A24345" i="3"/>
  <c r="A24344" i="3"/>
  <c r="A24343" i="3"/>
  <c r="A24342" i="3"/>
  <c r="A24341" i="3"/>
  <c r="A24340" i="3"/>
  <c r="A24339" i="3"/>
  <c r="A24338" i="3"/>
  <c r="A24337" i="3"/>
  <c r="A24336" i="3"/>
  <c r="A24335" i="3"/>
  <c r="A24334" i="3"/>
  <c r="A24333" i="3"/>
  <c r="A24332" i="3"/>
  <c r="A24331" i="3"/>
  <c r="A24330" i="3"/>
  <c r="A24329" i="3"/>
  <c r="A24328" i="3"/>
  <c r="A24327" i="3"/>
  <c r="A24326" i="3"/>
  <c r="A24325" i="3"/>
  <c r="A24324" i="3"/>
  <c r="A24323" i="3"/>
  <c r="A24322" i="3"/>
  <c r="A24321" i="3"/>
  <c r="A24320" i="3"/>
  <c r="A24319" i="3"/>
  <c r="A24318" i="3"/>
  <c r="A24317" i="3"/>
  <c r="A24316" i="3"/>
  <c r="A24315" i="3"/>
  <c r="A24314" i="3"/>
  <c r="A24313" i="3"/>
  <c r="A24312" i="3"/>
  <c r="A24311" i="3"/>
  <c r="A24310" i="3"/>
  <c r="A24309" i="3"/>
  <c r="A24308" i="3"/>
  <c r="A24307" i="3"/>
  <c r="A24306" i="3"/>
  <c r="A24305" i="3"/>
  <c r="A24304" i="3"/>
  <c r="A24303" i="3"/>
  <c r="A24302" i="3"/>
  <c r="A24301" i="3"/>
  <c r="A24300" i="3"/>
  <c r="A24299" i="3"/>
  <c r="A24298" i="3"/>
  <c r="A24297" i="3"/>
  <c r="A24296" i="3"/>
  <c r="A24295" i="3"/>
  <c r="A24294" i="3"/>
  <c r="A24293" i="3"/>
  <c r="A24292" i="3"/>
  <c r="A24291" i="3"/>
  <c r="A24290" i="3"/>
  <c r="A24289" i="3"/>
  <c r="A24288" i="3"/>
  <c r="A24287" i="3"/>
  <c r="A24286" i="3"/>
  <c r="A24285" i="3"/>
  <c r="A24284" i="3"/>
  <c r="A24283" i="3"/>
  <c r="A24282" i="3"/>
  <c r="A24281" i="3"/>
  <c r="A24280" i="3"/>
  <c r="A24279" i="3"/>
  <c r="A24278" i="3"/>
  <c r="A24277" i="3"/>
  <c r="A24276" i="3"/>
  <c r="A24275" i="3"/>
  <c r="A24274" i="3"/>
  <c r="A24273" i="3"/>
  <c r="A24272" i="3"/>
  <c r="A24271" i="3"/>
  <c r="A24270" i="3"/>
  <c r="A24269" i="3"/>
  <c r="A24268" i="3"/>
  <c r="A24267" i="3"/>
  <c r="A24266" i="3"/>
  <c r="A24265" i="3"/>
  <c r="A24264" i="3"/>
  <c r="A24263" i="3"/>
  <c r="A24262" i="3"/>
  <c r="A24261" i="3"/>
  <c r="A24260" i="3"/>
  <c r="A24259" i="3"/>
  <c r="A24258" i="3"/>
  <c r="A24257" i="3"/>
  <c r="A24256" i="3"/>
  <c r="A24255" i="3"/>
  <c r="A24254" i="3"/>
  <c r="A24253" i="3"/>
  <c r="A24252" i="3"/>
  <c r="A24251" i="3"/>
  <c r="A24250" i="3"/>
  <c r="A24249" i="3"/>
  <c r="A24248" i="3"/>
  <c r="A24247" i="3"/>
  <c r="A24246" i="3"/>
  <c r="A24245" i="3"/>
  <c r="A24244" i="3"/>
  <c r="A24243" i="3"/>
  <c r="A24242" i="3"/>
  <c r="A24241" i="3"/>
  <c r="A24240" i="3"/>
  <c r="A24239" i="3"/>
  <c r="A24238" i="3"/>
  <c r="A24237" i="3"/>
  <c r="A24236" i="3"/>
  <c r="A24235" i="3"/>
  <c r="A24234" i="3"/>
  <c r="A24233" i="3"/>
  <c r="A24232" i="3"/>
  <c r="A24231" i="3"/>
  <c r="A24230" i="3"/>
  <c r="A24229" i="3"/>
  <c r="A24228" i="3"/>
  <c r="A24227" i="3"/>
  <c r="A24226" i="3"/>
  <c r="A24225" i="3"/>
  <c r="A24224" i="3"/>
  <c r="A24223" i="3"/>
  <c r="A24222" i="3"/>
  <c r="A24221" i="3"/>
  <c r="A24220" i="3"/>
  <c r="A24219" i="3"/>
  <c r="A24218" i="3"/>
  <c r="A24217" i="3"/>
  <c r="A24216" i="3"/>
  <c r="A24215" i="3"/>
  <c r="A24214" i="3"/>
  <c r="A24213" i="3"/>
  <c r="A24212" i="3"/>
  <c r="A24211" i="3"/>
  <c r="A24210" i="3"/>
  <c r="A24209" i="3"/>
  <c r="A24208" i="3"/>
  <c r="A24207" i="3"/>
  <c r="A24206" i="3"/>
  <c r="A24205" i="3"/>
  <c r="A24204" i="3"/>
  <c r="A24203" i="3"/>
  <c r="A24202" i="3"/>
  <c r="A24201" i="3"/>
  <c r="A24200" i="3"/>
  <c r="A24199" i="3"/>
  <c r="A24198" i="3"/>
  <c r="A24197" i="3"/>
  <c r="A24196" i="3"/>
  <c r="A24195" i="3"/>
  <c r="A24194" i="3"/>
  <c r="A24193" i="3"/>
  <c r="A24192" i="3"/>
  <c r="A24191" i="3"/>
  <c r="A24190" i="3"/>
  <c r="A24189" i="3"/>
  <c r="A24188" i="3"/>
  <c r="A24187" i="3"/>
  <c r="A24186" i="3"/>
  <c r="A24185" i="3"/>
  <c r="A24184" i="3"/>
  <c r="A24183" i="3"/>
  <c r="A24182" i="3"/>
  <c r="A24181" i="3"/>
  <c r="A24180" i="3"/>
  <c r="A24179" i="3"/>
  <c r="A24178" i="3"/>
  <c r="A24177" i="3"/>
  <c r="A24176" i="3"/>
  <c r="A24175" i="3"/>
  <c r="A24174" i="3"/>
  <c r="A24173" i="3"/>
  <c r="A24172" i="3"/>
  <c r="A24171" i="3"/>
  <c r="A24170" i="3"/>
  <c r="A24169" i="3"/>
  <c r="A24168" i="3"/>
  <c r="A24167" i="3"/>
  <c r="A24166" i="3"/>
  <c r="A24165" i="3"/>
  <c r="A24164" i="3"/>
  <c r="A24163" i="3"/>
  <c r="A24162" i="3"/>
  <c r="A24161" i="3"/>
  <c r="A24160" i="3"/>
  <c r="A24159" i="3"/>
  <c r="A24158" i="3"/>
  <c r="A24157" i="3"/>
  <c r="A24156" i="3"/>
  <c r="A24155" i="3"/>
  <c r="A24154" i="3"/>
  <c r="A24153" i="3"/>
  <c r="A24152" i="3"/>
  <c r="A24151" i="3"/>
  <c r="A24150" i="3"/>
  <c r="A24149" i="3"/>
  <c r="A24148" i="3"/>
  <c r="A24147" i="3"/>
  <c r="A24146" i="3"/>
  <c r="A24145" i="3"/>
  <c r="A24144" i="3"/>
  <c r="A24143" i="3"/>
  <c r="A24142" i="3"/>
  <c r="A24141" i="3"/>
  <c r="A24140" i="3"/>
  <c r="A24139" i="3"/>
  <c r="A24138" i="3"/>
  <c r="A24137" i="3"/>
  <c r="A24136" i="3"/>
  <c r="A24135" i="3"/>
  <c r="A24134" i="3"/>
  <c r="A24133" i="3"/>
  <c r="A24132" i="3"/>
  <c r="A24131" i="3"/>
  <c r="A24130" i="3"/>
  <c r="A24129" i="3"/>
  <c r="A24128" i="3"/>
  <c r="A24127" i="3"/>
  <c r="A24126" i="3"/>
  <c r="A24125" i="3"/>
  <c r="A24124" i="3"/>
  <c r="A24123" i="3"/>
  <c r="A24122" i="3"/>
  <c r="A24121" i="3"/>
  <c r="A24120" i="3"/>
  <c r="A24119" i="3"/>
  <c r="A24118" i="3"/>
  <c r="A24117" i="3"/>
  <c r="A24116" i="3"/>
  <c r="A24115" i="3"/>
  <c r="A24114" i="3"/>
  <c r="A24113" i="3"/>
  <c r="A24112" i="3"/>
  <c r="A24111" i="3"/>
  <c r="A24110" i="3"/>
  <c r="A24109" i="3"/>
  <c r="A24108" i="3"/>
  <c r="A24107" i="3"/>
  <c r="A24106" i="3"/>
  <c r="A24105" i="3"/>
  <c r="A24104" i="3"/>
  <c r="A24103" i="3"/>
  <c r="A24102" i="3"/>
  <c r="A24101" i="3"/>
  <c r="A24100" i="3"/>
  <c r="A24099" i="3"/>
  <c r="A24098" i="3"/>
  <c r="A24097" i="3"/>
  <c r="A24096" i="3"/>
  <c r="A24095" i="3"/>
  <c r="A24094" i="3"/>
  <c r="A24093" i="3"/>
  <c r="A24092" i="3"/>
  <c r="A24091" i="3"/>
  <c r="A24090" i="3"/>
  <c r="A24089" i="3"/>
  <c r="A24088" i="3"/>
  <c r="A24087" i="3"/>
  <c r="A24086" i="3"/>
  <c r="A24085" i="3"/>
  <c r="A24084" i="3"/>
  <c r="A24083" i="3"/>
  <c r="A24082" i="3"/>
  <c r="A24081" i="3"/>
  <c r="A24080" i="3"/>
  <c r="A24079" i="3"/>
  <c r="A24078" i="3"/>
  <c r="A24077" i="3"/>
  <c r="A24076" i="3"/>
  <c r="A24075" i="3"/>
  <c r="A24074" i="3"/>
  <c r="A24073" i="3"/>
  <c r="A24072" i="3"/>
  <c r="A24071" i="3"/>
  <c r="A24070" i="3"/>
  <c r="A24069" i="3"/>
  <c r="A24068" i="3"/>
  <c r="A24067" i="3"/>
  <c r="A24066" i="3"/>
  <c r="A24065" i="3"/>
  <c r="A24064" i="3"/>
  <c r="A24063" i="3"/>
  <c r="A24062" i="3"/>
  <c r="A24061" i="3"/>
  <c r="A24060" i="3"/>
  <c r="A24059" i="3"/>
  <c r="A24058" i="3"/>
  <c r="A24057" i="3"/>
  <c r="A24056" i="3"/>
  <c r="A24055" i="3"/>
  <c r="A24054" i="3"/>
  <c r="A24053" i="3"/>
  <c r="A24052" i="3"/>
  <c r="A24051" i="3"/>
  <c r="A24050" i="3"/>
  <c r="A24049" i="3"/>
  <c r="A24048" i="3"/>
  <c r="A24047" i="3"/>
  <c r="A24046" i="3"/>
  <c r="A24045" i="3"/>
  <c r="A24044" i="3"/>
  <c r="A24043" i="3"/>
  <c r="A24042" i="3"/>
  <c r="A24041" i="3"/>
  <c r="A24040" i="3"/>
  <c r="A24039" i="3"/>
  <c r="A24038" i="3"/>
  <c r="A24037" i="3"/>
  <c r="A24036" i="3"/>
  <c r="A24035" i="3"/>
  <c r="A24034" i="3"/>
  <c r="A24033" i="3"/>
  <c r="A24032" i="3"/>
  <c r="A24031" i="3"/>
  <c r="A24030" i="3"/>
  <c r="A24029" i="3"/>
  <c r="A24028" i="3"/>
  <c r="A24027" i="3"/>
  <c r="A24026" i="3"/>
  <c r="A24025" i="3"/>
  <c r="A24024" i="3"/>
  <c r="A24023" i="3"/>
  <c r="A24022" i="3"/>
  <c r="A24021" i="3"/>
  <c r="A24020" i="3"/>
  <c r="A24019" i="3"/>
  <c r="A24018" i="3"/>
  <c r="A24017" i="3"/>
  <c r="A24016" i="3"/>
  <c r="A24015" i="3"/>
  <c r="A24014" i="3"/>
  <c r="A24013" i="3"/>
  <c r="A24012" i="3"/>
  <c r="A24011" i="3"/>
  <c r="A24010" i="3"/>
  <c r="A24009" i="3"/>
  <c r="A24008" i="3"/>
  <c r="A24007" i="3"/>
  <c r="A24006" i="3"/>
  <c r="A24005" i="3"/>
  <c r="A24004" i="3"/>
  <c r="A24003" i="3"/>
  <c r="A24002" i="3"/>
  <c r="A24001" i="3"/>
  <c r="A24000" i="3"/>
  <c r="A23999" i="3"/>
  <c r="A23998" i="3"/>
  <c r="A23997" i="3"/>
  <c r="A23996" i="3"/>
  <c r="A23995" i="3"/>
  <c r="A23994" i="3"/>
  <c r="A23993" i="3"/>
  <c r="A23992" i="3"/>
  <c r="A23991" i="3"/>
  <c r="A23990" i="3"/>
  <c r="A23989" i="3"/>
  <c r="A23988" i="3"/>
  <c r="A23987" i="3"/>
  <c r="A23986" i="3"/>
  <c r="A23985" i="3"/>
  <c r="A23984" i="3"/>
  <c r="A23983" i="3"/>
  <c r="A23982" i="3"/>
  <c r="A23981" i="3"/>
  <c r="A23980" i="3"/>
  <c r="A23979" i="3"/>
  <c r="A23978" i="3"/>
  <c r="A23977" i="3"/>
  <c r="A23976" i="3"/>
  <c r="A23975" i="3"/>
  <c r="A23974" i="3"/>
  <c r="A23973" i="3"/>
  <c r="A23972" i="3"/>
  <c r="A23971" i="3"/>
  <c r="A23970" i="3"/>
  <c r="A23969" i="3"/>
  <c r="A23968" i="3"/>
  <c r="A23967" i="3"/>
  <c r="A23966" i="3"/>
  <c r="A23965" i="3"/>
  <c r="A23964" i="3"/>
  <c r="A23963" i="3"/>
  <c r="A23962" i="3"/>
  <c r="A23961" i="3"/>
  <c r="A23960" i="3"/>
  <c r="A23959" i="3"/>
  <c r="A23958" i="3"/>
  <c r="A23957" i="3"/>
  <c r="A23956" i="3"/>
  <c r="A23955" i="3"/>
  <c r="A23954" i="3"/>
  <c r="A23953" i="3"/>
  <c r="A23952" i="3"/>
  <c r="A23951" i="3"/>
  <c r="A23950" i="3"/>
  <c r="A23949" i="3"/>
  <c r="A23948" i="3"/>
  <c r="A23947" i="3"/>
  <c r="A23946" i="3"/>
  <c r="A23945" i="3"/>
  <c r="A23944" i="3"/>
  <c r="A23943" i="3"/>
  <c r="A23942" i="3"/>
  <c r="A23941" i="3"/>
  <c r="A23940" i="3"/>
  <c r="A23939" i="3"/>
  <c r="A23938" i="3"/>
  <c r="A23937" i="3"/>
  <c r="A23936" i="3"/>
  <c r="A23935" i="3"/>
  <c r="A23934" i="3"/>
  <c r="A23933" i="3"/>
  <c r="A23932" i="3"/>
  <c r="A23931" i="3"/>
  <c r="A23930" i="3"/>
  <c r="A23929" i="3"/>
  <c r="A23928" i="3"/>
  <c r="A23927" i="3"/>
  <c r="A23926" i="3"/>
  <c r="A23925" i="3"/>
  <c r="A23924" i="3"/>
  <c r="A23923" i="3"/>
  <c r="A23922" i="3"/>
  <c r="A23921" i="3"/>
  <c r="A23920" i="3"/>
  <c r="A23919" i="3"/>
  <c r="A23918" i="3"/>
  <c r="A23917" i="3"/>
  <c r="A23916" i="3"/>
  <c r="A23915" i="3"/>
  <c r="A23914" i="3"/>
  <c r="A23913" i="3"/>
  <c r="A23912" i="3"/>
  <c r="A23911" i="3"/>
  <c r="A23910" i="3"/>
  <c r="A23909" i="3"/>
  <c r="A23908" i="3"/>
  <c r="A23907" i="3"/>
  <c r="A23906" i="3"/>
  <c r="A23905" i="3"/>
  <c r="A23904" i="3"/>
  <c r="A23903" i="3"/>
  <c r="A23902" i="3"/>
  <c r="A23901" i="3"/>
  <c r="A23900" i="3"/>
  <c r="A23899" i="3"/>
  <c r="A23898" i="3"/>
  <c r="A23897" i="3"/>
  <c r="A23896" i="3"/>
  <c r="A23895" i="3"/>
  <c r="A23894" i="3"/>
  <c r="A23893" i="3"/>
  <c r="A23892" i="3"/>
  <c r="A23891" i="3"/>
  <c r="A23890" i="3"/>
  <c r="A23889" i="3"/>
  <c r="A23888" i="3"/>
  <c r="A23887" i="3"/>
  <c r="A23886" i="3"/>
  <c r="A23885" i="3"/>
  <c r="A23884" i="3"/>
  <c r="A23883" i="3"/>
  <c r="A23882" i="3"/>
  <c r="A23881" i="3"/>
  <c r="A23880" i="3"/>
  <c r="A23879" i="3"/>
  <c r="A23878" i="3"/>
  <c r="A23877" i="3"/>
  <c r="A23876" i="3"/>
  <c r="A23875" i="3"/>
  <c r="A23874" i="3"/>
  <c r="A23873" i="3"/>
  <c r="A23872" i="3"/>
  <c r="A23871" i="3"/>
  <c r="A23870" i="3"/>
  <c r="A23869" i="3"/>
  <c r="A23868" i="3"/>
  <c r="A23867" i="3"/>
  <c r="A23866" i="3"/>
  <c r="A23865" i="3"/>
  <c r="A23864" i="3"/>
  <c r="A23863" i="3"/>
  <c r="A23862" i="3"/>
  <c r="A23861" i="3"/>
  <c r="A23860" i="3"/>
  <c r="A23859" i="3"/>
  <c r="A23858" i="3"/>
  <c r="A23857" i="3"/>
  <c r="A23856" i="3"/>
  <c r="A23855" i="3"/>
  <c r="A23854" i="3"/>
  <c r="A23853" i="3"/>
  <c r="A23852" i="3"/>
  <c r="A23851" i="3"/>
  <c r="A23850" i="3"/>
  <c r="A23849" i="3"/>
  <c r="A23848" i="3"/>
  <c r="A23847" i="3"/>
  <c r="A23846" i="3"/>
  <c r="A23845" i="3"/>
  <c r="A23844" i="3"/>
  <c r="A23843" i="3"/>
  <c r="A23842" i="3"/>
  <c r="A23841" i="3"/>
  <c r="A23840" i="3"/>
  <c r="A23839" i="3"/>
  <c r="A23838" i="3"/>
  <c r="A23837" i="3"/>
  <c r="A23836" i="3"/>
  <c r="A23835" i="3"/>
  <c r="A23834" i="3"/>
  <c r="A23833" i="3"/>
  <c r="A23832" i="3"/>
  <c r="A23831" i="3"/>
  <c r="A23830" i="3"/>
  <c r="A23829" i="3"/>
  <c r="A23828" i="3"/>
  <c r="A23827" i="3"/>
  <c r="A23826" i="3"/>
  <c r="A23825" i="3"/>
  <c r="A23824" i="3"/>
  <c r="A23823" i="3"/>
  <c r="A23822" i="3"/>
  <c r="A23821" i="3"/>
  <c r="A23820" i="3"/>
  <c r="A23819" i="3"/>
  <c r="A23818" i="3"/>
  <c r="A23817" i="3"/>
  <c r="A23816" i="3"/>
  <c r="A23815" i="3"/>
  <c r="A23814" i="3"/>
  <c r="A23813" i="3"/>
  <c r="A23812" i="3"/>
  <c r="A23811" i="3"/>
  <c r="A23810" i="3"/>
  <c r="A23809" i="3"/>
  <c r="A23808" i="3"/>
  <c r="A23807" i="3"/>
  <c r="A23806" i="3"/>
  <c r="A23805" i="3"/>
  <c r="A23804" i="3"/>
  <c r="A23803" i="3"/>
  <c r="A23802" i="3"/>
  <c r="A23801" i="3"/>
  <c r="A23800" i="3"/>
  <c r="A23799" i="3"/>
  <c r="A23798" i="3"/>
  <c r="A23797" i="3"/>
  <c r="A23796" i="3"/>
  <c r="A23795" i="3"/>
  <c r="A23794" i="3"/>
  <c r="A23793" i="3"/>
  <c r="A23792" i="3"/>
  <c r="A23791" i="3"/>
  <c r="A23790" i="3"/>
  <c r="A23789" i="3"/>
  <c r="A23788" i="3"/>
  <c r="A23787" i="3"/>
  <c r="A23786" i="3"/>
  <c r="A23785" i="3"/>
  <c r="A23784" i="3"/>
  <c r="A23783" i="3"/>
  <c r="A23782" i="3"/>
  <c r="A23781" i="3"/>
  <c r="A23780" i="3"/>
  <c r="A23779" i="3"/>
  <c r="A23778" i="3"/>
  <c r="A23777" i="3"/>
  <c r="A23776" i="3"/>
  <c r="A23775" i="3"/>
  <c r="A23774" i="3"/>
  <c r="A23773" i="3"/>
  <c r="A23772" i="3"/>
  <c r="A23771" i="3"/>
  <c r="A23770" i="3"/>
  <c r="A23769" i="3"/>
  <c r="A23768" i="3"/>
  <c r="A23767" i="3"/>
  <c r="A23766" i="3"/>
  <c r="A23765" i="3"/>
  <c r="A23764" i="3"/>
  <c r="A23763" i="3"/>
  <c r="A23762" i="3"/>
  <c r="A23761" i="3"/>
  <c r="A23760" i="3"/>
  <c r="A23759" i="3"/>
  <c r="A23758" i="3"/>
  <c r="A23757" i="3"/>
  <c r="A23756" i="3"/>
  <c r="A23755" i="3"/>
  <c r="A23754" i="3"/>
  <c r="A23753" i="3"/>
  <c r="A23752" i="3"/>
  <c r="A23751" i="3"/>
  <c r="A23750" i="3"/>
  <c r="A23749" i="3"/>
  <c r="A23748" i="3"/>
  <c r="A23747" i="3"/>
  <c r="A23746" i="3"/>
  <c r="A23745" i="3"/>
  <c r="A23744" i="3"/>
  <c r="A23743" i="3"/>
  <c r="A23742" i="3"/>
  <c r="A23741" i="3"/>
  <c r="A23740" i="3"/>
  <c r="A23739" i="3"/>
  <c r="A23738" i="3"/>
  <c r="A23737" i="3"/>
  <c r="A23736" i="3"/>
  <c r="A23735" i="3"/>
  <c r="A23734" i="3"/>
  <c r="A23733" i="3"/>
  <c r="A23732" i="3"/>
  <c r="A23731" i="3"/>
  <c r="A23730" i="3"/>
  <c r="A23729" i="3"/>
  <c r="A23728" i="3"/>
  <c r="A23727" i="3"/>
  <c r="A23726" i="3"/>
  <c r="A23725" i="3"/>
  <c r="A23724" i="3"/>
  <c r="A23723" i="3"/>
  <c r="A23722" i="3"/>
  <c r="A23721" i="3"/>
  <c r="A23720" i="3"/>
  <c r="A23719" i="3"/>
  <c r="A23718" i="3"/>
  <c r="A23717" i="3"/>
  <c r="A23716" i="3"/>
  <c r="A23715" i="3"/>
  <c r="A23714" i="3"/>
  <c r="A23713" i="3"/>
  <c r="A23712" i="3"/>
  <c r="A23711" i="3"/>
  <c r="A23710" i="3"/>
  <c r="A23709" i="3"/>
  <c r="A23708" i="3"/>
  <c r="A23707" i="3"/>
  <c r="A23706" i="3"/>
  <c r="A23705" i="3"/>
  <c r="A23704" i="3"/>
  <c r="A23703" i="3"/>
  <c r="A23702" i="3"/>
  <c r="A23701" i="3"/>
  <c r="A23700" i="3"/>
  <c r="A23699" i="3"/>
  <c r="A23698" i="3"/>
  <c r="A23697" i="3"/>
  <c r="A23696" i="3"/>
  <c r="A23695" i="3"/>
  <c r="A23694" i="3"/>
  <c r="A23693" i="3"/>
  <c r="A23692" i="3"/>
  <c r="A23691" i="3"/>
  <c r="A23690" i="3"/>
  <c r="A23689" i="3"/>
  <c r="A23688" i="3"/>
  <c r="A23687" i="3"/>
  <c r="A23686" i="3"/>
  <c r="A23685" i="3"/>
  <c r="A23684" i="3"/>
  <c r="A23683" i="3"/>
  <c r="A23682" i="3"/>
  <c r="A23681" i="3"/>
  <c r="A23680" i="3"/>
  <c r="A23679" i="3"/>
  <c r="A23678" i="3"/>
  <c r="A23677" i="3"/>
  <c r="A23676" i="3"/>
  <c r="A23675" i="3"/>
  <c r="A23674" i="3"/>
  <c r="A23673" i="3"/>
  <c r="A23672" i="3"/>
  <c r="A23671" i="3"/>
  <c r="A23670" i="3"/>
  <c r="A23669" i="3"/>
  <c r="A23668" i="3"/>
  <c r="A23667" i="3"/>
  <c r="A23666" i="3"/>
  <c r="A23665" i="3"/>
  <c r="A23664" i="3"/>
  <c r="A23663" i="3"/>
  <c r="A23662" i="3"/>
  <c r="A23661" i="3"/>
  <c r="A23660" i="3"/>
  <c r="A23659" i="3"/>
  <c r="A23658" i="3"/>
  <c r="A23657" i="3"/>
  <c r="A23656" i="3"/>
  <c r="A23655" i="3"/>
  <c r="A23654" i="3"/>
  <c r="A23653" i="3"/>
  <c r="A23652" i="3"/>
  <c r="A23651" i="3"/>
  <c r="A23650" i="3"/>
  <c r="A23649" i="3"/>
  <c r="A23648" i="3"/>
  <c r="A23647" i="3"/>
  <c r="A23646" i="3"/>
  <c r="A23645" i="3"/>
  <c r="A23644" i="3"/>
  <c r="A23643" i="3"/>
  <c r="A23642" i="3"/>
  <c r="A23641" i="3"/>
  <c r="A23640" i="3"/>
  <c r="A23639" i="3"/>
  <c r="A23638" i="3"/>
  <c r="A23637" i="3"/>
  <c r="A23636" i="3"/>
  <c r="A23635" i="3"/>
  <c r="A23634" i="3"/>
  <c r="A23633" i="3"/>
  <c r="A23632" i="3"/>
  <c r="A23631" i="3"/>
  <c r="A23630" i="3"/>
  <c r="A23629" i="3"/>
  <c r="A23628" i="3"/>
  <c r="A23627" i="3"/>
  <c r="A23626" i="3"/>
  <c r="A23625" i="3"/>
  <c r="A23624" i="3"/>
  <c r="A23623" i="3"/>
  <c r="A23622" i="3"/>
  <c r="A23621" i="3"/>
  <c r="A23620" i="3"/>
  <c r="A23619" i="3"/>
  <c r="A23618" i="3"/>
  <c r="A23617" i="3"/>
  <c r="A23616" i="3"/>
  <c r="A23615" i="3"/>
  <c r="A23614" i="3"/>
  <c r="A23613" i="3"/>
  <c r="A23612" i="3"/>
  <c r="A23611" i="3"/>
  <c r="A23610" i="3"/>
  <c r="A23609" i="3"/>
  <c r="A23608" i="3"/>
  <c r="A23607" i="3"/>
  <c r="A23606" i="3"/>
  <c r="A23605" i="3"/>
  <c r="A23604" i="3"/>
  <c r="A23603" i="3"/>
  <c r="A23602" i="3"/>
  <c r="A23601" i="3"/>
  <c r="A23600" i="3"/>
  <c r="A23599" i="3"/>
  <c r="A23598" i="3"/>
  <c r="A23597" i="3"/>
  <c r="A23596" i="3"/>
  <c r="A23595" i="3"/>
  <c r="A23594" i="3"/>
  <c r="A23593" i="3"/>
  <c r="A23592" i="3"/>
  <c r="A23591" i="3"/>
  <c r="A23590" i="3"/>
  <c r="A23589" i="3"/>
  <c r="A23588" i="3"/>
  <c r="A23587" i="3"/>
  <c r="A23586" i="3"/>
  <c r="A23585" i="3"/>
  <c r="A23584" i="3"/>
  <c r="A23583" i="3"/>
  <c r="A23582" i="3"/>
  <c r="A23581" i="3"/>
  <c r="A23580" i="3"/>
  <c r="A23579" i="3"/>
  <c r="A23578" i="3"/>
  <c r="A23577" i="3"/>
  <c r="A23576" i="3"/>
  <c r="A23575" i="3"/>
  <c r="A23574" i="3"/>
  <c r="A23573" i="3"/>
  <c r="A23572" i="3"/>
  <c r="A23571" i="3"/>
  <c r="A23570" i="3"/>
  <c r="A23569" i="3"/>
  <c r="A23568" i="3"/>
  <c r="A23567" i="3"/>
  <c r="A23566" i="3"/>
  <c r="A23565" i="3"/>
  <c r="A23564" i="3"/>
  <c r="A23563" i="3"/>
  <c r="A23562" i="3"/>
  <c r="A23561" i="3"/>
  <c r="A23560" i="3"/>
  <c r="A23559" i="3"/>
  <c r="A23558" i="3"/>
  <c r="A23557" i="3"/>
  <c r="A23556" i="3"/>
  <c r="A23555" i="3"/>
  <c r="A23554" i="3"/>
  <c r="A23553" i="3"/>
  <c r="A23552" i="3"/>
  <c r="A23551" i="3"/>
  <c r="A23550" i="3"/>
  <c r="A23549" i="3"/>
  <c r="A23548" i="3"/>
  <c r="A23547" i="3"/>
  <c r="A23546" i="3"/>
  <c r="A23545" i="3"/>
  <c r="A23544" i="3"/>
  <c r="A23543" i="3"/>
  <c r="A23542" i="3"/>
  <c r="A23541" i="3"/>
  <c r="A23540" i="3"/>
  <c r="A23539" i="3"/>
  <c r="A23538" i="3"/>
  <c r="A23537" i="3"/>
  <c r="A23536" i="3"/>
  <c r="A23535" i="3"/>
  <c r="A23534" i="3"/>
  <c r="A23533" i="3"/>
  <c r="A23532" i="3"/>
  <c r="A23531" i="3"/>
  <c r="A23530" i="3"/>
  <c r="A23529" i="3"/>
  <c r="A23528" i="3"/>
  <c r="A23527" i="3"/>
  <c r="A23526" i="3"/>
  <c r="A23525" i="3"/>
  <c r="A23524" i="3"/>
  <c r="A23523" i="3"/>
  <c r="A23522" i="3"/>
  <c r="A23521" i="3"/>
  <c r="A23520" i="3"/>
  <c r="A23519" i="3"/>
  <c r="A23518" i="3"/>
  <c r="A23517" i="3"/>
  <c r="A23516" i="3"/>
  <c r="A23515" i="3"/>
  <c r="A23514" i="3"/>
  <c r="A23513" i="3"/>
  <c r="A23512" i="3"/>
  <c r="A23511" i="3"/>
  <c r="A23510" i="3"/>
  <c r="A23509" i="3"/>
  <c r="A23508" i="3"/>
  <c r="A23507" i="3"/>
  <c r="A23506" i="3"/>
  <c r="A23505" i="3"/>
  <c r="A23504" i="3"/>
  <c r="A23503" i="3"/>
  <c r="A23502" i="3"/>
  <c r="A23501" i="3"/>
  <c r="A23500" i="3"/>
  <c r="A23499" i="3"/>
  <c r="A23498" i="3"/>
  <c r="A23497" i="3"/>
  <c r="A23496" i="3"/>
  <c r="A23495" i="3"/>
  <c r="A23494" i="3"/>
  <c r="A23493" i="3"/>
  <c r="A23492" i="3"/>
  <c r="A23491" i="3"/>
  <c r="A23490" i="3"/>
  <c r="A23489" i="3"/>
  <c r="A23488" i="3"/>
  <c r="A23487" i="3"/>
  <c r="A23486" i="3"/>
  <c r="A23485" i="3"/>
  <c r="A23484" i="3"/>
  <c r="A23483" i="3"/>
  <c r="A23482" i="3"/>
  <c r="A23481" i="3"/>
  <c r="A23480" i="3"/>
  <c r="A23479" i="3"/>
  <c r="A23478" i="3"/>
  <c r="A23477" i="3"/>
  <c r="A23476" i="3"/>
  <c r="A23475" i="3"/>
  <c r="A23474" i="3"/>
  <c r="A23473" i="3"/>
  <c r="A23472" i="3"/>
  <c r="A23471" i="3"/>
  <c r="A23470" i="3"/>
  <c r="A23469" i="3"/>
  <c r="A23468" i="3"/>
  <c r="A23467" i="3"/>
  <c r="A23466" i="3"/>
  <c r="A23465" i="3"/>
  <c r="A23464" i="3"/>
  <c r="A23463" i="3"/>
  <c r="A23462" i="3"/>
  <c r="A23461" i="3"/>
  <c r="A23460" i="3"/>
  <c r="A23459" i="3"/>
  <c r="A23458" i="3"/>
  <c r="A23457" i="3"/>
  <c r="A23456" i="3"/>
  <c r="A23455" i="3"/>
  <c r="A23454" i="3"/>
  <c r="A23453" i="3"/>
  <c r="A23452" i="3"/>
  <c r="A23451" i="3"/>
  <c r="A23450" i="3"/>
  <c r="A23449" i="3"/>
  <c r="A23448" i="3"/>
  <c r="A23447" i="3"/>
  <c r="A23446" i="3"/>
  <c r="A23445" i="3"/>
  <c r="A23444" i="3"/>
  <c r="A23443" i="3"/>
  <c r="A23442" i="3"/>
  <c r="A23441" i="3"/>
  <c r="A23440" i="3"/>
  <c r="A23439" i="3"/>
  <c r="A23438" i="3"/>
  <c r="A23437" i="3"/>
  <c r="A23436" i="3"/>
  <c r="A23435" i="3"/>
  <c r="A23434" i="3"/>
  <c r="A23433" i="3"/>
  <c r="A23432" i="3"/>
  <c r="A23431" i="3"/>
  <c r="A23430" i="3"/>
  <c r="A23429" i="3"/>
  <c r="A23428" i="3"/>
  <c r="A23427" i="3"/>
  <c r="A23426" i="3"/>
  <c r="A23425" i="3"/>
  <c r="A23424" i="3"/>
  <c r="A23423" i="3"/>
  <c r="A23422" i="3"/>
  <c r="A23421" i="3"/>
  <c r="A23420" i="3"/>
  <c r="A23419" i="3"/>
  <c r="A23418" i="3"/>
  <c r="A23417" i="3"/>
  <c r="A23416" i="3"/>
  <c r="A23415" i="3"/>
  <c r="A23414" i="3"/>
  <c r="A23413" i="3"/>
  <c r="A23412" i="3"/>
  <c r="A23411" i="3"/>
  <c r="A23410" i="3"/>
  <c r="A23409" i="3"/>
  <c r="A23408" i="3"/>
  <c r="A23407" i="3"/>
  <c r="A23406" i="3"/>
  <c r="A23405" i="3"/>
  <c r="A23404" i="3"/>
  <c r="A23403" i="3"/>
  <c r="A23402" i="3"/>
  <c r="A23401" i="3"/>
  <c r="A23400" i="3"/>
  <c r="A23399" i="3"/>
  <c r="A23398" i="3"/>
  <c r="A23397" i="3"/>
  <c r="A23396" i="3"/>
  <c r="A23395" i="3"/>
  <c r="A23394" i="3"/>
  <c r="A23393" i="3"/>
  <c r="A23392" i="3"/>
  <c r="A23391" i="3"/>
  <c r="A23390" i="3"/>
  <c r="A23389" i="3"/>
  <c r="A23388" i="3"/>
  <c r="A23387" i="3"/>
  <c r="A23386" i="3"/>
  <c r="A23385" i="3"/>
  <c r="A23384" i="3"/>
  <c r="A23383" i="3"/>
  <c r="A23382" i="3"/>
  <c r="A23381" i="3"/>
  <c r="A23380" i="3"/>
  <c r="A23379" i="3"/>
  <c r="A23378" i="3"/>
  <c r="A23377" i="3"/>
  <c r="A23376" i="3"/>
  <c r="A23375" i="3"/>
  <c r="A23374" i="3"/>
  <c r="A23373" i="3"/>
  <c r="A23372" i="3"/>
  <c r="A23371" i="3"/>
  <c r="A23370" i="3"/>
  <c r="A23369" i="3"/>
  <c r="A23368" i="3"/>
  <c r="A23367" i="3"/>
  <c r="A23366" i="3"/>
  <c r="A23365" i="3"/>
  <c r="A23364" i="3"/>
  <c r="A23363" i="3"/>
  <c r="A23362" i="3"/>
  <c r="A23361" i="3"/>
  <c r="A23360" i="3"/>
  <c r="A23359" i="3"/>
  <c r="A23358" i="3"/>
  <c r="A23357" i="3"/>
  <c r="A23356" i="3"/>
  <c r="A23355" i="3"/>
  <c r="A23354" i="3"/>
  <c r="A23353" i="3"/>
  <c r="A23352" i="3"/>
  <c r="A23351" i="3"/>
  <c r="A23350" i="3"/>
  <c r="A23349" i="3"/>
  <c r="A23348" i="3"/>
  <c r="A23347" i="3"/>
  <c r="A23346" i="3"/>
  <c r="A23345" i="3"/>
  <c r="A23344" i="3"/>
  <c r="A23343" i="3"/>
  <c r="A23342" i="3"/>
  <c r="A23341" i="3"/>
  <c r="A23340" i="3"/>
  <c r="A23339" i="3"/>
  <c r="A23338" i="3"/>
  <c r="A23337" i="3"/>
  <c r="A23336" i="3"/>
  <c r="A23335" i="3"/>
  <c r="A23334" i="3"/>
  <c r="A23333" i="3"/>
  <c r="A23332" i="3"/>
  <c r="A23331" i="3"/>
  <c r="A23330" i="3"/>
  <c r="A23329" i="3"/>
  <c r="A23328" i="3"/>
  <c r="A23327" i="3"/>
  <c r="A23326" i="3"/>
  <c r="A23325" i="3"/>
  <c r="A23324" i="3"/>
  <c r="A23323" i="3"/>
  <c r="A23322" i="3"/>
  <c r="A23321" i="3"/>
  <c r="A23320" i="3"/>
  <c r="A23319" i="3"/>
  <c r="A23318" i="3"/>
  <c r="A23317" i="3"/>
  <c r="A23316" i="3"/>
  <c r="A23315" i="3"/>
  <c r="A23314" i="3"/>
  <c r="A23313" i="3"/>
  <c r="A23312" i="3"/>
  <c r="A23311" i="3"/>
  <c r="A23310" i="3"/>
  <c r="A23309" i="3"/>
  <c r="A23308" i="3"/>
  <c r="A23307" i="3"/>
  <c r="A23306" i="3"/>
  <c r="A23305" i="3"/>
  <c r="A23304" i="3"/>
  <c r="A23303" i="3"/>
  <c r="A23302" i="3"/>
  <c r="A23301" i="3"/>
  <c r="A23300" i="3"/>
  <c r="A23299" i="3"/>
  <c r="A23298" i="3"/>
  <c r="A23297" i="3"/>
  <c r="A23296" i="3"/>
  <c r="A23295" i="3"/>
  <c r="A23294" i="3"/>
  <c r="A23293" i="3"/>
  <c r="A23292" i="3"/>
  <c r="A23291" i="3"/>
  <c r="A23290" i="3"/>
  <c r="A23289" i="3"/>
  <c r="A23288" i="3"/>
  <c r="A23287" i="3"/>
  <c r="A23286" i="3"/>
  <c r="A23285" i="3"/>
  <c r="A23284" i="3"/>
  <c r="A23283" i="3"/>
  <c r="A23282" i="3"/>
  <c r="A23281" i="3"/>
  <c r="A23280" i="3"/>
  <c r="A23279" i="3"/>
  <c r="A23278" i="3"/>
  <c r="A23277" i="3"/>
  <c r="A23276" i="3"/>
  <c r="A23275" i="3"/>
  <c r="A23274" i="3"/>
  <c r="A23273" i="3"/>
  <c r="A23272" i="3"/>
  <c r="A23271" i="3"/>
  <c r="A23270" i="3"/>
  <c r="A23269" i="3"/>
  <c r="A23268" i="3"/>
  <c r="A23267" i="3"/>
  <c r="A23266" i="3"/>
  <c r="A23265" i="3"/>
  <c r="A23264" i="3"/>
  <c r="A23263" i="3"/>
  <c r="A23262" i="3"/>
  <c r="A23261" i="3"/>
  <c r="A23260" i="3"/>
  <c r="A23259" i="3"/>
  <c r="A23258" i="3"/>
  <c r="A23257" i="3"/>
  <c r="A23256" i="3"/>
  <c r="A23255" i="3"/>
  <c r="A23254" i="3"/>
  <c r="A23253" i="3"/>
  <c r="A23252" i="3"/>
  <c r="A23251" i="3"/>
  <c r="A23250" i="3"/>
  <c r="A23249" i="3"/>
  <c r="A23248" i="3"/>
  <c r="A23247" i="3"/>
  <c r="A23246" i="3"/>
  <c r="A23245" i="3"/>
  <c r="A23244" i="3"/>
  <c r="A23243" i="3"/>
  <c r="A23242" i="3"/>
  <c r="A23241" i="3"/>
  <c r="A23240" i="3"/>
  <c r="A23239" i="3"/>
  <c r="A23238" i="3"/>
  <c r="A23237" i="3"/>
  <c r="A23236" i="3"/>
  <c r="A23235" i="3"/>
  <c r="A23234" i="3"/>
  <c r="A23233" i="3"/>
  <c r="A23232" i="3"/>
  <c r="A23231" i="3"/>
  <c r="A23230" i="3"/>
  <c r="A23229" i="3"/>
  <c r="A23228" i="3"/>
  <c r="A23227" i="3"/>
  <c r="A23226" i="3"/>
  <c r="A23225" i="3"/>
  <c r="A23224" i="3"/>
  <c r="A23223" i="3"/>
  <c r="A23222" i="3"/>
  <c r="A23221" i="3"/>
  <c r="A23220" i="3"/>
  <c r="A23219" i="3"/>
  <c r="A23218" i="3"/>
  <c r="A23217" i="3"/>
  <c r="A23216" i="3"/>
  <c r="A23215" i="3"/>
  <c r="A23214" i="3"/>
  <c r="A23213" i="3"/>
  <c r="A23212" i="3"/>
  <c r="A23211" i="3"/>
  <c r="A23210" i="3"/>
  <c r="A23209" i="3"/>
  <c r="A23208" i="3"/>
  <c r="A23207" i="3"/>
  <c r="A23206" i="3"/>
  <c r="A23205" i="3"/>
  <c r="A23204" i="3"/>
  <c r="A23203" i="3"/>
  <c r="A23202" i="3"/>
  <c r="A23201" i="3"/>
  <c r="A23200" i="3"/>
  <c r="A23199" i="3"/>
  <c r="A23198" i="3"/>
  <c r="A23197" i="3"/>
  <c r="A23196" i="3"/>
  <c r="A23195" i="3"/>
  <c r="A23194" i="3"/>
  <c r="A23193" i="3"/>
  <c r="A23192" i="3"/>
  <c r="A23191" i="3"/>
  <c r="A23190" i="3"/>
  <c r="A23189" i="3"/>
  <c r="A23188" i="3"/>
  <c r="A23187" i="3"/>
  <c r="A23186" i="3"/>
  <c r="A23185" i="3"/>
  <c r="A23184" i="3"/>
  <c r="A23183" i="3"/>
  <c r="A23182" i="3"/>
  <c r="A23181" i="3"/>
  <c r="A23180" i="3"/>
  <c r="A23179" i="3"/>
  <c r="A23178" i="3"/>
  <c r="A23177" i="3"/>
  <c r="A23176" i="3"/>
  <c r="A23175" i="3"/>
  <c r="A23174" i="3"/>
  <c r="A23173" i="3"/>
  <c r="A23172" i="3"/>
  <c r="A23171" i="3"/>
  <c r="A23170" i="3"/>
  <c r="A23169" i="3"/>
  <c r="A23168" i="3"/>
  <c r="A23167" i="3"/>
  <c r="A23166" i="3"/>
  <c r="A23165" i="3"/>
  <c r="A23164" i="3"/>
  <c r="A23163" i="3"/>
  <c r="A23162" i="3"/>
  <c r="A23161" i="3"/>
  <c r="A23160" i="3"/>
  <c r="A23159" i="3"/>
  <c r="A23158" i="3"/>
  <c r="A23157" i="3"/>
  <c r="A23156" i="3"/>
  <c r="A23155" i="3"/>
  <c r="A23154" i="3"/>
  <c r="A23153" i="3"/>
  <c r="A23152" i="3"/>
  <c r="A23151" i="3"/>
  <c r="A23150" i="3"/>
  <c r="A23149" i="3"/>
  <c r="A23148" i="3"/>
  <c r="A23147" i="3"/>
  <c r="A23146" i="3"/>
  <c r="A23145" i="3"/>
  <c r="A23144" i="3"/>
  <c r="A23143" i="3"/>
  <c r="A23142" i="3"/>
  <c r="A23141" i="3"/>
  <c r="A23140" i="3"/>
  <c r="A23139" i="3"/>
  <c r="A23138" i="3"/>
  <c r="A23137" i="3"/>
  <c r="A23136" i="3"/>
  <c r="A23135" i="3"/>
  <c r="A23134" i="3"/>
  <c r="A23133" i="3"/>
  <c r="A23132" i="3"/>
  <c r="A23131" i="3"/>
  <c r="A23130" i="3"/>
  <c r="A23129" i="3"/>
  <c r="A23128" i="3"/>
  <c r="A23127" i="3"/>
  <c r="A23126" i="3"/>
  <c r="A23125" i="3"/>
  <c r="A23124" i="3"/>
  <c r="A23123" i="3"/>
  <c r="A23122" i="3"/>
  <c r="A23121" i="3"/>
  <c r="A23120" i="3"/>
  <c r="A23119" i="3"/>
  <c r="A23118" i="3"/>
  <c r="A23117" i="3"/>
  <c r="A23116" i="3"/>
  <c r="A23115" i="3"/>
  <c r="A23114" i="3"/>
  <c r="A23113" i="3"/>
  <c r="A23112" i="3"/>
  <c r="A23111" i="3"/>
  <c r="A23110" i="3"/>
  <c r="A23109" i="3"/>
  <c r="A23108" i="3"/>
  <c r="A23107" i="3"/>
  <c r="A23106" i="3"/>
  <c r="A23105" i="3"/>
  <c r="A23104" i="3"/>
  <c r="A23103" i="3"/>
  <c r="A23102" i="3"/>
  <c r="A23101" i="3"/>
  <c r="A23100" i="3"/>
  <c r="A23099" i="3"/>
  <c r="A23098" i="3"/>
  <c r="A23097" i="3"/>
  <c r="A23096" i="3"/>
  <c r="A23095" i="3"/>
  <c r="A23094" i="3"/>
  <c r="A23093" i="3"/>
  <c r="A23092" i="3"/>
  <c r="A23091" i="3"/>
  <c r="A23090" i="3"/>
  <c r="A23089" i="3"/>
  <c r="A23088" i="3"/>
  <c r="A23087" i="3"/>
  <c r="A23086" i="3"/>
  <c r="A23085" i="3"/>
  <c r="A23084" i="3"/>
  <c r="A23083" i="3"/>
  <c r="A23082" i="3"/>
  <c r="A23081" i="3"/>
  <c r="A23080" i="3"/>
  <c r="A23079" i="3"/>
  <c r="A23078" i="3"/>
  <c r="A23077" i="3"/>
  <c r="A23076" i="3"/>
  <c r="A23075" i="3"/>
  <c r="A23074" i="3"/>
  <c r="A23073" i="3"/>
  <c r="A23072" i="3"/>
  <c r="A23071" i="3"/>
  <c r="A23070" i="3"/>
  <c r="A23069" i="3"/>
  <c r="A23068" i="3"/>
  <c r="A23067" i="3"/>
  <c r="A23066" i="3"/>
  <c r="A23065" i="3"/>
  <c r="A23064" i="3"/>
  <c r="A23063" i="3"/>
  <c r="A23062" i="3"/>
  <c r="A23061" i="3"/>
  <c r="A23060" i="3"/>
  <c r="A23059" i="3"/>
  <c r="A23058" i="3"/>
  <c r="A23057" i="3"/>
  <c r="A23056" i="3"/>
  <c r="A23055" i="3"/>
  <c r="A23054" i="3"/>
  <c r="A23053" i="3"/>
  <c r="A23052" i="3"/>
  <c r="A23051" i="3"/>
  <c r="A23050" i="3"/>
  <c r="A23049" i="3"/>
  <c r="A23048" i="3"/>
  <c r="A23047" i="3"/>
  <c r="A23046" i="3"/>
  <c r="A23045" i="3"/>
  <c r="A23044" i="3"/>
  <c r="A23043" i="3"/>
  <c r="A23042" i="3"/>
  <c r="A23041" i="3"/>
  <c r="A23040" i="3"/>
  <c r="A23039" i="3"/>
  <c r="A23038" i="3"/>
  <c r="A23037" i="3"/>
  <c r="A23036" i="3"/>
  <c r="A23035" i="3"/>
  <c r="A23034" i="3"/>
  <c r="A23033" i="3"/>
  <c r="A23032" i="3"/>
  <c r="A23031" i="3"/>
  <c r="A23030" i="3"/>
  <c r="A23029" i="3"/>
  <c r="A23028" i="3"/>
  <c r="A23027" i="3"/>
  <c r="A23026" i="3"/>
  <c r="A23025" i="3"/>
  <c r="A23024" i="3"/>
  <c r="A23023" i="3"/>
  <c r="A23022" i="3"/>
  <c r="A23021" i="3"/>
  <c r="A23020" i="3"/>
  <c r="A23019" i="3"/>
  <c r="A23018" i="3"/>
  <c r="A23017" i="3"/>
  <c r="A23016" i="3"/>
  <c r="A23015" i="3"/>
  <c r="A23014" i="3"/>
  <c r="A23013" i="3"/>
  <c r="A23012" i="3"/>
  <c r="A23011" i="3"/>
  <c r="A23010" i="3"/>
  <c r="A23009" i="3"/>
  <c r="A23008" i="3"/>
  <c r="A23007" i="3"/>
  <c r="A23006" i="3"/>
  <c r="A23005" i="3"/>
  <c r="A23004" i="3"/>
  <c r="A23003" i="3"/>
  <c r="A23002" i="3"/>
  <c r="A23001" i="3"/>
  <c r="A23000" i="3"/>
  <c r="A22999" i="3"/>
  <c r="A22998" i="3"/>
  <c r="A22997" i="3"/>
  <c r="A22996" i="3"/>
  <c r="A22995" i="3"/>
  <c r="A22994" i="3"/>
  <c r="A22993" i="3"/>
  <c r="A22992" i="3"/>
  <c r="A22991" i="3"/>
  <c r="A22990" i="3"/>
  <c r="A22989" i="3"/>
  <c r="A22988" i="3"/>
  <c r="A22987" i="3"/>
  <c r="A22986" i="3"/>
  <c r="A22985" i="3"/>
  <c r="A22984" i="3"/>
  <c r="A22983" i="3"/>
  <c r="A22982" i="3"/>
  <c r="A22981" i="3"/>
  <c r="A22980" i="3"/>
  <c r="A22979" i="3"/>
  <c r="A22978" i="3"/>
  <c r="A22977" i="3"/>
  <c r="A22976" i="3"/>
  <c r="A22975" i="3"/>
  <c r="A22974" i="3"/>
  <c r="A22973" i="3"/>
  <c r="A22972" i="3"/>
  <c r="A22971" i="3"/>
  <c r="A22970" i="3"/>
  <c r="A22969" i="3"/>
  <c r="A22968" i="3"/>
  <c r="A22967" i="3"/>
  <c r="A22966" i="3"/>
  <c r="A22965" i="3"/>
  <c r="A22964" i="3"/>
  <c r="A22963" i="3"/>
  <c r="A22962" i="3"/>
  <c r="A22961" i="3"/>
  <c r="A22960" i="3"/>
  <c r="A22959" i="3"/>
  <c r="A22958" i="3"/>
  <c r="A22957" i="3"/>
  <c r="A22956" i="3"/>
  <c r="A22955" i="3"/>
  <c r="A22954" i="3"/>
  <c r="A22953" i="3"/>
  <c r="A22952" i="3"/>
  <c r="A22951" i="3"/>
  <c r="A22950" i="3"/>
  <c r="A22949" i="3"/>
  <c r="A22948" i="3"/>
  <c r="A22947" i="3"/>
  <c r="A22946" i="3"/>
  <c r="A22945" i="3"/>
  <c r="A22944" i="3"/>
  <c r="A22943" i="3"/>
  <c r="A22942" i="3"/>
  <c r="A22941" i="3"/>
  <c r="A22940" i="3"/>
  <c r="A22939" i="3"/>
  <c r="A22938" i="3"/>
  <c r="A22937" i="3"/>
  <c r="A22936" i="3"/>
  <c r="A22935" i="3"/>
  <c r="A22934" i="3"/>
  <c r="A22933" i="3"/>
  <c r="A22932" i="3"/>
  <c r="A22931" i="3"/>
  <c r="A22930" i="3"/>
  <c r="A22929" i="3"/>
  <c r="A22928" i="3"/>
  <c r="A22927" i="3"/>
  <c r="A22926" i="3"/>
  <c r="A22925" i="3"/>
  <c r="A22924" i="3"/>
  <c r="A22923" i="3"/>
  <c r="A22922" i="3"/>
  <c r="A22921" i="3"/>
  <c r="A22920" i="3"/>
  <c r="A22919" i="3"/>
  <c r="A22918" i="3"/>
  <c r="A22917" i="3"/>
  <c r="A22916" i="3"/>
  <c r="A22915" i="3"/>
  <c r="A22914" i="3"/>
  <c r="A22913" i="3"/>
  <c r="A22912" i="3"/>
  <c r="A22911" i="3"/>
  <c r="A22910" i="3"/>
  <c r="A22909" i="3"/>
  <c r="A22908" i="3"/>
  <c r="A22907" i="3"/>
  <c r="A22906" i="3"/>
  <c r="A22905" i="3"/>
  <c r="A22904" i="3"/>
  <c r="A22903" i="3"/>
  <c r="A22902" i="3"/>
  <c r="A22901" i="3"/>
  <c r="A22900" i="3"/>
  <c r="A22899" i="3"/>
  <c r="A22898" i="3"/>
  <c r="A22897" i="3"/>
  <c r="A22896" i="3"/>
  <c r="A22895" i="3"/>
  <c r="A22894" i="3"/>
  <c r="A22893" i="3"/>
  <c r="A22892" i="3"/>
  <c r="A22891" i="3"/>
  <c r="A22890" i="3"/>
  <c r="A22889" i="3"/>
  <c r="A22888" i="3"/>
  <c r="A22887" i="3"/>
  <c r="A22886" i="3"/>
  <c r="A22885" i="3"/>
  <c r="A22884" i="3"/>
  <c r="A22883" i="3"/>
  <c r="A22882" i="3"/>
  <c r="A22881" i="3"/>
  <c r="A22880" i="3"/>
  <c r="A22879" i="3"/>
  <c r="A22878" i="3"/>
  <c r="A22877" i="3"/>
  <c r="A22876" i="3"/>
  <c r="A22875" i="3"/>
  <c r="A22874" i="3"/>
  <c r="A22873" i="3"/>
  <c r="A22872" i="3"/>
  <c r="A22871" i="3"/>
  <c r="A22870" i="3"/>
  <c r="A22869" i="3"/>
  <c r="A22868" i="3"/>
  <c r="A22867" i="3"/>
  <c r="A22866" i="3"/>
  <c r="A22865" i="3"/>
  <c r="A22864" i="3"/>
  <c r="A22863" i="3"/>
  <c r="A22862" i="3"/>
  <c r="A22861" i="3"/>
  <c r="A22860" i="3"/>
  <c r="A22859" i="3"/>
  <c r="A22858" i="3"/>
  <c r="A22857" i="3"/>
  <c r="A22856" i="3"/>
  <c r="A22855" i="3"/>
  <c r="A22854" i="3"/>
  <c r="A22853" i="3"/>
  <c r="A22852" i="3"/>
  <c r="A22851" i="3"/>
  <c r="A22850" i="3"/>
  <c r="A22849" i="3"/>
  <c r="A22848" i="3"/>
  <c r="A22847" i="3"/>
  <c r="A22846" i="3"/>
  <c r="A22845" i="3"/>
  <c r="A22844" i="3"/>
  <c r="A22843" i="3"/>
  <c r="A22842" i="3"/>
  <c r="A22841" i="3"/>
  <c r="A22840" i="3"/>
  <c r="A22839" i="3"/>
  <c r="A22838" i="3"/>
  <c r="A22837" i="3"/>
  <c r="A22836" i="3"/>
  <c r="A22835" i="3"/>
  <c r="A22834" i="3"/>
  <c r="A22833" i="3"/>
  <c r="A22832" i="3"/>
  <c r="A22831" i="3"/>
  <c r="A22830" i="3"/>
  <c r="A22829" i="3"/>
  <c r="A22828" i="3"/>
  <c r="A22827" i="3"/>
  <c r="A22826" i="3"/>
  <c r="A22825" i="3"/>
  <c r="A22824" i="3"/>
  <c r="A22823" i="3"/>
  <c r="A22822" i="3"/>
  <c r="A22821" i="3"/>
  <c r="A22820" i="3"/>
  <c r="A22819" i="3"/>
  <c r="A22818" i="3"/>
  <c r="A22817" i="3"/>
  <c r="A22816" i="3"/>
  <c r="A22815" i="3"/>
  <c r="A22814" i="3"/>
  <c r="A22813" i="3"/>
  <c r="A22812" i="3"/>
  <c r="A22811" i="3"/>
  <c r="A22810" i="3"/>
  <c r="A22809" i="3"/>
  <c r="A22808" i="3"/>
  <c r="A22807" i="3"/>
  <c r="A22806" i="3"/>
  <c r="A22805" i="3"/>
  <c r="A22804" i="3"/>
  <c r="A22803" i="3"/>
  <c r="A22802" i="3"/>
  <c r="A22801" i="3"/>
  <c r="A22800" i="3"/>
  <c r="A22799" i="3"/>
  <c r="A22798" i="3"/>
  <c r="A22797" i="3"/>
  <c r="A22796" i="3"/>
  <c r="A22795" i="3"/>
  <c r="A22794" i="3"/>
  <c r="A22793" i="3"/>
  <c r="A22792" i="3"/>
  <c r="A22791" i="3"/>
  <c r="A22790" i="3"/>
  <c r="A22789" i="3"/>
  <c r="A22788" i="3"/>
  <c r="A22787" i="3"/>
  <c r="A22786" i="3"/>
  <c r="A22785" i="3"/>
  <c r="A22784" i="3"/>
  <c r="A22783" i="3"/>
  <c r="A22782" i="3"/>
  <c r="A22781" i="3"/>
  <c r="A22780" i="3"/>
  <c r="A22779" i="3"/>
  <c r="A22778" i="3"/>
  <c r="A22777" i="3"/>
  <c r="A22776" i="3"/>
  <c r="A22775" i="3"/>
  <c r="A22774" i="3"/>
  <c r="A22773" i="3"/>
  <c r="A22772" i="3"/>
  <c r="A22771" i="3"/>
  <c r="A22770" i="3"/>
  <c r="A22769" i="3"/>
  <c r="A22768" i="3"/>
  <c r="A22767" i="3"/>
  <c r="A22766" i="3"/>
  <c r="A22765" i="3"/>
  <c r="A22764" i="3"/>
  <c r="A22763" i="3"/>
  <c r="A22762" i="3"/>
  <c r="A22761" i="3"/>
  <c r="A22760" i="3"/>
  <c r="A22759" i="3"/>
  <c r="A22758" i="3"/>
  <c r="A22757" i="3"/>
  <c r="A22756" i="3"/>
  <c r="A22755" i="3"/>
  <c r="A22754" i="3"/>
  <c r="A22753" i="3"/>
  <c r="A22752" i="3"/>
  <c r="A22751" i="3"/>
  <c r="A22750" i="3"/>
  <c r="A22749" i="3"/>
  <c r="A22748" i="3"/>
  <c r="A22747" i="3"/>
  <c r="A22746" i="3"/>
  <c r="A22745" i="3"/>
  <c r="A22744" i="3"/>
  <c r="A22743" i="3"/>
  <c r="A22742" i="3"/>
  <c r="A22741" i="3"/>
  <c r="A22740" i="3"/>
  <c r="A22739" i="3"/>
  <c r="A22738" i="3"/>
  <c r="A22737" i="3"/>
  <c r="A22736" i="3"/>
  <c r="A22735" i="3"/>
  <c r="A22734" i="3"/>
  <c r="A22733" i="3"/>
  <c r="A22732" i="3"/>
  <c r="A22731" i="3"/>
  <c r="A22730" i="3"/>
  <c r="A22729" i="3"/>
  <c r="A22728" i="3"/>
  <c r="A22727" i="3"/>
  <c r="A22726" i="3"/>
  <c r="A22725" i="3"/>
  <c r="A22724" i="3"/>
  <c r="A22723" i="3"/>
  <c r="A22722" i="3"/>
  <c r="A22721" i="3"/>
  <c r="A22720" i="3"/>
  <c r="A22719" i="3"/>
  <c r="A22718" i="3"/>
  <c r="A22717" i="3"/>
  <c r="A22716" i="3"/>
  <c r="A22715" i="3"/>
  <c r="A22714" i="3"/>
  <c r="A22713" i="3"/>
  <c r="A22712" i="3"/>
  <c r="A22711" i="3"/>
  <c r="A22710" i="3"/>
  <c r="A22709" i="3"/>
  <c r="A22708" i="3"/>
  <c r="A22707" i="3"/>
  <c r="A22706" i="3"/>
  <c r="A22705" i="3"/>
  <c r="A22704" i="3"/>
  <c r="A22703" i="3"/>
  <c r="A22702" i="3"/>
  <c r="A22701" i="3"/>
  <c r="A22700" i="3"/>
  <c r="A22699" i="3"/>
  <c r="A22698" i="3"/>
  <c r="A22697" i="3"/>
  <c r="A22696" i="3"/>
  <c r="A22695" i="3"/>
  <c r="A22694" i="3"/>
  <c r="A22693" i="3"/>
  <c r="A22692" i="3"/>
  <c r="A22691" i="3"/>
  <c r="A22690" i="3"/>
  <c r="A22689" i="3"/>
  <c r="A22688" i="3"/>
  <c r="A22687" i="3"/>
  <c r="A22686" i="3"/>
  <c r="A22685" i="3"/>
  <c r="A22684" i="3"/>
  <c r="A22683" i="3"/>
  <c r="A22682" i="3"/>
  <c r="A22681" i="3"/>
  <c r="A22680" i="3"/>
  <c r="A22679" i="3"/>
  <c r="A22678" i="3"/>
  <c r="A22677" i="3"/>
  <c r="A22676" i="3"/>
  <c r="A22675" i="3"/>
  <c r="A22674" i="3"/>
  <c r="A22673" i="3"/>
  <c r="A22672" i="3"/>
  <c r="A22671" i="3"/>
  <c r="A22670" i="3"/>
  <c r="A22669" i="3"/>
  <c r="A22668" i="3"/>
  <c r="A22667" i="3"/>
  <c r="A22666" i="3"/>
  <c r="A22665" i="3"/>
  <c r="A22664" i="3"/>
  <c r="A22663" i="3"/>
  <c r="A22662" i="3"/>
  <c r="A22661" i="3"/>
  <c r="A22660" i="3"/>
  <c r="A22659" i="3"/>
  <c r="A22658" i="3"/>
  <c r="A22657" i="3"/>
  <c r="A22656" i="3"/>
  <c r="A22655" i="3"/>
  <c r="A22654" i="3"/>
  <c r="A22653" i="3"/>
  <c r="A22652" i="3"/>
  <c r="A22651" i="3"/>
  <c r="A22650" i="3"/>
  <c r="A22649" i="3"/>
  <c r="A22648" i="3"/>
  <c r="A22647" i="3"/>
  <c r="A22646" i="3"/>
  <c r="A22645" i="3"/>
  <c r="A22644" i="3"/>
  <c r="A22643" i="3"/>
  <c r="A22642" i="3"/>
  <c r="A22641" i="3"/>
  <c r="A22640" i="3"/>
  <c r="A22639" i="3"/>
  <c r="A22638" i="3"/>
  <c r="A22637" i="3"/>
  <c r="A22636" i="3"/>
  <c r="A22635" i="3"/>
  <c r="A22634" i="3"/>
  <c r="A22633" i="3"/>
  <c r="A22632" i="3"/>
  <c r="A22631" i="3"/>
  <c r="A22630" i="3"/>
  <c r="A22629" i="3"/>
  <c r="A22628" i="3"/>
  <c r="A22627" i="3"/>
  <c r="A22626" i="3"/>
  <c r="A22625" i="3"/>
  <c r="A22624" i="3"/>
  <c r="A22623" i="3"/>
  <c r="A22622" i="3"/>
  <c r="A22621" i="3"/>
  <c r="A22620" i="3"/>
  <c r="A22619" i="3"/>
  <c r="A22618" i="3"/>
  <c r="A22617" i="3"/>
  <c r="A22616" i="3"/>
  <c r="A22615" i="3"/>
  <c r="A22614" i="3"/>
  <c r="A22613" i="3"/>
  <c r="A22612" i="3"/>
  <c r="A22611" i="3"/>
  <c r="A22610" i="3"/>
  <c r="A22609" i="3"/>
  <c r="A22608" i="3"/>
  <c r="A22607" i="3"/>
  <c r="A22606" i="3"/>
  <c r="A22605" i="3"/>
  <c r="A22604" i="3"/>
  <c r="A22603" i="3"/>
  <c r="A22602" i="3"/>
  <c r="A22601" i="3"/>
  <c r="A22600" i="3"/>
  <c r="A22599" i="3"/>
  <c r="A22598" i="3"/>
  <c r="A22597" i="3"/>
  <c r="A22596" i="3"/>
  <c r="A22595" i="3"/>
  <c r="A22594" i="3"/>
  <c r="A22593" i="3"/>
  <c r="A22592" i="3"/>
  <c r="A22591" i="3"/>
  <c r="A22590" i="3"/>
  <c r="A22589" i="3"/>
  <c r="A22588" i="3"/>
  <c r="A22587" i="3"/>
  <c r="A22586" i="3"/>
  <c r="A22585" i="3"/>
  <c r="A22584" i="3"/>
  <c r="A22583" i="3"/>
  <c r="A22582" i="3"/>
  <c r="A22581" i="3"/>
  <c r="A22580" i="3"/>
  <c r="A22579" i="3"/>
  <c r="A22578" i="3"/>
  <c r="A22577" i="3"/>
  <c r="A22576" i="3"/>
  <c r="A22575" i="3"/>
  <c r="A22574" i="3"/>
  <c r="A22573" i="3"/>
  <c r="A22572" i="3"/>
  <c r="A22571" i="3"/>
  <c r="A22570" i="3"/>
  <c r="A22569" i="3"/>
  <c r="A22568" i="3"/>
  <c r="A22567" i="3"/>
  <c r="A22566" i="3"/>
  <c r="A22565" i="3"/>
  <c r="A22564" i="3"/>
  <c r="A22563" i="3"/>
  <c r="A22562" i="3"/>
  <c r="A22561" i="3"/>
  <c r="A22560" i="3"/>
  <c r="A22559" i="3"/>
  <c r="A22558" i="3"/>
  <c r="A22557" i="3"/>
  <c r="A22556" i="3"/>
  <c r="A22555" i="3"/>
  <c r="A22554" i="3"/>
  <c r="A22553" i="3"/>
  <c r="A22552" i="3"/>
  <c r="A22551" i="3"/>
  <c r="A22550" i="3"/>
  <c r="A22549" i="3"/>
  <c r="A22548" i="3"/>
  <c r="A22547" i="3"/>
  <c r="A22546" i="3"/>
  <c r="A22545" i="3"/>
  <c r="A22544" i="3"/>
  <c r="A22543" i="3"/>
  <c r="A22542" i="3"/>
  <c r="A22541" i="3"/>
  <c r="A22540" i="3"/>
  <c r="A22539" i="3"/>
  <c r="A22538" i="3"/>
  <c r="A22537" i="3"/>
  <c r="A22536" i="3"/>
  <c r="A22535" i="3"/>
  <c r="A22534" i="3"/>
  <c r="A22533" i="3"/>
  <c r="A22532" i="3"/>
  <c r="A22531" i="3"/>
  <c r="A22530" i="3"/>
  <c r="A22529" i="3"/>
  <c r="A22528" i="3"/>
  <c r="A22527" i="3"/>
  <c r="A22526" i="3"/>
  <c r="A22525" i="3"/>
  <c r="A22524" i="3"/>
  <c r="A22523" i="3"/>
  <c r="A22522" i="3"/>
  <c r="A22521" i="3"/>
  <c r="A22520" i="3"/>
  <c r="A22519" i="3"/>
  <c r="A22518" i="3"/>
  <c r="A22517" i="3"/>
  <c r="A22516" i="3"/>
  <c r="A22515" i="3"/>
  <c r="A22514" i="3"/>
  <c r="A22513" i="3"/>
  <c r="A22512" i="3"/>
  <c r="A22511" i="3"/>
  <c r="A22510" i="3"/>
  <c r="A22509" i="3"/>
  <c r="A22508" i="3"/>
  <c r="A22507" i="3"/>
  <c r="A22506" i="3"/>
  <c r="A22505" i="3"/>
  <c r="A22504" i="3"/>
  <c r="A22503" i="3"/>
  <c r="A22502" i="3"/>
  <c r="A22501" i="3"/>
  <c r="A22500" i="3"/>
  <c r="A22499" i="3"/>
  <c r="A22498" i="3"/>
  <c r="A22497" i="3"/>
  <c r="A22496" i="3"/>
  <c r="A22495" i="3"/>
  <c r="A22494" i="3"/>
  <c r="A22493" i="3"/>
  <c r="A22492" i="3"/>
  <c r="A22491" i="3"/>
  <c r="A22490" i="3"/>
  <c r="A22489" i="3"/>
  <c r="A22488" i="3"/>
  <c r="A22487" i="3"/>
  <c r="A22486" i="3"/>
  <c r="A22485" i="3"/>
  <c r="A22484" i="3"/>
  <c r="A22483" i="3"/>
  <c r="A22482" i="3"/>
  <c r="A22481" i="3"/>
  <c r="A22480" i="3"/>
  <c r="A22479" i="3"/>
  <c r="A22478" i="3"/>
  <c r="A22477" i="3"/>
  <c r="A22476" i="3"/>
  <c r="A22475" i="3"/>
  <c r="A22474" i="3"/>
  <c r="A22473" i="3"/>
  <c r="A22472" i="3"/>
  <c r="A22471" i="3"/>
  <c r="A22470" i="3"/>
  <c r="A22469" i="3"/>
  <c r="A22468" i="3"/>
  <c r="A22467" i="3"/>
  <c r="A22466" i="3"/>
  <c r="A22465" i="3"/>
  <c r="A22464" i="3"/>
  <c r="A22463" i="3"/>
  <c r="A22462" i="3"/>
  <c r="A22461" i="3"/>
  <c r="A22460" i="3"/>
  <c r="A22459" i="3"/>
  <c r="A22458" i="3"/>
  <c r="A22457" i="3"/>
  <c r="A22456" i="3"/>
  <c r="A22455" i="3"/>
  <c r="A22454" i="3"/>
  <c r="A22453" i="3"/>
  <c r="A22452" i="3"/>
  <c r="A22451" i="3"/>
  <c r="A22450" i="3"/>
  <c r="A22449" i="3"/>
  <c r="A22448" i="3"/>
  <c r="A22447" i="3"/>
  <c r="A22446" i="3"/>
  <c r="A22445" i="3"/>
  <c r="A22444" i="3"/>
  <c r="A22443" i="3"/>
  <c r="A22442" i="3"/>
  <c r="A22441" i="3"/>
  <c r="A22440" i="3"/>
  <c r="A22439" i="3"/>
  <c r="A22438" i="3"/>
  <c r="A22437" i="3"/>
  <c r="A22436" i="3"/>
  <c r="A22435" i="3"/>
  <c r="A22434" i="3"/>
  <c r="A22433" i="3"/>
  <c r="A22432" i="3"/>
  <c r="A22431" i="3"/>
  <c r="A22430" i="3"/>
  <c r="A22429" i="3"/>
  <c r="A22428" i="3"/>
  <c r="A22427" i="3"/>
  <c r="A22426" i="3"/>
  <c r="A22425" i="3"/>
  <c r="A22424" i="3"/>
  <c r="A22423" i="3"/>
  <c r="A22422" i="3"/>
  <c r="A22421" i="3"/>
  <c r="A22420" i="3"/>
  <c r="A22419" i="3"/>
  <c r="A22418" i="3"/>
  <c r="A22417" i="3"/>
  <c r="A22416" i="3"/>
  <c r="A22415" i="3"/>
  <c r="A22414" i="3"/>
  <c r="A22413" i="3"/>
  <c r="A22412" i="3"/>
  <c r="A22411" i="3"/>
  <c r="A22410" i="3"/>
  <c r="A22409" i="3"/>
  <c r="A22408" i="3"/>
  <c r="A22407" i="3"/>
  <c r="A22406" i="3"/>
  <c r="A22405" i="3"/>
  <c r="A22404" i="3"/>
  <c r="A22403" i="3"/>
  <c r="A22402" i="3"/>
  <c r="A22401" i="3"/>
  <c r="A22400" i="3"/>
  <c r="A22399" i="3"/>
  <c r="A22398" i="3"/>
  <c r="A22397" i="3"/>
  <c r="A22396" i="3"/>
  <c r="A22395" i="3"/>
  <c r="A22394" i="3"/>
  <c r="A22393" i="3"/>
  <c r="A22392" i="3"/>
  <c r="A22391" i="3"/>
  <c r="A22390" i="3"/>
  <c r="A22389" i="3"/>
  <c r="A22388" i="3"/>
  <c r="A22387" i="3"/>
  <c r="A22386" i="3"/>
  <c r="A22385" i="3"/>
  <c r="A22384" i="3"/>
  <c r="A22383" i="3"/>
  <c r="A22382" i="3"/>
  <c r="A22381" i="3"/>
  <c r="A22380" i="3"/>
  <c r="A22379" i="3"/>
  <c r="A22378" i="3"/>
  <c r="A22377" i="3"/>
  <c r="A22376" i="3"/>
  <c r="A22375" i="3"/>
  <c r="A22374" i="3"/>
  <c r="A22373" i="3"/>
  <c r="A22372" i="3"/>
  <c r="A22371" i="3"/>
  <c r="A22370" i="3"/>
  <c r="A22369" i="3"/>
  <c r="A22368" i="3"/>
  <c r="A22367" i="3"/>
  <c r="A22366" i="3"/>
  <c r="A22365" i="3"/>
  <c r="A22364" i="3"/>
  <c r="A22363" i="3"/>
  <c r="A22362" i="3"/>
  <c r="A22361" i="3"/>
  <c r="A22360" i="3"/>
  <c r="A22359" i="3"/>
  <c r="A22358" i="3"/>
  <c r="A22357" i="3"/>
  <c r="A22356" i="3"/>
  <c r="A22355" i="3"/>
  <c r="A22354" i="3"/>
  <c r="A22353" i="3"/>
  <c r="A22352" i="3"/>
  <c r="A22351" i="3"/>
  <c r="A22350" i="3"/>
  <c r="A22349" i="3"/>
  <c r="A22348" i="3"/>
  <c r="A22347" i="3"/>
  <c r="A22346" i="3"/>
  <c r="A22345" i="3"/>
  <c r="A22344" i="3"/>
  <c r="A22343" i="3"/>
  <c r="A22342" i="3"/>
  <c r="A22341" i="3"/>
  <c r="A22340" i="3"/>
  <c r="A22339" i="3"/>
  <c r="A22338" i="3"/>
  <c r="A22337" i="3"/>
  <c r="A22336" i="3"/>
  <c r="A22335" i="3"/>
  <c r="A22334" i="3"/>
  <c r="A22333" i="3"/>
  <c r="A22332" i="3"/>
  <c r="A22331" i="3"/>
  <c r="A22330" i="3"/>
  <c r="A22329" i="3"/>
  <c r="A22328" i="3"/>
  <c r="A22327" i="3"/>
  <c r="A22326" i="3"/>
  <c r="A22325" i="3"/>
  <c r="A22324" i="3"/>
  <c r="A22323" i="3"/>
  <c r="A22322" i="3"/>
  <c r="A22321" i="3"/>
  <c r="A22320" i="3"/>
  <c r="A22319" i="3"/>
  <c r="A22318" i="3"/>
  <c r="A22317" i="3"/>
  <c r="A22316" i="3"/>
  <c r="A22315" i="3"/>
  <c r="A22314" i="3"/>
  <c r="A22313" i="3"/>
  <c r="A22312" i="3"/>
  <c r="A22311" i="3"/>
  <c r="A22310" i="3"/>
  <c r="A22309" i="3"/>
  <c r="A22308" i="3"/>
  <c r="A22307" i="3"/>
  <c r="A22306" i="3"/>
  <c r="A22305" i="3"/>
  <c r="A22304" i="3"/>
  <c r="A22303" i="3"/>
  <c r="A22302" i="3"/>
  <c r="A22301" i="3"/>
  <c r="A22300" i="3"/>
  <c r="A22299" i="3"/>
  <c r="A22298" i="3"/>
  <c r="A22297" i="3"/>
  <c r="A22296" i="3"/>
  <c r="A22295" i="3"/>
  <c r="A22294" i="3"/>
  <c r="A22293" i="3"/>
  <c r="A22292" i="3"/>
  <c r="A22291" i="3"/>
  <c r="A22290" i="3"/>
  <c r="A22289" i="3"/>
  <c r="A22288" i="3"/>
  <c r="A22287" i="3"/>
  <c r="A22286" i="3"/>
  <c r="A22285" i="3"/>
  <c r="A22284" i="3"/>
  <c r="A22283" i="3"/>
  <c r="A22282" i="3"/>
  <c r="A22281" i="3"/>
  <c r="A22280" i="3"/>
  <c r="A22279" i="3"/>
  <c r="A22278" i="3"/>
  <c r="A22277" i="3"/>
  <c r="A22276" i="3"/>
  <c r="A22275" i="3"/>
  <c r="A22274" i="3"/>
  <c r="A22273" i="3"/>
  <c r="A22272" i="3"/>
  <c r="A22271" i="3"/>
  <c r="A22270" i="3"/>
  <c r="A22269" i="3"/>
  <c r="A22268" i="3"/>
  <c r="A22267" i="3"/>
  <c r="A22266" i="3"/>
  <c r="A22265" i="3"/>
  <c r="A22264" i="3"/>
  <c r="A22263" i="3"/>
  <c r="A22262" i="3"/>
  <c r="A22261" i="3"/>
  <c r="A22260" i="3"/>
  <c r="A22259" i="3"/>
  <c r="A22258" i="3"/>
  <c r="A22257" i="3"/>
  <c r="A22256" i="3"/>
  <c r="A22255" i="3"/>
  <c r="A22254" i="3"/>
  <c r="A22253" i="3"/>
  <c r="A22252" i="3"/>
  <c r="A22251" i="3"/>
  <c r="A22250" i="3"/>
  <c r="A22249" i="3"/>
  <c r="A22248" i="3"/>
  <c r="A22247" i="3"/>
  <c r="A22246" i="3"/>
  <c r="A22245" i="3"/>
  <c r="A22244" i="3"/>
  <c r="A22243" i="3"/>
  <c r="A22242" i="3"/>
  <c r="A22241" i="3"/>
  <c r="A22240" i="3"/>
  <c r="A22239" i="3"/>
  <c r="A22238" i="3"/>
  <c r="A22237" i="3"/>
  <c r="A22236" i="3"/>
  <c r="A22235" i="3"/>
  <c r="A22234" i="3"/>
  <c r="A22233" i="3"/>
  <c r="A22232" i="3"/>
  <c r="A22231" i="3"/>
  <c r="A22230" i="3"/>
  <c r="A22229" i="3"/>
  <c r="A22228" i="3"/>
  <c r="A22227" i="3"/>
  <c r="A22226" i="3"/>
  <c r="A22225" i="3"/>
  <c r="A22224" i="3"/>
  <c r="A22223" i="3"/>
  <c r="A22222" i="3"/>
  <c r="A22221" i="3"/>
  <c r="A22220" i="3"/>
  <c r="A22219" i="3"/>
  <c r="A22218" i="3"/>
  <c r="A22217" i="3"/>
  <c r="A22216" i="3"/>
  <c r="A22215" i="3"/>
  <c r="A22214" i="3"/>
  <c r="A22213" i="3"/>
  <c r="A22212" i="3"/>
  <c r="A22211" i="3"/>
  <c r="A22210" i="3"/>
  <c r="A22209" i="3"/>
  <c r="A22208" i="3"/>
  <c r="A22207" i="3"/>
  <c r="A22206" i="3"/>
  <c r="A22205" i="3"/>
  <c r="A22204" i="3"/>
  <c r="A22203" i="3"/>
  <c r="A22202" i="3"/>
  <c r="A22201" i="3"/>
  <c r="A22200" i="3"/>
  <c r="A22199" i="3"/>
  <c r="A22198" i="3"/>
  <c r="A22197" i="3"/>
  <c r="A22196" i="3"/>
  <c r="A22195" i="3"/>
  <c r="A22194" i="3"/>
  <c r="A22193" i="3"/>
  <c r="A22192" i="3"/>
  <c r="A22191" i="3"/>
  <c r="A22190" i="3"/>
  <c r="A22189" i="3"/>
  <c r="A22188" i="3"/>
  <c r="A22187" i="3"/>
  <c r="A22186" i="3"/>
  <c r="A22185" i="3"/>
  <c r="A22184" i="3"/>
  <c r="A22183" i="3"/>
  <c r="A22182" i="3"/>
  <c r="A22181" i="3"/>
  <c r="A22180" i="3"/>
  <c r="A22179" i="3"/>
  <c r="A22178" i="3"/>
  <c r="A22177" i="3"/>
  <c r="A22176" i="3"/>
  <c r="A22175" i="3"/>
  <c r="A22174" i="3"/>
  <c r="A22173" i="3"/>
  <c r="A22172" i="3"/>
  <c r="A22171" i="3"/>
  <c r="A22170" i="3"/>
  <c r="A22169" i="3"/>
  <c r="A22168" i="3"/>
  <c r="A22167" i="3"/>
  <c r="A22166" i="3"/>
  <c r="A22165" i="3"/>
  <c r="A22164" i="3"/>
  <c r="A22163" i="3"/>
  <c r="A22162" i="3"/>
  <c r="A22161" i="3"/>
  <c r="A22160" i="3"/>
  <c r="A22159" i="3"/>
  <c r="A22158" i="3"/>
  <c r="A22157" i="3"/>
  <c r="A22156" i="3"/>
  <c r="A22155" i="3"/>
  <c r="A22154" i="3"/>
  <c r="A22153" i="3"/>
  <c r="A22152" i="3"/>
  <c r="A22151" i="3"/>
  <c r="A22150" i="3"/>
  <c r="A22149" i="3"/>
  <c r="A22148" i="3"/>
  <c r="A22147" i="3"/>
  <c r="A22146" i="3"/>
  <c r="A22145" i="3"/>
  <c r="A22144" i="3"/>
  <c r="A22143" i="3"/>
  <c r="A22142" i="3"/>
  <c r="A22141" i="3"/>
  <c r="A22140" i="3"/>
  <c r="A22139" i="3"/>
  <c r="A22138" i="3"/>
  <c r="A22137" i="3"/>
  <c r="A22136" i="3"/>
  <c r="A22135" i="3"/>
  <c r="A22134" i="3"/>
  <c r="A22133" i="3"/>
  <c r="A22132" i="3"/>
  <c r="A22131" i="3"/>
  <c r="A22130" i="3"/>
  <c r="A22129" i="3"/>
  <c r="A22128" i="3"/>
  <c r="A22127" i="3"/>
  <c r="A22126" i="3"/>
  <c r="A22125" i="3"/>
  <c r="A22124" i="3"/>
  <c r="A22123" i="3"/>
  <c r="A22122" i="3"/>
  <c r="A22121" i="3"/>
  <c r="A22120" i="3"/>
  <c r="A22119" i="3"/>
  <c r="A22118" i="3"/>
  <c r="A22117" i="3"/>
  <c r="A22116" i="3"/>
  <c r="A22115" i="3"/>
  <c r="A22114" i="3"/>
  <c r="A22113" i="3"/>
  <c r="A22112" i="3"/>
  <c r="A22111" i="3"/>
  <c r="A22110" i="3"/>
  <c r="A22109" i="3"/>
  <c r="A22108" i="3"/>
  <c r="A22107" i="3"/>
  <c r="A22106" i="3"/>
  <c r="A22105" i="3"/>
  <c r="A22104" i="3"/>
  <c r="A22103" i="3"/>
  <c r="A22102" i="3"/>
  <c r="A22101" i="3"/>
  <c r="A22100" i="3"/>
  <c r="A22099" i="3"/>
  <c r="A22098" i="3"/>
  <c r="A22097" i="3"/>
  <c r="A22096" i="3"/>
  <c r="A22095" i="3"/>
  <c r="A22094" i="3"/>
  <c r="A22093" i="3"/>
  <c r="A22092" i="3"/>
  <c r="A22091" i="3"/>
  <c r="A22090" i="3"/>
  <c r="A22089" i="3"/>
  <c r="A22088" i="3"/>
  <c r="A22087" i="3"/>
  <c r="A22086" i="3"/>
  <c r="A22085" i="3"/>
  <c r="A22084" i="3"/>
  <c r="A22083" i="3"/>
  <c r="A22082" i="3"/>
  <c r="A22081" i="3"/>
  <c r="A22080" i="3"/>
  <c r="A22079" i="3"/>
  <c r="A22078" i="3"/>
  <c r="A22077" i="3"/>
  <c r="A22076" i="3"/>
  <c r="A22075" i="3"/>
  <c r="A22074" i="3"/>
  <c r="A22073" i="3"/>
  <c r="A22072" i="3"/>
  <c r="A22071" i="3"/>
  <c r="A22070" i="3"/>
  <c r="A22069" i="3"/>
  <c r="A22068" i="3"/>
  <c r="A22067" i="3"/>
  <c r="A22066" i="3"/>
  <c r="A22065" i="3"/>
  <c r="A22064" i="3"/>
  <c r="A22063" i="3"/>
  <c r="A22062" i="3"/>
  <c r="A22061" i="3"/>
  <c r="A22060" i="3"/>
  <c r="A22059" i="3"/>
  <c r="A22058" i="3"/>
  <c r="A22057" i="3"/>
  <c r="A22056" i="3"/>
  <c r="A22055" i="3"/>
  <c r="A22054" i="3"/>
  <c r="A22053" i="3"/>
  <c r="A22052" i="3"/>
  <c r="A22051" i="3"/>
  <c r="A22050" i="3"/>
  <c r="A22049" i="3"/>
  <c r="A22048" i="3"/>
  <c r="A22047" i="3"/>
  <c r="A22046" i="3"/>
  <c r="A22045" i="3"/>
  <c r="A22044" i="3"/>
  <c r="A22043" i="3"/>
  <c r="A22042" i="3"/>
  <c r="A22041" i="3"/>
  <c r="A22040" i="3"/>
  <c r="A22039" i="3"/>
  <c r="A22038" i="3"/>
  <c r="A22037" i="3"/>
  <c r="A22036" i="3"/>
  <c r="A22035" i="3"/>
  <c r="A22034" i="3"/>
  <c r="A22033" i="3"/>
  <c r="A22032" i="3"/>
  <c r="A22031" i="3"/>
  <c r="A22030" i="3"/>
  <c r="A22029" i="3"/>
  <c r="A22028" i="3"/>
  <c r="A22027" i="3"/>
  <c r="A22026" i="3"/>
  <c r="A22025" i="3"/>
  <c r="A22024" i="3"/>
  <c r="A22023" i="3"/>
  <c r="A22022" i="3"/>
  <c r="A22021" i="3"/>
  <c r="A22020" i="3"/>
  <c r="A22019" i="3"/>
  <c r="A22018" i="3"/>
  <c r="A22017" i="3"/>
  <c r="A22016" i="3"/>
  <c r="A22015" i="3"/>
  <c r="A22014" i="3"/>
  <c r="A22013" i="3"/>
  <c r="A22012" i="3"/>
  <c r="A22011" i="3"/>
  <c r="A22010" i="3"/>
  <c r="A22009" i="3"/>
  <c r="A22008" i="3"/>
  <c r="A22007" i="3"/>
  <c r="A22006" i="3"/>
  <c r="A22005" i="3"/>
  <c r="A22004" i="3"/>
  <c r="A22003" i="3"/>
  <c r="A22002" i="3"/>
  <c r="A22001" i="3"/>
  <c r="A22000" i="3"/>
  <c r="A21999" i="3"/>
  <c r="A21998" i="3"/>
  <c r="A21997" i="3"/>
  <c r="A21996" i="3"/>
  <c r="A21995" i="3"/>
  <c r="A21994" i="3"/>
  <c r="A21993" i="3"/>
  <c r="A21992" i="3"/>
  <c r="A21991" i="3"/>
  <c r="A21990" i="3"/>
  <c r="A21989" i="3"/>
  <c r="A21988" i="3"/>
  <c r="A21987" i="3"/>
  <c r="A21986" i="3"/>
  <c r="A21985" i="3"/>
  <c r="A21984" i="3"/>
  <c r="A21983" i="3"/>
  <c r="A21982" i="3"/>
  <c r="A21981" i="3"/>
  <c r="A21980" i="3"/>
  <c r="A21979" i="3"/>
  <c r="A21978" i="3"/>
  <c r="A21977" i="3"/>
  <c r="A21976" i="3"/>
  <c r="A21975" i="3"/>
  <c r="A21974" i="3"/>
  <c r="A21973" i="3"/>
  <c r="A21972" i="3"/>
  <c r="A21971" i="3"/>
  <c r="A21970" i="3"/>
  <c r="A21969" i="3"/>
  <c r="A21968" i="3"/>
  <c r="A21967" i="3"/>
  <c r="A21966" i="3"/>
  <c r="A21965" i="3"/>
  <c r="A21964" i="3"/>
  <c r="A21963" i="3"/>
  <c r="A21962" i="3"/>
  <c r="A21961" i="3"/>
  <c r="A21960" i="3"/>
  <c r="A21959" i="3"/>
  <c r="A21958" i="3"/>
  <c r="A21957" i="3"/>
  <c r="A21956" i="3"/>
  <c r="A21955" i="3"/>
  <c r="A21954" i="3"/>
  <c r="A21953" i="3"/>
  <c r="A21952" i="3"/>
  <c r="A21951" i="3"/>
  <c r="A21950" i="3"/>
  <c r="A21949" i="3"/>
  <c r="A21948" i="3"/>
  <c r="A21947" i="3"/>
  <c r="A21946" i="3"/>
  <c r="A21945" i="3"/>
  <c r="A21944" i="3"/>
  <c r="A21943" i="3"/>
  <c r="A21942" i="3"/>
  <c r="A21941" i="3"/>
  <c r="A21940" i="3"/>
  <c r="A21939" i="3"/>
  <c r="A21938" i="3"/>
  <c r="A21937" i="3"/>
  <c r="A21936" i="3"/>
  <c r="A21935" i="3"/>
  <c r="A21934" i="3"/>
  <c r="A21933" i="3"/>
  <c r="A21932" i="3"/>
  <c r="A21931" i="3"/>
  <c r="A21930" i="3"/>
  <c r="A21929" i="3"/>
  <c r="A21928" i="3"/>
  <c r="A21927" i="3"/>
  <c r="A21926" i="3"/>
  <c r="A21925" i="3"/>
  <c r="A21924" i="3"/>
  <c r="A21923" i="3"/>
  <c r="A21922" i="3"/>
  <c r="A21921" i="3"/>
  <c r="A21920" i="3"/>
  <c r="A21919" i="3"/>
  <c r="A21918" i="3"/>
  <c r="A21917" i="3"/>
  <c r="A21916" i="3"/>
  <c r="A21915" i="3"/>
  <c r="A21914" i="3"/>
  <c r="A21913" i="3"/>
  <c r="A21912" i="3"/>
  <c r="A21911" i="3"/>
  <c r="A21910" i="3"/>
  <c r="A21909" i="3"/>
  <c r="A21908" i="3"/>
  <c r="A21907" i="3"/>
  <c r="A21906" i="3"/>
  <c r="A21905" i="3"/>
  <c r="A21904" i="3"/>
  <c r="A21903" i="3"/>
  <c r="A21902" i="3"/>
  <c r="A21901" i="3"/>
  <c r="A21900" i="3"/>
  <c r="A21899" i="3"/>
  <c r="A21898" i="3"/>
  <c r="A21897" i="3"/>
  <c r="A21896" i="3"/>
  <c r="A21895" i="3"/>
  <c r="A21894" i="3"/>
  <c r="A21893" i="3"/>
  <c r="A21892" i="3"/>
  <c r="A21891" i="3"/>
  <c r="A21890" i="3"/>
  <c r="A21889" i="3"/>
  <c r="A21888" i="3"/>
  <c r="A21887" i="3"/>
  <c r="A21886" i="3"/>
  <c r="A21885" i="3"/>
  <c r="A21884" i="3"/>
  <c r="A21883" i="3"/>
  <c r="A21882" i="3"/>
  <c r="A21881" i="3"/>
  <c r="A21880" i="3"/>
  <c r="A21879" i="3"/>
  <c r="A21878" i="3"/>
  <c r="A21877" i="3"/>
  <c r="A21876" i="3"/>
  <c r="A21875" i="3"/>
  <c r="A21874" i="3"/>
  <c r="A21873" i="3"/>
  <c r="A21872" i="3"/>
  <c r="A21871" i="3"/>
  <c r="A21870" i="3"/>
  <c r="A21869" i="3"/>
  <c r="A21868" i="3"/>
  <c r="A21867" i="3"/>
  <c r="A21866" i="3"/>
  <c r="A21865" i="3"/>
  <c r="A21864" i="3"/>
  <c r="A21863" i="3"/>
  <c r="A21862" i="3"/>
  <c r="A21861" i="3"/>
  <c r="A21860" i="3"/>
  <c r="A21859" i="3"/>
  <c r="A21858" i="3"/>
  <c r="A21857" i="3"/>
  <c r="A21856" i="3"/>
  <c r="A21855" i="3"/>
  <c r="A21854" i="3"/>
  <c r="A21853" i="3"/>
  <c r="A21852" i="3"/>
  <c r="A21851" i="3"/>
  <c r="A21850" i="3"/>
  <c r="A21849" i="3"/>
  <c r="A21848" i="3"/>
  <c r="A21847" i="3"/>
  <c r="A21846" i="3"/>
  <c r="A21845" i="3"/>
  <c r="A21844" i="3"/>
  <c r="A21843" i="3"/>
  <c r="A21842" i="3"/>
  <c r="A21841" i="3"/>
  <c r="A21840" i="3"/>
  <c r="A21839" i="3"/>
  <c r="A21838" i="3"/>
  <c r="A21837" i="3"/>
  <c r="A21836" i="3"/>
  <c r="A21835" i="3"/>
  <c r="A21834" i="3"/>
  <c r="A21833" i="3"/>
  <c r="A21832" i="3"/>
  <c r="A21831" i="3"/>
  <c r="A21830" i="3"/>
  <c r="A21829" i="3"/>
  <c r="A21828" i="3"/>
  <c r="A21827" i="3"/>
  <c r="A21826" i="3"/>
  <c r="A21825" i="3"/>
  <c r="A21824" i="3"/>
  <c r="A21823" i="3"/>
  <c r="A21822" i="3"/>
  <c r="A21821" i="3"/>
  <c r="A21820" i="3"/>
  <c r="A21819" i="3"/>
  <c r="A21818" i="3"/>
  <c r="A21817" i="3"/>
  <c r="A21816" i="3"/>
  <c r="A21815" i="3"/>
  <c r="A21814" i="3"/>
  <c r="A21813" i="3"/>
  <c r="A21812" i="3"/>
  <c r="A21811" i="3"/>
  <c r="A21810" i="3"/>
  <c r="A21809" i="3"/>
  <c r="A21808" i="3"/>
  <c r="A21807" i="3"/>
  <c r="A21806" i="3"/>
  <c r="A21805" i="3"/>
  <c r="A21804" i="3"/>
  <c r="A21803" i="3"/>
  <c r="A21802" i="3"/>
  <c r="A21801" i="3"/>
  <c r="A21800" i="3"/>
  <c r="A21799" i="3"/>
  <c r="A21798" i="3"/>
  <c r="A21797" i="3"/>
  <c r="A21796" i="3"/>
  <c r="A21795" i="3"/>
  <c r="A21794" i="3"/>
  <c r="A21793" i="3"/>
  <c r="A21792" i="3"/>
  <c r="A21791" i="3"/>
  <c r="A21790" i="3"/>
  <c r="A21789" i="3"/>
  <c r="A21788" i="3"/>
  <c r="A21787" i="3"/>
  <c r="A21786" i="3"/>
  <c r="A21785" i="3"/>
  <c r="A21784" i="3"/>
  <c r="A21783" i="3"/>
  <c r="A21782" i="3"/>
  <c r="A21781" i="3"/>
  <c r="A21780" i="3"/>
  <c r="A21779" i="3"/>
  <c r="A21778" i="3"/>
  <c r="A21777" i="3"/>
  <c r="A21776" i="3"/>
  <c r="A21775" i="3"/>
  <c r="A21774" i="3"/>
  <c r="A21773" i="3"/>
  <c r="A21772" i="3"/>
  <c r="A21771" i="3"/>
  <c r="A21770" i="3"/>
  <c r="A21769" i="3"/>
  <c r="A21768" i="3"/>
  <c r="A21767" i="3"/>
  <c r="A21766" i="3"/>
  <c r="A21765" i="3"/>
  <c r="A21764" i="3"/>
  <c r="A21763" i="3"/>
  <c r="A21762" i="3"/>
  <c r="A21761" i="3"/>
  <c r="A21760" i="3"/>
  <c r="A21759" i="3"/>
  <c r="A21758" i="3"/>
  <c r="A21757" i="3"/>
  <c r="A21756" i="3"/>
  <c r="A21755" i="3"/>
  <c r="A21754" i="3"/>
  <c r="A21753" i="3"/>
  <c r="A21752" i="3"/>
  <c r="A21751" i="3"/>
  <c r="A21750" i="3"/>
  <c r="A21749" i="3"/>
  <c r="A21748" i="3"/>
  <c r="A21747" i="3"/>
  <c r="A21746" i="3"/>
  <c r="A21745" i="3"/>
  <c r="A21744" i="3"/>
  <c r="A21743" i="3"/>
  <c r="A21742" i="3"/>
  <c r="A21741" i="3"/>
  <c r="A21740" i="3"/>
  <c r="A21739" i="3"/>
  <c r="A21738" i="3"/>
  <c r="A21737" i="3"/>
  <c r="A21736" i="3"/>
  <c r="A21735" i="3"/>
  <c r="A21734" i="3"/>
  <c r="A21733" i="3"/>
  <c r="A21732" i="3"/>
  <c r="A21731" i="3"/>
  <c r="A21730" i="3"/>
  <c r="A21729" i="3"/>
  <c r="A21728" i="3"/>
  <c r="A21727" i="3"/>
  <c r="A21726" i="3"/>
  <c r="A21725" i="3"/>
  <c r="A21724" i="3"/>
  <c r="A21723" i="3"/>
  <c r="A21722" i="3"/>
  <c r="A21721" i="3"/>
  <c r="A21720" i="3"/>
  <c r="A21719" i="3"/>
  <c r="A21718" i="3"/>
  <c r="A21717" i="3"/>
  <c r="A21716" i="3"/>
  <c r="A21715" i="3"/>
  <c r="A21714" i="3"/>
  <c r="A21713" i="3"/>
  <c r="A21712" i="3"/>
  <c r="A21711" i="3"/>
  <c r="A21710" i="3"/>
  <c r="A21709" i="3"/>
  <c r="A21708" i="3"/>
  <c r="A21707" i="3"/>
  <c r="A21706" i="3"/>
  <c r="A21705" i="3"/>
  <c r="A21704" i="3"/>
  <c r="A21703" i="3"/>
  <c r="A21702" i="3"/>
  <c r="A21701" i="3"/>
  <c r="A21700" i="3"/>
  <c r="A21699" i="3"/>
  <c r="A21698" i="3"/>
  <c r="A21697" i="3"/>
  <c r="A21696" i="3"/>
  <c r="A21695" i="3"/>
  <c r="A21694" i="3"/>
  <c r="A21693" i="3"/>
  <c r="A21692" i="3"/>
  <c r="A21691" i="3"/>
  <c r="A21690" i="3"/>
  <c r="A21689" i="3"/>
  <c r="A21688" i="3"/>
  <c r="A21687" i="3"/>
  <c r="A21686" i="3"/>
  <c r="A21685" i="3"/>
  <c r="A21684" i="3"/>
  <c r="A21683" i="3"/>
  <c r="A21682" i="3"/>
  <c r="A21681" i="3"/>
  <c r="A21680" i="3"/>
  <c r="A21679" i="3"/>
  <c r="A21678" i="3"/>
  <c r="A21677" i="3"/>
  <c r="A21676" i="3"/>
  <c r="A21675" i="3"/>
  <c r="A21674" i="3"/>
  <c r="A21673" i="3"/>
  <c r="A21672" i="3"/>
  <c r="A21671" i="3"/>
  <c r="A21670" i="3"/>
  <c r="A21669" i="3"/>
  <c r="A21668" i="3"/>
  <c r="A21667" i="3"/>
  <c r="A21666" i="3"/>
  <c r="A21665" i="3"/>
  <c r="A21664" i="3"/>
  <c r="A21663" i="3"/>
  <c r="A21662" i="3"/>
  <c r="A21661" i="3"/>
  <c r="A21660" i="3"/>
  <c r="A21659" i="3"/>
  <c r="A21658" i="3"/>
  <c r="A21657" i="3"/>
  <c r="A21656" i="3"/>
  <c r="A21655" i="3"/>
  <c r="A21654" i="3"/>
  <c r="A21653" i="3"/>
  <c r="A21652" i="3"/>
  <c r="A21651" i="3"/>
  <c r="A21650" i="3"/>
  <c r="A21649" i="3"/>
  <c r="A21648" i="3"/>
  <c r="A21647" i="3"/>
  <c r="A21646" i="3"/>
  <c r="A21645" i="3"/>
  <c r="A21644" i="3"/>
  <c r="A21643" i="3"/>
  <c r="A21642" i="3"/>
  <c r="A21641" i="3"/>
  <c r="A21640" i="3"/>
  <c r="A21639" i="3"/>
  <c r="A21638" i="3"/>
  <c r="A21637" i="3"/>
  <c r="A21636" i="3"/>
  <c r="A21635" i="3"/>
  <c r="A21634" i="3"/>
  <c r="A21633" i="3"/>
  <c r="A21632" i="3"/>
  <c r="A21631" i="3"/>
  <c r="A21630" i="3"/>
  <c r="A21629" i="3"/>
  <c r="A21628" i="3"/>
  <c r="A21627" i="3"/>
  <c r="A21626" i="3"/>
  <c r="A21625" i="3"/>
  <c r="A21624" i="3"/>
  <c r="A21623" i="3"/>
  <c r="A21622" i="3"/>
  <c r="A21621" i="3"/>
  <c r="A21620" i="3"/>
  <c r="A21619" i="3"/>
  <c r="A21618" i="3"/>
  <c r="A21617" i="3"/>
  <c r="A21616" i="3"/>
  <c r="A21615" i="3"/>
  <c r="A21614" i="3"/>
  <c r="A21613" i="3"/>
  <c r="A21612" i="3"/>
  <c r="A21611" i="3"/>
  <c r="A21610" i="3"/>
  <c r="A21609" i="3"/>
  <c r="A21608" i="3"/>
  <c r="A21607" i="3"/>
  <c r="A21606" i="3"/>
  <c r="A21605" i="3"/>
  <c r="A21604" i="3"/>
  <c r="A21603" i="3"/>
  <c r="A21602" i="3"/>
  <c r="A21601" i="3"/>
  <c r="A21600" i="3"/>
  <c r="A21599" i="3"/>
  <c r="A21598" i="3"/>
  <c r="A21597" i="3"/>
  <c r="A21596" i="3"/>
  <c r="A21595" i="3"/>
  <c r="A21594" i="3"/>
  <c r="A21593" i="3"/>
  <c r="A21592" i="3"/>
  <c r="A21591" i="3"/>
  <c r="A21590" i="3"/>
  <c r="A21589" i="3"/>
  <c r="A21588" i="3"/>
  <c r="A21587" i="3"/>
  <c r="A21586" i="3"/>
  <c r="A21585" i="3"/>
  <c r="A21584" i="3"/>
  <c r="A21583" i="3"/>
  <c r="A21582" i="3"/>
  <c r="A21581" i="3"/>
  <c r="A21580" i="3"/>
  <c r="A21579" i="3"/>
  <c r="A21578" i="3"/>
  <c r="A21577" i="3"/>
  <c r="A21576" i="3"/>
  <c r="A21575" i="3"/>
  <c r="A21574" i="3"/>
  <c r="A21573" i="3"/>
  <c r="A21572" i="3"/>
  <c r="A21571" i="3"/>
  <c r="A21570" i="3"/>
  <c r="A21569" i="3"/>
  <c r="A21568" i="3"/>
  <c r="A21567" i="3"/>
  <c r="A21566" i="3"/>
  <c r="A21565" i="3"/>
  <c r="A21564" i="3"/>
  <c r="A21563" i="3"/>
  <c r="A21562" i="3"/>
  <c r="A21561" i="3"/>
  <c r="A21560" i="3"/>
  <c r="A21559" i="3"/>
  <c r="A21558" i="3"/>
  <c r="A21557" i="3"/>
  <c r="A21556" i="3"/>
  <c r="A21555" i="3"/>
  <c r="A21554" i="3"/>
  <c r="A21553" i="3"/>
  <c r="A21552" i="3"/>
  <c r="A21551" i="3"/>
  <c r="A21550" i="3"/>
  <c r="A21549" i="3"/>
  <c r="A21548" i="3"/>
  <c r="A21547" i="3"/>
  <c r="A21546" i="3"/>
  <c r="A21545" i="3"/>
  <c r="A21544" i="3"/>
  <c r="A21543" i="3"/>
  <c r="A21542" i="3"/>
  <c r="A21541" i="3"/>
  <c r="A21540" i="3"/>
  <c r="A21539" i="3"/>
  <c r="A21538" i="3"/>
  <c r="A21537" i="3"/>
  <c r="A21536" i="3"/>
  <c r="A21535" i="3"/>
  <c r="A21534" i="3"/>
  <c r="A21533" i="3"/>
  <c r="A21532" i="3"/>
  <c r="A21531" i="3"/>
  <c r="A21530" i="3"/>
  <c r="A21529" i="3"/>
  <c r="A21528" i="3"/>
  <c r="A21527" i="3"/>
  <c r="A21526" i="3"/>
  <c r="A21525" i="3"/>
  <c r="A21524" i="3"/>
  <c r="A21523" i="3"/>
  <c r="A21522" i="3"/>
  <c r="A21521" i="3"/>
  <c r="A21520" i="3"/>
  <c r="A21519" i="3"/>
  <c r="A21518" i="3"/>
  <c r="A21517" i="3"/>
  <c r="A21516" i="3"/>
  <c r="A21515" i="3"/>
  <c r="A21514" i="3"/>
  <c r="A21513" i="3"/>
  <c r="A21512" i="3"/>
  <c r="A21511" i="3"/>
  <c r="A21510" i="3"/>
  <c r="A21509" i="3"/>
  <c r="A21508" i="3"/>
  <c r="A21507" i="3"/>
  <c r="A21506" i="3"/>
  <c r="A21505" i="3"/>
  <c r="A21504" i="3"/>
  <c r="A21503" i="3"/>
  <c r="A21502" i="3"/>
  <c r="A21501" i="3"/>
  <c r="A21500" i="3"/>
  <c r="A21499" i="3"/>
  <c r="A21498" i="3"/>
  <c r="A21497" i="3"/>
  <c r="A21496" i="3"/>
  <c r="A21495" i="3"/>
  <c r="A21494" i="3"/>
  <c r="A21493" i="3"/>
  <c r="A21492" i="3"/>
  <c r="A21491" i="3"/>
  <c r="A21490" i="3"/>
  <c r="A21489" i="3"/>
  <c r="A21488" i="3"/>
  <c r="A21487" i="3"/>
  <c r="A21486" i="3"/>
  <c r="A21485" i="3"/>
  <c r="A21484" i="3"/>
  <c r="A21483" i="3"/>
  <c r="A21482" i="3"/>
  <c r="A21481" i="3"/>
  <c r="A21480" i="3"/>
  <c r="A21479" i="3"/>
  <c r="A21478" i="3"/>
  <c r="A21477" i="3"/>
  <c r="A21476" i="3"/>
  <c r="A21475" i="3"/>
  <c r="A21474" i="3"/>
  <c r="A21473" i="3"/>
  <c r="A21472" i="3"/>
  <c r="A21471" i="3"/>
  <c r="A21470" i="3"/>
  <c r="A21469" i="3"/>
  <c r="A21468" i="3"/>
  <c r="A21467" i="3"/>
  <c r="A21466" i="3"/>
  <c r="A21465" i="3"/>
  <c r="A21464" i="3"/>
  <c r="A21463" i="3"/>
  <c r="A21462" i="3"/>
  <c r="A21461" i="3"/>
  <c r="A21460" i="3"/>
  <c r="A21459" i="3"/>
  <c r="A21458" i="3"/>
  <c r="A21457" i="3"/>
  <c r="A21456" i="3"/>
  <c r="A21455" i="3"/>
  <c r="A21454" i="3"/>
  <c r="A21453" i="3"/>
  <c r="A21452" i="3"/>
  <c r="A21451" i="3"/>
  <c r="A21450" i="3"/>
  <c r="A21449" i="3"/>
  <c r="A21448" i="3"/>
  <c r="A21447" i="3"/>
  <c r="A21446" i="3"/>
  <c r="A21445" i="3"/>
  <c r="A21444" i="3"/>
  <c r="A21443" i="3"/>
  <c r="A21442" i="3"/>
  <c r="A21441" i="3"/>
  <c r="A21440" i="3"/>
  <c r="A21439" i="3"/>
  <c r="A21438" i="3"/>
  <c r="A21437" i="3"/>
  <c r="A21436" i="3"/>
  <c r="A21435" i="3"/>
  <c r="A21434" i="3"/>
  <c r="A21433" i="3"/>
  <c r="A21432" i="3"/>
  <c r="A21431" i="3"/>
  <c r="A21430" i="3"/>
  <c r="A21429" i="3"/>
  <c r="A21428" i="3"/>
  <c r="A21427" i="3"/>
  <c r="A21426" i="3"/>
  <c r="A21425" i="3"/>
  <c r="A21424" i="3"/>
  <c r="A21423" i="3"/>
  <c r="A21422" i="3"/>
  <c r="A21421" i="3"/>
  <c r="A21420" i="3"/>
  <c r="A21419" i="3"/>
  <c r="A21418" i="3"/>
  <c r="A21417" i="3"/>
  <c r="A21416" i="3"/>
  <c r="A21415" i="3"/>
  <c r="A21414" i="3"/>
  <c r="A21413" i="3"/>
  <c r="A21412" i="3"/>
  <c r="A21411" i="3"/>
  <c r="A21410" i="3"/>
  <c r="A21409" i="3"/>
  <c r="A21408" i="3"/>
  <c r="A21407" i="3"/>
  <c r="A21406" i="3"/>
  <c r="A21405" i="3"/>
  <c r="A21404" i="3"/>
  <c r="A21403" i="3"/>
  <c r="A21402" i="3"/>
  <c r="A21401" i="3"/>
  <c r="A21400" i="3"/>
  <c r="A21399" i="3"/>
  <c r="A21398" i="3"/>
  <c r="A21397" i="3"/>
  <c r="A21396" i="3"/>
  <c r="A21395" i="3"/>
  <c r="A21394" i="3"/>
  <c r="A21393" i="3"/>
  <c r="A21392" i="3"/>
  <c r="A21391" i="3"/>
  <c r="A21390" i="3"/>
  <c r="A21389" i="3"/>
  <c r="A21388" i="3"/>
  <c r="A21387" i="3"/>
  <c r="A21386" i="3"/>
  <c r="A21385" i="3"/>
  <c r="A21384" i="3"/>
  <c r="A21383" i="3"/>
  <c r="A21382" i="3"/>
  <c r="A21381" i="3"/>
  <c r="A21380" i="3"/>
  <c r="A21379" i="3"/>
  <c r="A21378" i="3"/>
  <c r="A21377" i="3"/>
  <c r="A21376" i="3"/>
  <c r="A21375" i="3"/>
  <c r="A21374" i="3"/>
  <c r="A21373" i="3"/>
  <c r="A21372" i="3"/>
  <c r="A21371" i="3"/>
  <c r="A21370" i="3"/>
  <c r="A21369" i="3"/>
  <c r="A21368" i="3"/>
  <c r="A21367" i="3"/>
  <c r="A21366" i="3"/>
  <c r="A21365" i="3"/>
  <c r="A21364" i="3"/>
  <c r="A21363" i="3"/>
  <c r="A21362" i="3"/>
  <c r="A21361" i="3"/>
  <c r="A21360" i="3"/>
  <c r="A21359" i="3"/>
  <c r="A21358" i="3"/>
  <c r="A21357" i="3"/>
  <c r="A21356" i="3"/>
  <c r="A21355" i="3"/>
  <c r="A21354" i="3"/>
  <c r="A21353" i="3"/>
  <c r="A21352" i="3"/>
  <c r="A21351" i="3"/>
  <c r="A21350" i="3"/>
  <c r="A21349" i="3"/>
  <c r="A21348" i="3"/>
  <c r="A21347" i="3"/>
  <c r="A21346" i="3"/>
  <c r="A21345" i="3"/>
  <c r="A21344" i="3"/>
  <c r="A21343" i="3"/>
  <c r="A21342" i="3"/>
  <c r="A21341" i="3"/>
  <c r="A21340" i="3"/>
  <c r="A21339" i="3"/>
  <c r="A21338" i="3"/>
  <c r="A21337" i="3"/>
  <c r="A21336" i="3"/>
  <c r="A21335" i="3"/>
  <c r="A21334" i="3"/>
  <c r="A21333" i="3"/>
  <c r="A21332" i="3"/>
  <c r="A21331" i="3"/>
  <c r="A21330" i="3"/>
  <c r="A21329" i="3"/>
  <c r="A21328" i="3"/>
  <c r="A21327" i="3"/>
  <c r="A21326" i="3"/>
  <c r="A21325" i="3"/>
  <c r="A21324" i="3"/>
  <c r="A21323" i="3"/>
  <c r="A21322" i="3"/>
  <c r="A21321" i="3"/>
  <c r="A21320" i="3"/>
  <c r="A21319" i="3"/>
  <c r="A21318" i="3"/>
  <c r="A21317" i="3"/>
  <c r="A21316" i="3"/>
  <c r="A21315" i="3"/>
  <c r="A21314" i="3"/>
  <c r="A21313" i="3"/>
  <c r="A21312" i="3"/>
  <c r="A21311" i="3"/>
  <c r="A21310" i="3"/>
  <c r="A21309" i="3"/>
  <c r="A21308" i="3"/>
  <c r="A21307" i="3"/>
  <c r="A21306" i="3"/>
  <c r="A21305" i="3"/>
  <c r="A21304" i="3"/>
  <c r="A21303" i="3"/>
  <c r="A21302" i="3"/>
  <c r="A21301" i="3"/>
  <c r="A21300" i="3"/>
  <c r="A21299" i="3"/>
  <c r="A21298" i="3"/>
  <c r="A21297" i="3"/>
  <c r="A21296" i="3"/>
  <c r="A21295" i="3"/>
  <c r="A21294" i="3"/>
  <c r="A21293" i="3"/>
  <c r="A21292" i="3"/>
  <c r="A21291" i="3"/>
  <c r="A21290" i="3"/>
  <c r="A21289" i="3"/>
  <c r="A21288" i="3"/>
  <c r="A21287" i="3"/>
  <c r="A21286" i="3"/>
  <c r="A21285" i="3"/>
  <c r="A21284" i="3"/>
  <c r="A21283" i="3"/>
  <c r="A21282" i="3"/>
  <c r="A21281" i="3"/>
  <c r="A21280" i="3"/>
  <c r="A21279" i="3"/>
  <c r="A21278" i="3"/>
  <c r="A21277" i="3"/>
  <c r="A21276" i="3"/>
  <c r="A21275" i="3"/>
  <c r="A21274" i="3"/>
  <c r="A21273" i="3"/>
  <c r="A21272" i="3"/>
  <c r="A21271" i="3"/>
  <c r="A21270" i="3"/>
  <c r="A21269" i="3"/>
  <c r="A21268" i="3"/>
  <c r="A21267" i="3"/>
  <c r="A21266" i="3"/>
  <c r="A21265" i="3"/>
  <c r="A21264" i="3"/>
  <c r="A21263" i="3"/>
  <c r="A21262" i="3"/>
  <c r="A21261" i="3"/>
  <c r="A21260" i="3"/>
  <c r="A21259" i="3"/>
  <c r="A21258" i="3"/>
  <c r="A21257" i="3"/>
  <c r="A21256" i="3"/>
  <c r="A21255" i="3"/>
  <c r="A21254" i="3"/>
  <c r="A21253" i="3"/>
  <c r="A21252" i="3"/>
  <c r="A21251" i="3"/>
  <c r="A21250" i="3"/>
  <c r="A21249" i="3"/>
  <c r="A21248" i="3"/>
  <c r="A21247" i="3"/>
  <c r="A21246" i="3"/>
  <c r="A21245" i="3"/>
  <c r="A21244" i="3"/>
  <c r="A21243" i="3"/>
  <c r="A21242" i="3"/>
  <c r="A21241" i="3"/>
  <c r="A21240" i="3"/>
  <c r="A21239" i="3"/>
  <c r="A21238" i="3"/>
  <c r="A21237" i="3"/>
  <c r="A21236" i="3"/>
  <c r="A21235" i="3"/>
  <c r="A21234" i="3"/>
  <c r="A21233" i="3"/>
  <c r="A21232" i="3"/>
  <c r="A21231" i="3"/>
  <c r="A21230" i="3"/>
  <c r="A21229" i="3"/>
  <c r="A21228" i="3"/>
  <c r="A21227" i="3"/>
  <c r="A21226" i="3"/>
  <c r="A21225" i="3"/>
  <c r="A21224" i="3"/>
  <c r="A21223" i="3"/>
  <c r="A21222" i="3"/>
  <c r="A21221" i="3"/>
  <c r="A21220" i="3"/>
  <c r="A21219" i="3"/>
  <c r="A21218" i="3"/>
  <c r="A21217" i="3"/>
  <c r="A21216" i="3"/>
  <c r="A21215" i="3"/>
  <c r="A21214" i="3"/>
  <c r="A21213" i="3"/>
  <c r="A21212" i="3"/>
  <c r="A21211" i="3"/>
  <c r="A21210" i="3"/>
  <c r="A21209" i="3"/>
  <c r="A21208" i="3"/>
  <c r="A21207" i="3"/>
  <c r="A21206" i="3"/>
  <c r="A21205" i="3"/>
  <c r="A21204" i="3"/>
  <c r="A21203" i="3"/>
  <c r="A21202" i="3"/>
  <c r="A21201" i="3"/>
  <c r="A21200" i="3"/>
  <c r="A21199" i="3"/>
  <c r="A21198" i="3"/>
  <c r="A21197" i="3"/>
  <c r="A21196" i="3"/>
  <c r="A21195" i="3"/>
  <c r="A21194" i="3"/>
  <c r="A21193" i="3"/>
  <c r="A21192" i="3"/>
  <c r="A21191" i="3"/>
  <c r="A21190" i="3"/>
  <c r="A21189" i="3"/>
  <c r="A21188" i="3"/>
  <c r="A21187" i="3"/>
  <c r="A21186" i="3"/>
  <c r="A21185" i="3"/>
  <c r="A21184" i="3"/>
  <c r="A21183" i="3"/>
  <c r="A21182" i="3"/>
  <c r="A21181" i="3"/>
  <c r="A21180" i="3"/>
  <c r="A21179" i="3"/>
  <c r="A21178" i="3"/>
  <c r="A21177" i="3"/>
  <c r="A21176" i="3"/>
  <c r="A21175" i="3"/>
  <c r="A21174" i="3"/>
  <c r="A21173" i="3"/>
  <c r="A21172" i="3"/>
  <c r="A21171" i="3"/>
  <c r="A21170" i="3"/>
  <c r="A21169" i="3"/>
  <c r="A21168" i="3"/>
  <c r="A21167" i="3"/>
  <c r="A21166" i="3"/>
  <c r="A21165" i="3"/>
  <c r="A21164" i="3"/>
  <c r="A21163" i="3"/>
  <c r="A21162" i="3"/>
  <c r="A21161" i="3"/>
  <c r="A21160" i="3"/>
  <c r="A21159" i="3"/>
  <c r="A21158" i="3"/>
  <c r="A21157" i="3"/>
  <c r="A21156" i="3"/>
  <c r="A21155" i="3"/>
  <c r="A21154" i="3"/>
  <c r="A21153" i="3"/>
  <c r="A21152" i="3"/>
  <c r="A21151" i="3"/>
  <c r="A21150" i="3"/>
  <c r="A21149" i="3"/>
  <c r="A21148" i="3"/>
  <c r="A21147" i="3"/>
  <c r="A21146" i="3"/>
  <c r="A21145" i="3"/>
  <c r="A21144" i="3"/>
  <c r="A21143" i="3"/>
  <c r="A21142" i="3"/>
  <c r="A21141" i="3"/>
  <c r="A21140" i="3"/>
  <c r="A21139" i="3"/>
  <c r="A21138" i="3"/>
  <c r="A21137" i="3"/>
  <c r="A21136" i="3"/>
  <c r="A21135" i="3"/>
  <c r="A21134" i="3"/>
  <c r="A21133" i="3"/>
  <c r="A21132" i="3"/>
  <c r="A21131" i="3"/>
  <c r="A21130" i="3"/>
  <c r="A21129" i="3"/>
  <c r="A21128" i="3"/>
  <c r="A21127" i="3"/>
  <c r="A21126" i="3"/>
  <c r="A21125" i="3"/>
  <c r="A21124" i="3"/>
  <c r="A21123" i="3"/>
  <c r="A21122" i="3"/>
  <c r="A21121" i="3"/>
  <c r="A21120" i="3"/>
  <c r="A21119" i="3"/>
  <c r="A21118" i="3"/>
  <c r="A21117" i="3"/>
  <c r="A21116" i="3"/>
  <c r="A21115" i="3"/>
  <c r="A21114" i="3"/>
  <c r="A21113" i="3"/>
  <c r="A21112" i="3"/>
  <c r="A21111" i="3"/>
  <c r="A21110" i="3"/>
  <c r="A21109" i="3"/>
  <c r="A21108" i="3"/>
  <c r="A21107" i="3"/>
  <c r="A21106" i="3"/>
  <c r="A21105" i="3"/>
  <c r="A21104" i="3"/>
  <c r="A21103" i="3"/>
  <c r="A21102" i="3"/>
  <c r="A21101" i="3"/>
  <c r="A21100" i="3"/>
  <c r="A21099" i="3"/>
  <c r="A21098" i="3"/>
  <c r="A21097" i="3"/>
  <c r="A21096" i="3"/>
  <c r="A21095" i="3"/>
  <c r="A21094" i="3"/>
  <c r="A21093" i="3"/>
  <c r="A21092" i="3"/>
  <c r="A21091" i="3"/>
  <c r="A21090" i="3"/>
  <c r="A21089" i="3"/>
  <c r="A21088" i="3"/>
  <c r="A21087" i="3"/>
  <c r="A21086" i="3"/>
  <c r="A21085" i="3"/>
  <c r="A21084" i="3"/>
  <c r="A21083" i="3"/>
  <c r="A21082" i="3"/>
  <c r="A21081" i="3"/>
  <c r="A21080" i="3"/>
  <c r="A21079" i="3"/>
  <c r="A21078" i="3"/>
  <c r="A21077" i="3"/>
  <c r="A21076" i="3"/>
  <c r="A21075" i="3"/>
  <c r="A21074" i="3"/>
  <c r="A21073" i="3"/>
  <c r="A21072" i="3"/>
  <c r="A21071" i="3"/>
  <c r="A21070" i="3"/>
  <c r="A21069" i="3"/>
  <c r="A21068" i="3"/>
  <c r="A21067" i="3"/>
  <c r="A21066" i="3"/>
  <c r="A21065" i="3"/>
  <c r="A21064" i="3"/>
  <c r="A21063" i="3"/>
  <c r="A21062" i="3"/>
  <c r="A21061" i="3"/>
  <c r="A21060" i="3"/>
  <c r="A21059" i="3"/>
  <c r="A21058" i="3"/>
  <c r="A21057" i="3"/>
  <c r="A21056" i="3"/>
  <c r="A21055" i="3"/>
  <c r="A21054" i="3"/>
  <c r="A21053" i="3"/>
  <c r="A21052" i="3"/>
  <c r="A21051" i="3"/>
  <c r="A21050" i="3"/>
  <c r="A21049" i="3"/>
  <c r="A21048" i="3"/>
  <c r="A21047" i="3"/>
  <c r="A21046" i="3"/>
  <c r="A21045" i="3"/>
  <c r="A21044" i="3"/>
  <c r="A21043" i="3"/>
  <c r="A21042" i="3"/>
  <c r="A21041" i="3"/>
  <c r="A21040" i="3"/>
  <c r="A21039" i="3"/>
  <c r="A21038" i="3"/>
  <c r="A21037" i="3"/>
  <c r="A21036" i="3"/>
  <c r="A21035" i="3"/>
  <c r="A21034" i="3"/>
  <c r="A21033" i="3"/>
  <c r="A21032" i="3"/>
  <c r="A21031" i="3"/>
  <c r="A21030" i="3"/>
  <c r="A21029" i="3"/>
  <c r="A21028" i="3"/>
  <c r="A21027" i="3"/>
  <c r="A21026" i="3"/>
  <c r="A21025" i="3"/>
  <c r="A21024" i="3"/>
  <c r="A21023" i="3"/>
  <c r="A21022" i="3"/>
  <c r="A21021" i="3"/>
  <c r="A21020" i="3"/>
  <c r="A21019" i="3"/>
  <c r="A21018" i="3"/>
  <c r="A21017" i="3"/>
  <c r="A21016" i="3"/>
  <c r="A21015" i="3"/>
  <c r="A21014" i="3"/>
  <c r="A21013" i="3"/>
  <c r="A21012" i="3"/>
  <c r="A21011" i="3"/>
  <c r="A21010" i="3"/>
  <c r="A21009" i="3"/>
  <c r="A21008" i="3"/>
  <c r="A21007" i="3"/>
  <c r="A21006" i="3"/>
  <c r="A21005" i="3"/>
  <c r="A21004" i="3"/>
  <c r="A21003" i="3"/>
  <c r="A21002" i="3"/>
  <c r="A21001" i="3"/>
  <c r="A21000" i="3"/>
  <c r="A20999" i="3"/>
  <c r="A20998" i="3"/>
  <c r="A20997" i="3"/>
  <c r="A20996" i="3"/>
  <c r="A20995" i="3"/>
  <c r="A20994" i="3"/>
  <c r="A20993" i="3"/>
  <c r="A20992" i="3"/>
  <c r="A20991" i="3"/>
  <c r="A20990" i="3"/>
  <c r="A20989" i="3"/>
  <c r="A20988" i="3"/>
  <c r="A20987" i="3"/>
  <c r="A20986" i="3"/>
  <c r="A20985" i="3"/>
  <c r="A20984" i="3"/>
  <c r="A20983" i="3"/>
  <c r="A20982" i="3"/>
  <c r="A20981" i="3"/>
  <c r="A20980" i="3"/>
  <c r="A20979" i="3"/>
  <c r="A20978" i="3"/>
  <c r="A20977" i="3"/>
  <c r="A20976" i="3"/>
  <c r="A20975" i="3"/>
  <c r="A20974" i="3"/>
  <c r="A20973" i="3"/>
  <c r="A20972" i="3"/>
  <c r="A20971" i="3"/>
  <c r="A20970" i="3"/>
  <c r="A20969" i="3"/>
  <c r="A20968" i="3"/>
  <c r="A20967" i="3"/>
  <c r="A20966" i="3"/>
  <c r="A20965" i="3"/>
  <c r="A20964" i="3"/>
  <c r="A20963" i="3"/>
  <c r="A20962" i="3"/>
  <c r="A20961" i="3"/>
  <c r="A20960" i="3"/>
  <c r="A20959" i="3"/>
  <c r="A20958" i="3"/>
  <c r="A20957" i="3"/>
  <c r="A20956" i="3"/>
  <c r="A20955" i="3"/>
  <c r="A20954" i="3"/>
  <c r="A20953" i="3"/>
  <c r="A20952" i="3"/>
  <c r="A20951" i="3"/>
  <c r="A20950" i="3"/>
  <c r="A20949" i="3"/>
  <c r="A20948" i="3"/>
  <c r="A20947" i="3"/>
  <c r="A20946" i="3"/>
  <c r="A20945" i="3"/>
  <c r="A20944" i="3"/>
  <c r="A20943" i="3"/>
  <c r="A20942" i="3"/>
  <c r="A20941" i="3"/>
  <c r="A20940" i="3"/>
  <c r="A20939" i="3"/>
  <c r="A20938" i="3"/>
  <c r="A20937" i="3"/>
  <c r="A20936" i="3"/>
  <c r="A20935" i="3"/>
  <c r="A20934" i="3"/>
  <c r="A20933" i="3"/>
  <c r="A20932" i="3"/>
  <c r="A20931" i="3"/>
  <c r="A20930" i="3"/>
  <c r="A20929" i="3"/>
  <c r="A20928" i="3"/>
  <c r="A20927" i="3"/>
  <c r="A20926" i="3"/>
  <c r="A20925" i="3"/>
  <c r="A20924" i="3"/>
  <c r="A20923" i="3"/>
  <c r="A20922" i="3"/>
  <c r="A20921" i="3"/>
  <c r="A20920" i="3"/>
  <c r="A20919" i="3"/>
  <c r="A20918" i="3"/>
  <c r="A20917" i="3"/>
  <c r="A20916" i="3"/>
  <c r="A20915" i="3"/>
  <c r="A20914" i="3"/>
  <c r="A20913" i="3"/>
  <c r="A20912" i="3"/>
  <c r="A20911" i="3"/>
  <c r="A20910" i="3"/>
  <c r="A20909" i="3"/>
  <c r="A20908" i="3"/>
  <c r="A20907" i="3"/>
  <c r="A20906" i="3"/>
  <c r="A20905" i="3"/>
  <c r="A20904" i="3"/>
  <c r="A20903" i="3"/>
  <c r="A20902" i="3"/>
  <c r="A20901" i="3"/>
  <c r="A20900" i="3"/>
  <c r="A20899" i="3"/>
  <c r="A20898" i="3"/>
  <c r="A20897" i="3"/>
  <c r="A20896" i="3"/>
  <c r="A20895" i="3"/>
  <c r="A20894" i="3"/>
  <c r="A20893" i="3"/>
  <c r="A20892" i="3"/>
  <c r="A20891" i="3"/>
  <c r="A20890" i="3"/>
  <c r="A20889" i="3"/>
  <c r="A20888" i="3"/>
  <c r="A20887" i="3"/>
  <c r="A20886" i="3"/>
  <c r="A20885" i="3"/>
  <c r="A20884" i="3"/>
  <c r="A20883" i="3"/>
  <c r="A20882" i="3"/>
  <c r="A20881" i="3"/>
  <c r="A20880" i="3"/>
  <c r="A20879" i="3"/>
  <c r="A20878" i="3"/>
  <c r="A20877" i="3"/>
  <c r="A20876" i="3"/>
  <c r="A20875" i="3"/>
  <c r="A20874" i="3"/>
  <c r="A20873" i="3"/>
  <c r="A20872" i="3"/>
  <c r="A20871" i="3"/>
  <c r="A20870" i="3"/>
  <c r="A20869" i="3"/>
  <c r="A20868" i="3"/>
  <c r="A20867" i="3"/>
  <c r="A20866" i="3"/>
  <c r="A20865" i="3"/>
  <c r="A20864" i="3"/>
  <c r="A20863" i="3"/>
  <c r="A20862" i="3"/>
  <c r="A20861" i="3"/>
  <c r="A20860" i="3"/>
  <c r="A20859" i="3"/>
  <c r="A20858" i="3"/>
  <c r="A20857" i="3"/>
  <c r="A20856" i="3"/>
  <c r="A20855" i="3"/>
  <c r="A20854" i="3"/>
  <c r="A20853" i="3"/>
  <c r="A20852" i="3"/>
  <c r="A20851" i="3"/>
  <c r="A20850" i="3"/>
  <c r="A20849" i="3"/>
  <c r="A20848" i="3"/>
  <c r="A20847" i="3"/>
  <c r="A20846" i="3"/>
  <c r="A20845" i="3"/>
  <c r="A20844" i="3"/>
  <c r="A20843" i="3"/>
  <c r="A20842" i="3"/>
  <c r="A20841" i="3"/>
  <c r="A20840" i="3"/>
  <c r="A20839" i="3"/>
  <c r="A20838" i="3"/>
  <c r="A20837" i="3"/>
  <c r="A20836" i="3"/>
  <c r="A20835" i="3"/>
  <c r="A20834" i="3"/>
  <c r="A20833" i="3"/>
  <c r="A20832" i="3"/>
  <c r="A20831" i="3"/>
  <c r="A20830" i="3"/>
  <c r="A20829" i="3"/>
  <c r="A20828" i="3"/>
  <c r="A20827" i="3"/>
  <c r="A20826" i="3"/>
  <c r="A20825" i="3"/>
  <c r="A20824" i="3"/>
  <c r="A20823" i="3"/>
  <c r="A20822" i="3"/>
  <c r="A20821" i="3"/>
  <c r="A20820" i="3"/>
  <c r="A20819" i="3"/>
  <c r="A20818" i="3"/>
  <c r="A20817" i="3"/>
  <c r="A20816" i="3"/>
  <c r="A20815" i="3"/>
  <c r="A20814" i="3"/>
  <c r="A20813" i="3"/>
  <c r="A20812" i="3"/>
  <c r="A20811" i="3"/>
  <c r="A20810" i="3"/>
  <c r="A20809" i="3"/>
  <c r="A20808" i="3"/>
  <c r="A20807" i="3"/>
  <c r="A20806" i="3"/>
  <c r="A20805" i="3"/>
  <c r="A20804" i="3"/>
  <c r="A20803" i="3"/>
  <c r="A20802" i="3"/>
  <c r="A20801" i="3"/>
  <c r="A20800" i="3"/>
  <c r="A20799" i="3"/>
  <c r="A20798" i="3"/>
  <c r="A20797" i="3"/>
  <c r="A20796" i="3"/>
  <c r="A20795" i="3"/>
  <c r="A20794" i="3"/>
  <c r="A20793" i="3"/>
  <c r="A20792" i="3"/>
  <c r="A20791" i="3"/>
  <c r="A20790" i="3"/>
  <c r="A20789" i="3"/>
  <c r="A20788" i="3"/>
  <c r="A20787" i="3"/>
  <c r="A20786" i="3"/>
  <c r="A20785" i="3"/>
  <c r="A20784" i="3"/>
  <c r="A20783" i="3"/>
  <c r="A20782" i="3"/>
  <c r="A20781" i="3"/>
  <c r="A20780" i="3"/>
  <c r="A20779" i="3"/>
  <c r="A20778" i="3"/>
  <c r="A20777" i="3"/>
  <c r="A20776" i="3"/>
  <c r="A20775" i="3"/>
  <c r="A20774" i="3"/>
  <c r="A20773" i="3"/>
  <c r="A20772" i="3"/>
  <c r="A20771" i="3"/>
  <c r="A20770" i="3"/>
  <c r="A20769" i="3"/>
  <c r="A20768" i="3"/>
  <c r="A20767" i="3"/>
  <c r="A20766" i="3"/>
  <c r="A20765" i="3"/>
  <c r="A20764" i="3"/>
  <c r="A20763" i="3"/>
  <c r="A20762" i="3"/>
  <c r="A20761" i="3"/>
  <c r="A20760" i="3"/>
  <c r="A20759" i="3"/>
  <c r="A20758" i="3"/>
  <c r="A20757" i="3"/>
  <c r="A20756" i="3"/>
  <c r="A20755" i="3"/>
  <c r="A20754" i="3"/>
  <c r="A20753" i="3"/>
  <c r="A20752" i="3"/>
  <c r="A20751" i="3"/>
  <c r="A20750" i="3"/>
  <c r="A20749" i="3"/>
  <c r="A20748" i="3"/>
  <c r="A20747" i="3"/>
  <c r="A20746" i="3"/>
  <c r="A20745" i="3"/>
  <c r="A20744" i="3"/>
  <c r="A20743" i="3"/>
  <c r="A20742" i="3"/>
  <c r="A20741" i="3"/>
  <c r="A20740" i="3"/>
  <c r="A20739" i="3"/>
  <c r="A20738" i="3"/>
  <c r="A20737" i="3"/>
  <c r="A20736" i="3"/>
  <c r="A20735" i="3"/>
  <c r="A20734" i="3"/>
  <c r="A20733" i="3"/>
  <c r="A20732" i="3"/>
  <c r="A20731" i="3"/>
  <c r="A20730" i="3"/>
  <c r="A20729" i="3"/>
  <c r="A20728" i="3"/>
  <c r="A20727" i="3"/>
  <c r="A20726" i="3"/>
  <c r="A20725" i="3"/>
  <c r="A20724" i="3"/>
  <c r="A20723" i="3"/>
  <c r="A20722" i="3"/>
  <c r="A20721" i="3"/>
  <c r="A20720" i="3"/>
  <c r="A20719" i="3"/>
  <c r="A20718" i="3"/>
  <c r="A20717" i="3"/>
  <c r="A20716" i="3"/>
  <c r="A20715" i="3"/>
  <c r="A20714" i="3"/>
  <c r="A20713" i="3"/>
  <c r="A20712" i="3"/>
  <c r="A20711" i="3"/>
  <c r="A20710" i="3"/>
  <c r="A20709" i="3"/>
  <c r="A20708" i="3"/>
  <c r="A20707" i="3"/>
  <c r="A20706" i="3"/>
  <c r="A20705" i="3"/>
  <c r="A20704" i="3"/>
  <c r="A20703" i="3"/>
  <c r="A20702" i="3"/>
  <c r="A20701" i="3"/>
  <c r="A20700" i="3"/>
  <c r="A20699" i="3"/>
  <c r="A20698" i="3"/>
  <c r="A20697" i="3"/>
  <c r="A20696" i="3"/>
  <c r="A20695" i="3"/>
  <c r="A20694" i="3"/>
  <c r="A20693" i="3"/>
  <c r="A20692" i="3"/>
  <c r="A20691" i="3"/>
  <c r="A20690" i="3"/>
  <c r="A20689" i="3"/>
  <c r="A20688" i="3"/>
  <c r="A20687" i="3"/>
  <c r="A20686" i="3"/>
  <c r="A20685" i="3"/>
  <c r="A20684" i="3"/>
  <c r="A20683" i="3"/>
  <c r="A20682" i="3"/>
  <c r="A20681" i="3"/>
  <c r="A20680" i="3"/>
  <c r="A20679" i="3"/>
  <c r="A20678" i="3"/>
  <c r="A20677" i="3"/>
  <c r="A20676" i="3"/>
  <c r="A20675" i="3"/>
  <c r="A20674" i="3"/>
  <c r="A20673" i="3"/>
  <c r="A20672" i="3"/>
  <c r="A20671" i="3"/>
  <c r="A20670" i="3"/>
  <c r="A20669" i="3"/>
  <c r="A20668" i="3"/>
  <c r="A20667" i="3"/>
  <c r="A20666" i="3"/>
  <c r="A20665" i="3"/>
  <c r="A20664" i="3"/>
  <c r="A20663" i="3"/>
  <c r="A20662" i="3"/>
  <c r="A20661" i="3"/>
  <c r="A20660" i="3"/>
  <c r="A20659" i="3"/>
  <c r="A20658" i="3"/>
  <c r="A20657" i="3"/>
  <c r="A20656" i="3"/>
  <c r="A20655" i="3"/>
  <c r="A20654" i="3"/>
  <c r="A20653" i="3"/>
  <c r="A20652" i="3"/>
  <c r="A20651" i="3"/>
  <c r="A20650" i="3"/>
  <c r="A20649" i="3"/>
  <c r="A20648" i="3"/>
  <c r="A20647" i="3"/>
  <c r="A20646" i="3"/>
  <c r="A20645" i="3"/>
  <c r="A20644" i="3"/>
  <c r="A20643" i="3"/>
  <c r="A20642" i="3"/>
  <c r="A20641" i="3"/>
  <c r="A20640" i="3"/>
  <c r="A20639" i="3"/>
  <c r="A20638" i="3"/>
  <c r="A20637" i="3"/>
  <c r="A20636" i="3"/>
  <c r="A20635" i="3"/>
  <c r="A20634" i="3"/>
  <c r="A20633" i="3"/>
  <c r="A20632" i="3"/>
  <c r="A20631" i="3"/>
  <c r="A20630" i="3"/>
  <c r="A20629" i="3"/>
  <c r="A20628" i="3"/>
  <c r="A20627" i="3"/>
  <c r="A20626" i="3"/>
  <c r="A20625" i="3"/>
  <c r="A20624" i="3"/>
  <c r="A20623" i="3"/>
  <c r="A20622" i="3"/>
  <c r="A20621" i="3"/>
  <c r="A20620" i="3"/>
  <c r="A20619" i="3"/>
  <c r="A20618" i="3"/>
  <c r="A20617" i="3"/>
  <c r="A20616" i="3"/>
  <c r="A20615" i="3"/>
  <c r="A20614" i="3"/>
  <c r="A20613" i="3"/>
  <c r="A20612" i="3"/>
  <c r="A20611" i="3"/>
  <c r="A20610" i="3"/>
  <c r="A20609" i="3"/>
  <c r="A20608" i="3"/>
  <c r="A20607" i="3"/>
  <c r="A20606" i="3"/>
  <c r="A20605" i="3"/>
  <c r="A20604" i="3"/>
  <c r="A20603" i="3"/>
  <c r="A20602" i="3"/>
  <c r="A20601" i="3"/>
  <c r="A20600" i="3"/>
  <c r="A20599" i="3"/>
  <c r="A20598" i="3"/>
  <c r="A20597" i="3"/>
  <c r="A20596" i="3"/>
  <c r="A20595" i="3"/>
  <c r="A20594" i="3"/>
  <c r="A20593" i="3"/>
  <c r="A20592" i="3"/>
  <c r="A20591" i="3"/>
  <c r="A20590" i="3"/>
  <c r="A20589" i="3"/>
  <c r="A20588" i="3"/>
  <c r="A20587" i="3"/>
  <c r="A20586" i="3"/>
  <c r="A20585" i="3"/>
  <c r="A20584" i="3"/>
  <c r="A20583" i="3"/>
  <c r="A20582" i="3"/>
  <c r="A20581" i="3"/>
  <c r="A20580" i="3"/>
  <c r="A20579" i="3"/>
  <c r="A20578" i="3"/>
  <c r="A20577" i="3"/>
  <c r="A20576" i="3"/>
  <c r="A20575" i="3"/>
  <c r="A20574" i="3"/>
  <c r="A20573" i="3"/>
  <c r="A20572" i="3"/>
  <c r="A20571" i="3"/>
  <c r="A20570" i="3"/>
  <c r="A20569" i="3"/>
  <c r="A20568" i="3"/>
  <c r="A20567" i="3"/>
  <c r="A20566" i="3"/>
  <c r="A20565" i="3"/>
  <c r="A20564" i="3"/>
  <c r="A20563" i="3"/>
  <c r="A20562" i="3"/>
  <c r="A20561" i="3"/>
  <c r="A20560" i="3"/>
  <c r="A20559" i="3"/>
  <c r="A20558" i="3"/>
  <c r="A20557" i="3"/>
  <c r="A20556" i="3"/>
  <c r="A20555" i="3"/>
  <c r="A20554" i="3"/>
  <c r="A20553" i="3"/>
  <c r="A20552" i="3"/>
  <c r="A20551" i="3"/>
  <c r="A20550" i="3"/>
  <c r="A20549" i="3"/>
  <c r="A20548" i="3"/>
  <c r="A20547" i="3"/>
  <c r="A20546" i="3"/>
  <c r="A20545" i="3"/>
  <c r="A20544" i="3"/>
  <c r="A20543" i="3"/>
  <c r="A20542" i="3"/>
  <c r="A20541" i="3"/>
  <c r="A20540" i="3"/>
  <c r="A20539" i="3"/>
  <c r="A20538" i="3"/>
  <c r="A20537" i="3"/>
  <c r="A20536" i="3"/>
  <c r="A20535" i="3"/>
  <c r="A20534" i="3"/>
  <c r="A20533" i="3"/>
  <c r="A20532" i="3"/>
  <c r="A20531" i="3"/>
  <c r="A20530" i="3"/>
  <c r="A20529" i="3"/>
  <c r="A20528" i="3"/>
  <c r="A20527" i="3"/>
  <c r="A20526" i="3"/>
  <c r="A20525" i="3"/>
  <c r="A20524" i="3"/>
  <c r="A20523" i="3"/>
  <c r="A20522" i="3"/>
  <c r="A20521" i="3"/>
  <c r="A20520" i="3"/>
  <c r="A20519" i="3"/>
  <c r="A20518" i="3"/>
  <c r="A20517" i="3"/>
  <c r="A20516" i="3"/>
  <c r="A20515" i="3"/>
  <c r="A20514" i="3"/>
  <c r="A20513" i="3"/>
  <c r="A20512" i="3"/>
  <c r="A20511" i="3"/>
  <c r="A20510" i="3"/>
  <c r="A20509" i="3"/>
  <c r="A20508" i="3"/>
  <c r="A20507" i="3"/>
  <c r="A20506" i="3"/>
  <c r="A20505" i="3"/>
  <c r="A20504" i="3"/>
  <c r="A20503" i="3"/>
  <c r="A20502" i="3"/>
  <c r="A20501" i="3"/>
  <c r="A20500" i="3"/>
  <c r="A20499" i="3"/>
  <c r="A20498" i="3"/>
  <c r="A20497" i="3"/>
  <c r="A20496" i="3"/>
  <c r="A20495" i="3"/>
  <c r="A20494" i="3"/>
  <c r="A20493" i="3"/>
  <c r="A20492" i="3"/>
  <c r="A20491" i="3"/>
  <c r="A20490" i="3"/>
  <c r="A20489" i="3"/>
  <c r="A20488" i="3"/>
  <c r="A20487" i="3"/>
  <c r="A20486" i="3"/>
  <c r="A20485" i="3"/>
  <c r="A20484" i="3"/>
  <c r="A20483" i="3"/>
  <c r="A20482" i="3"/>
  <c r="A20481" i="3"/>
  <c r="A20480" i="3"/>
  <c r="A20479" i="3"/>
  <c r="A20478" i="3"/>
  <c r="A20477" i="3"/>
  <c r="A20476" i="3"/>
  <c r="A20475" i="3"/>
  <c r="A20474" i="3"/>
  <c r="A20473" i="3"/>
  <c r="A20472" i="3"/>
  <c r="A20471" i="3"/>
  <c r="A20470" i="3"/>
  <c r="A20469" i="3"/>
  <c r="A20468" i="3"/>
  <c r="A20467" i="3"/>
  <c r="A20466" i="3"/>
  <c r="A20465" i="3"/>
  <c r="A20464" i="3"/>
  <c r="A20463" i="3"/>
  <c r="A20462" i="3"/>
  <c r="A20461" i="3"/>
  <c r="A20460" i="3"/>
  <c r="A20459" i="3"/>
  <c r="A20458" i="3"/>
  <c r="A20457" i="3"/>
  <c r="A20456" i="3"/>
  <c r="A20455" i="3"/>
  <c r="A20454" i="3"/>
  <c r="A20453" i="3"/>
  <c r="A20452" i="3"/>
  <c r="A20451" i="3"/>
  <c r="A20450" i="3"/>
  <c r="A20449" i="3"/>
  <c r="A20448" i="3"/>
  <c r="A20447" i="3"/>
  <c r="A20446" i="3"/>
  <c r="A20445" i="3"/>
  <c r="A20444" i="3"/>
  <c r="A20443" i="3"/>
  <c r="A20442" i="3"/>
  <c r="A20441" i="3"/>
  <c r="A20440" i="3"/>
  <c r="A20439" i="3"/>
  <c r="A20438" i="3"/>
  <c r="A20437" i="3"/>
  <c r="A20436" i="3"/>
  <c r="A20435" i="3"/>
  <c r="A20434" i="3"/>
  <c r="A20433" i="3"/>
  <c r="A20432" i="3"/>
  <c r="A20431" i="3"/>
  <c r="A20430" i="3"/>
  <c r="A20429" i="3"/>
  <c r="A20428" i="3"/>
  <c r="A20427" i="3"/>
  <c r="A20426" i="3"/>
  <c r="A20425" i="3"/>
  <c r="A20424" i="3"/>
  <c r="A20423" i="3"/>
  <c r="A20422" i="3"/>
  <c r="A20421" i="3"/>
  <c r="A20420" i="3"/>
  <c r="A20419" i="3"/>
  <c r="A20418" i="3"/>
  <c r="A20417" i="3"/>
  <c r="A20416" i="3"/>
  <c r="A20415" i="3"/>
  <c r="A20414" i="3"/>
  <c r="A20413" i="3"/>
  <c r="A20412" i="3"/>
  <c r="A20411" i="3"/>
  <c r="A20410" i="3"/>
  <c r="A20409" i="3"/>
  <c r="A20408" i="3"/>
  <c r="A20407" i="3"/>
  <c r="A20406" i="3"/>
  <c r="A20405" i="3"/>
  <c r="A20404" i="3"/>
  <c r="A20403" i="3"/>
  <c r="A20402" i="3"/>
  <c r="A20401" i="3"/>
  <c r="A20400" i="3"/>
  <c r="A20399" i="3"/>
  <c r="A20398" i="3"/>
  <c r="A20397" i="3"/>
  <c r="A20396" i="3"/>
  <c r="A20395" i="3"/>
  <c r="A20394" i="3"/>
  <c r="A20393" i="3"/>
  <c r="A20392" i="3"/>
  <c r="A20391" i="3"/>
  <c r="A20390" i="3"/>
  <c r="A20389" i="3"/>
  <c r="A20388" i="3"/>
  <c r="A20387" i="3"/>
  <c r="A20386" i="3"/>
  <c r="A20385" i="3"/>
  <c r="A20384" i="3"/>
  <c r="A20383" i="3"/>
  <c r="A20382" i="3"/>
  <c r="A20381" i="3"/>
  <c r="A20380" i="3"/>
  <c r="A20379" i="3"/>
  <c r="A20378" i="3"/>
  <c r="A20377" i="3"/>
  <c r="A20376" i="3"/>
  <c r="A20375" i="3"/>
  <c r="A20374" i="3"/>
  <c r="A20373" i="3"/>
  <c r="A20372" i="3"/>
  <c r="A20371" i="3"/>
  <c r="A20370" i="3"/>
  <c r="A20369" i="3"/>
  <c r="A20368" i="3"/>
  <c r="A20367" i="3"/>
  <c r="A20366" i="3"/>
  <c r="A20365" i="3"/>
  <c r="A20364" i="3"/>
  <c r="A20363" i="3"/>
  <c r="A20362" i="3"/>
  <c r="A20361" i="3"/>
  <c r="A20360" i="3"/>
  <c r="A20359" i="3"/>
  <c r="A20358" i="3"/>
  <c r="A20357" i="3"/>
  <c r="A20356" i="3"/>
  <c r="A20355" i="3"/>
  <c r="A20354" i="3"/>
  <c r="A20353" i="3"/>
  <c r="A20352" i="3"/>
  <c r="A20351" i="3"/>
  <c r="A20350" i="3"/>
  <c r="A20349" i="3"/>
  <c r="A20348" i="3"/>
  <c r="A20347" i="3"/>
  <c r="A20346" i="3"/>
  <c r="A20345" i="3"/>
  <c r="A20344" i="3"/>
  <c r="A20343" i="3"/>
  <c r="A20342" i="3"/>
  <c r="A20341" i="3"/>
  <c r="A20340" i="3"/>
  <c r="A20339" i="3"/>
  <c r="A20338" i="3"/>
  <c r="A20337" i="3"/>
  <c r="A20336" i="3"/>
  <c r="A20335" i="3"/>
  <c r="A20334" i="3"/>
  <c r="A20333" i="3"/>
  <c r="A20332" i="3"/>
  <c r="A20331" i="3"/>
  <c r="A20330" i="3"/>
  <c r="A20329" i="3"/>
  <c r="A20328" i="3"/>
  <c r="A20327" i="3"/>
  <c r="A20326" i="3"/>
  <c r="A20325" i="3"/>
  <c r="A20324" i="3"/>
  <c r="A20323" i="3"/>
  <c r="A20322" i="3"/>
  <c r="A20321" i="3"/>
  <c r="A20320" i="3"/>
  <c r="A20319" i="3"/>
  <c r="A20318" i="3"/>
  <c r="A20317" i="3"/>
  <c r="A20316" i="3"/>
  <c r="A20315" i="3"/>
  <c r="A20314" i="3"/>
  <c r="A20313" i="3"/>
  <c r="A20312" i="3"/>
  <c r="A20311" i="3"/>
  <c r="A20310" i="3"/>
  <c r="A20309" i="3"/>
  <c r="A20308" i="3"/>
  <c r="A20307" i="3"/>
  <c r="A20306" i="3"/>
  <c r="A20305" i="3"/>
  <c r="A20304" i="3"/>
  <c r="A20303" i="3"/>
  <c r="A20302" i="3"/>
  <c r="A20301" i="3"/>
  <c r="A20300" i="3"/>
  <c r="A20299" i="3"/>
  <c r="A20298" i="3"/>
  <c r="A20297" i="3"/>
  <c r="A20296" i="3"/>
  <c r="A20295" i="3"/>
  <c r="A20294" i="3"/>
  <c r="A20293" i="3"/>
  <c r="A20292" i="3"/>
  <c r="A20291" i="3"/>
  <c r="A20290" i="3"/>
  <c r="A20289" i="3"/>
  <c r="A20288" i="3"/>
  <c r="A20287" i="3"/>
  <c r="A20286" i="3"/>
  <c r="A20285" i="3"/>
  <c r="A20284" i="3"/>
  <c r="A20283" i="3"/>
  <c r="A20282" i="3"/>
  <c r="A20281" i="3"/>
  <c r="A20280" i="3"/>
  <c r="A20279" i="3"/>
  <c r="A20278" i="3"/>
  <c r="A20277" i="3"/>
  <c r="A20276" i="3"/>
  <c r="A20275" i="3"/>
  <c r="A20274" i="3"/>
  <c r="A20273" i="3"/>
  <c r="A20272" i="3"/>
  <c r="A20271" i="3"/>
  <c r="A20270" i="3"/>
  <c r="A20269" i="3"/>
  <c r="A20268" i="3"/>
  <c r="A20267" i="3"/>
  <c r="A20266" i="3"/>
  <c r="A20265" i="3"/>
  <c r="A20264" i="3"/>
  <c r="A20263" i="3"/>
  <c r="A20262" i="3"/>
  <c r="A20261" i="3"/>
  <c r="A20260" i="3"/>
  <c r="A20259" i="3"/>
  <c r="A20258" i="3"/>
  <c r="A20257" i="3"/>
  <c r="A20256" i="3"/>
  <c r="A20255" i="3"/>
  <c r="A20254" i="3"/>
  <c r="A20253" i="3"/>
  <c r="A20252" i="3"/>
  <c r="A20251" i="3"/>
  <c r="A20250" i="3"/>
  <c r="A20249" i="3"/>
  <c r="A20248" i="3"/>
  <c r="A20247" i="3"/>
  <c r="A20246" i="3"/>
  <c r="A20245" i="3"/>
  <c r="A20244" i="3"/>
  <c r="A20243" i="3"/>
  <c r="A20242" i="3"/>
  <c r="A20241" i="3"/>
  <c r="A20240" i="3"/>
  <c r="A20239" i="3"/>
  <c r="A20238" i="3"/>
  <c r="A20237" i="3"/>
  <c r="A20236" i="3"/>
  <c r="A20235" i="3"/>
  <c r="A20234" i="3"/>
  <c r="A20233" i="3"/>
  <c r="A20232" i="3"/>
  <c r="A20231" i="3"/>
  <c r="A20230" i="3"/>
  <c r="A20229" i="3"/>
  <c r="A20228" i="3"/>
  <c r="A20227" i="3"/>
  <c r="A20226" i="3"/>
  <c r="A20225" i="3"/>
  <c r="A20224" i="3"/>
  <c r="A20223" i="3"/>
  <c r="A20222" i="3"/>
  <c r="A20221" i="3"/>
  <c r="A20220" i="3"/>
  <c r="A20219" i="3"/>
  <c r="A20218" i="3"/>
  <c r="A20217" i="3"/>
  <c r="A20216" i="3"/>
  <c r="A20215" i="3"/>
  <c r="A20214" i="3"/>
  <c r="A20213" i="3"/>
  <c r="A20212" i="3"/>
  <c r="A20211" i="3"/>
  <c r="A20210" i="3"/>
  <c r="A20209" i="3"/>
  <c r="A20208" i="3"/>
  <c r="A20207" i="3"/>
  <c r="A20206" i="3"/>
  <c r="A20205" i="3"/>
  <c r="A20204" i="3"/>
  <c r="A20203" i="3"/>
  <c r="A20202" i="3"/>
  <c r="A20201" i="3"/>
  <c r="A20200" i="3"/>
  <c r="A20199" i="3"/>
  <c r="A20198" i="3"/>
  <c r="A20197" i="3"/>
  <c r="A20196" i="3"/>
  <c r="A20195" i="3"/>
  <c r="A20194" i="3"/>
  <c r="A20193" i="3"/>
  <c r="A20192" i="3"/>
  <c r="A20191" i="3"/>
  <c r="A20190" i="3"/>
  <c r="A20189" i="3"/>
  <c r="A20188" i="3"/>
  <c r="A20187" i="3"/>
  <c r="A20186" i="3"/>
  <c r="A20185" i="3"/>
  <c r="A20184" i="3"/>
  <c r="A20183" i="3"/>
  <c r="A20182" i="3"/>
  <c r="A20181" i="3"/>
  <c r="A20180" i="3"/>
  <c r="A20179" i="3"/>
  <c r="A20178" i="3"/>
  <c r="A20177" i="3"/>
  <c r="A20176" i="3"/>
  <c r="A20175" i="3"/>
  <c r="A20174" i="3"/>
  <c r="A20173" i="3"/>
  <c r="A20172" i="3"/>
  <c r="A20171" i="3"/>
  <c r="A20170" i="3"/>
  <c r="A20169" i="3"/>
  <c r="A20168" i="3"/>
  <c r="A20167" i="3"/>
  <c r="A20166" i="3"/>
  <c r="A20165" i="3"/>
  <c r="A20164" i="3"/>
  <c r="A20163" i="3"/>
  <c r="A20162" i="3"/>
  <c r="A20161" i="3"/>
  <c r="A20160" i="3"/>
  <c r="A20159" i="3"/>
  <c r="A20158" i="3"/>
  <c r="A20157" i="3"/>
  <c r="A20156" i="3"/>
  <c r="A20155" i="3"/>
  <c r="A20154" i="3"/>
  <c r="A20153" i="3"/>
  <c r="A20152" i="3"/>
  <c r="A20151" i="3"/>
  <c r="A20150" i="3"/>
  <c r="A20149" i="3"/>
  <c r="A20148" i="3"/>
  <c r="A20147" i="3"/>
  <c r="A20146" i="3"/>
  <c r="A20145" i="3"/>
  <c r="A20144" i="3"/>
  <c r="A20143" i="3"/>
  <c r="A20142" i="3"/>
  <c r="A20141" i="3"/>
  <c r="A20140" i="3"/>
  <c r="A20139" i="3"/>
  <c r="A20138" i="3"/>
  <c r="A20137" i="3"/>
  <c r="A20136" i="3"/>
  <c r="A20135" i="3"/>
  <c r="A20134" i="3"/>
  <c r="A20133" i="3"/>
  <c r="A20132" i="3"/>
  <c r="A20131" i="3"/>
  <c r="A20130" i="3"/>
  <c r="A20129" i="3"/>
  <c r="A20128" i="3"/>
  <c r="A20127" i="3"/>
  <c r="A20126" i="3"/>
  <c r="A20125" i="3"/>
  <c r="A20124" i="3"/>
  <c r="A20123" i="3"/>
  <c r="A20122" i="3"/>
  <c r="A20121" i="3"/>
  <c r="A20120" i="3"/>
  <c r="A20119" i="3"/>
  <c r="A20118" i="3"/>
  <c r="A20117" i="3"/>
  <c r="A20116" i="3"/>
  <c r="A20115" i="3"/>
  <c r="A20114" i="3"/>
  <c r="A20113" i="3"/>
  <c r="A20112" i="3"/>
  <c r="A20111" i="3"/>
  <c r="A20110" i="3"/>
  <c r="A20109" i="3"/>
  <c r="A20108" i="3"/>
  <c r="A20107" i="3"/>
  <c r="A20106" i="3"/>
  <c r="A20105" i="3"/>
  <c r="A20104" i="3"/>
  <c r="A20103" i="3"/>
  <c r="A20102" i="3"/>
  <c r="A20101" i="3"/>
  <c r="A20100" i="3"/>
  <c r="A20099" i="3"/>
  <c r="A20098" i="3"/>
  <c r="A20097" i="3"/>
  <c r="A20096" i="3"/>
  <c r="A20095" i="3"/>
  <c r="A20094" i="3"/>
  <c r="A20093" i="3"/>
  <c r="A20092" i="3"/>
  <c r="A20091" i="3"/>
  <c r="A20090" i="3"/>
  <c r="A20089" i="3"/>
  <c r="A20088" i="3"/>
  <c r="A20087" i="3"/>
  <c r="A20086" i="3"/>
  <c r="A20085" i="3"/>
  <c r="A20084" i="3"/>
  <c r="A20083" i="3"/>
  <c r="A20082" i="3"/>
  <c r="A20081" i="3"/>
  <c r="A20080" i="3"/>
  <c r="A20079" i="3"/>
  <c r="A20078" i="3"/>
  <c r="A20077" i="3"/>
  <c r="A20076" i="3"/>
  <c r="A20075" i="3"/>
  <c r="A20074" i="3"/>
  <c r="A20073" i="3"/>
  <c r="A20072" i="3"/>
  <c r="A20071" i="3"/>
  <c r="A20070" i="3"/>
  <c r="A20069" i="3"/>
  <c r="A20068" i="3"/>
  <c r="A20067" i="3"/>
  <c r="A20066" i="3"/>
  <c r="A20065" i="3"/>
  <c r="A20064" i="3"/>
  <c r="A20063" i="3"/>
  <c r="A20062" i="3"/>
  <c r="A20061" i="3"/>
  <c r="A20060" i="3"/>
  <c r="A20059" i="3"/>
  <c r="A20058" i="3"/>
  <c r="A20057" i="3"/>
  <c r="A20056" i="3"/>
  <c r="A20055" i="3"/>
  <c r="A20054" i="3"/>
  <c r="A20053" i="3"/>
  <c r="A20052" i="3"/>
  <c r="A20051" i="3"/>
  <c r="A20050" i="3"/>
  <c r="A20049" i="3"/>
  <c r="A20048" i="3"/>
  <c r="A20047" i="3"/>
  <c r="A20046" i="3"/>
  <c r="A20045" i="3"/>
  <c r="A20044" i="3"/>
  <c r="A20043" i="3"/>
  <c r="A20042" i="3"/>
  <c r="A20041" i="3"/>
  <c r="A20040" i="3"/>
  <c r="A20039" i="3"/>
  <c r="A20038" i="3"/>
  <c r="A20037" i="3"/>
  <c r="A20036" i="3"/>
  <c r="A20035" i="3"/>
  <c r="A20034" i="3"/>
  <c r="A20033" i="3"/>
  <c r="A20032" i="3"/>
  <c r="A20031" i="3"/>
  <c r="A20030" i="3"/>
  <c r="A20029" i="3"/>
  <c r="A20028" i="3"/>
  <c r="A20027" i="3"/>
  <c r="A20026" i="3"/>
  <c r="A20025" i="3"/>
  <c r="A20024" i="3"/>
  <c r="A20023" i="3"/>
  <c r="A20022" i="3"/>
  <c r="A20021" i="3"/>
  <c r="A20020" i="3"/>
  <c r="A20019" i="3"/>
  <c r="A20018" i="3"/>
  <c r="A20017" i="3"/>
  <c r="A20016" i="3"/>
  <c r="A20015" i="3"/>
  <c r="A20014" i="3"/>
  <c r="A20013" i="3"/>
  <c r="A20012" i="3"/>
  <c r="A20011" i="3"/>
  <c r="A20010" i="3"/>
  <c r="A20009" i="3"/>
  <c r="A20008" i="3"/>
  <c r="A20007" i="3"/>
  <c r="A20006" i="3"/>
  <c r="A20005" i="3"/>
  <c r="A20004" i="3"/>
  <c r="A20003" i="3"/>
  <c r="A20002" i="3"/>
  <c r="A20001" i="3"/>
  <c r="A20000" i="3"/>
  <c r="A19999" i="3"/>
  <c r="A19998" i="3"/>
  <c r="A19997" i="3"/>
  <c r="A19996" i="3"/>
  <c r="A19995" i="3"/>
  <c r="A19994" i="3"/>
  <c r="A19993" i="3"/>
  <c r="A19992" i="3"/>
  <c r="A19991" i="3"/>
  <c r="A19990" i="3"/>
  <c r="A19989" i="3"/>
  <c r="A19988" i="3"/>
  <c r="A19987" i="3"/>
  <c r="A19986" i="3"/>
  <c r="A19985" i="3"/>
  <c r="A19984" i="3"/>
  <c r="A19983" i="3"/>
  <c r="A19982" i="3"/>
  <c r="A19981" i="3"/>
  <c r="A19980" i="3"/>
  <c r="A19979" i="3"/>
  <c r="A19978" i="3"/>
  <c r="A19977" i="3"/>
  <c r="A19976" i="3"/>
  <c r="A19975" i="3"/>
  <c r="A19974" i="3"/>
  <c r="A19973" i="3"/>
  <c r="A19972" i="3"/>
  <c r="A19971" i="3"/>
  <c r="A19970" i="3"/>
  <c r="A19969" i="3"/>
  <c r="A19968" i="3"/>
  <c r="A19967" i="3"/>
  <c r="A19966" i="3"/>
  <c r="A19965" i="3"/>
  <c r="A19964" i="3"/>
  <c r="A19963" i="3"/>
  <c r="A19962" i="3"/>
  <c r="A19961" i="3"/>
  <c r="A19960" i="3"/>
  <c r="A19959" i="3"/>
  <c r="A19958" i="3"/>
  <c r="A19957" i="3"/>
  <c r="A19956" i="3"/>
  <c r="A19955" i="3"/>
  <c r="A19954" i="3"/>
  <c r="A19953" i="3"/>
  <c r="A19952" i="3"/>
  <c r="A19951" i="3"/>
  <c r="A19950" i="3"/>
  <c r="A19949" i="3"/>
  <c r="A19948" i="3"/>
  <c r="A19947" i="3"/>
  <c r="A19946" i="3"/>
  <c r="A19945" i="3"/>
  <c r="A19944" i="3"/>
  <c r="A19943" i="3"/>
  <c r="A19942" i="3"/>
  <c r="A19941" i="3"/>
  <c r="A19940" i="3"/>
  <c r="A19939" i="3"/>
  <c r="A19938" i="3"/>
  <c r="A19937" i="3"/>
  <c r="A19936" i="3"/>
  <c r="A19935" i="3"/>
  <c r="A19934" i="3"/>
  <c r="A19933" i="3"/>
  <c r="A19932" i="3"/>
  <c r="A19931" i="3"/>
  <c r="A19930" i="3"/>
  <c r="A19929" i="3"/>
  <c r="A19928" i="3"/>
  <c r="A19927" i="3"/>
  <c r="A19926" i="3"/>
  <c r="A19925" i="3"/>
  <c r="A19924" i="3"/>
  <c r="A19923" i="3"/>
  <c r="A19922" i="3"/>
  <c r="A19921" i="3"/>
  <c r="A19920" i="3"/>
  <c r="A19919" i="3"/>
  <c r="A19918" i="3"/>
  <c r="A19917" i="3"/>
  <c r="A19916" i="3"/>
  <c r="A19915" i="3"/>
  <c r="A19914" i="3"/>
  <c r="A19913" i="3"/>
  <c r="A19912" i="3"/>
  <c r="A19911" i="3"/>
  <c r="A19910" i="3"/>
  <c r="A19909" i="3"/>
  <c r="A19908" i="3"/>
  <c r="A19907" i="3"/>
  <c r="A19906" i="3"/>
  <c r="A19905" i="3"/>
  <c r="A19904" i="3"/>
  <c r="A19903" i="3"/>
  <c r="A19902" i="3"/>
  <c r="A19901" i="3"/>
  <c r="A19900" i="3"/>
  <c r="A19899" i="3"/>
  <c r="A19898" i="3"/>
  <c r="A19897" i="3"/>
  <c r="A19896" i="3"/>
  <c r="A19895" i="3"/>
  <c r="A19894" i="3"/>
  <c r="A19893" i="3"/>
  <c r="A19892" i="3"/>
  <c r="A19891" i="3"/>
  <c r="A19890" i="3"/>
  <c r="A19889" i="3"/>
  <c r="A19888" i="3"/>
  <c r="A19887" i="3"/>
  <c r="A19886" i="3"/>
  <c r="A19885" i="3"/>
  <c r="A19884" i="3"/>
  <c r="A19883" i="3"/>
  <c r="A19882" i="3"/>
  <c r="A19881" i="3"/>
  <c r="A19880" i="3"/>
  <c r="A19879" i="3"/>
  <c r="A19878" i="3"/>
  <c r="A19877" i="3"/>
  <c r="A19876" i="3"/>
  <c r="A19875" i="3"/>
  <c r="A19874" i="3"/>
  <c r="A19873" i="3"/>
  <c r="A19872" i="3"/>
  <c r="A19871" i="3"/>
  <c r="A19870" i="3"/>
  <c r="A19869" i="3"/>
  <c r="A19868" i="3"/>
  <c r="A19867" i="3"/>
  <c r="A19866" i="3"/>
  <c r="A19865" i="3"/>
  <c r="A19864" i="3"/>
  <c r="A19863" i="3"/>
  <c r="A19862" i="3"/>
  <c r="A19861" i="3"/>
  <c r="A19860" i="3"/>
  <c r="A19859" i="3"/>
  <c r="A19858" i="3"/>
  <c r="A19857" i="3"/>
  <c r="A19856" i="3"/>
  <c r="A19855" i="3"/>
  <c r="A19854" i="3"/>
  <c r="A19853" i="3"/>
  <c r="A19852" i="3"/>
  <c r="A19851" i="3"/>
  <c r="A19850" i="3"/>
  <c r="A19849" i="3"/>
  <c r="A19848" i="3"/>
  <c r="A19847" i="3"/>
  <c r="A19846" i="3"/>
  <c r="A19845" i="3"/>
  <c r="A19844" i="3"/>
  <c r="A19843" i="3"/>
  <c r="A19842" i="3"/>
  <c r="A19841" i="3"/>
  <c r="A19840" i="3"/>
  <c r="A19839" i="3"/>
  <c r="A19838" i="3"/>
  <c r="A19837" i="3"/>
  <c r="A19836" i="3"/>
  <c r="A19835" i="3"/>
  <c r="A19834" i="3"/>
  <c r="A19833" i="3"/>
  <c r="A19832" i="3"/>
  <c r="A19831" i="3"/>
  <c r="A19830" i="3"/>
  <c r="A19829" i="3"/>
  <c r="A19828" i="3"/>
  <c r="A19827" i="3"/>
  <c r="A19826" i="3"/>
  <c r="A19825" i="3"/>
  <c r="A19824" i="3"/>
  <c r="A19823" i="3"/>
  <c r="A19822" i="3"/>
  <c r="A19821" i="3"/>
  <c r="A19820" i="3"/>
  <c r="A19819" i="3"/>
  <c r="A19818" i="3"/>
  <c r="A19817" i="3"/>
  <c r="A19816" i="3"/>
  <c r="A19815" i="3"/>
  <c r="A19814" i="3"/>
  <c r="A19813" i="3"/>
  <c r="A19812" i="3"/>
  <c r="A19811" i="3"/>
  <c r="A19810" i="3"/>
  <c r="A19809" i="3"/>
  <c r="A19808" i="3"/>
  <c r="A19807" i="3"/>
  <c r="A19806" i="3"/>
  <c r="A19805" i="3"/>
  <c r="A19804" i="3"/>
  <c r="A19803" i="3"/>
  <c r="A19802" i="3"/>
  <c r="A19801" i="3"/>
  <c r="A19800" i="3"/>
  <c r="A19799" i="3"/>
  <c r="A19798" i="3"/>
  <c r="A19797" i="3"/>
  <c r="A19796" i="3"/>
  <c r="A19795" i="3"/>
  <c r="A19794" i="3"/>
  <c r="A19793" i="3"/>
  <c r="A19792" i="3"/>
  <c r="A19791" i="3"/>
  <c r="A19790" i="3"/>
  <c r="A19789" i="3"/>
  <c r="A19788" i="3"/>
  <c r="A19787" i="3"/>
  <c r="A19786" i="3"/>
  <c r="A19785" i="3"/>
  <c r="A19784" i="3"/>
  <c r="A19783" i="3"/>
  <c r="A19782" i="3"/>
  <c r="A19781" i="3"/>
  <c r="A19780" i="3"/>
  <c r="A19779" i="3"/>
  <c r="A19778" i="3"/>
  <c r="A19777" i="3"/>
  <c r="A19776" i="3"/>
  <c r="A19775" i="3"/>
  <c r="A19774" i="3"/>
  <c r="A19773" i="3"/>
  <c r="A19772" i="3"/>
  <c r="A19771" i="3"/>
  <c r="A19770" i="3"/>
  <c r="A19769" i="3"/>
  <c r="A19768" i="3"/>
  <c r="A19767" i="3"/>
  <c r="A19766" i="3"/>
  <c r="A19765" i="3"/>
  <c r="A19764" i="3"/>
  <c r="A19763" i="3"/>
  <c r="A19762" i="3"/>
  <c r="A19761" i="3"/>
  <c r="A19760" i="3"/>
  <c r="A19759" i="3"/>
  <c r="A19758" i="3"/>
  <c r="A19757" i="3"/>
  <c r="A19756" i="3"/>
  <c r="A19755" i="3"/>
  <c r="A19754" i="3"/>
  <c r="A19753" i="3"/>
  <c r="A19752" i="3"/>
  <c r="A19751" i="3"/>
  <c r="A19750" i="3"/>
  <c r="A19749" i="3"/>
  <c r="A19748" i="3"/>
  <c r="A19747" i="3"/>
  <c r="A19746" i="3"/>
  <c r="A19745" i="3"/>
  <c r="A19744" i="3"/>
  <c r="A19743" i="3"/>
  <c r="A19742" i="3"/>
  <c r="A19741" i="3"/>
  <c r="A19740" i="3"/>
  <c r="A19739" i="3"/>
  <c r="A19738" i="3"/>
  <c r="A19737" i="3"/>
  <c r="A19736" i="3"/>
  <c r="A19735" i="3"/>
  <c r="A19734" i="3"/>
  <c r="A19733" i="3"/>
  <c r="A19732" i="3"/>
  <c r="A19731" i="3"/>
  <c r="A19730" i="3"/>
  <c r="A19729" i="3"/>
  <c r="A19728" i="3"/>
  <c r="A19727" i="3"/>
  <c r="A19726" i="3"/>
  <c r="A19725" i="3"/>
  <c r="A19724" i="3"/>
  <c r="A19723" i="3"/>
  <c r="A19722" i="3"/>
  <c r="A19721" i="3"/>
  <c r="A19720" i="3"/>
  <c r="A19719" i="3"/>
  <c r="A19718" i="3"/>
  <c r="A19717" i="3"/>
  <c r="A19716" i="3"/>
  <c r="A19715" i="3"/>
  <c r="A19714" i="3"/>
  <c r="A19713" i="3"/>
  <c r="A19712" i="3"/>
  <c r="A19711" i="3"/>
  <c r="A19710" i="3"/>
  <c r="A19709" i="3"/>
  <c r="A19708" i="3"/>
  <c r="A19707" i="3"/>
  <c r="A19706" i="3"/>
  <c r="A19705" i="3"/>
  <c r="A19704" i="3"/>
  <c r="A19703" i="3"/>
  <c r="A19702" i="3"/>
  <c r="A19701" i="3"/>
  <c r="A19700" i="3"/>
  <c r="A19699" i="3"/>
  <c r="A19698" i="3"/>
  <c r="A19697" i="3"/>
  <c r="A19696" i="3"/>
  <c r="A19695" i="3"/>
  <c r="A19694" i="3"/>
  <c r="A19693" i="3"/>
  <c r="A19692" i="3"/>
  <c r="A19691" i="3"/>
  <c r="A19690" i="3"/>
  <c r="A19689" i="3"/>
  <c r="A19688" i="3"/>
  <c r="A19687" i="3"/>
  <c r="A19686" i="3"/>
  <c r="A19685" i="3"/>
  <c r="A19684" i="3"/>
  <c r="A19683" i="3"/>
  <c r="A19682" i="3"/>
  <c r="A19681" i="3"/>
  <c r="A19680" i="3"/>
  <c r="A19679" i="3"/>
  <c r="A19678" i="3"/>
  <c r="A19677" i="3"/>
  <c r="A19676" i="3"/>
  <c r="A19675" i="3"/>
  <c r="A19674" i="3"/>
  <c r="A19673" i="3"/>
  <c r="A19672" i="3"/>
  <c r="A19671" i="3"/>
  <c r="A19670" i="3"/>
  <c r="A19669" i="3"/>
  <c r="A19668" i="3"/>
  <c r="A19667" i="3"/>
  <c r="A19666" i="3"/>
  <c r="A19665" i="3"/>
  <c r="A19664" i="3"/>
  <c r="A19663" i="3"/>
  <c r="A19662" i="3"/>
  <c r="A19661" i="3"/>
  <c r="A19660" i="3"/>
  <c r="A19659" i="3"/>
  <c r="A19658" i="3"/>
  <c r="A19657" i="3"/>
  <c r="A19656" i="3"/>
  <c r="A19655" i="3"/>
  <c r="A19654" i="3"/>
  <c r="A19653" i="3"/>
  <c r="A19652" i="3"/>
  <c r="A19651" i="3"/>
  <c r="A19650" i="3"/>
  <c r="A19649" i="3"/>
  <c r="A19648" i="3"/>
  <c r="A19647" i="3"/>
  <c r="A19646" i="3"/>
  <c r="A19645" i="3"/>
  <c r="A19644" i="3"/>
  <c r="A19643" i="3"/>
  <c r="A19642" i="3"/>
  <c r="A19641" i="3"/>
  <c r="A19640" i="3"/>
  <c r="A19639" i="3"/>
  <c r="A19638" i="3"/>
  <c r="A19637" i="3"/>
  <c r="A19636" i="3"/>
  <c r="A19635" i="3"/>
  <c r="A19634" i="3"/>
  <c r="A19633" i="3"/>
  <c r="A19632" i="3"/>
  <c r="A19631" i="3"/>
  <c r="A19630" i="3"/>
  <c r="A19629" i="3"/>
  <c r="A19628" i="3"/>
  <c r="A19627" i="3"/>
  <c r="A19626" i="3"/>
  <c r="A19625" i="3"/>
  <c r="A19624" i="3"/>
  <c r="A19623" i="3"/>
  <c r="A19622" i="3"/>
  <c r="A19621" i="3"/>
  <c r="A19620" i="3"/>
  <c r="A19619" i="3"/>
  <c r="A19618" i="3"/>
  <c r="A19617" i="3"/>
  <c r="A19616" i="3"/>
  <c r="A19615" i="3"/>
  <c r="A19614" i="3"/>
  <c r="A19613" i="3"/>
  <c r="A19612" i="3"/>
  <c r="A19611" i="3"/>
  <c r="A19610" i="3"/>
  <c r="A19609" i="3"/>
  <c r="A19608" i="3"/>
  <c r="A19607" i="3"/>
  <c r="A19606" i="3"/>
  <c r="A19605" i="3"/>
  <c r="A19604" i="3"/>
  <c r="A19603" i="3"/>
  <c r="A19602" i="3"/>
  <c r="A19601" i="3"/>
  <c r="A19600" i="3"/>
  <c r="A19599" i="3"/>
  <c r="A19598" i="3"/>
  <c r="A19597" i="3"/>
  <c r="A19596" i="3"/>
  <c r="A19595" i="3"/>
  <c r="A19594" i="3"/>
  <c r="A19593" i="3"/>
  <c r="A19592" i="3"/>
  <c r="A19591" i="3"/>
  <c r="A19590" i="3"/>
  <c r="A19589" i="3"/>
  <c r="A19588" i="3"/>
  <c r="A19587" i="3"/>
  <c r="A19586" i="3"/>
  <c r="A19585" i="3"/>
  <c r="A19584" i="3"/>
  <c r="A19583" i="3"/>
  <c r="A19582" i="3"/>
  <c r="A19581" i="3"/>
  <c r="A19580" i="3"/>
  <c r="A19579" i="3"/>
  <c r="A19578" i="3"/>
  <c r="A19577" i="3"/>
  <c r="A19576" i="3"/>
  <c r="A19575" i="3"/>
  <c r="A19574" i="3"/>
  <c r="A19573" i="3"/>
  <c r="A19572" i="3"/>
  <c r="A19571" i="3"/>
  <c r="A19570" i="3"/>
  <c r="A19569" i="3"/>
  <c r="A19568" i="3"/>
  <c r="A19567" i="3"/>
  <c r="A19566" i="3"/>
  <c r="A19565" i="3"/>
  <c r="A19564" i="3"/>
  <c r="A19563" i="3"/>
  <c r="A19562" i="3"/>
  <c r="A19561" i="3"/>
  <c r="A19560" i="3"/>
  <c r="A19559" i="3"/>
  <c r="A19558" i="3"/>
  <c r="A19557" i="3"/>
  <c r="A19556" i="3"/>
  <c r="A19555" i="3"/>
  <c r="A19554" i="3"/>
  <c r="A19553" i="3"/>
  <c r="A19552" i="3"/>
  <c r="A19551" i="3"/>
  <c r="A19550" i="3"/>
  <c r="A19549" i="3"/>
  <c r="A19548" i="3"/>
  <c r="A19547" i="3"/>
  <c r="A19546" i="3"/>
  <c r="A19545" i="3"/>
  <c r="A19544" i="3"/>
  <c r="A19543" i="3"/>
  <c r="A19542" i="3"/>
  <c r="A19541" i="3"/>
  <c r="A19540" i="3"/>
  <c r="A19539" i="3"/>
  <c r="A19538" i="3"/>
  <c r="A19537" i="3"/>
  <c r="A19536" i="3"/>
  <c r="A19535" i="3"/>
  <c r="A19534" i="3"/>
  <c r="A19533" i="3"/>
  <c r="A19532" i="3"/>
  <c r="A19531" i="3"/>
  <c r="A19530" i="3"/>
  <c r="A19529" i="3"/>
  <c r="A19528" i="3"/>
  <c r="A19527" i="3"/>
  <c r="A19526" i="3"/>
  <c r="A19525" i="3"/>
  <c r="A19524" i="3"/>
  <c r="A19523" i="3"/>
  <c r="A19522" i="3"/>
  <c r="A19521" i="3"/>
  <c r="A19520" i="3"/>
  <c r="A19519" i="3"/>
  <c r="A19518" i="3"/>
  <c r="A19517" i="3"/>
  <c r="A19516" i="3"/>
  <c r="A19515" i="3"/>
  <c r="A19514" i="3"/>
  <c r="A19513" i="3"/>
  <c r="A19512" i="3"/>
  <c r="A19511" i="3"/>
  <c r="A19510" i="3"/>
  <c r="A19509" i="3"/>
  <c r="A19508" i="3"/>
  <c r="A19507" i="3"/>
  <c r="A19506" i="3"/>
  <c r="A19505" i="3"/>
  <c r="A19504" i="3"/>
  <c r="A19503" i="3"/>
  <c r="A19502" i="3"/>
  <c r="A19501" i="3"/>
  <c r="A19500" i="3"/>
  <c r="A19499" i="3"/>
  <c r="A19498" i="3"/>
  <c r="A19497" i="3"/>
  <c r="A19496" i="3"/>
  <c r="A19495" i="3"/>
  <c r="A19494" i="3"/>
  <c r="A19493" i="3"/>
  <c r="A19492" i="3"/>
  <c r="A19491" i="3"/>
  <c r="A19490" i="3"/>
  <c r="A19489" i="3"/>
  <c r="A19488" i="3"/>
  <c r="A19487" i="3"/>
  <c r="A19486" i="3"/>
  <c r="A19485" i="3"/>
  <c r="A19484" i="3"/>
  <c r="A19483" i="3"/>
  <c r="A19482" i="3"/>
  <c r="A19481" i="3"/>
  <c r="A19480" i="3"/>
  <c r="A19479" i="3"/>
  <c r="A19478" i="3"/>
  <c r="A19477" i="3"/>
  <c r="A19476" i="3"/>
  <c r="A19475" i="3"/>
  <c r="A19474" i="3"/>
  <c r="A19473" i="3"/>
  <c r="A19472" i="3"/>
  <c r="A19471" i="3"/>
  <c r="A19470" i="3"/>
  <c r="A19469" i="3"/>
  <c r="A19468" i="3"/>
  <c r="A19467" i="3"/>
  <c r="A19466" i="3"/>
  <c r="A19465" i="3"/>
  <c r="A19464" i="3"/>
  <c r="A19463" i="3"/>
  <c r="A19462" i="3"/>
  <c r="A19461" i="3"/>
  <c r="A19460" i="3"/>
  <c r="A19459" i="3"/>
  <c r="A19458" i="3"/>
  <c r="A19457" i="3"/>
  <c r="A19456" i="3"/>
  <c r="A19455" i="3"/>
  <c r="A19454" i="3"/>
  <c r="A19453" i="3"/>
  <c r="A19452" i="3"/>
  <c r="A19451" i="3"/>
  <c r="A19450" i="3"/>
  <c r="A19449" i="3"/>
  <c r="A19448" i="3"/>
  <c r="A19447" i="3"/>
  <c r="A19446" i="3"/>
  <c r="A19445" i="3"/>
  <c r="A19444" i="3"/>
  <c r="A19443" i="3"/>
  <c r="A19442" i="3"/>
  <c r="A19441" i="3"/>
  <c r="A19440" i="3"/>
  <c r="A19439" i="3"/>
  <c r="A19438" i="3"/>
  <c r="A19437" i="3"/>
  <c r="A19436" i="3"/>
  <c r="A19435" i="3"/>
  <c r="A19434" i="3"/>
  <c r="A19433" i="3"/>
  <c r="A19432" i="3"/>
  <c r="A19431" i="3"/>
  <c r="A19430" i="3"/>
  <c r="A19429" i="3"/>
  <c r="A19428" i="3"/>
  <c r="A19427" i="3"/>
  <c r="A19426" i="3"/>
  <c r="A19425" i="3"/>
  <c r="A19424" i="3"/>
  <c r="A19423" i="3"/>
  <c r="A19422" i="3"/>
  <c r="A19421" i="3"/>
  <c r="A19420" i="3"/>
  <c r="A19419" i="3"/>
  <c r="A19418" i="3"/>
  <c r="A19417" i="3"/>
  <c r="A19416" i="3"/>
  <c r="A19415" i="3"/>
  <c r="A19414" i="3"/>
  <c r="A19413" i="3"/>
  <c r="A19412" i="3"/>
  <c r="A19411" i="3"/>
  <c r="A19410" i="3"/>
  <c r="A19409" i="3"/>
  <c r="A19408" i="3"/>
  <c r="A19407" i="3"/>
  <c r="A19406" i="3"/>
  <c r="A19405" i="3"/>
  <c r="A19404" i="3"/>
  <c r="A19403" i="3"/>
  <c r="A19402" i="3"/>
  <c r="A19401" i="3"/>
  <c r="A19400" i="3"/>
  <c r="A19399" i="3"/>
  <c r="A19398" i="3"/>
  <c r="A19397" i="3"/>
  <c r="A19396" i="3"/>
  <c r="A19395" i="3"/>
  <c r="A19394" i="3"/>
  <c r="A19393" i="3"/>
  <c r="A19392" i="3"/>
  <c r="A19391" i="3"/>
  <c r="A19390" i="3"/>
  <c r="A19389" i="3"/>
  <c r="A19388" i="3"/>
  <c r="A19387" i="3"/>
  <c r="A19386" i="3"/>
  <c r="A19385" i="3"/>
  <c r="A19384" i="3"/>
  <c r="A19383" i="3"/>
  <c r="A19382" i="3"/>
  <c r="A19381" i="3"/>
  <c r="A19380" i="3"/>
  <c r="A19379" i="3"/>
  <c r="A19378" i="3"/>
  <c r="A19377" i="3"/>
  <c r="A19376" i="3"/>
  <c r="A19375" i="3"/>
  <c r="A19374" i="3"/>
  <c r="A19373" i="3"/>
  <c r="A19372" i="3"/>
  <c r="A19371" i="3"/>
  <c r="A19370" i="3"/>
  <c r="A19369" i="3"/>
  <c r="A19368" i="3"/>
  <c r="A19367" i="3"/>
  <c r="A19366" i="3"/>
  <c r="A19365" i="3"/>
  <c r="A19364" i="3"/>
  <c r="A19363" i="3"/>
  <c r="A19362" i="3"/>
  <c r="A19361" i="3"/>
  <c r="A19360" i="3"/>
  <c r="A19359" i="3"/>
  <c r="A19358" i="3"/>
  <c r="A19357" i="3"/>
  <c r="A19356" i="3"/>
  <c r="A19355" i="3"/>
  <c r="A19354" i="3"/>
  <c r="A19353" i="3"/>
  <c r="A19352" i="3"/>
  <c r="A19351" i="3"/>
  <c r="A19350" i="3"/>
  <c r="A19349" i="3"/>
  <c r="A19348" i="3"/>
  <c r="A19347" i="3"/>
  <c r="A19346" i="3"/>
  <c r="A19345" i="3"/>
  <c r="A19344" i="3"/>
  <c r="A19343" i="3"/>
  <c r="A19342" i="3"/>
  <c r="A19341" i="3"/>
  <c r="A19340" i="3"/>
  <c r="A19339" i="3"/>
  <c r="A19338" i="3"/>
  <c r="A19337" i="3"/>
  <c r="A19336" i="3"/>
  <c r="A19335" i="3"/>
  <c r="A19334" i="3"/>
  <c r="A19333" i="3"/>
  <c r="A19332" i="3"/>
  <c r="A19331" i="3"/>
  <c r="A19330" i="3"/>
  <c r="A19329" i="3"/>
  <c r="A19328" i="3"/>
  <c r="A19327" i="3"/>
  <c r="A19326" i="3"/>
  <c r="A19325" i="3"/>
  <c r="A19324" i="3"/>
  <c r="A19323" i="3"/>
  <c r="A19322" i="3"/>
  <c r="A19321" i="3"/>
  <c r="A19320" i="3"/>
  <c r="A19319" i="3"/>
  <c r="A19318" i="3"/>
  <c r="A19317" i="3"/>
  <c r="A19316" i="3"/>
  <c r="A19315" i="3"/>
  <c r="A19314" i="3"/>
  <c r="A19313" i="3"/>
  <c r="A19312" i="3"/>
  <c r="A19311" i="3"/>
  <c r="A19310" i="3"/>
  <c r="A19309" i="3"/>
  <c r="A19308" i="3"/>
  <c r="A19307" i="3"/>
  <c r="A19306" i="3"/>
  <c r="A19305" i="3"/>
  <c r="A19304" i="3"/>
  <c r="A19303" i="3"/>
  <c r="A19302" i="3"/>
  <c r="A19301" i="3"/>
  <c r="A19300" i="3"/>
  <c r="A19299" i="3"/>
  <c r="A19298" i="3"/>
  <c r="A19297" i="3"/>
  <c r="A19296" i="3"/>
  <c r="A19295" i="3"/>
  <c r="A19294" i="3"/>
  <c r="A19293" i="3"/>
  <c r="A19292" i="3"/>
  <c r="A19291" i="3"/>
  <c r="A19290" i="3"/>
  <c r="A19289" i="3"/>
  <c r="A19288" i="3"/>
  <c r="A19287" i="3"/>
  <c r="A19286" i="3"/>
  <c r="A19285" i="3"/>
  <c r="A19284" i="3"/>
  <c r="A19283" i="3"/>
  <c r="A19282" i="3"/>
  <c r="A19281" i="3"/>
  <c r="A19280" i="3"/>
  <c r="A19279" i="3"/>
  <c r="A19278" i="3"/>
  <c r="A19277" i="3"/>
  <c r="A19276" i="3"/>
  <c r="A19275" i="3"/>
  <c r="A19274" i="3"/>
  <c r="A19273" i="3"/>
  <c r="A19272" i="3"/>
  <c r="A19271" i="3"/>
  <c r="A19270" i="3"/>
  <c r="A19269" i="3"/>
  <c r="A19268" i="3"/>
  <c r="A19267" i="3"/>
  <c r="A19266" i="3"/>
  <c r="A19265" i="3"/>
  <c r="A19264" i="3"/>
  <c r="A19263" i="3"/>
  <c r="A19262" i="3"/>
  <c r="A19261" i="3"/>
  <c r="A19260" i="3"/>
  <c r="A19259" i="3"/>
  <c r="A19258" i="3"/>
  <c r="A19257" i="3"/>
  <c r="A19256" i="3"/>
  <c r="A19255" i="3"/>
  <c r="A19254" i="3"/>
  <c r="A19253" i="3"/>
  <c r="A19252" i="3"/>
  <c r="A19251" i="3"/>
  <c r="A19250" i="3"/>
  <c r="A19249" i="3"/>
  <c r="A19248" i="3"/>
  <c r="A19247" i="3"/>
  <c r="A19246" i="3"/>
  <c r="A19245" i="3"/>
  <c r="A19244" i="3"/>
  <c r="A19243" i="3"/>
  <c r="A19242" i="3"/>
  <c r="A19241" i="3"/>
  <c r="A19240" i="3"/>
  <c r="A19239" i="3"/>
  <c r="A19238" i="3"/>
  <c r="A19237" i="3"/>
  <c r="A19236" i="3"/>
  <c r="A19235" i="3"/>
  <c r="A19234" i="3"/>
  <c r="A19233" i="3"/>
  <c r="A19232" i="3"/>
  <c r="A19231" i="3"/>
  <c r="A19230" i="3"/>
  <c r="A19229" i="3"/>
  <c r="A19228" i="3"/>
  <c r="A19227" i="3"/>
  <c r="A19226" i="3"/>
  <c r="A19225" i="3"/>
  <c r="A19224" i="3"/>
  <c r="A19223" i="3"/>
  <c r="A19222" i="3"/>
  <c r="A19221" i="3"/>
  <c r="A19220" i="3"/>
  <c r="A19219" i="3"/>
  <c r="A19218" i="3"/>
  <c r="A19217" i="3"/>
  <c r="A19216" i="3"/>
  <c r="A19215" i="3"/>
  <c r="A19214" i="3"/>
  <c r="A19213" i="3"/>
  <c r="A19212" i="3"/>
  <c r="A19211" i="3"/>
  <c r="A19210" i="3"/>
  <c r="A19209" i="3"/>
  <c r="A19208" i="3"/>
  <c r="A19207" i="3"/>
  <c r="A19206" i="3"/>
  <c r="A19205" i="3"/>
  <c r="A19204" i="3"/>
  <c r="A19203" i="3"/>
  <c r="A19202" i="3"/>
  <c r="A19201" i="3"/>
  <c r="A19200" i="3"/>
  <c r="A19199" i="3"/>
  <c r="A19198" i="3"/>
  <c r="A19197" i="3"/>
  <c r="A19196" i="3"/>
  <c r="A19195" i="3"/>
  <c r="A19194" i="3"/>
  <c r="A19193" i="3"/>
  <c r="A19192" i="3"/>
  <c r="A19191" i="3"/>
  <c r="A19190" i="3"/>
  <c r="A19189" i="3"/>
  <c r="A19188" i="3"/>
  <c r="A19187" i="3"/>
  <c r="A19186" i="3"/>
  <c r="A19185" i="3"/>
  <c r="A19184" i="3"/>
  <c r="A19183" i="3"/>
  <c r="A19182" i="3"/>
  <c r="A19181" i="3"/>
  <c r="A19180" i="3"/>
  <c r="A19179" i="3"/>
  <c r="A19178" i="3"/>
  <c r="A19177" i="3"/>
  <c r="A19176" i="3"/>
  <c r="A19175" i="3"/>
  <c r="A19174" i="3"/>
  <c r="A19173" i="3"/>
  <c r="A19172" i="3"/>
  <c r="A19171" i="3"/>
  <c r="A19170" i="3"/>
  <c r="A19169" i="3"/>
  <c r="A19168" i="3"/>
  <c r="A19167" i="3"/>
  <c r="A19166" i="3"/>
  <c r="A19165" i="3"/>
  <c r="A19164" i="3"/>
  <c r="A19163" i="3"/>
  <c r="A19162" i="3"/>
  <c r="A19161" i="3"/>
  <c r="A19160" i="3"/>
  <c r="A19159" i="3"/>
  <c r="A19158" i="3"/>
  <c r="A19157" i="3"/>
  <c r="A19156" i="3"/>
  <c r="A19155" i="3"/>
  <c r="A19154" i="3"/>
  <c r="A19153" i="3"/>
  <c r="A19152" i="3"/>
  <c r="A19151" i="3"/>
  <c r="A19150" i="3"/>
  <c r="A19149" i="3"/>
  <c r="A19148" i="3"/>
  <c r="A19147" i="3"/>
  <c r="A19146" i="3"/>
  <c r="A19145" i="3"/>
  <c r="A19144" i="3"/>
  <c r="A19143" i="3"/>
  <c r="A19142" i="3"/>
  <c r="A19141" i="3"/>
  <c r="A19140" i="3"/>
  <c r="A19139" i="3"/>
  <c r="A19138" i="3"/>
  <c r="A19137" i="3"/>
  <c r="A19136" i="3"/>
  <c r="A19135" i="3"/>
  <c r="A19134" i="3"/>
  <c r="A19133" i="3"/>
  <c r="A19132" i="3"/>
  <c r="A19131" i="3"/>
  <c r="A19130" i="3"/>
  <c r="A19129" i="3"/>
  <c r="A19128" i="3"/>
  <c r="A19127" i="3"/>
  <c r="A19126" i="3"/>
  <c r="A19125" i="3"/>
  <c r="A19124" i="3"/>
  <c r="A19123" i="3"/>
  <c r="A19122" i="3"/>
  <c r="A19121" i="3"/>
  <c r="A19120" i="3"/>
  <c r="A19119" i="3"/>
  <c r="A19118" i="3"/>
  <c r="A19117" i="3"/>
  <c r="A19116" i="3"/>
  <c r="A19115" i="3"/>
  <c r="A19114" i="3"/>
  <c r="A19113" i="3"/>
  <c r="A19112" i="3"/>
  <c r="A19111" i="3"/>
  <c r="A19110" i="3"/>
  <c r="A19109" i="3"/>
  <c r="A19108" i="3"/>
  <c r="A19107" i="3"/>
  <c r="A19106" i="3"/>
  <c r="A19105" i="3"/>
  <c r="A19104" i="3"/>
  <c r="A19103" i="3"/>
  <c r="A19102" i="3"/>
  <c r="A19101" i="3"/>
  <c r="A19100" i="3"/>
  <c r="A19099" i="3"/>
  <c r="A19098" i="3"/>
  <c r="A19097" i="3"/>
  <c r="A19096" i="3"/>
  <c r="A19095" i="3"/>
  <c r="A19094" i="3"/>
  <c r="A19093" i="3"/>
  <c r="A19092" i="3"/>
  <c r="A19091" i="3"/>
  <c r="A19090" i="3"/>
  <c r="A19089" i="3"/>
  <c r="A19088" i="3"/>
  <c r="A19087" i="3"/>
  <c r="A19086" i="3"/>
  <c r="A19085" i="3"/>
  <c r="A19084" i="3"/>
  <c r="A19083" i="3"/>
  <c r="A19082" i="3"/>
  <c r="A19081" i="3"/>
  <c r="A19080" i="3"/>
  <c r="A19079" i="3"/>
  <c r="A19078" i="3"/>
  <c r="A19077" i="3"/>
  <c r="A19076" i="3"/>
  <c r="A19075" i="3"/>
  <c r="A19074" i="3"/>
  <c r="A19073" i="3"/>
  <c r="A19072" i="3"/>
  <c r="A19071" i="3"/>
  <c r="A19070" i="3"/>
  <c r="A19069" i="3"/>
  <c r="A19068" i="3"/>
  <c r="A19067" i="3"/>
  <c r="A19066" i="3"/>
  <c r="A19065" i="3"/>
  <c r="A19064" i="3"/>
  <c r="A19063" i="3"/>
  <c r="A19062" i="3"/>
  <c r="A19061" i="3"/>
  <c r="A19060" i="3"/>
  <c r="A19059" i="3"/>
  <c r="A19058" i="3"/>
  <c r="A19057" i="3"/>
  <c r="A19056" i="3"/>
  <c r="A19055" i="3"/>
  <c r="A19054" i="3"/>
  <c r="A19053" i="3"/>
  <c r="A19052" i="3"/>
  <c r="A19051" i="3"/>
  <c r="A19050" i="3"/>
  <c r="A19049" i="3"/>
  <c r="A19048" i="3"/>
  <c r="A19047" i="3"/>
  <c r="A19046" i="3"/>
  <c r="A19045" i="3"/>
  <c r="A19044" i="3"/>
  <c r="A19043" i="3"/>
  <c r="A19042" i="3"/>
  <c r="A19041" i="3"/>
  <c r="A19040" i="3"/>
  <c r="A19039" i="3"/>
  <c r="A19038" i="3"/>
  <c r="A19037" i="3"/>
  <c r="A19036" i="3"/>
  <c r="A19035" i="3"/>
  <c r="A19034" i="3"/>
  <c r="A19033" i="3"/>
  <c r="A19032" i="3"/>
  <c r="A19031" i="3"/>
  <c r="A19030" i="3"/>
  <c r="A19029" i="3"/>
  <c r="A19028" i="3"/>
  <c r="A19027" i="3"/>
  <c r="A19026" i="3"/>
  <c r="A19025" i="3"/>
  <c r="A19024" i="3"/>
  <c r="A19023" i="3"/>
  <c r="A19022" i="3"/>
  <c r="A19021" i="3"/>
  <c r="A19020" i="3"/>
  <c r="A19019" i="3"/>
  <c r="A19018" i="3"/>
  <c r="A19017" i="3"/>
  <c r="A19016" i="3"/>
  <c r="A19015" i="3"/>
  <c r="A19014" i="3"/>
  <c r="A19013" i="3"/>
  <c r="A19012" i="3"/>
  <c r="A19011" i="3"/>
  <c r="A19010" i="3"/>
  <c r="A19009" i="3"/>
  <c r="A19008" i="3"/>
  <c r="A19007" i="3"/>
  <c r="A19006" i="3"/>
  <c r="A19005" i="3"/>
  <c r="A19004" i="3"/>
  <c r="A19003" i="3"/>
  <c r="A19002" i="3"/>
  <c r="A19001" i="3"/>
  <c r="A19000" i="3"/>
  <c r="A18999" i="3"/>
  <c r="A18998" i="3"/>
  <c r="A18997" i="3"/>
  <c r="A18996" i="3"/>
  <c r="A18995" i="3"/>
  <c r="A18994" i="3"/>
  <c r="A18993" i="3"/>
  <c r="A18992" i="3"/>
  <c r="A18991" i="3"/>
  <c r="A18990" i="3"/>
  <c r="A18989" i="3"/>
  <c r="A18988" i="3"/>
  <c r="A18987" i="3"/>
  <c r="A18986" i="3"/>
  <c r="A18985" i="3"/>
  <c r="A18984" i="3"/>
  <c r="A18983" i="3"/>
  <c r="A18982" i="3"/>
  <c r="A18981" i="3"/>
  <c r="A18980" i="3"/>
  <c r="A18979" i="3"/>
  <c r="A18978" i="3"/>
  <c r="A18977" i="3"/>
  <c r="A18976" i="3"/>
  <c r="A18975" i="3"/>
  <c r="A18974" i="3"/>
  <c r="A18973" i="3"/>
  <c r="A18972" i="3"/>
  <c r="A18971" i="3"/>
  <c r="A18970" i="3"/>
  <c r="A18969" i="3"/>
  <c r="A18968" i="3"/>
  <c r="A18967" i="3"/>
  <c r="A18966" i="3"/>
  <c r="A18965" i="3"/>
  <c r="A18964" i="3"/>
  <c r="A18963" i="3"/>
  <c r="A18962" i="3"/>
  <c r="A18961" i="3"/>
  <c r="A18960" i="3"/>
  <c r="A18959" i="3"/>
  <c r="A18958" i="3"/>
  <c r="A18957" i="3"/>
  <c r="A18956" i="3"/>
  <c r="A18955" i="3"/>
  <c r="A18954" i="3"/>
  <c r="A18953" i="3"/>
  <c r="A18952" i="3"/>
  <c r="A18951" i="3"/>
  <c r="A18950" i="3"/>
  <c r="A18949" i="3"/>
  <c r="A18948" i="3"/>
  <c r="A18947" i="3"/>
  <c r="A18946" i="3"/>
  <c r="A18945" i="3"/>
  <c r="A18944" i="3"/>
  <c r="A18943" i="3"/>
  <c r="A18942" i="3"/>
  <c r="A18941" i="3"/>
  <c r="A18940" i="3"/>
  <c r="A18939" i="3"/>
  <c r="A18938" i="3"/>
  <c r="A18937" i="3"/>
  <c r="A18936" i="3"/>
  <c r="A18935" i="3"/>
  <c r="A18934" i="3"/>
  <c r="A18933" i="3"/>
  <c r="A18932" i="3"/>
  <c r="A18931" i="3"/>
  <c r="A18930" i="3"/>
  <c r="A18929" i="3"/>
  <c r="A18928" i="3"/>
  <c r="A18927" i="3"/>
  <c r="A18926" i="3"/>
  <c r="A18925" i="3"/>
  <c r="A18924" i="3"/>
  <c r="A18923" i="3"/>
  <c r="A18922" i="3"/>
  <c r="A18921" i="3"/>
  <c r="A18920" i="3"/>
  <c r="A18919" i="3"/>
  <c r="A18918" i="3"/>
  <c r="A18917" i="3"/>
  <c r="A18916" i="3"/>
  <c r="A18915" i="3"/>
  <c r="A18914" i="3"/>
  <c r="A18913" i="3"/>
  <c r="A18912" i="3"/>
  <c r="A18911" i="3"/>
  <c r="A18910" i="3"/>
  <c r="A18909" i="3"/>
  <c r="A18908" i="3"/>
  <c r="A18907" i="3"/>
  <c r="A18906" i="3"/>
  <c r="A18905" i="3"/>
  <c r="A18904" i="3"/>
  <c r="A18903" i="3"/>
  <c r="A18902" i="3"/>
  <c r="A18901" i="3"/>
  <c r="A18900" i="3"/>
  <c r="A18899" i="3"/>
  <c r="A18898" i="3"/>
  <c r="A18897" i="3"/>
  <c r="A18896" i="3"/>
  <c r="A18895" i="3"/>
  <c r="A18894" i="3"/>
  <c r="A18893" i="3"/>
  <c r="A18892" i="3"/>
  <c r="A18891" i="3"/>
  <c r="A18890" i="3"/>
  <c r="A18889" i="3"/>
  <c r="A18888" i="3"/>
  <c r="A18887" i="3"/>
  <c r="A18886" i="3"/>
  <c r="A18885" i="3"/>
  <c r="A18884" i="3"/>
  <c r="A18883" i="3"/>
  <c r="A18882" i="3"/>
  <c r="A18881" i="3"/>
  <c r="A18880" i="3"/>
  <c r="A18879" i="3"/>
  <c r="A18878" i="3"/>
  <c r="A18877" i="3"/>
  <c r="A18876" i="3"/>
  <c r="A18875" i="3"/>
  <c r="A18874" i="3"/>
  <c r="A18873" i="3"/>
  <c r="A18872" i="3"/>
  <c r="A18871" i="3"/>
  <c r="A18870" i="3"/>
  <c r="A18869" i="3"/>
  <c r="A18868" i="3"/>
  <c r="A18867" i="3"/>
  <c r="A18866" i="3"/>
  <c r="A18865" i="3"/>
  <c r="A18864" i="3"/>
  <c r="A18863" i="3"/>
  <c r="A18862" i="3"/>
  <c r="A18861" i="3"/>
  <c r="A18860" i="3"/>
  <c r="A18859" i="3"/>
  <c r="A18858" i="3"/>
  <c r="A18857" i="3"/>
  <c r="A18856" i="3"/>
  <c r="A18855" i="3"/>
  <c r="A18854" i="3"/>
  <c r="A18853" i="3"/>
  <c r="A18852" i="3"/>
  <c r="A18851" i="3"/>
  <c r="A18850" i="3"/>
  <c r="A18849" i="3"/>
  <c r="A18848" i="3"/>
  <c r="A18847" i="3"/>
  <c r="A18846" i="3"/>
  <c r="A18845" i="3"/>
  <c r="A18844" i="3"/>
  <c r="A18843" i="3"/>
  <c r="A18842" i="3"/>
  <c r="A18841" i="3"/>
  <c r="A18840" i="3"/>
  <c r="A18839" i="3"/>
  <c r="A18838" i="3"/>
  <c r="A18837" i="3"/>
  <c r="A18836" i="3"/>
  <c r="A18835" i="3"/>
  <c r="A18834" i="3"/>
  <c r="A18833" i="3"/>
  <c r="A18832" i="3"/>
  <c r="A18831" i="3"/>
  <c r="A18830" i="3"/>
  <c r="A18829" i="3"/>
  <c r="A18828" i="3"/>
  <c r="A18827" i="3"/>
  <c r="A18826" i="3"/>
  <c r="A18825" i="3"/>
  <c r="A18824" i="3"/>
  <c r="A18823" i="3"/>
  <c r="A18822" i="3"/>
  <c r="A18821" i="3"/>
  <c r="A18820" i="3"/>
  <c r="A18819" i="3"/>
  <c r="A18818" i="3"/>
  <c r="A18817" i="3"/>
  <c r="A18816" i="3"/>
  <c r="A18815" i="3"/>
  <c r="A18814" i="3"/>
  <c r="A18813" i="3"/>
  <c r="A18812" i="3"/>
  <c r="A18811" i="3"/>
  <c r="A18810" i="3"/>
  <c r="A18809" i="3"/>
  <c r="A18808" i="3"/>
  <c r="A18807" i="3"/>
  <c r="A18806" i="3"/>
  <c r="A18805" i="3"/>
  <c r="A18804" i="3"/>
  <c r="A18803" i="3"/>
  <c r="A18802" i="3"/>
  <c r="A18801" i="3"/>
  <c r="A18800" i="3"/>
  <c r="A18799" i="3"/>
  <c r="A18798" i="3"/>
  <c r="A18797" i="3"/>
  <c r="A18796" i="3"/>
  <c r="A18795" i="3"/>
  <c r="A18794" i="3"/>
  <c r="A18793" i="3"/>
  <c r="A18792" i="3"/>
  <c r="A18791" i="3"/>
  <c r="A18790" i="3"/>
  <c r="A18789" i="3"/>
  <c r="A18788" i="3"/>
  <c r="A18787" i="3"/>
  <c r="A18786" i="3"/>
  <c r="A18785" i="3"/>
  <c r="A18784" i="3"/>
  <c r="A18783" i="3"/>
  <c r="A18782" i="3"/>
  <c r="A18781" i="3"/>
  <c r="A18780" i="3"/>
  <c r="A18779" i="3"/>
  <c r="A18778" i="3"/>
  <c r="A18777" i="3"/>
  <c r="A18776" i="3"/>
  <c r="A18775" i="3"/>
  <c r="A18774" i="3"/>
  <c r="A18773" i="3"/>
  <c r="A18772" i="3"/>
  <c r="A18771" i="3"/>
  <c r="A18770" i="3"/>
  <c r="A18769" i="3"/>
  <c r="A18768" i="3"/>
  <c r="A18767" i="3"/>
  <c r="A18766" i="3"/>
  <c r="A18765" i="3"/>
  <c r="A18764" i="3"/>
  <c r="A18763" i="3"/>
  <c r="A18762" i="3"/>
  <c r="A18761" i="3"/>
  <c r="A18760" i="3"/>
  <c r="A18759" i="3"/>
  <c r="A18758" i="3"/>
  <c r="A18757" i="3"/>
  <c r="A18756" i="3"/>
  <c r="A18755" i="3"/>
  <c r="A18754" i="3"/>
  <c r="A18753" i="3"/>
  <c r="A18752" i="3"/>
  <c r="A18751" i="3"/>
  <c r="A18750" i="3"/>
  <c r="A18749" i="3"/>
  <c r="A18748" i="3"/>
  <c r="A18747" i="3"/>
  <c r="A18746" i="3"/>
  <c r="A18745" i="3"/>
  <c r="A18744" i="3"/>
  <c r="A18743" i="3"/>
  <c r="A18742" i="3"/>
  <c r="A18741" i="3"/>
  <c r="A18740" i="3"/>
  <c r="A18739" i="3"/>
  <c r="A18738" i="3"/>
  <c r="A18737" i="3"/>
  <c r="A18736" i="3"/>
  <c r="A18735" i="3"/>
  <c r="A18734" i="3"/>
  <c r="A18733" i="3"/>
  <c r="A18732" i="3"/>
  <c r="A18731" i="3"/>
  <c r="A18730" i="3"/>
  <c r="A18729" i="3"/>
  <c r="A18728" i="3"/>
  <c r="A18727" i="3"/>
  <c r="A18726" i="3"/>
  <c r="A18725" i="3"/>
  <c r="A18724" i="3"/>
  <c r="A18723" i="3"/>
  <c r="A18722" i="3"/>
  <c r="A18721" i="3"/>
  <c r="A18720" i="3"/>
  <c r="A18719" i="3"/>
  <c r="A18718" i="3"/>
  <c r="A18717" i="3"/>
  <c r="A18716" i="3"/>
  <c r="A18715" i="3"/>
  <c r="A18714" i="3"/>
  <c r="A18713" i="3"/>
  <c r="A18712" i="3"/>
  <c r="A18711" i="3"/>
  <c r="A18710" i="3"/>
  <c r="A18709" i="3"/>
  <c r="A18708" i="3"/>
  <c r="A18707" i="3"/>
  <c r="A18706" i="3"/>
  <c r="A18705" i="3"/>
  <c r="A18704" i="3"/>
  <c r="A18703" i="3"/>
  <c r="A18702" i="3"/>
  <c r="A18701" i="3"/>
  <c r="A18700" i="3"/>
  <c r="A18699" i="3"/>
  <c r="A18698" i="3"/>
  <c r="A18697" i="3"/>
  <c r="A18696" i="3"/>
  <c r="A18695" i="3"/>
  <c r="A18694" i="3"/>
  <c r="A18693" i="3"/>
  <c r="A18692" i="3"/>
  <c r="A18691" i="3"/>
  <c r="A18690" i="3"/>
  <c r="A18689" i="3"/>
  <c r="A18688" i="3"/>
  <c r="A18687" i="3"/>
  <c r="A18686" i="3"/>
  <c r="A18685" i="3"/>
  <c r="A18684" i="3"/>
  <c r="A18683" i="3"/>
  <c r="A18682" i="3"/>
  <c r="A18681" i="3"/>
  <c r="A18680" i="3"/>
  <c r="A18679" i="3"/>
  <c r="A18678" i="3"/>
  <c r="A18677" i="3"/>
  <c r="A18676" i="3"/>
  <c r="A18675" i="3"/>
  <c r="A18674" i="3"/>
  <c r="A18673" i="3"/>
  <c r="A18672" i="3"/>
  <c r="A18671" i="3"/>
  <c r="A18670" i="3"/>
  <c r="A18669" i="3"/>
  <c r="A18668" i="3"/>
  <c r="A18667" i="3"/>
  <c r="A18666" i="3"/>
  <c r="A18665" i="3"/>
  <c r="A18664" i="3"/>
  <c r="A18663" i="3"/>
  <c r="A18662" i="3"/>
  <c r="A18661" i="3"/>
  <c r="A18660" i="3"/>
  <c r="A18659" i="3"/>
  <c r="A18658" i="3"/>
  <c r="A18657" i="3"/>
  <c r="A18656" i="3"/>
  <c r="A18655" i="3"/>
  <c r="A18654" i="3"/>
  <c r="A18653" i="3"/>
  <c r="A18652" i="3"/>
  <c r="A18651" i="3"/>
  <c r="A18650" i="3"/>
  <c r="A18649" i="3"/>
  <c r="A18648" i="3"/>
  <c r="A18647" i="3"/>
  <c r="A18646" i="3"/>
  <c r="A18645" i="3"/>
  <c r="A18644" i="3"/>
  <c r="A18643" i="3"/>
  <c r="A18642" i="3"/>
  <c r="A18641" i="3"/>
  <c r="A18640" i="3"/>
  <c r="A18639" i="3"/>
  <c r="A18638" i="3"/>
  <c r="A18637" i="3"/>
  <c r="A18636" i="3"/>
  <c r="A18635" i="3"/>
  <c r="A18634" i="3"/>
  <c r="A18633" i="3"/>
  <c r="A18632" i="3"/>
  <c r="A18631" i="3"/>
  <c r="A18630" i="3"/>
  <c r="A18629" i="3"/>
  <c r="A18628" i="3"/>
  <c r="A18627" i="3"/>
  <c r="A18626" i="3"/>
  <c r="A18625" i="3"/>
  <c r="A18624" i="3"/>
  <c r="A18623" i="3"/>
  <c r="A18622" i="3"/>
  <c r="A18621" i="3"/>
  <c r="A18620" i="3"/>
  <c r="A18619" i="3"/>
  <c r="A18618" i="3"/>
  <c r="A18617" i="3"/>
  <c r="A18616" i="3"/>
  <c r="A18615" i="3"/>
  <c r="A18614" i="3"/>
  <c r="A18613" i="3"/>
  <c r="A18612" i="3"/>
  <c r="A18611" i="3"/>
  <c r="A18610" i="3"/>
  <c r="A18609" i="3"/>
  <c r="A18608" i="3"/>
  <c r="A18607" i="3"/>
  <c r="A18606" i="3"/>
  <c r="A18605" i="3"/>
  <c r="A18604" i="3"/>
  <c r="A18603" i="3"/>
  <c r="A18602" i="3"/>
  <c r="A18601" i="3"/>
  <c r="A18600" i="3"/>
  <c r="A18599" i="3"/>
  <c r="A18598" i="3"/>
  <c r="A18597" i="3"/>
  <c r="A18596" i="3"/>
  <c r="A18595" i="3"/>
  <c r="A18594" i="3"/>
  <c r="A18593" i="3"/>
  <c r="A18592" i="3"/>
  <c r="A18591" i="3"/>
  <c r="A18590" i="3"/>
  <c r="A18589" i="3"/>
  <c r="A18588" i="3"/>
  <c r="A18587" i="3"/>
  <c r="A18586" i="3"/>
  <c r="A18585" i="3"/>
  <c r="A18584" i="3"/>
  <c r="A18583" i="3"/>
  <c r="A18582" i="3"/>
  <c r="A18581" i="3"/>
  <c r="A18580" i="3"/>
  <c r="A18579" i="3"/>
  <c r="A18578" i="3"/>
  <c r="A18577" i="3"/>
  <c r="A18576" i="3"/>
  <c r="A18575" i="3"/>
  <c r="A18574" i="3"/>
  <c r="A18573" i="3"/>
  <c r="A18572" i="3"/>
  <c r="A18571" i="3"/>
  <c r="A18570" i="3"/>
  <c r="A18569" i="3"/>
  <c r="A18568" i="3"/>
  <c r="A18567" i="3"/>
  <c r="A18566" i="3"/>
  <c r="A18565" i="3"/>
  <c r="A18564" i="3"/>
  <c r="A18563" i="3"/>
  <c r="A18562" i="3"/>
  <c r="A18561" i="3"/>
  <c r="A18560" i="3"/>
  <c r="A18559" i="3"/>
  <c r="A18558" i="3"/>
  <c r="A18557" i="3"/>
  <c r="A18556" i="3"/>
  <c r="A18555" i="3"/>
  <c r="A18554" i="3"/>
  <c r="A18553" i="3"/>
  <c r="A18552" i="3"/>
  <c r="A18551" i="3"/>
  <c r="A18550" i="3"/>
  <c r="A18549" i="3"/>
  <c r="A18548" i="3"/>
  <c r="A18547" i="3"/>
  <c r="A18546" i="3"/>
  <c r="A18545" i="3"/>
  <c r="A18544" i="3"/>
  <c r="A18543" i="3"/>
  <c r="A18542" i="3"/>
  <c r="A18541" i="3"/>
  <c r="A18540" i="3"/>
  <c r="A18539" i="3"/>
  <c r="A18538" i="3"/>
  <c r="A18537" i="3"/>
  <c r="A18536" i="3"/>
  <c r="A18535" i="3"/>
  <c r="A18534" i="3"/>
  <c r="A18533" i="3"/>
  <c r="A18532" i="3"/>
  <c r="A18531" i="3"/>
  <c r="A18530" i="3"/>
  <c r="A18529" i="3"/>
  <c r="A18528" i="3"/>
  <c r="A18527" i="3"/>
  <c r="A18526" i="3"/>
  <c r="A18525" i="3"/>
  <c r="A18524" i="3"/>
  <c r="A18523" i="3"/>
  <c r="A18522" i="3"/>
  <c r="A18521" i="3"/>
  <c r="A18520" i="3"/>
  <c r="A18519" i="3"/>
  <c r="A18518" i="3"/>
  <c r="A18517" i="3"/>
  <c r="A18516" i="3"/>
  <c r="A18515" i="3"/>
  <c r="A18514" i="3"/>
  <c r="A18513" i="3"/>
  <c r="A18512" i="3"/>
  <c r="A18511" i="3"/>
  <c r="A18510" i="3"/>
  <c r="A18509" i="3"/>
  <c r="A18508" i="3"/>
  <c r="A18507" i="3"/>
  <c r="A18506" i="3"/>
  <c r="A18505" i="3"/>
  <c r="A18504" i="3"/>
  <c r="A18503" i="3"/>
  <c r="A18502" i="3"/>
  <c r="A18501" i="3"/>
  <c r="A18500" i="3"/>
  <c r="A18499" i="3"/>
  <c r="A18498" i="3"/>
  <c r="A18497" i="3"/>
  <c r="A18496" i="3"/>
  <c r="A18495" i="3"/>
  <c r="A18494" i="3"/>
  <c r="A18493" i="3"/>
  <c r="A18492" i="3"/>
  <c r="A18491" i="3"/>
  <c r="A18490" i="3"/>
  <c r="A18489" i="3"/>
  <c r="A18488" i="3"/>
  <c r="A18487" i="3"/>
  <c r="A18486" i="3"/>
  <c r="A18485" i="3"/>
  <c r="A18484" i="3"/>
  <c r="A18483" i="3"/>
  <c r="A18482" i="3"/>
  <c r="A18481" i="3"/>
  <c r="A18480" i="3"/>
  <c r="A18479" i="3"/>
  <c r="A18478" i="3"/>
  <c r="A18477" i="3"/>
  <c r="A18476" i="3"/>
  <c r="A18475" i="3"/>
  <c r="A18474" i="3"/>
  <c r="A18473" i="3"/>
  <c r="A18472" i="3"/>
  <c r="A18471" i="3"/>
  <c r="A18470" i="3"/>
  <c r="A18469" i="3"/>
  <c r="A18468" i="3"/>
  <c r="A18467" i="3"/>
  <c r="A18466" i="3"/>
  <c r="A18465" i="3"/>
  <c r="A18464" i="3"/>
  <c r="A18463" i="3"/>
  <c r="A18462" i="3"/>
  <c r="A18461" i="3"/>
  <c r="A18460" i="3"/>
  <c r="A18459" i="3"/>
  <c r="A18458" i="3"/>
  <c r="A18457" i="3"/>
  <c r="A18456" i="3"/>
  <c r="A18455" i="3"/>
  <c r="A18454" i="3"/>
  <c r="A18453" i="3"/>
  <c r="A18452" i="3"/>
  <c r="A18451" i="3"/>
  <c r="A18450" i="3"/>
  <c r="A18449" i="3"/>
  <c r="A18448" i="3"/>
  <c r="A18447" i="3"/>
  <c r="A18446" i="3"/>
  <c r="A18445" i="3"/>
  <c r="A18444" i="3"/>
  <c r="A18443" i="3"/>
  <c r="A18442" i="3"/>
  <c r="A18441" i="3"/>
  <c r="A18440" i="3"/>
  <c r="A18439" i="3"/>
  <c r="A18438" i="3"/>
  <c r="A18437" i="3"/>
  <c r="A18436" i="3"/>
  <c r="A18435" i="3"/>
  <c r="A18434" i="3"/>
  <c r="A18433" i="3"/>
  <c r="A18432" i="3"/>
  <c r="A18431" i="3"/>
  <c r="A18430" i="3"/>
  <c r="A18429" i="3"/>
  <c r="A18428" i="3"/>
  <c r="A18427" i="3"/>
  <c r="A18426" i="3"/>
  <c r="A18425" i="3"/>
  <c r="A18424" i="3"/>
  <c r="A18423" i="3"/>
  <c r="A18422" i="3"/>
  <c r="A18421" i="3"/>
  <c r="A18420" i="3"/>
  <c r="A18419" i="3"/>
  <c r="A18418" i="3"/>
  <c r="A18417" i="3"/>
  <c r="A18416" i="3"/>
  <c r="A18415" i="3"/>
  <c r="A18414" i="3"/>
  <c r="A18413" i="3"/>
  <c r="A18412" i="3"/>
  <c r="A18411" i="3"/>
  <c r="A18410" i="3"/>
  <c r="A18409" i="3"/>
  <c r="A18408" i="3"/>
  <c r="A18407" i="3"/>
  <c r="A18406" i="3"/>
  <c r="A18405" i="3"/>
  <c r="A18404" i="3"/>
  <c r="A18403" i="3"/>
  <c r="A18402" i="3"/>
  <c r="A18401" i="3"/>
  <c r="A18400" i="3"/>
  <c r="A18399" i="3"/>
  <c r="A18398" i="3"/>
  <c r="A18397" i="3"/>
  <c r="A18396" i="3"/>
  <c r="A18395" i="3"/>
  <c r="A18394" i="3"/>
  <c r="A18393" i="3"/>
  <c r="A18392" i="3"/>
  <c r="A18391" i="3"/>
  <c r="A18390" i="3"/>
  <c r="A18389" i="3"/>
  <c r="A18388" i="3"/>
  <c r="A18387" i="3"/>
  <c r="A18386" i="3"/>
  <c r="A18385" i="3"/>
  <c r="A18384" i="3"/>
  <c r="A18383" i="3"/>
  <c r="A18382" i="3"/>
  <c r="A18381" i="3"/>
  <c r="A18380" i="3"/>
  <c r="A18379" i="3"/>
  <c r="A18378" i="3"/>
  <c r="A18377" i="3"/>
  <c r="A18376" i="3"/>
  <c r="A18375" i="3"/>
  <c r="A18374" i="3"/>
  <c r="A18373" i="3"/>
  <c r="A18372" i="3"/>
  <c r="A18371" i="3"/>
  <c r="A18370" i="3"/>
  <c r="A18369" i="3"/>
  <c r="A18368" i="3"/>
  <c r="A18367" i="3"/>
  <c r="A18366" i="3"/>
  <c r="A18365" i="3"/>
  <c r="A18364" i="3"/>
  <c r="A18363" i="3"/>
  <c r="A18362" i="3"/>
  <c r="A18361" i="3"/>
  <c r="A18360" i="3"/>
  <c r="A18359" i="3"/>
  <c r="A18358" i="3"/>
  <c r="A18357" i="3"/>
  <c r="A18356" i="3"/>
  <c r="A18355" i="3"/>
  <c r="A18354" i="3"/>
  <c r="A18353" i="3"/>
  <c r="A18352" i="3"/>
  <c r="A18351" i="3"/>
  <c r="A18350" i="3"/>
  <c r="A18349" i="3"/>
  <c r="A18348" i="3"/>
  <c r="A18347" i="3"/>
  <c r="A18346" i="3"/>
  <c r="A18345" i="3"/>
  <c r="A18344" i="3"/>
  <c r="A18343" i="3"/>
  <c r="A18342" i="3"/>
  <c r="A18341" i="3"/>
  <c r="A18340" i="3"/>
  <c r="A18339" i="3"/>
  <c r="A18338" i="3"/>
  <c r="A18337" i="3"/>
  <c r="A18336" i="3"/>
  <c r="A18335" i="3"/>
  <c r="A18334" i="3"/>
  <c r="A18333" i="3"/>
  <c r="A18332" i="3"/>
  <c r="A18331" i="3"/>
  <c r="A18330" i="3"/>
  <c r="A18329" i="3"/>
  <c r="A18328" i="3"/>
  <c r="A18327" i="3"/>
  <c r="A18326" i="3"/>
  <c r="A18325" i="3"/>
  <c r="A18324" i="3"/>
  <c r="A18323" i="3"/>
  <c r="A18322" i="3"/>
  <c r="A18321" i="3"/>
  <c r="A18320" i="3"/>
  <c r="A18319" i="3"/>
  <c r="A18318" i="3"/>
  <c r="A18317" i="3"/>
  <c r="A18316" i="3"/>
  <c r="A18315" i="3"/>
  <c r="A18314" i="3"/>
  <c r="A18313" i="3"/>
  <c r="A18312" i="3"/>
  <c r="A18311" i="3"/>
  <c r="A18310" i="3"/>
  <c r="A18309" i="3"/>
  <c r="A18308" i="3"/>
  <c r="A18307" i="3"/>
  <c r="A18306" i="3"/>
  <c r="A18305" i="3"/>
  <c r="A18304" i="3"/>
  <c r="A18303" i="3"/>
  <c r="A18302" i="3"/>
  <c r="A18301" i="3"/>
  <c r="A18300" i="3"/>
  <c r="A18299" i="3"/>
  <c r="A18298" i="3"/>
  <c r="A18297" i="3"/>
  <c r="A18296" i="3"/>
  <c r="A18295" i="3"/>
  <c r="A18294" i="3"/>
  <c r="A18293" i="3"/>
  <c r="A18292" i="3"/>
  <c r="A18291" i="3"/>
  <c r="A18290" i="3"/>
  <c r="A18289" i="3"/>
  <c r="A18288" i="3"/>
  <c r="A18287" i="3"/>
  <c r="A18286" i="3"/>
  <c r="A18285" i="3"/>
  <c r="A18284" i="3"/>
  <c r="A18283" i="3"/>
  <c r="A18282" i="3"/>
  <c r="A18281" i="3"/>
  <c r="A18280" i="3"/>
  <c r="A18279" i="3"/>
  <c r="A18278" i="3"/>
  <c r="A18277" i="3"/>
  <c r="A18276" i="3"/>
  <c r="A18275" i="3"/>
  <c r="A18274" i="3"/>
  <c r="A18273" i="3"/>
  <c r="A18272" i="3"/>
  <c r="A18271" i="3"/>
  <c r="A18270" i="3"/>
  <c r="A18269" i="3"/>
  <c r="A18268" i="3"/>
  <c r="A18267" i="3"/>
  <c r="A18266" i="3"/>
  <c r="A18265" i="3"/>
  <c r="A18264" i="3"/>
  <c r="A18263" i="3"/>
  <c r="A18262" i="3"/>
  <c r="A18261" i="3"/>
  <c r="A18260" i="3"/>
  <c r="A18259" i="3"/>
  <c r="A18258" i="3"/>
  <c r="A18257" i="3"/>
  <c r="A18256" i="3"/>
  <c r="A18255" i="3"/>
  <c r="A18254" i="3"/>
  <c r="A18253" i="3"/>
  <c r="A18252" i="3"/>
  <c r="A18251" i="3"/>
  <c r="A18250" i="3"/>
  <c r="A18249" i="3"/>
  <c r="A18248" i="3"/>
  <c r="A18247" i="3"/>
  <c r="A18246" i="3"/>
  <c r="A18245" i="3"/>
  <c r="A18244" i="3"/>
  <c r="A18243" i="3"/>
  <c r="A18242" i="3"/>
  <c r="A18241" i="3"/>
  <c r="A18240" i="3"/>
  <c r="A18239" i="3"/>
  <c r="A18238" i="3"/>
  <c r="A18237" i="3"/>
  <c r="A18236" i="3"/>
  <c r="A18235" i="3"/>
  <c r="A18234" i="3"/>
  <c r="A18233" i="3"/>
  <c r="A18232" i="3"/>
  <c r="A18231" i="3"/>
  <c r="A18230" i="3"/>
  <c r="A18229" i="3"/>
  <c r="A18228" i="3"/>
  <c r="A18227" i="3"/>
  <c r="A18226" i="3"/>
  <c r="A18225" i="3"/>
  <c r="A18224" i="3"/>
  <c r="A18223" i="3"/>
  <c r="A18222" i="3"/>
  <c r="A18221" i="3"/>
  <c r="A18220" i="3"/>
  <c r="A18219" i="3"/>
  <c r="A18218" i="3"/>
  <c r="A18217" i="3"/>
  <c r="A18216" i="3"/>
  <c r="A18215" i="3"/>
  <c r="A18214" i="3"/>
  <c r="A18213" i="3"/>
  <c r="A18212" i="3"/>
  <c r="A18211" i="3"/>
  <c r="A18210" i="3"/>
  <c r="A18209" i="3"/>
  <c r="A18208" i="3"/>
  <c r="A18207" i="3"/>
  <c r="A18206" i="3"/>
  <c r="A18205" i="3"/>
  <c r="A18204" i="3"/>
  <c r="A18203" i="3"/>
  <c r="A18202" i="3"/>
  <c r="A18201" i="3"/>
  <c r="A18200" i="3"/>
  <c r="A18199" i="3"/>
  <c r="A18198" i="3"/>
  <c r="A18197" i="3"/>
  <c r="A18196" i="3"/>
  <c r="A18195" i="3"/>
  <c r="A18194" i="3"/>
  <c r="A18193" i="3"/>
  <c r="A18192" i="3"/>
  <c r="A18191" i="3"/>
  <c r="A18190" i="3"/>
  <c r="A18189" i="3"/>
  <c r="A18188" i="3"/>
  <c r="A18187" i="3"/>
  <c r="A18186" i="3"/>
  <c r="A18185" i="3"/>
  <c r="A18184" i="3"/>
  <c r="A18183" i="3"/>
  <c r="A18182" i="3"/>
  <c r="A18181" i="3"/>
  <c r="A18180" i="3"/>
  <c r="A18179" i="3"/>
  <c r="A18178" i="3"/>
  <c r="A18177" i="3"/>
  <c r="A18176" i="3"/>
  <c r="A18175" i="3"/>
  <c r="A18174" i="3"/>
  <c r="A18173" i="3"/>
  <c r="A18172" i="3"/>
  <c r="A18171" i="3"/>
  <c r="A18170" i="3"/>
  <c r="A18169" i="3"/>
  <c r="A18168" i="3"/>
  <c r="A18167" i="3"/>
  <c r="A18166" i="3"/>
  <c r="A18165" i="3"/>
  <c r="A18164" i="3"/>
  <c r="A18163" i="3"/>
  <c r="A18162" i="3"/>
  <c r="A18161" i="3"/>
  <c r="A18160" i="3"/>
  <c r="A18159" i="3"/>
  <c r="A18158" i="3"/>
  <c r="A18157" i="3"/>
  <c r="A18156" i="3"/>
  <c r="A18155" i="3"/>
  <c r="A18154" i="3"/>
  <c r="A18153" i="3"/>
  <c r="A18152" i="3"/>
  <c r="A18151" i="3"/>
  <c r="A18150" i="3"/>
  <c r="A18149" i="3"/>
  <c r="A18148" i="3"/>
  <c r="A18147" i="3"/>
  <c r="A18146" i="3"/>
  <c r="A18145" i="3"/>
  <c r="A18144" i="3"/>
  <c r="A18143" i="3"/>
  <c r="A18142" i="3"/>
  <c r="A18141" i="3"/>
  <c r="A18140" i="3"/>
  <c r="A18139" i="3"/>
  <c r="A18138" i="3"/>
  <c r="A18137" i="3"/>
  <c r="A18136" i="3"/>
  <c r="A18135" i="3"/>
  <c r="A18134" i="3"/>
  <c r="A18133" i="3"/>
  <c r="A18132" i="3"/>
  <c r="A18131" i="3"/>
  <c r="A18130" i="3"/>
  <c r="A18129" i="3"/>
  <c r="A18128" i="3"/>
  <c r="A18127" i="3"/>
  <c r="A18126" i="3"/>
  <c r="A18125" i="3"/>
  <c r="A18124" i="3"/>
  <c r="A18123" i="3"/>
  <c r="A18122" i="3"/>
  <c r="A18121" i="3"/>
  <c r="A18120" i="3"/>
  <c r="A18119" i="3"/>
  <c r="A18118" i="3"/>
  <c r="A18117" i="3"/>
  <c r="A18116" i="3"/>
  <c r="A18115" i="3"/>
  <c r="A18114" i="3"/>
  <c r="A18113" i="3"/>
  <c r="A18112" i="3"/>
  <c r="A18111" i="3"/>
  <c r="A18110" i="3"/>
  <c r="A18109" i="3"/>
  <c r="A18108" i="3"/>
  <c r="A18107" i="3"/>
  <c r="A18106" i="3"/>
  <c r="A18105" i="3"/>
  <c r="A18104" i="3"/>
  <c r="A18103" i="3"/>
  <c r="A18102" i="3"/>
  <c r="A18101" i="3"/>
  <c r="A18100" i="3"/>
  <c r="A18099" i="3"/>
  <c r="A18098" i="3"/>
  <c r="A18097" i="3"/>
  <c r="A18096" i="3"/>
  <c r="A18095" i="3"/>
  <c r="A18094" i="3"/>
  <c r="A18093" i="3"/>
  <c r="A18092" i="3"/>
  <c r="A18091" i="3"/>
  <c r="A18090" i="3"/>
  <c r="A18089" i="3"/>
  <c r="A18088" i="3"/>
  <c r="A18087" i="3"/>
  <c r="A18086" i="3"/>
  <c r="A18085" i="3"/>
  <c r="A18084" i="3"/>
  <c r="A18083" i="3"/>
  <c r="A18082" i="3"/>
  <c r="A18081" i="3"/>
  <c r="A18080" i="3"/>
  <c r="A18079" i="3"/>
  <c r="A18078" i="3"/>
  <c r="A18077" i="3"/>
  <c r="A18076" i="3"/>
  <c r="A18075" i="3"/>
  <c r="A18074" i="3"/>
  <c r="A18073" i="3"/>
  <c r="A18072" i="3"/>
  <c r="A18071" i="3"/>
  <c r="A18070" i="3"/>
  <c r="A18069" i="3"/>
  <c r="A18068" i="3"/>
  <c r="A18067" i="3"/>
  <c r="A18066" i="3"/>
  <c r="A18065" i="3"/>
  <c r="A18064" i="3"/>
  <c r="A18063" i="3"/>
  <c r="A18062" i="3"/>
  <c r="A18061" i="3"/>
  <c r="A18060" i="3"/>
  <c r="A18059" i="3"/>
  <c r="A18058" i="3"/>
  <c r="A18057" i="3"/>
  <c r="A18056" i="3"/>
  <c r="A18055" i="3"/>
  <c r="A18054" i="3"/>
  <c r="A18053" i="3"/>
  <c r="A18052" i="3"/>
  <c r="A18051" i="3"/>
  <c r="A18050" i="3"/>
  <c r="A18049" i="3"/>
  <c r="A18048" i="3"/>
  <c r="A18047" i="3"/>
  <c r="A18046" i="3"/>
  <c r="A18045" i="3"/>
  <c r="A18044" i="3"/>
  <c r="A18043" i="3"/>
  <c r="A18042" i="3"/>
  <c r="A18041" i="3"/>
  <c r="A18040" i="3"/>
  <c r="A18039" i="3"/>
  <c r="A18038" i="3"/>
  <c r="A18037" i="3"/>
  <c r="A18036" i="3"/>
  <c r="A18035" i="3"/>
  <c r="A18034" i="3"/>
  <c r="A18033" i="3"/>
  <c r="A18032" i="3"/>
  <c r="A18031" i="3"/>
  <c r="A18030" i="3"/>
  <c r="A18029" i="3"/>
  <c r="A18028" i="3"/>
  <c r="A18027" i="3"/>
  <c r="A18026" i="3"/>
  <c r="A18025" i="3"/>
  <c r="A18024" i="3"/>
  <c r="A18023" i="3"/>
  <c r="A18022" i="3"/>
  <c r="A18021" i="3"/>
  <c r="A18020" i="3"/>
  <c r="A18019" i="3"/>
  <c r="A18018" i="3"/>
  <c r="A18017" i="3"/>
  <c r="A18016" i="3"/>
  <c r="A18015" i="3"/>
  <c r="A18014" i="3"/>
  <c r="A18013" i="3"/>
  <c r="A18012" i="3"/>
  <c r="A18011" i="3"/>
  <c r="A18010" i="3"/>
  <c r="A18009" i="3"/>
  <c r="A18008" i="3"/>
  <c r="A18007" i="3"/>
  <c r="A18006" i="3"/>
  <c r="A18005" i="3"/>
  <c r="A18004" i="3"/>
  <c r="A18003" i="3"/>
  <c r="A18002" i="3"/>
  <c r="A18001" i="3"/>
  <c r="A18000" i="3"/>
  <c r="A17999" i="3"/>
  <c r="A17998" i="3"/>
  <c r="A17997" i="3"/>
  <c r="A17996" i="3"/>
  <c r="A17995" i="3"/>
  <c r="A17994" i="3"/>
  <c r="A17993" i="3"/>
  <c r="A17992" i="3"/>
  <c r="A17991" i="3"/>
  <c r="A17990" i="3"/>
  <c r="A17989" i="3"/>
  <c r="A17988" i="3"/>
  <c r="A17987" i="3"/>
  <c r="A17986" i="3"/>
  <c r="A17985" i="3"/>
  <c r="A17984" i="3"/>
  <c r="A17983" i="3"/>
  <c r="A17982" i="3"/>
  <c r="A17981" i="3"/>
  <c r="A17980" i="3"/>
  <c r="A17979" i="3"/>
  <c r="A17978" i="3"/>
  <c r="A17977" i="3"/>
  <c r="A17976" i="3"/>
  <c r="A17975" i="3"/>
  <c r="A17974" i="3"/>
  <c r="A17973" i="3"/>
  <c r="A17972" i="3"/>
  <c r="A17971" i="3"/>
  <c r="A17970" i="3"/>
  <c r="A17969" i="3"/>
  <c r="A17968" i="3"/>
  <c r="A17967" i="3"/>
  <c r="A17966" i="3"/>
  <c r="A17965" i="3"/>
  <c r="A17964" i="3"/>
  <c r="A17963" i="3"/>
  <c r="A17962" i="3"/>
  <c r="A17961" i="3"/>
  <c r="A17960" i="3"/>
  <c r="A17959" i="3"/>
  <c r="A17958" i="3"/>
  <c r="A17957" i="3"/>
  <c r="A17956" i="3"/>
  <c r="A17955" i="3"/>
  <c r="A17954" i="3"/>
  <c r="A17953" i="3"/>
  <c r="A17952" i="3"/>
  <c r="A17951" i="3"/>
  <c r="A17950" i="3"/>
  <c r="A17949" i="3"/>
  <c r="A17948" i="3"/>
  <c r="A17947" i="3"/>
  <c r="A17946" i="3"/>
  <c r="A17945" i="3"/>
  <c r="A17944" i="3"/>
  <c r="A17943" i="3"/>
  <c r="A17942" i="3"/>
  <c r="A17941" i="3"/>
  <c r="A17940" i="3"/>
  <c r="A17939" i="3"/>
  <c r="A17938" i="3"/>
  <c r="A17937" i="3"/>
  <c r="A17936" i="3"/>
  <c r="A17935" i="3"/>
  <c r="A17934" i="3"/>
  <c r="A17933" i="3"/>
  <c r="A17932" i="3"/>
  <c r="A17931" i="3"/>
  <c r="A17930" i="3"/>
  <c r="A17929" i="3"/>
  <c r="A17928" i="3"/>
  <c r="A17927" i="3"/>
  <c r="A17926" i="3"/>
  <c r="A17925" i="3"/>
  <c r="A17924" i="3"/>
  <c r="A17923" i="3"/>
  <c r="A17922" i="3"/>
  <c r="A17921" i="3"/>
  <c r="A17920" i="3"/>
  <c r="A17919" i="3"/>
  <c r="A17918" i="3"/>
  <c r="A17917" i="3"/>
  <c r="A17916" i="3"/>
  <c r="A17915" i="3"/>
  <c r="A17914" i="3"/>
  <c r="A17913" i="3"/>
  <c r="A17912" i="3"/>
  <c r="A17911" i="3"/>
  <c r="A17910" i="3"/>
  <c r="A17909" i="3"/>
  <c r="A17908" i="3"/>
  <c r="A17907" i="3"/>
  <c r="A17906" i="3"/>
  <c r="A17905" i="3"/>
  <c r="A17904" i="3"/>
  <c r="A17903" i="3"/>
  <c r="A17902" i="3"/>
  <c r="A17901" i="3"/>
  <c r="A17900" i="3"/>
  <c r="A17899" i="3"/>
  <c r="A17898" i="3"/>
  <c r="A17897" i="3"/>
  <c r="A17896" i="3"/>
  <c r="A17895" i="3"/>
  <c r="A17894" i="3"/>
  <c r="A17893" i="3"/>
  <c r="A17892" i="3"/>
  <c r="A17891" i="3"/>
  <c r="A17890" i="3"/>
  <c r="A17889" i="3"/>
  <c r="A17888" i="3"/>
  <c r="A17887" i="3"/>
  <c r="A17886" i="3"/>
  <c r="A17885" i="3"/>
  <c r="A17884" i="3"/>
  <c r="A17883" i="3"/>
  <c r="A17882" i="3"/>
  <c r="A17881" i="3"/>
  <c r="A17880" i="3"/>
  <c r="A17879" i="3"/>
  <c r="A17878" i="3"/>
  <c r="A17877" i="3"/>
  <c r="A17876" i="3"/>
  <c r="A17875" i="3"/>
  <c r="A17874" i="3"/>
  <c r="A17873" i="3"/>
  <c r="A17872" i="3"/>
  <c r="A17871" i="3"/>
  <c r="A17870" i="3"/>
  <c r="A17869" i="3"/>
  <c r="A17868" i="3"/>
  <c r="A17867" i="3"/>
  <c r="A17866" i="3"/>
  <c r="A17865" i="3"/>
  <c r="A17864" i="3"/>
  <c r="A17863" i="3"/>
  <c r="A17862" i="3"/>
  <c r="A17861" i="3"/>
  <c r="A17860" i="3"/>
  <c r="A17859" i="3"/>
  <c r="A17858" i="3"/>
  <c r="A17857" i="3"/>
  <c r="A17856" i="3"/>
  <c r="A17855" i="3"/>
  <c r="A17854" i="3"/>
  <c r="A17853" i="3"/>
  <c r="A17852" i="3"/>
  <c r="A17851" i="3"/>
  <c r="A17850" i="3"/>
  <c r="A17849" i="3"/>
  <c r="A17848" i="3"/>
  <c r="A17847" i="3"/>
  <c r="A17846" i="3"/>
  <c r="A17845" i="3"/>
  <c r="A17844" i="3"/>
  <c r="A17843" i="3"/>
  <c r="A17842" i="3"/>
  <c r="A17841" i="3"/>
  <c r="A17840" i="3"/>
  <c r="A17839" i="3"/>
  <c r="A17838" i="3"/>
  <c r="A17837" i="3"/>
  <c r="A17836" i="3"/>
  <c r="A17835" i="3"/>
  <c r="A17834" i="3"/>
  <c r="A17833" i="3"/>
  <c r="A17832" i="3"/>
  <c r="A17831" i="3"/>
  <c r="A17830" i="3"/>
  <c r="A17829" i="3"/>
  <c r="A17828" i="3"/>
  <c r="A17827" i="3"/>
  <c r="A17826" i="3"/>
  <c r="A17825" i="3"/>
  <c r="A17824" i="3"/>
  <c r="A17823" i="3"/>
  <c r="A17822" i="3"/>
  <c r="A17821" i="3"/>
  <c r="A17820" i="3"/>
  <c r="A17819" i="3"/>
  <c r="A17818" i="3"/>
  <c r="A17817" i="3"/>
  <c r="A17816" i="3"/>
  <c r="A17815" i="3"/>
  <c r="A17814" i="3"/>
  <c r="A17813" i="3"/>
  <c r="A17812" i="3"/>
  <c r="A17811" i="3"/>
  <c r="A17810" i="3"/>
  <c r="A17809" i="3"/>
  <c r="A17808" i="3"/>
  <c r="A17807" i="3"/>
  <c r="A17806" i="3"/>
  <c r="A17805" i="3"/>
  <c r="A17804" i="3"/>
  <c r="A17803" i="3"/>
  <c r="A17802" i="3"/>
  <c r="A17801" i="3"/>
  <c r="A17800" i="3"/>
  <c r="A17799" i="3"/>
  <c r="A17798" i="3"/>
  <c r="A17797" i="3"/>
  <c r="A17796" i="3"/>
  <c r="A17795" i="3"/>
  <c r="A17794" i="3"/>
  <c r="A17793" i="3"/>
  <c r="A17792" i="3"/>
  <c r="A17791" i="3"/>
  <c r="A17790" i="3"/>
  <c r="A17789" i="3"/>
  <c r="A17788" i="3"/>
  <c r="A17787" i="3"/>
  <c r="A17786" i="3"/>
  <c r="A17785" i="3"/>
  <c r="A17784" i="3"/>
  <c r="A17783" i="3"/>
  <c r="A17782" i="3"/>
  <c r="A17781" i="3"/>
  <c r="A17780" i="3"/>
  <c r="A17779" i="3"/>
  <c r="A17778" i="3"/>
  <c r="A17777" i="3"/>
  <c r="A17776" i="3"/>
  <c r="A17775" i="3"/>
  <c r="A17774" i="3"/>
  <c r="A17773" i="3"/>
  <c r="A17772" i="3"/>
  <c r="A17771" i="3"/>
  <c r="A17770" i="3"/>
  <c r="A17769" i="3"/>
  <c r="A17768" i="3"/>
  <c r="A17767" i="3"/>
  <c r="A17766" i="3"/>
  <c r="A17765" i="3"/>
  <c r="A17764" i="3"/>
  <c r="A17763" i="3"/>
  <c r="A17762" i="3"/>
  <c r="A17761" i="3"/>
  <c r="A17760" i="3"/>
  <c r="A17759" i="3"/>
  <c r="A17758" i="3"/>
  <c r="A17757" i="3"/>
  <c r="A17756" i="3"/>
  <c r="A17755" i="3"/>
  <c r="A17754" i="3"/>
  <c r="A17753" i="3"/>
  <c r="A17752" i="3"/>
  <c r="A17751" i="3"/>
  <c r="A17750" i="3"/>
  <c r="A17749" i="3"/>
  <c r="A17748" i="3"/>
  <c r="A17747" i="3"/>
  <c r="A17746" i="3"/>
  <c r="A17745" i="3"/>
  <c r="A17744" i="3"/>
  <c r="A17743" i="3"/>
  <c r="A17742" i="3"/>
  <c r="A17741" i="3"/>
  <c r="A17740" i="3"/>
  <c r="A17739" i="3"/>
  <c r="A17738" i="3"/>
  <c r="A17737" i="3"/>
  <c r="A17736" i="3"/>
  <c r="A17735" i="3"/>
  <c r="A17734" i="3"/>
  <c r="A17733" i="3"/>
  <c r="A17732" i="3"/>
  <c r="A17731" i="3"/>
  <c r="A17730" i="3"/>
  <c r="A17729" i="3"/>
  <c r="A17728" i="3"/>
  <c r="A17727" i="3"/>
  <c r="A17726" i="3"/>
  <c r="A17725" i="3"/>
  <c r="A17724" i="3"/>
  <c r="A17723" i="3"/>
  <c r="A17722" i="3"/>
  <c r="A17721" i="3"/>
  <c r="A17720" i="3"/>
  <c r="A17719" i="3"/>
  <c r="A17718" i="3"/>
  <c r="A17717" i="3"/>
  <c r="A17716" i="3"/>
  <c r="A17715" i="3"/>
  <c r="A17714" i="3"/>
  <c r="A17713" i="3"/>
  <c r="A17712" i="3"/>
  <c r="A17711" i="3"/>
  <c r="A17710" i="3"/>
  <c r="A17709" i="3"/>
  <c r="A17708" i="3"/>
  <c r="A17707" i="3"/>
  <c r="A17706" i="3"/>
  <c r="A17705" i="3"/>
  <c r="A17704" i="3"/>
  <c r="A17703" i="3"/>
  <c r="A17702" i="3"/>
  <c r="A17701" i="3"/>
  <c r="A17700" i="3"/>
  <c r="A17699" i="3"/>
  <c r="A17698" i="3"/>
  <c r="A17697" i="3"/>
  <c r="A17696" i="3"/>
  <c r="A17695" i="3"/>
  <c r="A17694" i="3"/>
  <c r="A17693" i="3"/>
  <c r="A17692" i="3"/>
  <c r="A17691" i="3"/>
  <c r="A17690" i="3"/>
  <c r="A17689" i="3"/>
  <c r="A17688" i="3"/>
  <c r="A17687" i="3"/>
  <c r="A17686" i="3"/>
  <c r="A17685" i="3"/>
  <c r="A17684" i="3"/>
  <c r="A17683" i="3"/>
  <c r="A17682" i="3"/>
  <c r="A17681" i="3"/>
  <c r="A17680" i="3"/>
  <c r="A17679" i="3"/>
  <c r="A17678" i="3"/>
  <c r="A17677" i="3"/>
  <c r="A17676" i="3"/>
  <c r="A17675" i="3"/>
  <c r="A17674" i="3"/>
  <c r="A17673" i="3"/>
  <c r="A17672" i="3"/>
  <c r="A17671" i="3"/>
  <c r="A17670" i="3"/>
  <c r="A17669" i="3"/>
  <c r="A17668" i="3"/>
  <c r="A17667" i="3"/>
  <c r="A17666" i="3"/>
  <c r="A17665" i="3"/>
  <c r="A17664" i="3"/>
  <c r="A17663" i="3"/>
  <c r="A17662" i="3"/>
  <c r="A17661" i="3"/>
  <c r="A17660" i="3"/>
  <c r="A17659" i="3"/>
  <c r="A17658" i="3"/>
  <c r="A17657" i="3"/>
  <c r="A17656" i="3"/>
  <c r="A17655" i="3"/>
  <c r="A17654" i="3"/>
  <c r="A17653" i="3"/>
  <c r="A17652" i="3"/>
  <c r="A17651" i="3"/>
  <c r="A17650" i="3"/>
  <c r="A17649" i="3"/>
  <c r="A17648" i="3"/>
  <c r="A17647" i="3"/>
  <c r="A17646" i="3"/>
  <c r="A17645" i="3"/>
  <c r="A17644" i="3"/>
  <c r="A17643" i="3"/>
  <c r="A17642" i="3"/>
  <c r="A17641" i="3"/>
  <c r="A17640" i="3"/>
  <c r="A17639" i="3"/>
  <c r="A17638" i="3"/>
  <c r="A17637" i="3"/>
  <c r="A17636" i="3"/>
  <c r="A17635" i="3"/>
  <c r="A17634" i="3"/>
  <c r="A17633" i="3"/>
  <c r="A17632" i="3"/>
  <c r="A17631" i="3"/>
  <c r="A17630" i="3"/>
  <c r="A17629" i="3"/>
  <c r="A17628" i="3"/>
  <c r="A17627" i="3"/>
  <c r="A17626" i="3"/>
  <c r="A17625" i="3"/>
  <c r="A17624" i="3"/>
  <c r="A17623" i="3"/>
  <c r="A17622" i="3"/>
  <c r="A17621" i="3"/>
  <c r="A17620" i="3"/>
  <c r="A17619" i="3"/>
  <c r="A17618" i="3"/>
  <c r="A17617" i="3"/>
  <c r="A17616" i="3"/>
  <c r="A17615" i="3"/>
  <c r="A17614" i="3"/>
  <c r="A17613" i="3"/>
  <c r="A17612" i="3"/>
  <c r="A17611" i="3"/>
  <c r="A17610" i="3"/>
  <c r="A17609" i="3"/>
  <c r="A17608" i="3"/>
  <c r="A17607" i="3"/>
  <c r="A17606" i="3"/>
  <c r="A17605" i="3"/>
  <c r="A17604" i="3"/>
  <c r="A17603" i="3"/>
  <c r="A17602" i="3"/>
  <c r="A17601" i="3"/>
  <c r="A17600" i="3"/>
  <c r="A17599" i="3"/>
  <c r="A17598" i="3"/>
  <c r="A17597" i="3"/>
  <c r="A17596" i="3"/>
  <c r="A17595" i="3"/>
  <c r="A17594" i="3"/>
  <c r="A17593" i="3"/>
  <c r="A17592" i="3"/>
  <c r="A17591" i="3"/>
  <c r="A17590" i="3"/>
  <c r="A17589" i="3"/>
  <c r="A17588" i="3"/>
  <c r="A17587" i="3"/>
  <c r="A17586" i="3"/>
  <c r="A17585" i="3"/>
  <c r="A17584" i="3"/>
  <c r="A17583" i="3"/>
  <c r="A17582" i="3"/>
  <c r="A17581" i="3"/>
  <c r="A17580" i="3"/>
  <c r="A17579" i="3"/>
  <c r="A17578" i="3"/>
  <c r="A17577" i="3"/>
  <c r="A17576" i="3"/>
  <c r="A17575" i="3"/>
  <c r="A17574" i="3"/>
  <c r="A17573" i="3"/>
  <c r="A17572" i="3"/>
  <c r="A17571" i="3"/>
  <c r="A17570" i="3"/>
  <c r="A17569" i="3"/>
  <c r="A17568" i="3"/>
  <c r="A17567" i="3"/>
  <c r="A17566" i="3"/>
  <c r="A17565" i="3"/>
  <c r="A17564" i="3"/>
  <c r="A17563" i="3"/>
  <c r="A17562" i="3"/>
  <c r="A17561" i="3"/>
  <c r="A17560" i="3"/>
  <c r="A17559" i="3"/>
  <c r="A17558" i="3"/>
  <c r="A17557" i="3"/>
  <c r="A17556" i="3"/>
  <c r="A17555" i="3"/>
  <c r="A17554" i="3"/>
  <c r="A17553" i="3"/>
  <c r="A17552" i="3"/>
  <c r="A17551" i="3"/>
  <c r="A17550" i="3"/>
  <c r="A17549" i="3"/>
  <c r="A17548" i="3"/>
  <c r="A17547" i="3"/>
  <c r="A17546" i="3"/>
  <c r="A17545" i="3"/>
  <c r="A17544" i="3"/>
  <c r="A17543" i="3"/>
  <c r="A17542" i="3"/>
  <c r="A17541" i="3"/>
  <c r="A17540" i="3"/>
  <c r="A17539" i="3"/>
  <c r="A17538" i="3"/>
  <c r="A17537" i="3"/>
  <c r="A17536" i="3"/>
  <c r="A17535" i="3"/>
  <c r="A17534" i="3"/>
  <c r="A17533" i="3"/>
  <c r="A17532" i="3"/>
  <c r="A17531" i="3"/>
  <c r="A17530" i="3"/>
  <c r="A17529" i="3"/>
  <c r="A17528" i="3"/>
  <c r="A17527" i="3"/>
  <c r="A17526" i="3"/>
  <c r="A17525" i="3"/>
  <c r="A17524" i="3"/>
  <c r="A17523" i="3"/>
  <c r="A17522" i="3"/>
  <c r="A17521" i="3"/>
  <c r="A17520" i="3"/>
  <c r="A17519" i="3"/>
  <c r="A17518" i="3"/>
  <c r="A17517" i="3"/>
  <c r="A17516" i="3"/>
  <c r="A17515" i="3"/>
  <c r="A17514" i="3"/>
  <c r="A17513" i="3"/>
  <c r="A17512" i="3"/>
  <c r="A17511" i="3"/>
  <c r="A17510" i="3"/>
  <c r="A17509" i="3"/>
  <c r="A17508" i="3"/>
  <c r="A17507" i="3"/>
  <c r="A17506" i="3"/>
  <c r="A17505" i="3"/>
  <c r="A17504" i="3"/>
  <c r="A17503" i="3"/>
  <c r="A17502" i="3"/>
  <c r="A17501" i="3"/>
  <c r="A17500" i="3"/>
  <c r="A17499" i="3"/>
  <c r="A17498" i="3"/>
  <c r="A17497" i="3"/>
  <c r="A17496" i="3"/>
  <c r="A17495" i="3"/>
  <c r="A17494" i="3"/>
  <c r="A17493" i="3"/>
  <c r="A17492" i="3"/>
  <c r="A17491" i="3"/>
  <c r="A17490" i="3"/>
  <c r="A17489" i="3"/>
  <c r="A17488" i="3"/>
  <c r="A17487" i="3"/>
  <c r="A17486" i="3"/>
  <c r="A17485" i="3"/>
  <c r="A17484" i="3"/>
  <c r="A17483" i="3"/>
  <c r="A17482" i="3"/>
  <c r="A17481" i="3"/>
  <c r="A17480" i="3"/>
  <c r="A17479" i="3"/>
  <c r="A17478" i="3"/>
  <c r="A17477" i="3"/>
  <c r="A17476" i="3"/>
  <c r="A17475" i="3"/>
  <c r="A17474" i="3"/>
  <c r="A17473" i="3"/>
  <c r="A17472" i="3"/>
  <c r="A17471" i="3"/>
  <c r="A17470" i="3"/>
  <c r="A17469" i="3"/>
  <c r="A17468" i="3"/>
  <c r="A17467" i="3"/>
  <c r="A17466" i="3"/>
  <c r="A17465" i="3"/>
  <c r="A17464" i="3"/>
  <c r="A17463" i="3"/>
  <c r="A17462" i="3"/>
  <c r="A17461" i="3"/>
  <c r="A17460" i="3"/>
  <c r="A17459" i="3"/>
  <c r="A17458" i="3"/>
  <c r="A17457" i="3"/>
  <c r="A17456" i="3"/>
  <c r="A17455" i="3"/>
  <c r="A17454" i="3"/>
  <c r="A17453" i="3"/>
  <c r="A17452" i="3"/>
  <c r="A17451" i="3"/>
  <c r="A17450" i="3"/>
  <c r="A17449" i="3"/>
  <c r="A17448" i="3"/>
  <c r="A17447" i="3"/>
  <c r="A17446" i="3"/>
  <c r="A17445" i="3"/>
  <c r="A17444" i="3"/>
  <c r="A17443" i="3"/>
  <c r="A17442" i="3"/>
  <c r="A17441" i="3"/>
  <c r="A17440" i="3"/>
  <c r="A17439" i="3"/>
  <c r="A17438" i="3"/>
  <c r="A17437" i="3"/>
  <c r="A17436" i="3"/>
  <c r="A17435" i="3"/>
  <c r="A17434" i="3"/>
  <c r="A17433" i="3"/>
  <c r="A17432" i="3"/>
  <c r="A17431" i="3"/>
  <c r="A17430" i="3"/>
  <c r="A17429" i="3"/>
  <c r="A17428" i="3"/>
  <c r="A17427" i="3"/>
  <c r="A17426" i="3"/>
  <c r="A17425" i="3"/>
  <c r="A17424" i="3"/>
  <c r="A17423" i="3"/>
  <c r="A17422" i="3"/>
  <c r="A17421" i="3"/>
  <c r="A17420" i="3"/>
  <c r="A17419" i="3"/>
  <c r="A17418" i="3"/>
  <c r="A17417" i="3"/>
  <c r="A17416" i="3"/>
  <c r="A17415" i="3"/>
  <c r="A17414" i="3"/>
  <c r="A17413" i="3"/>
  <c r="A17412" i="3"/>
  <c r="A17411" i="3"/>
  <c r="A17410" i="3"/>
  <c r="A17409" i="3"/>
  <c r="A17408" i="3"/>
  <c r="A17407" i="3"/>
  <c r="A17406" i="3"/>
  <c r="A17405" i="3"/>
  <c r="A17404" i="3"/>
  <c r="A17403" i="3"/>
  <c r="A17402" i="3"/>
  <c r="A17401" i="3"/>
  <c r="A17400" i="3"/>
  <c r="A17399" i="3"/>
  <c r="A17398" i="3"/>
  <c r="A17397" i="3"/>
  <c r="A17396" i="3"/>
  <c r="A17395" i="3"/>
  <c r="A17394" i="3"/>
  <c r="A17393" i="3"/>
  <c r="A17392" i="3"/>
  <c r="A17391" i="3"/>
  <c r="A17390" i="3"/>
  <c r="A17389" i="3"/>
  <c r="A17388" i="3"/>
  <c r="A17387" i="3"/>
  <c r="A17386" i="3"/>
  <c r="A17385" i="3"/>
  <c r="A17384" i="3"/>
  <c r="A17383" i="3"/>
  <c r="A17382" i="3"/>
  <c r="A17381" i="3"/>
  <c r="A17380" i="3"/>
  <c r="A17379" i="3"/>
  <c r="A17378" i="3"/>
  <c r="A17377" i="3"/>
  <c r="A17376" i="3"/>
  <c r="A17375" i="3"/>
  <c r="A17374" i="3"/>
  <c r="A17373" i="3"/>
  <c r="A17372" i="3"/>
  <c r="A17371" i="3"/>
  <c r="A17370" i="3"/>
  <c r="A17369" i="3"/>
  <c r="A17368" i="3"/>
  <c r="A17367" i="3"/>
  <c r="A17366" i="3"/>
  <c r="A17365" i="3"/>
  <c r="A17364" i="3"/>
  <c r="A17363" i="3"/>
  <c r="A17362" i="3"/>
  <c r="A17361" i="3"/>
  <c r="A17360" i="3"/>
  <c r="A17359" i="3"/>
  <c r="A17358" i="3"/>
  <c r="A17357" i="3"/>
  <c r="A17356" i="3"/>
  <c r="A17355" i="3"/>
  <c r="A17354" i="3"/>
  <c r="A17353" i="3"/>
  <c r="A17352" i="3"/>
  <c r="A17351" i="3"/>
  <c r="A17350" i="3"/>
  <c r="A17349" i="3"/>
  <c r="A17348" i="3"/>
  <c r="A17347" i="3"/>
  <c r="A17346" i="3"/>
  <c r="A17345" i="3"/>
  <c r="A17344" i="3"/>
  <c r="A17343" i="3"/>
  <c r="A17342" i="3"/>
  <c r="A17341" i="3"/>
  <c r="A17340" i="3"/>
  <c r="A17339" i="3"/>
  <c r="A17338" i="3"/>
  <c r="A17337" i="3"/>
  <c r="A17336" i="3"/>
  <c r="A17335" i="3"/>
  <c r="A17334" i="3"/>
  <c r="A17333" i="3"/>
  <c r="A17332" i="3"/>
  <c r="A17331" i="3"/>
  <c r="A17330" i="3"/>
  <c r="A17329" i="3"/>
  <c r="A17328" i="3"/>
  <c r="A17327" i="3"/>
  <c r="A17326" i="3"/>
  <c r="A17325" i="3"/>
  <c r="A17324" i="3"/>
  <c r="A17323" i="3"/>
  <c r="A17322" i="3"/>
  <c r="A17321" i="3"/>
  <c r="A17320" i="3"/>
  <c r="A17319" i="3"/>
  <c r="A17318" i="3"/>
  <c r="A17317" i="3"/>
  <c r="A17316" i="3"/>
  <c r="A17315" i="3"/>
  <c r="A17314" i="3"/>
  <c r="A17313" i="3"/>
  <c r="A17312" i="3"/>
  <c r="A17311" i="3"/>
  <c r="A17310" i="3"/>
  <c r="A17309" i="3"/>
  <c r="A17308" i="3"/>
  <c r="A17307" i="3"/>
  <c r="A17306" i="3"/>
  <c r="A17305" i="3"/>
  <c r="A17304" i="3"/>
  <c r="A17303" i="3"/>
  <c r="A17302" i="3"/>
  <c r="A17301" i="3"/>
  <c r="A17300" i="3"/>
  <c r="A17299" i="3"/>
  <c r="A17298" i="3"/>
  <c r="A17297" i="3"/>
  <c r="A17296" i="3"/>
  <c r="A17295" i="3"/>
  <c r="A17294" i="3"/>
  <c r="A17293" i="3"/>
  <c r="A17292" i="3"/>
  <c r="A17291" i="3"/>
  <c r="A17290" i="3"/>
  <c r="A17289" i="3"/>
  <c r="A17288" i="3"/>
  <c r="A17287" i="3"/>
  <c r="A17286" i="3"/>
  <c r="A17285" i="3"/>
  <c r="A17284" i="3"/>
  <c r="A17283" i="3"/>
  <c r="A17282" i="3"/>
  <c r="A17281" i="3"/>
  <c r="A17280" i="3"/>
  <c r="A17279" i="3"/>
  <c r="A17278" i="3"/>
  <c r="A17277" i="3"/>
  <c r="A17276" i="3"/>
  <c r="A17275" i="3"/>
  <c r="A17274" i="3"/>
  <c r="A17273" i="3"/>
  <c r="A17272" i="3"/>
  <c r="A17271" i="3"/>
  <c r="A17270" i="3"/>
  <c r="A17269" i="3"/>
  <c r="A17268" i="3"/>
  <c r="A17267" i="3"/>
  <c r="A17266" i="3"/>
  <c r="A17265" i="3"/>
  <c r="A17264" i="3"/>
  <c r="A17263" i="3"/>
  <c r="A17262" i="3"/>
  <c r="A17261" i="3"/>
  <c r="A17260" i="3"/>
  <c r="A17259" i="3"/>
  <c r="A17258" i="3"/>
  <c r="A17257" i="3"/>
  <c r="A17256" i="3"/>
  <c r="A17255" i="3"/>
  <c r="A17254" i="3"/>
  <c r="A17253" i="3"/>
  <c r="A17252" i="3"/>
  <c r="A17251" i="3"/>
  <c r="A17250" i="3"/>
  <c r="A17249" i="3"/>
  <c r="A17248" i="3"/>
  <c r="A17247" i="3"/>
  <c r="A17246" i="3"/>
  <c r="A17245" i="3"/>
  <c r="A17244" i="3"/>
  <c r="A17243" i="3"/>
  <c r="A17242" i="3"/>
  <c r="A17241" i="3"/>
  <c r="A17240" i="3"/>
  <c r="A17239" i="3"/>
  <c r="A17238" i="3"/>
  <c r="A17237" i="3"/>
  <c r="A17236" i="3"/>
  <c r="A17235" i="3"/>
  <c r="A17234" i="3"/>
  <c r="A17233" i="3"/>
  <c r="A17232" i="3"/>
  <c r="A17231" i="3"/>
  <c r="A17230" i="3"/>
  <c r="A17229" i="3"/>
  <c r="A17228" i="3"/>
  <c r="A17227" i="3"/>
  <c r="A17226" i="3"/>
  <c r="A17225" i="3"/>
  <c r="A17224" i="3"/>
  <c r="A17223" i="3"/>
  <c r="A17222" i="3"/>
  <c r="A17221" i="3"/>
  <c r="A17220" i="3"/>
  <c r="A17219" i="3"/>
  <c r="A17218" i="3"/>
  <c r="A17217" i="3"/>
  <c r="A17216" i="3"/>
  <c r="A17215" i="3"/>
  <c r="A17214" i="3"/>
  <c r="A17213" i="3"/>
  <c r="A17212" i="3"/>
  <c r="A17211" i="3"/>
  <c r="A17210" i="3"/>
  <c r="A17209" i="3"/>
  <c r="A17208" i="3"/>
  <c r="A17207" i="3"/>
  <c r="A17206" i="3"/>
  <c r="A17205" i="3"/>
  <c r="A17204" i="3"/>
  <c r="A17203" i="3"/>
  <c r="A17202" i="3"/>
  <c r="A17201" i="3"/>
  <c r="A17200" i="3"/>
  <c r="A17199" i="3"/>
  <c r="A17198" i="3"/>
  <c r="A17197" i="3"/>
  <c r="A17196" i="3"/>
  <c r="A17195" i="3"/>
  <c r="A17194" i="3"/>
  <c r="A17193" i="3"/>
  <c r="A17192" i="3"/>
  <c r="A17191" i="3"/>
  <c r="A17190" i="3"/>
  <c r="A17189" i="3"/>
  <c r="A17188" i="3"/>
  <c r="A17187" i="3"/>
  <c r="A17186" i="3"/>
  <c r="A17185" i="3"/>
  <c r="A17184" i="3"/>
  <c r="A17183" i="3"/>
  <c r="A17182" i="3"/>
  <c r="A17181" i="3"/>
  <c r="A17180" i="3"/>
  <c r="A17179" i="3"/>
  <c r="A17178" i="3"/>
  <c r="A17177" i="3"/>
  <c r="A17176" i="3"/>
  <c r="A17175" i="3"/>
  <c r="A17174" i="3"/>
  <c r="A17173" i="3"/>
  <c r="A17172" i="3"/>
  <c r="A17171" i="3"/>
  <c r="A17170" i="3"/>
  <c r="A17169" i="3"/>
  <c r="A17168" i="3"/>
  <c r="A17167" i="3"/>
  <c r="A17166" i="3"/>
  <c r="A17165" i="3"/>
  <c r="A17164" i="3"/>
  <c r="A17163" i="3"/>
  <c r="A17162" i="3"/>
  <c r="A17161" i="3"/>
  <c r="A17160" i="3"/>
  <c r="A17159" i="3"/>
  <c r="A17158" i="3"/>
  <c r="A17157" i="3"/>
  <c r="A17156" i="3"/>
  <c r="A17155" i="3"/>
  <c r="A17154" i="3"/>
  <c r="A17153" i="3"/>
  <c r="A17152" i="3"/>
  <c r="A17151" i="3"/>
  <c r="A17150" i="3"/>
  <c r="A17149" i="3"/>
  <c r="A17148" i="3"/>
  <c r="A17147" i="3"/>
  <c r="A17146" i="3"/>
  <c r="A17145" i="3"/>
  <c r="A17144" i="3"/>
  <c r="A17143" i="3"/>
  <c r="A17142" i="3"/>
  <c r="A17141" i="3"/>
  <c r="A17140" i="3"/>
  <c r="A17139" i="3"/>
  <c r="A17138" i="3"/>
  <c r="A17137" i="3"/>
  <c r="A17136" i="3"/>
  <c r="A17135" i="3"/>
  <c r="A17134" i="3"/>
  <c r="A17133" i="3"/>
  <c r="A17132" i="3"/>
  <c r="A17131" i="3"/>
  <c r="A17130" i="3"/>
  <c r="A17129" i="3"/>
  <c r="A17128" i="3"/>
  <c r="A17127" i="3"/>
  <c r="A17126" i="3"/>
  <c r="A17125" i="3"/>
  <c r="A17124" i="3"/>
  <c r="A17123" i="3"/>
  <c r="A17122" i="3"/>
  <c r="A17121" i="3"/>
  <c r="A17120" i="3"/>
  <c r="A17119" i="3"/>
  <c r="A17118" i="3"/>
  <c r="A17117" i="3"/>
  <c r="A17116" i="3"/>
  <c r="A17115" i="3"/>
  <c r="A17114" i="3"/>
  <c r="A17113" i="3"/>
  <c r="A17112" i="3"/>
  <c r="A17111" i="3"/>
  <c r="A17110" i="3"/>
  <c r="A17109" i="3"/>
  <c r="A17108" i="3"/>
  <c r="A17107" i="3"/>
  <c r="A17106" i="3"/>
  <c r="A17105" i="3"/>
  <c r="A17104" i="3"/>
  <c r="A17103" i="3"/>
  <c r="A17102" i="3"/>
  <c r="A17101" i="3"/>
  <c r="A17100" i="3"/>
  <c r="A17099" i="3"/>
  <c r="A17098" i="3"/>
  <c r="A17097" i="3"/>
  <c r="A17096" i="3"/>
  <c r="A17095" i="3"/>
  <c r="A17094" i="3"/>
  <c r="A17093" i="3"/>
  <c r="A17092" i="3"/>
  <c r="A17091" i="3"/>
  <c r="A17090" i="3"/>
  <c r="A17089" i="3"/>
  <c r="A17088" i="3"/>
  <c r="A17087" i="3"/>
  <c r="A17086" i="3"/>
  <c r="A17085" i="3"/>
  <c r="A17084" i="3"/>
  <c r="A17083" i="3"/>
  <c r="A17082" i="3"/>
  <c r="A17081" i="3"/>
  <c r="A17080" i="3"/>
  <c r="A17079" i="3"/>
  <c r="A17078" i="3"/>
  <c r="A17077" i="3"/>
  <c r="A17076" i="3"/>
  <c r="A17075" i="3"/>
  <c r="A17074" i="3"/>
  <c r="A17073" i="3"/>
  <c r="A17072" i="3"/>
  <c r="A17071" i="3"/>
  <c r="A17070" i="3"/>
  <c r="A17069" i="3"/>
  <c r="A17068" i="3"/>
  <c r="A17067" i="3"/>
  <c r="A17066" i="3"/>
  <c r="A17065" i="3"/>
  <c r="A17064" i="3"/>
  <c r="A17063" i="3"/>
  <c r="A17062" i="3"/>
  <c r="A17061" i="3"/>
  <c r="A17060" i="3"/>
  <c r="A17059" i="3"/>
  <c r="A17058" i="3"/>
  <c r="A17057" i="3"/>
  <c r="A17056" i="3"/>
  <c r="A17055" i="3"/>
  <c r="A17054" i="3"/>
  <c r="A17053" i="3"/>
  <c r="A17052" i="3"/>
  <c r="A17051" i="3"/>
  <c r="A17050" i="3"/>
  <c r="A17049" i="3"/>
  <c r="A17048" i="3"/>
  <c r="A17047" i="3"/>
  <c r="A17046" i="3"/>
  <c r="A17045" i="3"/>
  <c r="A17044" i="3"/>
  <c r="A17043" i="3"/>
  <c r="A17042" i="3"/>
  <c r="A17041" i="3"/>
  <c r="A17040" i="3"/>
  <c r="A17039" i="3"/>
  <c r="A17038" i="3"/>
  <c r="A17037" i="3"/>
  <c r="A17036" i="3"/>
  <c r="A17035" i="3"/>
  <c r="A17034" i="3"/>
  <c r="A17033" i="3"/>
  <c r="A17032" i="3"/>
  <c r="A17031" i="3"/>
  <c r="A17030" i="3"/>
  <c r="A17029" i="3"/>
  <c r="A17028" i="3"/>
  <c r="A17027" i="3"/>
  <c r="A17026" i="3"/>
  <c r="A17025" i="3"/>
  <c r="A17024" i="3"/>
  <c r="A17023" i="3"/>
  <c r="A17022" i="3"/>
  <c r="A17021" i="3"/>
  <c r="A17020" i="3"/>
  <c r="A17019" i="3"/>
  <c r="A17018" i="3"/>
  <c r="A17017" i="3"/>
  <c r="A17016" i="3"/>
  <c r="A17015" i="3"/>
  <c r="A17014" i="3"/>
  <c r="A17013" i="3"/>
  <c r="A17012" i="3"/>
  <c r="A17011" i="3"/>
  <c r="A17010" i="3"/>
  <c r="A17009" i="3"/>
  <c r="A17008" i="3"/>
  <c r="A17007" i="3"/>
  <c r="A17006" i="3"/>
  <c r="A17005" i="3"/>
  <c r="A17004" i="3"/>
  <c r="A17003" i="3"/>
  <c r="A17002" i="3"/>
  <c r="A17001" i="3"/>
  <c r="A17000" i="3"/>
  <c r="A16999" i="3"/>
  <c r="A16998" i="3"/>
  <c r="A16997" i="3"/>
  <c r="A16996" i="3"/>
  <c r="A16995" i="3"/>
  <c r="A16994" i="3"/>
  <c r="A16993" i="3"/>
  <c r="A16992" i="3"/>
  <c r="A16991" i="3"/>
  <c r="A16990" i="3"/>
  <c r="A16989" i="3"/>
  <c r="A16988" i="3"/>
  <c r="A16987" i="3"/>
  <c r="A16986" i="3"/>
  <c r="A16985" i="3"/>
  <c r="A16984" i="3"/>
  <c r="A16983" i="3"/>
  <c r="A16982" i="3"/>
  <c r="A16981" i="3"/>
  <c r="A16980" i="3"/>
  <c r="A16979" i="3"/>
  <c r="A16978" i="3"/>
  <c r="A16977" i="3"/>
  <c r="A16976" i="3"/>
  <c r="A16975" i="3"/>
  <c r="A16974" i="3"/>
  <c r="A16973" i="3"/>
  <c r="A16972" i="3"/>
  <c r="A16971" i="3"/>
  <c r="A16970" i="3"/>
  <c r="A16969" i="3"/>
  <c r="A16968" i="3"/>
  <c r="A16967" i="3"/>
  <c r="A16966" i="3"/>
  <c r="A16965" i="3"/>
  <c r="A16964" i="3"/>
  <c r="A16963" i="3"/>
  <c r="A16962" i="3"/>
  <c r="A16961" i="3"/>
  <c r="A16960" i="3"/>
  <c r="A16959" i="3"/>
  <c r="A16958" i="3"/>
  <c r="A16957" i="3"/>
  <c r="A16956" i="3"/>
  <c r="A16955" i="3"/>
  <c r="A16954" i="3"/>
  <c r="A16953" i="3"/>
  <c r="A16952" i="3"/>
  <c r="A16951" i="3"/>
  <c r="A16950" i="3"/>
  <c r="A16949" i="3"/>
  <c r="A16948" i="3"/>
  <c r="A16947" i="3"/>
  <c r="A16946" i="3"/>
  <c r="A16945" i="3"/>
  <c r="A16944" i="3"/>
  <c r="A16943" i="3"/>
  <c r="A16942" i="3"/>
  <c r="A16941" i="3"/>
  <c r="A16940" i="3"/>
  <c r="A16939" i="3"/>
  <c r="A16938" i="3"/>
  <c r="A16937" i="3"/>
  <c r="A16936" i="3"/>
  <c r="A16935" i="3"/>
  <c r="A16934" i="3"/>
  <c r="A16933" i="3"/>
  <c r="A16932" i="3"/>
  <c r="A16931" i="3"/>
  <c r="A16930" i="3"/>
  <c r="A16929" i="3"/>
  <c r="A16928" i="3"/>
  <c r="A16927" i="3"/>
  <c r="A16926" i="3"/>
  <c r="A16925" i="3"/>
  <c r="A16924" i="3"/>
  <c r="A16923" i="3"/>
  <c r="A16922" i="3"/>
  <c r="A16921" i="3"/>
  <c r="A16920" i="3"/>
  <c r="A16919" i="3"/>
  <c r="A16918" i="3"/>
  <c r="A16917" i="3"/>
  <c r="A16916" i="3"/>
  <c r="A16915" i="3"/>
  <c r="A16914" i="3"/>
  <c r="A16913" i="3"/>
  <c r="A16912" i="3"/>
  <c r="A16911" i="3"/>
  <c r="A16910" i="3"/>
  <c r="A16909" i="3"/>
  <c r="A16908" i="3"/>
  <c r="A16907" i="3"/>
  <c r="A16906" i="3"/>
  <c r="A16905" i="3"/>
  <c r="A16904" i="3"/>
  <c r="A16903" i="3"/>
  <c r="A16902" i="3"/>
  <c r="A16901" i="3"/>
  <c r="A16900" i="3"/>
  <c r="A16899" i="3"/>
  <c r="A16898" i="3"/>
  <c r="A16897" i="3"/>
  <c r="A16896" i="3"/>
  <c r="A16895" i="3"/>
  <c r="A16894" i="3"/>
  <c r="A16893" i="3"/>
  <c r="A16892" i="3"/>
  <c r="A16891" i="3"/>
  <c r="A16890" i="3"/>
  <c r="A16889" i="3"/>
  <c r="A16888" i="3"/>
  <c r="A16887" i="3"/>
  <c r="A16886" i="3"/>
  <c r="A16885" i="3"/>
  <c r="A16884" i="3"/>
  <c r="A16883" i="3"/>
  <c r="A16882" i="3"/>
  <c r="A16881" i="3"/>
  <c r="A16880" i="3"/>
  <c r="A16879" i="3"/>
  <c r="A16878" i="3"/>
  <c r="A16877" i="3"/>
  <c r="A16876" i="3"/>
  <c r="A16875" i="3"/>
  <c r="A16874" i="3"/>
  <c r="A16873" i="3"/>
  <c r="A16872" i="3"/>
  <c r="A16871" i="3"/>
  <c r="A16870" i="3"/>
  <c r="A16869" i="3"/>
  <c r="A16868" i="3"/>
  <c r="A16867" i="3"/>
  <c r="A16866" i="3"/>
  <c r="A16865" i="3"/>
  <c r="A16864" i="3"/>
  <c r="A16863" i="3"/>
  <c r="A16862" i="3"/>
  <c r="A16861" i="3"/>
  <c r="A16860" i="3"/>
  <c r="A16859" i="3"/>
  <c r="A16858" i="3"/>
  <c r="A16857" i="3"/>
  <c r="A16856" i="3"/>
  <c r="A16855" i="3"/>
  <c r="A16854" i="3"/>
  <c r="A16853" i="3"/>
  <c r="A16852" i="3"/>
  <c r="A16851" i="3"/>
  <c r="A16850" i="3"/>
  <c r="A16849" i="3"/>
  <c r="A16848" i="3"/>
  <c r="A16847" i="3"/>
  <c r="A16846" i="3"/>
  <c r="A16845" i="3"/>
  <c r="A16844" i="3"/>
  <c r="A16843" i="3"/>
  <c r="A16842" i="3"/>
  <c r="A16841" i="3"/>
  <c r="A16840" i="3"/>
  <c r="A16839" i="3"/>
  <c r="A16838" i="3"/>
  <c r="A16837" i="3"/>
  <c r="A16836" i="3"/>
  <c r="A16835" i="3"/>
  <c r="A16834" i="3"/>
  <c r="A16833" i="3"/>
  <c r="A16832" i="3"/>
  <c r="A16831" i="3"/>
  <c r="A16830" i="3"/>
  <c r="A16829" i="3"/>
  <c r="A16828" i="3"/>
  <c r="A16827" i="3"/>
  <c r="A16826" i="3"/>
  <c r="A16825" i="3"/>
  <c r="A16824" i="3"/>
  <c r="A16823" i="3"/>
  <c r="A16822" i="3"/>
  <c r="A16821" i="3"/>
  <c r="A16820" i="3"/>
  <c r="A16819" i="3"/>
  <c r="A16818" i="3"/>
  <c r="A16817" i="3"/>
  <c r="A16816" i="3"/>
  <c r="A16815" i="3"/>
  <c r="A16814" i="3"/>
  <c r="A16813" i="3"/>
  <c r="A16812" i="3"/>
  <c r="A16811" i="3"/>
  <c r="A16810" i="3"/>
  <c r="A16809" i="3"/>
  <c r="A16808" i="3"/>
  <c r="A16807" i="3"/>
  <c r="A16806" i="3"/>
  <c r="A16805" i="3"/>
  <c r="A16804" i="3"/>
  <c r="A16803" i="3"/>
  <c r="A16802" i="3"/>
  <c r="A16801" i="3"/>
  <c r="A16800" i="3"/>
  <c r="A16799" i="3"/>
  <c r="A16798" i="3"/>
  <c r="A16797" i="3"/>
  <c r="A16796" i="3"/>
  <c r="A16795" i="3"/>
  <c r="A16794" i="3"/>
  <c r="A16793" i="3"/>
  <c r="A16792" i="3"/>
  <c r="A16791" i="3"/>
  <c r="A16790" i="3"/>
  <c r="A16789" i="3"/>
  <c r="A16788" i="3"/>
  <c r="A16787" i="3"/>
  <c r="A16786" i="3"/>
  <c r="A16785" i="3"/>
  <c r="A16784" i="3"/>
  <c r="A16783" i="3"/>
  <c r="A16782" i="3"/>
  <c r="A16781" i="3"/>
  <c r="A16780" i="3"/>
  <c r="A16779" i="3"/>
  <c r="A16778" i="3"/>
  <c r="A16777" i="3"/>
  <c r="A16776" i="3"/>
  <c r="A16775" i="3"/>
  <c r="A16774" i="3"/>
  <c r="A16773" i="3"/>
  <c r="A16772" i="3"/>
  <c r="A16771" i="3"/>
  <c r="A16770" i="3"/>
  <c r="A16769" i="3"/>
  <c r="A16768" i="3"/>
  <c r="A16767" i="3"/>
  <c r="A16766" i="3"/>
  <c r="A16765" i="3"/>
  <c r="A16764" i="3"/>
  <c r="A16763" i="3"/>
  <c r="A16762" i="3"/>
  <c r="A16761" i="3"/>
  <c r="A16760" i="3"/>
  <c r="A16759" i="3"/>
  <c r="A16758" i="3"/>
  <c r="A16757" i="3"/>
  <c r="A16756" i="3"/>
  <c r="A16755" i="3"/>
  <c r="A16754" i="3"/>
  <c r="A16753" i="3"/>
  <c r="A16752" i="3"/>
  <c r="A16751" i="3"/>
  <c r="A16750" i="3"/>
  <c r="A16749" i="3"/>
  <c r="A16748" i="3"/>
  <c r="A16747" i="3"/>
  <c r="A16746" i="3"/>
  <c r="A16745" i="3"/>
  <c r="A16744" i="3"/>
  <c r="A16743" i="3"/>
  <c r="A16742" i="3"/>
  <c r="A16741" i="3"/>
  <c r="A16740" i="3"/>
  <c r="A16739" i="3"/>
  <c r="A16738" i="3"/>
  <c r="A16737" i="3"/>
  <c r="A16736" i="3"/>
  <c r="A16735" i="3"/>
  <c r="A16734" i="3"/>
  <c r="A16733" i="3"/>
  <c r="A16732" i="3"/>
  <c r="A16731" i="3"/>
  <c r="A16730" i="3"/>
  <c r="A16729" i="3"/>
  <c r="A16728" i="3"/>
  <c r="A16727" i="3"/>
  <c r="A16726" i="3"/>
  <c r="A16725" i="3"/>
  <c r="A16724" i="3"/>
  <c r="A16723" i="3"/>
  <c r="A16722" i="3"/>
  <c r="A16721" i="3"/>
  <c r="A16720" i="3"/>
  <c r="A16719" i="3"/>
  <c r="A16718" i="3"/>
  <c r="A16717" i="3"/>
  <c r="A16716" i="3"/>
  <c r="A16715" i="3"/>
  <c r="A16714" i="3"/>
  <c r="A16713" i="3"/>
  <c r="A16712" i="3"/>
  <c r="A16711" i="3"/>
  <c r="A16710" i="3"/>
  <c r="A16709" i="3"/>
  <c r="A16708" i="3"/>
  <c r="A16707" i="3"/>
  <c r="A16706" i="3"/>
  <c r="A16705" i="3"/>
  <c r="A16704" i="3"/>
  <c r="A16703" i="3"/>
  <c r="A16702" i="3"/>
  <c r="A16701" i="3"/>
  <c r="A16700" i="3"/>
  <c r="A16699" i="3"/>
  <c r="A16698" i="3"/>
  <c r="A16697" i="3"/>
  <c r="A16696" i="3"/>
  <c r="A16695" i="3"/>
  <c r="A16694" i="3"/>
  <c r="A16693" i="3"/>
  <c r="A16692" i="3"/>
  <c r="A16691" i="3"/>
  <c r="A16690" i="3"/>
  <c r="A16689" i="3"/>
  <c r="A16688" i="3"/>
  <c r="A16687" i="3"/>
  <c r="A16686" i="3"/>
  <c r="A16685" i="3"/>
  <c r="A16684" i="3"/>
  <c r="A16683" i="3"/>
  <c r="A16682" i="3"/>
  <c r="A16681" i="3"/>
  <c r="A16680" i="3"/>
  <c r="A16679" i="3"/>
  <c r="A16678" i="3"/>
  <c r="A16677" i="3"/>
  <c r="A16676" i="3"/>
  <c r="A16675" i="3"/>
  <c r="A16674" i="3"/>
  <c r="A16673" i="3"/>
  <c r="A16672" i="3"/>
  <c r="A16671" i="3"/>
  <c r="A16670" i="3"/>
  <c r="A16669" i="3"/>
  <c r="A16668" i="3"/>
  <c r="A16667" i="3"/>
  <c r="A16666" i="3"/>
  <c r="A16665" i="3"/>
  <c r="A16664" i="3"/>
  <c r="A16663" i="3"/>
  <c r="A16662" i="3"/>
  <c r="A16661" i="3"/>
  <c r="A16660" i="3"/>
  <c r="A16659" i="3"/>
  <c r="A16658" i="3"/>
  <c r="A16657" i="3"/>
  <c r="A16656" i="3"/>
  <c r="A16655" i="3"/>
  <c r="A16654" i="3"/>
  <c r="A16653" i="3"/>
  <c r="A16652" i="3"/>
  <c r="A16651" i="3"/>
  <c r="A16650" i="3"/>
  <c r="A16649" i="3"/>
  <c r="A16648" i="3"/>
  <c r="A16647" i="3"/>
  <c r="A16646" i="3"/>
  <c r="A16645" i="3"/>
  <c r="A16644" i="3"/>
  <c r="A16643" i="3"/>
  <c r="A16642" i="3"/>
  <c r="A16641" i="3"/>
  <c r="A16640" i="3"/>
  <c r="A16639" i="3"/>
  <c r="A16638" i="3"/>
  <c r="A16637" i="3"/>
  <c r="A16636" i="3"/>
  <c r="A16635" i="3"/>
  <c r="A16634" i="3"/>
  <c r="A16633" i="3"/>
  <c r="A16632" i="3"/>
  <c r="A16631" i="3"/>
  <c r="A16630" i="3"/>
  <c r="A16629" i="3"/>
  <c r="A16628" i="3"/>
  <c r="A16627" i="3"/>
  <c r="A16626" i="3"/>
  <c r="A16625" i="3"/>
  <c r="A16624" i="3"/>
  <c r="A16623" i="3"/>
  <c r="A16622" i="3"/>
  <c r="A16621" i="3"/>
  <c r="A16620" i="3"/>
  <c r="A16619" i="3"/>
  <c r="A16618" i="3"/>
  <c r="A16617" i="3"/>
  <c r="A16616" i="3"/>
  <c r="A16615" i="3"/>
  <c r="A16614" i="3"/>
  <c r="A16613" i="3"/>
  <c r="A16612" i="3"/>
  <c r="A16611" i="3"/>
  <c r="A16610" i="3"/>
  <c r="A16609" i="3"/>
  <c r="A16608" i="3"/>
  <c r="A16607" i="3"/>
  <c r="A16606" i="3"/>
  <c r="A16605" i="3"/>
  <c r="A16604" i="3"/>
  <c r="A16603" i="3"/>
  <c r="A16602" i="3"/>
  <c r="A16601" i="3"/>
  <c r="A16600" i="3"/>
  <c r="A16599" i="3"/>
  <c r="A16598" i="3"/>
  <c r="A16597" i="3"/>
  <c r="A16596" i="3"/>
  <c r="A16595" i="3"/>
  <c r="A16594" i="3"/>
  <c r="A16593" i="3"/>
  <c r="A16592" i="3"/>
  <c r="A16591" i="3"/>
  <c r="A16590" i="3"/>
  <c r="A16589" i="3"/>
  <c r="A16588" i="3"/>
  <c r="A16587" i="3"/>
  <c r="A16586" i="3"/>
  <c r="A16585" i="3"/>
  <c r="A16584" i="3"/>
  <c r="A16583" i="3"/>
  <c r="A16582" i="3"/>
  <c r="A16581" i="3"/>
  <c r="A16580" i="3"/>
  <c r="A16579" i="3"/>
  <c r="A16578" i="3"/>
  <c r="A16577" i="3"/>
  <c r="A16576" i="3"/>
  <c r="A16575" i="3"/>
  <c r="A16574" i="3"/>
  <c r="A16573" i="3"/>
  <c r="A16572" i="3"/>
  <c r="A16571" i="3"/>
  <c r="A16570" i="3"/>
  <c r="A16569" i="3"/>
  <c r="A16568" i="3"/>
  <c r="A16567" i="3"/>
  <c r="A16566" i="3"/>
  <c r="A16565" i="3"/>
  <c r="A16564" i="3"/>
  <c r="A16563" i="3"/>
  <c r="A16562" i="3"/>
  <c r="A16561" i="3"/>
  <c r="A16560" i="3"/>
  <c r="A16559" i="3"/>
  <c r="A16558" i="3"/>
  <c r="A16557" i="3"/>
  <c r="A16556" i="3"/>
  <c r="A16555" i="3"/>
  <c r="A16554" i="3"/>
  <c r="A16553" i="3"/>
  <c r="A16552" i="3"/>
  <c r="A16551" i="3"/>
  <c r="A16550" i="3"/>
  <c r="A16549" i="3"/>
  <c r="A16548" i="3"/>
  <c r="A16547" i="3"/>
  <c r="A16546" i="3"/>
  <c r="A16545" i="3"/>
  <c r="A16544" i="3"/>
  <c r="A16543" i="3"/>
  <c r="A16542" i="3"/>
  <c r="A16541" i="3"/>
  <c r="A16540" i="3"/>
  <c r="A16539" i="3"/>
  <c r="A16538" i="3"/>
  <c r="A16537" i="3"/>
  <c r="A16536" i="3"/>
  <c r="A16535" i="3"/>
  <c r="A16534" i="3"/>
  <c r="A16533" i="3"/>
  <c r="A16532" i="3"/>
  <c r="A16531" i="3"/>
  <c r="A16530" i="3"/>
  <c r="A16529" i="3"/>
  <c r="A16528" i="3"/>
  <c r="A16527" i="3"/>
  <c r="A16526" i="3"/>
  <c r="A16525" i="3"/>
  <c r="A16524" i="3"/>
  <c r="A16523" i="3"/>
  <c r="A16522" i="3"/>
  <c r="A16521" i="3"/>
  <c r="A16520" i="3"/>
  <c r="A16519" i="3"/>
  <c r="A16518" i="3"/>
  <c r="A16517" i="3"/>
  <c r="A16516" i="3"/>
  <c r="A16515" i="3"/>
  <c r="A16514" i="3"/>
  <c r="A16513" i="3"/>
  <c r="A16512" i="3"/>
  <c r="A16511" i="3"/>
  <c r="A16510" i="3"/>
  <c r="A16509" i="3"/>
  <c r="A16508" i="3"/>
  <c r="A16507" i="3"/>
  <c r="A16506" i="3"/>
  <c r="A16505" i="3"/>
  <c r="A16504" i="3"/>
  <c r="A16503" i="3"/>
  <c r="A16502" i="3"/>
  <c r="A16501" i="3"/>
  <c r="A16500" i="3"/>
  <c r="A16499" i="3"/>
  <c r="A16498" i="3"/>
  <c r="A16497" i="3"/>
  <c r="A16496" i="3"/>
  <c r="A16495" i="3"/>
  <c r="A16494" i="3"/>
  <c r="A16493" i="3"/>
  <c r="A16492" i="3"/>
  <c r="A16491" i="3"/>
  <c r="A16490" i="3"/>
  <c r="A16489" i="3"/>
  <c r="A16488" i="3"/>
  <c r="A16487" i="3"/>
  <c r="A16486" i="3"/>
  <c r="A16485" i="3"/>
  <c r="A16484" i="3"/>
  <c r="A16483" i="3"/>
  <c r="A16482" i="3"/>
  <c r="A16481" i="3"/>
  <c r="A16480" i="3"/>
  <c r="A16479" i="3"/>
  <c r="A16478" i="3"/>
  <c r="A16477" i="3"/>
  <c r="A16476" i="3"/>
  <c r="A16475" i="3"/>
  <c r="A16474" i="3"/>
  <c r="A16473" i="3"/>
  <c r="A16472" i="3"/>
  <c r="A16471" i="3"/>
  <c r="A16470" i="3"/>
  <c r="A16469" i="3"/>
  <c r="A16468" i="3"/>
  <c r="A16467" i="3"/>
  <c r="A16466" i="3"/>
  <c r="A16465" i="3"/>
  <c r="A16464" i="3"/>
  <c r="A16463" i="3"/>
  <c r="A16462" i="3"/>
  <c r="A16461" i="3"/>
  <c r="A16460" i="3"/>
  <c r="A16459" i="3"/>
  <c r="A16458" i="3"/>
  <c r="A16457" i="3"/>
  <c r="A16456" i="3"/>
  <c r="A16455" i="3"/>
  <c r="A16454" i="3"/>
  <c r="A16453" i="3"/>
  <c r="A16452" i="3"/>
  <c r="A16451" i="3"/>
  <c r="A16450" i="3"/>
  <c r="A16449" i="3"/>
  <c r="A16448" i="3"/>
  <c r="A16447" i="3"/>
  <c r="A16446" i="3"/>
  <c r="A16445" i="3"/>
  <c r="A16444" i="3"/>
  <c r="A16443" i="3"/>
  <c r="A16442" i="3"/>
  <c r="A16441" i="3"/>
  <c r="A16440" i="3"/>
  <c r="A16439" i="3"/>
  <c r="A16438" i="3"/>
  <c r="A16437" i="3"/>
  <c r="A16436" i="3"/>
  <c r="A16435" i="3"/>
  <c r="A16434" i="3"/>
  <c r="A16433" i="3"/>
  <c r="A16432" i="3"/>
  <c r="A16431" i="3"/>
  <c r="A16430" i="3"/>
  <c r="A16429" i="3"/>
  <c r="A16428" i="3"/>
  <c r="A16427" i="3"/>
  <c r="A16426" i="3"/>
  <c r="A16425" i="3"/>
  <c r="A16424" i="3"/>
  <c r="A16423" i="3"/>
  <c r="A16422" i="3"/>
  <c r="A16421" i="3"/>
  <c r="A16420" i="3"/>
  <c r="A16419" i="3"/>
  <c r="A16418" i="3"/>
  <c r="A16417" i="3"/>
  <c r="A16416" i="3"/>
  <c r="A16415" i="3"/>
  <c r="A16414" i="3"/>
  <c r="A16413" i="3"/>
  <c r="A16412" i="3"/>
  <c r="A16411" i="3"/>
  <c r="A16410" i="3"/>
  <c r="A16409" i="3"/>
  <c r="A16408" i="3"/>
  <c r="A16407" i="3"/>
  <c r="A16406" i="3"/>
  <c r="A16405" i="3"/>
  <c r="A16404" i="3"/>
  <c r="A16403" i="3"/>
  <c r="A16402" i="3"/>
  <c r="A16401" i="3"/>
  <c r="A16400" i="3"/>
  <c r="A16399" i="3"/>
  <c r="A16398" i="3"/>
  <c r="A16397" i="3"/>
  <c r="A16396" i="3"/>
  <c r="A16395" i="3"/>
  <c r="A16394" i="3"/>
  <c r="A16393" i="3"/>
  <c r="A16392" i="3"/>
  <c r="A16391" i="3"/>
  <c r="A16390" i="3"/>
  <c r="A16389" i="3"/>
  <c r="A16388" i="3"/>
  <c r="A16387" i="3"/>
  <c r="A16386" i="3"/>
  <c r="A16385" i="3"/>
  <c r="A16384" i="3"/>
  <c r="A16383" i="3"/>
  <c r="A16382" i="3"/>
  <c r="A16381" i="3"/>
  <c r="A16380" i="3"/>
  <c r="A16379" i="3"/>
  <c r="A16378" i="3"/>
  <c r="A16377" i="3"/>
  <c r="A16376" i="3"/>
  <c r="A16375" i="3"/>
  <c r="A16374" i="3"/>
  <c r="A16373" i="3"/>
  <c r="A16372" i="3"/>
  <c r="A16371" i="3"/>
  <c r="A16370" i="3"/>
  <c r="A16369" i="3"/>
  <c r="A16368" i="3"/>
  <c r="A16367" i="3"/>
  <c r="A16366" i="3"/>
  <c r="A16365" i="3"/>
  <c r="A16364" i="3"/>
  <c r="A16363" i="3"/>
  <c r="A16362" i="3"/>
  <c r="A16361" i="3"/>
  <c r="A16360" i="3"/>
  <c r="A16359" i="3"/>
  <c r="A16358" i="3"/>
  <c r="A16357" i="3"/>
  <c r="A16356" i="3"/>
  <c r="A16355" i="3"/>
  <c r="A16354" i="3"/>
  <c r="A16353" i="3"/>
  <c r="A16352" i="3"/>
  <c r="A16351" i="3"/>
  <c r="A16350" i="3"/>
  <c r="A16349" i="3"/>
  <c r="A16348" i="3"/>
  <c r="A16347" i="3"/>
  <c r="A16346" i="3"/>
  <c r="A16345" i="3"/>
  <c r="A16344" i="3"/>
  <c r="A16343" i="3"/>
  <c r="A16342" i="3"/>
  <c r="A16341" i="3"/>
  <c r="A16340" i="3"/>
  <c r="A16339" i="3"/>
  <c r="A16338" i="3"/>
  <c r="A16337" i="3"/>
  <c r="A16336" i="3"/>
  <c r="A16335" i="3"/>
  <c r="A16334" i="3"/>
  <c r="A16333" i="3"/>
  <c r="A16332" i="3"/>
  <c r="A16331" i="3"/>
  <c r="A16330" i="3"/>
  <c r="A16329" i="3"/>
  <c r="A16328" i="3"/>
  <c r="A16327" i="3"/>
  <c r="A16326" i="3"/>
  <c r="A16325" i="3"/>
  <c r="A16324" i="3"/>
  <c r="A16323" i="3"/>
  <c r="A16322" i="3"/>
  <c r="A16321" i="3"/>
  <c r="A16320" i="3"/>
  <c r="A16319" i="3"/>
  <c r="A16318" i="3"/>
  <c r="A16317" i="3"/>
  <c r="A16316" i="3"/>
  <c r="A16315" i="3"/>
  <c r="A16314" i="3"/>
  <c r="A16313" i="3"/>
  <c r="A16312" i="3"/>
  <c r="A16311" i="3"/>
  <c r="A16310" i="3"/>
  <c r="A16309" i="3"/>
  <c r="A16308" i="3"/>
  <c r="A16307" i="3"/>
  <c r="A16306" i="3"/>
  <c r="A16305" i="3"/>
  <c r="A16304" i="3"/>
  <c r="A16303" i="3"/>
  <c r="A16302" i="3"/>
  <c r="A16301" i="3"/>
  <c r="A16300" i="3"/>
  <c r="A16299" i="3"/>
  <c r="A16298" i="3"/>
  <c r="A16297" i="3"/>
  <c r="A16296" i="3"/>
  <c r="A16295" i="3"/>
  <c r="A16294" i="3"/>
  <c r="A16293" i="3"/>
  <c r="A16292" i="3"/>
  <c r="A16291" i="3"/>
  <c r="A16290" i="3"/>
  <c r="A16289" i="3"/>
  <c r="A16288" i="3"/>
  <c r="A16287" i="3"/>
  <c r="A16286" i="3"/>
  <c r="A16285" i="3"/>
  <c r="A16284" i="3"/>
  <c r="A16283" i="3"/>
  <c r="A16282" i="3"/>
  <c r="A16281" i="3"/>
  <c r="A16280" i="3"/>
  <c r="A16279" i="3"/>
  <c r="A16278" i="3"/>
  <c r="A16277" i="3"/>
  <c r="A16276" i="3"/>
  <c r="A16275" i="3"/>
  <c r="A16274" i="3"/>
  <c r="A16273" i="3"/>
  <c r="A16272" i="3"/>
  <c r="A16271" i="3"/>
  <c r="A16270" i="3"/>
  <c r="A16269" i="3"/>
  <c r="A16268" i="3"/>
  <c r="A16267" i="3"/>
  <c r="A16266" i="3"/>
  <c r="A16265" i="3"/>
  <c r="A16264" i="3"/>
  <c r="A16263" i="3"/>
  <c r="A16262" i="3"/>
  <c r="A16261" i="3"/>
  <c r="A16260" i="3"/>
  <c r="A16259" i="3"/>
  <c r="A16258" i="3"/>
  <c r="A16257" i="3"/>
  <c r="A16256" i="3"/>
  <c r="A16255" i="3"/>
  <c r="A16254" i="3"/>
  <c r="A16253" i="3"/>
  <c r="A16252" i="3"/>
  <c r="A16251" i="3"/>
  <c r="A16250" i="3"/>
  <c r="A16249" i="3"/>
  <c r="A16248" i="3"/>
  <c r="A16247" i="3"/>
  <c r="A16246" i="3"/>
  <c r="A16245" i="3"/>
  <c r="A16244" i="3"/>
  <c r="A16243" i="3"/>
  <c r="A16242" i="3"/>
  <c r="A16241" i="3"/>
  <c r="A16240" i="3"/>
  <c r="A16239" i="3"/>
  <c r="A16238" i="3"/>
  <c r="A16237" i="3"/>
  <c r="A16236" i="3"/>
  <c r="A16235" i="3"/>
  <c r="A16234" i="3"/>
  <c r="A16233" i="3"/>
  <c r="A16232" i="3"/>
  <c r="A16231" i="3"/>
  <c r="A16230" i="3"/>
  <c r="A16229" i="3"/>
  <c r="A16228" i="3"/>
  <c r="A16227" i="3"/>
  <c r="A16226" i="3"/>
  <c r="A16225" i="3"/>
  <c r="A16224" i="3"/>
  <c r="A16223" i="3"/>
  <c r="A16222" i="3"/>
  <c r="A16221" i="3"/>
  <c r="A16220" i="3"/>
  <c r="A16219" i="3"/>
  <c r="A16218" i="3"/>
  <c r="A16217" i="3"/>
  <c r="A16216" i="3"/>
  <c r="A16215" i="3"/>
  <c r="A16214" i="3"/>
  <c r="A16213" i="3"/>
  <c r="A16212" i="3"/>
  <c r="A16211" i="3"/>
  <c r="A16210" i="3"/>
  <c r="A16209" i="3"/>
  <c r="A16208" i="3"/>
  <c r="A16207" i="3"/>
  <c r="A16206" i="3"/>
  <c r="A16205" i="3"/>
  <c r="A16204" i="3"/>
  <c r="A16203" i="3"/>
  <c r="A16202" i="3"/>
  <c r="A16201" i="3"/>
  <c r="A16200" i="3"/>
  <c r="A16199" i="3"/>
  <c r="A16198" i="3"/>
  <c r="A16197" i="3"/>
  <c r="A16196" i="3"/>
  <c r="A16195" i="3"/>
  <c r="A16194" i="3"/>
  <c r="A16193" i="3"/>
  <c r="A16192" i="3"/>
  <c r="A16191" i="3"/>
  <c r="A16190" i="3"/>
  <c r="A16189" i="3"/>
  <c r="A16188" i="3"/>
  <c r="A16187" i="3"/>
  <c r="A16186" i="3"/>
  <c r="A16185" i="3"/>
  <c r="A16184" i="3"/>
  <c r="A16183" i="3"/>
  <c r="A16182" i="3"/>
  <c r="A16181" i="3"/>
  <c r="A16180" i="3"/>
  <c r="A16179" i="3"/>
  <c r="A16178" i="3"/>
  <c r="A16177" i="3"/>
  <c r="A16176" i="3"/>
  <c r="A16175" i="3"/>
  <c r="A16174" i="3"/>
  <c r="A16173" i="3"/>
  <c r="A16172" i="3"/>
  <c r="A16171" i="3"/>
  <c r="A16170" i="3"/>
  <c r="A16169" i="3"/>
  <c r="A16168" i="3"/>
  <c r="A16167" i="3"/>
  <c r="A16166" i="3"/>
  <c r="A16165" i="3"/>
  <c r="A16164" i="3"/>
  <c r="A16163" i="3"/>
  <c r="A16162" i="3"/>
  <c r="A16161" i="3"/>
  <c r="A16160" i="3"/>
  <c r="A16159" i="3"/>
  <c r="A16158" i="3"/>
  <c r="A16157" i="3"/>
  <c r="A16156" i="3"/>
  <c r="A16155" i="3"/>
  <c r="A16154" i="3"/>
  <c r="A16153" i="3"/>
  <c r="A16152" i="3"/>
  <c r="A16151" i="3"/>
  <c r="A16150" i="3"/>
  <c r="A16149" i="3"/>
  <c r="A16148" i="3"/>
  <c r="A16147" i="3"/>
  <c r="A16146" i="3"/>
  <c r="A16145" i="3"/>
  <c r="A16144" i="3"/>
  <c r="A16143" i="3"/>
  <c r="A16142" i="3"/>
  <c r="A16141" i="3"/>
  <c r="A16140" i="3"/>
  <c r="A16139" i="3"/>
  <c r="A16138" i="3"/>
  <c r="A16137" i="3"/>
  <c r="A16136" i="3"/>
  <c r="A16135" i="3"/>
  <c r="A16134" i="3"/>
  <c r="A16133" i="3"/>
  <c r="A16132" i="3"/>
  <c r="A16131" i="3"/>
  <c r="A16130" i="3"/>
  <c r="A16129" i="3"/>
  <c r="A16128" i="3"/>
  <c r="A16127" i="3"/>
  <c r="A16126" i="3"/>
  <c r="A16125" i="3"/>
  <c r="A16124" i="3"/>
  <c r="A16123" i="3"/>
  <c r="A16122" i="3"/>
  <c r="A16121" i="3"/>
  <c r="A16120" i="3"/>
  <c r="A16119" i="3"/>
  <c r="A16118" i="3"/>
  <c r="A16117" i="3"/>
  <c r="A16116" i="3"/>
  <c r="A16115" i="3"/>
  <c r="A16114" i="3"/>
  <c r="A16113" i="3"/>
  <c r="A16112" i="3"/>
  <c r="A16111" i="3"/>
  <c r="A16110" i="3"/>
  <c r="A16109" i="3"/>
  <c r="A16108" i="3"/>
  <c r="A16107" i="3"/>
  <c r="A16106" i="3"/>
  <c r="A16105" i="3"/>
  <c r="A16104" i="3"/>
  <c r="A16103" i="3"/>
  <c r="A16102" i="3"/>
  <c r="A16101" i="3"/>
  <c r="A16100" i="3"/>
  <c r="A16099" i="3"/>
  <c r="A16098" i="3"/>
  <c r="A16097" i="3"/>
  <c r="A16096" i="3"/>
  <c r="A16095" i="3"/>
  <c r="A16094" i="3"/>
  <c r="A16093" i="3"/>
  <c r="A16092" i="3"/>
  <c r="A16091" i="3"/>
  <c r="A16090" i="3"/>
  <c r="A16089" i="3"/>
  <c r="A16088" i="3"/>
  <c r="A16087" i="3"/>
  <c r="A16086" i="3"/>
  <c r="A16085" i="3"/>
  <c r="A16084" i="3"/>
  <c r="A16083" i="3"/>
  <c r="A16082" i="3"/>
  <c r="A16081" i="3"/>
  <c r="A16080" i="3"/>
  <c r="A16079" i="3"/>
  <c r="A16078" i="3"/>
  <c r="A16077" i="3"/>
  <c r="A16076" i="3"/>
  <c r="A16075" i="3"/>
  <c r="A16074" i="3"/>
  <c r="A16073" i="3"/>
  <c r="A16072" i="3"/>
  <c r="A16071" i="3"/>
  <c r="A16070" i="3"/>
  <c r="A16069" i="3"/>
  <c r="A16068" i="3"/>
  <c r="A16067" i="3"/>
  <c r="A16066" i="3"/>
  <c r="A16065" i="3"/>
  <c r="A16064" i="3"/>
  <c r="A16063" i="3"/>
  <c r="A16062" i="3"/>
  <c r="A16061" i="3"/>
  <c r="A16060" i="3"/>
  <c r="A16059" i="3"/>
  <c r="A16058" i="3"/>
  <c r="A16057" i="3"/>
  <c r="A16056" i="3"/>
  <c r="A16055" i="3"/>
  <c r="A16054" i="3"/>
  <c r="A16053" i="3"/>
  <c r="A16052" i="3"/>
  <c r="A16051" i="3"/>
  <c r="A16050" i="3"/>
  <c r="A16049" i="3"/>
  <c r="A16048" i="3"/>
  <c r="A16047" i="3"/>
  <c r="A16046" i="3"/>
  <c r="A16045" i="3"/>
  <c r="A16044" i="3"/>
  <c r="A16043" i="3"/>
  <c r="A16042" i="3"/>
  <c r="A16041" i="3"/>
  <c r="A16040" i="3"/>
  <c r="A16039" i="3"/>
  <c r="A16038" i="3"/>
  <c r="A16037" i="3"/>
  <c r="A16036" i="3"/>
  <c r="A16035" i="3"/>
  <c r="A16034" i="3"/>
  <c r="A16033" i="3"/>
  <c r="A16032" i="3"/>
  <c r="A16031" i="3"/>
  <c r="A16030" i="3"/>
  <c r="A16029" i="3"/>
  <c r="A16028" i="3"/>
  <c r="A16027" i="3"/>
  <c r="A16026" i="3"/>
  <c r="A16025" i="3"/>
  <c r="A16024" i="3"/>
  <c r="A16023" i="3"/>
  <c r="A16022" i="3"/>
  <c r="A16021" i="3"/>
  <c r="A16020" i="3"/>
  <c r="A16019" i="3"/>
  <c r="A16018" i="3"/>
  <c r="A16017" i="3"/>
  <c r="A16016" i="3"/>
  <c r="A16015" i="3"/>
  <c r="A16014" i="3"/>
  <c r="A16013" i="3"/>
  <c r="A16012" i="3"/>
  <c r="A16011" i="3"/>
  <c r="A16010" i="3"/>
  <c r="A16009" i="3"/>
  <c r="A16008" i="3"/>
  <c r="A16007" i="3"/>
  <c r="A16006" i="3"/>
  <c r="A16005" i="3"/>
  <c r="A16004" i="3"/>
  <c r="A16003" i="3"/>
  <c r="A16002" i="3"/>
  <c r="A16001" i="3"/>
  <c r="A16000" i="3"/>
  <c r="A15999" i="3"/>
  <c r="A15998" i="3"/>
  <c r="A15997" i="3"/>
  <c r="A15996" i="3"/>
  <c r="A15995" i="3"/>
  <c r="A15994" i="3"/>
  <c r="A15993" i="3"/>
  <c r="A15992" i="3"/>
  <c r="A15991" i="3"/>
  <c r="A15990" i="3"/>
  <c r="A15989" i="3"/>
  <c r="A15988" i="3"/>
  <c r="A15987" i="3"/>
  <c r="A15986" i="3"/>
  <c r="A15985" i="3"/>
  <c r="A15984" i="3"/>
  <c r="A15983" i="3"/>
  <c r="A15982" i="3"/>
  <c r="A15981" i="3"/>
  <c r="A15980" i="3"/>
  <c r="A15979" i="3"/>
  <c r="A15978" i="3"/>
  <c r="A15977" i="3"/>
  <c r="A15976" i="3"/>
  <c r="A15975" i="3"/>
  <c r="A15974" i="3"/>
  <c r="A15973" i="3"/>
  <c r="A15972" i="3"/>
  <c r="A15971" i="3"/>
  <c r="A15970" i="3"/>
  <c r="A15969" i="3"/>
  <c r="A15968" i="3"/>
  <c r="A15967" i="3"/>
  <c r="A15966" i="3"/>
  <c r="A15965" i="3"/>
  <c r="A15964" i="3"/>
  <c r="A15963" i="3"/>
  <c r="A15962" i="3"/>
  <c r="A15961" i="3"/>
  <c r="A15960" i="3"/>
  <c r="A15959" i="3"/>
  <c r="A15958" i="3"/>
  <c r="A15957" i="3"/>
  <c r="A15956" i="3"/>
  <c r="A15955" i="3"/>
  <c r="A15954" i="3"/>
  <c r="A15953" i="3"/>
  <c r="A15952" i="3"/>
  <c r="A15951" i="3"/>
  <c r="A15950" i="3"/>
  <c r="A15949" i="3"/>
  <c r="A15948" i="3"/>
  <c r="A15947" i="3"/>
  <c r="A15946" i="3"/>
  <c r="A15945" i="3"/>
  <c r="A15944" i="3"/>
  <c r="A15943" i="3"/>
  <c r="A15942" i="3"/>
  <c r="A15941" i="3"/>
  <c r="A15940" i="3"/>
  <c r="A15939" i="3"/>
  <c r="A15938" i="3"/>
  <c r="A15937" i="3"/>
  <c r="A15936" i="3"/>
  <c r="A15935" i="3"/>
  <c r="A15934" i="3"/>
  <c r="A15933" i="3"/>
  <c r="A15932" i="3"/>
  <c r="A15931" i="3"/>
  <c r="A15930" i="3"/>
  <c r="A15929" i="3"/>
  <c r="A15928" i="3"/>
  <c r="A15927" i="3"/>
  <c r="A15926" i="3"/>
  <c r="A15925" i="3"/>
  <c r="A15924" i="3"/>
  <c r="A15923" i="3"/>
  <c r="A15922" i="3"/>
  <c r="A15921" i="3"/>
  <c r="A15920" i="3"/>
  <c r="A15919" i="3"/>
  <c r="A15918" i="3"/>
  <c r="A15917" i="3"/>
  <c r="A15916" i="3"/>
  <c r="A15915" i="3"/>
  <c r="A15914" i="3"/>
  <c r="A15913" i="3"/>
  <c r="A15912" i="3"/>
  <c r="A15911" i="3"/>
  <c r="A15910" i="3"/>
  <c r="A15909" i="3"/>
  <c r="A15908" i="3"/>
  <c r="A15907" i="3"/>
  <c r="A15906" i="3"/>
  <c r="A15905" i="3"/>
  <c r="A15904" i="3"/>
  <c r="A15903" i="3"/>
  <c r="A15902" i="3"/>
  <c r="A15901" i="3"/>
  <c r="A15900" i="3"/>
  <c r="A15899" i="3"/>
  <c r="A15898" i="3"/>
  <c r="A15897" i="3"/>
  <c r="A15896" i="3"/>
  <c r="A15895" i="3"/>
  <c r="A15894" i="3"/>
  <c r="A15893" i="3"/>
  <c r="A15892" i="3"/>
  <c r="A15891" i="3"/>
  <c r="A15890" i="3"/>
  <c r="A15889" i="3"/>
  <c r="A15888" i="3"/>
  <c r="A15887" i="3"/>
  <c r="A15886" i="3"/>
  <c r="A15885" i="3"/>
  <c r="A15884" i="3"/>
  <c r="A15883" i="3"/>
  <c r="A15882" i="3"/>
  <c r="A15881" i="3"/>
  <c r="A15880" i="3"/>
  <c r="A15879" i="3"/>
  <c r="A15878" i="3"/>
  <c r="A15877" i="3"/>
  <c r="A15876" i="3"/>
  <c r="A15875" i="3"/>
  <c r="A15874" i="3"/>
  <c r="A15873" i="3"/>
  <c r="A15872" i="3"/>
  <c r="A15871" i="3"/>
  <c r="A15870" i="3"/>
  <c r="A15869" i="3"/>
  <c r="A15868" i="3"/>
  <c r="A15867" i="3"/>
  <c r="A15866" i="3"/>
  <c r="A15865" i="3"/>
  <c r="A15864" i="3"/>
  <c r="A15863" i="3"/>
  <c r="A15862" i="3"/>
  <c r="A15861" i="3"/>
  <c r="A15860" i="3"/>
  <c r="A15859" i="3"/>
  <c r="A15858" i="3"/>
  <c r="A15857" i="3"/>
  <c r="A15856" i="3"/>
  <c r="A15855" i="3"/>
  <c r="A15854" i="3"/>
  <c r="A15853" i="3"/>
  <c r="A15852" i="3"/>
  <c r="A15851" i="3"/>
  <c r="A15850" i="3"/>
  <c r="A15849" i="3"/>
  <c r="A15848" i="3"/>
  <c r="A15847" i="3"/>
  <c r="A15846" i="3"/>
  <c r="A15845" i="3"/>
  <c r="A15844" i="3"/>
  <c r="A15843" i="3"/>
  <c r="A15842" i="3"/>
  <c r="A15841" i="3"/>
  <c r="A15840" i="3"/>
  <c r="A15839" i="3"/>
  <c r="A15838" i="3"/>
  <c r="A15837" i="3"/>
  <c r="A15836" i="3"/>
  <c r="A15835" i="3"/>
  <c r="A15834" i="3"/>
  <c r="A15833" i="3"/>
  <c r="A15832" i="3"/>
  <c r="A15831" i="3"/>
  <c r="A15830" i="3"/>
  <c r="A15829" i="3"/>
  <c r="A15828" i="3"/>
  <c r="A15827" i="3"/>
  <c r="A15826" i="3"/>
  <c r="A15825" i="3"/>
  <c r="A15824" i="3"/>
  <c r="A15823" i="3"/>
  <c r="A15822" i="3"/>
  <c r="A15821" i="3"/>
  <c r="A15820" i="3"/>
  <c r="A15819" i="3"/>
  <c r="A15818" i="3"/>
  <c r="A15817" i="3"/>
  <c r="A15816" i="3"/>
  <c r="A15815" i="3"/>
  <c r="A15814" i="3"/>
  <c r="A15813" i="3"/>
  <c r="A15812" i="3"/>
  <c r="A15811" i="3"/>
  <c r="A15810" i="3"/>
  <c r="A15809" i="3"/>
  <c r="A15808" i="3"/>
  <c r="A15807" i="3"/>
  <c r="A15806" i="3"/>
  <c r="A15805" i="3"/>
  <c r="A15804" i="3"/>
  <c r="A15803" i="3"/>
  <c r="A15802" i="3"/>
  <c r="A15801" i="3"/>
  <c r="A15800" i="3"/>
  <c r="A15799" i="3"/>
  <c r="A15798" i="3"/>
  <c r="A15797" i="3"/>
  <c r="A15796" i="3"/>
  <c r="A15795" i="3"/>
  <c r="A15794" i="3"/>
  <c r="A15793" i="3"/>
  <c r="A15792" i="3"/>
  <c r="A15791" i="3"/>
  <c r="A15790" i="3"/>
  <c r="A15789" i="3"/>
  <c r="A15788" i="3"/>
  <c r="A15787" i="3"/>
  <c r="A15786" i="3"/>
  <c r="A15785" i="3"/>
  <c r="A15784" i="3"/>
  <c r="A15783" i="3"/>
  <c r="A15782" i="3"/>
  <c r="A15781" i="3"/>
  <c r="A15780" i="3"/>
  <c r="A15779" i="3"/>
  <c r="A15778" i="3"/>
  <c r="A15777" i="3"/>
  <c r="A15776" i="3"/>
  <c r="A15775" i="3"/>
  <c r="A15774" i="3"/>
  <c r="A15773" i="3"/>
  <c r="A15772" i="3"/>
  <c r="A15771" i="3"/>
  <c r="A15770" i="3"/>
  <c r="A15769" i="3"/>
  <c r="A15768" i="3"/>
  <c r="A15767" i="3"/>
  <c r="A15766" i="3"/>
  <c r="A15765" i="3"/>
  <c r="A15764" i="3"/>
  <c r="A15763" i="3"/>
  <c r="A15762" i="3"/>
  <c r="A15761" i="3"/>
  <c r="A15760" i="3"/>
  <c r="A15759" i="3"/>
  <c r="A15758" i="3"/>
  <c r="A15757" i="3"/>
  <c r="A15756" i="3"/>
  <c r="A15755" i="3"/>
  <c r="A15754" i="3"/>
  <c r="A15753" i="3"/>
  <c r="A15752" i="3"/>
  <c r="A15751" i="3"/>
  <c r="A15750" i="3"/>
  <c r="A15749" i="3"/>
  <c r="A15748" i="3"/>
  <c r="A15747" i="3"/>
  <c r="A15746" i="3"/>
  <c r="A15745" i="3"/>
  <c r="A15744" i="3"/>
  <c r="A15743" i="3"/>
  <c r="A15742" i="3"/>
  <c r="A15741" i="3"/>
  <c r="A15740" i="3"/>
  <c r="A15739" i="3"/>
  <c r="A15738" i="3"/>
  <c r="A15737" i="3"/>
  <c r="A15736" i="3"/>
  <c r="A15735" i="3"/>
  <c r="A15734" i="3"/>
  <c r="A15733" i="3"/>
  <c r="A15732" i="3"/>
  <c r="A15731" i="3"/>
  <c r="A15730" i="3"/>
  <c r="A15729" i="3"/>
  <c r="A15728" i="3"/>
  <c r="A15727" i="3"/>
  <c r="A15726" i="3"/>
  <c r="A15725" i="3"/>
  <c r="A15724" i="3"/>
  <c r="A15723" i="3"/>
  <c r="A15722" i="3"/>
  <c r="A15721" i="3"/>
  <c r="A15720" i="3"/>
  <c r="A15719" i="3"/>
  <c r="A15718" i="3"/>
  <c r="A15717" i="3"/>
  <c r="A15716" i="3"/>
  <c r="A15715" i="3"/>
  <c r="A15714" i="3"/>
  <c r="A15713" i="3"/>
  <c r="A15712" i="3"/>
  <c r="A15711" i="3"/>
  <c r="A15710" i="3"/>
  <c r="A15709" i="3"/>
  <c r="A15708" i="3"/>
  <c r="A15707" i="3"/>
  <c r="A15706" i="3"/>
  <c r="A15705" i="3"/>
  <c r="A15704" i="3"/>
  <c r="A15703" i="3"/>
  <c r="A15702" i="3"/>
  <c r="A15701" i="3"/>
  <c r="A15700" i="3"/>
  <c r="A15699" i="3"/>
  <c r="A15698" i="3"/>
  <c r="A15697" i="3"/>
  <c r="A15696" i="3"/>
  <c r="A15695" i="3"/>
  <c r="A15694" i="3"/>
  <c r="A15693" i="3"/>
  <c r="A15692" i="3"/>
  <c r="A15691" i="3"/>
  <c r="A15690" i="3"/>
  <c r="A15689" i="3"/>
  <c r="A15688" i="3"/>
  <c r="A15687" i="3"/>
  <c r="A15686" i="3"/>
  <c r="A15685" i="3"/>
  <c r="A15684" i="3"/>
  <c r="A15683" i="3"/>
  <c r="A15682" i="3"/>
  <c r="A15681" i="3"/>
  <c r="A15680" i="3"/>
  <c r="A15679" i="3"/>
  <c r="A15678" i="3"/>
  <c r="A15677" i="3"/>
  <c r="A15676" i="3"/>
  <c r="A15675" i="3"/>
  <c r="A15674" i="3"/>
  <c r="A15673" i="3"/>
  <c r="A15672" i="3"/>
  <c r="A15671" i="3"/>
  <c r="A15670" i="3"/>
  <c r="A15669" i="3"/>
  <c r="A15668" i="3"/>
  <c r="A15667" i="3"/>
  <c r="A15666" i="3"/>
  <c r="A15665" i="3"/>
  <c r="A15664" i="3"/>
  <c r="A15663" i="3"/>
  <c r="A15662" i="3"/>
  <c r="A15661" i="3"/>
  <c r="A15660" i="3"/>
  <c r="A15659" i="3"/>
  <c r="A15658" i="3"/>
  <c r="A15657" i="3"/>
  <c r="A15656" i="3"/>
  <c r="A15655" i="3"/>
  <c r="A15654" i="3"/>
  <c r="A15653" i="3"/>
  <c r="A15652" i="3"/>
  <c r="A15651" i="3"/>
  <c r="A15650" i="3"/>
  <c r="A15649" i="3"/>
  <c r="A15648" i="3"/>
  <c r="A15647" i="3"/>
  <c r="A15646" i="3"/>
  <c r="A15645" i="3"/>
  <c r="A15644" i="3"/>
  <c r="A15643" i="3"/>
  <c r="A15642" i="3"/>
  <c r="A15641" i="3"/>
  <c r="A15640" i="3"/>
  <c r="A15639" i="3"/>
  <c r="A15638" i="3"/>
  <c r="A15637" i="3"/>
  <c r="A15636" i="3"/>
  <c r="A15635" i="3"/>
  <c r="A15634" i="3"/>
  <c r="A15633" i="3"/>
  <c r="A15632" i="3"/>
  <c r="A15631" i="3"/>
  <c r="A15630" i="3"/>
  <c r="A15629" i="3"/>
  <c r="A15628" i="3"/>
  <c r="A15627" i="3"/>
  <c r="A15626" i="3"/>
  <c r="A15625" i="3"/>
  <c r="A15624" i="3"/>
  <c r="A15623" i="3"/>
  <c r="A15622" i="3"/>
  <c r="A15621" i="3"/>
  <c r="A15620" i="3"/>
  <c r="A15619" i="3"/>
  <c r="A15618" i="3"/>
  <c r="A15617" i="3"/>
  <c r="A15616" i="3"/>
  <c r="A15615" i="3"/>
  <c r="A15614" i="3"/>
  <c r="A15613" i="3"/>
  <c r="A15612" i="3"/>
  <c r="A15611" i="3"/>
  <c r="A15610" i="3"/>
  <c r="A15609" i="3"/>
  <c r="A15608" i="3"/>
  <c r="A15607" i="3"/>
  <c r="A15606" i="3"/>
  <c r="A15605" i="3"/>
  <c r="A15604" i="3"/>
  <c r="A15603" i="3"/>
  <c r="A15602" i="3"/>
  <c r="A15601" i="3"/>
  <c r="A15600" i="3"/>
  <c r="A15599" i="3"/>
  <c r="A15598" i="3"/>
  <c r="A15597" i="3"/>
  <c r="A15596" i="3"/>
  <c r="A15595" i="3"/>
  <c r="A15594" i="3"/>
  <c r="A15593" i="3"/>
  <c r="A15592" i="3"/>
  <c r="A15591" i="3"/>
  <c r="A15590" i="3"/>
  <c r="A15589" i="3"/>
  <c r="A15588" i="3"/>
  <c r="A15587" i="3"/>
  <c r="A15586" i="3"/>
  <c r="A15585" i="3"/>
  <c r="A15584" i="3"/>
  <c r="A15583" i="3"/>
  <c r="A15582" i="3"/>
  <c r="A15581" i="3"/>
  <c r="A15580" i="3"/>
  <c r="A15579" i="3"/>
  <c r="A15578" i="3"/>
  <c r="A15577" i="3"/>
  <c r="A15576" i="3"/>
  <c r="A15575" i="3"/>
  <c r="A15574" i="3"/>
  <c r="A15573" i="3"/>
  <c r="A15572" i="3"/>
  <c r="A15571" i="3"/>
  <c r="A15570" i="3"/>
  <c r="A15569" i="3"/>
  <c r="A15568" i="3"/>
  <c r="A15567" i="3"/>
  <c r="A15566" i="3"/>
  <c r="A15565" i="3"/>
  <c r="A15564" i="3"/>
  <c r="A15563" i="3"/>
  <c r="A15562" i="3"/>
  <c r="A15561" i="3"/>
  <c r="A15560" i="3"/>
  <c r="A15559" i="3"/>
  <c r="A15558" i="3"/>
  <c r="A15557" i="3"/>
  <c r="A15556" i="3"/>
  <c r="A15555" i="3"/>
  <c r="A15554" i="3"/>
  <c r="A15553" i="3"/>
  <c r="A15552" i="3"/>
  <c r="A15551" i="3"/>
  <c r="A15550" i="3"/>
  <c r="A15549" i="3"/>
  <c r="A15548" i="3"/>
  <c r="A15547" i="3"/>
  <c r="A15546" i="3"/>
  <c r="A15545" i="3"/>
  <c r="A15544" i="3"/>
  <c r="A15543" i="3"/>
  <c r="A15542" i="3"/>
  <c r="A15541" i="3"/>
  <c r="A15540" i="3"/>
  <c r="A15539" i="3"/>
  <c r="A15538" i="3"/>
  <c r="A15537" i="3"/>
  <c r="A15536" i="3"/>
  <c r="A15535" i="3"/>
  <c r="A15534" i="3"/>
  <c r="A15533" i="3"/>
  <c r="A15532" i="3"/>
  <c r="A15531" i="3"/>
  <c r="A15530" i="3"/>
  <c r="A15529" i="3"/>
  <c r="A15528" i="3"/>
  <c r="A15527" i="3"/>
  <c r="A15526" i="3"/>
  <c r="A15525" i="3"/>
  <c r="A15524" i="3"/>
  <c r="A15523" i="3"/>
  <c r="A15522" i="3"/>
  <c r="A15521" i="3"/>
  <c r="A15520" i="3"/>
  <c r="A15519" i="3"/>
  <c r="A15518" i="3"/>
  <c r="A15517" i="3"/>
  <c r="A15516" i="3"/>
  <c r="A15515" i="3"/>
  <c r="A15514" i="3"/>
  <c r="A15513" i="3"/>
  <c r="A15512" i="3"/>
  <c r="A15511" i="3"/>
  <c r="A15510" i="3"/>
  <c r="A15509" i="3"/>
  <c r="A15508" i="3"/>
  <c r="A15507" i="3"/>
  <c r="A15506" i="3"/>
  <c r="A15505" i="3"/>
  <c r="A15504" i="3"/>
  <c r="A15503" i="3"/>
  <c r="A15502" i="3"/>
  <c r="A15501" i="3"/>
  <c r="A15500" i="3"/>
  <c r="A15499" i="3"/>
  <c r="A15498" i="3"/>
  <c r="A15497" i="3"/>
  <c r="A15496" i="3"/>
  <c r="A15495" i="3"/>
  <c r="A15494" i="3"/>
  <c r="A15493" i="3"/>
  <c r="A15492" i="3"/>
  <c r="A15491" i="3"/>
  <c r="A15490" i="3"/>
  <c r="A15489" i="3"/>
  <c r="A15488" i="3"/>
  <c r="A15487" i="3"/>
  <c r="A15486" i="3"/>
  <c r="A15485" i="3"/>
  <c r="A15484" i="3"/>
  <c r="A15483" i="3"/>
  <c r="A15482" i="3"/>
  <c r="A15481" i="3"/>
  <c r="A15480" i="3"/>
  <c r="A15479" i="3"/>
  <c r="A15478" i="3"/>
  <c r="A15477" i="3"/>
  <c r="A15476" i="3"/>
  <c r="A15475" i="3"/>
  <c r="A15474" i="3"/>
  <c r="A15473" i="3"/>
  <c r="A15472" i="3"/>
  <c r="A15471" i="3"/>
  <c r="A15470" i="3"/>
  <c r="A15469" i="3"/>
  <c r="A15468" i="3"/>
  <c r="A15467" i="3"/>
  <c r="A15466" i="3"/>
  <c r="A15465" i="3"/>
  <c r="A15464" i="3"/>
  <c r="A15463" i="3"/>
  <c r="A15462" i="3"/>
  <c r="A15461" i="3"/>
  <c r="A15460" i="3"/>
  <c r="A15459" i="3"/>
  <c r="A15458" i="3"/>
  <c r="A15457" i="3"/>
  <c r="A15456" i="3"/>
  <c r="A15455" i="3"/>
  <c r="A15454" i="3"/>
  <c r="A15453" i="3"/>
  <c r="A15452" i="3"/>
  <c r="A15451" i="3"/>
  <c r="A15450" i="3"/>
  <c r="A15449" i="3"/>
  <c r="A15448" i="3"/>
  <c r="A15447" i="3"/>
  <c r="A15446" i="3"/>
  <c r="A15445" i="3"/>
  <c r="A15444" i="3"/>
  <c r="A15443" i="3"/>
  <c r="A15442" i="3"/>
  <c r="A15441" i="3"/>
  <c r="A15440" i="3"/>
  <c r="A15439" i="3"/>
  <c r="A15438" i="3"/>
  <c r="A15437" i="3"/>
  <c r="A15436" i="3"/>
  <c r="A15435" i="3"/>
  <c r="A15434" i="3"/>
  <c r="A15433" i="3"/>
  <c r="A15432" i="3"/>
  <c r="A15431" i="3"/>
  <c r="A15430" i="3"/>
  <c r="A15429" i="3"/>
  <c r="A15428" i="3"/>
  <c r="A15427" i="3"/>
  <c r="A15426" i="3"/>
  <c r="A15425" i="3"/>
  <c r="A15424" i="3"/>
  <c r="A15423" i="3"/>
  <c r="A15422" i="3"/>
  <c r="A15421" i="3"/>
  <c r="A15420" i="3"/>
  <c r="A15419" i="3"/>
  <c r="A15418" i="3"/>
  <c r="A15417" i="3"/>
  <c r="A15416" i="3"/>
  <c r="A15415" i="3"/>
  <c r="A15414" i="3"/>
  <c r="A15413" i="3"/>
  <c r="A15412" i="3"/>
  <c r="A15411" i="3"/>
  <c r="A15410" i="3"/>
  <c r="A15409" i="3"/>
  <c r="A15408" i="3"/>
  <c r="A15407" i="3"/>
  <c r="A15406" i="3"/>
  <c r="A15405" i="3"/>
  <c r="A15404" i="3"/>
  <c r="A15403" i="3"/>
  <c r="A15402" i="3"/>
  <c r="A15401" i="3"/>
  <c r="A15400" i="3"/>
  <c r="A15399" i="3"/>
  <c r="A15398" i="3"/>
  <c r="A15397" i="3"/>
  <c r="A15396" i="3"/>
  <c r="A15395" i="3"/>
  <c r="A15394" i="3"/>
  <c r="A15393" i="3"/>
  <c r="A15392" i="3"/>
  <c r="A15391" i="3"/>
  <c r="A15390" i="3"/>
  <c r="A15389" i="3"/>
  <c r="A15388" i="3"/>
  <c r="A15387" i="3"/>
  <c r="A15386" i="3"/>
  <c r="A15385" i="3"/>
  <c r="A15384" i="3"/>
  <c r="A15383" i="3"/>
  <c r="A15382" i="3"/>
  <c r="A15381" i="3"/>
  <c r="A15380" i="3"/>
  <c r="A15379" i="3"/>
  <c r="A15378" i="3"/>
  <c r="A15377" i="3"/>
  <c r="A15376" i="3"/>
  <c r="A15375" i="3"/>
  <c r="A15374" i="3"/>
  <c r="A15373" i="3"/>
  <c r="A15372" i="3"/>
  <c r="A15371" i="3"/>
  <c r="A15370" i="3"/>
  <c r="A15369" i="3"/>
  <c r="A15368" i="3"/>
  <c r="A15367" i="3"/>
  <c r="A15366" i="3"/>
  <c r="A15365" i="3"/>
  <c r="A15364" i="3"/>
  <c r="A15363" i="3"/>
  <c r="A15362" i="3"/>
  <c r="A15361" i="3"/>
  <c r="A15360" i="3"/>
  <c r="A15359" i="3"/>
  <c r="A15358" i="3"/>
  <c r="A15357" i="3"/>
  <c r="A15356" i="3"/>
  <c r="A15355" i="3"/>
  <c r="A15354" i="3"/>
  <c r="A15353" i="3"/>
  <c r="A15352" i="3"/>
  <c r="A15351" i="3"/>
  <c r="A15350" i="3"/>
  <c r="A15349" i="3"/>
  <c r="A15348" i="3"/>
  <c r="A15347" i="3"/>
  <c r="A15346" i="3"/>
  <c r="A15345" i="3"/>
  <c r="A15344" i="3"/>
  <c r="A15343" i="3"/>
  <c r="A15342" i="3"/>
  <c r="A15341" i="3"/>
  <c r="A15340" i="3"/>
  <c r="A15339" i="3"/>
  <c r="A15338" i="3"/>
  <c r="A15337" i="3"/>
  <c r="A15336" i="3"/>
  <c r="A15335" i="3"/>
  <c r="A15334" i="3"/>
  <c r="A15333" i="3"/>
  <c r="A15332" i="3"/>
  <c r="A15331" i="3"/>
  <c r="A15330" i="3"/>
  <c r="A15329" i="3"/>
  <c r="A15328" i="3"/>
  <c r="A15327" i="3"/>
  <c r="A15326" i="3"/>
  <c r="A15325" i="3"/>
  <c r="A15324" i="3"/>
  <c r="A15323" i="3"/>
  <c r="A15322" i="3"/>
  <c r="A15321" i="3"/>
  <c r="A15320" i="3"/>
  <c r="A15319" i="3"/>
  <c r="A15318" i="3"/>
  <c r="A15317" i="3"/>
  <c r="A15316" i="3"/>
  <c r="A15315" i="3"/>
  <c r="A15314" i="3"/>
  <c r="A15313" i="3"/>
  <c r="A15312" i="3"/>
  <c r="A15311" i="3"/>
  <c r="A15310" i="3"/>
  <c r="A15309" i="3"/>
  <c r="A15308" i="3"/>
  <c r="A15307" i="3"/>
  <c r="A15306" i="3"/>
  <c r="A15305" i="3"/>
  <c r="A15304" i="3"/>
  <c r="A15303" i="3"/>
  <c r="A15302" i="3"/>
  <c r="A15301" i="3"/>
  <c r="A15300" i="3"/>
  <c r="A15299" i="3"/>
  <c r="A15298" i="3"/>
  <c r="A15297" i="3"/>
  <c r="A15296" i="3"/>
  <c r="A15295" i="3"/>
  <c r="A15294" i="3"/>
  <c r="A15293" i="3"/>
  <c r="A15292" i="3"/>
  <c r="A15291" i="3"/>
  <c r="A15290" i="3"/>
  <c r="A15289" i="3"/>
  <c r="A15288" i="3"/>
  <c r="A15287" i="3"/>
  <c r="A15286" i="3"/>
  <c r="A15285" i="3"/>
  <c r="A15284" i="3"/>
  <c r="A15283" i="3"/>
  <c r="A15282" i="3"/>
  <c r="A15281" i="3"/>
  <c r="A15280" i="3"/>
  <c r="A15279" i="3"/>
  <c r="A15278" i="3"/>
  <c r="A15277" i="3"/>
  <c r="A15276" i="3"/>
  <c r="A15275" i="3"/>
  <c r="A15274" i="3"/>
  <c r="A15273" i="3"/>
  <c r="A15272" i="3"/>
  <c r="A15271" i="3"/>
  <c r="A15270" i="3"/>
  <c r="A15269" i="3"/>
  <c r="A15268" i="3"/>
  <c r="A15267" i="3"/>
  <c r="A15266" i="3"/>
  <c r="A15265" i="3"/>
  <c r="A15264" i="3"/>
  <c r="A15263" i="3"/>
  <c r="A15262" i="3"/>
  <c r="A15261" i="3"/>
  <c r="A15260" i="3"/>
  <c r="A15259" i="3"/>
  <c r="A15258" i="3"/>
  <c r="A15257" i="3"/>
  <c r="A15256" i="3"/>
  <c r="A15255" i="3"/>
  <c r="A15254" i="3"/>
  <c r="A15253" i="3"/>
  <c r="A15252" i="3"/>
  <c r="A15251" i="3"/>
  <c r="A15250" i="3"/>
  <c r="A15249" i="3"/>
  <c r="A15248" i="3"/>
  <c r="A15247" i="3"/>
  <c r="A15246" i="3"/>
  <c r="A15245" i="3"/>
  <c r="A15244" i="3"/>
  <c r="A15243" i="3"/>
  <c r="A15242" i="3"/>
  <c r="A15241" i="3"/>
  <c r="A15240" i="3"/>
  <c r="A15239" i="3"/>
  <c r="A15238" i="3"/>
  <c r="A15237" i="3"/>
  <c r="A15236" i="3"/>
  <c r="A15235" i="3"/>
  <c r="A15234" i="3"/>
  <c r="A15233" i="3"/>
  <c r="A15232" i="3"/>
  <c r="A15231" i="3"/>
  <c r="A15230" i="3"/>
  <c r="A15229" i="3"/>
  <c r="A15228" i="3"/>
  <c r="A15227" i="3"/>
  <c r="A15226" i="3"/>
  <c r="A15225" i="3"/>
  <c r="A15224" i="3"/>
  <c r="A15223" i="3"/>
  <c r="A15222" i="3"/>
  <c r="A15221" i="3"/>
  <c r="A15220" i="3"/>
  <c r="A15219" i="3"/>
  <c r="A15218" i="3"/>
  <c r="A15217" i="3"/>
  <c r="A15216" i="3"/>
  <c r="A15215" i="3"/>
  <c r="A15214" i="3"/>
  <c r="A15213" i="3"/>
  <c r="A15212" i="3"/>
  <c r="A15211" i="3"/>
  <c r="A15210" i="3"/>
  <c r="A15209" i="3"/>
  <c r="A15208" i="3"/>
  <c r="A15207" i="3"/>
  <c r="A15206" i="3"/>
  <c r="A15205" i="3"/>
  <c r="A15204" i="3"/>
  <c r="A15203" i="3"/>
  <c r="A15202" i="3"/>
  <c r="A15201" i="3"/>
  <c r="A15200" i="3"/>
  <c r="A15199" i="3"/>
  <c r="A15198" i="3"/>
  <c r="A15197" i="3"/>
  <c r="A15196" i="3"/>
  <c r="A15195" i="3"/>
  <c r="A15194" i="3"/>
  <c r="A15193" i="3"/>
  <c r="A15192" i="3"/>
  <c r="A15191" i="3"/>
  <c r="A15190" i="3"/>
  <c r="A15189" i="3"/>
  <c r="A15188" i="3"/>
  <c r="A15187" i="3"/>
  <c r="A15186" i="3"/>
  <c r="A15185" i="3"/>
  <c r="A15184" i="3"/>
  <c r="A15183" i="3"/>
  <c r="A15182" i="3"/>
  <c r="A15181" i="3"/>
  <c r="A15180" i="3"/>
  <c r="A15179" i="3"/>
  <c r="A15178" i="3"/>
  <c r="A15177" i="3"/>
  <c r="A15176" i="3"/>
  <c r="A15175" i="3"/>
  <c r="A15174" i="3"/>
  <c r="A15173" i="3"/>
  <c r="A15172" i="3"/>
  <c r="A15171" i="3"/>
  <c r="A15170" i="3"/>
  <c r="A15169" i="3"/>
  <c r="A15168" i="3"/>
  <c r="A15167" i="3"/>
  <c r="A15166" i="3"/>
  <c r="A15165" i="3"/>
  <c r="A15164" i="3"/>
  <c r="A15163" i="3"/>
  <c r="A15162" i="3"/>
  <c r="A15161" i="3"/>
  <c r="A15160" i="3"/>
  <c r="A15159" i="3"/>
  <c r="A15158" i="3"/>
  <c r="A15157" i="3"/>
  <c r="A15156" i="3"/>
  <c r="A15155" i="3"/>
  <c r="A15154" i="3"/>
  <c r="A15153" i="3"/>
  <c r="A15152" i="3"/>
  <c r="A15151" i="3"/>
  <c r="A15150" i="3"/>
  <c r="A15149" i="3"/>
  <c r="A15148" i="3"/>
  <c r="A15147" i="3"/>
  <c r="A15146" i="3"/>
  <c r="A15145" i="3"/>
  <c r="A15144" i="3"/>
  <c r="A15143" i="3"/>
  <c r="A15142" i="3"/>
  <c r="A15141" i="3"/>
  <c r="A15140" i="3"/>
  <c r="A15139" i="3"/>
  <c r="A15138" i="3"/>
  <c r="A15137" i="3"/>
  <c r="A15136" i="3"/>
  <c r="A15135" i="3"/>
  <c r="A15134" i="3"/>
  <c r="A15133" i="3"/>
  <c r="A15132" i="3"/>
  <c r="A15131" i="3"/>
  <c r="A15130" i="3"/>
  <c r="A15129" i="3"/>
  <c r="A15128" i="3"/>
  <c r="A15127" i="3"/>
  <c r="A15126" i="3"/>
  <c r="A15125" i="3"/>
  <c r="A15124" i="3"/>
  <c r="A15123" i="3"/>
  <c r="A15122" i="3"/>
  <c r="A15121" i="3"/>
  <c r="A15120" i="3"/>
  <c r="A15119" i="3"/>
  <c r="A15118" i="3"/>
  <c r="A15117" i="3"/>
  <c r="A15116" i="3"/>
  <c r="A15115" i="3"/>
  <c r="A15114" i="3"/>
  <c r="A15113" i="3"/>
  <c r="A15112" i="3"/>
  <c r="A15111" i="3"/>
  <c r="A15110" i="3"/>
  <c r="A15109" i="3"/>
  <c r="A15108" i="3"/>
  <c r="A15107" i="3"/>
  <c r="A15106" i="3"/>
  <c r="A15105" i="3"/>
  <c r="A15104" i="3"/>
  <c r="A15103" i="3"/>
  <c r="A15102" i="3"/>
  <c r="A15101" i="3"/>
  <c r="A15100" i="3"/>
  <c r="A15099" i="3"/>
  <c r="A15098" i="3"/>
  <c r="A15097" i="3"/>
  <c r="A15096" i="3"/>
  <c r="A15095" i="3"/>
  <c r="A15094" i="3"/>
  <c r="A15093" i="3"/>
  <c r="A15092" i="3"/>
  <c r="A15091" i="3"/>
  <c r="A15090" i="3"/>
  <c r="A15089" i="3"/>
  <c r="A15088" i="3"/>
  <c r="A15087" i="3"/>
  <c r="A15086" i="3"/>
  <c r="A15085" i="3"/>
  <c r="A15084" i="3"/>
  <c r="A15083" i="3"/>
  <c r="A15082" i="3"/>
  <c r="A15081" i="3"/>
  <c r="A15080" i="3"/>
  <c r="A15079" i="3"/>
  <c r="A15078" i="3"/>
  <c r="A15077" i="3"/>
  <c r="A15076" i="3"/>
  <c r="A15075" i="3"/>
  <c r="A15074" i="3"/>
  <c r="A15073" i="3"/>
  <c r="A15072" i="3"/>
  <c r="A15071" i="3"/>
  <c r="A15070" i="3"/>
  <c r="A15069" i="3"/>
  <c r="A15068" i="3"/>
  <c r="A15067" i="3"/>
  <c r="A15066" i="3"/>
  <c r="A15065" i="3"/>
  <c r="A15064" i="3"/>
  <c r="A15063" i="3"/>
  <c r="A15062" i="3"/>
  <c r="A15061" i="3"/>
  <c r="A15060" i="3"/>
  <c r="A15059" i="3"/>
  <c r="A15058" i="3"/>
  <c r="A15057" i="3"/>
  <c r="A15056" i="3"/>
  <c r="A15055" i="3"/>
  <c r="A15054" i="3"/>
  <c r="A15053" i="3"/>
  <c r="A15052" i="3"/>
  <c r="A15051" i="3"/>
  <c r="A15050" i="3"/>
  <c r="A15049" i="3"/>
  <c r="A15048" i="3"/>
  <c r="A15047" i="3"/>
  <c r="A15046" i="3"/>
  <c r="A15045" i="3"/>
  <c r="A15044" i="3"/>
  <c r="A15043" i="3"/>
  <c r="A15042" i="3"/>
  <c r="A15041" i="3"/>
  <c r="A15040" i="3"/>
  <c r="A15039" i="3"/>
  <c r="A15038" i="3"/>
  <c r="A15037" i="3"/>
  <c r="A15036" i="3"/>
  <c r="A15035" i="3"/>
  <c r="A15034" i="3"/>
  <c r="A15033" i="3"/>
  <c r="A15032" i="3"/>
  <c r="A15031" i="3"/>
  <c r="A15030" i="3"/>
  <c r="A15029" i="3"/>
  <c r="A15028" i="3"/>
  <c r="A15027" i="3"/>
  <c r="A15026" i="3"/>
  <c r="A15025" i="3"/>
  <c r="A15024" i="3"/>
  <c r="A15023" i="3"/>
  <c r="A15022" i="3"/>
  <c r="A15021" i="3"/>
  <c r="A15020" i="3"/>
  <c r="A15019" i="3"/>
  <c r="A15018" i="3"/>
  <c r="A15017" i="3"/>
  <c r="A15016" i="3"/>
  <c r="A15015" i="3"/>
  <c r="A15014" i="3"/>
  <c r="A15013" i="3"/>
  <c r="A15012" i="3"/>
  <c r="A15011" i="3"/>
  <c r="A15010" i="3"/>
  <c r="A15009" i="3"/>
  <c r="A15008" i="3"/>
  <c r="A15007" i="3"/>
  <c r="A15006" i="3"/>
  <c r="A15005" i="3"/>
  <c r="A15004" i="3"/>
  <c r="A15003" i="3"/>
  <c r="A15002" i="3"/>
  <c r="A15001" i="3"/>
  <c r="A15000" i="3"/>
  <c r="A14999" i="3"/>
  <c r="A14998" i="3"/>
  <c r="A14997" i="3"/>
  <c r="A14996" i="3"/>
  <c r="A14995" i="3"/>
  <c r="A14994" i="3"/>
  <c r="A14993" i="3"/>
  <c r="A14992" i="3"/>
  <c r="A14991" i="3"/>
  <c r="A14990" i="3"/>
  <c r="A14989" i="3"/>
  <c r="A14988" i="3"/>
  <c r="A14987" i="3"/>
  <c r="A14986" i="3"/>
  <c r="A14985" i="3"/>
  <c r="A14984" i="3"/>
  <c r="A14983" i="3"/>
  <c r="A14982" i="3"/>
  <c r="A14981" i="3"/>
  <c r="A14980" i="3"/>
  <c r="A14979" i="3"/>
  <c r="A14978" i="3"/>
  <c r="A14977" i="3"/>
  <c r="A14976" i="3"/>
  <c r="A14975" i="3"/>
  <c r="A14974" i="3"/>
  <c r="A14973" i="3"/>
  <c r="A14972" i="3"/>
  <c r="A14971" i="3"/>
  <c r="A14970" i="3"/>
  <c r="A14969" i="3"/>
  <c r="A14968" i="3"/>
  <c r="A14967" i="3"/>
  <c r="A14966" i="3"/>
  <c r="A14965" i="3"/>
  <c r="A14964" i="3"/>
  <c r="A14963" i="3"/>
  <c r="A14962" i="3"/>
  <c r="A14961" i="3"/>
  <c r="A14960" i="3"/>
  <c r="A14959" i="3"/>
  <c r="A14958" i="3"/>
  <c r="A14957" i="3"/>
  <c r="A14956" i="3"/>
  <c r="A14955" i="3"/>
  <c r="A14954" i="3"/>
  <c r="A14953" i="3"/>
  <c r="A14952" i="3"/>
  <c r="A14951" i="3"/>
  <c r="A14950" i="3"/>
  <c r="A14949" i="3"/>
  <c r="A14948" i="3"/>
  <c r="A14947" i="3"/>
  <c r="A14946" i="3"/>
  <c r="A14945" i="3"/>
  <c r="A14944" i="3"/>
  <c r="A14943" i="3"/>
  <c r="A14942" i="3"/>
  <c r="A14941" i="3"/>
  <c r="A14940" i="3"/>
  <c r="A14939" i="3"/>
  <c r="A14938" i="3"/>
  <c r="A14937" i="3"/>
  <c r="A14936" i="3"/>
  <c r="A14935" i="3"/>
  <c r="A14934" i="3"/>
  <c r="A14933" i="3"/>
  <c r="A14932" i="3"/>
  <c r="A14931" i="3"/>
  <c r="A14930" i="3"/>
  <c r="A14929" i="3"/>
  <c r="A14928" i="3"/>
  <c r="A14927" i="3"/>
  <c r="A14926" i="3"/>
  <c r="A14925" i="3"/>
  <c r="A14924" i="3"/>
  <c r="A14923" i="3"/>
  <c r="A14922" i="3"/>
  <c r="A14921" i="3"/>
  <c r="A14920" i="3"/>
  <c r="A14919" i="3"/>
  <c r="A14918" i="3"/>
  <c r="A14917" i="3"/>
  <c r="A14916" i="3"/>
  <c r="A14915" i="3"/>
  <c r="A14914" i="3"/>
  <c r="A14913" i="3"/>
  <c r="A14912" i="3"/>
  <c r="A14911" i="3"/>
  <c r="A14910" i="3"/>
  <c r="A14909" i="3"/>
  <c r="A14908" i="3"/>
  <c r="A14907" i="3"/>
  <c r="A14906" i="3"/>
  <c r="A14905" i="3"/>
  <c r="A14904" i="3"/>
  <c r="A14903" i="3"/>
  <c r="A14902" i="3"/>
  <c r="A14901" i="3"/>
  <c r="A14900" i="3"/>
  <c r="A14899" i="3"/>
  <c r="A14898" i="3"/>
  <c r="A14897" i="3"/>
  <c r="A14896" i="3"/>
  <c r="A14895" i="3"/>
  <c r="A14894" i="3"/>
  <c r="A14893" i="3"/>
  <c r="A14892" i="3"/>
  <c r="A14891" i="3"/>
  <c r="A14890" i="3"/>
  <c r="A14889" i="3"/>
  <c r="A14888" i="3"/>
  <c r="A14887" i="3"/>
  <c r="A14886" i="3"/>
  <c r="A14885" i="3"/>
  <c r="A14884" i="3"/>
  <c r="A14883" i="3"/>
  <c r="A14882" i="3"/>
  <c r="A14881" i="3"/>
  <c r="A14880" i="3"/>
  <c r="A14879" i="3"/>
  <c r="A14878" i="3"/>
  <c r="A14877" i="3"/>
  <c r="A14876" i="3"/>
  <c r="A14875" i="3"/>
  <c r="A14874" i="3"/>
  <c r="A14873" i="3"/>
  <c r="A14872" i="3"/>
  <c r="A14871" i="3"/>
  <c r="A14870" i="3"/>
  <c r="A14869" i="3"/>
  <c r="A14868" i="3"/>
  <c r="A14867" i="3"/>
  <c r="A14866" i="3"/>
  <c r="A14865" i="3"/>
  <c r="A14864" i="3"/>
  <c r="A14863" i="3"/>
  <c r="A14862" i="3"/>
  <c r="A14861" i="3"/>
  <c r="A14860" i="3"/>
  <c r="A14859" i="3"/>
  <c r="A14858" i="3"/>
  <c r="A14857" i="3"/>
  <c r="A14856" i="3"/>
  <c r="A14855" i="3"/>
  <c r="A14854" i="3"/>
  <c r="A14853" i="3"/>
  <c r="A14852" i="3"/>
  <c r="A14851" i="3"/>
  <c r="A14850" i="3"/>
  <c r="A14849" i="3"/>
  <c r="A14848" i="3"/>
  <c r="A14847" i="3"/>
  <c r="A14846" i="3"/>
  <c r="A14845" i="3"/>
  <c r="A14844" i="3"/>
  <c r="A14843" i="3"/>
  <c r="A14842" i="3"/>
  <c r="A14841" i="3"/>
  <c r="A14840" i="3"/>
  <c r="A14839" i="3"/>
  <c r="A14838" i="3"/>
  <c r="A14837" i="3"/>
  <c r="A14836" i="3"/>
  <c r="A14835" i="3"/>
  <c r="A14834" i="3"/>
  <c r="A14833" i="3"/>
  <c r="A14832" i="3"/>
  <c r="A14831" i="3"/>
  <c r="A14830" i="3"/>
  <c r="A14829" i="3"/>
  <c r="A14828" i="3"/>
  <c r="A14827" i="3"/>
  <c r="A14826" i="3"/>
  <c r="A14825" i="3"/>
  <c r="A14824" i="3"/>
  <c r="A14823" i="3"/>
  <c r="A14822" i="3"/>
  <c r="A14821" i="3"/>
  <c r="A14820" i="3"/>
  <c r="A14819" i="3"/>
  <c r="A14818" i="3"/>
  <c r="A14817" i="3"/>
  <c r="A14816" i="3"/>
  <c r="A14815" i="3"/>
  <c r="A14814" i="3"/>
  <c r="A14813" i="3"/>
  <c r="A14812" i="3"/>
  <c r="A14811" i="3"/>
  <c r="A14810" i="3"/>
  <c r="A14809" i="3"/>
  <c r="A14808" i="3"/>
  <c r="A14807" i="3"/>
  <c r="A14806" i="3"/>
  <c r="A14805" i="3"/>
  <c r="A14804" i="3"/>
  <c r="A14803" i="3"/>
  <c r="A14802" i="3"/>
  <c r="A14801" i="3"/>
  <c r="A14800" i="3"/>
  <c r="A14799" i="3"/>
  <c r="A14798" i="3"/>
  <c r="A14797" i="3"/>
  <c r="A14796" i="3"/>
  <c r="A14795" i="3"/>
  <c r="A14794" i="3"/>
  <c r="A14793" i="3"/>
  <c r="A14792" i="3"/>
  <c r="A14791" i="3"/>
  <c r="A14790" i="3"/>
  <c r="A14789" i="3"/>
  <c r="A14788" i="3"/>
  <c r="A14787" i="3"/>
  <c r="A14786" i="3"/>
  <c r="A14785" i="3"/>
  <c r="A14784" i="3"/>
  <c r="A14783" i="3"/>
  <c r="A14782" i="3"/>
  <c r="A14781" i="3"/>
  <c r="A14780" i="3"/>
  <c r="A14779" i="3"/>
  <c r="A14778" i="3"/>
  <c r="A14777" i="3"/>
  <c r="A14776" i="3"/>
  <c r="A14775" i="3"/>
  <c r="A14774" i="3"/>
  <c r="A14773" i="3"/>
  <c r="A14772" i="3"/>
  <c r="A14771" i="3"/>
  <c r="A14770" i="3"/>
  <c r="A14769" i="3"/>
  <c r="A14768" i="3"/>
  <c r="A14767" i="3"/>
  <c r="A14766" i="3"/>
  <c r="A14765" i="3"/>
  <c r="A14764" i="3"/>
  <c r="A14763" i="3"/>
  <c r="A14762" i="3"/>
  <c r="A14761" i="3"/>
  <c r="A14760" i="3"/>
  <c r="A14759" i="3"/>
  <c r="A14758" i="3"/>
  <c r="A14757" i="3"/>
  <c r="A14756" i="3"/>
  <c r="A14755" i="3"/>
  <c r="A14754" i="3"/>
  <c r="A14753" i="3"/>
  <c r="A14752" i="3"/>
  <c r="A14751" i="3"/>
  <c r="A14750" i="3"/>
  <c r="A14749" i="3"/>
  <c r="A14748" i="3"/>
  <c r="A14747" i="3"/>
  <c r="A14746" i="3"/>
  <c r="A14745" i="3"/>
  <c r="A14744" i="3"/>
  <c r="A14743" i="3"/>
  <c r="A14742" i="3"/>
  <c r="A14741" i="3"/>
  <c r="A14740" i="3"/>
  <c r="A14739" i="3"/>
  <c r="A14738" i="3"/>
  <c r="A14737" i="3"/>
  <c r="A14736" i="3"/>
  <c r="A14735" i="3"/>
  <c r="A14734" i="3"/>
  <c r="A14733" i="3"/>
  <c r="A14732" i="3"/>
  <c r="A14731" i="3"/>
  <c r="A14730" i="3"/>
  <c r="A14729" i="3"/>
  <c r="A14728" i="3"/>
  <c r="A14727" i="3"/>
  <c r="A14726" i="3"/>
  <c r="A14725" i="3"/>
  <c r="A14724" i="3"/>
  <c r="A14723" i="3"/>
  <c r="A14722" i="3"/>
  <c r="A14721" i="3"/>
  <c r="A14720" i="3"/>
  <c r="A14719" i="3"/>
  <c r="A14718" i="3"/>
  <c r="A14717" i="3"/>
  <c r="A14716" i="3"/>
  <c r="A14715" i="3"/>
  <c r="A14714" i="3"/>
  <c r="A14713" i="3"/>
  <c r="A14712" i="3"/>
  <c r="A14711" i="3"/>
  <c r="A14710" i="3"/>
  <c r="A14709" i="3"/>
  <c r="A14708" i="3"/>
  <c r="A14707" i="3"/>
  <c r="A14706" i="3"/>
  <c r="A14705" i="3"/>
  <c r="A14704" i="3"/>
  <c r="A14703" i="3"/>
  <c r="A14702" i="3"/>
  <c r="A14701" i="3"/>
  <c r="A14700" i="3"/>
  <c r="A14699" i="3"/>
  <c r="A14698" i="3"/>
  <c r="A14697" i="3"/>
  <c r="A14696" i="3"/>
  <c r="A14695" i="3"/>
  <c r="A14694" i="3"/>
  <c r="A14693" i="3"/>
  <c r="A14692" i="3"/>
  <c r="A14691" i="3"/>
  <c r="A14690" i="3"/>
  <c r="A14689" i="3"/>
  <c r="A14688" i="3"/>
  <c r="A14687" i="3"/>
  <c r="A14686" i="3"/>
  <c r="A14685" i="3"/>
  <c r="A14684" i="3"/>
  <c r="A14683" i="3"/>
  <c r="A14682" i="3"/>
  <c r="A14681" i="3"/>
  <c r="A14680" i="3"/>
  <c r="A14679" i="3"/>
  <c r="A14678" i="3"/>
  <c r="A14677" i="3"/>
  <c r="A14676" i="3"/>
  <c r="A14675" i="3"/>
  <c r="A14674" i="3"/>
  <c r="A14673" i="3"/>
  <c r="A14672" i="3"/>
  <c r="A14671" i="3"/>
  <c r="A14670" i="3"/>
  <c r="A14669" i="3"/>
  <c r="A14668" i="3"/>
  <c r="A14667" i="3"/>
  <c r="A14666" i="3"/>
  <c r="A14665" i="3"/>
  <c r="A14664" i="3"/>
  <c r="A14663" i="3"/>
  <c r="A14662" i="3"/>
  <c r="A14661" i="3"/>
  <c r="A14660" i="3"/>
  <c r="A14659" i="3"/>
  <c r="A14658" i="3"/>
  <c r="A14657" i="3"/>
  <c r="A14656" i="3"/>
  <c r="A14655" i="3"/>
  <c r="A14654" i="3"/>
  <c r="A14653" i="3"/>
  <c r="A14652" i="3"/>
  <c r="A14651" i="3"/>
  <c r="A14650" i="3"/>
  <c r="A14649" i="3"/>
  <c r="A14648" i="3"/>
  <c r="A14647" i="3"/>
  <c r="A14646" i="3"/>
  <c r="A14645" i="3"/>
  <c r="A14644" i="3"/>
  <c r="A14643" i="3"/>
  <c r="A14642" i="3"/>
  <c r="A14641" i="3"/>
  <c r="A14640" i="3"/>
  <c r="A14639" i="3"/>
  <c r="A14638" i="3"/>
  <c r="A14637" i="3"/>
  <c r="A14636" i="3"/>
  <c r="A14635" i="3"/>
  <c r="A14634" i="3"/>
  <c r="A14633" i="3"/>
  <c r="A14632" i="3"/>
  <c r="A14631" i="3"/>
  <c r="A14630" i="3"/>
  <c r="A14629" i="3"/>
  <c r="A14628" i="3"/>
  <c r="A14627" i="3"/>
  <c r="A14626" i="3"/>
  <c r="A14625" i="3"/>
  <c r="A14624" i="3"/>
  <c r="A14623" i="3"/>
  <c r="A14622" i="3"/>
  <c r="A14621" i="3"/>
  <c r="A14620" i="3"/>
  <c r="A14619" i="3"/>
  <c r="A14618" i="3"/>
  <c r="A14617" i="3"/>
  <c r="A14616" i="3"/>
  <c r="A14615" i="3"/>
  <c r="A14614" i="3"/>
  <c r="A14613" i="3"/>
  <c r="A14612" i="3"/>
  <c r="A14611" i="3"/>
  <c r="A14610" i="3"/>
  <c r="A14609" i="3"/>
  <c r="A14608" i="3"/>
  <c r="A14607" i="3"/>
  <c r="A14606" i="3"/>
  <c r="A14605" i="3"/>
  <c r="A14604" i="3"/>
  <c r="A14603" i="3"/>
  <c r="A14602" i="3"/>
  <c r="A14601" i="3"/>
  <c r="A14600" i="3"/>
  <c r="A14599" i="3"/>
  <c r="A14598" i="3"/>
  <c r="A14597" i="3"/>
  <c r="A14596" i="3"/>
  <c r="A14595" i="3"/>
  <c r="A14594" i="3"/>
  <c r="A14593" i="3"/>
  <c r="A14592" i="3"/>
  <c r="A14591" i="3"/>
  <c r="A14590" i="3"/>
  <c r="A14589" i="3"/>
  <c r="A14588" i="3"/>
  <c r="A14587" i="3"/>
  <c r="A14586" i="3"/>
  <c r="A14585" i="3"/>
  <c r="A14584" i="3"/>
  <c r="A14583" i="3"/>
  <c r="A14582" i="3"/>
  <c r="A14581" i="3"/>
  <c r="A14580" i="3"/>
  <c r="A14579" i="3"/>
  <c r="A14578" i="3"/>
  <c r="A14577" i="3"/>
  <c r="A14576" i="3"/>
  <c r="A14575" i="3"/>
  <c r="A14574" i="3"/>
  <c r="A14573" i="3"/>
  <c r="A14572" i="3"/>
  <c r="A14571" i="3"/>
  <c r="A14570" i="3"/>
  <c r="A14569" i="3"/>
  <c r="A14568" i="3"/>
  <c r="A14567" i="3"/>
  <c r="A14566" i="3"/>
  <c r="A14565" i="3"/>
  <c r="A14564" i="3"/>
  <c r="A14563" i="3"/>
  <c r="A14562" i="3"/>
  <c r="A14561" i="3"/>
  <c r="A14560" i="3"/>
  <c r="A14559" i="3"/>
  <c r="A14558" i="3"/>
  <c r="A14557" i="3"/>
  <c r="A14556" i="3"/>
  <c r="A14555" i="3"/>
  <c r="A14554" i="3"/>
  <c r="A14553" i="3"/>
  <c r="A14552" i="3"/>
  <c r="A14551" i="3"/>
  <c r="A14550" i="3"/>
  <c r="A14549" i="3"/>
  <c r="A14548" i="3"/>
  <c r="A14547" i="3"/>
  <c r="A14546" i="3"/>
  <c r="A14545" i="3"/>
  <c r="A14544" i="3"/>
  <c r="A14543" i="3"/>
  <c r="A14542" i="3"/>
  <c r="A14541" i="3"/>
  <c r="A14540" i="3"/>
  <c r="A14539" i="3"/>
  <c r="A14538" i="3"/>
  <c r="A14537" i="3"/>
  <c r="A14536" i="3"/>
  <c r="A14535" i="3"/>
  <c r="A14534" i="3"/>
  <c r="A14533" i="3"/>
  <c r="A14532" i="3"/>
  <c r="A14531" i="3"/>
  <c r="A14530" i="3"/>
  <c r="A14529" i="3"/>
  <c r="A14528" i="3"/>
  <c r="A14527" i="3"/>
  <c r="A14526" i="3"/>
  <c r="A14525" i="3"/>
  <c r="A14524" i="3"/>
  <c r="A14523" i="3"/>
  <c r="A14522" i="3"/>
  <c r="A14521" i="3"/>
  <c r="A14520" i="3"/>
  <c r="A14519" i="3"/>
  <c r="A14518" i="3"/>
  <c r="A14517" i="3"/>
  <c r="A14516" i="3"/>
  <c r="A14515" i="3"/>
  <c r="A14514" i="3"/>
  <c r="A14513" i="3"/>
  <c r="A14512" i="3"/>
  <c r="A14511" i="3"/>
  <c r="A14510" i="3"/>
  <c r="A14509" i="3"/>
  <c r="A14508" i="3"/>
  <c r="A14507" i="3"/>
  <c r="A14506" i="3"/>
  <c r="A14505" i="3"/>
  <c r="A14504" i="3"/>
  <c r="A14503" i="3"/>
  <c r="A14502" i="3"/>
  <c r="A14501" i="3"/>
  <c r="A14500" i="3"/>
  <c r="A14499" i="3"/>
  <c r="A14498" i="3"/>
  <c r="A14497" i="3"/>
  <c r="A14496" i="3"/>
  <c r="A14495" i="3"/>
  <c r="A14494" i="3"/>
  <c r="A14493" i="3"/>
  <c r="A14492" i="3"/>
  <c r="A14491" i="3"/>
  <c r="A14490" i="3"/>
  <c r="A14489" i="3"/>
  <c r="A14488" i="3"/>
  <c r="A14487" i="3"/>
  <c r="A14486" i="3"/>
  <c r="A14485" i="3"/>
  <c r="A14484" i="3"/>
  <c r="A14483" i="3"/>
  <c r="A14482" i="3"/>
  <c r="A14481" i="3"/>
  <c r="A14480" i="3"/>
  <c r="A14479" i="3"/>
  <c r="A14478" i="3"/>
  <c r="A14477" i="3"/>
  <c r="A14476" i="3"/>
  <c r="A14475" i="3"/>
  <c r="A14474" i="3"/>
  <c r="A14473" i="3"/>
  <c r="A14472" i="3"/>
  <c r="A14471" i="3"/>
  <c r="A14470" i="3"/>
  <c r="A14469" i="3"/>
  <c r="A14468" i="3"/>
  <c r="A14467" i="3"/>
  <c r="A14466" i="3"/>
  <c r="A14465" i="3"/>
  <c r="A14464" i="3"/>
  <c r="A14463" i="3"/>
  <c r="A14462" i="3"/>
  <c r="A14461" i="3"/>
  <c r="A14460" i="3"/>
  <c r="A14459" i="3"/>
  <c r="A14458" i="3"/>
  <c r="A14457" i="3"/>
  <c r="A14456" i="3"/>
  <c r="A14455" i="3"/>
  <c r="A14454" i="3"/>
  <c r="A14453" i="3"/>
  <c r="A14452" i="3"/>
  <c r="A14451" i="3"/>
  <c r="A14450" i="3"/>
  <c r="A14449" i="3"/>
  <c r="A14448" i="3"/>
  <c r="A14447" i="3"/>
  <c r="A14446" i="3"/>
  <c r="A14445" i="3"/>
  <c r="A14444" i="3"/>
  <c r="A14443" i="3"/>
  <c r="A14442" i="3"/>
  <c r="A14441" i="3"/>
  <c r="A14440" i="3"/>
  <c r="A14439" i="3"/>
  <c r="A14438" i="3"/>
  <c r="A14437" i="3"/>
  <c r="A14436" i="3"/>
  <c r="A14435" i="3"/>
  <c r="A14434" i="3"/>
  <c r="A14433" i="3"/>
  <c r="A14432" i="3"/>
  <c r="A14431" i="3"/>
  <c r="A14430" i="3"/>
  <c r="A14429" i="3"/>
  <c r="A14428" i="3"/>
  <c r="A14427" i="3"/>
  <c r="A14426" i="3"/>
  <c r="A14425" i="3"/>
  <c r="A14424" i="3"/>
  <c r="A14423" i="3"/>
  <c r="A14422" i="3"/>
  <c r="A14421" i="3"/>
  <c r="A14420" i="3"/>
  <c r="A14419" i="3"/>
  <c r="A14418" i="3"/>
  <c r="A14417" i="3"/>
  <c r="A14416" i="3"/>
  <c r="A14415" i="3"/>
  <c r="A14414" i="3"/>
  <c r="A14413" i="3"/>
  <c r="A14412" i="3"/>
  <c r="A14411" i="3"/>
  <c r="A14410" i="3"/>
  <c r="A14409" i="3"/>
  <c r="A14408" i="3"/>
  <c r="A14407" i="3"/>
  <c r="A14406" i="3"/>
  <c r="A14405" i="3"/>
  <c r="A14404" i="3"/>
  <c r="A14403" i="3"/>
  <c r="A14402" i="3"/>
  <c r="A14401" i="3"/>
  <c r="A14400" i="3"/>
  <c r="A14399" i="3"/>
  <c r="A14398" i="3"/>
  <c r="A14397" i="3"/>
  <c r="A14396" i="3"/>
  <c r="A14395" i="3"/>
  <c r="A14394" i="3"/>
  <c r="A14393" i="3"/>
  <c r="A14392" i="3"/>
  <c r="A14391" i="3"/>
  <c r="A14390" i="3"/>
  <c r="A14389" i="3"/>
  <c r="A14388" i="3"/>
  <c r="A14387" i="3"/>
  <c r="A14386" i="3"/>
  <c r="A14385" i="3"/>
  <c r="A14384" i="3"/>
  <c r="A14383" i="3"/>
  <c r="A14382" i="3"/>
  <c r="A14381" i="3"/>
  <c r="A14380" i="3"/>
  <c r="A14379" i="3"/>
  <c r="A14378" i="3"/>
  <c r="A14377" i="3"/>
  <c r="A14376" i="3"/>
  <c r="A14375" i="3"/>
  <c r="A14374" i="3"/>
  <c r="A14373" i="3"/>
  <c r="A14372" i="3"/>
  <c r="A14371" i="3"/>
  <c r="A14370" i="3"/>
  <c r="A14369" i="3"/>
  <c r="A14368" i="3"/>
  <c r="A14367" i="3"/>
  <c r="A14366" i="3"/>
  <c r="A14365" i="3"/>
  <c r="A14364" i="3"/>
  <c r="A14363" i="3"/>
  <c r="A14362" i="3"/>
  <c r="A14361" i="3"/>
  <c r="A14360" i="3"/>
  <c r="A14359" i="3"/>
  <c r="A14358" i="3"/>
  <c r="A14357" i="3"/>
  <c r="A14356" i="3"/>
  <c r="A14355" i="3"/>
  <c r="A14354" i="3"/>
  <c r="A14353" i="3"/>
  <c r="A14352" i="3"/>
  <c r="A14351" i="3"/>
  <c r="A14350" i="3"/>
  <c r="A14349" i="3"/>
  <c r="A14348" i="3"/>
  <c r="A14347" i="3"/>
  <c r="A14346" i="3"/>
  <c r="A14345" i="3"/>
  <c r="A14344" i="3"/>
  <c r="A14343" i="3"/>
  <c r="A14342" i="3"/>
  <c r="A14341" i="3"/>
  <c r="A14340" i="3"/>
  <c r="A14339" i="3"/>
  <c r="A14338" i="3"/>
  <c r="A14337" i="3"/>
  <c r="A14336" i="3"/>
  <c r="A14335" i="3"/>
  <c r="A14334" i="3"/>
  <c r="A14333" i="3"/>
  <c r="A14332" i="3"/>
  <c r="A14331" i="3"/>
  <c r="A14330" i="3"/>
  <c r="A14329" i="3"/>
  <c r="A14328" i="3"/>
  <c r="A14327" i="3"/>
  <c r="A14326" i="3"/>
  <c r="A14325" i="3"/>
  <c r="A14324" i="3"/>
  <c r="A14323" i="3"/>
  <c r="A14322" i="3"/>
  <c r="A14321" i="3"/>
  <c r="A14320" i="3"/>
  <c r="A14319" i="3"/>
  <c r="A14318" i="3"/>
  <c r="A14317" i="3"/>
  <c r="A14316" i="3"/>
  <c r="A14315" i="3"/>
  <c r="A14314" i="3"/>
  <c r="A14313" i="3"/>
  <c r="A14312" i="3"/>
  <c r="A14311" i="3"/>
  <c r="A14310" i="3"/>
  <c r="A14309" i="3"/>
  <c r="A14308" i="3"/>
  <c r="A14307" i="3"/>
  <c r="A14306" i="3"/>
  <c r="A14305" i="3"/>
  <c r="A14304" i="3"/>
  <c r="A14303" i="3"/>
  <c r="A14302" i="3"/>
  <c r="A14301" i="3"/>
  <c r="A14300" i="3"/>
  <c r="A14299" i="3"/>
  <c r="A14298" i="3"/>
  <c r="A14297" i="3"/>
  <c r="A14296" i="3"/>
  <c r="A14295" i="3"/>
  <c r="A14294" i="3"/>
  <c r="A14293" i="3"/>
  <c r="A14292" i="3"/>
  <c r="A14291" i="3"/>
  <c r="A14290" i="3"/>
  <c r="A14289" i="3"/>
  <c r="A14288" i="3"/>
  <c r="A14287" i="3"/>
  <c r="A14286" i="3"/>
  <c r="A14285" i="3"/>
  <c r="A14284" i="3"/>
  <c r="A14283" i="3"/>
  <c r="A14282" i="3"/>
  <c r="A14281" i="3"/>
  <c r="A14280" i="3"/>
  <c r="A14279" i="3"/>
  <c r="A14278" i="3"/>
  <c r="A14277" i="3"/>
  <c r="A14276" i="3"/>
  <c r="A14275" i="3"/>
  <c r="A14274" i="3"/>
  <c r="A14273" i="3"/>
  <c r="A14272" i="3"/>
  <c r="A14271" i="3"/>
  <c r="A14270" i="3"/>
  <c r="A14269" i="3"/>
  <c r="A14268" i="3"/>
  <c r="A14267" i="3"/>
  <c r="A14266" i="3"/>
  <c r="A14265" i="3"/>
  <c r="A14264" i="3"/>
  <c r="A14263" i="3"/>
  <c r="A14262" i="3"/>
  <c r="A14261" i="3"/>
  <c r="A14260" i="3"/>
  <c r="A14259" i="3"/>
  <c r="A14258" i="3"/>
  <c r="A14257" i="3"/>
  <c r="A14256" i="3"/>
  <c r="A14255" i="3"/>
  <c r="A14254" i="3"/>
  <c r="A14253" i="3"/>
  <c r="A14252" i="3"/>
  <c r="A14251" i="3"/>
  <c r="A14250" i="3"/>
  <c r="A14249" i="3"/>
  <c r="A14248" i="3"/>
  <c r="A14247" i="3"/>
  <c r="A14246" i="3"/>
  <c r="A14245" i="3"/>
  <c r="A14244" i="3"/>
  <c r="A14243" i="3"/>
  <c r="A14242" i="3"/>
  <c r="A14241" i="3"/>
  <c r="A14240" i="3"/>
  <c r="A14239" i="3"/>
  <c r="A14238" i="3"/>
  <c r="A14237" i="3"/>
  <c r="A14236" i="3"/>
  <c r="A14235" i="3"/>
  <c r="A14234" i="3"/>
  <c r="A14233" i="3"/>
  <c r="A14232" i="3"/>
  <c r="A14231" i="3"/>
  <c r="A14230" i="3"/>
  <c r="A14229" i="3"/>
  <c r="A14228" i="3"/>
  <c r="A14227" i="3"/>
  <c r="A14226" i="3"/>
  <c r="A14225" i="3"/>
  <c r="A14224" i="3"/>
  <c r="A14223" i="3"/>
  <c r="A14222" i="3"/>
  <c r="A14221" i="3"/>
  <c r="A14220" i="3"/>
  <c r="A14219" i="3"/>
  <c r="A14218" i="3"/>
  <c r="A14217" i="3"/>
  <c r="A14216" i="3"/>
  <c r="A14215" i="3"/>
  <c r="A14214" i="3"/>
  <c r="A14213" i="3"/>
  <c r="A14212" i="3"/>
  <c r="A14211" i="3"/>
  <c r="A14210" i="3"/>
  <c r="A14209" i="3"/>
  <c r="A14208" i="3"/>
  <c r="A14207" i="3"/>
  <c r="A14206" i="3"/>
  <c r="A14205" i="3"/>
  <c r="A14204" i="3"/>
  <c r="A14203" i="3"/>
  <c r="A14202" i="3"/>
  <c r="A14201" i="3"/>
  <c r="A14200" i="3"/>
  <c r="A14199" i="3"/>
  <c r="A14198" i="3"/>
  <c r="A14197" i="3"/>
  <c r="A14196" i="3"/>
  <c r="A14195" i="3"/>
  <c r="A14194" i="3"/>
  <c r="A14193" i="3"/>
  <c r="A14192" i="3"/>
  <c r="A14191" i="3"/>
  <c r="A14190" i="3"/>
  <c r="A14189" i="3"/>
  <c r="A14188" i="3"/>
  <c r="A14187" i="3"/>
  <c r="A14186" i="3"/>
  <c r="A14185" i="3"/>
  <c r="A14184" i="3"/>
  <c r="A14183" i="3"/>
  <c r="A14182" i="3"/>
  <c r="A14181" i="3"/>
  <c r="A14180" i="3"/>
  <c r="A14179" i="3"/>
  <c r="A14178" i="3"/>
  <c r="A14177" i="3"/>
  <c r="A14176" i="3"/>
  <c r="A14175" i="3"/>
  <c r="A14174" i="3"/>
  <c r="A14173" i="3"/>
  <c r="A14172" i="3"/>
  <c r="A14171" i="3"/>
  <c r="A14170" i="3"/>
  <c r="A14169" i="3"/>
  <c r="A14168" i="3"/>
  <c r="A14167" i="3"/>
  <c r="A14166" i="3"/>
  <c r="A14165" i="3"/>
  <c r="A14164" i="3"/>
  <c r="A14163" i="3"/>
  <c r="A14162" i="3"/>
  <c r="A14161" i="3"/>
  <c r="A14160" i="3"/>
  <c r="A14159" i="3"/>
  <c r="A14158" i="3"/>
  <c r="A14157" i="3"/>
  <c r="A14156" i="3"/>
  <c r="A14155" i="3"/>
  <c r="A14154" i="3"/>
  <c r="A14153" i="3"/>
  <c r="A14152" i="3"/>
  <c r="A14151" i="3"/>
  <c r="A14150" i="3"/>
  <c r="A14149" i="3"/>
  <c r="A14148" i="3"/>
  <c r="A14147" i="3"/>
  <c r="A14146" i="3"/>
  <c r="A14145" i="3"/>
  <c r="A14144" i="3"/>
  <c r="A14143" i="3"/>
  <c r="A14142" i="3"/>
  <c r="A14141" i="3"/>
  <c r="A14140" i="3"/>
  <c r="A14139" i="3"/>
  <c r="A14138" i="3"/>
  <c r="A14137" i="3"/>
  <c r="A14136" i="3"/>
  <c r="A14135" i="3"/>
  <c r="A14134" i="3"/>
  <c r="A14133" i="3"/>
  <c r="A14132" i="3"/>
  <c r="A14131" i="3"/>
  <c r="A14130" i="3"/>
  <c r="A14129" i="3"/>
  <c r="A14128" i="3"/>
  <c r="A14127" i="3"/>
  <c r="A14126" i="3"/>
  <c r="A14125" i="3"/>
  <c r="A14124" i="3"/>
  <c r="A14123" i="3"/>
  <c r="A14122" i="3"/>
  <c r="A14121" i="3"/>
  <c r="A14120" i="3"/>
  <c r="A14119" i="3"/>
  <c r="A14118" i="3"/>
  <c r="A14117" i="3"/>
  <c r="A14116" i="3"/>
  <c r="A14115" i="3"/>
  <c r="A14114" i="3"/>
  <c r="A14113" i="3"/>
  <c r="A14112" i="3"/>
  <c r="A14111" i="3"/>
  <c r="A14110" i="3"/>
  <c r="A14109" i="3"/>
  <c r="A14108" i="3"/>
  <c r="A14107" i="3"/>
  <c r="A14106" i="3"/>
  <c r="A14105" i="3"/>
  <c r="A14104" i="3"/>
  <c r="A14103" i="3"/>
  <c r="A14102" i="3"/>
  <c r="A14101" i="3"/>
  <c r="A14100" i="3"/>
  <c r="A14099" i="3"/>
  <c r="A14098" i="3"/>
  <c r="A14097" i="3"/>
  <c r="A14096" i="3"/>
  <c r="A14095" i="3"/>
  <c r="A14094" i="3"/>
  <c r="A14093" i="3"/>
  <c r="A14092" i="3"/>
  <c r="A14091" i="3"/>
  <c r="A14090" i="3"/>
  <c r="A14089" i="3"/>
  <c r="A14088" i="3"/>
  <c r="A14087" i="3"/>
  <c r="A14086" i="3"/>
  <c r="A14085" i="3"/>
  <c r="A14084" i="3"/>
  <c r="A14083" i="3"/>
  <c r="A14082" i="3"/>
  <c r="A14081" i="3"/>
  <c r="A14080" i="3"/>
  <c r="A14079" i="3"/>
  <c r="A14078" i="3"/>
  <c r="A14077" i="3"/>
  <c r="A14076" i="3"/>
  <c r="A14075" i="3"/>
  <c r="A14074" i="3"/>
  <c r="A14073" i="3"/>
  <c r="A14072" i="3"/>
  <c r="A14071" i="3"/>
  <c r="A14070" i="3"/>
  <c r="A14069" i="3"/>
  <c r="A14068" i="3"/>
  <c r="A14067" i="3"/>
  <c r="A14066" i="3"/>
  <c r="A14065" i="3"/>
  <c r="A14064" i="3"/>
  <c r="A14063" i="3"/>
  <c r="A14062" i="3"/>
  <c r="A14061" i="3"/>
  <c r="A14060" i="3"/>
  <c r="A14059" i="3"/>
  <c r="A14058" i="3"/>
  <c r="A14057" i="3"/>
  <c r="A14056" i="3"/>
  <c r="A14055" i="3"/>
  <c r="A14054" i="3"/>
  <c r="A14053" i="3"/>
  <c r="A14052" i="3"/>
  <c r="A14051" i="3"/>
  <c r="A14050" i="3"/>
  <c r="A14049" i="3"/>
  <c r="A14048" i="3"/>
  <c r="A14047" i="3"/>
  <c r="A14046" i="3"/>
  <c r="A14045" i="3"/>
  <c r="A14044" i="3"/>
  <c r="A14043" i="3"/>
  <c r="A14042" i="3"/>
  <c r="A14041" i="3"/>
  <c r="A14040" i="3"/>
  <c r="A14039" i="3"/>
  <c r="A14038" i="3"/>
  <c r="A14037" i="3"/>
  <c r="A14036" i="3"/>
  <c r="A14035" i="3"/>
  <c r="A14034" i="3"/>
  <c r="A14033" i="3"/>
  <c r="A14032" i="3"/>
  <c r="A14031" i="3"/>
  <c r="A14030" i="3"/>
  <c r="A14029" i="3"/>
  <c r="A14028" i="3"/>
  <c r="A14027" i="3"/>
  <c r="A14026" i="3"/>
  <c r="A14025" i="3"/>
  <c r="A14024" i="3"/>
  <c r="A14023" i="3"/>
  <c r="A14022" i="3"/>
  <c r="A14021" i="3"/>
  <c r="A14020" i="3"/>
  <c r="A14019" i="3"/>
  <c r="A14018" i="3"/>
  <c r="A14017" i="3"/>
  <c r="A14016" i="3"/>
  <c r="A14015" i="3"/>
  <c r="A14014" i="3"/>
  <c r="A14013" i="3"/>
  <c r="A14012" i="3"/>
  <c r="A14011" i="3"/>
  <c r="A14010" i="3"/>
  <c r="A14009" i="3"/>
  <c r="A14008" i="3"/>
  <c r="A14007" i="3"/>
  <c r="A14006" i="3"/>
  <c r="A14005" i="3"/>
  <c r="A14004" i="3"/>
  <c r="A14003" i="3"/>
  <c r="A14002" i="3"/>
  <c r="A14001" i="3"/>
  <c r="A14000" i="3"/>
  <c r="A13999" i="3"/>
  <c r="A13998" i="3"/>
  <c r="A13997" i="3"/>
  <c r="A13996" i="3"/>
  <c r="A13995" i="3"/>
  <c r="A13994" i="3"/>
  <c r="A13993" i="3"/>
  <c r="A13992" i="3"/>
  <c r="A13991" i="3"/>
  <c r="A13990" i="3"/>
  <c r="A13989" i="3"/>
  <c r="A13988" i="3"/>
  <c r="A13987" i="3"/>
  <c r="A13986" i="3"/>
  <c r="A13985" i="3"/>
  <c r="A13984" i="3"/>
  <c r="A13983" i="3"/>
  <c r="A13982" i="3"/>
  <c r="A13981" i="3"/>
  <c r="A13980" i="3"/>
  <c r="A13979" i="3"/>
  <c r="A13978" i="3"/>
  <c r="A13977" i="3"/>
  <c r="A13976" i="3"/>
  <c r="A13975" i="3"/>
  <c r="A13974" i="3"/>
  <c r="A13973" i="3"/>
  <c r="A13972" i="3"/>
  <c r="A13971" i="3"/>
  <c r="A13970" i="3"/>
  <c r="A13969" i="3"/>
  <c r="A13968" i="3"/>
  <c r="A13967" i="3"/>
  <c r="A13966" i="3"/>
  <c r="A13965" i="3"/>
  <c r="A13964" i="3"/>
  <c r="A13963" i="3"/>
  <c r="A13962" i="3"/>
  <c r="A13961" i="3"/>
  <c r="A13960" i="3"/>
  <c r="A13959" i="3"/>
  <c r="A13958" i="3"/>
  <c r="A13957" i="3"/>
  <c r="A13956" i="3"/>
  <c r="A13955" i="3"/>
  <c r="A13954" i="3"/>
  <c r="A13953" i="3"/>
  <c r="A13952" i="3"/>
  <c r="A13951" i="3"/>
  <c r="A13950" i="3"/>
  <c r="A13949" i="3"/>
  <c r="A13948" i="3"/>
  <c r="A13947" i="3"/>
  <c r="A13946" i="3"/>
  <c r="A13945" i="3"/>
  <c r="A13944" i="3"/>
  <c r="A13943" i="3"/>
  <c r="A13942" i="3"/>
  <c r="A13941" i="3"/>
  <c r="A13940" i="3"/>
  <c r="A13939" i="3"/>
  <c r="A13938" i="3"/>
  <c r="A13937" i="3"/>
  <c r="A13936" i="3"/>
  <c r="A13935" i="3"/>
  <c r="A13934" i="3"/>
  <c r="A13933" i="3"/>
  <c r="A13932" i="3"/>
  <c r="A13931" i="3"/>
  <c r="A13930" i="3"/>
  <c r="A13929" i="3"/>
  <c r="A13928" i="3"/>
  <c r="A13927" i="3"/>
  <c r="A13926" i="3"/>
  <c r="A13925" i="3"/>
  <c r="A13924" i="3"/>
  <c r="A13923" i="3"/>
  <c r="A13922" i="3"/>
  <c r="A13921" i="3"/>
  <c r="A13920" i="3"/>
  <c r="A13919" i="3"/>
  <c r="A13918" i="3"/>
  <c r="A13917" i="3"/>
  <c r="A13916" i="3"/>
  <c r="A13915" i="3"/>
  <c r="A13914" i="3"/>
  <c r="A13913" i="3"/>
  <c r="A13912" i="3"/>
  <c r="A13911" i="3"/>
  <c r="A13910" i="3"/>
  <c r="A13909" i="3"/>
  <c r="A13908" i="3"/>
  <c r="A13907" i="3"/>
  <c r="A13906" i="3"/>
  <c r="A13905" i="3"/>
  <c r="A13904" i="3"/>
  <c r="A13903" i="3"/>
  <c r="A13902" i="3"/>
  <c r="A13901" i="3"/>
  <c r="A13900" i="3"/>
  <c r="A13899" i="3"/>
  <c r="A13898" i="3"/>
  <c r="A13897" i="3"/>
  <c r="A13896" i="3"/>
  <c r="A13895" i="3"/>
  <c r="A13894" i="3"/>
  <c r="A13893" i="3"/>
  <c r="A13892" i="3"/>
  <c r="A13891" i="3"/>
  <c r="A13890" i="3"/>
  <c r="A13889" i="3"/>
  <c r="A13888" i="3"/>
  <c r="A13887" i="3"/>
  <c r="A13886" i="3"/>
  <c r="A13885" i="3"/>
  <c r="A13884" i="3"/>
  <c r="A13883" i="3"/>
  <c r="A13882" i="3"/>
  <c r="A13881" i="3"/>
  <c r="A13880" i="3"/>
  <c r="A13879" i="3"/>
  <c r="A13878" i="3"/>
  <c r="A13877" i="3"/>
  <c r="A13876" i="3"/>
  <c r="A13875" i="3"/>
  <c r="A13874" i="3"/>
  <c r="A13873" i="3"/>
  <c r="A13872" i="3"/>
  <c r="A13871" i="3"/>
  <c r="A13870" i="3"/>
  <c r="A13869" i="3"/>
  <c r="A13868" i="3"/>
  <c r="A13867" i="3"/>
  <c r="A13866" i="3"/>
  <c r="A13865" i="3"/>
  <c r="A13864" i="3"/>
  <c r="A13863" i="3"/>
  <c r="A13862" i="3"/>
  <c r="A13861" i="3"/>
  <c r="A13860" i="3"/>
  <c r="A13859" i="3"/>
  <c r="A13858" i="3"/>
  <c r="A13857" i="3"/>
  <c r="A13856" i="3"/>
  <c r="A13855" i="3"/>
  <c r="A13854" i="3"/>
  <c r="A13853" i="3"/>
  <c r="A13852" i="3"/>
  <c r="A13851" i="3"/>
  <c r="A13850" i="3"/>
  <c r="A13849" i="3"/>
  <c r="A13848" i="3"/>
  <c r="A13847" i="3"/>
  <c r="A13846" i="3"/>
  <c r="A13845" i="3"/>
  <c r="A13844" i="3"/>
  <c r="A13843" i="3"/>
  <c r="A13842" i="3"/>
  <c r="A13841" i="3"/>
  <c r="A13840" i="3"/>
  <c r="A13839" i="3"/>
  <c r="A13838" i="3"/>
  <c r="A13837" i="3"/>
  <c r="A13836" i="3"/>
  <c r="A13835" i="3"/>
  <c r="A13834" i="3"/>
  <c r="A13833" i="3"/>
  <c r="A13832" i="3"/>
  <c r="A13831" i="3"/>
  <c r="A13830" i="3"/>
  <c r="A13829" i="3"/>
  <c r="A13828" i="3"/>
  <c r="A13827" i="3"/>
  <c r="A13826" i="3"/>
  <c r="A13825" i="3"/>
  <c r="A13824" i="3"/>
  <c r="A13823" i="3"/>
  <c r="A13822" i="3"/>
  <c r="A13821" i="3"/>
  <c r="A13820" i="3"/>
  <c r="A13819" i="3"/>
  <c r="A13818" i="3"/>
  <c r="A13817" i="3"/>
  <c r="A13816" i="3"/>
  <c r="A13815" i="3"/>
  <c r="A13814" i="3"/>
  <c r="A13813" i="3"/>
  <c r="A13812" i="3"/>
  <c r="A13811" i="3"/>
  <c r="A13810" i="3"/>
  <c r="A13809" i="3"/>
  <c r="A13808" i="3"/>
  <c r="A13807" i="3"/>
  <c r="A13806" i="3"/>
  <c r="A13805" i="3"/>
  <c r="A13804" i="3"/>
  <c r="A13803" i="3"/>
  <c r="A13802" i="3"/>
  <c r="A13801" i="3"/>
  <c r="A13800" i="3"/>
  <c r="A13799" i="3"/>
  <c r="A13798" i="3"/>
  <c r="A13797" i="3"/>
  <c r="A13796" i="3"/>
  <c r="A13795" i="3"/>
  <c r="A13794" i="3"/>
  <c r="A13793" i="3"/>
  <c r="A13792" i="3"/>
  <c r="A13791" i="3"/>
  <c r="A13790" i="3"/>
  <c r="A13789" i="3"/>
  <c r="A13788" i="3"/>
  <c r="A13787" i="3"/>
  <c r="A13786" i="3"/>
  <c r="A13785" i="3"/>
  <c r="A13784" i="3"/>
  <c r="A13783" i="3"/>
  <c r="A13782" i="3"/>
  <c r="A13781" i="3"/>
  <c r="A13780" i="3"/>
  <c r="A13779" i="3"/>
  <c r="A13778" i="3"/>
  <c r="A13777" i="3"/>
  <c r="A13776" i="3"/>
  <c r="A13775" i="3"/>
  <c r="A13774" i="3"/>
  <c r="A13773" i="3"/>
  <c r="A13772" i="3"/>
  <c r="A13771" i="3"/>
  <c r="A13770" i="3"/>
  <c r="A13769" i="3"/>
  <c r="A13768" i="3"/>
  <c r="A13767" i="3"/>
  <c r="A13766" i="3"/>
  <c r="A13765" i="3"/>
  <c r="A13764" i="3"/>
  <c r="A13763" i="3"/>
  <c r="A13762" i="3"/>
  <c r="A13761" i="3"/>
  <c r="A13760" i="3"/>
  <c r="A13759" i="3"/>
  <c r="A13758" i="3"/>
  <c r="A13757" i="3"/>
  <c r="A13756" i="3"/>
  <c r="A13755" i="3"/>
  <c r="A13754" i="3"/>
  <c r="A13753" i="3"/>
  <c r="A13752" i="3"/>
  <c r="A13751" i="3"/>
  <c r="A13750" i="3"/>
  <c r="A13749" i="3"/>
  <c r="A13748" i="3"/>
  <c r="A13747" i="3"/>
  <c r="A13746" i="3"/>
  <c r="A13745" i="3"/>
  <c r="A13744" i="3"/>
  <c r="A13743" i="3"/>
  <c r="A13742" i="3"/>
  <c r="A13741" i="3"/>
  <c r="A13740" i="3"/>
  <c r="A13739" i="3"/>
  <c r="A13738" i="3"/>
  <c r="A13737" i="3"/>
  <c r="A13736" i="3"/>
  <c r="A13735" i="3"/>
  <c r="A13734" i="3"/>
  <c r="A13733" i="3"/>
  <c r="A13732" i="3"/>
  <c r="A13731" i="3"/>
  <c r="A13730" i="3"/>
  <c r="A13729" i="3"/>
  <c r="A13728" i="3"/>
  <c r="A13727" i="3"/>
  <c r="A13726" i="3"/>
  <c r="A13725" i="3"/>
  <c r="A13724" i="3"/>
  <c r="A13723" i="3"/>
  <c r="A13722" i="3"/>
  <c r="A13721" i="3"/>
  <c r="A13720" i="3"/>
  <c r="A13719" i="3"/>
  <c r="A13718" i="3"/>
  <c r="A13717" i="3"/>
  <c r="A13716" i="3"/>
  <c r="A13715" i="3"/>
  <c r="A13714" i="3"/>
  <c r="A13713" i="3"/>
  <c r="A13712" i="3"/>
  <c r="A13711" i="3"/>
  <c r="A13710" i="3"/>
  <c r="A13709" i="3"/>
  <c r="A13708" i="3"/>
  <c r="A13707" i="3"/>
  <c r="A13706" i="3"/>
  <c r="A13705" i="3"/>
  <c r="A13704" i="3"/>
  <c r="A13703" i="3"/>
  <c r="A13702" i="3"/>
  <c r="A13701" i="3"/>
  <c r="A13700" i="3"/>
  <c r="A13699" i="3"/>
  <c r="A13698" i="3"/>
  <c r="A13697" i="3"/>
  <c r="A13696" i="3"/>
  <c r="A13695" i="3"/>
  <c r="A13694" i="3"/>
  <c r="A13693" i="3"/>
  <c r="A13692" i="3"/>
  <c r="A13691" i="3"/>
  <c r="A13690" i="3"/>
  <c r="A13689" i="3"/>
  <c r="A13688" i="3"/>
  <c r="A13687" i="3"/>
  <c r="A13686" i="3"/>
  <c r="A13685" i="3"/>
  <c r="A13684" i="3"/>
  <c r="A13683" i="3"/>
  <c r="A13682" i="3"/>
  <c r="A13681" i="3"/>
  <c r="A13680" i="3"/>
  <c r="A13679" i="3"/>
  <c r="A13678" i="3"/>
  <c r="A13677" i="3"/>
  <c r="A13676" i="3"/>
  <c r="A13675" i="3"/>
  <c r="A13674" i="3"/>
  <c r="A13673" i="3"/>
  <c r="A13672" i="3"/>
  <c r="A13671" i="3"/>
  <c r="A13670" i="3"/>
  <c r="A13669" i="3"/>
  <c r="A13668" i="3"/>
  <c r="A13667" i="3"/>
  <c r="A13666" i="3"/>
  <c r="A13665" i="3"/>
  <c r="A13664" i="3"/>
  <c r="A13663" i="3"/>
  <c r="A13662" i="3"/>
  <c r="A13661" i="3"/>
  <c r="A13660" i="3"/>
  <c r="A13659" i="3"/>
  <c r="A13658" i="3"/>
  <c r="A13657" i="3"/>
  <c r="A13656" i="3"/>
  <c r="A13655" i="3"/>
  <c r="A13654" i="3"/>
  <c r="A13653" i="3"/>
  <c r="A13652" i="3"/>
  <c r="A13651" i="3"/>
  <c r="A13650" i="3"/>
  <c r="A13649" i="3"/>
  <c r="A13648" i="3"/>
  <c r="A13647" i="3"/>
  <c r="A13646" i="3"/>
  <c r="A13645" i="3"/>
  <c r="A13644" i="3"/>
  <c r="A13643" i="3"/>
  <c r="A13642" i="3"/>
  <c r="A13641" i="3"/>
  <c r="A13640" i="3"/>
  <c r="A13639" i="3"/>
  <c r="A13638" i="3"/>
  <c r="A13637" i="3"/>
  <c r="A13636" i="3"/>
  <c r="A13635" i="3"/>
  <c r="A13634" i="3"/>
  <c r="A13633" i="3"/>
  <c r="A13632" i="3"/>
  <c r="A13631" i="3"/>
  <c r="A13630" i="3"/>
  <c r="A13629" i="3"/>
  <c r="A13628" i="3"/>
  <c r="A13627" i="3"/>
  <c r="A13626" i="3"/>
  <c r="A13625" i="3"/>
  <c r="A13624" i="3"/>
  <c r="A13623" i="3"/>
  <c r="A13622" i="3"/>
  <c r="A13621" i="3"/>
  <c r="A13620" i="3"/>
  <c r="A13619" i="3"/>
  <c r="A13618" i="3"/>
  <c r="A13617" i="3"/>
  <c r="A13616" i="3"/>
  <c r="A13615" i="3"/>
  <c r="A13614" i="3"/>
  <c r="A13613" i="3"/>
  <c r="A13612" i="3"/>
  <c r="A13611" i="3"/>
  <c r="A13610" i="3"/>
  <c r="A13609" i="3"/>
  <c r="A13608" i="3"/>
  <c r="A13607" i="3"/>
  <c r="A13606" i="3"/>
  <c r="A13605" i="3"/>
  <c r="A13604" i="3"/>
  <c r="A13603" i="3"/>
  <c r="A13602" i="3"/>
  <c r="A13601" i="3"/>
  <c r="A13600" i="3"/>
  <c r="A13599" i="3"/>
  <c r="A13598" i="3"/>
  <c r="A13597" i="3"/>
  <c r="A13596" i="3"/>
  <c r="A13595" i="3"/>
  <c r="A13594" i="3"/>
  <c r="A13593" i="3"/>
  <c r="A13592" i="3"/>
  <c r="A13591" i="3"/>
  <c r="A13590" i="3"/>
  <c r="A13589" i="3"/>
  <c r="A13588" i="3"/>
  <c r="A13587" i="3"/>
  <c r="A13586" i="3"/>
  <c r="A13585" i="3"/>
  <c r="A13584" i="3"/>
  <c r="A13583" i="3"/>
  <c r="A13582" i="3"/>
  <c r="A13581" i="3"/>
  <c r="A13580" i="3"/>
  <c r="A13579" i="3"/>
  <c r="A13578" i="3"/>
  <c r="A13577" i="3"/>
  <c r="A13576" i="3"/>
  <c r="A13575" i="3"/>
  <c r="A13574" i="3"/>
  <c r="A13573" i="3"/>
  <c r="A13572" i="3"/>
  <c r="A13571" i="3"/>
  <c r="A13570" i="3"/>
  <c r="A13569" i="3"/>
  <c r="A13568" i="3"/>
  <c r="A13567" i="3"/>
  <c r="A13566" i="3"/>
  <c r="A13565" i="3"/>
  <c r="A13564" i="3"/>
  <c r="A13563" i="3"/>
  <c r="A13562" i="3"/>
  <c r="A13561" i="3"/>
  <c r="A13560" i="3"/>
  <c r="A13559" i="3"/>
  <c r="A13558" i="3"/>
  <c r="A13557" i="3"/>
  <c r="A13556" i="3"/>
  <c r="A13555" i="3"/>
  <c r="A13554" i="3"/>
  <c r="A13553" i="3"/>
  <c r="A13552" i="3"/>
  <c r="A13551" i="3"/>
  <c r="A13550" i="3"/>
  <c r="A13549" i="3"/>
  <c r="A13548" i="3"/>
  <c r="A13547" i="3"/>
  <c r="A13546" i="3"/>
  <c r="A13545" i="3"/>
  <c r="A13544" i="3"/>
  <c r="A13543" i="3"/>
  <c r="A13542" i="3"/>
  <c r="A13541" i="3"/>
  <c r="A13540" i="3"/>
  <c r="A13539" i="3"/>
  <c r="A13538" i="3"/>
  <c r="A13537" i="3"/>
  <c r="A13536" i="3"/>
  <c r="A13535" i="3"/>
  <c r="A13534" i="3"/>
  <c r="A13533" i="3"/>
  <c r="A13532" i="3"/>
  <c r="A13531" i="3"/>
  <c r="A13530" i="3"/>
  <c r="A13529" i="3"/>
  <c r="A13528" i="3"/>
  <c r="A13527" i="3"/>
  <c r="A13526" i="3"/>
  <c r="A13525" i="3"/>
  <c r="A13524" i="3"/>
  <c r="A13523" i="3"/>
  <c r="A13522" i="3"/>
  <c r="A13521" i="3"/>
  <c r="A13520" i="3"/>
  <c r="A13519" i="3"/>
  <c r="A13518" i="3"/>
  <c r="A13517" i="3"/>
  <c r="A13516" i="3"/>
  <c r="A13515" i="3"/>
  <c r="A13514" i="3"/>
  <c r="A13513" i="3"/>
  <c r="A13512" i="3"/>
  <c r="A13511" i="3"/>
  <c r="A13510" i="3"/>
  <c r="A13509" i="3"/>
  <c r="A13508" i="3"/>
  <c r="A13507" i="3"/>
  <c r="A13506" i="3"/>
  <c r="A13505" i="3"/>
  <c r="A13504" i="3"/>
  <c r="A13503" i="3"/>
  <c r="A13502" i="3"/>
  <c r="A13501" i="3"/>
  <c r="A13500" i="3"/>
  <c r="A13499" i="3"/>
  <c r="A13498" i="3"/>
  <c r="A13497" i="3"/>
  <c r="A13496" i="3"/>
  <c r="A13495" i="3"/>
  <c r="A13494" i="3"/>
  <c r="A13493" i="3"/>
  <c r="A13492" i="3"/>
  <c r="A13491" i="3"/>
  <c r="A13490" i="3"/>
  <c r="A13489" i="3"/>
  <c r="A13488" i="3"/>
  <c r="A13487" i="3"/>
  <c r="A13486" i="3"/>
  <c r="A13485" i="3"/>
  <c r="A13484" i="3"/>
  <c r="A13483" i="3"/>
  <c r="A13482" i="3"/>
  <c r="A13481" i="3"/>
  <c r="A13480" i="3"/>
  <c r="A13479" i="3"/>
  <c r="A13478" i="3"/>
  <c r="A13477" i="3"/>
  <c r="A13476" i="3"/>
  <c r="A13475" i="3"/>
  <c r="A13474" i="3"/>
  <c r="A13473" i="3"/>
  <c r="A13472" i="3"/>
  <c r="A13471" i="3"/>
  <c r="A13470" i="3"/>
  <c r="A13469" i="3"/>
  <c r="A13468" i="3"/>
  <c r="A13467" i="3"/>
  <c r="A13466" i="3"/>
  <c r="A13465" i="3"/>
  <c r="A13464" i="3"/>
  <c r="A13463" i="3"/>
  <c r="A13462" i="3"/>
  <c r="A13461" i="3"/>
  <c r="A13460" i="3"/>
  <c r="A13459" i="3"/>
  <c r="A13458" i="3"/>
  <c r="A13457" i="3"/>
  <c r="A13456" i="3"/>
  <c r="A13455" i="3"/>
  <c r="A13454" i="3"/>
  <c r="A13453" i="3"/>
  <c r="A13452" i="3"/>
  <c r="A13451" i="3"/>
  <c r="A13450" i="3"/>
  <c r="A13449" i="3"/>
  <c r="A13448" i="3"/>
  <c r="A13447" i="3"/>
  <c r="A13446" i="3"/>
  <c r="A13445" i="3"/>
  <c r="A13444" i="3"/>
  <c r="A13443" i="3"/>
  <c r="A13442" i="3"/>
  <c r="A13441" i="3"/>
  <c r="A13440" i="3"/>
  <c r="A13439" i="3"/>
  <c r="A13438" i="3"/>
  <c r="A13437" i="3"/>
  <c r="A13436" i="3"/>
  <c r="A13435" i="3"/>
  <c r="A13434" i="3"/>
  <c r="A13433" i="3"/>
  <c r="A13432" i="3"/>
  <c r="A13431" i="3"/>
  <c r="A13430" i="3"/>
  <c r="A13429" i="3"/>
  <c r="A13428" i="3"/>
  <c r="A13427" i="3"/>
  <c r="A13426" i="3"/>
  <c r="A13425" i="3"/>
  <c r="A13424" i="3"/>
  <c r="A13423" i="3"/>
  <c r="A13422" i="3"/>
  <c r="A13421" i="3"/>
  <c r="A13420" i="3"/>
  <c r="A13419" i="3"/>
  <c r="A13418" i="3"/>
  <c r="A13417" i="3"/>
  <c r="A13416" i="3"/>
  <c r="A13415" i="3"/>
  <c r="A13414" i="3"/>
  <c r="A13413" i="3"/>
  <c r="A13412" i="3"/>
  <c r="A13411" i="3"/>
  <c r="A13410" i="3"/>
  <c r="A13409" i="3"/>
  <c r="A13408" i="3"/>
  <c r="A13407" i="3"/>
  <c r="A13406" i="3"/>
  <c r="A13405" i="3"/>
  <c r="A13404" i="3"/>
  <c r="A13403" i="3"/>
  <c r="A13402" i="3"/>
  <c r="A13401" i="3"/>
  <c r="A13400" i="3"/>
  <c r="A13399" i="3"/>
  <c r="A13398" i="3"/>
  <c r="A13397" i="3"/>
  <c r="A13396" i="3"/>
  <c r="A13395" i="3"/>
  <c r="A13394" i="3"/>
  <c r="A13393" i="3"/>
  <c r="A13392" i="3"/>
  <c r="A13391" i="3"/>
  <c r="A13390" i="3"/>
  <c r="A13389" i="3"/>
  <c r="A13388" i="3"/>
  <c r="A13387" i="3"/>
  <c r="A13386" i="3"/>
  <c r="A13385" i="3"/>
  <c r="A13384" i="3"/>
  <c r="A13383" i="3"/>
  <c r="A13382" i="3"/>
  <c r="A13381" i="3"/>
  <c r="A13380" i="3"/>
  <c r="A13379" i="3"/>
  <c r="A13378" i="3"/>
  <c r="A13377" i="3"/>
  <c r="A13376" i="3"/>
  <c r="A13375" i="3"/>
  <c r="A13374" i="3"/>
  <c r="A13373" i="3"/>
  <c r="A13372" i="3"/>
  <c r="A13371" i="3"/>
  <c r="A13370" i="3"/>
  <c r="A13369" i="3"/>
  <c r="A13368" i="3"/>
  <c r="A13367" i="3"/>
  <c r="A13366" i="3"/>
  <c r="A13365" i="3"/>
  <c r="A13364" i="3"/>
  <c r="A13363" i="3"/>
  <c r="A13362" i="3"/>
  <c r="A13361" i="3"/>
  <c r="A13360" i="3"/>
  <c r="A13359" i="3"/>
  <c r="A13358" i="3"/>
  <c r="A13357" i="3"/>
  <c r="A13356" i="3"/>
  <c r="A13355" i="3"/>
  <c r="A13354" i="3"/>
  <c r="A13353" i="3"/>
  <c r="A13352" i="3"/>
  <c r="A13351" i="3"/>
  <c r="A13350" i="3"/>
  <c r="A13349" i="3"/>
  <c r="A13348" i="3"/>
  <c r="A13347" i="3"/>
  <c r="A13346" i="3"/>
  <c r="A13345" i="3"/>
  <c r="A13344" i="3"/>
  <c r="A13343" i="3"/>
  <c r="A13342" i="3"/>
  <c r="A13341" i="3"/>
  <c r="A13340" i="3"/>
  <c r="A13339" i="3"/>
  <c r="A13338" i="3"/>
  <c r="A13337" i="3"/>
  <c r="A13336" i="3"/>
  <c r="A13335" i="3"/>
  <c r="A13334" i="3"/>
  <c r="A13333" i="3"/>
  <c r="A13332" i="3"/>
  <c r="A13331" i="3"/>
  <c r="A13330" i="3"/>
  <c r="A13329" i="3"/>
  <c r="A13328" i="3"/>
  <c r="A13327" i="3"/>
  <c r="A13326" i="3"/>
  <c r="A13325" i="3"/>
  <c r="A13324" i="3"/>
  <c r="A13323" i="3"/>
  <c r="A13322" i="3"/>
  <c r="A13321" i="3"/>
  <c r="A13320" i="3"/>
  <c r="A13319" i="3"/>
  <c r="A13318" i="3"/>
  <c r="A13317" i="3"/>
  <c r="A13316" i="3"/>
  <c r="A13315" i="3"/>
  <c r="A13314" i="3"/>
  <c r="A13313" i="3"/>
  <c r="A13312" i="3"/>
  <c r="A13311" i="3"/>
  <c r="A13310" i="3"/>
  <c r="A13309" i="3"/>
  <c r="A13308" i="3"/>
  <c r="A13307" i="3"/>
  <c r="A13306" i="3"/>
  <c r="A13305" i="3"/>
  <c r="A13304" i="3"/>
  <c r="A13303" i="3"/>
  <c r="A13302" i="3"/>
  <c r="A13301" i="3"/>
  <c r="A13300" i="3"/>
  <c r="A13299" i="3"/>
  <c r="A13298" i="3"/>
  <c r="A13297" i="3"/>
  <c r="A13296" i="3"/>
  <c r="A13295" i="3"/>
  <c r="A13294" i="3"/>
  <c r="A13293" i="3"/>
  <c r="A13292" i="3"/>
  <c r="A13291" i="3"/>
  <c r="A13290" i="3"/>
  <c r="A13289" i="3"/>
  <c r="A13288" i="3"/>
  <c r="A13287" i="3"/>
  <c r="A13286" i="3"/>
  <c r="A13285" i="3"/>
  <c r="A13284" i="3"/>
  <c r="A13283" i="3"/>
  <c r="A13282" i="3"/>
  <c r="A13281" i="3"/>
  <c r="A13280" i="3"/>
  <c r="A13279" i="3"/>
  <c r="A13278" i="3"/>
  <c r="A13277" i="3"/>
  <c r="A13276" i="3"/>
  <c r="A13275" i="3"/>
  <c r="A13274" i="3"/>
  <c r="A13273" i="3"/>
  <c r="A13272" i="3"/>
  <c r="A13271" i="3"/>
  <c r="A13270" i="3"/>
  <c r="A13269" i="3"/>
  <c r="A13268" i="3"/>
  <c r="A13267" i="3"/>
  <c r="A13266" i="3"/>
  <c r="A13265" i="3"/>
  <c r="A13264" i="3"/>
  <c r="A13263" i="3"/>
  <c r="A13262" i="3"/>
  <c r="A13261" i="3"/>
  <c r="A13260" i="3"/>
  <c r="A13259" i="3"/>
  <c r="A13258" i="3"/>
  <c r="A13257" i="3"/>
  <c r="A13256" i="3"/>
  <c r="A13255" i="3"/>
  <c r="A13254" i="3"/>
  <c r="A13253" i="3"/>
  <c r="A13252" i="3"/>
  <c r="A13251" i="3"/>
  <c r="A13250" i="3"/>
  <c r="A13249" i="3"/>
  <c r="A13248" i="3"/>
  <c r="A13247" i="3"/>
  <c r="A13246" i="3"/>
  <c r="A13245" i="3"/>
  <c r="A13244" i="3"/>
  <c r="A13243" i="3"/>
  <c r="A13242" i="3"/>
  <c r="A13241" i="3"/>
  <c r="A13240" i="3"/>
  <c r="A13239" i="3"/>
  <c r="A13238" i="3"/>
  <c r="A13237" i="3"/>
  <c r="A13236" i="3"/>
  <c r="A13235" i="3"/>
  <c r="A13234" i="3"/>
  <c r="A13233" i="3"/>
  <c r="A13232" i="3"/>
  <c r="A13231" i="3"/>
  <c r="A13230" i="3"/>
  <c r="A13229" i="3"/>
  <c r="A13228" i="3"/>
  <c r="A13227" i="3"/>
  <c r="A13226" i="3"/>
  <c r="A13225" i="3"/>
  <c r="A13224" i="3"/>
  <c r="A13223" i="3"/>
  <c r="A13222" i="3"/>
  <c r="A13221" i="3"/>
  <c r="A13220" i="3"/>
  <c r="A13219" i="3"/>
  <c r="A13218" i="3"/>
  <c r="A13217" i="3"/>
  <c r="A13216" i="3"/>
  <c r="A13215" i="3"/>
  <c r="A13214" i="3"/>
  <c r="A13213" i="3"/>
  <c r="A13212" i="3"/>
  <c r="A13211" i="3"/>
  <c r="A13210" i="3"/>
  <c r="A13209" i="3"/>
  <c r="A13208" i="3"/>
  <c r="A13207" i="3"/>
  <c r="A13206" i="3"/>
  <c r="A13205" i="3"/>
  <c r="A13204" i="3"/>
  <c r="A13203" i="3"/>
  <c r="A13202" i="3"/>
  <c r="A13201" i="3"/>
  <c r="A13200" i="3"/>
  <c r="A13199" i="3"/>
  <c r="A13198" i="3"/>
  <c r="A13197" i="3"/>
  <c r="A13196" i="3"/>
  <c r="A13195" i="3"/>
  <c r="A13194" i="3"/>
  <c r="A13193" i="3"/>
  <c r="A13192" i="3"/>
  <c r="A13191" i="3"/>
  <c r="A13190" i="3"/>
  <c r="A13189" i="3"/>
  <c r="A13188" i="3"/>
  <c r="A13187" i="3"/>
  <c r="A13186" i="3"/>
  <c r="A13185" i="3"/>
  <c r="A13184" i="3"/>
  <c r="A13183" i="3"/>
  <c r="A13182" i="3"/>
  <c r="A13181" i="3"/>
  <c r="A13180" i="3"/>
  <c r="A13179" i="3"/>
  <c r="A13178" i="3"/>
  <c r="A13177" i="3"/>
  <c r="A13176" i="3"/>
  <c r="A13175" i="3"/>
  <c r="A13174" i="3"/>
  <c r="A13173" i="3"/>
  <c r="A13172" i="3"/>
  <c r="A13171" i="3"/>
  <c r="A13170" i="3"/>
  <c r="A13169" i="3"/>
  <c r="A13168" i="3"/>
  <c r="A13167" i="3"/>
  <c r="A13166" i="3"/>
  <c r="A13165" i="3"/>
  <c r="A13164" i="3"/>
  <c r="A13163" i="3"/>
  <c r="A13162" i="3"/>
  <c r="A13161" i="3"/>
  <c r="A13160" i="3"/>
  <c r="A13159" i="3"/>
  <c r="A13158" i="3"/>
  <c r="A13157" i="3"/>
  <c r="A13156" i="3"/>
  <c r="A13155" i="3"/>
  <c r="A13154" i="3"/>
  <c r="A13153" i="3"/>
  <c r="A13152" i="3"/>
  <c r="A13151" i="3"/>
  <c r="A13150" i="3"/>
  <c r="A13149" i="3"/>
  <c r="A13148" i="3"/>
  <c r="A13147" i="3"/>
  <c r="A13146" i="3"/>
  <c r="A13145" i="3"/>
  <c r="A13144" i="3"/>
  <c r="A13143" i="3"/>
  <c r="A13142" i="3"/>
  <c r="A13141" i="3"/>
  <c r="A13140" i="3"/>
  <c r="A13139" i="3"/>
  <c r="A13138" i="3"/>
  <c r="A13137" i="3"/>
  <c r="A13136" i="3"/>
  <c r="A13135" i="3"/>
  <c r="A13134" i="3"/>
  <c r="A13133" i="3"/>
  <c r="A13132" i="3"/>
  <c r="A13131" i="3"/>
  <c r="A13130" i="3"/>
  <c r="A13129" i="3"/>
  <c r="A13128" i="3"/>
  <c r="A13127" i="3"/>
  <c r="A13126" i="3"/>
  <c r="A13125" i="3"/>
  <c r="A13124" i="3"/>
  <c r="A13123" i="3"/>
  <c r="A13122" i="3"/>
  <c r="A13121" i="3"/>
  <c r="A13120" i="3"/>
  <c r="A13119" i="3"/>
  <c r="A13118" i="3"/>
  <c r="A13117" i="3"/>
  <c r="A13116" i="3"/>
  <c r="A13115" i="3"/>
  <c r="A13114" i="3"/>
  <c r="A13113" i="3"/>
  <c r="A13112" i="3"/>
  <c r="A13111" i="3"/>
  <c r="A13110" i="3"/>
  <c r="A13109" i="3"/>
  <c r="A13108" i="3"/>
  <c r="A13107" i="3"/>
  <c r="A13106" i="3"/>
  <c r="A13105" i="3"/>
  <c r="A13104" i="3"/>
  <c r="A13103" i="3"/>
  <c r="A13102" i="3"/>
  <c r="A13101" i="3"/>
  <c r="A13100" i="3"/>
  <c r="A13099" i="3"/>
  <c r="A13098" i="3"/>
  <c r="A13097" i="3"/>
  <c r="A13096" i="3"/>
  <c r="A13095" i="3"/>
  <c r="A13094" i="3"/>
  <c r="A13093" i="3"/>
  <c r="A13092" i="3"/>
  <c r="A13091" i="3"/>
  <c r="A13090" i="3"/>
  <c r="A13089" i="3"/>
  <c r="A13088" i="3"/>
  <c r="A13087" i="3"/>
  <c r="A13086" i="3"/>
  <c r="A13085" i="3"/>
  <c r="A13084" i="3"/>
  <c r="A13083" i="3"/>
  <c r="A13082" i="3"/>
  <c r="A13081" i="3"/>
  <c r="A13080" i="3"/>
  <c r="A13079" i="3"/>
  <c r="A13078" i="3"/>
  <c r="A13077" i="3"/>
  <c r="A13076" i="3"/>
  <c r="A13075" i="3"/>
  <c r="A13074" i="3"/>
  <c r="A13073" i="3"/>
  <c r="A13072" i="3"/>
  <c r="A13071" i="3"/>
  <c r="A13070" i="3"/>
  <c r="A13069" i="3"/>
  <c r="A13068" i="3"/>
  <c r="A13067" i="3"/>
  <c r="A13066" i="3"/>
  <c r="A13065" i="3"/>
  <c r="A13064" i="3"/>
  <c r="A13063" i="3"/>
  <c r="A13062" i="3"/>
  <c r="A13061" i="3"/>
  <c r="A13060" i="3"/>
  <c r="A13059" i="3"/>
  <c r="A13058" i="3"/>
  <c r="A13057" i="3"/>
  <c r="A13056" i="3"/>
  <c r="A13055" i="3"/>
  <c r="A13054" i="3"/>
  <c r="A13053" i="3"/>
  <c r="A13052" i="3"/>
  <c r="A13051" i="3"/>
  <c r="A13050" i="3"/>
  <c r="A13049" i="3"/>
  <c r="A13048" i="3"/>
  <c r="A13047" i="3"/>
  <c r="A13046" i="3"/>
  <c r="A13045" i="3"/>
  <c r="A13044" i="3"/>
  <c r="A13043" i="3"/>
  <c r="A13042" i="3"/>
  <c r="A13041" i="3"/>
  <c r="A13040" i="3"/>
  <c r="A13039" i="3"/>
  <c r="A13038" i="3"/>
  <c r="A13037" i="3"/>
  <c r="A13036" i="3"/>
  <c r="A13035" i="3"/>
  <c r="A13034" i="3"/>
  <c r="A13033" i="3"/>
  <c r="A13032" i="3"/>
  <c r="A13031" i="3"/>
  <c r="A13030" i="3"/>
  <c r="A13029" i="3"/>
  <c r="A13028" i="3"/>
  <c r="A13027" i="3"/>
  <c r="A13026" i="3"/>
  <c r="A13025" i="3"/>
  <c r="A13024" i="3"/>
  <c r="A13023" i="3"/>
  <c r="A13022" i="3"/>
  <c r="A13021" i="3"/>
  <c r="A13020" i="3"/>
  <c r="A13019" i="3"/>
  <c r="A13018" i="3"/>
  <c r="A13017" i="3"/>
  <c r="A13016" i="3"/>
  <c r="A13015" i="3"/>
  <c r="A13014" i="3"/>
  <c r="A13013" i="3"/>
  <c r="A13012" i="3"/>
  <c r="A13011" i="3"/>
  <c r="A13010" i="3"/>
  <c r="A13009" i="3"/>
  <c r="A13008" i="3"/>
  <c r="A13007" i="3"/>
  <c r="A13006" i="3"/>
  <c r="A13005" i="3"/>
  <c r="A13004" i="3"/>
  <c r="A13003" i="3"/>
  <c r="A13002" i="3"/>
  <c r="A13001" i="3"/>
  <c r="A13000" i="3"/>
  <c r="A12999" i="3"/>
  <c r="A12998" i="3"/>
  <c r="A12997" i="3"/>
  <c r="A12996" i="3"/>
  <c r="A12995" i="3"/>
  <c r="A12994" i="3"/>
  <c r="A12993" i="3"/>
  <c r="A12992" i="3"/>
  <c r="A12991" i="3"/>
  <c r="A12990" i="3"/>
  <c r="A12989" i="3"/>
  <c r="A12988" i="3"/>
  <c r="A12987" i="3"/>
  <c r="A12986" i="3"/>
  <c r="A12985" i="3"/>
  <c r="A12984" i="3"/>
  <c r="A12983" i="3"/>
  <c r="A12982" i="3"/>
  <c r="A12981" i="3"/>
  <c r="A12980" i="3"/>
  <c r="A12979" i="3"/>
  <c r="A12978" i="3"/>
  <c r="A12977" i="3"/>
  <c r="A12976" i="3"/>
  <c r="A12975" i="3"/>
  <c r="A12974" i="3"/>
  <c r="A12973" i="3"/>
  <c r="A12972" i="3"/>
  <c r="A12971" i="3"/>
  <c r="A12970" i="3"/>
  <c r="A12969" i="3"/>
  <c r="A12968" i="3"/>
  <c r="A12967" i="3"/>
  <c r="A12966" i="3"/>
  <c r="A12965" i="3"/>
  <c r="A12964" i="3"/>
  <c r="A12963" i="3"/>
  <c r="A12962" i="3"/>
  <c r="A12961" i="3"/>
  <c r="A12960" i="3"/>
  <c r="A12959" i="3"/>
  <c r="A12958" i="3"/>
  <c r="A12957" i="3"/>
  <c r="A12956" i="3"/>
  <c r="A12955" i="3"/>
  <c r="A12954" i="3"/>
  <c r="A12953" i="3"/>
  <c r="A12952" i="3"/>
  <c r="A12951" i="3"/>
  <c r="A12950" i="3"/>
  <c r="A12949" i="3"/>
  <c r="A12948" i="3"/>
  <c r="A12947" i="3"/>
  <c r="A12946" i="3"/>
  <c r="A12945" i="3"/>
  <c r="A12944" i="3"/>
  <c r="A12943" i="3"/>
  <c r="A12942" i="3"/>
  <c r="A12941" i="3"/>
  <c r="A12940" i="3"/>
  <c r="A12939" i="3"/>
  <c r="A12938" i="3"/>
  <c r="A12937" i="3"/>
  <c r="A12936" i="3"/>
  <c r="A12935" i="3"/>
  <c r="A12934" i="3"/>
  <c r="A12933" i="3"/>
  <c r="A12932" i="3"/>
  <c r="A12931" i="3"/>
  <c r="A12930" i="3"/>
  <c r="A12929" i="3"/>
  <c r="A12928" i="3"/>
  <c r="A12927" i="3"/>
  <c r="A12926" i="3"/>
  <c r="A12925" i="3"/>
  <c r="A12924" i="3"/>
  <c r="A12923" i="3"/>
  <c r="A12922" i="3"/>
  <c r="A12921" i="3"/>
  <c r="A12920" i="3"/>
  <c r="A12919" i="3"/>
  <c r="A12918" i="3"/>
  <c r="A12917" i="3"/>
  <c r="A12916" i="3"/>
  <c r="A12915" i="3"/>
  <c r="A12914" i="3"/>
  <c r="A12913" i="3"/>
  <c r="A12912" i="3"/>
  <c r="A12911" i="3"/>
  <c r="A12910" i="3"/>
  <c r="A12909" i="3"/>
  <c r="A12908" i="3"/>
  <c r="A12907" i="3"/>
  <c r="A12906" i="3"/>
  <c r="A12905" i="3"/>
  <c r="A12904" i="3"/>
  <c r="A12903" i="3"/>
  <c r="A12902" i="3"/>
  <c r="A12901" i="3"/>
  <c r="A12900" i="3"/>
  <c r="A12899" i="3"/>
  <c r="A12898" i="3"/>
  <c r="A12897" i="3"/>
  <c r="A12896" i="3"/>
  <c r="A12895" i="3"/>
  <c r="A12894" i="3"/>
  <c r="A12893" i="3"/>
  <c r="A12892" i="3"/>
  <c r="A12891" i="3"/>
  <c r="A12890" i="3"/>
  <c r="A12889" i="3"/>
  <c r="A12888" i="3"/>
  <c r="A12887" i="3"/>
  <c r="A12886" i="3"/>
  <c r="A12885" i="3"/>
  <c r="A12884" i="3"/>
  <c r="A12883" i="3"/>
  <c r="A12882" i="3"/>
  <c r="A12881" i="3"/>
  <c r="A12880" i="3"/>
  <c r="A12879" i="3"/>
  <c r="A12878" i="3"/>
  <c r="A12877" i="3"/>
  <c r="A12876" i="3"/>
  <c r="A12875" i="3"/>
  <c r="A12874" i="3"/>
  <c r="A12873" i="3"/>
  <c r="A12872" i="3"/>
  <c r="A12871" i="3"/>
  <c r="A12870" i="3"/>
  <c r="A12869" i="3"/>
  <c r="A12868" i="3"/>
  <c r="A12867" i="3"/>
  <c r="A12866" i="3"/>
  <c r="A12865" i="3"/>
  <c r="A12864" i="3"/>
  <c r="A12863" i="3"/>
  <c r="A12862" i="3"/>
  <c r="A12861" i="3"/>
  <c r="A12860" i="3"/>
  <c r="A12859" i="3"/>
  <c r="A12858" i="3"/>
  <c r="A12857" i="3"/>
  <c r="A12856" i="3"/>
  <c r="A12855" i="3"/>
  <c r="A12854" i="3"/>
  <c r="A12853" i="3"/>
  <c r="A12852" i="3"/>
  <c r="A12851" i="3"/>
  <c r="A12850" i="3"/>
  <c r="A12849" i="3"/>
  <c r="A12848" i="3"/>
  <c r="A12847" i="3"/>
  <c r="A12846" i="3"/>
  <c r="A12845" i="3"/>
  <c r="A12844" i="3"/>
  <c r="A12843" i="3"/>
  <c r="A12842" i="3"/>
  <c r="A12841" i="3"/>
  <c r="A12840" i="3"/>
  <c r="A12839" i="3"/>
  <c r="A12838" i="3"/>
  <c r="A12837" i="3"/>
  <c r="A12836" i="3"/>
  <c r="A12835" i="3"/>
  <c r="A12834" i="3"/>
  <c r="A12833" i="3"/>
  <c r="A12832" i="3"/>
  <c r="A12831" i="3"/>
  <c r="A12830" i="3"/>
  <c r="A12829" i="3"/>
  <c r="A12828" i="3"/>
  <c r="A12827" i="3"/>
  <c r="A12826" i="3"/>
  <c r="A12825" i="3"/>
  <c r="A12824" i="3"/>
  <c r="A12823" i="3"/>
  <c r="A12822" i="3"/>
  <c r="A12821" i="3"/>
  <c r="A12820" i="3"/>
  <c r="A12819" i="3"/>
  <c r="A12818" i="3"/>
  <c r="A12817" i="3"/>
  <c r="A12816" i="3"/>
  <c r="A12815" i="3"/>
  <c r="A12814" i="3"/>
  <c r="A12813" i="3"/>
  <c r="A12812" i="3"/>
  <c r="A12811" i="3"/>
  <c r="A12810" i="3"/>
  <c r="A12809" i="3"/>
  <c r="A12808" i="3"/>
  <c r="A12807" i="3"/>
  <c r="A12806" i="3"/>
  <c r="A12805" i="3"/>
  <c r="A12804" i="3"/>
  <c r="A12803" i="3"/>
  <c r="A12802" i="3"/>
  <c r="A12801" i="3"/>
  <c r="A12800" i="3"/>
  <c r="A12799" i="3"/>
  <c r="A12798" i="3"/>
  <c r="A12797" i="3"/>
  <c r="A12796" i="3"/>
  <c r="A12795" i="3"/>
  <c r="A12794" i="3"/>
  <c r="A12793" i="3"/>
  <c r="A12792" i="3"/>
  <c r="A12791" i="3"/>
  <c r="A12790" i="3"/>
  <c r="A12789" i="3"/>
  <c r="A12788" i="3"/>
  <c r="A12787" i="3"/>
  <c r="A12786" i="3"/>
  <c r="A12785" i="3"/>
  <c r="A12784" i="3"/>
  <c r="A12783" i="3"/>
  <c r="A12782" i="3"/>
  <c r="A12781" i="3"/>
  <c r="A12780" i="3"/>
  <c r="A12779" i="3"/>
  <c r="A12778" i="3"/>
  <c r="A12777" i="3"/>
  <c r="A12776" i="3"/>
  <c r="A12775" i="3"/>
  <c r="A12774" i="3"/>
  <c r="A12773" i="3"/>
  <c r="A12772" i="3"/>
  <c r="A12771" i="3"/>
  <c r="A12770" i="3"/>
  <c r="A12769" i="3"/>
  <c r="A12768" i="3"/>
  <c r="A12767" i="3"/>
  <c r="A12766" i="3"/>
  <c r="A12765" i="3"/>
  <c r="A12764" i="3"/>
  <c r="A12763" i="3"/>
  <c r="A12762" i="3"/>
  <c r="A12761" i="3"/>
  <c r="A12760" i="3"/>
  <c r="A12759" i="3"/>
  <c r="A12758" i="3"/>
  <c r="A12757" i="3"/>
  <c r="A12756" i="3"/>
  <c r="A12755" i="3"/>
  <c r="A12754" i="3"/>
  <c r="A12753" i="3"/>
  <c r="A12752" i="3"/>
  <c r="A12751" i="3"/>
  <c r="A12750" i="3"/>
  <c r="A12749" i="3"/>
  <c r="A12748" i="3"/>
  <c r="A12747" i="3"/>
  <c r="A12746" i="3"/>
  <c r="A12745" i="3"/>
  <c r="A12744" i="3"/>
  <c r="A12743" i="3"/>
  <c r="A12742" i="3"/>
  <c r="A12741" i="3"/>
  <c r="A12740" i="3"/>
  <c r="A12739" i="3"/>
  <c r="A12738" i="3"/>
  <c r="A12737" i="3"/>
  <c r="A12736" i="3"/>
  <c r="A12735" i="3"/>
  <c r="A12734" i="3"/>
  <c r="A12733" i="3"/>
  <c r="A12732" i="3"/>
  <c r="A12731" i="3"/>
  <c r="A12730" i="3"/>
  <c r="A12729" i="3"/>
  <c r="A12728" i="3"/>
  <c r="A12727" i="3"/>
  <c r="A12726" i="3"/>
  <c r="A12725" i="3"/>
  <c r="A12724" i="3"/>
  <c r="A12723" i="3"/>
  <c r="A12722" i="3"/>
  <c r="A12721" i="3"/>
  <c r="A12720" i="3"/>
  <c r="A12719" i="3"/>
  <c r="A12718" i="3"/>
  <c r="A12717" i="3"/>
  <c r="A12716" i="3"/>
  <c r="A12715" i="3"/>
  <c r="A12714" i="3"/>
  <c r="A12713" i="3"/>
  <c r="A12712" i="3"/>
  <c r="A12711" i="3"/>
  <c r="A12710" i="3"/>
  <c r="A12709" i="3"/>
  <c r="A12708" i="3"/>
  <c r="A12707" i="3"/>
  <c r="A12706" i="3"/>
  <c r="A12705" i="3"/>
  <c r="A12704" i="3"/>
  <c r="A12703" i="3"/>
  <c r="A12702" i="3"/>
  <c r="A12701" i="3"/>
  <c r="A12700" i="3"/>
  <c r="A12699" i="3"/>
  <c r="A12698" i="3"/>
  <c r="A12697" i="3"/>
  <c r="A12696" i="3"/>
  <c r="A12695" i="3"/>
  <c r="A12694" i="3"/>
  <c r="A12693" i="3"/>
  <c r="A12692" i="3"/>
  <c r="A12691" i="3"/>
  <c r="A12690" i="3"/>
  <c r="A12689" i="3"/>
  <c r="A12688" i="3"/>
  <c r="A12687" i="3"/>
  <c r="A12686" i="3"/>
  <c r="A12685" i="3"/>
  <c r="A12684" i="3"/>
  <c r="A12683" i="3"/>
  <c r="A12682" i="3"/>
  <c r="A12681" i="3"/>
  <c r="A12680" i="3"/>
  <c r="A12679" i="3"/>
  <c r="A12678" i="3"/>
  <c r="A12677" i="3"/>
  <c r="A12676" i="3"/>
  <c r="A12675" i="3"/>
  <c r="A12674" i="3"/>
  <c r="A12673" i="3"/>
  <c r="A12672" i="3"/>
  <c r="A12671" i="3"/>
  <c r="A12670" i="3"/>
  <c r="A12669" i="3"/>
  <c r="A12668" i="3"/>
  <c r="A12667" i="3"/>
  <c r="A12666" i="3"/>
  <c r="A12665" i="3"/>
  <c r="A12664" i="3"/>
  <c r="A12663" i="3"/>
  <c r="A12662" i="3"/>
  <c r="A12661" i="3"/>
  <c r="A12660" i="3"/>
  <c r="A12659" i="3"/>
  <c r="A12658" i="3"/>
  <c r="A12657" i="3"/>
  <c r="A12656" i="3"/>
  <c r="A12655" i="3"/>
  <c r="A12654" i="3"/>
  <c r="A12653" i="3"/>
  <c r="A12652" i="3"/>
  <c r="A12651" i="3"/>
  <c r="A12650" i="3"/>
  <c r="A12649" i="3"/>
  <c r="A12648" i="3"/>
  <c r="A12647" i="3"/>
  <c r="A12646" i="3"/>
  <c r="A12645" i="3"/>
  <c r="A12644" i="3"/>
  <c r="A12643" i="3"/>
  <c r="A12642" i="3"/>
  <c r="A12641" i="3"/>
  <c r="A12640" i="3"/>
  <c r="A12639" i="3"/>
  <c r="A12638" i="3"/>
  <c r="A12637" i="3"/>
  <c r="A12636" i="3"/>
  <c r="A12635" i="3"/>
  <c r="A12634" i="3"/>
  <c r="A12633" i="3"/>
  <c r="A12632" i="3"/>
  <c r="A12631" i="3"/>
  <c r="A12630" i="3"/>
  <c r="A12629" i="3"/>
  <c r="A12628" i="3"/>
  <c r="A12627" i="3"/>
  <c r="A12626" i="3"/>
  <c r="A12625" i="3"/>
  <c r="A12624" i="3"/>
  <c r="A12623" i="3"/>
  <c r="A12622" i="3"/>
  <c r="A12621" i="3"/>
  <c r="A12620" i="3"/>
  <c r="A12619" i="3"/>
  <c r="A12618" i="3"/>
  <c r="A12617" i="3"/>
  <c r="A12616" i="3"/>
  <c r="A12615" i="3"/>
  <c r="A12614" i="3"/>
  <c r="A12613" i="3"/>
  <c r="A12612" i="3"/>
  <c r="A12611" i="3"/>
  <c r="A12610" i="3"/>
  <c r="A12609" i="3"/>
  <c r="A12608" i="3"/>
  <c r="A12607" i="3"/>
  <c r="A12606" i="3"/>
  <c r="A12605" i="3"/>
  <c r="A12604" i="3"/>
  <c r="A12603" i="3"/>
  <c r="A12602" i="3"/>
  <c r="A12601" i="3"/>
  <c r="A12600" i="3"/>
  <c r="A12599" i="3"/>
  <c r="A12598" i="3"/>
  <c r="A12597" i="3"/>
  <c r="A12596" i="3"/>
  <c r="A12595" i="3"/>
  <c r="A12594" i="3"/>
  <c r="A12593" i="3"/>
  <c r="A12592" i="3"/>
  <c r="A12591" i="3"/>
  <c r="A12590" i="3"/>
  <c r="A12589" i="3"/>
  <c r="A12588" i="3"/>
  <c r="A12587" i="3"/>
  <c r="A12586" i="3"/>
  <c r="A12585" i="3"/>
  <c r="A12584" i="3"/>
  <c r="A12583" i="3"/>
  <c r="A12582" i="3"/>
  <c r="A12581" i="3"/>
  <c r="A12580" i="3"/>
  <c r="A12579" i="3"/>
  <c r="A12578" i="3"/>
  <c r="A12577" i="3"/>
  <c r="A12576" i="3"/>
  <c r="A12575" i="3"/>
  <c r="A12574" i="3"/>
  <c r="A12573" i="3"/>
  <c r="A12572" i="3"/>
  <c r="A12571" i="3"/>
  <c r="A12570" i="3"/>
  <c r="A12569" i="3"/>
  <c r="A12568" i="3"/>
  <c r="A12567" i="3"/>
  <c r="A12566" i="3"/>
  <c r="A12565" i="3"/>
  <c r="A12564" i="3"/>
  <c r="A12563" i="3"/>
  <c r="A12562" i="3"/>
  <c r="A12561" i="3"/>
  <c r="A12560" i="3"/>
  <c r="A12559" i="3"/>
  <c r="A12558" i="3"/>
  <c r="A12557" i="3"/>
  <c r="A12556" i="3"/>
  <c r="A12555" i="3"/>
  <c r="A12554" i="3"/>
  <c r="A12553" i="3"/>
  <c r="A12552" i="3"/>
  <c r="A12551" i="3"/>
  <c r="A12550" i="3"/>
  <c r="A12549" i="3"/>
  <c r="A12548" i="3"/>
  <c r="A12547" i="3"/>
  <c r="A12546" i="3"/>
  <c r="A12545" i="3"/>
  <c r="A12544" i="3"/>
  <c r="A12543" i="3"/>
  <c r="A12542" i="3"/>
  <c r="A12541" i="3"/>
  <c r="A12540" i="3"/>
  <c r="A12539" i="3"/>
  <c r="A12538" i="3"/>
  <c r="A12537" i="3"/>
  <c r="A12536" i="3"/>
  <c r="A12535" i="3"/>
  <c r="A12534" i="3"/>
  <c r="A12533" i="3"/>
  <c r="A12532" i="3"/>
  <c r="A12531" i="3"/>
  <c r="A12530" i="3"/>
  <c r="A12529" i="3"/>
  <c r="A12528" i="3"/>
  <c r="A12527" i="3"/>
  <c r="A12526" i="3"/>
  <c r="A12525" i="3"/>
  <c r="A12524" i="3"/>
  <c r="A12523" i="3"/>
  <c r="A12522" i="3"/>
  <c r="A12521" i="3"/>
  <c r="A12520" i="3"/>
  <c r="A12519" i="3"/>
  <c r="A12518" i="3"/>
  <c r="A12517" i="3"/>
  <c r="A12516" i="3"/>
  <c r="A12515" i="3"/>
  <c r="A12514" i="3"/>
  <c r="A12513" i="3"/>
  <c r="A12512" i="3"/>
  <c r="A12511" i="3"/>
  <c r="A12510" i="3"/>
  <c r="A12509" i="3"/>
  <c r="A12508" i="3"/>
  <c r="A12507" i="3"/>
  <c r="A12506" i="3"/>
  <c r="A12505" i="3"/>
  <c r="A12504" i="3"/>
  <c r="A12503" i="3"/>
  <c r="A12502" i="3"/>
  <c r="A12501" i="3"/>
  <c r="A12500" i="3"/>
  <c r="A12499" i="3"/>
  <c r="A12498" i="3"/>
  <c r="A12497" i="3"/>
  <c r="A12496" i="3"/>
  <c r="A12495" i="3"/>
  <c r="A12494" i="3"/>
  <c r="A12493" i="3"/>
  <c r="A12492" i="3"/>
  <c r="A12491" i="3"/>
  <c r="A12490" i="3"/>
  <c r="A12489" i="3"/>
  <c r="A12488" i="3"/>
  <c r="A12487" i="3"/>
  <c r="A12486" i="3"/>
  <c r="A12485" i="3"/>
  <c r="A12484" i="3"/>
  <c r="A12483" i="3"/>
  <c r="A12482" i="3"/>
  <c r="A12481" i="3"/>
  <c r="A12480" i="3"/>
  <c r="A12479" i="3"/>
  <c r="A12478" i="3"/>
  <c r="A12477" i="3"/>
  <c r="A12476" i="3"/>
  <c r="A12475" i="3"/>
  <c r="A12474" i="3"/>
  <c r="A12473" i="3"/>
  <c r="A12472" i="3"/>
  <c r="A12471" i="3"/>
  <c r="A12470" i="3"/>
  <c r="A12469" i="3"/>
  <c r="A12468" i="3"/>
  <c r="A12467" i="3"/>
  <c r="A12466" i="3"/>
  <c r="A12465" i="3"/>
  <c r="A12464" i="3"/>
  <c r="A12463" i="3"/>
  <c r="A12462" i="3"/>
  <c r="A12461" i="3"/>
  <c r="A12460" i="3"/>
  <c r="A12459" i="3"/>
  <c r="A12458" i="3"/>
  <c r="A12457" i="3"/>
  <c r="A12456" i="3"/>
  <c r="A12455" i="3"/>
  <c r="A12454" i="3"/>
  <c r="A12453" i="3"/>
  <c r="A12452" i="3"/>
  <c r="A12451" i="3"/>
  <c r="A12450" i="3"/>
  <c r="A12449" i="3"/>
  <c r="A12448" i="3"/>
  <c r="A12447" i="3"/>
  <c r="A12446" i="3"/>
  <c r="A12445" i="3"/>
  <c r="A12444" i="3"/>
  <c r="A12443" i="3"/>
  <c r="A12442" i="3"/>
  <c r="A12441" i="3"/>
  <c r="A12440" i="3"/>
  <c r="A12439" i="3"/>
  <c r="A12438" i="3"/>
  <c r="A12437" i="3"/>
  <c r="A12436" i="3"/>
  <c r="A12435" i="3"/>
  <c r="A12434" i="3"/>
  <c r="A12433" i="3"/>
  <c r="A12432" i="3"/>
  <c r="A12431" i="3"/>
  <c r="A12430" i="3"/>
  <c r="A12429" i="3"/>
  <c r="A12428" i="3"/>
  <c r="A12427" i="3"/>
  <c r="A12426" i="3"/>
  <c r="A12425" i="3"/>
  <c r="A12424" i="3"/>
  <c r="A12423" i="3"/>
  <c r="A12422" i="3"/>
  <c r="A12421" i="3"/>
  <c r="A12420" i="3"/>
  <c r="A12419" i="3"/>
  <c r="A12418" i="3"/>
  <c r="A12417" i="3"/>
  <c r="A12416" i="3"/>
  <c r="A12415" i="3"/>
  <c r="A12414" i="3"/>
  <c r="A12413" i="3"/>
  <c r="A12412" i="3"/>
  <c r="A12411" i="3"/>
  <c r="A12410" i="3"/>
  <c r="A12409" i="3"/>
  <c r="A12408" i="3"/>
  <c r="A12407" i="3"/>
  <c r="A12406" i="3"/>
  <c r="A12405" i="3"/>
  <c r="A12404" i="3"/>
  <c r="A12403" i="3"/>
  <c r="A12402" i="3"/>
  <c r="A12401" i="3"/>
  <c r="A12400" i="3"/>
  <c r="A12399" i="3"/>
  <c r="A12398" i="3"/>
  <c r="A12397" i="3"/>
  <c r="A12396" i="3"/>
  <c r="A12395" i="3"/>
  <c r="A12394" i="3"/>
  <c r="A12393" i="3"/>
  <c r="A12392" i="3"/>
  <c r="A12391" i="3"/>
  <c r="A12390" i="3"/>
  <c r="A12389" i="3"/>
  <c r="A12388" i="3"/>
  <c r="A12387" i="3"/>
  <c r="A12386" i="3"/>
  <c r="A12385" i="3"/>
  <c r="A12384" i="3"/>
  <c r="A12383" i="3"/>
  <c r="A12382" i="3"/>
  <c r="A12381" i="3"/>
  <c r="A12380" i="3"/>
  <c r="A12379" i="3"/>
  <c r="A12378" i="3"/>
  <c r="A12377" i="3"/>
  <c r="A12376" i="3"/>
  <c r="A12375" i="3"/>
  <c r="A12374" i="3"/>
  <c r="A12373" i="3"/>
  <c r="A12372" i="3"/>
  <c r="A12371" i="3"/>
  <c r="A12370" i="3"/>
  <c r="A12369" i="3"/>
  <c r="A12368" i="3"/>
  <c r="A12367" i="3"/>
  <c r="A12366" i="3"/>
  <c r="A12365" i="3"/>
  <c r="A12364" i="3"/>
  <c r="A12363" i="3"/>
  <c r="A12362" i="3"/>
  <c r="A12361" i="3"/>
  <c r="A12360" i="3"/>
  <c r="A12359" i="3"/>
  <c r="A12358" i="3"/>
  <c r="A12357" i="3"/>
  <c r="A12356" i="3"/>
  <c r="A12355" i="3"/>
  <c r="A12354" i="3"/>
  <c r="A12353" i="3"/>
  <c r="A12352" i="3"/>
  <c r="A12351" i="3"/>
  <c r="A12350" i="3"/>
  <c r="A12349" i="3"/>
  <c r="A12348" i="3"/>
  <c r="A12347" i="3"/>
  <c r="A12346" i="3"/>
  <c r="A12345" i="3"/>
  <c r="A12344" i="3"/>
  <c r="A12343" i="3"/>
  <c r="A12342" i="3"/>
  <c r="A12341" i="3"/>
  <c r="A12340" i="3"/>
  <c r="A12339" i="3"/>
  <c r="A12338" i="3"/>
  <c r="A12337" i="3"/>
  <c r="A12336" i="3"/>
  <c r="A12335" i="3"/>
  <c r="A12334" i="3"/>
  <c r="A12333" i="3"/>
  <c r="A12332" i="3"/>
  <c r="A12331" i="3"/>
  <c r="A12330" i="3"/>
  <c r="A12329" i="3"/>
  <c r="A12328" i="3"/>
  <c r="A12327" i="3"/>
  <c r="A12326" i="3"/>
  <c r="A12325" i="3"/>
  <c r="A12324" i="3"/>
  <c r="A12323" i="3"/>
  <c r="A12322" i="3"/>
  <c r="A12321" i="3"/>
  <c r="A12320" i="3"/>
  <c r="A12319" i="3"/>
  <c r="A12318" i="3"/>
  <c r="A12317" i="3"/>
  <c r="A12316" i="3"/>
  <c r="A12315" i="3"/>
  <c r="A12314" i="3"/>
  <c r="A12313" i="3"/>
  <c r="A12312" i="3"/>
  <c r="A12311" i="3"/>
  <c r="A12310" i="3"/>
  <c r="A12309" i="3"/>
  <c r="A12308" i="3"/>
  <c r="A12307" i="3"/>
  <c r="A12306" i="3"/>
  <c r="A12305" i="3"/>
  <c r="A12304" i="3"/>
  <c r="A12303" i="3"/>
  <c r="A12302" i="3"/>
  <c r="A12301" i="3"/>
  <c r="A12300" i="3"/>
  <c r="A12299" i="3"/>
  <c r="A12298" i="3"/>
  <c r="A12297" i="3"/>
  <c r="A12296" i="3"/>
  <c r="A12295" i="3"/>
  <c r="A12294" i="3"/>
  <c r="A12293" i="3"/>
  <c r="A12292" i="3"/>
  <c r="A12291" i="3"/>
  <c r="A12290" i="3"/>
  <c r="A12289" i="3"/>
  <c r="A12288" i="3"/>
  <c r="A12287" i="3"/>
  <c r="A12286" i="3"/>
  <c r="A12285" i="3"/>
  <c r="A12284" i="3"/>
  <c r="A12283" i="3"/>
  <c r="A12282" i="3"/>
  <c r="A12281" i="3"/>
  <c r="A12280" i="3"/>
  <c r="A12279" i="3"/>
  <c r="A12278" i="3"/>
  <c r="A12277" i="3"/>
  <c r="A12276" i="3"/>
  <c r="A12275" i="3"/>
  <c r="A12274" i="3"/>
  <c r="A12273" i="3"/>
  <c r="A12272" i="3"/>
  <c r="A12271" i="3"/>
  <c r="A12270" i="3"/>
  <c r="A12269" i="3"/>
  <c r="A12268" i="3"/>
  <c r="A12267" i="3"/>
  <c r="A12266" i="3"/>
  <c r="A12265" i="3"/>
  <c r="A12264" i="3"/>
  <c r="A12263" i="3"/>
  <c r="A12262" i="3"/>
  <c r="A12261" i="3"/>
  <c r="A12260" i="3"/>
  <c r="A12259" i="3"/>
  <c r="A12258" i="3"/>
  <c r="A12257" i="3"/>
  <c r="A12256" i="3"/>
  <c r="A12255" i="3"/>
  <c r="A12254" i="3"/>
  <c r="A12253" i="3"/>
  <c r="A12252" i="3"/>
  <c r="A12251" i="3"/>
  <c r="A12250" i="3"/>
  <c r="A12249" i="3"/>
  <c r="A12248" i="3"/>
  <c r="A12247" i="3"/>
  <c r="A12246" i="3"/>
  <c r="A12245" i="3"/>
  <c r="A12244" i="3"/>
  <c r="A12243" i="3"/>
  <c r="A12242" i="3"/>
  <c r="A12241" i="3"/>
  <c r="A12240" i="3"/>
  <c r="A12239" i="3"/>
  <c r="A12238" i="3"/>
  <c r="A12237" i="3"/>
  <c r="A12236" i="3"/>
  <c r="A12235" i="3"/>
  <c r="A12234" i="3"/>
  <c r="A12233" i="3"/>
  <c r="A12232" i="3"/>
  <c r="A12231" i="3"/>
  <c r="A12230" i="3"/>
  <c r="A12229" i="3"/>
  <c r="A12228" i="3"/>
  <c r="A12227" i="3"/>
  <c r="A12226" i="3"/>
  <c r="A12225" i="3"/>
  <c r="A12224" i="3"/>
  <c r="A12223" i="3"/>
  <c r="A12222" i="3"/>
  <c r="A12221" i="3"/>
  <c r="A12220" i="3"/>
  <c r="A12219" i="3"/>
  <c r="A12218" i="3"/>
  <c r="A12217" i="3"/>
  <c r="A12216" i="3"/>
  <c r="A12215" i="3"/>
  <c r="A12214" i="3"/>
  <c r="A12213" i="3"/>
  <c r="A12212" i="3"/>
  <c r="A12211" i="3"/>
  <c r="A12210" i="3"/>
  <c r="A12209" i="3"/>
  <c r="A12208" i="3"/>
  <c r="A12207" i="3"/>
  <c r="A12206" i="3"/>
  <c r="A12205" i="3"/>
  <c r="A12204" i="3"/>
  <c r="A12203" i="3"/>
  <c r="A12202" i="3"/>
  <c r="A12201" i="3"/>
  <c r="A12200" i="3"/>
  <c r="A12199" i="3"/>
  <c r="A12198" i="3"/>
  <c r="A12197" i="3"/>
  <c r="A12196" i="3"/>
  <c r="A12195" i="3"/>
  <c r="A12194" i="3"/>
  <c r="A12193" i="3"/>
  <c r="A12192" i="3"/>
  <c r="A12191" i="3"/>
  <c r="A12190" i="3"/>
  <c r="A12189" i="3"/>
  <c r="A12188" i="3"/>
  <c r="A12187" i="3"/>
  <c r="A12186" i="3"/>
  <c r="A12185" i="3"/>
  <c r="A12184" i="3"/>
  <c r="A12183" i="3"/>
  <c r="A12182" i="3"/>
  <c r="A12181" i="3"/>
  <c r="A12180" i="3"/>
  <c r="A12179" i="3"/>
  <c r="A12178" i="3"/>
  <c r="A12177" i="3"/>
  <c r="A12176" i="3"/>
  <c r="A12175" i="3"/>
  <c r="A12174" i="3"/>
  <c r="A12173" i="3"/>
  <c r="A12172" i="3"/>
  <c r="A12171" i="3"/>
  <c r="A12170" i="3"/>
  <c r="A12169" i="3"/>
  <c r="A12168" i="3"/>
  <c r="A12167" i="3"/>
  <c r="A12166" i="3"/>
  <c r="A12165" i="3"/>
  <c r="A12164" i="3"/>
  <c r="A12163" i="3"/>
  <c r="A12162" i="3"/>
  <c r="A12161" i="3"/>
  <c r="A12160" i="3"/>
  <c r="A12159" i="3"/>
  <c r="A12158" i="3"/>
  <c r="A12157" i="3"/>
  <c r="A12156" i="3"/>
  <c r="A12155" i="3"/>
  <c r="A12154" i="3"/>
  <c r="A12153" i="3"/>
  <c r="A12152" i="3"/>
  <c r="A12151" i="3"/>
  <c r="A12150" i="3"/>
  <c r="A12149" i="3"/>
  <c r="A12148" i="3"/>
  <c r="A12147" i="3"/>
  <c r="A12146" i="3"/>
  <c r="A12145" i="3"/>
  <c r="A12144" i="3"/>
  <c r="A12143" i="3"/>
  <c r="A12142" i="3"/>
  <c r="A12141" i="3"/>
  <c r="A12140" i="3"/>
  <c r="A12139" i="3"/>
  <c r="A12138" i="3"/>
  <c r="A12137" i="3"/>
  <c r="A12136" i="3"/>
  <c r="A12135" i="3"/>
  <c r="A12134" i="3"/>
  <c r="A12133" i="3"/>
  <c r="A12132" i="3"/>
  <c r="A12131" i="3"/>
  <c r="A12130" i="3"/>
  <c r="A12129" i="3"/>
  <c r="A12128" i="3"/>
  <c r="A12127" i="3"/>
  <c r="A12126" i="3"/>
  <c r="A12125" i="3"/>
  <c r="A12124" i="3"/>
  <c r="A12123" i="3"/>
  <c r="A12122" i="3"/>
  <c r="A12121" i="3"/>
  <c r="A12120" i="3"/>
  <c r="A12119" i="3"/>
  <c r="A12118" i="3"/>
  <c r="A12117" i="3"/>
  <c r="A12116" i="3"/>
  <c r="A12115" i="3"/>
  <c r="A12114" i="3"/>
  <c r="A12113" i="3"/>
  <c r="A12112" i="3"/>
  <c r="A12111" i="3"/>
  <c r="A12110" i="3"/>
  <c r="A12109" i="3"/>
  <c r="A12108" i="3"/>
  <c r="A12107" i="3"/>
  <c r="A12106" i="3"/>
  <c r="A12105" i="3"/>
  <c r="A12104" i="3"/>
  <c r="A12103" i="3"/>
  <c r="A12102" i="3"/>
  <c r="A12101" i="3"/>
  <c r="A12100" i="3"/>
  <c r="A12099" i="3"/>
  <c r="A12098" i="3"/>
  <c r="A12097" i="3"/>
  <c r="A12096" i="3"/>
  <c r="A12095" i="3"/>
  <c r="A12094" i="3"/>
  <c r="A12093" i="3"/>
  <c r="A12092" i="3"/>
  <c r="A12091" i="3"/>
  <c r="A12090" i="3"/>
  <c r="A12089" i="3"/>
  <c r="A12088" i="3"/>
  <c r="A12087" i="3"/>
  <c r="A12086" i="3"/>
  <c r="A12085" i="3"/>
  <c r="A12084" i="3"/>
  <c r="A12083" i="3"/>
  <c r="A12082" i="3"/>
  <c r="A12081" i="3"/>
  <c r="A12080" i="3"/>
  <c r="A12079" i="3"/>
  <c r="A12078" i="3"/>
  <c r="A12077" i="3"/>
  <c r="A12076" i="3"/>
  <c r="A12075" i="3"/>
  <c r="A12074" i="3"/>
  <c r="A12073" i="3"/>
  <c r="A12072" i="3"/>
  <c r="A12071" i="3"/>
  <c r="A12070" i="3"/>
  <c r="A12069" i="3"/>
  <c r="A12068" i="3"/>
  <c r="A12067" i="3"/>
  <c r="A12066" i="3"/>
  <c r="A12065" i="3"/>
  <c r="A12064" i="3"/>
  <c r="A12063" i="3"/>
  <c r="A12062" i="3"/>
  <c r="A12061" i="3"/>
  <c r="A12060" i="3"/>
  <c r="A12059" i="3"/>
  <c r="A12058" i="3"/>
  <c r="A12057" i="3"/>
  <c r="A12056" i="3"/>
  <c r="A12055" i="3"/>
  <c r="A12054" i="3"/>
  <c r="A12053" i="3"/>
  <c r="A12052" i="3"/>
  <c r="A12051" i="3"/>
  <c r="A12050" i="3"/>
  <c r="A12049" i="3"/>
  <c r="A12048" i="3"/>
  <c r="A12047" i="3"/>
  <c r="A12046" i="3"/>
  <c r="A12045" i="3"/>
  <c r="A12044" i="3"/>
  <c r="A12043" i="3"/>
  <c r="A12042" i="3"/>
  <c r="A12041" i="3"/>
  <c r="A12040" i="3"/>
  <c r="A12039" i="3"/>
  <c r="A12038" i="3"/>
  <c r="A12037" i="3"/>
  <c r="A12036" i="3"/>
  <c r="A12035" i="3"/>
  <c r="A12034" i="3"/>
  <c r="A12033" i="3"/>
  <c r="A12032" i="3"/>
  <c r="A12031" i="3"/>
  <c r="A12030" i="3"/>
  <c r="A12029" i="3"/>
  <c r="A12028" i="3"/>
  <c r="A12027" i="3"/>
  <c r="A12026" i="3"/>
  <c r="A12025" i="3"/>
  <c r="A12024" i="3"/>
  <c r="A12023" i="3"/>
  <c r="A12022" i="3"/>
  <c r="A12021" i="3"/>
  <c r="A12020" i="3"/>
  <c r="A12019" i="3"/>
  <c r="A12018" i="3"/>
  <c r="A12017" i="3"/>
  <c r="A12016" i="3"/>
  <c r="A12015" i="3"/>
  <c r="A12014" i="3"/>
  <c r="A12013" i="3"/>
  <c r="A12012" i="3"/>
  <c r="A12011" i="3"/>
  <c r="A12010" i="3"/>
  <c r="A12009" i="3"/>
  <c r="A12008" i="3"/>
  <c r="A12007" i="3"/>
  <c r="A12006" i="3"/>
  <c r="A12005" i="3"/>
  <c r="A12004" i="3"/>
  <c r="A12003" i="3"/>
  <c r="A12002" i="3"/>
  <c r="A12001" i="3"/>
  <c r="A12000" i="3"/>
  <c r="A11999" i="3"/>
  <c r="A11998" i="3"/>
  <c r="A11997" i="3"/>
  <c r="A11996" i="3"/>
  <c r="A11995" i="3"/>
  <c r="A11994" i="3"/>
  <c r="A11993" i="3"/>
  <c r="A11992" i="3"/>
  <c r="A11991" i="3"/>
  <c r="A11990" i="3"/>
  <c r="A11989" i="3"/>
  <c r="A11988" i="3"/>
  <c r="A11987" i="3"/>
  <c r="A11986" i="3"/>
  <c r="A11985" i="3"/>
  <c r="A11984" i="3"/>
  <c r="A11983" i="3"/>
  <c r="A11982" i="3"/>
  <c r="A11981" i="3"/>
  <c r="A11980" i="3"/>
  <c r="A11979" i="3"/>
  <c r="A11978" i="3"/>
  <c r="A11977" i="3"/>
  <c r="A11976" i="3"/>
  <c r="A11975" i="3"/>
  <c r="A11974" i="3"/>
  <c r="A11973" i="3"/>
  <c r="A11972" i="3"/>
  <c r="A11971" i="3"/>
  <c r="A11970" i="3"/>
  <c r="A11969" i="3"/>
  <c r="A11968" i="3"/>
  <c r="A11967" i="3"/>
  <c r="A11966" i="3"/>
  <c r="A11965" i="3"/>
  <c r="A11964" i="3"/>
  <c r="A11963" i="3"/>
  <c r="A11962" i="3"/>
  <c r="A11961" i="3"/>
  <c r="A11960" i="3"/>
  <c r="A11959" i="3"/>
  <c r="A11958" i="3"/>
  <c r="A11957" i="3"/>
  <c r="A11956" i="3"/>
  <c r="A11955" i="3"/>
  <c r="A11954" i="3"/>
  <c r="A11953" i="3"/>
  <c r="A11952" i="3"/>
  <c r="A11951" i="3"/>
  <c r="A11950" i="3"/>
  <c r="A11949" i="3"/>
  <c r="A11948" i="3"/>
  <c r="A11947" i="3"/>
  <c r="A11946" i="3"/>
  <c r="A11945" i="3"/>
  <c r="A11944" i="3"/>
  <c r="A11943" i="3"/>
  <c r="A11942" i="3"/>
  <c r="A11941" i="3"/>
  <c r="A11940" i="3"/>
  <c r="A11939" i="3"/>
  <c r="A11938" i="3"/>
  <c r="A11937" i="3"/>
  <c r="A11936" i="3"/>
  <c r="A11935" i="3"/>
  <c r="A11934" i="3"/>
  <c r="A11933" i="3"/>
  <c r="A11932" i="3"/>
  <c r="A11931" i="3"/>
  <c r="A11930" i="3"/>
  <c r="A11929" i="3"/>
  <c r="A11928" i="3"/>
  <c r="A11927" i="3"/>
  <c r="A11926" i="3"/>
  <c r="A11925" i="3"/>
  <c r="A11924" i="3"/>
  <c r="A11923" i="3"/>
  <c r="A11922" i="3"/>
  <c r="A11921" i="3"/>
  <c r="A11920" i="3"/>
  <c r="A11919" i="3"/>
  <c r="A11918" i="3"/>
  <c r="A11917" i="3"/>
  <c r="A11916" i="3"/>
  <c r="A11915" i="3"/>
  <c r="A11914" i="3"/>
  <c r="A11913" i="3"/>
  <c r="A11912" i="3"/>
  <c r="A11911" i="3"/>
  <c r="A11910" i="3"/>
  <c r="A11909" i="3"/>
  <c r="A11908" i="3"/>
  <c r="A11907" i="3"/>
  <c r="A11906" i="3"/>
  <c r="A11905" i="3"/>
  <c r="A11904" i="3"/>
  <c r="A11903" i="3"/>
  <c r="A11902" i="3"/>
  <c r="A11901" i="3"/>
  <c r="A11900" i="3"/>
  <c r="A11899" i="3"/>
  <c r="A11898" i="3"/>
  <c r="A11897" i="3"/>
  <c r="A11896" i="3"/>
  <c r="A11895" i="3"/>
  <c r="A11894" i="3"/>
  <c r="A11893" i="3"/>
  <c r="A11892" i="3"/>
  <c r="A11891" i="3"/>
  <c r="A11890" i="3"/>
  <c r="A11889" i="3"/>
  <c r="A11888" i="3"/>
  <c r="A11887" i="3"/>
  <c r="A11886" i="3"/>
  <c r="A11885" i="3"/>
  <c r="A11884" i="3"/>
  <c r="A11883" i="3"/>
  <c r="A11882" i="3"/>
  <c r="A11881" i="3"/>
  <c r="A11880" i="3"/>
  <c r="A11879" i="3"/>
  <c r="A11878" i="3"/>
  <c r="A11877" i="3"/>
  <c r="A11876" i="3"/>
  <c r="A11875" i="3"/>
  <c r="A11874" i="3"/>
  <c r="A11873" i="3"/>
  <c r="A11872" i="3"/>
  <c r="A11871" i="3"/>
  <c r="A11870" i="3"/>
  <c r="A11869" i="3"/>
  <c r="A11868" i="3"/>
  <c r="A11867" i="3"/>
  <c r="A11866" i="3"/>
  <c r="A11865" i="3"/>
  <c r="A11864" i="3"/>
  <c r="A11863" i="3"/>
  <c r="A11862" i="3"/>
  <c r="A11861" i="3"/>
  <c r="A11860" i="3"/>
  <c r="A11859" i="3"/>
  <c r="A11858" i="3"/>
  <c r="A11857" i="3"/>
  <c r="A11856" i="3"/>
  <c r="A11855" i="3"/>
  <c r="A11854" i="3"/>
  <c r="A11853" i="3"/>
  <c r="A11852" i="3"/>
  <c r="A11851" i="3"/>
  <c r="A11850" i="3"/>
  <c r="A11849" i="3"/>
  <c r="A11848" i="3"/>
  <c r="A11847" i="3"/>
  <c r="A11846" i="3"/>
  <c r="A11845" i="3"/>
  <c r="A11844" i="3"/>
  <c r="A11843" i="3"/>
  <c r="A11842" i="3"/>
  <c r="A11841" i="3"/>
  <c r="A11840" i="3"/>
  <c r="A11839" i="3"/>
  <c r="A11838" i="3"/>
  <c r="A11837" i="3"/>
  <c r="A11836" i="3"/>
  <c r="A11835" i="3"/>
  <c r="A11834" i="3"/>
  <c r="A11833" i="3"/>
  <c r="A11832" i="3"/>
  <c r="A11831" i="3"/>
  <c r="A11830" i="3"/>
  <c r="A11829" i="3"/>
  <c r="A11828" i="3"/>
  <c r="A11827" i="3"/>
  <c r="A11826" i="3"/>
  <c r="A11825" i="3"/>
  <c r="A11824" i="3"/>
  <c r="A11823" i="3"/>
  <c r="A11822" i="3"/>
  <c r="A11821" i="3"/>
  <c r="A11820" i="3"/>
  <c r="A11819" i="3"/>
  <c r="A11818" i="3"/>
  <c r="A11817" i="3"/>
  <c r="A11816" i="3"/>
  <c r="A11815" i="3"/>
  <c r="A11814" i="3"/>
  <c r="A11813" i="3"/>
  <c r="A11812" i="3"/>
  <c r="A11811" i="3"/>
  <c r="A11810" i="3"/>
  <c r="A11809" i="3"/>
  <c r="A11808" i="3"/>
  <c r="A11807" i="3"/>
  <c r="A11806" i="3"/>
  <c r="A11805" i="3"/>
  <c r="A11804" i="3"/>
  <c r="A11803" i="3"/>
  <c r="A11802" i="3"/>
  <c r="A11801" i="3"/>
  <c r="A11800" i="3"/>
  <c r="A11799" i="3"/>
  <c r="A11798" i="3"/>
  <c r="A11797" i="3"/>
  <c r="A11796" i="3"/>
  <c r="A11795" i="3"/>
  <c r="A11794" i="3"/>
  <c r="A11793" i="3"/>
  <c r="A11792" i="3"/>
  <c r="A11791" i="3"/>
  <c r="A11790" i="3"/>
  <c r="A11789" i="3"/>
  <c r="A11788" i="3"/>
  <c r="A11787" i="3"/>
  <c r="A11786" i="3"/>
  <c r="A11785" i="3"/>
  <c r="A11784" i="3"/>
  <c r="A11783" i="3"/>
  <c r="A11782" i="3"/>
  <c r="A11781" i="3"/>
  <c r="A11780" i="3"/>
  <c r="A11779" i="3"/>
  <c r="A11778" i="3"/>
  <c r="A11777" i="3"/>
  <c r="A11776" i="3"/>
  <c r="A11775" i="3"/>
  <c r="A11774" i="3"/>
  <c r="A11773" i="3"/>
  <c r="A11772" i="3"/>
  <c r="A11771" i="3"/>
  <c r="A11770" i="3"/>
  <c r="A11769" i="3"/>
  <c r="A11768" i="3"/>
  <c r="A11767" i="3"/>
  <c r="A11766" i="3"/>
  <c r="A11765" i="3"/>
  <c r="A11764" i="3"/>
  <c r="A11763" i="3"/>
  <c r="A11762" i="3"/>
  <c r="A11761" i="3"/>
  <c r="A11760" i="3"/>
  <c r="A11759" i="3"/>
  <c r="A11758" i="3"/>
  <c r="A11757" i="3"/>
  <c r="A11756" i="3"/>
  <c r="A11755" i="3"/>
  <c r="A11754" i="3"/>
  <c r="A11753" i="3"/>
  <c r="A11752" i="3"/>
  <c r="A11751" i="3"/>
  <c r="A11750" i="3"/>
  <c r="A11749" i="3"/>
  <c r="A11748" i="3"/>
  <c r="A11747" i="3"/>
  <c r="A11746" i="3"/>
  <c r="A11745" i="3"/>
  <c r="A11744" i="3"/>
  <c r="A11743" i="3"/>
  <c r="A11742" i="3"/>
  <c r="A11741" i="3"/>
  <c r="A11740" i="3"/>
  <c r="A11739" i="3"/>
  <c r="A11738" i="3"/>
  <c r="A11737" i="3"/>
  <c r="A11736" i="3"/>
  <c r="A11735" i="3"/>
  <c r="A11734" i="3"/>
  <c r="A11733" i="3"/>
  <c r="A11732" i="3"/>
  <c r="A11731" i="3"/>
  <c r="A11730" i="3"/>
  <c r="A11729" i="3"/>
  <c r="A11728" i="3"/>
  <c r="A11727" i="3"/>
  <c r="A11726" i="3"/>
  <c r="A11725" i="3"/>
  <c r="A11724" i="3"/>
  <c r="A11723" i="3"/>
  <c r="A11722" i="3"/>
  <c r="A11721" i="3"/>
  <c r="A11720" i="3"/>
  <c r="A11719" i="3"/>
  <c r="A11718" i="3"/>
  <c r="A11717" i="3"/>
  <c r="A11716" i="3"/>
  <c r="A11715" i="3"/>
  <c r="A11714" i="3"/>
  <c r="A11713" i="3"/>
  <c r="A11712" i="3"/>
  <c r="A11711" i="3"/>
  <c r="A11710" i="3"/>
  <c r="A11709" i="3"/>
  <c r="A11708" i="3"/>
  <c r="A11707" i="3"/>
  <c r="A11706" i="3"/>
  <c r="A11705" i="3"/>
  <c r="A11704" i="3"/>
  <c r="A11703" i="3"/>
  <c r="A11702" i="3"/>
  <c r="A11701" i="3"/>
  <c r="A11700" i="3"/>
  <c r="A11699" i="3"/>
  <c r="A11698" i="3"/>
  <c r="A11697" i="3"/>
  <c r="A11696" i="3"/>
  <c r="A11695" i="3"/>
  <c r="A11694" i="3"/>
  <c r="A11693" i="3"/>
  <c r="A11692" i="3"/>
  <c r="A11691" i="3"/>
  <c r="A11690" i="3"/>
  <c r="A11689" i="3"/>
  <c r="A11688" i="3"/>
  <c r="A11687" i="3"/>
  <c r="A11686" i="3"/>
  <c r="A11685" i="3"/>
  <c r="A11684" i="3"/>
  <c r="A11683" i="3"/>
  <c r="A11682" i="3"/>
  <c r="A11681" i="3"/>
  <c r="A11680" i="3"/>
  <c r="A11679" i="3"/>
  <c r="A11678" i="3"/>
  <c r="A11677" i="3"/>
  <c r="A11676" i="3"/>
  <c r="A11675" i="3"/>
  <c r="A11674" i="3"/>
  <c r="A11673" i="3"/>
  <c r="A11672" i="3"/>
  <c r="A11671" i="3"/>
  <c r="A11670" i="3"/>
  <c r="A11669" i="3"/>
  <c r="A11668" i="3"/>
  <c r="A11667" i="3"/>
  <c r="A11666" i="3"/>
  <c r="A11665" i="3"/>
  <c r="A11664" i="3"/>
  <c r="A11663" i="3"/>
  <c r="A11662" i="3"/>
  <c r="A11661" i="3"/>
  <c r="A11660" i="3"/>
  <c r="A11659" i="3"/>
  <c r="A11658" i="3"/>
  <c r="A11657" i="3"/>
  <c r="A11656" i="3"/>
  <c r="A11655" i="3"/>
  <c r="A11654" i="3"/>
  <c r="A11653" i="3"/>
  <c r="A11652" i="3"/>
  <c r="A11651" i="3"/>
  <c r="A11650" i="3"/>
  <c r="A11649" i="3"/>
  <c r="A11648" i="3"/>
  <c r="A11647" i="3"/>
  <c r="A11646" i="3"/>
  <c r="A11645" i="3"/>
  <c r="A11644" i="3"/>
  <c r="A11643" i="3"/>
  <c r="A11642" i="3"/>
  <c r="A11641" i="3"/>
  <c r="A11640" i="3"/>
  <c r="A11639" i="3"/>
  <c r="A11638" i="3"/>
  <c r="A11637" i="3"/>
  <c r="A11636" i="3"/>
  <c r="A11635" i="3"/>
  <c r="A11634" i="3"/>
  <c r="A11633" i="3"/>
  <c r="A11632" i="3"/>
  <c r="A11631" i="3"/>
  <c r="A11630" i="3"/>
  <c r="A11629" i="3"/>
  <c r="A11628" i="3"/>
  <c r="A11627" i="3"/>
  <c r="A11626" i="3"/>
  <c r="A11625" i="3"/>
  <c r="A11624" i="3"/>
  <c r="A11623" i="3"/>
  <c r="A11622" i="3"/>
  <c r="A11621" i="3"/>
  <c r="A11620" i="3"/>
  <c r="A11619" i="3"/>
  <c r="A11618" i="3"/>
  <c r="A11617" i="3"/>
  <c r="A11616" i="3"/>
  <c r="A11615" i="3"/>
  <c r="A11614" i="3"/>
  <c r="A11613" i="3"/>
  <c r="A11612" i="3"/>
  <c r="A11611" i="3"/>
  <c r="A11610" i="3"/>
  <c r="A11609" i="3"/>
  <c r="A11608" i="3"/>
  <c r="A11607" i="3"/>
  <c r="A11606" i="3"/>
  <c r="A11605" i="3"/>
  <c r="A11604" i="3"/>
  <c r="A11603" i="3"/>
  <c r="A11602" i="3"/>
  <c r="A11601" i="3"/>
  <c r="A11600" i="3"/>
  <c r="A11599" i="3"/>
  <c r="A11598" i="3"/>
  <c r="A11597" i="3"/>
  <c r="A11596" i="3"/>
  <c r="A11595" i="3"/>
  <c r="A11594" i="3"/>
  <c r="A11593" i="3"/>
  <c r="A11592" i="3"/>
  <c r="A11591" i="3"/>
  <c r="A11590" i="3"/>
  <c r="A11589" i="3"/>
  <c r="A11588" i="3"/>
  <c r="A11587" i="3"/>
  <c r="A11586" i="3"/>
  <c r="A11585" i="3"/>
  <c r="A11584" i="3"/>
  <c r="A11583" i="3"/>
  <c r="A11582" i="3"/>
  <c r="A11581" i="3"/>
  <c r="A11580" i="3"/>
  <c r="A11579" i="3"/>
  <c r="A11578" i="3"/>
  <c r="A11577" i="3"/>
  <c r="A11576" i="3"/>
  <c r="A11575" i="3"/>
  <c r="A11574" i="3"/>
  <c r="A11573" i="3"/>
  <c r="A11572" i="3"/>
  <c r="A11571" i="3"/>
  <c r="A11570" i="3"/>
  <c r="A11569" i="3"/>
  <c r="A11568" i="3"/>
  <c r="A11567" i="3"/>
  <c r="A11566" i="3"/>
  <c r="A11565" i="3"/>
  <c r="A11564" i="3"/>
  <c r="A11563" i="3"/>
  <c r="A11562" i="3"/>
  <c r="A11561" i="3"/>
  <c r="A11560" i="3"/>
  <c r="A11559" i="3"/>
  <c r="A11558" i="3"/>
  <c r="A11557" i="3"/>
  <c r="A11556" i="3"/>
  <c r="A11555" i="3"/>
  <c r="A11554" i="3"/>
  <c r="A11553" i="3"/>
  <c r="A11552" i="3"/>
  <c r="A11551" i="3"/>
  <c r="A11550" i="3"/>
  <c r="A11549" i="3"/>
  <c r="A11548" i="3"/>
  <c r="A11547" i="3"/>
  <c r="A11546" i="3"/>
  <c r="A11545" i="3"/>
  <c r="A11544" i="3"/>
  <c r="A11543" i="3"/>
  <c r="A11542" i="3"/>
  <c r="A11541" i="3"/>
  <c r="A11540" i="3"/>
  <c r="A11539" i="3"/>
  <c r="A11538" i="3"/>
  <c r="A11537" i="3"/>
  <c r="A11536" i="3"/>
  <c r="A11535" i="3"/>
  <c r="A11534" i="3"/>
  <c r="A11533" i="3"/>
  <c r="A11532" i="3"/>
  <c r="A11531" i="3"/>
  <c r="A11530" i="3"/>
  <c r="A11529" i="3"/>
  <c r="A11528" i="3"/>
  <c r="A11527" i="3"/>
  <c r="A11526" i="3"/>
  <c r="A11525" i="3"/>
  <c r="A11524" i="3"/>
  <c r="A11523" i="3"/>
  <c r="A11522" i="3"/>
  <c r="A11521" i="3"/>
  <c r="A11520" i="3"/>
  <c r="A11519" i="3"/>
  <c r="A11518" i="3"/>
  <c r="A11517" i="3"/>
  <c r="A11516" i="3"/>
  <c r="A11515" i="3"/>
  <c r="A11514" i="3"/>
  <c r="A11513" i="3"/>
  <c r="A11512" i="3"/>
  <c r="A11511" i="3"/>
  <c r="A11510" i="3"/>
  <c r="A11509" i="3"/>
  <c r="A11508" i="3"/>
  <c r="A11507" i="3"/>
  <c r="A11506" i="3"/>
  <c r="A11505" i="3"/>
  <c r="A11504" i="3"/>
  <c r="A11503" i="3"/>
  <c r="A11502" i="3"/>
  <c r="A11501" i="3"/>
  <c r="A11500" i="3"/>
  <c r="A11499" i="3"/>
  <c r="A11498" i="3"/>
  <c r="A11497" i="3"/>
  <c r="A11496" i="3"/>
  <c r="A11495" i="3"/>
  <c r="A11494" i="3"/>
  <c r="A11493" i="3"/>
  <c r="A11492" i="3"/>
  <c r="A11491" i="3"/>
  <c r="A11490" i="3"/>
  <c r="A11489" i="3"/>
  <c r="A11488" i="3"/>
  <c r="A11487" i="3"/>
  <c r="A11486" i="3"/>
  <c r="A11485" i="3"/>
  <c r="A11484" i="3"/>
  <c r="A11483" i="3"/>
  <c r="A11482" i="3"/>
  <c r="A11481" i="3"/>
  <c r="A11480" i="3"/>
  <c r="A11479" i="3"/>
  <c r="A11478" i="3"/>
  <c r="A11477" i="3"/>
  <c r="A11476" i="3"/>
  <c r="A11475" i="3"/>
  <c r="A11474" i="3"/>
  <c r="A11473" i="3"/>
  <c r="A11472" i="3"/>
  <c r="A11471" i="3"/>
  <c r="A11470" i="3"/>
  <c r="A11469" i="3"/>
  <c r="A11468" i="3"/>
  <c r="A11467" i="3"/>
  <c r="A11466" i="3"/>
  <c r="A11465" i="3"/>
  <c r="A11464" i="3"/>
  <c r="A11463" i="3"/>
  <c r="A11462" i="3"/>
  <c r="A11461" i="3"/>
  <c r="A11460" i="3"/>
  <c r="A11459" i="3"/>
  <c r="A11458" i="3"/>
  <c r="A11457" i="3"/>
  <c r="A11456" i="3"/>
  <c r="A11455" i="3"/>
  <c r="A11454" i="3"/>
  <c r="A11453" i="3"/>
  <c r="A11452" i="3"/>
  <c r="A11451" i="3"/>
  <c r="A11450" i="3"/>
  <c r="A11449" i="3"/>
  <c r="A11448" i="3"/>
  <c r="A11447" i="3"/>
  <c r="A11446" i="3"/>
  <c r="A11445" i="3"/>
  <c r="A11444" i="3"/>
  <c r="A11443" i="3"/>
  <c r="A11442" i="3"/>
  <c r="A11441" i="3"/>
  <c r="A11440" i="3"/>
  <c r="A11439" i="3"/>
  <c r="A11438" i="3"/>
  <c r="A11437" i="3"/>
  <c r="A11436" i="3"/>
  <c r="A11435" i="3"/>
  <c r="A11434" i="3"/>
  <c r="A11433" i="3"/>
  <c r="A11432" i="3"/>
  <c r="A11431" i="3"/>
  <c r="A11430" i="3"/>
  <c r="A11429" i="3"/>
  <c r="A11428" i="3"/>
  <c r="A11427" i="3"/>
  <c r="A11426" i="3"/>
  <c r="A11425" i="3"/>
  <c r="A11424" i="3"/>
  <c r="A11423" i="3"/>
  <c r="A11422" i="3"/>
  <c r="A11421" i="3"/>
  <c r="A11420" i="3"/>
  <c r="A11419" i="3"/>
  <c r="A11418" i="3"/>
  <c r="A11417" i="3"/>
  <c r="A11416" i="3"/>
  <c r="A11415" i="3"/>
  <c r="A11414" i="3"/>
  <c r="A11413" i="3"/>
  <c r="A11412" i="3"/>
  <c r="A11411" i="3"/>
  <c r="A11410" i="3"/>
  <c r="A11409" i="3"/>
  <c r="A11408" i="3"/>
  <c r="A11407" i="3"/>
  <c r="A11406" i="3"/>
  <c r="A11405" i="3"/>
  <c r="A11404" i="3"/>
  <c r="A11403" i="3"/>
  <c r="A11402" i="3"/>
  <c r="A11401" i="3"/>
  <c r="A11400" i="3"/>
  <c r="A11399" i="3"/>
  <c r="A11398" i="3"/>
  <c r="A11397" i="3"/>
  <c r="A11396" i="3"/>
  <c r="A11395" i="3"/>
  <c r="A11394" i="3"/>
  <c r="A11393" i="3"/>
  <c r="A11392" i="3"/>
  <c r="A11391" i="3"/>
  <c r="A11390" i="3"/>
  <c r="A11389" i="3"/>
  <c r="A11388" i="3"/>
  <c r="A11387" i="3"/>
  <c r="A11386" i="3"/>
  <c r="A11385" i="3"/>
  <c r="A11384" i="3"/>
  <c r="A11383" i="3"/>
  <c r="A11382" i="3"/>
  <c r="A11381" i="3"/>
  <c r="A11380" i="3"/>
  <c r="A11379" i="3"/>
  <c r="A11378" i="3"/>
  <c r="A11377" i="3"/>
  <c r="A11376" i="3"/>
  <c r="A11375" i="3"/>
  <c r="A11374" i="3"/>
  <c r="A11373" i="3"/>
  <c r="A11372" i="3"/>
  <c r="A11371" i="3"/>
  <c r="A11370" i="3"/>
  <c r="A11369" i="3"/>
  <c r="A11368" i="3"/>
  <c r="A11367" i="3"/>
  <c r="A11366" i="3"/>
  <c r="A11365" i="3"/>
  <c r="A11364" i="3"/>
  <c r="A11363" i="3"/>
  <c r="A11362" i="3"/>
  <c r="A11361" i="3"/>
  <c r="A11360" i="3"/>
  <c r="A11359" i="3"/>
  <c r="A11358" i="3"/>
  <c r="A11357" i="3"/>
  <c r="A11356" i="3"/>
  <c r="A11355" i="3"/>
  <c r="A11354" i="3"/>
  <c r="A11353" i="3"/>
  <c r="A11352" i="3"/>
  <c r="A11351" i="3"/>
  <c r="A11350" i="3"/>
  <c r="A11349" i="3"/>
  <c r="A11348" i="3"/>
  <c r="A11347" i="3"/>
  <c r="A11346" i="3"/>
  <c r="A11345" i="3"/>
  <c r="A11344" i="3"/>
  <c r="A11343" i="3"/>
  <c r="A11342" i="3"/>
  <c r="A11341" i="3"/>
  <c r="A11340" i="3"/>
  <c r="A11339" i="3"/>
  <c r="A11338" i="3"/>
  <c r="A11337" i="3"/>
  <c r="A11336" i="3"/>
  <c r="A11335" i="3"/>
  <c r="A11334" i="3"/>
  <c r="A11333" i="3"/>
  <c r="A11332" i="3"/>
  <c r="A11331" i="3"/>
  <c r="A11330" i="3"/>
  <c r="A11329" i="3"/>
  <c r="A11328" i="3"/>
  <c r="A11327" i="3"/>
  <c r="A11326" i="3"/>
  <c r="A11325" i="3"/>
  <c r="A11324" i="3"/>
  <c r="A11323" i="3"/>
  <c r="A11322" i="3"/>
  <c r="A11321" i="3"/>
  <c r="A11320" i="3"/>
  <c r="A11319" i="3"/>
  <c r="A11318" i="3"/>
  <c r="A11317" i="3"/>
  <c r="A11316" i="3"/>
  <c r="A11315" i="3"/>
  <c r="A11314" i="3"/>
  <c r="A11313" i="3"/>
  <c r="A11312" i="3"/>
  <c r="A11311" i="3"/>
  <c r="A11310" i="3"/>
  <c r="A11309" i="3"/>
  <c r="A11308" i="3"/>
  <c r="A11307" i="3"/>
  <c r="A11306" i="3"/>
  <c r="A11305" i="3"/>
  <c r="A11304" i="3"/>
  <c r="A11303" i="3"/>
  <c r="A11302" i="3"/>
  <c r="A11301" i="3"/>
  <c r="A11300" i="3"/>
  <c r="A11299" i="3"/>
  <c r="A11298" i="3"/>
  <c r="A11297" i="3"/>
  <c r="A11296" i="3"/>
  <c r="A11295" i="3"/>
  <c r="A11294" i="3"/>
  <c r="A11293" i="3"/>
  <c r="A11292" i="3"/>
  <c r="A11291" i="3"/>
  <c r="A11290" i="3"/>
  <c r="A11289" i="3"/>
  <c r="A11288" i="3"/>
  <c r="A11287" i="3"/>
  <c r="A11286" i="3"/>
  <c r="A11285" i="3"/>
  <c r="A11284" i="3"/>
  <c r="A11283" i="3"/>
  <c r="A11282" i="3"/>
  <c r="A11281" i="3"/>
  <c r="A11280" i="3"/>
  <c r="A11279" i="3"/>
  <c r="A11278" i="3"/>
  <c r="A11277" i="3"/>
  <c r="A11276" i="3"/>
  <c r="A11275" i="3"/>
  <c r="A11274" i="3"/>
  <c r="A11273" i="3"/>
  <c r="A11272" i="3"/>
  <c r="A11271" i="3"/>
  <c r="A11270" i="3"/>
  <c r="A11269" i="3"/>
  <c r="A11268" i="3"/>
  <c r="A11267" i="3"/>
  <c r="A11266" i="3"/>
  <c r="A11265" i="3"/>
  <c r="A11264" i="3"/>
  <c r="A11263" i="3"/>
  <c r="A11262" i="3"/>
  <c r="A11261" i="3"/>
  <c r="A11260" i="3"/>
  <c r="A11259" i="3"/>
  <c r="A11258" i="3"/>
  <c r="A11257" i="3"/>
  <c r="A11256" i="3"/>
  <c r="A11255" i="3"/>
  <c r="A11254" i="3"/>
  <c r="A11253" i="3"/>
  <c r="A11252" i="3"/>
  <c r="A11251" i="3"/>
  <c r="A11250" i="3"/>
  <c r="A11249" i="3"/>
  <c r="A11248" i="3"/>
  <c r="A11247" i="3"/>
  <c r="A11246" i="3"/>
  <c r="A11245" i="3"/>
  <c r="A11244" i="3"/>
  <c r="A11243" i="3"/>
  <c r="A11242" i="3"/>
  <c r="A11241" i="3"/>
  <c r="A11240" i="3"/>
  <c r="A11239" i="3"/>
  <c r="A11238" i="3"/>
  <c r="A11237" i="3"/>
  <c r="A11236" i="3"/>
  <c r="A11235" i="3"/>
  <c r="A11234" i="3"/>
  <c r="A11233" i="3"/>
  <c r="A11232" i="3"/>
  <c r="A11231" i="3"/>
  <c r="A11230" i="3"/>
  <c r="A11229" i="3"/>
  <c r="A11228" i="3"/>
  <c r="A11227" i="3"/>
  <c r="A11226" i="3"/>
  <c r="A11225" i="3"/>
  <c r="A11224" i="3"/>
  <c r="A11223" i="3"/>
  <c r="A11222" i="3"/>
  <c r="A11221" i="3"/>
  <c r="A11220" i="3"/>
  <c r="A11219" i="3"/>
  <c r="A11218" i="3"/>
  <c r="A11217" i="3"/>
  <c r="A11216" i="3"/>
  <c r="A11215" i="3"/>
  <c r="A11214" i="3"/>
  <c r="A11213" i="3"/>
  <c r="A11212" i="3"/>
  <c r="A11211" i="3"/>
  <c r="A11210" i="3"/>
  <c r="A11209" i="3"/>
  <c r="A11208" i="3"/>
  <c r="A11207" i="3"/>
  <c r="A11206" i="3"/>
  <c r="A11205" i="3"/>
  <c r="A11204" i="3"/>
  <c r="A11203" i="3"/>
  <c r="A11202" i="3"/>
  <c r="A11201" i="3"/>
  <c r="A11200" i="3"/>
  <c r="A11199" i="3"/>
  <c r="A11198" i="3"/>
  <c r="A11197" i="3"/>
  <c r="A11196" i="3"/>
  <c r="A11195" i="3"/>
  <c r="A11194" i="3"/>
  <c r="A11193" i="3"/>
  <c r="A11192" i="3"/>
  <c r="A11191" i="3"/>
  <c r="A11190" i="3"/>
  <c r="A11189" i="3"/>
  <c r="A11188" i="3"/>
  <c r="A11187" i="3"/>
  <c r="A11186" i="3"/>
  <c r="A11185" i="3"/>
  <c r="A11184" i="3"/>
  <c r="A11183" i="3"/>
  <c r="A11182" i="3"/>
  <c r="A11181" i="3"/>
  <c r="A11180" i="3"/>
  <c r="A11179" i="3"/>
  <c r="A11178" i="3"/>
  <c r="A11177" i="3"/>
  <c r="A11176" i="3"/>
  <c r="A11175" i="3"/>
  <c r="A11174" i="3"/>
  <c r="A11173" i="3"/>
  <c r="A11172" i="3"/>
  <c r="A11171" i="3"/>
  <c r="A11170" i="3"/>
  <c r="A11169" i="3"/>
  <c r="A11168" i="3"/>
  <c r="A11167" i="3"/>
  <c r="A11166" i="3"/>
  <c r="A11165" i="3"/>
  <c r="A11164" i="3"/>
  <c r="A11163" i="3"/>
  <c r="A11162" i="3"/>
  <c r="A11161" i="3"/>
  <c r="A11160" i="3"/>
  <c r="A11159" i="3"/>
  <c r="A11158" i="3"/>
  <c r="A11157" i="3"/>
  <c r="A11156" i="3"/>
  <c r="A11155" i="3"/>
  <c r="A11154" i="3"/>
  <c r="A11153" i="3"/>
  <c r="A11152" i="3"/>
  <c r="A11151" i="3"/>
  <c r="A11150" i="3"/>
  <c r="A11149" i="3"/>
  <c r="A11148" i="3"/>
  <c r="A11147" i="3"/>
  <c r="A11146" i="3"/>
  <c r="A11145" i="3"/>
  <c r="A11144" i="3"/>
  <c r="A11143" i="3"/>
  <c r="A11142" i="3"/>
  <c r="A11141" i="3"/>
  <c r="A11140" i="3"/>
  <c r="A11139" i="3"/>
  <c r="A11138" i="3"/>
  <c r="A11137" i="3"/>
  <c r="A11136" i="3"/>
  <c r="A11135" i="3"/>
  <c r="A11134" i="3"/>
  <c r="A11133" i="3"/>
  <c r="A11132" i="3"/>
  <c r="A11131" i="3"/>
  <c r="A11130" i="3"/>
  <c r="A11129" i="3"/>
  <c r="A11128" i="3"/>
  <c r="A11127" i="3"/>
  <c r="A11126" i="3"/>
  <c r="A11125" i="3"/>
  <c r="A11124" i="3"/>
  <c r="A11123" i="3"/>
  <c r="A11122" i="3"/>
  <c r="A11121" i="3"/>
  <c r="A11120" i="3"/>
  <c r="A11119" i="3"/>
  <c r="A11118" i="3"/>
  <c r="A11117" i="3"/>
  <c r="A11116" i="3"/>
  <c r="A11115" i="3"/>
  <c r="A11114" i="3"/>
  <c r="A11113" i="3"/>
  <c r="A11112" i="3"/>
  <c r="A11111" i="3"/>
  <c r="A11110" i="3"/>
  <c r="A11109" i="3"/>
  <c r="A11108" i="3"/>
  <c r="A11107" i="3"/>
  <c r="A11106" i="3"/>
  <c r="A11105" i="3"/>
  <c r="A11104" i="3"/>
  <c r="A11103" i="3"/>
  <c r="A11102" i="3"/>
  <c r="A11101" i="3"/>
  <c r="A11100" i="3"/>
  <c r="A11099" i="3"/>
  <c r="A11098" i="3"/>
  <c r="A11097" i="3"/>
  <c r="A11096" i="3"/>
  <c r="A11095" i="3"/>
  <c r="A11094" i="3"/>
  <c r="A11093" i="3"/>
  <c r="A11092" i="3"/>
  <c r="A11091" i="3"/>
  <c r="A11090" i="3"/>
  <c r="A11089" i="3"/>
  <c r="A11088" i="3"/>
  <c r="A11087" i="3"/>
  <c r="A11086" i="3"/>
  <c r="A11085" i="3"/>
  <c r="A11084" i="3"/>
  <c r="A11083" i="3"/>
  <c r="A11082" i="3"/>
  <c r="A11081" i="3"/>
  <c r="A11080" i="3"/>
  <c r="A11079" i="3"/>
  <c r="A11078" i="3"/>
  <c r="A11077" i="3"/>
  <c r="A11076" i="3"/>
  <c r="A11075" i="3"/>
  <c r="A11074" i="3"/>
  <c r="A11073" i="3"/>
  <c r="A11072" i="3"/>
  <c r="A11071" i="3"/>
  <c r="A11070" i="3"/>
  <c r="A11069" i="3"/>
  <c r="A11068" i="3"/>
  <c r="A11067" i="3"/>
  <c r="A11066" i="3"/>
  <c r="A11065" i="3"/>
  <c r="A11064" i="3"/>
  <c r="A11063" i="3"/>
  <c r="A11062" i="3"/>
  <c r="A11061" i="3"/>
  <c r="A11060" i="3"/>
  <c r="A11059" i="3"/>
  <c r="A11058" i="3"/>
  <c r="A11057" i="3"/>
  <c r="A11056" i="3"/>
  <c r="A11055" i="3"/>
  <c r="A11054" i="3"/>
  <c r="A11053" i="3"/>
  <c r="A11052" i="3"/>
  <c r="A11051" i="3"/>
  <c r="A11050" i="3"/>
  <c r="A11049" i="3"/>
  <c r="A11048" i="3"/>
  <c r="A11047" i="3"/>
  <c r="A11046" i="3"/>
  <c r="A11045" i="3"/>
  <c r="A11044" i="3"/>
  <c r="A11043" i="3"/>
  <c r="A11042" i="3"/>
  <c r="A11041" i="3"/>
  <c r="A11040" i="3"/>
  <c r="A11039" i="3"/>
  <c r="A11038" i="3"/>
  <c r="A11037" i="3"/>
  <c r="A11036" i="3"/>
  <c r="A11035" i="3"/>
  <c r="A11034" i="3"/>
  <c r="A11033" i="3"/>
  <c r="A11032" i="3"/>
  <c r="A11031" i="3"/>
  <c r="A11030" i="3"/>
  <c r="A11029" i="3"/>
  <c r="A11028" i="3"/>
  <c r="A11027" i="3"/>
  <c r="A11026" i="3"/>
  <c r="A11025" i="3"/>
  <c r="A11024" i="3"/>
  <c r="A11023" i="3"/>
  <c r="A11022" i="3"/>
  <c r="A11021" i="3"/>
  <c r="A11020" i="3"/>
  <c r="A11019" i="3"/>
  <c r="A11018" i="3"/>
  <c r="A11017" i="3"/>
  <c r="A11016" i="3"/>
  <c r="A11015" i="3"/>
  <c r="A11014" i="3"/>
  <c r="A11013" i="3"/>
  <c r="A11012" i="3"/>
  <c r="A11011" i="3"/>
  <c r="A11010" i="3"/>
  <c r="A11009" i="3"/>
  <c r="A11008" i="3"/>
  <c r="A11007" i="3"/>
  <c r="A11006" i="3"/>
  <c r="A11005" i="3"/>
  <c r="A11004" i="3"/>
  <c r="A11003" i="3"/>
  <c r="A11002" i="3"/>
  <c r="A11001" i="3"/>
  <c r="A11000" i="3"/>
  <c r="A10999" i="3"/>
  <c r="A10998" i="3"/>
  <c r="A10997" i="3"/>
  <c r="A10996" i="3"/>
  <c r="A10995" i="3"/>
  <c r="A10994" i="3"/>
  <c r="A10993" i="3"/>
  <c r="A10992" i="3"/>
  <c r="A10991" i="3"/>
  <c r="A10990" i="3"/>
  <c r="A10989" i="3"/>
  <c r="A10988" i="3"/>
  <c r="A10987" i="3"/>
  <c r="A10986" i="3"/>
  <c r="A10985" i="3"/>
  <c r="A10984" i="3"/>
  <c r="A10983" i="3"/>
  <c r="A10982" i="3"/>
  <c r="A10981" i="3"/>
  <c r="A10980" i="3"/>
  <c r="A10979" i="3"/>
  <c r="A10978" i="3"/>
  <c r="A10977" i="3"/>
  <c r="A10976" i="3"/>
  <c r="A10975" i="3"/>
  <c r="A10974" i="3"/>
  <c r="A10973" i="3"/>
  <c r="A10972" i="3"/>
  <c r="A10971" i="3"/>
  <c r="A10970" i="3"/>
  <c r="A10969" i="3"/>
  <c r="A10968" i="3"/>
  <c r="A10967" i="3"/>
  <c r="A10966" i="3"/>
  <c r="A10965" i="3"/>
  <c r="A10964" i="3"/>
  <c r="A10963" i="3"/>
  <c r="A10962" i="3"/>
  <c r="A10961" i="3"/>
  <c r="A10960" i="3"/>
  <c r="A10959" i="3"/>
  <c r="A10958" i="3"/>
  <c r="A10957" i="3"/>
  <c r="A10956" i="3"/>
  <c r="A10955" i="3"/>
  <c r="A10954" i="3"/>
  <c r="A10953" i="3"/>
  <c r="A10952" i="3"/>
  <c r="A10951" i="3"/>
  <c r="A10950" i="3"/>
  <c r="A10949" i="3"/>
  <c r="A10948" i="3"/>
  <c r="A10947" i="3"/>
  <c r="A10946" i="3"/>
  <c r="A10945" i="3"/>
  <c r="A10944" i="3"/>
  <c r="A10943" i="3"/>
  <c r="A10942" i="3"/>
  <c r="A10941" i="3"/>
  <c r="A10940" i="3"/>
  <c r="A10939" i="3"/>
  <c r="A10938" i="3"/>
  <c r="A10937" i="3"/>
  <c r="A10936" i="3"/>
  <c r="A10935" i="3"/>
  <c r="A10934" i="3"/>
  <c r="A10933" i="3"/>
  <c r="A10932" i="3"/>
  <c r="A10931" i="3"/>
  <c r="A10930" i="3"/>
  <c r="A10929" i="3"/>
  <c r="A10928" i="3"/>
  <c r="A10927" i="3"/>
  <c r="A10926" i="3"/>
  <c r="A10925" i="3"/>
  <c r="A10924" i="3"/>
  <c r="A10923" i="3"/>
  <c r="A10922" i="3"/>
  <c r="A10921" i="3"/>
  <c r="A10920" i="3"/>
  <c r="A10919" i="3"/>
  <c r="A10918" i="3"/>
  <c r="A10917" i="3"/>
  <c r="A10916" i="3"/>
  <c r="A10915" i="3"/>
  <c r="A10914" i="3"/>
  <c r="A10913" i="3"/>
  <c r="A10912" i="3"/>
  <c r="A10911" i="3"/>
  <c r="A10910" i="3"/>
  <c r="A10909" i="3"/>
  <c r="A10908" i="3"/>
  <c r="A10907" i="3"/>
  <c r="A10906" i="3"/>
  <c r="A10905" i="3"/>
  <c r="A10904" i="3"/>
  <c r="A10903" i="3"/>
  <c r="A10902" i="3"/>
  <c r="A10901" i="3"/>
  <c r="A10900" i="3"/>
  <c r="A10899" i="3"/>
  <c r="A10898" i="3"/>
  <c r="A10897" i="3"/>
  <c r="A10896" i="3"/>
  <c r="A10895" i="3"/>
  <c r="A10894" i="3"/>
  <c r="A10893" i="3"/>
  <c r="A10892" i="3"/>
  <c r="A10891" i="3"/>
  <c r="A10890" i="3"/>
  <c r="A10889" i="3"/>
  <c r="A10888" i="3"/>
  <c r="A10887" i="3"/>
  <c r="A10886" i="3"/>
  <c r="A10885" i="3"/>
  <c r="A10884" i="3"/>
  <c r="A10883" i="3"/>
  <c r="A10882" i="3"/>
  <c r="A10881" i="3"/>
  <c r="A10880" i="3"/>
  <c r="A10879" i="3"/>
  <c r="A10878" i="3"/>
  <c r="A10877" i="3"/>
  <c r="A10876" i="3"/>
  <c r="A10875" i="3"/>
  <c r="A10874" i="3"/>
  <c r="A10873" i="3"/>
  <c r="A10872" i="3"/>
  <c r="A10871" i="3"/>
  <c r="A10870" i="3"/>
  <c r="A10869" i="3"/>
  <c r="A10868" i="3"/>
  <c r="A10867" i="3"/>
  <c r="A10866" i="3"/>
  <c r="A10865" i="3"/>
  <c r="A10864" i="3"/>
  <c r="A10863" i="3"/>
  <c r="A10862" i="3"/>
  <c r="A10861" i="3"/>
  <c r="A10860" i="3"/>
  <c r="A10859" i="3"/>
  <c r="A10858" i="3"/>
  <c r="A10857" i="3"/>
  <c r="A10856" i="3"/>
  <c r="A10855" i="3"/>
  <c r="A10854" i="3"/>
  <c r="A10853" i="3"/>
  <c r="A10852" i="3"/>
  <c r="A10851" i="3"/>
  <c r="A10850" i="3"/>
  <c r="A10849" i="3"/>
  <c r="A10848" i="3"/>
  <c r="A10847" i="3"/>
  <c r="A10846" i="3"/>
  <c r="A10845" i="3"/>
  <c r="A10844" i="3"/>
  <c r="A10843" i="3"/>
  <c r="A10842" i="3"/>
  <c r="A10841" i="3"/>
  <c r="A10840" i="3"/>
  <c r="A10839" i="3"/>
  <c r="A10838" i="3"/>
  <c r="A10837" i="3"/>
  <c r="A10836" i="3"/>
  <c r="A10835" i="3"/>
  <c r="A10834" i="3"/>
  <c r="A10833" i="3"/>
  <c r="A10832" i="3"/>
  <c r="A10831" i="3"/>
  <c r="A10830" i="3"/>
  <c r="A10829" i="3"/>
  <c r="A10828" i="3"/>
  <c r="A10827" i="3"/>
  <c r="A10826" i="3"/>
  <c r="A10825" i="3"/>
  <c r="A10824" i="3"/>
  <c r="A10823" i="3"/>
  <c r="A10822" i="3"/>
  <c r="A10821" i="3"/>
  <c r="A10820" i="3"/>
  <c r="A10819" i="3"/>
  <c r="A10818" i="3"/>
  <c r="A10817" i="3"/>
  <c r="A10816" i="3"/>
  <c r="A10815" i="3"/>
  <c r="A10814" i="3"/>
  <c r="A10813" i="3"/>
  <c r="A10812" i="3"/>
  <c r="A10811" i="3"/>
  <c r="A10810" i="3"/>
  <c r="A10809" i="3"/>
  <c r="A10808" i="3"/>
  <c r="A10807" i="3"/>
  <c r="A10806" i="3"/>
  <c r="A10805" i="3"/>
  <c r="A10804" i="3"/>
  <c r="A10803" i="3"/>
  <c r="A10802" i="3"/>
  <c r="A10801" i="3"/>
  <c r="A10800" i="3"/>
  <c r="A10799" i="3"/>
  <c r="A10798" i="3"/>
  <c r="A10797" i="3"/>
  <c r="A10796" i="3"/>
  <c r="A10795" i="3"/>
  <c r="A10794" i="3"/>
  <c r="A10793" i="3"/>
  <c r="A10792" i="3"/>
  <c r="A10791" i="3"/>
  <c r="A10790" i="3"/>
  <c r="A10789" i="3"/>
  <c r="A10788" i="3"/>
  <c r="A10787" i="3"/>
  <c r="A10786" i="3"/>
  <c r="A10785" i="3"/>
  <c r="A10784" i="3"/>
  <c r="A10783" i="3"/>
  <c r="A10782" i="3"/>
  <c r="A10781" i="3"/>
  <c r="A10780" i="3"/>
  <c r="A10779" i="3"/>
  <c r="A10778" i="3"/>
  <c r="A10777" i="3"/>
  <c r="A10776" i="3"/>
  <c r="A10775" i="3"/>
  <c r="A10774" i="3"/>
  <c r="A10773" i="3"/>
  <c r="A10772" i="3"/>
  <c r="A10771" i="3"/>
  <c r="A10770" i="3"/>
  <c r="A10769" i="3"/>
  <c r="A10768" i="3"/>
  <c r="A10767" i="3"/>
  <c r="A10766" i="3"/>
  <c r="A10765" i="3"/>
  <c r="A10764" i="3"/>
  <c r="A10763" i="3"/>
  <c r="A10762" i="3"/>
  <c r="A10761" i="3"/>
  <c r="A10760" i="3"/>
  <c r="A10759" i="3"/>
  <c r="A10758" i="3"/>
  <c r="A10757" i="3"/>
  <c r="A10756" i="3"/>
  <c r="A10755" i="3"/>
  <c r="A10754" i="3"/>
  <c r="A10753" i="3"/>
  <c r="A10752" i="3"/>
  <c r="A10751" i="3"/>
  <c r="A10750" i="3"/>
  <c r="A10749" i="3"/>
  <c r="A10748" i="3"/>
  <c r="A10747" i="3"/>
  <c r="A10746" i="3"/>
  <c r="A10745" i="3"/>
  <c r="A10744" i="3"/>
  <c r="A10743" i="3"/>
  <c r="A10742" i="3"/>
  <c r="A10741" i="3"/>
  <c r="A10740" i="3"/>
  <c r="A10739" i="3"/>
  <c r="A10738" i="3"/>
  <c r="A10737" i="3"/>
  <c r="A10736" i="3"/>
  <c r="A10735" i="3"/>
  <c r="A10734" i="3"/>
  <c r="A10733" i="3"/>
  <c r="A10732" i="3"/>
  <c r="A10731" i="3"/>
  <c r="A10730" i="3"/>
  <c r="A10729" i="3"/>
  <c r="A10728" i="3"/>
  <c r="A10727" i="3"/>
  <c r="A10726" i="3"/>
  <c r="A10725" i="3"/>
  <c r="A10724" i="3"/>
  <c r="A10723" i="3"/>
  <c r="A10722" i="3"/>
  <c r="A10721" i="3"/>
  <c r="A10720" i="3"/>
  <c r="A10719" i="3"/>
  <c r="A10718" i="3"/>
  <c r="A10717" i="3"/>
  <c r="A10716" i="3"/>
  <c r="A10715" i="3"/>
  <c r="A10714" i="3"/>
  <c r="A10713" i="3"/>
  <c r="A10712" i="3"/>
  <c r="A10711" i="3"/>
  <c r="A10710" i="3"/>
  <c r="A10709" i="3"/>
  <c r="A10708" i="3"/>
  <c r="A10707" i="3"/>
  <c r="A10706" i="3"/>
  <c r="A10705" i="3"/>
  <c r="A10704" i="3"/>
  <c r="A10703" i="3"/>
  <c r="A10702" i="3"/>
  <c r="A10701" i="3"/>
  <c r="A10700" i="3"/>
  <c r="A10699" i="3"/>
  <c r="A10698" i="3"/>
  <c r="A10697" i="3"/>
  <c r="A10696" i="3"/>
  <c r="A10695" i="3"/>
  <c r="A10694" i="3"/>
  <c r="A10693" i="3"/>
  <c r="A10692" i="3"/>
  <c r="A10691" i="3"/>
  <c r="A10690" i="3"/>
  <c r="A10689" i="3"/>
  <c r="A10688" i="3"/>
  <c r="A10687" i="3"/>
  <c r="A10686" i="3"/>
  <c r="A10685" i="3"/>
  <c r="A10684" i="3"/>
  <c r="A10683" i="3"/>
  <c r="A10682" i="3"/>
  <c r="A10681" i="3"/>
  <c r="A10680" i="3"/>
  <c r="A10679" i="3"/>
  <c r="A10678" i="3"/>
  <c r="A10677" i="3"/>
  <c r="A10676" i="3"/>
  <c r="A10675" i="3"/>
  <c r="A10674" i="3"/>
  <c r="A10673" i="3"/>
  <c r="A10672" i="3"/>
  <c r="A10671" i="3"/>
  <c r="A10670" i="3"/>
  <c r="A10669" i="3"/>
  <c r="A10668" i="3"/>
  <c r="A10667" i="3"/>
  <c r="A10666" i="3"/>
  <c r="A10665" i="3"/>
  <c r="A10664" i="3"/>
  <c r="A10663" i="3"/>
  <c r="A10662" i="3"/>
  <c r="A10661" i="3"/>
  <c r="A10660" i="3"/>
  <c r="A10659" i="3"/>
  <c r="A10658" i="3"/>
  <c r="A10657" i="3"/>
  <c r="A10656" i="3"/>
  <c r="A10655" i="3"/>
  <c r="A10654" i="3"/>
  <c r="A10653" i="3"/>
  <c r="A10652" i="3"/>
  <c r="A10651" i="3"/>
  <c r="A10650" i="3"/>
  <c r="A10649" i="3"/>
  <c r="A10648" i="3"/>
  <c r="A10647" i="3"/>
  <c r="A10646" i="3"/>
  <c r="A10645" i="3"/>
  <c r="A10644" i="3"/>
  <c r="A10643" i="3"/>
  <c r="A10642" i="3"/>
  <c r="A10641" i="3"/>
  <c r="A10640" i="3"/>
  <c r="A10639" i="3"/>
  <c r="A10638" i="3"/>
  <c r="A10637" i="3"/>
  <c r="A10636" i="3"/>
  <c r="A10635" i="3"/>
  <c r="A10634" i="3"/>
  <c r="A10633" i="3"/>
  <c r="A10632" i="3"/>
  <c r="A10631" i="3"/>
  <c r="A10630" i="3"/>
  <c r="A10629" i="3"/>
  <c r="A10628" i="3"/>
  <c r="A10627" i="3"/>
  <c r="A10626" i="3"/>
  <c r="A10625" i="3"/>
  <c r="A10624" i="3"/>
  <c r="A10623" i="3"/>
  <c r="A10622" i="3"/>
  <c r="A10621" i="3"/>
  <c r="A10620" i="3"/>
  <c r="A10619" i="3"/>
  <c r="A10618" i="3"/>
  <c r="A10617" i="3"/>
  <c r="A10616" i="3"/>
  <c r="A10615" i="3"/>
  <c r="A10614" i="3"/>
  <c r="A10613" i="3"/>
  <c r="A10612" i="3"/>
  <c r="A10611" i="3"/>
  <c r="A10610" i="3"/>
  <c r="A10609" i="3"/>
  <c r="A10608" i="3"/>
  <c r="A10607" i="3"/>
  <c r="A10606" i="3"/>
  <c r="A10605" i="3"/>
  <c r="A10604" i="3"/>
  <c r="A10603" i="3"/>
  <c r="A10602" i="3"/>
  <c r="A10601" i="3"/>
  <c r="A10600" i="3"/>
  <c r="A10599" i="3"/>
  <c r="A10598" i="3"/>
  <c r="A10597" i="3"/>
  <c r="A10596" i="3"/>
  <c r="A10595" i="3"/>
  <c r="A10594" i="3"/>
  <c r="A10593" i="3"/>
  <c r="A10592" i="3"/>
  <c r="A10591" i="3"/>
  <c r="A10590" i="3"/>
  <c r="A10589" i="3"/>
  <c r="A10588" i="3"/>
  <c r="A10587" i="3"/>
  <c r="A10586" i="3"/>
  <c r="A10585" i="3"/>
  <c r="A10584" i="3"/>
  <c r="A10583" i="3"/>
  <c r="A10582" i="3"/>
  <c r="A10581" i="3"/>
  <c r="A10580" i="3"/>
  <c r="A10579" i="3"/>
  <c r="A10578" i="3"/>
  <c r="A10577" i="3"/>
  <c r="A10576" i="3"/>
  <c r="A10575" i="3"/>
  <c r="A10574" i="3"/>
  <c r="A10573" i="3"/>
  <c r="A10572" i="3"/>
  <c r="A10571" i="3"/>
  <c r="A10570" i="3"/>
  <c r="A10569" i="3"/>
  <c r="A10568" i="3"/>
  <c r="A10567" i="3"/>
  <c r="A10566" i="3"/>
  <c r="A10565" i="3"/>
  <c r="A10564" i="3"/>
  <c r="A10563" i="3"/>
  <c r="A10562" i="3"/>
  <c r="A10561" i="3"/>
  <c r="A10560" i="3"/>
  <c r="A10559" i="3"/>
  <c r="A10558" i="3"/>
  <c r="A10557" i="3"/>
  <c r="A10556" i="3"/>
  <c r="A10555" i="3"/>
  <c r="A10554" i="3"/>
  <c r="A10553" i="3"/>
  <c r="A10552" i="3"/>
  <c r="A10551" i="3"/>
  <c r="A10550" i="3"/>
  <c r="A10549" i="3"/>
  <c r="A10548" i="3"/>
  <c r="A10547" i="3"/>
  <c r="A10546" i="3"/>
  <c r="A10545" i="3"/>
  <c r="A10544" i="3"/>
  <c r="A10543" i="3"/>
  <c r="A10542" i="3"/>
  <c r="A10541" i="3"/>
  <c r="A10540" i="3"/>
  <c r="A10539" i="3"/>
  <c r="A10538" i="3"/>
  <c r="A10537" i="3"/>
  <c r="A10536" i="3"/>
  <c r="A10535" i="3"/>
  <c r="A10534" i="3"/>
  <c r="A10533" i="3"/>
  <c r="A10532" i="3"/>
  <c r="A10531" i="3"/>
  <c r="A10530" i="3"/>
  <c r="A10529" i="3"/>
  <c r="A10528" i="3"/>
  <c r="A10527" i="3"/>
  <c r="A10526" i="3"/>
  <c r="A10525" i="3"/>
  <c r="A10524" i="3"/>
  <c r="A10523" i="3"/>
  <c r="A10522" i="3"/>
  <c r="A10521" i="3"/>
  <c r="A10520" i="3"/>
  <c r="A10519" i="3"/>
  <c r="A10518" i="3"/>
  <c r="A10517" i="3"/>
  <c r="A10516" i="3"/>
  <c r="A10515" i="3"/>
  <c r="A10514" i="3"/>
  <c r="A10513" i="3"/>
  <c r="A10512" i="3"/>
  <c r="A10511" i="3"/>
  <c r="A10510" i="3"/>
  <c r="A10509" i="3"/>
  <c r="A10508" i="3"/>
  <c r="A10507" i="3"/>
  <c r="A10506" i="3"/>
  <c r="A10505" i="3"/>
  <c r="A10504" i="3"/>
  <c r="A10503" i="3"/>
  <c r="A10502" i="3"/>
  <c r="A10501" i="3"/>
  <c r="A10500" i="3"/>
  <c r="A10499" i="3"/>
  <c r="A10498" i="3"/>
  <c r="A10497" i="3"/>
  <c r="A10496" i="3"/>
  <c r="A10495" i="3"/>
  <c r="A10494" i="3"/>
  <c r="A10493" i="3"/>
  <c r="A10492" i="3"/>
  <c r="A10491" i="3"/>
  <c r="A10490" i="3"/>
  <c r="A10489" i="3"/>
  <c r="A10488" i="3"/>
  <c r="A10487" i="3"/>
  <c r="A10486" i="3"/>
  <c r="A10485" i="3"/>
  <c r="A10484" i="3"/>
  <c r="A10483" i="3"/>
  <c r="A10482" i="3"/>
  <c r="A10481" i="3"/>
  <c r="A10480" i="3"/>
  <c r="A10479" i="3"/>
  <c r="A10478" i="3"/>
  <c r="A10477" i="3"/>
  <c r="A10476" i="3"/>
  <c r="A10475" i="3"/>
  <c r="A10474" i="3"/>
  <c r="A10473" i="3"/>
  <c r="A10472" i="3"/>
  <c r="A10471" i="3"/>
  <c r="A10470" i="3"/>
  <c r="A10469" i="3"/>
  <c r="A10468" i="3"/>
  <c r="A10467" i="3"/>
  <c r="A10466" i="3"/>
  <c r="A10465" i="3"/>
  <c r="A10464" i="3"/>
  <c r="A10463" i="3"/>
  <c r="A10462" i="3"/>
  <c r="A10461" i="3"/>
  <c r="A10460" i="3"/>
  <c r="A10459" i="3"/>
  <c r="A10458" i="3"/>
  <c r="A10457" i="3"/>
  <c r="A10456" i="3"/>
  <c r="A10455" i="3"/>
  <c r="A10454" i="3"/>
  <c r="A10453" i="3"/>
  <c r="A10452" i="3"/>
  <c r="A10451" i="3"/>
  <c r="A10450" i="3"/>
  <c r="A10449" i="3"/>
  <c r="A10448" i="3"/>
  <c r="A10447" i="3"/>
  <c r="A10446" i="3"/>
  <c r="A10445" i="3"/>
  <c r="A10444" i="3"/>
  <c r="A10443" i="3"/>
  <c r="A10442" i="3"/>
  <c r="A10441" i="3"/>
  <c r="A10440" i="3"/>
  <c r="A10439" i="3"/>
  <c r="A10438" i="3"/>
  <c r="A10437" i="3"/>
  <c r="A10436" i="3"/>
  <c r="A10435" i="3"/>
  <c r="A10434" i="3"/>
  <c r="A10433" i="3"/>
  <c r="A10432" i="3"/>
  <c r="A10431" i="3"/>
  <c r="A10430" i="3"/>
  <c r="A10429" i="3"/>
  <c r="A10428" i="3"/>
  <c r="A10427" i="3"/>
  <c r="A10426" i="3"/>
  <c r="A10425" i="3"/>
  <c r="A10424" i="3"/>
  <c r="A10423" i="3"/>
  <c r="A10422" i="3"/>
  <c r="A10421" i="3"/>
  <c r="A10420" i="3"/>
  <c r="A10419" i="3"/>
  <c r="A10418" i="3"/>
  <c r="A10417" i="3"/>
  <c r="A10416" i="3"/>
  <c r="A10415" i="3"/>
  <c r="A10414" i="3"/>
  <c r="A10413" i="3"/>
  <c r="A10412" i="3"/>
  <c r="A10411" i="3"/>
  <c r="A10410" i="3"/>
  <c r="A10409" i="3"/>
  <c r="A10408" i="3"/>
  <c r="A10407" i="3"/>
  <c r="A10406" i="3"/>
  <c r="A10405" i="3"/>
  <c r="A10404" i="3"/>
  <c r="A10403" i="3"/>
  <c r="A10402" i="3"/>
  <c r="A10401" i="3"/>
  <c r="A10400" i="3"/>
  <c r="A10399" i="3"/>
  <c r="A10398" i="3"/>
  <c r="A10397" i="3"/>
  <c r="A10396" i="3"/>
  <c r="A10395" i="3"/>
  <c r="A10394" i="3"/>
  <c r="A10393" i="3"/>
  <c r="A10392" i="3"/>
  <c r="A10391" i="3"/>
  <c r="A10390" i="3"/>
  <c r="A10389" i="3"/>
  <c r="A10388" i="3"/>
  <c r="A10387" i="3"/>
  <c r="A10386" i="3"/>
  <c r="A10385" i="3"/>
  <c r="A10384" i="3"/>
  <c r="A10383" i="3"/>
  <c r="A10382" i="3"/>
  <c r="A10381" i="3"/>
  <c r="A10380" i="3"/>
  <c r="A10379" i="3"/>
  <c r="A10378" i="3"/>
  <c r="A10377" i="3"/>
  <c r="A10376" i="3"/>
  <c r="A10375" i="3"/>
  <c r="A10374" i="3"/>
  <c r="A10373" i="3"/>
  <c r="A10372" i="3"/>
  <c r="A10371" i="3"/>
  <c r="A10370" i="3"/>
  <c r="A10369" i="3"/>
  <c r="A10368" i="3"/>
  <c r="A10367" i="3"/>
  <c r="A10366" i="3"/>
  <c r="A10365" i="3"/>
  <c r="A10364" i="3"/>
  <c r="A10363" i="3"/>
  <c r="A10362" i="3"/>
  <c r="A10361" i="3"/>
  <c r="A10360" i="3"/>
  <c r="A10359" i="3"/>
  <c r="A10358" i="3"/>
  <c r="A10357" i="3"/>
  <c r="A10356" i="3"/>
  <c r="A10355" i="3"/>
  <c r="A10354" i="3"/>
  <c r="A10353" i="3"/>
  <c r="A10352" i="3"/>
  <c r="A10351" i="3"/>
  <c r="A10350" i="3"/>
  <c r="A10349" i="3"/>
  <c r="A10348" i="3"/>
  <c r="A10347" i="3"/>
  <c r="A10346" i="3"/>
  <c r="A10345" i="3"/>
  <c r="A10344" i="3"/>
  <c r="A10343" i="3"/>
  <c r="A10342" i="3"/>
  <c r="A10341" i="3"/>
  <c r="A10340" i="3"/>
  <c r="A10339" i="3"/>
  <c r="A10338" i="3"/>
  <c r="A10337" i="3"/>
  <c r="A10336" i="3"/>
  <c r="A10335" i="3"/>
  <c r="A10334" i="3"/>
  <c r="A10333" i="3"/>
  <c r="A10332" i="3"/>
  <c r="A10331" i="3"/>
  <c r="A10330" i="3"/>
  <c r="A10329" i="3"/>
  <c r="A10328" i="3"/>
  <c r="A10327" i="3"/>
  <c r="A10326" i="3"/>
  <c r="A10325" i="3"/>
  <c r="A10324" i="3"/>
  <c r="A10323" i="3"/>
  <c r="A10322" i="3"/>
  <c r="A10321" i="3"/>
  <c r="A10320" i="3"/>
  <c r="A10319" i="3"/>
  <c r="A10318" i="3"/>
  <c r="A10317" i="3"/>
  <c r="A10316" i="3"/>
  <c r="A10315" i="3"/>
  <c r="A10314" i="3"/>
  <c r="A10313" i="3"/>
  <c r="A10312" i="3"/>
  <c r="A10311" i="3"/>
  <c r="A10310" i="3"/>
  <c r="A10309" i="3"/>
  <c r="A10308" i="3"/>
  <c r="A10307" i="3"/>
  <c r="A10306" i="3"/>
  <c r="A10305" i="3"/>
  <c r="A10304" i="3"/>
  <c r="A10303" i="3"/>
  <c r="A10302" i="3"/>
  <c r="A10301" i="3"/>
  <c r="A10300" i="3"/>
  <c r="A10299" i="3"/>
  <c r="A10298" i="3"/>
  <c r="A10297" i="3"/>
  <c r="A10296" i="3"/>
  <c r="A10295" i="3"/>
  <c r="A10294" i="3"/>
  <c r="A10293" i="3"/>
  <c r="A10292" i="3"/>
  <c r="A10291" i="3"/>
  <c r="A10290" i="3"/>
  <c r="A10289" i="3"/>
  <c r="A10288" i="3"/>
  <c r="A10287" i="3"/>
  <c r="A10286" i="3"/>
  <c r="A10285" i="3"/>
  <c r="A10284" i="3"/>
  <c r="A10283" i="3"/>
  <c r="A10282" i="3"/>
  <c r="A10281" i="3"/>
  <c r="A10280" i="3"/>
  <c r="A10279" i="3"/>
  <c r="A10278" i="3"/>
  <c r="A10277" i="3"/>
  <c r="A10276" i="3"/>
  <c r="A10275" i="3"/>
  <c r="A10274" i="3"/>
  <c r="A10273" i="3"/>
  <c r="A10272" i="3"/>
  <c r="A10271" i="3"/>
  <c r="A10270" i="3"/>
  <c r="A10269" i="3"/>
  <c r="A10268" i="3"/>
  <c r="A10267" i="3"/>
  <c r="A10266" i="3"/>
  <c r="A10265" i="3"/>
  <c r="A10264" i="3"/>
  <c r="A10263" i="3"/>
  <c r="A10262" i="3"/>
  <c r="A10261" i="3"/>
  <c r="A10260" i="3"/>
  <c r="A10259" i="3"/>
  <c r="A10258" i="3"/>
  <c r="A10257" i="3"/>
  <c r="A10256" i="3"/>
  <c r="A10255" i="3"/>
  <c r="A10254" i="3"/>
  <c r="A10253" i="3"/>
  <c r="A10252" i="3"/>
  <c r="A10251" i="3"/>
  <c r="A10250" i="3"/>
  <c r="A10249" i="3"/>
  <c r="A10248" i="3"/>
  <c r="A10247" i="3"/>
  <c r="A10246" i="3"/>
  <c r="A10245" i="3"/>
  <c r="A10244" i="3"/>
  <c r="A10243" i="3"/>
  <c r="A10242" i="3"/>
  <c r="A10241" i="3"/>
  <c r="A10240" i="3"/>
  <c r="A10239" i="3"/>
  <c r="A10238" i="3"/>
  <c r="A10237" i="3"/>
  <c r="A10236" i="3"/>
  <c r="A10235" i="3"/>
  <c r="A10234" i="3"/>
  <c r="A10233" i="3"/>
  <c r="A10232" i="3"/>
  <c r="A10231" i="3"/>
  <c r="A10230" i="3"/>
  <c r="A10229" i="3"/>
  <c r="A10228" i="3"/>
  <c r="A10227" i="3"/>
  <c r="A10226" i="3"/>
  <c r="A10225" i="3"/>
  <c r="A10224" i="3"/>
  <c r="A10223" i="3"/>
  <c r="A10222" i="3"/>
  <c r="A10221" i="3"/>
  <c r="A10220" i="3"/>
  <c r="A10219" i="3"/>
  <c r="A10218" i="3"/>
  <c r="A10217" i="3"/>
  <c r="A10216" i="3"/>
  <c r="A10215" i="3"/>
  <c r="A10214" i="3"/>
  <c r="A10213" i="3"/>
  <c r="A10212" i="3"/>
  <c r="A10211" i="3"/>
  <c r="A10210" i="3"/>
  <c r="A10209" i="3"/>
  <c r="A10208" i="3"/>
  <c r="A10207" i="3"/>
  <c r="A10206" i="3"/>
  <c r="A10205" i="3"/>
  <c r="A10204" i="3"/>
  <c r="A10203" i="3"/>
  <c r="A10202" i="3"/>
  <c r="A10201" i="3"/>
  <c r="A10200" i="3"/>
  <c r="A10199" i="3"/>
  <c r="A10198" i="3"/>
  <c r="A10197" i="3"/>
  <c r="A10196" i="3"/>
  <c r="A10195" i="3"/>
  <c r="A10194" i="3"/>
  <c r="A10193" i="3"/>
  <c r="A10192" i="3"/>
  <c r="A10191" i="3"/>
  <c r="A10190" i="3"/>
  <c r="A10189" i="3"/>
  <c r="A10188" i="3"/>
  <c r="A10187" i="3"/>
  <c r="A10186" i="3"/>
  <c r="A10185" i="3"/>
  <c r="A10184" i="3"/>
  <c r="A10183" i="3"/>
  <c r="A10182" i="3"/>
  <c r="A10181" i="3"/>
  <c r="A10180" i="3"/>
  <c r="A10179" i="3"/>
  <c r="A10178" i="3"/>
  <c r="A10177" i="3"/>
  <c r="A10176" i="3"/>
  <c r="A10175" i="3"/>
  <c r="A10174" i="3"/>
  <c r="A10173" i="3"/>
  <c r="A10172" i="3"/>
  <c r="A10171" i="3"/>
  <c r="A10170" i="3"/>
  <c r="A10169" i="3"/>
  <c r="A10168" i="3"/>
  <c r="A10167" i="3"/>
  <c r="A10166" i="3"/>
  <c r="A10165" i="3"/>
  <c r="A10164" i="3"/>
  <c r="A10163" i="3"/>
  <c r="A10162" i="3"/>
  <c r="A10161" i="3"/>
  <c r="A10160" i="3"/>
  <c r="A10159" i="3"/>
  <c r="A10158" i="3"/>
  <c r="A10157" i="3"/>
  <c r="A10156" i="3"/>
  <c r="A10155" i="3"/>
  <c r="A10154" i="3"/>
  <c r="A10153" i="3"/>
  <c r="A10152" i="3"/>
  <c r="A10151" i="3"/>
  <c r="A10150" i="3"/>
  <c r="A10149" i="3"/>
  <c r="A10148" i="3"/>
  <c r="A10147" i="3"/>
  <c r="A10146" i="3"/>
  <c r="A10145" i="3"/>
  <c r="A10144" i="3"/>
  <c r="A10143" i="3"/>
  <c r="A10142" i="3"/>
  <c r="A10141" i="3"/>
  <c r="A10140" i="3"/>
  <c r="A10139" i="3"/>
  <c r="A10138" i="3"/>
  <c r="A10137" i="3"/>
  <c r="A10136" i="3"/>
  <c r="A10135" i="3"/>
  <c r="A10134" i="3"/>
  <c r="A10133" i="3"/>
  <c r="A10132" i="3"/>
  <c r="A10131" i="3"/>
  <c r="A10130" i="3"/>
  <c r="A10129" i="3"/>
  <c r="A10128" i="3"/>
  <c r="A10127" i="3"/>
  <c r="A10126" i="3"/>
  <c r="A10125" i="3"/>
  <c r="A10124" i="3"/>
  <c r="A10123" i="3"/>
  <c r="A10122" i="3"/>
  <c r="A10121" i="3"/>
  <c r="A10120" i="3"/>
  <c r="A10119" i="3"/>
  <c r="A10118" i="3"/>
  <c r="A10117" i="3"/>
  <c r="A10116" i="3"/>
  <c r="A10115" i="3"/>
  <c r="A10114" i="3"/>
  <c r="A10113" i="3"/>
  <c r="A10112" i="3"/>
  <c r="A10111" i="3"/>
  <c r="A10110" i="3"/>
  <c r="A10109" i="3"/>
  <c r="A10108" i="3"/>
  <c r="A10107" i="3"/>
  <c r="A10106" i="3"/>
  <c r="A10105" i="3"/>
  <c r="A10104" i="3"/>
  <c r="A10103" i="3"/>
  <c r="A10102" i="3"/>
  <c r="A10101" i="3"/>
  <c r="A10100" i="3"/>
  <c r="A10099" i="3"/>
  <c r="A10098" i="3"/>
  <c r="A10097" i="3"/>
  <c r="A10096" i="3"/>
  <c r="A10095" i="3"/>
  <c r="A10094" i="3"/>
  <c r="A10093" i="3"/>
  <c r="A10092" i="3"/>
  <c r="A10091" i="3"/>
  <c r="A10090" i="3"/>
  <c r="A10089" i="3"/>
  <c r="A10088" i="3"/>
  <c r="A10087" i="3"/>
  <c r="A10086" i="3"/>
  <c r="A10085" i="3"/>
  <c r="A10084" i="3"/>
  <c r="A10083" i="3"/>
  <c r="A10082" i="3"/>
  <c r="A10081" i="3"/>
  <c r="A10080" i="3"/>
  <c r="A10079" i="3"/>
  <c r="A10078" i="3"/>
  <c r="A10077" i="3"/>
  <c r="A10076" i="3"/>
  <c r="A10075" i="3"/>
  <c r="A10074" i="3"/>
  <c r="A10073" i="3"/>
  <c r="A10072" i="3"/>
  <c r="A10071" i="3"/>
  <c r="A10070" i="3"/>
  <c r="A10069" i="3"/>
  <c r="A10068" i="3"/>
  <c r="A10067" i="3"/>
  <c r="A10066" i="3"/>
  <c r="A10065" i="3"/>
  <c r="A10064" i="3"/>
  <c r="A10063" i="3"/>
  <c r="A10062" i="3"/>
  <c r="A10061" i="3"/>
  <c r="A10060" i="3"/>
  <c r="A10059" i="3"/>
  <c r="A10058" i="3"/>
  <c r="A10057" i="3"/>
  <c r="A10056" i="3"/>
  <c r="A10055" i="3"/>
  <c r="A10054" i="3"/>
  <c r="A10053" i="3"/>
  <c r="A10052" i="3"/>
  <c r="A10051" i="3"/>
  <c r="A10050" i="3"/>
  <c r="A10049" i="3"/>
  <c r="A10048" i="3"/>
  <c r="A10047" i="3"/>
  <c r="A10046" i="3"/>
  <c r="A10045" i="3"/>
  <c r="A10044" i="3"/>
  <c r="A10043" i="3"/>
  <c r="A10042" i="3"/>
  <c r="A10041" i="3"/>
  <c r="A10040" i="3"/>
  <c r="A10039" i="3"/>
  <c r="A10038" i="3"/>
  <c r="A10037" i="3"/>
  <c r="A10036" i="3"/>
  <c r="A10035" i="3"/>
  <c r="A10034" i="3"/>
  <c r="A10033" i="3"/>
  <c r="A10032" i="3"/>
  <c r="A10031" i="3"/>
  <c r="A10030" i="3"/>
  <c r="A10029" i="3"/>
  <c r="A10028" i="3"/>
  <c r="A10027" i="3"/>
  <c r="A10026" i="3"/>
  <c r="A10025" i="3"/>
  <c r="A10024" i="3"/>
  <c r="A10023" i="3"/>
  <c r="A10022" i="3"/>
  <c r="A10021" i="3"/>
  <c r="A10020" i="3"/>
  <c r="A10019" i="3"/>
  <c r="A10018" i="3"/>
  <c r="A10017" i="3"/>
  <c r="A10016" i="3"/>
  <c r="A10015" i="3"/>
  <c r="A10014" i="3"/>
  <c r="A10013" i="3"/>
  <c r="A10012" i="3"/>
  <c r="A10011" i="3"/>
  <c r="A10010" i="3"/>
  <c r="A10009" i="3"/>
  <c r="A10008" i="3"/>
  <c r="A10007" i="3"/>
  <c r="A10006" i="3"/>
  <c r="A10005" i="3"/>
  <c r="A10004" i="3"/>
  <c r="A10003" i="3"/>
  <c r="A10002" i="3"/>
  <c r="A10001" i="3"/>
  <c r="A10000" i="3"/>
  <c r="A9999" i="3"/>
  <c r="A9998" i="3"/>
  <c r="A9997" i="3"/>
  <c r="A9996" i="3"/>
  <c r="A9995" i="3"/>
  <c r="A9994" i="3"/>
  <c r="A9993" i="3"/>
  <c r="A9992" i="3"/>
  <c r="A9991" i="3"/>
  <c r="A9990" i="3"/>
  <c r="A9989" i="3"/>
  <c r="A9988" i="3"/>
  <c r="A9987" i="3"/>
  <c r="A9986" i="3"/>
  <c r="A9985" i="3"/>
  <c r="A9984" i="3"/>
  <c r="A9983" i="3"/>
  <c r="A9982" i="3"/>
  <c r="A9981" i="3"/>
  <c r="A9980" i="3"/>
  <c r="A9979" i="3"/>
  <c r="A9978" i="3"/>
  <c r="A9977" i="3"/>
  <c r="A9976" i="3"/>
  <c r="A9975" i="3"/>
  <c r="A9974" i="3"/>
  <c r="A9973" i="3"/>
  <c r="A9972" i="3"/>
  <c r="A9971" i="3"/>
  <c r="A9970" i="3"/>
  <c r="A9969" i="3"/>
  <c r="A9968" i="3"/>
  <c r="A9967" i="3"/>
  <c r="A9966" i="3"/>
  <c r="A9965" i="3"/>
  <c r="A9964" i="3"/>
  <c r="A9963" i="3"/>
  <c r="A9962" i="3"/>
  <c r="A9961" i="3"/>
  <c r="A9960" i="3"/>
  <c r="A9959" i="3"/>
  <c r="A9958" i="3"/>
  <c r="A9957" i="3"/>
  <c r="A9956" i="3"/>
  <c r="A9955" i="3"/>
  <c r="A9954" i="3"/>
  <c r="A9953" i="3"/>
  <c r="A9952" i="3"/>
  <c r="A9951" i="3"/>
  <c r="A9950" i="3"/>
  <c r="A9949" i="3"/>
  <c r="A9948" i="3"/>
  <c r="A9947" i="3"/>
  <c r="A9946" i="3"/>
  <c r="A9945" i="3"/>
  <c r="A9944" i="3"/>
  <c r="A9943" i="3"/>
  <c r="A9942" i="3"/>
  <c r="A9941" i="3"/>
  <c r="A9940" i="3"/>
  <c r="A9939" i="3"/>
  <c r="A9938" i="3"/>
  <c r="A9937" i="3"/>
  <c r="A9936" i="3"/>
  <c r="A9935" i="3"/>
  <c r="A9934" i="3"/>
  <c r="A9933" i="3"/>
  <c r="A9932" i="3"/>
  <c r="A9931" i="3"/>
  <c r="A9930" i="3"/>
  <c r="A9929" i="3"/>
  <c r="A9928" i="3"/>
  <c r="A9927" i="3"/>
  <c r="A9926" i="3"/>
  <c r="A9925" i="3"/>
  <c r="A9924" i="3"/>
  <c r="A9923" i="3"/>
  <c r="A9922" i="3"/>
  <c r="A9921" i="3"/>
  <c r="A9920" i="3"/>
  <c r="A9919" i="3"/>
  <c r="A9918" i="3"/>
  <c r="A9917" i="3"/>
  <c r="A9916" i="3"/>
  <c r="A9915" i="3"/>
  <c r="A9914" i="3"/>
  <c r="A9913" i="3"/>
  <c r="A9912" i="3"/>
  <c r="A9911" i="3"/>
  <c r="A9910" i="3"/>
  <c r="A9909" i="3"/>
  <c r="A9908" i="3"/>
  <c r="A9907" i="3"/>
  <c r="A9906" i="3"/>
  <c r="A9905" i="3"/>
  <c r="A9904" i="3"/>
  <c r="A9903" i="3"/>
  <c r="A9902" i="3"/>
  <c r="A9901" i="3"/>
  <c r="A9900" i="3"/>
  <c r="A9899" i="3"/>
  <c r="A9898" i="3"/>
  <c r="A9897" i="3"/>
  <c r="A9896" i="3"/>
  <c r="A9895" i="3"/>
  <c r="A9894" i="3"/>
  <c r="A9893" i="3"/>
  <c r="A9892" i="3"/>
  <c r="A9891" i="3"/>
  <c r="A9890" i="3"/>
  <c r="A9889" i="3"/>
  <c r="A9888" i="3"/>
  <c r="A9887" i="3"/>
  <c r="A9886" i="3"/>
  <c r="A9885" i="3"/>
  <c r="A9884" i="3"/>
  <c r="A9883" i="3"/>
  <c r="A9882" i="3"/>
  <c r="A9881" i="3"/>
  <c r="A9880" i="3"/>
  <c r="A9879" i="3"/>
  <c r="A9878" i="3"/>
  <c r="A9877" i="3"/>
  <c r="A9876" i="3"/>
  <c r="A9875" i="3"/>
  <c r="A9874" i="3"/>
  <c r="A9873" i="3"/>
  <c r="A9872" i="3"/>
  <c r="A9871" i="3"/>
  <c r="A9870" i="3"/>
  <c r="A9869" i="3"/>
  <c r="A9868" i="3"/>
  <c r="A9867" i="3"/>
  <c r="A9866" i="3"/>
  <c r="A9865" i="3"/>
  <c r="A9864" i="3"/>
  <c r="A9863" i="3"/>
  <c r="A9862" i="3"/>
  <c r="A9861" i="3"/>
  <c r="A9860" i="3"/>
  <c r="A9859" i="3"/>
  <c r="A9858" i="3"/>
  <c r="A9857" i="3"/>
  <c r="A9856" i="3"/>
  <c r="A9855" i="3"/>
  <c r="A9854" i="3"/>
  <c r="A9853" i="3"/>
  <c r="A9852" i="3"/>
  <c r="A9851" i="3"/>
  <c r="A9850" i="3"/>
  <c r="A9849" i="3"/>
  <c r="A9848" i="3"/>
  <c r="A9847" i="3"/>
  <c r="A9846" i="3"/>
  <c r="A9845" i="3"/>
  <c r="A9844" i="3"/>
  <c r="A9843" i="3"/>
  <c r="A9842" i="3"/>
  <c r="A9841" i="3"/>
  <c r="A9840" i="3"/>
  <c r="A9839" i="3"/>
  <c r="A9838" i="3"/>
  <c r="A9837" i="3"/>
  <c r="A9836" i="3"/>
  <c r="A9835" i="3"/>
  <c r="A9834" i="3"/>
  <c r="A9833" i="3"/>
  <c r="A9832" i="3"/>
  <c r="A9831" i="3"/>
  <c r="A9830" i="3"/>
  <c r="A9829" i="3"/>
  <c r="A9828" i="3"/>
  <c r="A9827" i="3"/>
  <c r="A9826" i="3"/>
  <c r="A9825" i="3"/>
  <c r="A9824" i="3"/>
  <c r="A9823" i="3"/>
  <c r="A9822" i="3"/>
  <c r="A9821" i="3"/>
  <c r="A9820" i="3"/>
  <c r="A9819" i="3"/>
  <c r="A9818" i="3"/>
  <c r="A9817" i="3"/>
  <c r="A9816" i="3"/>
  <c r="A9815" i="3"/>
  <c r="A9814" i="3"/>
  <c r="A9813" i="3"/>
  <c r="A9812" i="3"/>
  <c r="A9811" i="3"/>
  <c r="A9810" i="3"/>
  <c r="A9809" i="3"/>
  <c r="A9808" i="3"/>
  <c r="A9807" i="3"/>
  <c r="A9806" i="3"/>
  <c r="A9805" i="3"/>
  <c r="A9804" i="3"/>
  <c r="A9803" i="3"/>
  <c r="A9802" i="3"/>
  <c r="A9801" i="3"/>
  <c r="A9800" i="3"/>
  <c r="A9799" i="3"/>
  <c r="A9798" i="3"/>
  <c r="A9797" i="3"/>
  <c r="A9796" i="3"/>
  <c r="A9795" i="3"/>
  <c r="A9794" i="3"/>
  <c r="A9793" i="3"/>
  <c r="A9792" i="3"/>
  <c r="A9791" i="3"/>
  <c r="A9790" i="3"/>
  <c r="A9789" i="3"/>
  <c r="A9788" i="3"/>
  <c r="A9787" i="3"/>
  <c r="A9786" i="3"/>
  <c r="A9785" i="3"/>
  <c r="A9784" i="3"/>
  <c r="A9783" i="3"/>
  <c r="A9782" i="3"/>
  <c r="A9781" i="3"/>
  <c r="A9780" i="3"/>
  <c r="A9779" i="3"/>
  <c r="A9778" i="3"/>
  <c r="A9777" i="3"/>
  <c r="A9776" i="3"/>
  <c r="A9775" i="3"/>
  <c r="A9774" i="3"/>
  <c r="A9773" i="3"/>
  <c r="A9772" i="3"/>
  <c r="A9771" i="3"/>
  <c r="A9770" i="3"/>
  <c r="A9769" i="3"/>
  <c r="A9768" i="3"/>
  <c r="A9767" i="3"/>
  <c r="A9766" i="3"/>
  <c r="A9765" i="3"/>
  <c r="A9764" i="3"/>
  <c r="A9763" i="3"/>
  <c r="A9762" i="3"/>
  <c r="A9761" i="3"/>
  <c r="A9760" i="3"/>
  <c r="A9759" i="3"/>
  <c r="A9758" i="3"/>
  <c r="A9757" i="3"/>
  <c r="A9756" i="3"/>
  <c r="A9755" i="3"/>
  <c r="A9754" i="3"/>
  <c r="A9753" i="3"/>
  <c r="A9752" i="3"/>
  <c r="A9751" i="3"/>
  <c r="A9750" i="3"/>
  <c r="A9749" i="3"/>
  <c r="A9748" i="3"/>
  <c r="A9747" i="3"/>
  <c r="A9746" i="3"/>
  <c r="A9745" i="3"/>
  <c r="A9744" i="3"/>
  <c r="A9743" i="3"/>
  <c r="A9742" i="3"/>
  <c r="A9741" i="3"/>
  <c r="A9740" i="3"/>
  <c r="A9739" i="3"/>
  <c r="A9738" i="3"/>
  <c r="A9737" i="3"/>
  <c r="A9736" i="3"/>
  <c r="A9735" i="3"/>
  <c r="A9734" i="3"/>
  <c r="A9733" i="3"/>
  <c r="A9732" i="3"/>
  <c r="A9731" i="3"/>
  <c r="A9730" i="3"/>
  <c r="A9729" i="3"/>
  <c r="A9728" i="3"/>
  <c r="A9727" i="3"/>
  <c r="A9726" i="3"/>
  <c r="A9725" i="3"/>
  <c r="A9724" i="3"/>
  <c r="A9723" i="3"/>
  <c r="A9722" i="3"/>
  <c r="A9721" i="3"/>
  <c r="A9720" i="3"/>
  <c r="A9719" i="3"/>
  <c r="A9718" i="3"/>
  <c r="A9717" i="3"/>
  <c r="A9716" i="3"/>
  <c r="A9715" i="3"/>
  <c r="A9714" i="3"/>
  <c r="A9713" i="3"/>
  <c r="A9712" i="3"/>
  <c r="A9711" i="3"/>
  <c r="A9710" i="3"/>
  <c r="A9709" i="3"/>
  <c r="A9708" i="3"/>
  <c r="A9707" i="3"/>
  <c r="A9706" i="3"/>
  <c r="A9705" i="3"/>
  <c r="A9704" i="3"/>
  <c r="A9703" i="3"/>
  <c r="A9702" i="3"/>
  <c r="A9701" i="3"/>
  <c r="A9700" i="3"/>
  <c r="A9699" i="3"/>
  <c r="A9698" i="3"/>
  <c r="A9697" i="3"/>
  <c r="A9696" i="3"/>
  <c r="A9695" i="3"/>
  <c r="A9694" i="3"/>
  <c r="A9693" i="3"/>
  <c r="A9692" i="3"/>
  <c r="A9691" i="3"/>
  <c r="A9690" i="3"/>
  <c r="A9689" i="3"/>
  <c r="A9688" i="3"/>
  <c r="A9687" i="3"/>
  <c r="A9686" i="3"/>
  <c r="A9685" i="3"/>
  <c r="A9684" i="3"/>
  <c r="A9683" i="3"/>
  <c r="A9682" i="3"/>
  <c r="A9681" i="3"/>
  <c r="A9680" i="3"/>
  <c r="A9679" i="3"/>
  <c r="A9678" i="3"/>
  <c r="A9677" i="3"/>
  <c r="A9676" i="3"/>
  <c r="A9675" i="3"/>
  <c r="A9674" i="3"/>
  <c r="A9673" i="3"/>
  <c r="A9672" i="3"/>
  <c r="A9671" i="3"/>
  <c r="A9670" i="3"/>
  <c r="A9669" i="3"/>
  <c r="A9668" i="3"/>
  <c r="A9667" i="3"/>
  <c r="A9666" i="3"/>
  <c r="A9665" i="3"/>
  <c r="A9664" i="3"/>
  <c r="A9663" i="3"/>
  <c r="A9662" i="3"/>
  <c r="A9661" i="3"/>
  <c r="A9660" i="3"/>
  <c r="A9659" i="3"/>
  <c r="A9658" i="3"/>
  <c r="A9657" i="3"/>
  <c r="A9656" i="3"/>
  <c r="A9655" i="3"/>
  <c r="A9654" i="3"/>
  <c r="A9653" i="3"/>
  <c r="A9652" i="3"/>
  <c r="A9651" i="3"/>
  <c r="A9650" i="3"/>
  <c r="A9649" i="3"/>
  <c r="A9648" i="3"/>
  <c r="A9647" i="3"/>
  <c r="A9646" i="3"/>
  <c r="A9645" i="3"/>
  <c r="A9644" i="3"/>
  <c r="A9643" i="3"/>
  <c r="A9642" i="3"/>
  <c r="A9641" i="3"/>
  <c r="A9640" i="3"/>
  <c r="A9639" i="3"/>
  <c r="A9638" i="3"/>
  <c r="A9637" i="3"/>
  <c r="A9636" i="3"/>
  <c r="A9635" i="3"/>
  <c r="A9634" i="3"/>
  <c r="A9633" i="3"/>
  <c r="A9632" i="3"/>
  <c r="A9631" i="3"/>
  <c r="A9630" i="3"/>
  <c r="A9629" i="3"/>
  <c r="A9628" i="3"/>
  <c r="A9627" i="3"/>
  <c r="A9626" i="3"/>
  <c r="A9625" i="3"/>
  <c r="A9624" i="3"/>
  <c r="A9623" i="3"/>
  <c r="A9622" i="3"/>
  <c r="A9621" i="3"/>
  <c r="A9620" i="3"/>
  <c r="A9619" i="3"/>
  <c r="A9618" i="3"/>
  <c r="A9617" i="3"/>
  <c r="A9616" i="3"/>
  <c r="A9615" i="3"/>
  <c r="A9614" i="3"/>
  <c r="A9613" i="3"/>
  <c r="A9612" i="3"/>
  <c r="A9611" i="3"/>
  <c r="A9610" i="3"/>
  <c r="A9609" i="3"/>
  <c r="A9608" i="3"/>
  <c r="A9607" i="3"/>
  <c r="A9606" i="3"/>
  <c r="A9605" i="3"/>
  <c r="A9604" i="3"/>
  <c r="A9603" i="3"/>
  <c r="A9602" i="3"/>
  <c r="A9601" i="3"/>
  <c r="A9600" i="3"/>
  <c r="A9599" i="3"/>
  <c r="A9598" i="3"/>
  <c r="A9597" i="3"/>
  <c r="A9596" i="3"/>
  <c r="A9595" i="3"/>
  <c r="A9594" i="3"/>
  <c r="A9593" i="3"/>
  <c r="A9592" i="3"/>
  <c r="A9591" i="3"/>
  <c r="A9590" i="3"/>
  <c r="A9589" i="3"/>
  <c r="A9588" i="3"/>
  <c r="A9587" i="3"/>
  <c r="A9586" i="3"/>
  <c r="A9585" i="3"/>
  <c r="A9584" i="3"/>
  <c r="A9583" i="3"/>
  <c r="A9582" i="3"/>
  <c r="A9581" i="3"/>
  <c r="A9580" i="3"/>
  <c r="A9579" i="3"/>
  <c r="A9578" i="3"/>
  <c r="A9577" i="3"/>
  <c r="A9576" i="3"/>
  <c r="A9575" i="3"/>
  <c r="A9574" i="3"/>
  <c r="A9573" i="3"/>
  <c r="A9572" i="3"/>
  <c r="A9571" i="3"/>
  <c r="A9570" i="3"/>
  <c r="A9569" i="3"/>
  <c r="A9568" i="3"/>
  <c r="A9567" i="3"/>
  <c r="A9566" i="3"/>
  <c r="A9565" i="3"/>
  <c r="A9564" i="3"/>
  <c r="A9563" i="3"/>
  <c r="A9562" i="3"/>
  <c r="A9561" i="3"/>
  <c r="A9560" i="3"/>
  <c r="A9559" i="3"/>
  <c r="A9558" i="3"/>
  <c r="A9557" i="3"/>
  <c r="A9556" i="3"/>
  <c r="A9555" i="3"/>
  <c r="A9554" i="3"/>
  <c r="A9553" i="3"/>
  <c r="A9552" i="3"/>
  <c r="A9551" i="3"/>
  <c r="A9550" i="3"/>
  <c r="A9549" i="3"/>
  <c r="A9548" i="3"/>
  <c r="A9547" i="3"/>
  <c r="A9546" i="3"/>
  <c r="A9545" i="3"/>
  <c r="A9544" i="3"/>
  <c r="A9543" i="3"/>
  <c r="A9542" i="3"/>
  <c r="A9541" i="3"/>
  <c r="A9540" i="3"/>
  <c r="A9539" i="3"/>
  <c r="A9538" i="3"/>
  <c r="A9537" i="3"/>
  <c r="A9536" i="3"/>
  <c r="A9535" i="3"/>
  <c r="A9534" i="3"/>
  <c r="A9533" i="3"/>
  <c r="A9532" i="3"/>
  <c r="A9531" i="3"/>
  <c r="A9530" i="3"/>
  <c r="A9529" i="3"/>
  <c r="A9528" i="3"/>
  <c r="A9527" i="3"/>
  <c r="A9526" i="3"/>
  <c r="A9525" i="3"/>
  <c r="A9524" i="3"/>
  <c r="A9523" i="3"/>
  <c r="A9522" i="3"/>
  <c r="A9521" i="3"/>
  <c r="A9520" i="3"/>
  <c r="A9519" i="3"/>
  <c r="A9518" i="3"/>
  <c r="A9517" i="3"/>
  <c r="A9516" i="3"/>
  <c r="A9515" i="3"/>
  <c r="A9514" i="3"/>
  <c r="A9513" i="3"/>
  <c r="A9512" i="3"/>
  <c r="A9511" i="3"/>
  <c r="A9510" i="3"/>
  <c r="A9509" i="3"/>
  <c r="A9508" i="3"/>
  <c r="A9507" i="3"/>
  <c r="A9506" i="3"/>
  <c r="A9505" i="3"/>
  <c r="A9504" i="3"/>
  <c r="A9503" i="3"/>
  <c r="A9502" i="3"/>
  <c r="A9501" i="3"/>
  <c r="A9500" i="3"/>
  <c r="A9499" i="3"/>
  <c r="A9498" i="3"/>
  <c r="A9497" i="3"/>
  <c r="A9496" i="3"/>
  <c r="A9495" i="3"/>
  <c r="A9494" i="3"/>
  <c r="A9493" i="3"/>
  <c r="A9492" i="3"/>
  <c r="A9491" i="3"/>
  <c r="A9490" i="3"/>
  <c r="A9489" i="3"/>
  <c r="A9488" i="3"/>
  <c r="A9487" i="3"/>
  <c r="A9486" i="3"/>
  <c r="A9485" i="3"/>
  <c r="A9484" i="3"/>
  <c r="A9483" i="3"/>
  <c r="A9482" i="3"/>
  <c r="A9481" i="3"/>
  <c r="A9480" i="3"/>
  <c r="A9479" i="3"/>
  <c r="A9478" i="3"/>
  <c r="A9477" i="3"/>
  <c r="A9476" i="3"/>
  <c r="A9475" i="3"/>
  <c r="A9474" i="3"/>
  <c r="A9473" i="3"/>
  <c r="A9472" i="3"/>
  <c r="A9471" i="3"/>
  <c r="A9470" i="3"/>
  <c r="A9469" i="3"/>
  <c r="A9468" i="3"/>
  <c r="A9467" i="3"/>
  <c r="A9466" i="3"/>
  <c r="A9465" i="3"/>
  <c r="A9464" i="3"/>
  <c r="A9463" i="3"/>
  <c r="A9462" i="3"/>
  <c r="A9461" i="3"/>
  <c r="A9460" i="3"/>
  <c r="A9459" i="3"/>
  <c r="A9458" i="3"/>
  <c r="A9457" i="3"/>
  <c r="A9456" i="3"/>
  <c r="A9455" i="3"/>
  <c r="A9454" i="3"/>
  <c r="A9453" i="3"/>
  <c r="A9452" i="3"/>
  <c r="A9451" i="3"/>
  <c r="A9450" i="3"/>
  <c r="A9449" i="3"/>
  <c r="A9448" i="3"/>
  <c r="A9447" i="3"/>
  <c r="A9446" i="3"/>
  <c r="A9445" i="3"/>
  <c r="A9444" i="3"/>
  <c r="A9443" i="3"/>
  <c r="A9442" i="3"/>
  <c r="A9441" i="3"/>
  <c r="A9440" i="3"/>
  <c r="A9439" i="3"/>
  <c r="A9438" i="3"/>
  <c r="A9437" i="3"/>
  <c r="A9436" i="3"/>
  <c r="A9435" i="3"/>
  <c r="A9434" i="3"/>
  <c r="A9433" i="3"/>
  <c r="A9432" i="3"/>
  <c r="A9431" i="3"/>
  <c r="A9430" i="3"/>
  <c r="A9429" i="3"/>
  <c r="A9428" i="3"/>
  <c r="A9427" i="3"/>
  <c r="A9426" i="3"/>
  <c r="A9425" i="3"/>
  <c r="A9424" i="3"/>
  <c r="A9423" i="3"/>
  <c r="A9422" i="3"/>
  <c r="A9421" i="3"/>
  <c r="A9420" i="3"/>
  <c r="A9419" i="3"/>
  <c r="A9418" i="3"/>
  <c r="A9417" i="3"/>
  <c r="A9416" i="3"/>
  <c r="A9415" i="3"/>
  <c r="A9414" i="3"/>
  <c r="A9413" i="3"/>
  <c r="A9412" i="3"/>
  <c r="A9411" i="3"/>
  <c r="A9410" i="3"/>
  <c r="A9409" i="3"/>
  <c r="A9408" i="3"/>
  <c r="A9407" i="3"/>
  <c r="A9406" i="3"/>
  <c r="A9405" i="3"/>
  <c r="A9404" i="3"/>
  <c r="A9403" i="3"/>
  <c r="A9402" i="3"/>
  <c r="A9401" i="3"/>
  <c r="A9400" i="3"/>
  <c r="A9399" i="3"/>
  <c r="A9398" i="3"/>
  <c r="A9397" i="3"/>
  <c r="A9396" i="3"/>
  <c r="A9395" i="3"/>
  <c r="A9394" i="3"/>
  <c r="A9393" i="3"/>
  <c r="A9392" i="3"/>
  <c r="A9391" i="3"/>
  <c r="A9390" i="3"/>
  <c r="A9389" i="3"/>
  <c r="A9388" i="3"/>
  <c r="A9387" i="3"/>
  <c r="A9386" i="3"/>
  <c r="A9385" i="3"/>
  <c r="A9384" i="3"/>
  <c r="A9383" i="3"/>
  <c r="A9382" i="3"/>
  <c r="A9381" i="3"/>
  <c r="A9380" i="3"/>
  <c r="A9379" i="3"/>
  <c r="A9378" i="3"/>
  <c r="A9377" i="3"/>
  <c r="A9376" i="3"/>
  <c r="A9375" i="3"/>
  <c r="A9374" i="3"/>
  <c r="A9373" i="3"/>
  <c r="A9372" i="3"/>
  <c r="A9371" i="3"/>
  <c r="A9370" i="3"/>
  <c r="A9369" i="3"/>
  <c r="A9368" i="3"/>
  <c r="A9367" i="3"/>
  <c r="A9366" i="3"/>
  <c r="A9365" i="3"/>
  <c r="A9364" i="3"/>
  <c r="A9363" i="3"/>
  <c r="A9362" i="3"/>
  <c r="A9361" i="3"/>
  <c r="A9360" i="3"/>
  <c r="A9359" i="3"/>
  <c r="A9358" i="3"/>
  <c r="A9357" i="3"/>
  <c r="A9356" i="3"/>
  <c r="A9355" i="3"/>
  <c r="A9354" i="3"/>
  <c r="A9353" i="3"/>
  <c r="A9352" i="3"/>
  <c r="A9351" i="3"/>
  <c r="A9350" i="3"/>
  <c r="A9349" i="3"/>
  <c r="A9348" i="3"/>
  <c r="A9347" i="3"/>
  <c r="A9346" i="3"/>
  <c r="A9345" i="3"/>
  <c r="A9344" i="3"/>
  <c r="A9343" i="3"/>
  <c r="A9342" i="3"/>
  <c r="A9341" i="3"/>
  <c r="A9340" i="3"/>
  <c r="A9339" i="3"/>
  <c r="A9338" i="3"/>
  <c r="A9337" i="3"/>
  <c r="A9336" i="3"/>
  <c r="A9335" i="3"/>
  <c r="A9334" i="3"/>
  <c r="A9333" i="3"/>
  <c r="A9332" i="3"/>
  <c r="A9331" i="3"/>
  <c r="A9330" i="3"/>
  <c r="A9329" i="3"/>
  <c r="A9328" i="3"/>
  <c r="A9327" i="3"/>
  <c r="A9326" i="3"/>
  <c r="A9325" i="3"/>
  <c r="A9324" i="3"/>
  <c r="A9323" i="3"/>
  <c r="A9322" i="3"/>
  <c r="A9321" i="3"/>
  <c r="A9320" i="3"/>
  <c r="A9319" i="3"/>
  <c r="A9318" i="3"/>
  <c r="A9317" i="3"/>
  <c r="A9316" i="3"/>
  <c r="A9315" i="3"/>
  <c r="A9314" i="3"/>
  <c r="A9313" i="3"/>
  <c r="A9312" i="3"/>
  <c r="A9311" i="3"/>
  <c r="A9310" i="3"/>
  <c r="A9309" i="3"/>
  <c r="A9308" i="3"/>
  <c r="A9307" i="3"/>
  <c r="A9306" i="3"/>
  <c r="A9305" i="3"/>
  <c r="A9304" i="3"/>
  <c r="A9303" i="3"/>
  <c r="A9302" i="3"/>
  <c r="A9301" i="3"/>
  <c r="A9300" i="3"/>
  <c r="A9299" i="3"/>
  <c r="A9298" i="3"/>
  <c r="A9297" i="3"/>
  <c r="A9296" i="3"/>
  <c r="A9295" i="3"/>
  <c r="A9294" i="3"/>
  <c r="A9293" i="3"/>
  <c r="A9292" i="3"/>
  <c r="A9291" i="3"/>
  <c r="A9290" i="3"/>
  <c r="A9289" i="3"/>
  <c r="A9288" i="3"/>
  <c r="A9287" i="3"/>
  <c r="A9286" i="3"/>
  <c r="A9285" i="3"/>
  <c r="A9284" i="3"/>
  <c r="A9283" i="3"/>
  <c r="A9282" i="3"/>
  <c r="A9281" i="3"/>
  <c r="A9280" i="3"/>
  <c r="A9279" i="3"/>
  <c r="A9278" i="3"/>
  <c r="A9277" i="3"/>
  <c r="A9276" i="3"/>
  <c r="A9275" i="3"/>
  <c r="A9274" i="3"/>
  <c r="A9273" i="3"/>
  <c r="A9272" i="3"/>
  <c r="A9271" i="3"/>
  <c r="A9270" i="3"/>
  <c r="A9269" i="3"/>
  <c r="A9268" i="3"/>
  <c r="A9267" i="3"/>
  <c r="A9266" i="3"/>
  <c r="A9265" i="3"/>
  <c r="A9264" i="3"/>
  <c r="A9263" i="3"/>
  <c r="A9262" i="3"/>
  <c r="A9261" i="3"/>
  <c r="A9260" i="3"/>
  <c r="A9259" i="3"/>
  <c r="A9258" i="3"/>
  <c r="A9257" i="3"/>
  <c r="A9256" i="3"/>
  <c r="A9255" i="3"/>
  <c r="A9254" i="3"/>
  <c r="A9253" i="3"/>
  <c r="A9252" i="3"/>
  <c r="A9251" i="3"/>
  <c r="A9250" i="3"/>
  <c r="A9249" i="3"/>
  <c r="A9248" i="3"/>
  <c r="A9247" i="3"/>
  <c r="A9246" i="3"/>
  <c r="A9245" i="3"/>
  <c r="A9244" i="3"/>
  <c r="A9243" i="3"/>
  <c r="A9242" i="3"/>
  <c r="A9241" i="3"/>
  <c r="A9240" i="3"/>
  <c r="A9239" i="3"/>
  <c r="A9238" i="3"/>
  <c r="A9237" i="3"/>
  <c r="A9236" i="3"/>
  <c r="A9235" i="3"/>
  <c r="A9234" i="3"/>
  <c r="A9233" i="3"/>
  <c r="A9232" i="3"/>
  <c r="A9231" i="3"/>
  <c r="A9230" i="3"/>
  <c r="A9229" i="3"/>
  <c r="A9228" i="3"/>
  <c r="A9227" i="3"/>
  <c r="A9226" i="3"/>
  <c r="A9225" i="3"/>
  <c r="A9224" i="3"/>
  <c r="A9223" i="3"/>
  <c r="A9222" i="3"/>
  <c r="A9221" i="3"/>
  <c r="A9220" i="3"/>
  <c r="A9219" i="3"/>
  <c r="A9218" i="3"/>
  <c r="A9217" i="3"/>
  <c r="A9216" i="3"/>
  <c r="A9215" i="3"/>
  <c r="A9214" i="3"/>
  <c r="A9213" i="3"/>
  <c r="A9212" i="3"/>
  <c r="A9211" i="3"/>
  <c r="A9210" i="3"/>
  <c r="A9209" i="3"/>
  <c r="A9208" i="3"/>
  <c r="A9207" i="3"/>
  <c r="A9206" i="3"/>
  <c r="A9205" i="3"/>
  <c r="A9204" i="3"/>
  <c r="A9203" i="3"/>
  <c r="A9202" i="3"/>
  <c r="A9201" i="3"/>
  <c r="A9200" i="3"/>
  <c r="A9199" i="3"/>
  <c r="A9198" i="3"/>
  <c r="A9197" i="3"/>
  <c r="A9196" i="3"/>
  <c r="A9195" i="3"/>
  <c r="A9194" i="3"/>
  <c r="A9193" i="3"/>
  <c r="A9192" i="3"/>
  <c r="A9191" i="3"/>
  <c r="A9190" i="3"/>
  <c r="A9189" i="3"/>
  <c r="A9188" i="3"/>
  <c r="A9187" i="3"/>
  <c r="A9186" i="3"/>
  <c r="A9185" i="3"/>
  <c r="A9184" i="3"/>
  <c r="A9183" i="3"/>
  <c r="A9182" i="3"/>
  <c r="A9181" i="3"/>
  <c r="A9180" i="3"/>
  <c r="A9179" i="3"/>
  <c r="A9178" i="3"/>
  <c r="A9177" i="3"/>
  <c r="A9176" i="3"/>
  <c r="A9175" i="3"/>
  <c r="A9174" i="3"/>
  <c r="A9173" i="3"/>
  <c r="A9172" i="3"/>
  <c r="A9171" i="3"/>
  <c r="A9170" i="3"/>
  <c r="A9169" i="3"/>
  <c r="A9168" i="3"/>
  <c r="A9167" i="3"/>
  <c r="A9166" i="3"/>
  <c r="A9165" i="3"/>
  <c r="A9164" i="3"/>
  <c r="A9163" i="3"/>
  <c r="A9162" i="3"/>
  <c r="A9161" i="3"/>
  <c r="A9160" i="3"/>
  <c r="A9159" i="3"/>
  <c r="A9158" i="3"/>
  <c r="A9157" i="3"/>
  <c r="A9156" i="3"/>
  <c r="A9155" i="3"/>
  <c r="A9154" i="3"/>
  <c r="A9153" i="3"/>
  <c r="A9152" i="3"/>
  <c r="A9151" i="3"/>
  <c r="A9150" i="3"/>
  <c r="A9149" i="3"/>
  <c r="A9148" i="3"/>
  <c r="A9147" i="3"/>
  <c r="A9146" i="3"/>
  <c r="A9145" i="3"/>
  <c r="A9144" i="3"/>
  <c r="A9143" i="3"/>
  <c r="A9142" i="3"/>
  <c r="A9141" i="3"/>
  <c r="A9140" i="3"/>
  <c r="A9139" i="3"/>
  <c r="A9138" i="3"/>
  <c r="A9137" i="3"/>
  <c r="A9136" i="3"/>
  <c r="A9135" i="3"/>
  <c r="A9134" i="3"/>
  <c r="A9133" i="3"/>
  <c r="A9132" i="3"/>
  <c r="A9131" i="3"/>
  <c r="A9130" i="3"/>
  <c r="A9129" i="3"/>
  <c r="A9128" i="3"/>
  <c r="A9127" i="3"/>
  <c r="A9126" i="3"/>
  <c r="A9125" i="3"/>
  <c r="A9124" i="3"/>
  <c r="A9123" i="3"/>
  <c r="A9122" i="3"/>
  <c r="A9121" i="3"/>
  <c r="A9120" i="3"/>
  <c r="A9119" i="3"/>
  <c r="A9118" i="3"/>
  <c r="A9117" i="3"/>
  <c r="A9116" i="3"/>
  <c r="A9115" i="3"/>
  <c r="A9114" i="3"/>
  <c r="A9113" i="3"/>
  <c r="A9112" i="3"/>
  <c r="A9111" i="3"/>
  <c r="A9110" i="3"/>
  <c r="A9109" i="3"/>
  <c r="A9108" i="3"/>
  <c r="A9107" i="3"/>
  <c r="A9106" i="3"/>
  <c r="A9105" i="3"/>
  <c r="A9104" i="3"/>
  <c r="A9103" i="3"/>
  <c r="A9102" i="3"/>
  <c r="A9101" i="3"/>
  <c r="A9100" i="3"/>
  <c r="A9099" i="3"/>
  <c r="A9098" i="3"/>
  <c r="A9097" i="3"/>
  <c r="A9096" i="3"/>
  <c r="A9095" i="3"/>
  <c r="A9094" i="3"/>
  <c r="A9093" i="3"/>
  <c r="A9092" i="3"/>
  <c r="A9091" i="3"/>
  <c r="A9090" i="3"/>
  <c r="A9089" i="3"/>
  <c r="A9088" i="3"/>
  <c r="A9087" i="3"/>
  <c r="A9086" i="3"/>
  <c r="A9085" i="3"/>
  <c r="A9084" i="3"/>
  <c r="A9083" i="3"/>
  <c r="A9082" i="3"/>
  <c r="A9081" i="3"/>
  <c r="A9080" i="3"/>
  <c r="A9079" i="3"/>
  <c r="A9078" i="3"/>
  <c r="A9077" i="3"/>
  <c r="A9076" i="3"/>
  <c r="A9075" i="3"/>
  <c r="A9074" i="3"/>
  <c r="A9073" i="3"/>
  <c r="A9072" i="3"/>
  <c r="A9071" i="3"/>
  <c r="A9070" i="3"/>
  <c r="A9069" i="3"/>
  <c r="A9068" i="3"/>
  <c r="A9067" i="3"/>
  <c r="A9066" i="3"/>
  <c r="A9065" i="3"/>
  <c r="A9064" i="3"/>
  <c r="A9063" i="3"/>
  <c r="A9062" i="3"/>
  <c r="A9061" i="3"/>
  <c r="A9060" i="3"/>
  <c r="A9059" i="3"/>
  <c r="A9058" i="3"/>
  <c r="A9057" i="3"/>
  <c r="A9056" i="3"/>
  <c r="A9055" i="3"/>
  <c r="A9054" i="3"/>
  <c r="A9053" i="3"/>
  <c r="A9052" i="3"/>
  <c r="A9051" i="3"/>
  <c r="A9050" i="3"/>
  <c r="A9049" i="3"/>
  <c r="A9048" i="3"/>
  <c r="A9047" i="3"/>
  <c r="A9046" i="3"/>
  <c r="A9045" i="3"/>
  <c r="A9044" i="3"/>
  <c r="A9043" i="3"/>
  <c r="A9042" i="3"/>
  <c r="A9041" i="3"/>
  <c r="A9040" i="3"/>
  <c r="A9039" i="3"/>
  <c r="A9038" i="3"/>
  <c r="A9037" i="3"/>
  <c r="A9036" i="3"/>
  <c r="A9035" i="3"/>
  <c r="A9034" i="3"/>
  <c r="A9033" i="3"/>
  <c r="A9032" i="3"/>
  <c r="A9031" i="3"/>
  <c r="A9030" i="3"/>
  <c r="A9029" i="3"/>
  <c r="A9028" i="3"/>
  <c r="A9027" i="3"/>
  <c r="A9026" i="3"/>
  <c r="A9025" i="3"/>
  <c r="A9024" i="3"/>
  <c r="A9023" i="3"/>
  <c r="A9022" i="3"/>
  <c r="A9021" i="3"/>
  <c r="A9020" i="3"/>
  <c r="A9019" i="3"/>
  <c r="A9018" i="3"/>
  <c r="A9017" i="3"/>
  <c r="A9016" i="3"/>
  <c r="A9015" i="3"/>
  <c r="A9014" i="3"/>
  <c r="A9013" i="3"/>
  <c r="A9012" i="3"/>
  <c r="A9011" i="3"/>
  <c r="A9010" i="3"/>
  <c r="A9009" i="3"/>
  <c r="A9008" i="3"/>
  <c r="A9007" i="3"/>
  <c r="A9006" i="3"/>
  <c r="A9005" i="3"/>
  <c r="A9004" i="3"/>
  <c r="A9003" i="3"/>
  <c r="A9002" i="3"/>
  <c r="A9001" i="3"/>
  <c r="A9000" i="3"/>
  <c r="A8999" i="3"/>
  <c r="A8998" i="3"/>
  <c r="A8997" i="3"/>
  <c r="A8996" i="3"/>
  <c r="A8995" i="3"/>
  <c r="A8994" i="3"/>
  <c r="A8993" i="3"/>
  <c r="A8992" i="3"/>
  <c r="A8991" i="3"/>
  <c r="A8990" i="3"/>
  <c r="A8989" i="3"/>
  <c r="A8988" i="3"/>
  <c r="A8987" i="3"/>
  <c r="A8986" i="3"/>
  <c r="A8985" i="3"/>
  <c r="A8984" i="3"/>
  <c r="A8983" i="3"/>
  <c r="A8982" i="3"/>
  <c r="A8981" i="3"/>
  <c r="A8980" i="3"/>
  <c r="A8979" i="3"/>
  <c r="A8978" i="3"/>
  <c r="A8977" i="3"/>
  <c r="A8976" i="3"/>
  <c r="A8975" i="3"/>
  <c r="A8974" i="3"/>
  <c r="A8973" i="3"/>
  <c r="A8972" i="3"/>
  <c r="A8971" i="3"/>
  <c r="A8970" i="3"/>
  <c r="A8969" i="3"/>
  <c r="A8968" i="3"/>
  <c r="A8967" i="3"/>
  <c r="A8966" i="3"/>
  <c r="A8965" i="3"/>
  <c r="A8964" i="3"/>
  <c r="A8963" i="3"/>
  <c r="A8962" i="3"/>
  <c r="A8961" i="3"/>
  <c r="A8960" i="3"/>
  <c r="A8959" i="3"/>
  <c r="A8958" i="3"/>
  <c r="A8957" i="3"/>
  <c r="A8956" i="3"/>
  <c r="A8955" i="3"/>
  <c r="A8954" i="3"/>
  <c r="A8953" i="3"/>
  <c r="A8952" i="3"/>
  <c r="A8951" i="3"/>
  <c r="A8950" i="3"/>
  <c r="A8949" i="3"/>
  <c r="A8948" i="3"/>
  <c r="A8947" i="3"/>
  <c r="A8946" i="3"/>
  <c r="A8945" i="3"/>
  <c r="A8944" i="3"/>
  <c r="A8943" i="3"/>
  <c r="A8942" i="3"/>
  <c r="A8941" i="3"/>
  <c r="A8940" i="3"/>
  <c r="A8939" i="3"/>
  <c r="A8938" i="3"/>
  <c r="A8937" i="3"/>
  <c r="A8936" i="3"/>
  <c r="A8935" i="3"/>
  <c r="A8934" i="3"/>
  <c r="A8933" i="3"/>
  <c r="A8932" i="3"/>
  <c r="A8931" i="3"/>
  <c r="A8930" i="3"/>
  <c r="A8929" i="3"/>
  <c r="A8928" i="3"/>
  <c r="A8927" i="3"/>
  <c r="A8926" i="3"/>
  <c r="A8925" i="3"/>
  <c r="A8924" i="3"/>
  <c r="A8923" i="3"/>
  <c r="A8922" i="3"/>
  <c r="A8921" i="3"/>
  <c r="A8920" i="3"/>
  <c r="A8919" i="3"/>
  <c r="A8918" i="3"/>
  <c r="A8917" i="3"/>
  <c r="A8916" i="3"/>
  <c r="A8915" i="3"/>
  <c r="A8914" i="3"/>
  <c r="A8913" i="3"/>
  <c r="A8912" i="3"/>
  <c r="A8911" i="3"/>
  <c r="A8910" i="3"/>
  <c r="A8909" i="3"/>
  <c r="A8908" i="3"/>
  <c r="A8907" i="3"/>
  <c r="A8906" i="3"/>
  <c r="A8905" i="3"/>
  <c r="A8904" i="3"/>
  <c r="A8903" i="3"/>
  <c r="A8902" i="3"/>
  <c r="A8901" i="3"/>
  <c r="A8900" i="3"/>
  <c r="A8899" i="3"/>
  <c r="A8898" i="3"/>
  <c r="A8897" i="3"/>
  <c r="A8896" i="3"/>
  <c r="A8895" i="3"/>
  <c r="A8894" i="3"/>
  <c r="A8893" i="3"/>
  <c r="A8892" i="3"/>
  <c r="A8891" i="3"/>
  <c r="A8890" i="3"/>
  <c r="A8889" i="3"/>
  <c r="A8888" i="3"/>
  <c r="A8887" i="3"/>
  <c r="A8886" i="3"/>
  <c r="A8885" i="3"/>
  <c r="A8884" i="3"/>
  <c r="A8883" i="3"/>
  <c r="A8882" i="3"/>
  <c r="A8881" i="3"/>
  <c r="A8880" i="3"/>
  <c r="A8879" i="3"/>
  <c r="A8878" i="3"/>
  <c r="A8877" i="3"/>
  <c r="A8876" i="3"/>
  <c r="A8875" i="3"/>
  <c r="A8874" i="3"/>
  <c r="A8873" i="3"/>
  <c r="A8872" i="3"/>
  <c r="A8871" i="3"/>
  <c r="A8870" i="3"/>
  <c r="A8869" i="3"/>
  <c r="A8868" i="3"/>
  <c r="A8867" i="3"/>
  <c r="A8866" i="3"/>
  <c r="A8865" i="3"/>
  <c r="A8864" i="3"/>
  <c r="A8863" i="3"/>
  <c r="A8862" i="3"/>
  <c r="A8861" i="3"/>
  <c r="A8860" i="3"/>
  <c r="A8859" i="3"/>
  <c r="A8858" i="3"/>
  <c r="A8857" i="3"/>
  <c r="A8856" i="3"/>
  <c r="A8855" i="3"/>
  <c r="A8854" i="3"/>
  <c r="A8853" i="3"/>
  <c r="A8852" i="3"/>
  <c r="A8851" i="3"/>
  <c r="A8850" i="3"/>
  <c r="A8849" i="3"/>
  <c r="A8848" i="3"/>
  <c r="A8847" i="3"/>
  <c r="A8846" i="3"/>
  <c r="A8845" i="3"/>
  <c r="A8844" i="3"/>
  <c r="A8843" i="3"/>
  <c r="A8842" i="3"/>
  <c r="A8841" i="3"/>
  <c r="A8840" i="3"/>
  <c r="A8839" i="3"/>
  <c r="A8838" i="3"/>
  <c r="A8837" i="3"/>
  <c r="A8836" i="3"/>
  <c r="A8835" i="3"/>
  <c r="A8834" i="3"/>
  <c r="A8833" i="3"/>
  <c r="A8832" i="3"/>
  <c r="A8831" i="3"/>
  <c r="A8830" i="3"/>
  <c r="A8829" i="3"/>
  <c r="A8828" i="3"/>
  <c r="A8827" i="3"/>
  <c r="A8826" i="3"/>
  <c r="A8825" i="3"/>
  <c r="A8824" i="3"/>
  <c r="A8823" i="3"/>
  <c r="A8822" i="3"/>
  <c r="A8821" i="3"/>
  <c r="A8820" i="3"/>
  <c r="A8819" i="3"/>
  <c r="A8818" i="3"/>
  <c r="A8817" i="3"/>
  <c r="A8816" i="3"/>
  <c r="A8815" i="3"/>
  <c r="A8814" i="3"/>
  <c r="A8813" i="3"/>
  <c r="A8812" i="3"/>
  <c r="A8811" i="3"/>
  <c r="A8810" i="3"/>
  <c r="A8809" i="3"/>
  <c r="A8808" i="3"/>
  <c r="A8807" i="3"/>
  <c r="A8806" i="3"/>
  <c r="A8805" i="3"/>
  <c r="A8804" i="3"/>
  <c r="A8803" i="3"/>
  <c r="A8802" i="3"/>
  <c r="A8801" i="3"/>
  <c r="A8800" i="3"/>
  <c r="A8799" i="3"/>
  <c r="A8798" i="3"/>
  <c r="A8797" i="3"/>
  <c r="A8796" i="3"/>
  <c r="A8795" i="3"/>
  <c r="A8794" i="3"/>
  <c r="A8793" i="3"/>
  <c r="A8792" i="3"/>
  <c r="A8791" i="3"/>
  <c r="A8790" i="3"/>
  <c r="A8789" i="3"/>
  <c r="A8788" i="3"/>
  <c r="A8787" i="3"/>
  <c r="A8786" i="3"/>
  <c r="A8785" i="3"/>
  <c r="A8784" i="3"/>
  <c r="A8783" i="3"/>
  <c r="A8782" i="3"/>
  <c r="A8781" i="3"/>
  <c r="A8780" i="3"/>
  <c r="A8779" i="3"/>
  <c r="A8778" i="3"/>
  <c r="A8777" i="3"/>
  <c r="A8776" i="3"/>
  <c r="A8775" i="3"/>
  <c r="A8774" i="3"/>
  <c r="A8773" i="3"/>
  <c r="A8772" i="3"/>
  <c r="A8771" i="3"/>
  <c r="A8770" i="3"/>
  <c r="A8769" i="3"/>
  <c r="A8768" i="3"/>
  <c r="A8767" i="3"/>
  <c r="A8766" i="3"/>
  <c r="A8765" i="3"/>
  <c r="A8764" i="3"/>
  <c r="A8763" i="3"/>
  <c r="A8762" i="3"/>
  <c r="A8761" i="3"/>
  <c r="A8760" i="3"/>
  <c r="A8759" i="3"/>
  <c r="A8758" i="3"/>
  <c r="A8757" i="3"/>
  <c r="A8756" i="3"/>
  <c r="A8755" i="3"/>
  <c r="A8754" i="3"/>
  <c r="A8753" i="3"/>
  <c r="A8752" i="3"/>
  <c r="A8751" i="3"/>
  <c r="A8750" i="3"/>
  <c r="A8749" i="3"/>
  <c r="A8748" i="3"/>
  <c r="A8747" i="3"/>
  <c r="A8746" i="3"/>
  <c r="A8745" i="3"/>
  <c r="A8744" i="3"/>
  <c r="A8743" i="3"/>
  <c r="A8742" i="3"/>
  <c r="A8741" i="3"/>
  <c r="A8740" i="3"/>
  <c r="A8739" i="3"/>
  <c r="A8738" i="3"/>
  <c r="A8737" i="3"/>
  <c r="A8736" i="3"/>
  <c r="A8735" i="3"/>
  <c r="A8734" i="3"/>
  <c r="A8733" i="3"/>
  <c r="A8732" i="3"/>
  <c r="A8731" i="3"/>
  <c r="A8730" i="3"/>
  <c r="A8729" i="3"/>
  <c r="A8728" i="3"/>
  <c r="A8727" i="3"/>
  <c r="A8726" i="3"/>
  <c r="A8725" i="3"/>
  <c r="A8724" i="3"/>
  <c r="A8723" i="3"/>
  <c r="A8722" i="3"/>
  <c r="A8721" i="3"/>
  <c r="A8720" i="3"/>
  <c r="A8719" i="3"/>
  <c r="A8718" i="3"/>
  <c r="A8717" i="3"/>
  <c r="A8716" i="3"/>
  <c r="A8715" i="3"/>
  <c r="A8714" i="3"/>
  <c r="A8713" i="3"/>
  <c r="A8712" i="3"/>
  <c r="A8711" i="3"/>
  <c r="A8710" i="3"/>
  <c r="A8709" i="3"/>
  <c r="A8708" i="3"/>
  <c r="A8707" i="3"/>
  <c r="A8706" i="3"/>
  <c r="A8705" i="3"/>
  <c r="A8704" i="3"/>
  <c r="A8703" i="3"/>
  <c r="A8702" i="3"/>
  <c r="A8701" i="3"/>
  <c r="A8700" i="3"/>
  <c r="A8699" i="3"/>
  <c r="A8698" i="3"/>
  <c r="A8697" i="3"/>
  <c r="A8696" i="3"/>
  <c r="A8695" i="3"/>
  <c r="A8694" i="3"/>
  <c r="A8693" i="3"/>
  <c r="A8692" i="3"/>
  <c r="A8691" i="3"/>
  <c r="A8690" i="3"/>
  <c r="A8689" i="3"/>
  <c r="A8688" i="3"/>
  <c r="A8687" i="3"/>
  <c r="A8686" i="3"/>
  <c r="A8685" i="3"/>
  <c r="A8684" i="3"/>
  <c r="A8683" i="3"/>
  <c r="A8682" i="3"/>
  <c r="A8681" i="3"/>
  <c r="A8680" i="3"/>
  <c r="A8679" i="3"/>
  <c r="A8678" i="3"/>
  <c r="A8677" i="3"/>
  <c r="A8676" i="3"/>
  <c r="A8675" i="3"/>
  <c r="A8674" i="3"/>
  <c r="A8673" i="3"/>
  <c r="A8672" i="3"/>
  <c r="A8671" i="3"/>
  <c r="A8670" i="3"/>
  <c r="A8669" i="3"/>
  <c r="A8668" i="3"/>
  <c r="A8667" i="3"/>
  <c r="A8666" i="3"/>
  <c r="A8665" i="3"/>
  <c r="A8664" i="3"/>
  <c r="A8663" i="3"/>
  <c r="A8662" i="3"/>
  <c r="A8661" i="3"/>
  <c r="A8660" i="3"/>
  <c r="A8659" i="3"/>
  <c r="A8658" i="3"/>
  <c r="A8657" i="3"/>
  <c r="A8656" i="3"/>
  <c r="A8655" i="3"/>
  <c r="A8654" i="3"/>
  <c r="A8653" i="3"/>
  <c r="A8652" i="3"/>
  <c r="A8651" i="3"/>
  <c r="A8650" i="3"/>
  <c r="A8649" i="3"/>
  <c r="A8648" i="3"/>
  <c r="A8647" i="3"/>
  <c r="A8646" i="3"/>
  <c r="A8645" i="3"/>
  <c r="A8644" i="3"/>
  <c r="A8643" i="3"/>
  <c r="A8642" i="3"/>
  <c r="A8641" i="3"/>
  <c r="A8640" i="3"/>
  <c r="A8639" i="3"/>
  <c r="A8638" i="3"/>
  <c r="A8637" i="3"/>
  <c r="A8636" i="3"/>
  <c r="A8635" i="3"/>
  <c r="A8634" i="3"/>
  <c r="A8633" i="3"/>
  <c r="A8632" i="3"/>
  <c r="A8631" i="3"/>
  <c r="A8630" i="3"/>
  <c r="A8629" i="3"/>
  <c r="A8628" i="3"/>
  <c r="A8627" i="3"/>
  <c r="A8626" i="3"/>
  <c r="A8625" i="3"/>
  <c r="A8624" i="3"/>
  <c r="A8623" i="3"/>
  <c r="A8622" i="3"/>
  <c r="A8621" i="3"/>
  <c r="A8620" i="3"/>
  <c r="A8619" i="3"/>
  <c r="A8618" i="3"/>
  <c r="A8617" i="3"/>
  <c r="A8616" i="3"/>
  <c r="A8615" i="3"/>
  <c r="A8614" i="3"/>
  <c r="A8613" i="3"/>
  <c r="A8612" i="3"/>
  <c r="A8611" i="3"/>
  <c r="A8610" i="3"/>
  <c r="A8609" i="3"/>
  <c r="A8608" i="3"/>
  <c r="A8607" i="3"/>
  <c r="A8606" i="3"/>
  <c r="A8605" i="3"/>
  <c r="A8604" i="3"/>
  <c r="A8603" i="3"/>
  <c r="A8602" i="3"/>
  <c r="A8601" i="3"/>
  <c r="A8600" i="3"/>
  <c r="A8599" i="3"/>
  <c r="A8598" i="3"/>
  <c r="A8597" i="3"/>
  <c r="A8596" i="3"/>
  <c r="A8595" i="3"/>
  <c r="A8594" i="3"/>
  <c r="A8593" i="3"/>
  <c r="A8592" i="3"/>
  <c r="A8591" i="3"/>
  <c r="A8590" i="3"/>
  <c r="A8589" i="3"/>
  <c r="A8588" i="3"/>
  <c r="A8587" i="3"/>
  <c r="A8586" i="3"/>
  <c r="A8585" i="3"/>
  <c r="A8584" i="3"/>
  <c r="A8583" i="3"/>
  <c r="A8582" i="3"/>
  <c r="A8581" i="3"/>
  <c r="A8580" i="3"/>
  <c r="A8579" i="3"/>
  <c r="A8578" i="3"/>
  <c r="A8577" i="3"/>
  <c r="A8576" i="3"/>
  <c r="A8575" i="3"/>
  <c r="A8574" i="3"/>
  <c r="A8573" i="3"/>
  <c r="A8572" i="3"/>
  <c r="A8571" i="3"/>
  <c r="A8570" i="3"/>
  <c r="A8569" i="3"/>
  <c r="A8568" i="3"/>
  <c r="A8567" i="3"/>
  <c r="A8566" i="3"/>
  <c r="A8565" i="3"/>
  <c r="A8564" i="3"/>
  <c r="A8563" i="3"/>
  <c r="A8562" i="3"/>
  <c r="A8561" i="3"/>
  <c r="A8560" i="3"/>
  <c r="A8559" i="3"/>
  <c r="A8558" i="3"/>
  <c r="A8557" i="3"/>
  <c r="A8556" i="3"/>
  <c r="A8555" i="3"/>
  <c r="A8554" i="3"/>
  <c r="A8553" i="3"/>
  <c r="A8552" i="3"/>
  <c r="A8551" i="3"/>
  <c r="A8550" i="3"/>
  <c r="A8549" i="3"/>
  <c r="A8548" i="3"/>
  <c r="A8547" i="3"/>
  <c r="A8546" i="3"/>
  <c r="A8545" i="3"/>
  <c r="A8544" i="3"/>
  <c r="A8543" i="3"/>
  <c r="A8542" i="3"/>
  <c r="A8541" i="3"/>
  <c r="A8540" i="3"/>
  <c r="A8539" i="3"/>
  <c r="A8538" i="3"/>
  <c r="A8537" i="3"/>
  <c r="A8536" i="3"/>
  <c r="A8535" i="3"/>
  <c r="A8534" i="3"/>
  <c r="A8533" i="3"/>
  <c r="A8532" i="3"/>
  <c r="A8531" i="3"/>
  <c r="A8530" i="3"/>
  <c r="A8529" i="3"/>
  <c r="A8528" i="3"/>
  <c r="A8527" i="3"/>
  <c r="A8526" i="3"/>
  <c r="A8525" i="3"/>
  <c r="A8524" i="3"/>
  <c r="A8523" i="3"/>
  <c r="A8522" i="3"/>
  <c r="A8521" i="3"/>
  <c r="A8520" i="3"/>
  <c r="A8519" i="3"/>
  <c r="A8518" i="3"/>
  <c r="A8517" i="3"/>
  <c r="A8516" i="3"/>
  <c r="A8515" i="3"/>
  <c r="A8514" i="3"/>
  <c r="A8513" i="3"/>
  <c r="A8512" i="3"/>
  <c r="A8511" i="3"/>
  <c r="A8510" i="3"/>
  <c r="A8509" i="3"/>
  <c r="A8508" i="3"/>
  <c r="A8507" i="3"/>
  <c r="A8506" i="3"/>
  <c r="A8505" i="3"/>
  <c r="A8504" i="3"/>
  <c r="A8503" i="3"/>
  <c r="A8502" i="3"/>
  <c r="A8501" i="3"/>
  <c r="A8500" i="3"/>
  <c r="A8499" i="3"/>
  <c r="A8498" i="3"/>
  <c r="A8497" i="3"/>
  <c r="A8496" i="3"/>
  <c r="A8495" i="3"/>
  <c r="A8494" i="3"/>
  <c r="A8493" i="3"/>
  <c r="A8492" i="3"/>
  <c r="A8491" i="3"/>
  <c r="A8490" i="3"/>
  <c r="A8489" i="3"/>
  <c r="A8488" i="3"/>
  <c r="A8487" i="3"/>
  <c r="A8486" i="3"/>
  <c r="A8485" i="3"/>
  <c r="A8484" i="3"/>
  <c r="A8483" i="3"/>
  <c r="A8482" i="3"/>
  <c r="A8481" i="3"/>
  <c r="A8480" i="3"/>
  <c r="A8479" i="3"/>
  <c r="A8478" i="3"/>
  <c r="A8477" i="3"/>
  <c r="A8476" i="3"/>
  <c r="A8475" i="3"/>
  <c r="A8474" i="3"/>
  <c r="A8473" i="3"/>
  <c r="A8472" i="3"/>
  <c r="A8471" i="3"/>
  <c r="A8470" i="3"/>
  <c r="A8469" i="3"/>
  <c r="A8468" i="3"/>
  <c r="A8467" i="3"/>
  <c r="A8466" i="3"/>
  <c r="A8465" i="3"/>
  <c r="A8464" i="3"/>
  <c r="A8463" i="3"/>
  <c r="A8462" i="3"/>
  <c r="A8461" i="3"/>
  <c r="A8460" i="3"/>
  <c r="A8459" i="3"/>
  <c r="A8458" i="3"/>
  <c r="A8457" i="3"/>
  <c r="A8456" i="3"/>
  <c r="A8455" i="3"/>
  <c r="A8454" i="3"/>
  <c r="A8453" i="3"/>
  <c r="A8452" i="3"/>
  <c r="A8451" i="3"/>
  <c r="A8450" i="3"/>
  <c r="A8449" i="3"/>
  <c r="A8448" i="3"/>
  <c r="A8447" i="3"/>
  <c r="A8446" i="3"/>
  <c r="A8445" i="3"/>
  <c r="A8444" i="3"/>
  <c r="A8443" i="3"/>
  <c r="A8442" i="3"/>
  <c r="A8441" i="3"/>
  <c r="A8440" i="3"/>
  <c r="A8439" i="3"/>
  <c r="A8438" i="3"/>
  <c r="A8437" i="3"/>
  <c r="A8436" i="3"/>
  <c r="A8435" i="3"/>
  <c r="A8434" i="3"/>
  <c r="A8433" i="3"/>
  <c r="A8432" i="3"/>
  <c r="A8431" i="3"/>
  <c r="A8430" i="3"/>
  <c r="A8429" i="3"/>
  <c r="A8428" i="3"/>
  <c r="A8427" i="3"/>
  <c r="A8426" i="3"/>
  <c r="A8425" i="3"/>
  <c r="A8424" i="3"/>
  <c r="A8423" i="3"/>
  <c r="A8422" i="3"/>
  <c r="A8421" i="3"/>
  <c r="A8420" i="3"/>
  <c r="A8419" i="3"/>
  <c r="A8418" i="3"/>
  <c r="A8417" i="3"/>
  <c r="A8416" i="3"/>
  <c r="A8415" i="3"/>
  <c r="A8414" i="3"/>
  <c r="A8413" i="3"/>
  <c r="A8412" i="3"/>
  <c r="A8411" i="3"/>
  <c r="A8410" i="3"/>
  <c r="A8409" i="3"/>
  <c r="A8408" i="3"/>
  <c r="A8407" i="3"/>
  <c r="A8406" i="3"/>
  <c r="A8405" i="3"/>
  <c r="A8404" i="3"/>
  <c r="A8403" i="3"/>
  <c r="A8402" i="3"/>
  <c r="A8401" i="3"/>
  <c r="A8400" i="3"/>
  <c r="A8399" i="3"/>
  <c r="A8398" i="3"/>
  <c r="A8397" i="3"/>
  <c r="A8396" i="3"/>
  <c r="A8395" i="3"/>
  <c r="A8394" i="3"/>
  <c r="A8393" i="3"/>
  <c r="A8392" i="3"/>
  <c r="A8391" i="3"/>
  <c r="A8390" i="3"/>
  <c r="A8389" i="3"/>
  <c r="A8388" i="3"/>
  <c r="A8387" i="3"/>
  <c r="A8386" i="3"/>
  <c r="A8385" i="3"/>
  <c r="A8384" i="3"/>
  <c r="A8383" i="3"/>
  <c r="A8382" i="3"/>
  <c r="A8381" i="3"/>
  <c r="A8380" i="3"/>
  <c r="A8379" i="3"/>
  <c r="A8378" i="3"/>
  <c r="A8377" i="3"/>
  <c r="A8376" i="3"/>
  <c r="A8375" i="3"/>
  <c r="A8374" i="3"/>
  <c r="A8373" i="3"/>
  <c r="A8372" i="3"/>
  <c r="A8371" i="3"/>
  <c r="A8370" i="3"/>
  <c r="A8369" i="3"/>
  <c r="A8368" i="3"/>
  <c r="A8367" i="3"/>
  <c r="A8366" i="3"/>
  <c r="A8365" i="3"/>
  <c r="A8364" i="3"/>
  <c r="A8363" i="3"/>
  <c r="A8362" i="3"/>
  <c r="A8361" i="3"/>
  <c r="A8360" i="3"/>
  <c r="A8359" i="3"/>
  <c r="A8358" i="3"/>
  <c r="A8357" i="3"/>
  <c r="A8356" i="3"/>
  <c r="A8355" i="3"/>
  <c r="A8354" i="3"/>
  <c r="A8353" i="3"/>
  <c r="A8352" i="3"/>
  <c r="A8351" i="3"/>
  <c r="A8350" i="3"/>
  <c r="A8349" i="3"/>
  <c r="A8348" i="3"/>
  <c r="A8347" i="3"/>
  <c r="A8346" i="3"/>
  <c r="A8345" i="3"/>
  <c r="A8344" i="3"/>
  <c r="A8343" i="3"/>
  <c r="A8342" i="3"/>
  <c r="A8341" i="3"/>
  <c r="A8340" i="3"/>
  <c r="A8339" i="3"/>
  <c r="A8338" i="3"/>
  <c r="A8337" i="3"/>
  <c r="A8336" i="3"/>
  <c r="A8335" i="3"/>
  <c r="A8334" i="3"/>
  <c r="A8333" i="3"/>
  <c r="A8332" i="3"/>
  <c r="A8331" i="3"/>
  <c r="A8330" i="3"/>
  <c r="A8329" i="3"/>
  <c r="A8328" i="3"/>
  <c r="A8327" i="3"/>
  <c r="A8326" i="3"/>
  <c r="A8325" i="3"/>
  <c r="A8324" i="3"/>
  <c r="A8323" i="3"/>
  <c r="A8322" i="3"/>
  <c r="A8321" i="3"/>
  <c r="A8320" i="3"/>
  <c r="A8319" i="3"/>
  <c r="A8318" i="3"/>
  <c r="A8317" i="3"/>
  <c r="A8316" i="3"/>
  <c r="A8315" i="3"/>
  <c r="A8314" i="3"/>
  <c r="A8313" i="3"/>
  <c r="A8312" i="3"/>
  <c r="A8311" i="3"/>
  <c r="A8310" i="3"/>
  <c r="A8309" i="3"/>
  <c r="A8308" i="3"/>
  <c r="A8307" i="3"/>
  <c r="A8306" i="3"/>
  <c r="A8305" i="3"/>
  <c r="A8304" i="3"/>
  <c r="A8303" i="3"/>
  <c r="A8302" i="3"/>
  <c r="A8301" i="3"/>
  <c r="A8300" i="3"/>
  <c r="A8299" i="3"/>
  <c r="A8298" i="3"/>
  <c r="A8297" i="3"/>
  <c r="A8296" i="3"/>
  <c r="A8295" i="3"/>
  <c r="A8294" i="3"/>
  <c r="A8293" i="3"/>
  <c r="A8292" i="3"/>
  <c r="A8291" i="3"/>
  <c r="A8290" i="3"/>
  <c r="A8289" i="3"/>
  <c r="A8288" i="3"/>
  <c r="A8287" i="3"/>
  <c r="A8286" i="3"/>
  <c r="A8285" i="3"/>
  <c r="A8284" i="3"/>
  <c r="A8283" i="3"/>
  <c r="A8282" i="3"/>
  <c r="A8281" i="3"/>
  <c r="A8280" i="3"/>
  <c r="A8279" i="3"/>
  <c r="A8278" i="3"/>
  <c r="A8277" i="3"/>
  <c r="A8276" i="3"/>
  <c r="A8275" i="3"/>
  <c r="A8274" i="3"/>
  <c r="A8273" i="3"/>
  <c r="A8272" i="3"/>
  <c r="A8271" i="3"/>
  <c r="A8270" i="3"/>
  <c r="A8269" i="3"/>
  <c r="A8268" i="3"/>
  <c r="A8267" i="3"/>
  <c r="A8266" i="3"/>
  <c r="A8265" i="3"/>
  <c r="A8264" i="3"/>
  <c r="A8263" i="3"/>
  <c r="A8262" i="3"/>
  <c r="A8261" i="3"/>
  <c r="A8260" i="3"/>
  <c r="A8259" i="3"/>
  <c r="A8258" i="3"/>
  <c r="A8257" i="3"/>
  <c r="A8256" i="3"/>
  <c r="A8255" i="3"/>
  <c r="A8254" i="3"/>
  <c r="A8253" i="3"/>
  <c r="A8252" i="3"/>
  <c r="A8251" i="3"/>
  <c r="A8250" i="3"/>
  <c r="A8249" i="3"/>
  <c r="A8248" i="3"/>
  <c r="A8247" i="3"/>
  <c r="A8246" i="3"/>
  <c r="A8245" i="3"/>
  <c r="A8244" i="3"/>
  <c r="A8243" i="3"/>
  <c r="A8242" i="3"/>
  <c r="A8241" i="3"/>
  <c r="A8240" i="3"/>
  <c r="A8239" i="3"/>
  <c r="A8238" i="3"/>
  <c r="A8237" i="3"/>
  <c r="A8236" i="3"/>
  <c r="A8235" i="3"/>
  <c r="A8234" i="3"/>
  <c r="A8233" i="3"/>
  <c r="A8232" i="3"/>
  <c r="A8231" i="3"/>
  <c r="A8230" i="3"/>
  <c r="A8229" i="3"/>
  <c r="A8228" i="3"/>
  <c r="A8227" i="3"/>
  <c r="A8226" i="3"/>
  <c r="A8225" i="3"/>
  <c r="A8224" i="3"/>
  <c r="A8223" i="3"/>
  <c r="A8222" i="3"/>
  <c r="A8221" i="3"/>
  <c r="A8220" i="3"/>
  <c r="A8219" i="3"/>
  <c r="A8218" i="3"/>
  <c r="A8217" i="3"/>
  <c r="A8216" i="3"/>
  <c r="A8215" i="3"/>
  <c r="A8214" i="3"/>
  <c r="A8213" i="3"/>
  <c r="A8212" i="3"/>
  <c r="A8211" i="3"/>
  <c r="A8210" i="3"/>
  <c r="A8209" i="3"/>
  <c r="A8208" i="3"/>
  <c r="A8207" i="3"/>
  <c r="A8206" i="3"/>
  <c r="A8205" i="3"/>
  <c r="A8204" i="3"/>
  <c r="A8203" i="3"/>
  <c r="A8202" i="3"/>
  <c r="A8201" i="3"/>
  <c r="A8200" i="3"/>
  <c r="A8199" i="3"/>
  <c r="A8198" i="3"/>
  <c r="A8197" i="3"/>
  <c r="A8196" i="3"/>
  <c r="A8195" i="3"/>
  <c r="A8194" i="3"/>
  <c r="A8193" i="3"/>
  <c r="A8192" i="3"/>
  <c r="A8191" i="3"/>
  <c r="A8190" i="3"/>
  <c r="A8189" i="3"/>
  <c r="A8188" i="3"/>
  <c r="A8187" i="3"/>
  <c r="A8186" i="3"/>
  <c r="A8185" i="3"/>
  <c r="A8184" i="3"/>
  <c r="A8183" i="3"/>
  <c r="A8182" i="3"/>
  <c r="A8181" i="3"/>
  <c r="A8180" i="3"/>
  <c r="A8179" i="3"/>
  <c r="A8178" i="3"/>
  <c r="A8177" i="3"/>
  <c r="A8176" i="3"/>
  <c r="A8175" i="3"/>
  <c r="A8174" i="3"/>
  <c r="A8173" i="3"/>
  <c r="A8172" i="3"/>
  <c r="A8171" i="3"/>
  <c r="A8170" i="3"/>
  <c r="A8169" i="3"/>
  <c r="A8168" i="3"/>
  <c r="A8167" i="3"/>
  <c r="A8166" i="3"/>
  <c r="A8165" i="3"/>
  <c r="A8164" i="3"/>
  <c r="A8163" i="3"/>
  <c r="A8162" i="3"/>
  <c r="A8161" i="3"/>
  <c r="A8160" i="3"/>
  <c r="A8159" i="3"/>
  <c r="A8158" i="3"/>
  <c r="A8157" i="3"/>
  <c r="A8156" i="3"/>
  <c r="A8155" i="3"/>
  <c r="A8154" i="3"/>
  <c r="A8153" i="3"/>
  <c r="A8152" i="3"/>
  <c r="A8151" i="3"/>
  <c r="A8150" i="3"/>
  <c r="A8149" i="3"/>
  <c r="A8148" i="3"/>
  <c r="A8147" i="3"/>
  <c r="A8146" i="3"/>
  <c r="A8145" i="3"/>
  <c r="A8144" i="3"/>
  <c r="A8143" i="3"/>
  <c r="A8142" i="3"/>
  <c r="A8141" i="3"/>
  <c r="A8140" i="3"/>
  <c r="A8139" i="3"/>
  <c r="A8138" i="3"/>
  <c r="A8137" i="3"/>
  <c r="A8136" i="3"/>
  <c r="A8135" i="3"/>
  <c r="A8134" i="3"/>
  <c r="A8133" i="3"/>
  <c r="A8132" i="3"/>
  <c r="A8131" i="3"/>
  <c r="A8130" i="3"/>
  <c r="A8129" i="3"/>
  <c r="A8128" i="3"/>
  <c r="A8127" i="3"/>
  <c r="A8126" i="3"/>
  <c r="A8125" i="3"/>
  <c r="A8124" i="3"/>
  <c r="A8123" i="3"/>
  <c r="A8122" i="3"/>
  <c r="A8121" i="3"/>
  <c r="A8120" i="3"/>
  <c r="A8119" i="3"/>
  <c r="A8118" i="3"/>
  <c r="A8117" i="3"/>
  <c r="A8116" i="3"/>
  <c r="A8115" i="3"/>
  <c r="A8114" i="3"/>
  <c r="A8113" i="3"/>
  <c r="A8112" i="3"/>
  <c r="A8111" i="3"/>
  <c r="A8110" i="3"/>
  <c r="A8109" i="3"/>
  <c r="A8108" i="3"/>
  <c r="A8107" i="3"/>
  <c r="A8106" i="3"/>
  <c r="A8105" i="3"/>
  <c r="A8104" i="3"/>
  <c r="A8103" i="3"/>
  <c r="A8102" i="3"/>
  <c r="A8101" i="3"/>
  <c r="A8100" i="3"/>
  <c r="A8099" i="3"/>
  <c r="A8098" i="3"/>
  <c r="A8097" i="3"/>
  <c r="A8096" i="3"/>
  <c r="A8095" i="3"/>
  <c r="A8094" i="3"/>
  <c r="A8093" i="3"/>
  <c r="A8092" i="3"/>
  <c r="A8091" i="3"/>
  <c r="A8090" i="3"/>
  <c r="A8089" i="3"/>
  <c r="A8088" i="3"/>
  <c r="A8087" i="3"/>
  <c r="A8086" i="3"/>
  <c r="A8085" i="3"/>
  <c r="A8084" i="3"/>
  <c r="A8083" i="3"/>
  <c r="A8082" i="3"/>
  <c r="A8081" i="3"/>
  <c r="A8080" i="3"/>
  <c r="A8079" i="3"/>
  <c r="A8078" i="3"/>
  <c r="A8077" i="3"/>
  <c r="A8076" i="3"/>
  <c r="A8075" i="3"/>
  <c r="A8074" i="3"/>
  <c r="A8073" i="3"/>
  <c r="A8072" i="3"/>
  <c r="A8071" i="3"/>
  <c r="A8070" i="3"/>
  <c r="A8069" i="3"/>
  <c r="A8068" i="3"/>
  <c r="A8067" i="3"/>
  <c r="A8066" i="3"/>
  <c r="A8065" i="3"/>
  <c r="A8064" i="3"/>
  <c r="A8063" i="3"/>
  <c r="A8062" i="3"/>
  <c r="A8061" i="3"/>
  <c r="A8060" i="3"/>
  <c r="A8059" i="3"/>
  <c r="A8058" i="3"/>
  <c r="A8057" i="3"/>
  <c r="A8056" i="3"/>
  <c r="A8055" i="3"/>
  <c r="A8054" i="3"/>
  <c r="A8053" i="3"/>
  <c r="A8052" i="3"/>
  <c r="A8051" i="3"/>
  <c r="A8050" i="3"/>
  <c r="A8049" i="3"/>
  <c r="A8048" i="3"/>
  <c r="A8047" i="3"/>
  <c r="A8046" i="3"/>
  <c r="A8045" i="3"/>
  <c r="A8044" i="3"/>
  <c r="A8043" i="3"/>
  <c r="A8042" i="3"/>
  <c r="A8041" i="3"/>
  <c r="A8040" i="3"/>
  <c r="A8039" i="3"/>
  <c r="A8038" i="3"/>
  <c r="A8037" i="3"/>
  <c r="A8036" i="3"/>
  <c r="A8035" i="3"/>
  <c r="A8034" i="3"/>
  <c r="A8033" i="3"/>
  <c r="A8032" i="3"/>
  <c r="A8031" i="3"/>
  <c r="A8030" i="3"/>
  <c r="A8029" i="3"/>
  <c r="A8028" i="3"/>
  <c r="A8027" i="3"/>
  <c r="A8026" i="3"/>
  <c r="A8025" i="3"/>
  <c r="A8024" i="3"/>
  <c r="A8023" i="3"/>
  <c r="A8022" i="3"/>
  <c r="A8021" i="3"/>
  <c r="A8020" i="3"/>
  <c r="A8019" i="3"/>
  <c r="A8018" i="3"/>
  <c r="A8017" i="3"/>
  <c r="A8016" i="3"/>
  <c r="A8015" i="3"/>
  <c r="A8014" i="3"/>
  <c r="A8013" i="3"/>
  <c r="A8012" i="3"/>
  <c r="A8011" i="3"/>
  <c r="A8010" i="3"/>
  <c r="A8009" i="3"/>
  <c r="A8008" i="3"/>
  <c r="A8007" i="3"/>
  <c r="A8006" i="3"/>
  <c r="A8005" i="3"/>
  <c r="A8004" i="3"/>
  <c r="A8003" i="3"/>
  <c r="A8002" i="3"/>
  <c r="A8001" i="3"/>
  <c r="A8000" i="3"/>
  <c r="A7999" i="3"/>
  <c r="A7998" i="3"/>
  <c r="A7997" i="3"/>
  <c r="A7996" i="3"/>
  <c r="A7995" i="3"/>
  <c r="A7994" i="3"/>
  <c r="A7993" i="3"/>
  <c r="A7992" i="3"/>
  <c r="A7991" i="3"/>
  <c r="A7990" i="3"/>
  <c r="A7989" i="3"/>
  <c r="A7988" i="3"/>
  <c r="A7987" i="3"/>
  <c r="A7986" i="3"/>
  <c r="A7985" i="3"/>
  <c r="A7984" i="3"/>
  <c r="A7983" i="3"/>
  <c r="A7982" i="3"/>
  <c r="A7981" i="3"/>
  <c r="A7980" i="3"/>
  <c r="A7979" i="3"/>
  <c r="A7978" i="3"/>
  <c r="A7977" i="3"/>
  <c r="A7976" i="3"/>
  <c r="A7975" i="3"/>
  <c r="A7974" i="3"/>
  <c r="A7973" i="3"/>
  <c r="A7972" i="3"/>
  <c r="A7971" i="3"/>
  <c r="A7970" i="3"/>
  <c r="A7969" i="3"/>
  <c r="A7968" i="3"/>
  <c r="A7967" i="3"/>
  <c r="A7966" i="3"/>
  <c r="A7965" i="3"/>
  <c r="A7964" i="3"/>
  <c r="A7963" i="3"/>
  <c r="A7962" i="3"/>
  <c r="A7961" i="3"/>
  <c r="A7960" i="3"/>
  <c r="A7959" i="3"/>
  <c r="A7958" i="3"/>
  <c r="A7957" i="3"/>
  <c r="A7956" i="3"/>
  <c r="A7955" i="3"/>
  <c r="A7954" i="3"/>
  <c r="A7953" i="3"/>
  <c r="A7952" i="3"/>
  <c r="A7951" i="3"/>
  <c r="A7950" i="3"/>
  <c r="A7949" i="3"/>
  <c r="A7948" i="3"/>
  <c r="A7947" i="3"/>
  <c r="A7946" i="3"/>
  <c r="A7945" i="3"/>
  <c r="A7944" i="3"/>
  <c r="A7943" i="3"/>
  <c r="A7942" i="3"/>
  <c r="A7941" i="3"/>
  <c r="A7940" i="3"/>
  <c r="A7939" i="3"/>
  <c r="A7938" i="3"/>
  <c r="A7937" i="3"/>
  <c r="A7936" i="3"/>
  <c r="A7935" i="3"/>
  <c r="A7934" i="3"/>
  <c r="A7933" i="3"/>
  <c r="A7932" i="3"/>
  <c r="A7931" i="3"/>
  <c r="A7930" i="3"/>
  <c r="A7929" i="3"/>
  <c r="A7928" i="3"/>
  <c r="A7927" i="3"/>
  <c r="A7926" i="3"/>
  <c r="A7925" i="3"/>
  <c r="A7924" i="3"/>
  <c r="A7923" i="3"/>
  <c r="A7922" i="3"/>
  <c r="A7921" i="3"/>
  <c r="A7920" i="3"/>
  <c r="A7919" i="3"/>
  <c r="A7918" i="3"/>
  <c r="A7917" i="3"/>
  <c r="A7916" i="3"/>
  <c r="A7915" i="3"/>
  <c r="A7914" i="3"/>
  <c r="A7913" i="3"/>
  <c r="A7912" i="3"/>
  <c r="A7911" i="3"/>
  <c r="A7910" i="3"/>
  <c r="A7909" i="3"/>
  <c r="A7908" i="3"/>
  <c r="A7907" i="3"/>
  <c r="A7906" i="3"/>
  <c r="A7905" i="3"/>
  <c r="A7904" i="3"/>
  <c r="A7903" i="3"/>
  <c r="A7902" i="3"/>
  <c r="A7901" i="3"/>
  <c r="A7900" i="3"/>
  <c r="A7899" i="3"/>
  <c r="A7898" i="3"/>
  <c r="A7897" i="3"/>
  <c r="A7896" i="3"/>
  <c r="A7895" i="3"/>
  <c r="A7894" i="3"/>
  <c r="A7893" i="3"/>
  <c r="A7892" i="3"/>
  <c r="A7891" i="3"/>
  <c r="A7890" i="3"/>
  <c r="A7889" i="3"/>
  <c r="A7888" i="3"/>
  <c r="A7887" i="3"/>
  <c r="A7886" i="3"/>
  <c r="A7885" i="3"/>
  <c r="A7884" i="3"/>
  <c r="A7883" i="3"/>
  <c r="A7882" i="3"/>
  <c r="A7881" i="3"/>
  <c r="A7880" i="3"/>
  <c r="A7879" i="3"/>
  <c r="A7878" i="3"/>
  <c r="A7877" i="3"/>
  <c r="A7876" i="3"/>
  <c r="A7875" i="3"/>
  <c r="A7874" i="3"/>
  <c r="A7873" i="3"/>
  <c r="A7872" i="3"/>
  <c r="A7871" i="3"/>
  <c r="A7870" i="3"/>
  <c r="A7869" i="3"/>
  <c r="A7868" i="3"/>
  <c r="A7867" i="3"/>
  <c r="A7866" i="3"/>
  <c r="A7865" i="3"/>
  <c r="A7864" i="3"/>
  <c r="A7863" i="3"/>
  <c r="A7862" i="3"/>
  <c r="A7861" i="3"/>
  <c r="A7860" i="3"/>
  <c r="A7859" i="3"/>
  <c r="A7858" i="3"/>
  <c r="A7857" i="3"/>
  <c r="A7856" i="3"/>
  <c r="A7855" i="3"/>
  <c r="A7854" i="3"/>
  <c r="A7853" i="3"/>
  <c r="A7852" i="3"/>
  <c r="A7851" i="3"/>
  <c r="A7850" i="3"/>
  <c r="A7849" i="3"/>
  <c r="A7848" i="3"/>
  <c r="A7847" i="3"/>
  <c r="A7846" i="3"/>
  <c r="A7845" i="3"/>
  <c r="A7844" i="3"/>
  <c r="A7843" i="3"/>
  <c r="A7842" i="3"/>
  <c r="A7841" i="3"/>
  <c r="A7840" i="3"/>
  <c r="A7839" i="3"/>
  <c r="A7838" i="3"/>
  <c r="A7837" i="3"/>
  <c r="A7836" i="3"/>
  <c r="A7835" i="3"/>
  <c r="A7834" i="3"/>
  <c r="A7833" i="3"/>
  <c r="A7832" i="3"/>
  <c r="A7831" i="3"/>
  <c r="A7830" i="3"/>
  <c r="A7829" i="3"/>
  <c r="A7828" i="3"/>
  <c r="A7827" i="3"/>
  <c r="A7826" i="3"/>
  <c r="A7825" i="3"/>
  <c r="A7824" i="3"/>
  <c r="A7823" i="3"/>
  <c r="A7822" i="3"/>
  <c r="A7821" i="3"/>
  <c r="A7820" i="3"/>
  <c r="A7819" i="3"/>
  <c r="A7818" i="3"/>
  <c r="A7817" i="3"/>
  <c r="A7816" i="3"/>
  <c r="A7815" i="3"/>
  <c r="A7814" i="3"/>
  <c r="A7813" i="3"/>
  <c r="A7812" i="3"/>
  <c r="A7811" i="3"/>
  <c r="A7810" i="3"/>
  <c r="A7809" i="3"/>
  <c r="A7808" i="3"/>
  <c r="A7807" i="3"/>
  <c r="A7806" i="3"/>
  <c r="A7805" i="3"/>
  <c r="A7804" i="3"/>
  <c r="A7803" i="3"/>
  <c r="A7802" i="3"/>
  <c r="A7801" i="3"/>
  <c r="A7800" i="3"/>
  <c r="A7799" i="3"/>
  <c r="A7798" i="3"/>
  <c r="A7797" i="3"/>
  <c r="A7796" i="3"/>
  <c r="A7795" i="3"/>
  <c r="A7794" i="3"/>
  <c r="A7793" i="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A7354" i="3"/>
  <c r="A7353" i="3"/>
  <c r="A7352" i="3"/>
  <c r="A7351" i="3"/>
  <c r="A7350" i="3"/>
  <c r="A7349" i="3"/>
  <c r="A7348" i="3"/>
  <c r="A7347" i="3"/>
  <c r="A7346" i="3"/>
  <c r="A7345" i="3"/>
  <c r="A7344" i="3"/>
  <c r="A7343" i="3"/>
  <c r="A7342" i="3"/>
  <c r="A7341" i="3"/>
  <c r="A7340" i="3"/>
  <c r="A7339" i="3"/>
  <c r="A7338" i="3"/>
  <c r="A7337" i="3"/>
  <c r="A7336" i="3"/>
  <c r="A7335" i="3"/>
  <c r="A7334" i="3"/>
  <c r="A7333" i="3"/>
  <c r="A7332" i="3"/>
  <c r="A7331" i="3"/>
  <c r="A7330" i="3"/>
  <c r="A7329" i="3"/>
  <c r="A7328" i="3"/>
  <c r="A7327" i="3"/>
  <c r="A7326" i="3"/>
  <c r="A7325" i="3"/>
  <c r="A7324" i="3"/>
  <c r="A7323" i="3"/>
  <c r="A7322" i="3"/>
  <c r="A7321" i="3"/>
  <c r="A7320" i="3"/>
  <c r="A7319" i="3"/>
  <c r="A7318" i="3"/>
  <c r="A7317" i="3"/>
  <c r="A7316" i="3"/>
  <c r="A7315" i="3"/>
  <c r="A7314" i="3"/>
  <c r="A7313" i="3"/>
  <c r="A7312" i="3"/>
  <c r="A7311" i="3"/>
  <c r="A7310" i="3"/>
  <c r="A7309" i="3"/>
  <c r="A7308" i="3"/>
  <c r="A7307" i="3"/>
  <c r="A7306" i="3"/>
  <c r="A7305" i="3"/>
  <c r="A7304" i="3"/>
  <c r="A7303" i="3"/>
  <c r="A7302" i="3"/>
  <c r="A7301" i="3"/>
  <c r="A7300" i="3"/>
  <c r="A7299" i="3"/>
  <c r="A7298" i="3"/>
  <c r="A7297" i="3"/>
  <c r="A7296" i="3"/>
  <c r="A7295" i="3"/>
  <c r="A7294" i="3"/>
  <c r="A7293" i="3"/>
  <c r="A7292" i="3"/>
  <c r="A7291" i="3"/>
  <c r="A7290" i="3"/>
  <c r="A7289" i="3"/>
  <c r="A7288" i="3"/>
  <c r="A7287" i="3"/>
  <c r="A7286" i="3"/>
  <c r="A7285" i="3"/>
  <c r="A7284" i="3"/>
  <c r="A7283" i="3"/>
  <c r="A7282" i="3"/>
  <c r="A7281" i="3"/>
  <c r="A7280" i="3"/>
  <c r="A7279" i="3"/>
  <c r="A7278" i="3"/>
  <c r="A7277" i="3"/>
  <c r="A7276" i="3"/>
  <c r="A7275" i="3"/>
  <c r="A7274" i="3"/>
  <c r="A7273" i="3"/>
  <c r="A7272" i="3"/>
  <c r="A7271" i="3"/>
  <c r="A7270" i="3"/>
  <c r="A7269" i="3"/>
  <c r="A7268" i="3"/>
  <c r="A7267" i="3"/>
  <c r="A7266" i="3"/>
  <c r="A7265" i="3"/>
  <c r="A7264" i="3"/>
  <c r="A7263" i="3"/>
  <c r="A7262" i="3"/>
  <c r="A7261" i="3"/>
  <c r="A7260" i="3"/>
  <c r="A7259" i="3"/>
  <c r="A7258" i="3"/>
  <c r="A7257" i="3"/>
  <c r="A7256" i="3"/>
  <c r="A7255" i="3"/>
  <c r="A7254" i="3"/>
  <c r="A7253" i="3"/>
  <c r="A7252" i="3"/>
  <c r="A7251" i="3"/>
  <c r="A7250" i="3"/>
  <c r="A7249" i="3"/>
  <c r="A7248" i="3"/>
  <c r="A7247" i="3"/>
  <c r="A7246" i="3"/>
  <c r="A7245" i="3"/>
  <c r="A7244" i="3"/>
  <c r="A7243" i="3"/>
  <c r="A7242" i="3"/>
  <c r="A7241" i="3"/>
  <c r="A7240" i="3"/>
  <c r="A7239" i="3"/>
  <c r="A7238" i="3"/>
  <c r="A7237" i="3"/>
  <c r="A7236" i="3"/>
  <c r="A7235" i="3"/>
  <c r="A7234" i="3"/>
  <c r="A7233" i="3"/>
  <c r="A7232" i="3"/>
  <c r="A7231" i="3"/>
  <c r="A7230" i="3"/>
  <c r="A7229" i="3"/>
  <c r="A7228" i="3"/>
  <c r="A7227" i="3"/>
  <c r="A7226" i="3"/>
  <c r="A7225" i="3"/>
  <c r="A7224" i="3"/>
  <c r="A7223" i="3"/>
  <c r="A7222" i="3"/>
  <c r="A7221" i="3"/>
  <c r="A7220" i="3"/>
  <c r="A7219" i="3"/>
  <c r="A7218" i="3"/>
  <c r="A7217" i="3"/>
  <c r="A7216" i="3"/>
  <c r="A7215" i="3"/>
  <c r="A7214" i="3"/>
  <c r="A7213" i="3"/>
  <c r="A7212" i="3"/>
  <c r="A7211" i="3"/>
  <c r="A7210" i="3"/>
  <c r="A7209" i="3"/>
  <c r="A7208" i="3"/>
  <c r="A7207" i="3"/>
  <c r="A7206" i="3"/>
  <c r="A7205" i="3"/>
  <c r="A7204" i="3"/>
  <c r="A7203" i="3"/>
  <c r="A7202" i="3"/>
  <c r="A7201" i="3"/>
  <c r="A7200" i="3"/>
  <c r="A7199" i="3"/>
  <c r="A7198" i="3"/>
  <c r="A7197" i="3"/>
  <c r="A7196" i="3"/>
  <c r="A7195" i="3"/>
  <c r="A7194" i="3"/>
  <c r="A7193" i="3"/>
  <c r="A7192" i="3"/>
  <c r="A7191" i="3"/>
  <c r="A7190" i="3"/>
  <c r="A7189" i="3"/>
  <c r="A7188" i="3"/>
  <c r="A7187" i="3"/>
  <c r="A7186" i="3"/>
  <c r="A7185" i="3"/>
  <c r="A7184" i="3"/>
  <c r="A7183" i="3"/>
  <c r="A7182" i="3"/>
  <c r="A7181" i="3"/>
  <c r="A7180" i="3"/>
  <c r="A7179" i="3"/>
  <c r="A7178" i="3"/>
  <c r="A7177" i="3"/>
  <c r="A7176" i="3"/>
  <c r="A7175" i="3"/>
  <c r="A7174" i="3"/>
  <c r="A7173" i="3"/>
  <c r="A7172" i="3"/>
  <c r="A7171" i="3"/>
  <c r="A7170" i="3"/>
  <c r="A7169" i="3"/>
  <c r="A7168" i="3"/>
  <c r="A7167" i="3"/>
  <c r="A7166" i="3"/>
  <c r="A7165" i="3"/>
  <c r="A7164" i="3"/>
  <c r="A7163" i="3"/>
  <c r="A7162" i="3"/>
  <c r="A7161" i="3"/>
  <c r="A7160" i="3"/>
  <c r="A7159" i="3"/>
  <c r="A7158" i="3"/>
  <c r="A7157" i="3"/>
  <c r="A7156" i="3"/>
  <c r="A7155" i="3"/>
  <c r="A7154" i="3"/>
  <c r="A7153" i="3"/>
  <c r="A7152" i="3"/>
  <c r="A7151" i="3"/>
  <c r="A7150" i="3"/>
  <c r="A7149" i="3"/>
  <c r="A7148" i="3"/>
  <c r="A7147" i="3"/>
  <c r="A7146" i="3"/>
  <c r="A7145" i="3"/>
  <c r="A7144" i="3"/>
  <c r="A7143" i="3"/>
  <c r="A7142" i="3"/>
  <c r="A7141" i="3"/>
  <c r="A7140" i="3"/>
  <c r="A7139" i="3"/>
  <c r="A7138" i="3"/>
  <c r="A7137" i="3"/>
  <c r="A7136" i="3"/>
  <c r="A7135" i="3"/>
  <c r="A7134" i="3"/>
  <c r="A7133" i="3"/>
  <c r="A7132" i="3"/>
  <c r="A7131" i="3"/>
  <c r="A7130" i="3"/>
  <c r="A7129" i="3"/>
  <c r="A7128" i="3"/>
  <c r="A7127" i="3"/>
  <c r="A7126" i="3"/>
  <c r="A7125" i="3"/>
  <c r="A7124" i="3"/>
  <c r="A7123" i="3"/>
  <c r="A7122" i="3"/>
  <c r="A7121" i="3"/>
  <c r="A7120" i="3"/>
  <c r="A7119" i="3"/>
  <c r="A7118" i="3"/>
  <c r="A7117" i="3"/>
  <c r="A7116" i="3"/>
  <c r="A7115" i="3"/>
  <c r="A7114" i="3"/>
  <c r="A7113" i="3"/>
  <c r="A7112" i="3"/>
  <c r="A7111" i="3"/>
  <c r="A7110" i="3"/>
  <c r="A7109" i="3"/>
  <c r="A7108" i="3"/>
  <c r="A7107" i="3"/>
  <c r="A7106" i="3"/>
  <c r="A7105" i="3"/>
  <c r="A7104" i="3"/>
  <c r="A7103" i="3"/>
  <c r="A7102" i="3"/>
  <c r="A7101" i="3"/>
  <c r="A7100" i="3"/>
  <c r="A7099" i="3"/>
  <c r="A7098" i="3"/>
  <c r="A7097" i="3"/>
  <c r="A7096" i="3"/>
  <c r="A7095" i="3"/>
  <c r="A7094" i="3"/>
  <c r="A7093" i="3"/>
  <c r="A7092" i="3"/>
  <c r="A7091" i="3"/>
  <c r="A7090" i="3"/>
  <c r="A7089" i="3"/>
  <c r="A7088" i="3"/>
  <c r="A7087" i="3"/>
  <c r="A7086" i="3"/>
  <c r="A7085" i="3"/>
  <c r="A7084" i="3"/>
  <c r="A7083" i="3"/>
  <c r="A7082" i="3"/>
  <c r="A7081" i="3"/>
  <c r="A7080" i="3"/>
  <c r="A7079" i="3"/>
  <c r="A7078" i="3"/>
  <c r="A7077" i="3"/>
  <c r="A7076" i="3"/>
  <c r="A7075" i="3"/>
  <c r="A7074" i="3"/>
  <c r="A7073" i="3"/>
  <c r="A7072" i="3"/>
  <c r="A7071" i="3"/>
  <c r="A7070" i="3"/>
  <c r="A7069" i="3"/>
  <c r="A7068" i="3"/>
  <c r="A7067" i="3"/>
  <c r="A7066" i="3"/>
  <c r="A7065" i="3"/>
  <c r="A7064" i="3"/>
  <c r="A7063" i="3"/>
  <c r="A7062" i="3"/>
  <c r="A7061" i="3"/>
  <c r="A7060" i="3"/>
  <c r="A7059" i="3"/>
  <c r="A7058" i="3"/>
  <c r="A7057" i="3"/>
  <c r="A7056" i="3"/>
  <c r="A7055" i="3"/>
  <c r="A7054" i="3"/>
  <c r="A7053" i="3"/>
  <c r="A7052" i="3"/>
  <c r="A7051" i="3"/>
  <c r="A7050" i="3"/>
  <c r="A7049" i="3"/>
  <c r="A7048" i="3"/>
  <c r="A7047" i="3"/>
  <c r="A7046" i="3"/>
  <c r="A7045" i="3"/>
  <c r="A7044" i="3"/>
  <c r="A7043" i="3"/>
  <c r="A7042" i="3"/>
  <c r="A7041" i="3"/>
  <c r="A7040" i="3"/>
  <c r="A7039" i="3"/>
  <c r="A7038" i="3"/>
  <c r="A7037" i="3"/>
  <c r="A7036" i="3"/>
  <c r="A7035" i="3"/>
  <c r="A7034" i="3"/>
  <c r="A7033" i="3"/>
  <c r="A7032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6876" i="3"/>
  <c r="A6875" i="3"/>
  <c r="A6874" i="3"/>
  <c r="A6873" i="3"/>
  <c r="A6872" i="3"/>
  <c r="A6871" i="3"/>
  <c r="A6870" i="3"/>
  <c r="A6869" i="3"/>
  <c r="A6868" i="3"/>
  <c r="A6867" i="3"/>
  <c r="A6866" i="3"/>
  <c r="A6865" i="3"/>
  <c r="A6864" i="3"/>
  <c r="A6863" i="3"/>
  <c r="A6862" i="3"/>
  <c r="A6861" i="3"/>
  <c r="A6860" i="3"/>
  <c r="A6859" i="3"/>
  <c r="A6858" i="3"/>
  <c r="A6857" i="3"/>
  <c r="A6856" i="3"/>
  <c r="A6855" i="3"/>
  <c r="A6854" i="3"/>
  <c r="A6853" i="3"/>
  <c r="A6852" i="3"/>
  <c r="A6851" i="3"/>
  <c r="A6850" i="3"/>
  <c r="A6849" i="3"/>
  <c r="A6848" i="3"/>
  <c r="A6847" i="3"/>
  <c r="A6846" i="3"/>
  <c r="A6845" i="3"/>
  <c r="A6844" i="3"/>
  <c r="A6843" i="3"/>
  <c r="A6842" i="3"/>
  <c r="A6841" i="3"/>
  <c r="A6840" i="3"/>
  <c r="A6839" i="3"/>
  <c r="A6838" i="3"/>
  <c r="A6837" i="3"/>
  <c r="A6836" i="3"/>
  <c r="A6835" i="3"/>
  <c r="A6834" i="3"/>
  <c r="A6833" i="3"/>
  <c r="A6832" i="3"/>
  <c r="A6831" i="3"/>
  <c r="A6830" i="3"/>
  <c r="A6829" i="3"/>
  <c r="A6828" i="3"/>
  <c r="A6827" i="3"/>
  <c r="A6826" i="3"/>
  <c r="A6825" i="3"/>
  <c r="A6824" i="3"/>
  <c r="A6823" i="3"/>
  <c r="A6822" i="3"/>
  <c r="A6821" i="3"/>
  <c r="A6820" i="3"/>
  <c r="A6819" i="3"/>
  <c r="A6818" i="3"/>
  <c r="A6817" i="3"/>
  <c r="A6816" i="3"/>
  <c r="A6815" i="3"/>
  <c r="A6814" i="3"/>
  <c r="A6813" i="3"/>
  <c r="A6812" i="3"/>
  <c r="A6811" i="3"/>
  <c r="A6810" i="3"/>
  <c r="A6809" i="3"/>
  <c r="A6808" i="3"/>
  <c r="A6807" i="3"/>
  <c r="A6806" i="3"/>
  <c r="A6805" i="3"/>
  <c r="A6804" i="3"/>
  <c r="A6803" i="3"/>
  <c r="A6802" i="3"/>
  <c r="A6801" i="3"/>
  <c r="A6800" i="3"/>
  <c r="A6799" i="3"/>
  <c r="A6798" i="3"/>
  <c r="A6797" i="3"/>
  <c r="A6796" i="3"/>
  <c r="A6795" i="3"/>
  <c r="A6794" i="3"/>
  <c r="A6793" i="3"/>
  <c r="A6792" i="3"/>
  <c r="A6791" i="3"/>
  <c r="A6790" i="3"/>
  <c r="A6789" i="3"/>
  <c r="A6788" i="3"/>
  <c r="A6787" i="3"/>
  <c r="A6786" i="3"/>
  <c r="A6785" i="3"/>
  <c r="A6784" i="3"/>
  <c r="A6783" i="3"/>
  <c r="A6782" i="3"/>
  <c r="A6781" i="3"/>
  <c r="A6780" i="3"/>
  <c r="A6779" i="3"/>
  <c r="A6778" i="3"/>
  <c r="A6777" i="3"/>
  <c r="A6776" i="3"/>
  <c r="A6775" i="3"/>
  <c r="A6774" i="3"/>
  <c r="A6773" i="3"/>
  <c r="A6772" i="3"/>
  <c r="A6771" i="3"/>
  <c r="A6770" i="3"/>
  <c r="A6769" i="3"/>
  <c r="A6768" i="3"/>
  <c r="A6767" i="3"/>
  <c r="A6766" i="3"/>
  <c r="A6765" i="3"/>
  <c r="A6764" i="3"/>
  <c r="A6763" i="3"/>
  <c r="A6762" i="3"/>
  <c r="A6761" i="3"/>
  <c r="A6760" i="3"/>
  <c r="A6759" i="3"/>
  <c r="A6758" i="3"/>
  <c r="A6757" i="3"/>
  <c r="A6756" i="3"/>
  <c r="A6755" i="3"/>
  <c r="A6754" i="3"/>
  <c r="A6753" i="3"/>
  <c r="A6752" i="3"/>
  <c r="A6751" i="3"/>
  <c r="A6750" i="3"/>
  <c r="A6749" i="3"/>
  <c r="A6748" i="3"/>
  <c r="A6747" i="3"/>
  <c r="A6746" i="3"/>
  <c r="A6745" i="3"/>
  <c r="A6744" i="3"/>
  <c r="A6743" i="3"/>
  <c r="A6742" i="3"/>
  <c r="A6741" i="3"/>
  <c r="A6740" i="3"/>
  <c r="A6739" i="3"/>
  <c r="A6738" i="3"/>
  <c r="A6737" i="3"/>
  <c r="A6736" i="3"/>
  <c r="A6735" i="3"/>
  <c r="A6734" i="3"/>
  <c r="A6733" i="3"/>
  <c r="A6732" i="3"/>
  <c r="A6731" i="3"/>
  <c r="A6730" i="3"/>
  <c r="A6729" i="3"/>
  <c r="A6728" i="3"/>
  <c r="A6727" i="3"/>
  <c r="A6726" i="3"/>
  <c r="A6725" i="3"/>
  <c r="A6724" i="3"/>
  <c r="A6723" i="3"/>
  <c r="A6722" i="3"/>
  <c r="A6721" i="3"/>
  <c r="A6720" i="3"/>
  <c r="A6719" i="3"/>
  <c r="A6718" i="3"/>
  <c r="A6717" i="3"/>
  <c r="A6716" i="3"/>
  <c r="A6715" i="3"/>
  <c r="A6714" i="3"/>
  <c r="A6713" i="3"/>
  <c r="A6712" i="3"/>
  <c r="A6711" i="3"/>
  <c r="A6710" i="3"/>
  <c r="A6709" i="3"/>
  <c r="A6708" i="3"/>
  <c r="A6707" i="3"/>
  <c r="A6706" i="3"/>
  <c r="A6705" i="3"/>
  <c r="A6704" i="3"/>
  <c r="A6703" i="3"/>
  <c r="A6702" i="3"/>
  <c r="A6701" i="3"/>
  <c r="A6700" i="3"/>
  <c r="A6699" i="3"/>
  <c r="A6698" i="3"/>
  <c r="A6697" i="3"/>
  <c r="A6696" i="3"/>
  <c r="A6695" i="3"/>
  <c r="A6694" i="3"/>
  <c r="A6693" i="3"/>
  <c r="A6692" i="3"/>
  <c r="A6691" i="3"/>
  <c r="A6690" i="3"/>
  <c r="A6689" i="3"/>
  <c r="A6688" i="3"/>
  <c r="A6687" i="3"/>
  <c r="A6686" i="3"/>
  <c r="A6685" i="3"/>
  <c r="A6684" i="3"/>
  <c r="A6683" i="3"/>
  <c r="A6682" i="3"/>
  <c r="A6681" i="3"/>
  <c r="A6680" i="3"/>
  <c r="A6679" i="3"/>
  <c r="A6678" i="3"/>
  <c r="A6677" i="3"/>
  <c r="A6676" i="3"/>
  <c r="A6675" i="3"/>
  <c r="A6674" i="3"/>
  <c r="A6673" i="3"/>
  <c r="A6672" i="3"/>
  <c r="A6671" i="3"/>
  <c r="A6670" i="3"/>
  <c r="A6669" i="3"/>
  <c r="A6668" i="3"/>
  <c r="A6667" i="3"/>
  <c r="A6666" i="3"/>
  <c r="A6665" i="3"/>
  <c r="A6664" i="3"/>
  <c r="A6663" i="3"/>
  <c r="A6662" i="3"/>
  <c r="A6661" i="3"/>
  <c r="A6660" i="3"/>
  <c r="A6659" i="3"/>
  <c r="A6658" i="3"/>
  <c r="A6657" i="3"/>
  <c r="A6656" i="3"/>
  <c r="A6655" i="3"/>
  <c r="A6654" i="3"/>
  <c r="A6653" i="3"/>
  <c r="A6652" i="3"/>
  <c r="A6651" i="3"/>
  <c r="A6650" i="3"/>
  <c r="A6649" i="3"/>
  <c r="A6648" i="3"/>
  <c r="A6647" i="3"/>
  <c r="A6646" i="3"/>
  <c r="A6645" i="3"/>
  <c r="A6644" i="3"/>
  <c r="A6643" i="3"/>
  <c r="A6642" i="3"/>
  <c r="A6641" i="3"/>
  <c r="A6640" i="3"/>
  <c r="A6639" i="3"/>
  <c r="A6638" i="3"/>
  <c r="A6637" i="3"/>
  <c r="A6636" i="3"/>
  <c r="A6635" i="3"/>
  <c r="A6634" i="3"/>
  <c r="A6633" i="3"/>
  <c r="A6632" i="3"/>
  <c r="A6631" i="3"/>
  <c r="A6630" i="3"/>
  <c r="A6629" i="3"/>
  <c r="A6628" i="3"/>
  <c r="A6627" i="3"/>
  <c r="A6626" i="3"/>
  <c r="A6625" i="3"/>
  <c r="A6624" i="3"/>
  <c r="A6623" i="3"/>
  <c r="A6622" i="3"/>
  <c r="A6621" i="3"/>
  <c r="A6620" i="3"/>
  <c r="A6619" i="3"/>
  <c r="A6618" i="3"/>
  <c r="A6617" i="3"/>
  <c r="A6616" i="3"/>
  <c r="A6615" i="3"/>
  <c r="A6614" i="3"/>
  <c r="A6613" i="3"/>
  <c r="A6612" i="3"/>
  <c r="A6611" i="3"/>
  <c r="A6610" i="3"/>
  <c r="A6609" i="3"/>
  <c r="A6608" i="3"/>
  <c r="A6607" i="3"/>
  <c r="A6606" i="3"/>
  <c r="A6605" i="3"/>
  <c r="A6604" i="3"/>
  <c r="A6603" i="3"/>
  <c r="A6602" i="3"/>
  <c r="A6601" i="3"/>
  <c r="A6600" i="3"/>
  <c r="A6599" i="3"/>
  <c r="A6598" i="3"/>
  <c r="A6597" i="3"/>
  <c r="A6596" i="3"/>
  <c r="A6595" i="3"/>
  <c r="A6594" i="3"/>
  <c r="A6593" i="3"/>
  <c r="A6592" i="3"/>
  <c r="A6591" i="3"/>
  <c r="A6590" i="3"/>
  <c r="A6589" i="3"/>
  <c r="A6588" i="3"/>
  <c r="A6587" i="3"/>
  <c r="A6586" i="3"/>
  <c r="A6585" i="3"/>
  <c r="A6584" i="3"/>
  <c r="A6583" i="3"/>
  <c r="A6582" i="3"/>
  <c r="A6581" i="3"/>
  <c r="A6580" i="3"/>
  <c r="A6579" i="3"/>
  <c r="A6578" i="3"/>
  <c r="A6577" i="3"/>
  <c r="A6576" i="3"/>
  <c r="A6575" i="3"/>
  <c r="A6574" i="3"/>
  <c r="A6573" i="3"/>
  <c r="A6572" i="3"/>
  <c r="A6571" i="3"/>
  <c r="A6570" i="3"/>
  <c r="A6569" i="3"/>
  <c r="A6568" i="3"/>
  <c r="A6567" i="3"/>
  <c r="A6566" i="3"/>
  <c r="A6565" i="3"/>
  <c r="A6564" i="3"/>
  <c r="A6563" i="3"/>
  <c r="A6562" i="3"/>
  <c r="A6561" i="3"/>
  <c r="A6560" i="3"/>
  <c r="A6559" i="3"/>
  <c r="A6558" i="3"/>
  <c r="A6557" i="3"/>
  <c r="A6556" i="3"/>
  <c r="A6555" i="3"/>
  <c r="A6554" i="3"/>
  <c r="A6553" i="3"/>
  <c r="A6552" i="3"/>
  <c r="A6551" i="3"/>
  <c r="A6550" i="3"/>
  <c r="A6549" i="3"/>
  <c r="A6548" i="3"/>
  <c r="A6547" i="3"/>
  <c r="A6546" i="3"/>
  <c r="A6545" i="3"/>
  <c r="A6544" i="3"/>
  <c r="A6543" i="3"/>
  <c r="A6542" i="3"/>
  <c r="A6541" i="3"/>
  <c r="A6540" i="3"/>
  <c r="A6539" i="3"/>
  <c r="A6538" i="3"/>
  <c r="A6537" i="3"/>
  <c r="A6536" i="3"/>
  <c r="A6535" i="3"/>
  <c r="A6534" i="3"/>
  <c r="A6533" i="3"/>
  <c r="A6532" i="3"/>
  <c r="A6531" i="3"/>
  <c r="A6530" i="3"/>
  <c r="A6529" i="3"/>
  <c r="A6528" i="3"/>
  <c r="A6527" i="3"/>
  <c r="A6526" i="3"/>
  <c r="A6525" i="3"/>
  <c r="A6524" i="3"/>
  <c r="A6523" i="3"/>
  <c r="A6522" i="3"/>
  <c r="A6521" i="3"/>
  <c r="A6520" i="3"/>
  <c r="A6519" i="3"/>
  <c r="A6518" i="3"/>
  <c r="A6517" i="3"/>
  <c r="A6516" i="3"/>
  <c r="A6515" i="3"/>
  <c r="A6514" i="3"/>
  <c r="A6513" i="3"/>
  <c r="A6512" i="3"/>
  <c r="A6511" i="3"/>
  <c r="A6510" i="3"/>
  <c r="A6509" i="3"/>
  <c r="A6508" i="3"/>
  <c r="A6507" i="3"/>
  <c r="A6506" i="3"/>
  <c r="A6505" i="3"/>
  <c r="A6504" i="3"/>
  <c r="A6503" i="3"/>
  <c r="A6502" i="3"/>
  <c r="A6501" i="3"/>
  <c r="A6500" i="3"/>
  <c r="A6499" i="3"/>
  <c r="A6498" i="3"/>
  <c r="A6497" i="3"/>
  <c r="A6496" i="3"/>
  <c r="A6495" i="3"/>
  <c r="A6494" i="3"/>
  <c r="A6493" i="3"/>
  <c r="A6492" i="3"/>
  <c r="A6491" i="3"/>
  <c r="A6490" i="3"/>
  <c r="A6489" i="3"/>
  <c r="A6488" i="3"/>
  <c r="A6487" i="3"/>
  <c r="A6486" i="3"/>
  <c r="A6485" i="3"/>
  <c r="A6484" i="3"/>
  <c r="A6483" i="3"/>
  <c r="A6482" i="3"/>
  <c r="A6481" i="3"/>
  <c r="A6480" i="3"/>
  <c r="A6479" i="3"/>
  <c r="A6478" i="3"/>
  <c r="A6477" i="3"/>
  <c r="A6476" i="3"/>
  <c r="A6475" i="3"/>
  <c r="A6474" i="3"/>
  <c r="A6473" i="3"/>
  <c r="A6472" i="3"/>
  <c r="A6471" i="3"/>
  <c r="A6470" i="3"/>
  <c r="A6469" i="3"/>
  <c r="A6468" i="3"/>
  <c r="A6467" i="3"/>
  <c r="A6466" i="3"/>
  <c r="A6465" i="3"/>
  <c r="A6464" i="3"/>
  <c r="A6463" i="3"/>
  <c r="A6462" i="3"/>
  <c r="A6461" i="3"/>
  <c r="A6460" i="3"/>
  <c r="A6459" i="3"/>
  <c r="A6458" i="3"/>
  <c r="A6457" i="3"/>
  <c r="A6456" i="3"/>
  <c r="A6455" i="3"/>
  <c r="A6454" i="3"/>
  <c r="A6453" i="3"/>
  <c r="A6452" i="3"/>
  <c r="A6451" i="3"/>
  <c r="A6450" i="3"/>
  <c r="A6449" i="3"/>
  <c r="A6448" i="3"/>
  <c r="A6447" i="3"/>
  <c r="A6446" i="3"/>
  <c r="A6445" i="3"/>
  <c r="A6444" i="3"/>
  <c r="A6443" i="3"/>
  <c r="A6442" i="3"/>
  <c r="A6441" i="3"/>
  <c r="A6440" i="3"/>
  <c r="A6439" i="3"/>
  <c r="A6438" i="3"/>
  <c r="A6437" i="3"/>
  <c r="A6436" i="3"/>
  <c r="A6435" i="3"/>
  <c r="A6434" i="3"/>
  <c r="A6433" i="3"/>
  <c r="A6432" i="3"/>
  <c r="A6431" i="3"/>
  <c r="A6430" i="3"/>
  <c r="A6429" i="3"/>
  <c r="A6428" i="3"/>
  <c r="A6427" i="3"/>
  <c r="A6426" i="3"/>
  <c r="A6425" i="3"/>
  <c r="A6424" i="3"/>
  <c r="A6423" i="3"/>
  <c r="A6422" i="3"/>
  <c r="A6421" i="3"/>
  <c r="A6420" i="3"/>
  <c r="A6419" i="3"/>
  <c r="A6418" i="3"/>
  <c r="A6417" i="3"/>
  <c r="A6416" i="3"/>
  <c r="A6415" i="3"/>
  <c r="A6414" i="3"/>
  <c r="A6413" i="3"/>
  <c r="A6412" i="3"/>
  <c r="A6411" i="3"/>
  <c r="A6410" i="3"/>
  <c r="A6409" i="3"/>
  <c r="A6408" i="3"/>
  <c r="A6407" i="3"/>
  <c r="A6406" i="3"/>
  <c r="A6405" i="3"/>
  <c r="A6404" i="3"/>
  <c r="A6403" i="3"/>
  <c r="A6402" i="3"/>
  <c r="A6401" i="3"/>
  <c r="A6400" i="3"/>
  <c r="A6399" i="3"/>
  <c r="A6398" i="3"/>
  <c r="A6397" i="3"/>
  <c r="A6396" i="3"/>
  <c r="A6395" i="3"/>
  <c r="A6394" i="3"/>
  <c r="A6393" i="3"/>
  <c r="A6392" i="3"/>
  <c r="A6391" i="3"/>
  <c r="A6390" i="3"/>
  <c r="A6389" i="3"/>
  <c r="A6388" i="3"/>
  <c r="A6387" i="3"/>
  <c r="A6386" i="3"/>
  <c r="A6385" i="3"/>
  <c r="A6384" i="3"/>
  <c r="A6383" i="3"/>
  <c r="A6382" i="3"/>
  <c r="A6381" i="3"/>
  <c r="A6380" i="3"/>
  <c r="A6379" i="3"/>
  <c r="A6378" i="3"/>
  <c r="A6377" i="3"/>
  <c r="A6376" i="3"/>
  <c r="A6375" i="3"/>
  <c r="A6374" i="3"/>
  <c r="A6373" i="3"/>
  <c r="A6372" i="3"/>
  <c r="A6371" i="3"/>
  <c r="A6370" i="3"/>
  <c r="A6369" i="3"/>
  <c r="A6368" i="3"/>
  <c r="A6367" i="3"/>
  <c r="A6366" i="3"/>
  <c r="A6365" i="3"/>
  <c r="A6364" i="3"/>
  <c r="A6363" i="3"/>
  <c r="A6362" i="3"/>
  <c r="A6361" i="3"/>
  <c r="A6360" i="3"/>
  <c r="A6359" i="3"/>
  <c r="A6358" i="3"/>
  <c r="A6357" i="3"/>
  <c r="A6356" i="3"/>
  <c r="A6355" i="3"/>
  <c r="A6354" i="3"/>
  <c r="A6353" i="3"/>
  <c r="A6352" i="3"/>
  <c r="A6351" i="3"/>
  <c r="A6350" i="3"/>
  <c r="A6349" i="3"/>
  <c r="A6348" i="3"/>
  <c r="A6347" i="3"/>
  <c r="A6346" i="3"/>
  <c r="A6345" i="3"/>
  <c r="A6344" i="3"/>
  <c r="A6343" i="3"/>
  <c r="A6342" i="3"/>
  <c r="A6341" i="3"/>
  <c r="A6340" i="3"/>
  <c r="A6339" i="3"/>
  <c r="A6338" i="3"/>
  <c r="A6337" i="3"/>
  <c r="A6336" i="3"/>
  <c r="A6335" i="3"/>
  <c r="A6334" i="3"/>
  <c r="A6333" i="3"/>
  <c r="A6332" i="3"/>
  <c r="A6331" i="3"/>
  <c r="A6330" i="3"/>
  <c r="A6329" i="3"/>
  <c r="A6328" i="3"/>
  <c r="A6327" i="3"/>
  <c r="A6326" i="3"/>
  <c r="A6325" i="3"/>
  <c r="A6324" i="3"/>
  <c r="A6323" i="3"/>
  <c r="A6322" i="3"/>
  <c r="A6321" i="3"/>
  <c r="A6320" i="3"/>
  <c r="A6319" i="3"/>
  <c r="A6318" i="3"/>
  <c r="A6317" i="3"/>
  <c r="A6316" i="3"/>
  <c r="A6315" i="3"/>
  <c r="A6314" i="3"/>
  <c r="A6313" i="3"/>
  <c r="A6312" i="3"/>
  <c r="A6311" i="3"/>
  <c r="A6310" i="3"/>
  <c r="A6309" i="3"/>
  <c r="A6308" i="3"/>
  <c r="A6307" i="3"/>
  <c r="A6306" i="3"/>
  <c r="A6305" i="3"/>
  <c r="A6304" i="3"/>
  <c r="A6303" i="3"/>
  <c r="A6302" i="3"/>
  <c r="A6301" i="3"/>
  <c r="A6300" i="3"/>
  <c r="A6299" i="3"/>
  <c r="A6298" i="3"/>
  <c r="A6297" i="3"/>
  <c r="A6296" i="3"/>
  <c r="A6295" i="3"/>
  <c r="A6294" i="3"/>
  <c r="A6293" i="3"/>
  <c r="A6292" i="3"/>
  <c r="A6291" i="3"/>
  <c r="A6290" i="3"/>
  <c r="A6289" i="3"/>
  <c r="A6288" i="3"/>
  <c r="A6287" i="3"/>
  <c r="A6286" i="3"/>
  <c r="A6285" i="3"/>
  <c r="A6284" i="3"/>
  <c r="A6283" i="3"/>
  <c r="A6282" i="3"/>
  <c r="A6281" i="3"/>
  <c r="A6280" i="3"/>
  <c r="A6279" i="3"/>
  <c r="A6278" i="3"/>
  <c r="A6277" i="3"/>
  <c r="A6276" i="3"/>
  <c r="A6275" i="3"/>
  <c r="A6274" i="3"/>
  <c r="A6273" i="3"/>
  <c r="A6272" i="3"/>
  <c r="A6271" i="3"/>
  <c r="A6270" i="3"/>
  <c r="A6269" i="3"/>
  <c r="A6268" i="3"/>
  <c r="A6267" i="3"/>
  <c r="A6266" i="3"/>
  <c r="A6265" i="3"/>
  <c r="A6264" i="3"/>
  <c r="A6263" i="3"/>
  <c r="A6262" i="3"/>
  <c r="A6261" i="3"/>
  <c r="A6260" i="3"/>
  <c r="A6259" i="3"/>
  <c r="A6258" i="3"/>
  <c r="A6257" i="3"/>
  <c r="A6256" i="3"/>
  <c r="A6255" i="3"/>
  <c r="A6254" i="3"/>
  <c r="A6253" i="3"/>
  <c r="A6252" i="3"/>
  <c r="A6251" i="3"/>
  <c r="A6250" i="3"/>
  <c r="A6249" i="3"/>
  <c r="A6248" i="3"/>
  <c r="A6247" i="3"/>
  <c r="A6246" i="3"/>
  <c r="A6245" i="3"/>
  <c r="A6244" i="3"/>
  <c r="A6243" i="3"/>
  <c r="A6242" i="3"/>
  <c r="A6241" i="3"/>
  <c r="A6240" i="3"/>
  <c r="A6239" i="3"/>
  <c r="A6238" i="3"/>
  <c r="A6237" i="3"/>
  <c r="A6236" i="3"/>
  <c r="A6235" i="3"/>
  <c r="A6234" i="3"/>
  <c r="A6233" i="3"/>
  <c r="A6232" i="3"/>
  <c r="A6231" i="3"/>
  <c r="A6230" i="3"/>
  <c r="A6229" i="3"/>
  <c r="A6228" i="3"/>
  <c r="A6227" i="3"/>
  <c r="A6226" i="3"/>
  <c r="A6225" i="3"/>
  <c r="A6224" i="3"/>
  <c r="A6223" i="3"/>
  <c r="A6222" i="3"/>
  <c r="A6221" i="3"/>
  <c r="A6220" i="3"/>
  <c r="A6219" i="3"/>
  <c r="A6218" i="3"/>
  <c r="A6217" i="3"/>
  <c r="A6216" i="3"/>
  <c r="A6215" i="3"/>
  <c r="A6214" i="3"/>
  <c r="A6213" i="3"/>
  <c r="A6212" i="3"/>
  <c r="A6211" i="3"/>
  <c r="A6210" i="3"/>
  <c r="A6209" i="3"/>
  <c r="A6208" i="3"/>
  <c r="A6207" i="3"/>
  <c r="A6206" i="3"/>
  <c r="A6205" i="3"/>
  <c r="A6204" i="3"/>
  <c r="A6203" i="3"/>
  <c r="A6202" i="3"/>
  <c r="A6201" i="3"/>
  <c r="A6200" i="3"/>
  <c r="A6199" i="3"/>
  <c r="A6198" i="3"/>
  <c r="A6197" i="3"/>
  <c r="A6196" i="3"/>
  <c r="A6195" i="3"/>
  <c r="A6194" i="3"/>
  <c r="A6193" i="3"/>
  <c r="A6192" i="3"/>
  <c r="A6191" i="3"/>
  <c r="A6190" i="3"/>
  <c r="A6189" i="3"/>
  <c r="A6188" i="3"/>
  <c r="A6187" i="3"/>
  <c r="A6186" i="3"/>
  <c r="A6185" i="3"/>
  <c r="A6184" i="3"/>
  <c r="A6183" i="3"/>
  <c r="A6182" i="3"/>
  <c r="A6181" i="3"/>
  <c r="A6180" i="3"/>
  <c r="A6179" i="3"/>
  <c r="A6178" i="3"/>
  <c r="A6177" i="3"/>
  <c r="A6176" i="3"/>
  <c r="A6175" i="3"/>
  <c r="A6174" i="3"/>
  <c r="A6173" i="3"/>
  <c r="A6172" i="3"/>
  <c r="A6171" i="3"/>
  <c r="A6170" i="3"/>
  <c r="A6169" i="3"/>
  <c r="A6168" i="3"/>
  <c r="A6167" i="3"/>
  <c r="A6166" i="3"/>
  <c r="A6165" i="3"/>
  <c r="A6164" i="3"/>
  <c r="A6163" i="3"/>
  <c r="A6162" i="3"/>
  <c r="A6161" i="3"/>
  <c r="A6160" i="3"/>
  <c r="A6159" i="3"/>
  <c r="A6158" i="3"/>
  <c r="A6157" i="3"/>
  <c r="A6156" i="3"/>
  <c r="A6155" i="3"/>
  <c r="A6154" i="3"/>
  <c r="A6153" i="3"/>
  <c r="A6152" i="3"/>
  <c r="A6151" i="3"/>
  <c r="A6150" i="3"/>
  <c r="A6149" i="3"/>
  <c r="A6148" i="3"/>
  <c r="A6147" i="3"/>
  <c r="A6146" i="3"/>
  <c r="A6145" i="3"/>
  <c r="A6144" i="3"/>
  <c r="A6143" i="3"/>
  <c r="A6142" i="3"/>
  <c r="A6141" i="3"/>
  <c r="A6140" i="3"/>
  <c r="A6139" i="3"/>
  <c r="A6138" i="3"/>
  <c r="A6137" i="3"/>
  <c r="A6136" i="3"/>
  <c r="A6135" i="3"/>
  <c r="A6134" i="3"/>
  <c r="A6133" i="3"/>
  <c r="A6132" i="3"/>
  <c r="A6131" i="3"/>
  <c r="A6130" i="3"/>
  <c r="A6129" i="3"/>
  <c r="A6128" i="3"/>
  <c r="A6127" i="3"/>
  <c r="A6126" i="3"/>
  <c r="A6125" i="3"/>
  <c r="A6124" i="3"/>
  <c r="A6123" i="3"/>
  <c r="A6122" i="3"/>
  <c r="A6121" i="3"/>
  <c r="A6120" i="3"/>
  <c r="A6119" i="3"/>
  <c r="A6118" i="3"/>
  <c r="A6117" i="3"/>
  <c r="A6116" i="3"/>
  <c r="A6115" i="3"/>
  <c r="A6114" i="3"/>
  <c r="A6113" i="3"/>
  <c r="A6112" i="3"/>
  <c r="A6111" i="3"/>
  <c r="A6110" i="3"/>
  <c r="A6109" i="3"/>
  <c r="A6108" i="3"/>
  <c r="A6107" i="3"/>
  <c r="A6106" i="3"/>
  <c r="A6105" i="3"/>
  <c r="A6104" i="3"/>
  <c r="A6103" i="3"/>
  <c r="A6102" i="3"/>
  <c r="A6101" i="3"/>
  <c r="A6100" i="3"/>
  <c r="A6099" i="3"/>
  <c r="A6098" i="3"/>
  <c r="A6097" i="3"/>
  <c r="A6096" i="3"/>
  <c r="A6095" i="3"/>
  <c r="A6094" i="3"/>
  <c r="A6093" i="3"/>
  <c r="A6092" i="3"/>
  <c r="A6091" i="3"/>
  <c r="A6090" i="3"/>
  <c r="A6089" i="3"/>
  <c r="A6088" i="3"/>
  <c r="A6087" i="3"/>
  <c r="A6086" i="3"/>
  <c r="A6085" i="3"/>
  <c r="A6084" i="3"/>
  <c r="A6083" i="3"/>
  <c r="A6082" i="3"/>
  <c r="A6081" i="3"/>
  <c r="A6080" i="3"/>
  <c r="A6079" i="3"/>
  <c r="A6078" i="3"/>
  <c r="A6077" i="3"/>
  <c r="A6076" i="3"/>
  <c r="A6075" i="3"/>
  <c r="A6074" i="3"/>
  <c r="A6073" i="3"/>
  <c r="A6072" i="3"/>
  <c r="A6071" i="3"/>
  <c r="A6070" i="3"/>
  <c r="A6069" i="3"/>
  <c r="A6068" i="3"/>
  <c r="A6067" i="3"/>
  <c r="A6066" i="3"/>
  <c r="A6065" i="3"/>
  <c r="A6064" i="3"/>
  <c r="A6063" i="3"/>
  <c r="A6062" i="3"/>
  <c r="A6061" i="3"/>
  <c r="A6060" i="3"/>
  <c r="A6059" i="3"/>
  <c r="A6058" i="3"/>
  <c r="A6057" i="3"/>
  <c r="A6056" i="3"/>
  <c r="A6055" i="3"/>
  <c r="A6054" i="3"/>
  <c r="A6053" i="3"/>
  <c r="A6052" i="3"/>
  <c r="A6051" i="3"/>
  <c r="A6050" i="3"/>
  <c r="A6049" i="3"/>
  <c r="A6048" i="3"/>
  <c r="A6047" i="3"/>
  <c r="A6046" i="3"/>
  <c r="A6045" i="3"/>
  <c r="A6044" i="3"/>
  <c r="A6043" i="3"/>
  <c r="A6042" i="3"/>
  <c r="A6041" i="3"/>
  <c r="A6040" i="3"/>
  <c r="A6039" i="3"/>
  <c r="A6038" i="3"/>
  <c r="A6037" i="3"/>
  <c r="A6036" i="3"/>
  <c r="A6035" i="3"/>
  <c r="A6034" i="3"/>
  <c r="A6033" i="3"/>
  <c r="A6032" i="3"/>
  <c r="A6031" i="3"/>
  <c r="A6030" i="3"/>
  <c r="A6029" i="3"/>
  <c r="A6028" i="3"/>
  <c r="A6027" i="3"/>
  <c r="A6026" i="3"/>
  <c r="A6025" i="3"/>
  <c r="A6024" i="3"/>
  <c r="A6023" i="3"/>
  <c r="A6022" i="3"/>
  <c r="A6021" i="3"/>
  <c r="A6020" i="3"/>
  <c r="A6019" i="3"/>
  <c r="A6018" i="3"/>
  <c r="A6017" i="3"/>
  <c r="A6016" i="3"/>
  <c r="A6015" i="3"/>
  <c r="A6014" i="3"/>
  <c r="A6013" i="3"/>
  <c r="A6012" i="3"/>
  <c r="A6011" i="3"/>
  <c r="A6010" i="3"/>
  <c r="A6009" i="3"/>
  <c r="A6008" i="3"/>
  <c r="A6007" i="3"/>
  <c r="A6006" i="3"/>
  <c r="A6005" i="3"/>
  <c r="A6004" i="3"/>
  <c r="A6003" i="3"/>
  <c r="A6002" i="3"/>
  <c r="A6001" i="3"/>
  <c r="A6000" i="3"/>
  <c r="A5999" i="3"/>
  <c r="A5998" i="3"/>
  <c r="A5997" i="3"/>
  <c r="A5996" i="3"/>
  <c r="A5995" i="3"/>
  <c r="A5994" i="3"/>
  <c r="A5993" i="3"/>
  <c r="A5992" i="3"/>
  <c r="A5991" i="3"/>
  <c r="A5990" i="3"/>
  <c r="A5989" i="3"/>
  <c r="A5988" i="3"/>
  <c r="A5987" i="3"/>
  <c r="A5986" i="3"/>
  <c r="A5985" i="3"/>
  <c r="A5984" i="3"/>
  <c r="A5983" i="3"/>
  <c r="A5982" i="3"/>
  <c r="A5981" i="3"/>
  <c r="A5980" i="3"/>
  <c r="A5979" i="3"/>
  <c r="A5978" i="3"/>
  <c r="A5977" i="3"/>
  <c r="A5976" i="3"/>
  <c r="A5975" i="3"/>
  <c r="A5974" i="3"/>
  <c r="A5973" i="3"/>
  <c r="A5972" i="3"/>
  <c r="A5971" i="3"/>
  <c r="A5970" i="3"/>
  <c r="A5969" i="3"/>
  <c r="A5968" i="3"/>
  <c r="A5967" i="3"/>
  <c r="A5966" i="3"/>
  <c r="A5965" i="3"/>
  <c r="A5964" i="3"/>
  <c r="A5963" i="3"/>
  <c r="A5962" i="3"/>
  <c r="A5961" i="3"/>
  <c r="A5960" i="3"/>
  <c r="A5959" i="3"/>
  <c r="A5958" i="3"/>
  <c r="A5957" i="3"/>
  <c r="A5956" i="3"/>
  <c r="A5955" i="3"/>
  <c r="A5954" i="3"/>
  <c r="A5953" i="3"/>
  <c r="A5952" i="3"/>
  <c r="A5951" i="3"/>
  <c r="A5950" i="3"/>
  <c r="A5949" i="3"/>
  <c r="A5948" i="3"/>
  <c r="A5947" i="3"/>
  <c r="A5946" i="3"/>
  <c r="A5945" i="3"/>
  <c r="A5944" i="3"/>
  <c r="A5943" i="3"/>
  <c r="A5942" i="3"/>
  <c r="A5941" i="3"/>
  <c r="A5940" i="3"/>
  <c r="A5939" i="3"/>
  <c r="A5938" i="3"/>
  <c r="A5937" i="3"/>
  <c r="A5936" i="3"/>
  <c r="A5935" i="3"/>
  <c r="A5934" i="3"/>
  <c r="A5933" i="3"/>
  <c r="A5932" i="3"/>
  <c r="A5931" i="3"/>
  <c r="A5930" i="3"/>
  <c r="A5929" i="3"/>
  <c r="A5928" i="3"/>
  <c r="A5927" i="3"/>
  <c r="A5926" i="3"/>
  <c r="A5925" i="3"/>
  <c r="A5924" i="3"/>
  <c r="A5923" i="3"/>
  <c r="A5922" i="3"/>
  <c r="A5921" i="3"/>
  <c r="A5920" i="3"/>
  <c r="A5919" i="3"/>
  <c r="A5918" i="3"/>
  <c r="A5917" i="3"/>
  <c r="A5916" i="3"/>
  <c r="A5915" i="3"/>
  <c r="A5914" i="3"/>
  <c r="A5913" i="3"/>
  <c r="A5912" i="3"/>
  <c r="A5911" i="3"/>
  <c r="A5910" i="3"/>
  <c r="A5909" i="3"/>
  <c r="A5908" i="3"/>
  <c r="A5907" i="3"/>
  <c r="A5906" i="3"/>
  <c r="A5905" i="3"/>
  <c r="A5904" i="3"/>
  <c r="A5903" i="3"/>
  <c r="A5902" i="3"/>
  <c r="A5901" i="3"/>
  <c r="A5900" i="3"/>
  <c r="A5899" i="3"/>
  <c r="A5898" i="3"/>
  <c r="A5897" i="3"/>
  <c r="A5896" i="3"/>
  <c r="A5895" i="3"/>
  <c r="A5894" i="3"/>
  <c r="A5893" i="3"/>
  <c r="A5892" i="3"/>
  <c r="A5891" i="3"/>
  <c r="A5890" i="3"/>
  <c r="A5889" i="3"/>
  <c r="A5888" i="3"/>
  <c r="A5887" i="3"/>
  <c r="A5886" i="3"/>
  <c r="A5885" i="3"/>
  <c r="A5884" i="3"/>
  <c r="A5883" i="3"/>
  <c r="A5882" i="3"/>
  <c r="A5881" i="3"/>
  <c r="A5880" i="3"/>
  <c r="A5879" i="3"/>
  <c r="A5878" i="3"/>
  <c r="A5877" i="3"/>
  <c r="A5876" i="3"/>
  <c r="A5875" i="3"/>
  <c r="A5874" i="3"/>
  <c r="A5873" i="3"/>
  <c r="A5872" i="3"/>
  <c r="A5871" i="3"/>
  <c r="A5870" i="3"/>
  <c r="A5869" i="3"/>
  <c r="A5868" i="3"/>
  <c r="A5867" i="3"/>
  <c r="A5866" i="3"/>
  <c r="A5865" i="3"/>
  <c r="A5864" i="3"/>
  <c r="A5863" i="3"/>
  <c r="A5862" i="3"/>
  <c r="A5861" i="3"/>
  <c r="A5860" i="3"/>
  <c r="A5859" i="3"/>
  <c r="A5858" i="3"/>
  <c r="A5857" i="3"/>
  <c r="A5856" i="3"/>
  <c r="A5855" i="3"/>
  <c r="A5854" i="3"/>
  <c r="A5853" i="3"/>
  <c r="A5852" i="3"/>
  <c r="A5851" i="3"/>
  <c r="A5850" i="3"/>
  <c r="A5849" i="3"/>
  <c r="A5848" i="3"/>
  <c r="A5847" i="3"/>
  <c r="A5846" i="3"/>
  <c r="A5845" i="3"/>
  <c r="A5844" i="3"/>
  <c r="A5843" i="3"/>
  <c r="A5842" i="3"/>
  <c r="A5841" i="3"/>
  <c r="A5840" i="3"/>
  <c r="A5839" i="3"/>
  <c r="A5838" i="3"/>
  <c r="A5837" i="3"/>
  <c r="A5836" i="3"/>
  <c r="A5835" i="3"/>
  <c r="A5834" i="3"/>
  <c r="A5833" i="3"/>
  <c r="A5832" i="3"/>
  <c r="A5831" i="3"/>
  <c r="A5830" i="3"/>
  <c r="A5829" i="3"/>
  <c r="A5828" i="3"/>
  <c r="A5827" i="3"/>
  <c r="A5826" i="3"/>
  <c r="A5825" i="3"/>
  <c r="A5824" i="3"/>
  <c r="A5823" i="3"/>
  <c r="A5822" i="3"/>
  <c r="A5821" i="3"/>
  <c r="A5820" i="3"/>
  <c r="A5819" i="3"/>
  <c r="A5818" i="3"/>
  <c r="A5817" i="3"/>
  <c r="A5816" i="3"/>
  <c r="A5815" i="3"/>
  <c r="A5814" i="3"/>
  <c r="A5813" i="3"/>
  <c r="A5812" i="3"/>
  <c r="A5811" i="3"/>
  <c r="A5810" i="3"/>
  <c r="A5809" i="3"/>
  <c r="A5808" i="3"/>
  <c r="A5807" i="3"/>
  <c r="A5806" i="3"/>
  <c r="A5805" i="3"/>
  <c r="A5804" i="3"/>
  <c r="A5803" i="3"/>
  <c r="A5802" i="3"/>
  <c r="A5801" i="3"/>
  <c r="A5800" i="3"/>
  <c r="A5799" i="3"/>
  <c r="A5798" i="3"/>
  <c r="A5797" i="3"/>
  <c r="A5796" i="3"/>
  <c r="A5795" i="3"/>
  <c r="A5794" i="3"/>
  <c r="A5793" i="3"/>
  <c r="A5792" i="3"/>
  <c r="A5791" i="3"/>
  <c r="A5790" i="3"/>
  <c r="A5789" i="3"/>
  <c r="A5788" i="3"/>
  <c r="A5787" i="3"/>
  <c r="A5786" i="3"/>
  <c r="A5785" i="3"/>
  <c r="A5784" i="3"/>
  <c r="A5783" i="3"/>
  <c r="A5782" i="3"/>
  <c r="A5781" i="3"/>
  <c r="A5780" i="3"/>
  <c r="A5779" i="3"/>
  <c r="A5778" i="3"/>
  <c r="A5777" i="3"/>
  <c r="A5776" i="3"/>
  <c r="A5775" i="3"/>
  <c r="A5774" i="3"/>
  <c r="A5773" i="3"/>
  <c r="A5772" i="3"/>
  <c r="A5771" i="3"/>
  <c r="A5770" i="3"/>
  <c r="A5769" i="3"/>
  <c r="A5768" i="3"/>
  <c r="A5767" i="3"/>
  <c r="A5766" i="3"/>
  <c r="A5765" i="3"/>
  <c r="A5764" i="3"/>
  <c r="A5763" i="3"/>
  <c r="A5762" i="3"/>
  <c r="A5761" i="3"/>
  <c r="A5760" i="3"/>
  <c r="A5759" i="3"/>
  <c r="A5758" i="3"/>
  <c r="A5757" i="3"/>
  <c r="A5756" i="3"/>
  <c r="A5755" i="3"/>
  <c r="A5754" i="3"/>
  <c r="A5753" i="3"/>
  <c r="A5752" i="3"/>
  <c r="A5751" i="3"/>
  <c r="A5750" i="3"/>
  <c r="A5749" i="3"/>
  <c r="A5748" i="3"/>
  <c r="A5747" i="3"/>
  <c r="A5746" i="3"/>
  <c r="A5745" i="3"/>
  <c r="A5744" i="3"/>
  <c r="A5743" i="3"/>
  <c r="A5742" i="3"/>
  <c r="A5741" i="3"/>
  <c r="A5740" i="3"/>
  <c r="A5739" i="3"/>
  <c r="A5738" i="3"/>
  <c r="A5737" i="3"/>
  <c r="A5736" i="3"/>
  <c r="A5735" i="3"/>
  <c r="A5734" i="3"/>
  <c r="A5733" i="3"/>
  <c r="A5732" i="3"/>
  <c r="A5731" i="3"/>
  <c r="A5730" i="3"/>
  <c r="A5729" i="3"/>
  <c r="A5728" i="3"/>
  <c r="A5727" i="3"/>
  <c r="A5726" i="3"/>
  <c r="A5725" i="3"/>
  <c r="A5724" i="3"/>
  <c r="A5723" i="3"/>
  <c r="A5722" i="3"/>
  <c r="A5721" i="3"/>
  <c r="A5720" i="3"/>
  <c r="A5719" i="3"/>
  <c r="A5718" i="3"/>
  <c r="A5717" i="3"/>
  <c r="A5716" i="3"/>
  <c r="A5715" i="3"/>
  <c r="A5714" i="3"/>
  <c r="A5713" i="3"/>
  <c r="A5712" i="3"/>
  <c r="A5711" i="3"/>
  <c r="A5710" i="3"/>
  <c r="A5709" i="3"/>
  <c r="A5708" i="3"/>
  <c r="A5707" i="3"/>
  <c r="A5706" i="3"/>
  <c r="A5705" i="3"/>
  <c r="A5704" i="3"/>
  <c r="A5703" i="3"/>
  <c r="A5702" i="3"/>
  <c r="A5701" i="3"/>
  <c r="A5700" i="3"/>
  <c r="A5699" i="3"/>
  <c r="A5698" i="3"/>
  <c r="A5697" i="3"/>
  <c r="A5696" i="3"/>
  <c r="A5695" i="3"/>
  <c r="A5694" i="3"/>
  <c r="A5693" i="3"/>
  <c r="A5692" i="3"/>
  <c r="A5691" i="3"/>
  <c r="A5690" i="3"/>
  <c r="A5689" i="3"/>
  <c r="A5688" i="3"/>
  <c r="A5687" i="3"/>
  <c r="A5686" i="3"/>
  <c r="A5685" i="3"/>
  <c r="A5684" i="3"/>
  <c r="A5683" i="3"/>
  <c r="A5682" i="3"/>
  <c r="A5681" i="3"/>
  <c r="A5680" i="3"/>
  <c r="A5679" i="3"/>
  <c r="A5678" i="3"/>
  <c r="A5677" i="3"/>
  <c r="A5676" i="3"/>
  <c r="A5675" i="3"/>
  <c r="A5674" i="3"/>
  <c r="A5673" i="3"/>
  <c r="A5672" i="3"/>
  <c r="A5671" i="3"/>
  <c r="A5670" i="3"/>
  <c r="A5669" i="3"/>
  <c r="A5668" i="3"/>
  <c r="A5667" i="3"/>
  <c r="A5666" i="3"/>
  <c r="A5665" i="3"/>
  <c r="A5664" i="3"/>
  <c r="A5663" i="3"/>
  <c r="A5662" i="3"/>
  <c r="A5661" i="3"/>
  <c r="A5660" i="3"/>
  <c r="A5659" i="3"/>
  <c r="A5658" i="3"/>
  <c r="A5657" i="3"/>
  <c r="A5656" i="3"/>
  <c r="A5655" i="3"/>
  <c r="A5654" i="3"/>
  <c r="A5653" i="3"/>
  <c r="A5652" i="3"/>
  <c r="A5651" i="3"/>
  <c r="A5650" i="3"/>
  <c r="A5649" i="3"/>
  <c r="A5648" i="3"/>
  <c r="A5647" i="3"/>
  <c r="A5646" i="3"/>
  <c r="A5645" i="3"/>
  <c r="A5644" i="3"/>
  <c r="A5643" i="3"/>
  <c r="A5642" i="3"/>
  <c r="A5641" i="3"/>
  <c r="A5640" i="3"/>
  <c r="A5639" i="3"/>
  <c r="A5638" i="3"/>
  <c r="A5637" i="3"/>
  <c r="A5636" i="3"/>
  <c r="A5635" i="3"/>
  <c r="A5634" i="3"/>
  <c r="A5633" i="3"/>
  <c r="A5632" i="3"/>
  <c r="A5631" i="3"/>
  <c r="A5630" i="3"/>
  <c r="A5629" i="3"/>
  <c r="A5628" i="3"/>
  <c r="A5627" i="3"/>
  <c r="A5626" i="3"/>
  <c r="A5625" i="3"/>
  <c r="A5624" i="3"/>
  <c r="A5623" i="3"/>
  <c r="A5622" i="3"/>
  <c r="A5621" i="3"/>
  <c r="A5620" i="3"/>
  <c r="A5619" i="3"/>
  <c r="A5618" i="3"/>
  <c r="A5617" i="3"/>
  <c r="A5616" i="3"/>
  <c r="A5615" i="3"/>
  <c r="A5614" i="3"/>
  <c r="A5613" i="3"/>
  <c r="A5612" i="3"/>
  <c r="A5611" i="3"/>
  <c r="A5610" i="3"/>
  <c r="A5609" i="3"/>
  <c r="A5608" i="3"/>
  <c r="A5607" i="3"/>
  <c r="A5606" i="3"/>
  <c r="A5605" i="3"/>
  <c r="A5604" i="3"/>
  <c r="A5603" i="3"/>
  <c r="A5602" i="3"/>
  <c r="A5601" i="3"/>
  <c r="A5600" i="3"/>
  <c r="A5599" i="3"/>
  <c r="A5598" i="3"/>
  <c r="A5597" i="3"/>
  <c r="A5596" i="3"/>
  <c r="A5595" i="3"/>
  <c r="A5594" i="3"/>
  <c r="A5593" i="3"/>
  <c r="A5592" i="3"/>
  <c r="A5591" i="3"/>
  <c r="A5590" i="3"/>
  <c r="A5589" i="3"/>
  <c r="A5588" i="3"/>
  <c r="A5587" i="3"/>
  <c r="A5586" i="3"/>
  <c r="A5585" i="3"/>
  <c r="A5584" i="3"/>
  <c r="A5583" i="3"/>
  <c r="A5582" i="3"/>
  <c r="A5581" i="3"/>
  <c r="A5580" i="3"/>
  <c r="A5579" i="3"/>
  <c r="A5578" i="3"/>
  <c r="A5577" i="3"/>
  <c r="A5576" i="3"/>
  <c r="A5575" i="3"/>
  <c r="A5574" i="3"/>
  <c r="A5573" i="3"/>
  <c r="A5572" i="3"/>
  <c r="A5571" i="3"/>
  <c r="A5570" i="3"/>
  <c r="A5569" i="3"/>
  <c r="A5568" i="3"/>
  <c r="A5567" i="3"/>
  <c r="A5566" i="3"/>
  <c r="A5565" i="3"/>
  <c r="A5564" i="3"/>
  <c r="A5563" i="3"/>
  <c r="A5562" i="3"/>
  <c r="A5561" i="3"/>
  <c r="A5560" i="3"/>
  <c r="A5559" i="3"/>
  <c r="A5558" i="3"/>
  <c r="A5557" i="3"/>
  <c r="A5556" i="3"/>
  <c r="A5555" i="3"/>
  <c r="A5554" i="3"/>
  <c r="A5553" i="3"/>
  <c r="A5552" i="3"/>
  <c r="A5551" i="3"/>
  <c r="A5550" i="3"/>
  <c r="A5549" i="3"/>
  <c r="A5548" i="3"/>
  <c r="A5547" i="3"/>
  <c r="A5546" i="3"/>
  <c r="A5545" i="3"/>
  <c r="A5544" i="3"/>
  <c r="A5543" i="3"/>
  <c r="A5542" i="3"/>
  <c r="A5541" i="3"/>
  <c r="A5540" i="3"/>
  <c r="A5539" i="3"/>
  <c r="A5538" i="3"/>
  <c r="A5537" i="3"/>
  <c r="A5536" i="3"/>
  <c r="A5535" i="3"/>
  <c r="A5534" i="3"/>
  <c r="A5533" i="3"/>
  <c r="A5532" i="3"/>
  <c r="A5531" i="3"/>
  <c r="A5530" i="3"/>
  <c r="A5529" i="3"/>
  <c r="A5528" i="3"/>
  <c r="A5527" i="3"/>
  <c r="A5526" i="3"/>
  <c r="A5525" i="3"/>
  <c r="A5524" i="3"/>
  <c r="A5523" i="3"/>
  <c r="A5522" i="3"/>
  <c r="A5521" i="3"/>
  <c r="A5520" i="3"/>
  <c r="A5519" i="3"/>
  <c r="A5518" i="3"/>
  <c r="A5517" i="3"/>
  <c r="A5516" i="3"/>
  <c r="A5515" i="3"/>
  <c r="A5514" i="3"/>
  <c r="A5513" i="3"/>
  <c r="A5512" i="3"/>
  <c r="A5511" i="3"/>
  <c r="A5510" i="3"/>
  <c r="A5509" i="3"/>
  <c r="A5508" i="3"/>
  <c r="A5507" i="3"/>
  <c r="A5506" i="3"/>
  <c r="A5505" i="3"/>
  <c r="A5504" i="3"/>
  <c r="A5503" i="3"/>
  <c r="A5502" i="3"/>
  <c r="A5501" i="3"/>
  <c r="A5500" i="3"/>
  <c r="A5499" i="3"/>
  <c r="A5498" i="3"/>
  <c r="A5497" i="3"/>
  <c r="A5496" i="3"/>
  <c r="A5495" i="3"/>
  <c r="A5494" i="3"/>
  <c r="A5493" i="3"/>
  <c r="A5492" i="3"/>
  <c r="A5491" i="3"/>
  <c r="A5490" i="3"/>
  <c r="A5489" i="3"/>
  <c r="A5488" i="3"/>
  <c r="A5487" i="3"/>
  <c r="A5486" i="3"/>
  <c r="A5485" i="3"/>
  <c r="A5484" i="3"/>
  <c r="A5483" i="3"/>
  <c r="A5482" i="3"/>
  <c r="A5481" i="3"/>
  <c r="A5480" i="3"/>
  <c r="A5479" i="3"/>
  <c r="A5478" i="3"/>
  <c r="A5477" i="3"/>
  <c r="A5476" i="3"/>
  <c r="A5475" i="3"/>
  <c r="A5474" i="3"/>
  <c r="A5473" i="3"/>
  <c r="A5472" i="3"/>
  <c r="A5471" i="3"/>
  <c r="A5470" i="3"/>
  <c r="A5469" i="3"/>
  <c r="A5468" i="3"/>
  <c r="A5467" i="3"/>
  <c r="A5466" i="3"/>
  <c r="A5465" i="3"/>
  <c r="A5464" i="3"/>
  <c r="A5463" i="3"/>
  <c r="A5462" i="3"/>
  <c r="A5461" i="3"/>
  <c r="A5460" i="3"/>
  <c r="A5459" i="3"/>
  <c r="A5458" i="3"/>
  <c r="A5457" i="3"/>
  <c r="A5456" i="3"/>
  <c r="A5455" i="3"/>
  <c r="A5454" i="3"/>
  <c r="A5453" i="3"/>
  <c r="A5452" i="3"/>
  <c r="A5451" i="3"/>
  <c r="A5450" i="3"/>
  <c r="A5449" i="3"/>
  <c r="A5448" i="3"/>
  <c r="A5447" i="3"/>
  <c r="A5446" i="3"/>
  <c r="A5445" i="3"/>
  <c r="A5444" i="3"/>
  <c r="A5443" i="3"/>
  <c r="A5442" i="3"/>
  <c r="A5441" i="3"/>
  <c r="A5440" i="3"/>
  <c r="A5439" i="3"/>
  <c r="A5438" i="3"/>
  <c r="A5437" i="3"/>
  <c r="A5436" i="3"/>
  <c r="A5435" i="3"/>
  <c r="A5434" i="3"/>
  <c r="A5433" i="3"/>
  <c r="A5432" i="3"/>
  <c r="A5431" i="3"/>
  <c r="A5430" i="3"/>
  <c r="A5429" i="3"/>
  <c r="A5428" i="3"/>
  <c r="A5427" i="3"/>
  <c r="A5426" i="3"/>
  <c r="A5425" i="3"/>
  <c r="A5424" i="3"/>
  <c r="A5423" i="3"/>
  <c r="A5422" i="3"/>
  <c r="A5421" i="3"/>
  <c r="A5420" i="3"/>
  <c r="A5419" i="3"/>
  <c r="A5418" i="3"/>
  <c r="A5417" i="3"/>
  <c r="A5416" i="3"/>
  <c r="A5415" i="3"/>
  <c r="A5414" i="3"/>
  <c r="A5413" i="3"/>
  <c r="A5412" i="3"/>
  <c r="A5411" i="3"/>
  <c r="A5410" i="3"/>
  <c r="A5409" i="3"/>
  <c r="A5408" i="3"/>
  <c r="A5407" i="3"/>
  <c r="A5406" i="3"/>
  <c r="A5405" i="3"/>
  <c r="A5404" i="3"/>
  <c r="A5403" i="3"/>
  <c r="A5402" i="3"/>
  <c r="A5401" i="3"/>
  <c r="A5400" i="3"/>
  <c r="A5399" i="3"/>
  <c r="A5398" i="3"/>
  <c r="A5397" i="3"/>
  <c r="A5396" i="3"/>
  <c r="A5395" i="3"/>
  <c r="A5394" i="3"/>
  <c r="A5393" i="3"/>
  <c r="A5392" i="3"/>
  <c r="A5391" i="3"/>
  <c r="A5390" i="3"/>
  <c r="A5389" i="3"/>
  <c r="A5388" i="3"/>
  <c r="A5387" i="3"/>
  <c r="A5386" i="3"/>
  <c r="A5385" i="3"/>
  <c r="A5384" i="3"/>
  <c r="A5383" i="3"/>
  <c r="A5382" i="3"/>
  <c r="A5381" i="3"/>
  <c r="A5380" i="3"/>
  <c r="A5379" i="3"/>
  <c r="A5378" i="3"/>
  <c r="A5377" i="3"/>
  <c r="A5376" i="3"/>
  <c r="A5375" i="3"/>
  <c r="A5374" i="3"/>
  <c r="A5373" i="3"/>
  <c r="A5372" i="3"/>
  <c r="A5371" i="3"/>
  <c r="A5370" i="3"/>
  <c r="A5369" i="3"/>
  <c r="A5368" i="3"/>
  <c r="A5367" i="3"/>
  <c r="A5366" i="3"/>
  <c r="A5365" i="3"/>
  <c r="A5364" i="3"/>
  <c r="A5363" i="3"/>
  <c r="A5362" i="3"/>
  <c r="A5361" i="3"/>
  <c r="A5360" i="3"/>
  <c r="A5359" i="3"/>
  <c r="A5358" i="3"/>
  <c r="A5357" i="3"/>
  <c r="A5356" i="3"/>
  <c r="A5355" i="3"/>
  <c r="A5354" i="3"/>
  <c r="A5353" i="3"/>
  <c r="A5352" i="3"/>
  <c r="A5351" i="3"/>
  <c r="A5350" i="3"/>
  <c r="A5349" i="3"/>
  <c r="A5348" i="3"/>
  <c r="A5347" i="3"/>
  <c r="A5346" i="3"/>
  <c r="A5345" i="3"/>
  <c r="A5344" i="3"/>
  <c r="A5343" i="3"/>
  <c r="A5342" i="3"/>
  <c r="A5341" i="3"/>
  <c r="A5340" i="3"/>
  <c r="A5339" i="3"/>
  <c r="A5338" i="3"/>
  <c r="A5337" i="3"/>
  <c r="A5336" i="3"/>
  <c r="A5335" i="3"/>
  <c r="A5334" i="3"/>
  <c r="A5333" i="3"/>
  <c r="A5332" i="3"/>
  <c r="A5331" i="3"/>
  <c r="A5330" i="3"/>
  <c r="A5329" i="3"/>
  <c r="A5328" i="3"/>
  <c r="A5327" i="3"/>
  <c r="A5326" i="3"/>
  <c r="A5325" i="3"/>
  <c r="A5324" i="3"/>
  <c r="A5323" i="3"/>
  <c r="A5322" i="3"/>
  <c r="A5321" i="3"/>
  <c r="A5320" i="3"/>
  <c r="A5319" i="3"/>
  <c r="A5318" i="3"/>
  <c r="A5317" i="3"/>
  <c r="A5316" i="3"/>
  <c r="A5315" i="3"/>
  <c r="A5314" i="3"/>
  <c r="A5313" i="3"/>
  <c r="A5312" i="3"/>
  <c r="A5311" i="3"/>
  <c r="A5310" i="3"/>
  <c r="A5309" i="3"/>
  <c r="A5308" i="3"/>
  <c r="A5307" i="3"/>
  <c r="A5306" i="3"/>
  <c r="A5305" i="3"/>
  <c r="A5304" i="3"/>
  <c r="A5303" i="3"/>
  <c r="A5302" i="3"/>
  <c r="A5301" i="3"/>
  <c r="A5300" i="3"/>
  <c r="A5299" i="3"/>
  <c r="A5298" i="3"/>
  <c r="A5297" i="3"/>
  <c r="A5296" i="3"/>
  <c r="A5295" i="3"/>
  <c r="A5294" i="3"/>
  <c r="A5293" i="3"/>
  <c r="A5292" i="3"/>
  <c r="A5291" i="3"/>
  <c r="A5290" i="3"/>
  <c r="A5289" i="3"/>
  <c r="A5288" i="3"/>
  <c r="A5287" i="3"/>
  <c r="A5286" i="3"/>
  <c r="A5285" i="3"/>
  <c r="A5284" i="3"/>
  <c r="A5283" i="3"/>
  <c r="A5282" i="3"/>
  <c r="A5281" i="3"/>
  <c r="A5280" i="3"/>
  <c r="A5279" i="3"/>
  <c r="A5278" i="3"/>
  <c r="A5277" i="3"/>
  <c r="A5276" i="3"/>
  <c r="A5275" i="3"/>
  <c r="A5274" i="3"/>
  <c r="A5273" i="3"/>
  <c r="A5272" i="3"/>
  <c r="A5271" i="3"/>
  <c r="A5270" i="3"/>
  <c r="A5269" i="3"/>
  <c r="A5268" i="3"/>
  <c r="A5267" i="3"/>
  <c r="A5266" i="3"/>
  <c r="A5265" i="3"/>
  <c r="A5264" i="3"/>
  <c r="A5263" i="3"/>
  <c r="A5262" i="3"/>
  <c r="A5261" i="3"/>
  <c r="A5260" i="3"/>
  <c r="A5259" i="3"/>
  <c r="A5258" i="3"/>
  <c r="A5257" i="3"/>
  <c r="A5256" i="3"/>
  <c r="A5255" i="3"/>
  <c r="A5254" i="3"/>
  <c r="A5253" i="3"/>
  <c r="A5252" i="3"/>
  <c r="A5251" i="3"/>
  <c r="A5250" i="3"/>
  <c r="A5249" i="3"/>
  <c r="A5248" i="3"/>
  <c r="A5247" i="3"/>
  <c r="A5246" i="3"/>
  <c r="A5245" i="3"/>
  <c r="A5244" i="3"/>
  <c r="A5243" i="3"/>
  <c r="A5242" i="3"/>
  <c r="A5241" i="3"/>
  <c r="A5240" i="3"/>
  <c r="A5239" i="3"/>
  <c r="A5238" i="3"/>
  <c r="A5237" i="3"/>
  <c r="A5236" i="3"/>
  <c r="A5235" i="3"/>
  <c r="A5234" i="3"/>
  <c r="A5233" i="3"/>
  <c r="A5232" i="3"/>
  <c r="A5231" i="3"/>
  <c r="A5230" i="3"/>
  <c r="A5229" i="3"/>
  <c r="A5228" i="3"/>
  <c r="A5227" i="3"/>
  <c r="A5226" i="3"/>
  <c r="A5225" i="3"/>
  <c r="A5224" i="3"/>
  <c r="A5223" i="3"/>
  <c r="A5222" i="3"/>
  <c r="A5221" i="3"/>
  <c r="A5220" i="3"/>
  <c r="A5219" i="3"/>
  <c r="A5218" i="3"/>
  <c r="A5217" i="3"/>
  <c r="A5216" i="3"/>
  <c r="A5215" i="3"/>
  <c r="A5214" i="3"/>
  <c r="A5213" i="3"/>
  <c r="A5212" i="3"/>
  <c r="A5211" i="3"/>
  <c r="A5210" i="3"/>
  <c r="A5209" i="3"/>
  <c r="A5208" i="3"/>
  <c r="A5207" i="3"/>
  <c r="A5206" i="3"/>
  <c r="A5205" i="3"/>
  <c r="A5204" i="3"/>
  <c r="A5203" i="3"/>
  <c r="A5202" i="3"/>
  <c r="A5201" i="3"/>
  <c r="A5200" i="3"/>
  <c r="A5199" i="3"/>
  <c r="A5198" i="3"/>
  <c r="A5197" i="3"/>
  <c r="A5196" i="3"/>
  <c r="A5195" i="3"/>
  <c r="A5194" i="3"/>
  <c r="A5193" i="3"/>
  <c r="A5192" i="3"/>
  <c r="A5191" i="3"/>
  <c r="A5190" i="3"/>
  <c r="A5189" i="3"/>
  <c r="A5188" i="3"/>
  <c r="A5187" i="3"/>
  <c r="A5186" i="3"/>
  <c r="A5185" i="3"/>
  <c r="A5184" i="3"/>
  <c r="A5183" i="3"/>
  <c r="A5182" i="3"/>
  <c r="A5181" i="3"/>
  <c r="A5180" i="3"/>
  <c r="A5179" i="3"/>
  <c r="A5178" i="3"/>
  <c r="A5177" i="3"/>
  <c r="A5176" i="3"/>
  <c r="A5175" i="3"/>
  <c r="A5174" i="3"/>
  <c r="A5173" i="3"/>
  <c r="A5172" i="3"/>
  <c r="A5171" i="3"/>
  <c r="A5170" i="3"/>
  <c r="A5169" i="3"/>
  <c r="A5168" i="3"/>
  <c r="A5167" i="3"/>
  <c r="A5166" i="3"/>
  <c r="A5165" i="3"/>
  <c r="A5164" i="3"/>
  <c r="A5163" i="3"/>
  <c r="A5162" i="3"/>
  <c r="A5161" i="3"/>
  <c r="A5160" i="3"/>
  <c r="A5159" i="3"/>
  <c r="A5158" i="3"/>
  <c r="A5157" i="3"/>
  <c r="A5156" i="3"/>
  <c r="A5155" i="3"/>
  <c r="A5154" i="3"/>
  <c r="A5153" i="3"/>
  <c r="A5152" i="3"/>
  <c r="A5151" i="3"/>
  <c r="A5150" i="3"/>
  <c r="A5149" i="3"/>
  <c r="A5148" i="3"/>
  <c r="A5147" i="3"/>
  <c r="A5146" i="3"/>
  <c r="A5145" i="3"/>
  <c r="A5144" i="3"/>
  <c r="A5143" i="3"/>
  <c r="A5142" i="3"/>
  <c r="A5141" i="3"/>
  <c r="A5140" i="3"/>
  <c r="A5139" i="3"/>
  <c r="A5138" i="3"/>
  <c r="A5137" i="3"/>
  <c r="A5136" i="3"/>
  <c r="A5135" i="3"/>
  <c r="A5134" i="3"/>
  <c r="A5133" i="3"/>
  <c r="A5132" i="3"/>
  <c r="A5131" i="3"/>
  <c r="A5130" i="3"/>
  <c r="A5129" i="3"/>
  <c r="A5128" i="3"/>
  <c r="A5127" i="3"/>
  <c r="A5126" i="3"/>
  <c r="A5125" i="3"/>
  <c r="A5124" i="3"/>
  <c r="A5123" i="3"/>
  <c r="A5122" i="3"/>
  <c r="A5121" i="3"/>
  <c r="A5120" i="3"/>
  <c r="A5119" i="3"/>
  <c r="A5118" i="3"/>
  <c r="A5117" i="3"/>
  <c r="A5116" i="3"/>
  <c r="A5115" i="3"/>
  <c r="A5114" i="3"/>
  <c r="A5113" i="3"/>
  <c r="A5112" i="3"/>
  <c r="A5111" i="3"/>
  <c r="A5110" i="3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43" i="3"/>
  <c r="A4942" i="3"/>
  <c r="A4941" i="3"/>
  <c r="A4940" i="3"/>
  <c r="A4939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A4687" i="3"/>
  <c r="A4686" i="3"/>
  <c r="A4685" i="3"/>
  <c r="A4684" i="3"/>
  <c r="A4683" i="3"/>
  <c r="A4682" i="3"/>
  <c r="A4681" i="3"/>
  <c r="A4680" i="3"/>
  <c r="A4679" i="3"/>
  <c r="A4678" i="3"/>
  <c r="A4677" i="3"/>
  <c r="A4676" i="3"/>
  <c r="A4675" i="3"/>
  <c r="A4674" i="3"/>
  <c r="A4673" i="3"/>
  <c r="A4672" i="3"/>
  <c r="A4671" i="3"/>
  <c r="A4670" i="3"/>
  <c r="A4669" i="3"/>
  <c r="A4668" i="3"/>
  <c r="A4667" i="3"/>
  <c r="A4666" i="3"/>
  <c r="A4665" i="3"/>
  <c r="A4664" i="3"/>
  <c r="A4663" i="3"/>
  <c r="A4662" i="3"/>
  <c r="A4661" i="3"/>
  <c r="A4660" i="3"/>
  <c r="A4659" i="3"/>
  <c r="A4658" i="3"/>
  <c r="A4657" i="3"/>
  <c r="A4656" i="3"/>
  <c r="A4655" i="3"/>
  <c r="A4654" i="3"/>
  <c r="A4653" i="3"/>
  <c r="A4652" i="3"/>
  <c r="A4651" i="3"/>
  <c r="A4650" i="3"/>
  <c r="A4649" i="3"/>
  <c r="A4648" i="3"/>
  <c r="A4647" i="3"/>
  <c r="A4646" i="3"/>
  <c r="A4645" i="3"/>
  <c r="A4644" i="3"/>
  <c r="A4643" i="3"/>
  <c r="A4642" i="3"/>
  <c r="A4641" i="3"/>
  <c r="A4640" i="3"/>
  <c r="A4639" i="3"/>
  <c r="A4638" i="3"/>
  <c r="A4637" i="3"/>
  <c r="A4636" i="3"/>
  <c r="A4635" i="3"/>
  <c r="A4634" i="3"/>
  <c r="A4633" i="3"/>
  <c r="A4632" i="3"/>
  <c r="A4631" i="3"/>
  <c r="A4630" i="3"/>
  <c r="A4629" i="3"/>
  <c r="A4628" i="3"/>
  <c r="A4627" i="3"/>
  <c r="A4626" i="3"/>
  <c r="A4625" i="3"/>
  <c r="A4624" i="3"/>
  <c r="A4623" i="3"/>
  <c r="A4622" i="3"/>
  <c r="A4621" i="3"/>
  <c r="A4620" i="3"/>
  <c r="A4619" i="3"/>
  <c r="A4618" i="3"/>
  <c r="A4617" i="3"/>
  <c r="A4616" i="3"/>
  <c r="A4615" i="3"/>
  <c r="A4614" i="3"/>
  <c r="A4613" i="3"/>
  <c r="A4612" i="3"/>
  <c r="A4611" i="3"/>
  <c r="A4610" i="3"/>
  <c r="A4609" i="3"/>
  <c r="A4608" i="3"/>
  <c r="A4607" i="3"/>
  <c r="A4606" i="3"/>
  <c r="A4605" i="3"/>
  <c r="A4604" i="3"/>
  <c r="A4603" i="3"/>
  <c r="A4602" i="3"/>
  <c r="A4601" i="3"/>
  <c r="A4600" i="3"/>
  <c r="A4599" i="3"/>
  <c r="A4598" i="3"/>
  <c r="A4597" i="3"/>
  <c r="A4596" i="3"/>
  <c r="A4595" i="3"/>
  <c r="A4594" i="3"/>
  <c r="A4593" i="3"/>
  <c r="A4592" i="3"/>
  <c r="A4591" i="3"/>
  <c r="A4590" i="3"/>
  <c r="A4589" i="3"/>
  <c r="A4588" i="3"/>
  <c r="A4587" i="3"/>
  <c r="A4586" i="3"/>
  <c r="A4585" i="3"/>
  <c r="A4584" i="3"/>
  <c r="A4583" i="3"/>
  <c r="A4582" i="3"/>
  <c r="A4581" i="3"/>
  <c r="A4580" i="3"/>
  <c r="A4579" i="3"/>
  <c r="A4578" i="3"/>
  <c r="A4577" i="3"/>
  <c r="A4576" i="3"/>
  <c r="A4575" i="3"/>
  <c r="A4574" i="3"/>
  <c r="A4573" i="3"/>
  <c r="A4572" i="3"/>
  <c r="A4571" i="3"/>
  <c r="A4570" i="3"/>
  <c r="A4569" i="3"/>
  <c r="A4568" i="3"/>
  <c r="A4567" i="3"/>
  <c r="A4566" i="3"/>
  <c r="A4565" i="3"/>
  <c r="A4564" i="3"/>
  <c r="A4563" i="3"/>
  <c r="A4562" i="3"/>
  <c r="A4561" i="3"/>
  <c r="A4560" i="3"/>
  <c r="A4559" i="3"/>
  <c r="A4558" i="3"/>
  <c r="A4557" i="3"/>
  <c r="A4556" i="3"/>
  <c r="A4555" i="3"/>
  <c r="A4554" i="3"/>
  <c r="A4553" i="3"/>
  <c r="A4552" i="3"/>
  <c r="A4551" i="3"/>
  <c r="A4550" i="3"/>
  <c r="A4549" i="3"/>
  <c r="A4548" i="3"/>
  <c r="A4547" i="3"/>
  <c r="A4546" i="3"/>
  <c r="A4545" i="3"/>
  <c r="A4544" i="3"/>
  <c r="A4543" i="3"/>
  <c r="A4542" i="3"/>
  <c r="A4541" i="3"/>
  <c r="A4540" i="3"/>
  <c r="A4539" i="3"/>
  <c r="A4538" i="3"/>
  <c r="A4537" i="3"/>
  <c r="A4536" i="3"/>
  <c r="A4535" i="3"/>
  <c r="A4534" i="3"/>
  <c r="A4533" i="3"/>
  <c r="A4532" i="3"/>
  <c r="A4531" i="3"/>
  <c r="A4530" i="3"/>
  <c r="A4529" i="3"/>
  <c r="A4528" i="3"/>
  <c r="A4527" i="3"/>
  <c r="A4526" i="3"/>
  <c r="A4525" i="3"/>
  <c r="A4524" i="3"/>
  <c r="A4523" i="3"/>
  <c r="A4522" i="3"/>
  <c r="A4521" i="3"/>
  <c r="A4520" i="3"/>
  <c r="A4519" i="3"/>
  <c r="A4518" i="3"/>
  <c r="A4517" i="3"/>
  <c r="A4516" i="3"/>
  <c r="A4515" i="3"/>
  <c r="A4514" i="3"/>
  <c r="A4513" i="3"/>
  <c r="A4512" i="3"/>
  <c r="A4511" i="3"/>
  <c r="A4510" i="3"/>
  <c r="A4509" i="3"/>
  <c r="A4508" i="3"/>
  <c r="A4507" i="3"/>
  <c r="A4506" i="3"/>
  <c r="A4505" i="3"/>
  <c r="A4504" i="3"/>
  <c r="A4503" i="3"/>
  <c r="A4502" i="3"/>
  <c r="A4501" i="3"/>
  <c r="A4500" i="3"/>
  <c r="A4499" i="3"/>
  <c r="A4498" i="3"/>
  <c r="A4497" i="3"/>
  <c r="A4496" i="3"/>
  <c r="A4495" i="3"/>
  <c r="A4494" i="3"/>
  <c r="A4493" i="3"/>
  <c r="A4492" i="3"/>
  <c r="A4491" i="3"/>
  <c r="A4490" i="3"/>
  <c r="A4489" i="3"/>
  <c r="A4488" i="3"/>
  <c r="A4487" i="3"/>
  <c r="A4486" i="3"/>
  <c r="A4485" i="3"/>
  <c r="A4484" i="3"/>
  <c r="A4483" i="3"/>
  <c r="A4482" i="3"/>
  <c r="A4481" i="3"/>
  <c r="A4480" i="3"/>
  <c r="A4479" i="3"/>
  <c r="A4478" i="3"/>
  <c r="A4477" i="3"/>
  <c r="A4476" i="3"/>
  <c r="A4475" i="3"/>
  <c r="A4474" i="3"/>
  <c r="A4473" i="3"/>
  <c r="A4472" i="3"/>
  <c r="A4471" i="3"/>
  <c r="A4470" i="3"/>
  <c r="A4469" i="3"/>
  <c r="A4468" i="3"/>
  <c r="A4467" i="3"/>
  <c r="A4466" i="3"/>
  <c r="A4465" i="3"/>
  <c r="A4464" i="3"/>
  <c r="A4463" i="3"/>
  <c r="A4462" i="3"/>
  <c r="A4461" i="3"/>
  <c r="A4460" i="3"/>
  <c r="A4459" i="3"/>
  <c r="A4458" i="3"/>
  <c r="A4457" i="3"/>
  <c r="A4456" i="3"/>
  <c r="A4455" i="3"/>
  <c r="A4454" i="3"/>
  <c r="A4453" i="3"/>
  <c r="A4452" i="3"/>
  <c r="A4451" i="3"/>
  <c r="A4450" i="3"/>
  <c r="A4449" i="3"/>
  <c r="A4448" i="3"/>
  <c r="A4447" i="3"/>
  <c r="A4446" i="3"/>
  <c r="A4445" i="3"/>
  <c r="A4444" i="3"/>
  <c r="A4443" i="3"/>
  <c r="A4442" i="3"/>
  <c r="A4441" i="3"/>
  <c r="A4440" i="3"/>
  <c r="A4439" i="3"/>
  <c r="A4438" i="3"/>
  <c r="A4437" i="3"/>
  <c r="A4436" i="3"/>
  <c r="A4435" i="3"/>
  <c r="A4434" i="3"/>
  <c r="A4433" i="3"/>
  <c r="A4432" i="3"/>
  <c r="A4431" i="3"/>
  <c r="A4430" i="3"/>
  <c r="A4429" i="3"/>
  <c r="A4428" i="3"/>
  <c r="A4427" i="3"/>
  <c r="A4426" i="3"/>
  <c r="A4425" i="3"/>
  <c r="A4424" i="3"/>
  <c r="A4423" i="3"/>
  <c r="A4422" i="3"/>
  <c r="A4421" i="3"/>
  <c r="A4420" i="3"/>
  <c r="A4419" i="3"/>
  <c r="A4418" i="3"/>
  <c r="A4417" i="3"/>
  <c r="A4416" i="3"/>
  <c r="A4415" i="3"/>
  <c r="A4414" i="3"/>
  <c r="A4413" i="3"/>
  <c r="A4412" i="3"/>
  <c r="A4411" i="3"/>
  <c r="A4410" i="3"/>
  <c r="A4409" i="3"/>
  <c r="A4408" i="3"/>
  <c r="A4407" i="3"/>
  <c r="A4406" i="3"/>
  <c r="A4405" i="3"/>
  <c r="A4404" i="3"/>
  <c r="A4403" i="3"/>
  <c r="A4402" i="3"/>
  <c r="A4401" i="3"/>
  <c r="A4400" i="3"/>
  <c r="A4399" i="3"/>
  <c r="A4398" i="3"/>
  <c r="A4397" i="3"/>
  <c r="A4396" i="3"/>
  <c r="A4395" i="3"/>
  <c r="A4394" i="3"/>
  <c r="A4393" i="3"/>
  <c r="A4392" i="3"/>
  <c r="A4391" i="3"/>
  <c r="A4390" i="3"/>
  <c r="A4389" i="3"/>
  <c r="A4388" i="3"/>
  <c r="A4387" i="3"/>
  <c r="A4386" i="3"/>
  <c r="A4385" i="3"/>
  <c r="A4384" i="3"/>
  <c r="A4383" i="3"/>
  <c r="A4382" i="3"/>
  <c r="A4381" i="3"/>
  <c r="A4380" i="3"/>
  <c r="A4379" i="3"/>
  <c r="A4378" i="3"/>
  <c r="A4377" i="3"/>
  <c r="A4376" i="3"/>
  <c r="A4375" i="3"/>
  <c r="A4374" i="3"/>
  <c r="A4373" i="3"/>
  <c r="A4372" i="3"/>
  <c r="A4371" i="3"/>
  <c r="A4370" i="3"/>
  <c r="A4369" i="3"/>
  <c r="A4368" i="3"/>
  <c r="A4367" i="3"/>
  <c r="A4366" i="3"/>
  <c r="A4365" i="3"/>
  <c r="A4364" i="3"/>
  <c r="A4363" i="3"/>
  <c r="A4362" i="3"/>
  <c r="A4361" i="3"/>
  <c r="A4360" i="3"/>
  <c r="A4359" i="3"/>
  <c r="A4358" i="3"/>
  <c r="A4357" i="3"/>
  <c r="A4356" i="3"/>
  <c r="A4355" i="3"/>
  <c r="A4354" i="3"/>
  <c r="A4353" i="3"/>
  <c r="A4352" i="3"/>
  <c r="A4351" i="3"/>
  <c r="A4350" i="3"/>
  <c r="A4349" i="3"/>
  <c r="A4348" i="3"/>
  <c r="A4347" i="3"/>
  <c r="A4346" i="3"/>
  <c r="A4345" i="3"/>
  <c r="A4344" i="3"/>
  <c r="A4343" i="3"/>
  <c r="A4342" i="3"/>
  <c r="A4341" i="3"/>
  <c r="A4340" i="3"/>
  <c r="A4339" i="3"/>
  <c r="A4338" i="3"/>
  <c r="A4337" i="3"/>
  <c r="A4336" i="3"/>
  <c r="A4335" i="3"/>
  <c r="A4334" i="3"/>
  <c r="A4333" i="3"/>
  <c r="A4332" i="3"/>
  <c r="A4331" i="3"/>
  <c r="A4330" i="3"/>
  <c r="A4329" i="3"/>
  <c r="A4328" i="3"/>
  <c r="A4327" i="3"/>
  <c r="A4326" i="3"/>
  <c r="A4325" i="3"/>
  <c r="A4324" i="3"/>
  <c r="A4323" i="3"/>
  <c r="A4322" i="3"/>
  <c r="A4321" i="3"/>
  <c r="A4320" i="3"/>
  <c r="A4319" i="3"/>
  <c r="A4318" i="3"/>
  <c r="A4317" i="3"/>
  <c r="A4316" i="3"/>
  <c r="A4315" i="3"/>
  <c r="A4314" i="3"/>
  <c r="A4313" i="3"/>
  <c r="A4312" i="3"/>
  <c r="A4311" i="3"/>
  <c r="A4310" i="3"/>
  <c r="A4309" i="3"/>
  <c r="A4308" i="3"/>
  <c r="A4307" i="3"/>
  <c r="A4306" i="3"/>
  <c r="A4305" i="3"/>
  <c r="A4304" i="3"/>
  <c r="A4303" i="3"/>
  <c r="A4302" i="3"/>
  <c r="A4301" i="3"/>
  <c r="A4300" i="3"/>
  <c r="A4299" i="3"/>
  <c r="A4298" i="3"/>
  <c r="A4297" i="3"/>
  <c r="A4296" i="3"/>
  <c r="A4295" i="3"/>
  <c r="A4294" i="3"/>
  <c r="A4293" i="3"/>
  <c r="A4292" i="3"/>
  <c r="A4291" i="3"/>
  <c r="A4290" i="3"/>
  <c r="A4289" i="3"/>
  <c r="A4288" i="3"/>
  <c r="A4287" i="3"/>
  <c r="A4286" i="3"/>
  <c r="A4285" i="3"/>
  <c r="A4284" i="3"/>
  <c r="A4283" i="3"/>
  <c r="A4282" i="3"/>
  <c r="A4281" i="3"/>
  <c r="A4280" i="3"/>
  <c r="A4279" i="3"/>
  <c r="A4278" i="3"/>
  <c r="A4277" i="3"/>
  <c r="A4276" i="3"/>
  <c r="A4275" i="3"/>
  <c r="A4274" i="3"/>
  <c r="A4273" i="3"/>
  <c r="A4272" i="3"/>
  <c r="A4271" i="3"/>
  <c r="A4270" i="3"/>
  <c r="A4269" i="3"/>
  <c r="A4268" i="3"/>
  <c r="A4267" i="3"/>
  <c r="A4266" i="3"/>
  <c r="A4265" i="3"/>
  <c r="A4264" i="3"/>
  <c r="A4263" i="3"/>
  <c r="A4262" i="3"/>
  <c r="A4261" i="3"/>
  <c r="A4260" i="3"/>
  <c r="A4259" i="3"/>
  <c r="A4258" i="3"/>
  <c r="A4257" i="3"/>
  <c r="A4256" i="3"/>
  <c r="A4255" i="3"/>
  <c r="A4254" i="3"/>
  <c r="A4253" i="3"/>
  <c r="A4252" i="3"/>
  <c r="A4251" i="3"/>
  <c r="A4250" i="3"/>
  <c r="A4249" i="3"/>
  <c r="A4248" i="3"/>
  <c r="A4247" i="3"/>
  <c r="A4246" i="3"/>
  <c r="A4245" i="3"/>
  <c r="A4244" i="3"/>
  <c r="A4243" i="3"/>
  <c r="A4242" i="3"/>
  <c r="A4241" i="3"/>
  <c r="A4240" i="3"/>
  <c r="A4239" i="3"/>
  <c r="A4238" i="3"/>
  <c r="A4237" i="3"/>
  <c r="A4236" i="3"/>
  <c r="A4235" i="3"/>
  <c r="A4234" i="3"/>
  <c r="A4233" i="3"/>
  <c r="A4232" i="3"/>
  <c r="A4231" i="3"/>
  <c r="A4230" i="3"/>
  <c r="A4229" i="3"/>
  <c r="A4228" i="3"/>
  <c r="A4227" i="3"/>
  <c r="A4226" i="3"/>
  <c r="A4225" i="3"/>
  <c r="A4224" i="3"/>
  <c r="A4223" i="3"/>
  <c r="A4222" i="3"/>
  <c r="A4221" i="3"/>
  <c r="A4220" i="3"/>
  <c r="A4219" i="3"/>
  <c r="A4218" i="3"/>
  <c r="A4217" i="3"/>
  <c r="A4216" i="3"/>
  <c r="A4215" i="3"/>
  <c r="A4214" i="3"/>
  <c r="A4213" i="3"/>
  <c r="A4212" i="3"/>
  <c r="A4211" i="3"/>
  <c r="A4210" i="3"/>
  <c r="A4209" i="3"/>
  <c r="A4208" i="3"/>
  <c r="A4207" i="3"/>
  <c r="A4206" i="3"/>
  <c r="A4205" i="3"/>
  <c r="A4204" i="3"/>
  <c r="A4203" i="3"/>
  <c r="A4202" i="3"/>
  <c r="A4201" i="3"/>
  <c r="A4200" i="3"/>
  <c r="A4199" i="3"/>
  <c r="A4198" i="3"/>
  <c r="A4197" i="3"/>
  <c r="A4196" i="3"/>
  <c r="A4195" i="3"/>
  <c r="A4194" i="3"/>
  <c r="A4193" i="3"/>
  <c r="A4192" i="3"/>
  <c r="A4191" i="3"/>
  <c r="A4190" i="3"/>
  <c r="A4189" i="3"/>
  <c r="A4188" i="3"/>
  <c r="A4187" i="3"/>
  <c r="A4186" i="3"/>
  <c r="A4185" i="3"/>
  <c r="A4184" i="3"/>
  <c r="A4183" i="3"/>
  <c r="A4182" i="3"/>
  <c r="A4181" i="3"/>
  <c r="A4180" i="3"/>
  <c r="A4179" i="3"/>
  <c r="A4178" i="3"/>
  <c r="A4177" i="3"/>
  <c r="A4176" i="3"/>
  <c r="A4175" i="3"/>
  <c r="A4174" i="3"/>
  <c r="A4173" i="3"/>
  <c r="A4172" i="3"/>
  <c r="A4171" i="3"/>
  <c r="A4170" i="3"/>
  <c r="A4169" i="3"/>
  <c r="A4168" i="3"/>
  <c r="A4167" i="3"/>
  <c r="A4166" i="3"/>
  <c r="A4165" i="3"/>
  <c r="A4164" i="3"/>
  <c r="A4163" i="3"/>
  <c r="A4162" i="3"/>
  <c r="A4161" i="3"/>
  <c r="A4160" i="3"/>
  <c r="A4159" i="3"/>
  <c r="A4158" i="3"/>
  <c r="A4157" i="3"/>
  <c r="A4156" i="3"/>
  <c r="A4155" i="3"/>
  <c r="A4154" i="3"/>
  <c r="A4153" i="3"/>
  <c r="A4152" i="3"/>
  <c r="A4151" i="3"/>
  <c r="A4150" i="3"/>
  <c r="A4149" i="3"/>
  <c r="A4148" i="3"/>
  <c r="A4147" i="3"/>
  <c r="A4146" i="3"/>
  <c r="A4145" i="3"/>
  <c r="A4144" i="3"/>
  <c r="A4143" i="3"/>
  <c r="A4142" i="3"/>
  <c r="A4141" i="3"/>
  <c r="A4140" i="3"/>
  <c r="A4139" i="3"/>
  <c r="A4138" i="3"/>
  <c r="A4137" i="3"/>
  <c r="A4136" i="3"/>
  <c r="A4135" i="3"/>
  <c r="A4134" i="3"/>
  <c r="A4133" i="3"/>
  <c r="A4132" i="3"/>
  <c r="A4131" i="3"/>
  <c r="A4130" i="3"/>
  <c r="A4129" i="3"/>
  <c r="A4128" i="3"/>
  <c r="A4127" i="3"/>
  <c r="A4126" i="3"/>
  <c r="A4125" i="3"/>
  <c r="A4124" i="3"/>
  <c r="A4123" i="3"/>
  <c r="A4122" i="3"/>
  <c r="A4121" i="3"/>
  <c r="A4120" i="3"/>
  <c r="A4119" i="3"/>
  <c r="A4118" i="3"/>
  <c r="A4117" i="3"/>
  <c r="A4116" i="3"/>
  <c r="A4115" i="3"/>
  <c r="A4114" i="3"/>
  <c r="A4113" i="3"/>
  <c r="A4112" i="3"/>
  <c r="A4111" i="3"/>
  <c r="A4110" i="3"/>
  <c r="A4109" i="3"/>
  <c r="A4108" i="3"/>
  <c r="A4107" i="3"/>
  <c r="A4106" i="3"/>
  <c r="A4105" i="3"/>
  <c r="A4104" i="3"/>
  <c r="A4103" i="3"/>
  <c r="A4102" i="3"/>
  <c r="A4101" i="3"/>
  <c r="A4100" i="3"/>
  <c r="A4099" i="3"/>
  <c r="A4098" i="3"/>
  <c r="A4097" i="3"/>
  <c r="A4096" i="3"/>
  <c r="A4095" i="3"/>
  <c r="A4094" i="3"/>
  <c r="A4093" i="3"/>
  <c r="A4092" i="3"/>
  <c r="A4091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9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2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</calcChain>
</file>

<file path=xl/sharedStrings.xml><?xml version="1.0" encoding="utf-8"?>
<sst xmlns="http://schemas.openxmlformats.org/spreadsheetml/2006/main" count="21585" uniqueCount="117">
  <si>
    <t>Part Number-SKU</t>
  </si>
  <si>
    <t>Manufature</t>
  </si>
  <si>
    <t>Qty</t>
  </si>
  <si>
    <t>Description</t>
  </si>
  <si>
    <t>Price</t>
  </si>
  <si>
    <t>Switching Regulator or Controller</t>
  </si>
  <si>
    <t>Comparator</t>
  </si>
  <si>
    <t>Display Driver</t>
  </si>
  <si>
    <t>Peripheral Driver</t>
  </si>
  <si>
    <t>Switch/Digital Output Temperature Sensor</t>
  </si>
  <si>
    <t>Operational Amplifier</t>
  </si>
  <si>
    <t>Bus Driver/Transceiver</t>
  </si>
  <si>
    <t>MOSFET Driver</t>
  </si>
  <si>
    <t>Voltage Reference</t>
  </si>
  <si>
    <t>Audio/Video Amplifier</t>
  </si>
  <si>
    <t>Fixed Positive Single Output LDO Regulator</t>
  </si>
  <si>
    <t>Multiplexer/Demultiplexer</t>
  </si>
  <si>
    <t>Line Driver or Receiver</t>
  </si>
  <si>
    <t>Adjustable Positive Single Output Standard Regulator</t>
  </si>
  <si>
    <t>Consumer IC:Other</t>
  </si>
  <si>
    <t>Bus Terminator</t>
  </si>
  <si>
    <t>Adjustable Positive Single Output LDO Regulator</t>
  </si>
  <si>
    <t>Counter</t>
  </si>
  <si>
    <t>Fixed/Adjustable Positive Single Output LDO Regulator</t>
  </si>
  <si>
    <t>Fixed Positive Single Output Standard Regulator</t>
  </si>
  <si>
    <t>Analog Waveform Generation Function</t>
  </si>
  <si>
    <t>Power Management Circuit</t>
  </si>
  <si>
    <t>Gate</t>
  </si>
  <si>
    <t>Shift Register</t>
  </si>
  <si>
    <t>Digital to Analog Converter</t>
  </si>
  <si>
    <t>Clock Driver</t>
  </si>
  <si>
    <t>FF/Latch</t>
  </si>
  <si>
    <t>Decoder/Driver</t>
  </si>
  <si>
    <t>Adjustable Negative Single Output Standard Regulator</t>
  </si>
  <si>
    <t>PLL or Frequency Synthesis Circuit</t>
  </si>
  <si>
    <t>Analog to Digital Converter</t>
  </si>
  <si>
    <t>Analog IC:Other</t>
  </si>
  <si>
    <t>Microprocessor IC:Other</t>
  </si>
  <si>
    <t>Arithmetic Circuit</t>
  </si>
  <si>
    <t>Fixed Positive Multiple Output LDO Regulator</t>
  </si>
  <si>
    <t>Terminal Block</t>
  </si>
  <si>
    <t>Buffer Amplifier</t>
  </si>
  <si>
    <t>Programmable Logic Device</t>
  </si>
  <si>
    <t>Microcontroller</t>
  </si>
  <si>
    <t>Prescaler/Multivibrator</t>
  </si>
  <si>
    <t>Network Interface</t>
  </si>
  <si>
    <t>Multiplexer or Switch</t>
  </si>
  <si>
    <t>BIP General Purpose Power</t>
  </si>
  <si>
    <t>Receiver IC</t>
  </si>
  <si>
    <t>BIP RF Small Signal</t>
  </si>
  <si>
    <t>Motion Control Electronics</t>
  </si>
  <si>
    <t>Fixed/Adjustable Positive Multiple Output LDO Regulator</t>
  </si>
  <si>
    <t>Programmable ROM</t>
  </si>
  <si>
    <t>Fixed Negative Single Output Standard Regulator</t>
  </si>
  <si>
    <t>Codec</t>
  </si>
  <si>
    <t>Telecom IC:Other</t>
  </si>
  <si>
    <t>Bus Controller</t>
  </si>
  <si>
    <t>BIP General Purpose Small Signal</t>
  </si>
  <si>
    <t>Instrumentation Amplifier</t>
  </si>
  <si>
    <t>Serial IO/Communication Controller</t>
  </si>
  <si>
    <t>Multifunction Peripheral</t>
  </si>
  <si>
    <t>Level Translator</t>
  </si>
  <si>
    <t>Interface IC:Other</t>
  </si>
  <si>
    <t>Static RAM</t>
  </si>
  <si>
    <t>Drive Electronics</t>
  </si>
  <si>
    <t>Clock Generator</t>
  </si>
  <si>
    <t>Microprocessor</t>
  </si>
  <si>
    <t>Timer or RTC</t>
  </si>
  <si>
    <t>Logic IC:Other</t>
  </si>
  <si>
    <t>Memory Controller</t>
  </si>
  <si>
    <t>FIFO</t>
  </si>
  <si>
    <t>Parallel IO Port</t>
  </si>
  <si>
    <t>System Interface Logic</t>
  </si>
  <si>
    <t>Signal Diode</t>
  </si>
  <si>
    <t>ON Semiconductor</t>
  </si>
  <si>
    <t>Transient Suppressor</t>
  </si>
  <si>
    <t>Silicon Controlled Rectifier</t>
  </si>
  <si>
    <t>Voltage Regulator Diode</t>
  </si>
  <si>
    <t>Digital Potentiometer</t>
  </si>
  <si>
    <t>Data Line Filter</t>
  </si>
  <si>
    <t>Variable Capacitance Diode</t>
  </si>
  <si>
    <t>TRIAC</t>
  </si>
  <si>
    <t>Rectifier Diode</t>
  </si>
  <si>
    <t>FET RF Small Signal</t>
  </si>
  <si>
    <t>FET General Purpose Power</t>
  </si>
  <si>
    <t>FET General Purpose Small Signal</t>
  </si>
  <si>
    <t>Dynamic RAM</t>
  </si>
  <si>
    <t>Microwave Mixer Diode</t>
  </si>
  <si>
    <t>Silicon Surge Protector</t>
  </si>
  <si>
    <t>PIN Diode</t>
  </si>
  <si>
    <t>SIDAC</t>
  </si>
  <si>
    <t>DIAC</t>
  </si>
  <si>
    <t>Programmable Unijunction Transistor</t>
  </si>
  <si>
    <t>BIP RF Power</t>
  </si>
  <si>
    <t>Insulated Gate BIP Transistor</t>
  </si>
  <si>
    <t>Adjustable Positive Multiple Output LDO Regulator</t>
  </si>
  <si>
    <t>Fixed Positive Multiple Output Standard Regulator</t>
  </si>
  <si>
    <t>Analog Computational Function</t>
  </si>
  <si>
    <t>Delay Line</t>
  </si>
  <si>
    <t>Modem</t>
  </si>
  <si>
    <t>XO, Clock</t>
  </si>
  <si>
    <t>Wire Wound Resistor</t>
  </si>
  <si>
    <t>Interrupt Controller</t>
  </si>
  <si>
    <t>Digital Signal Processor</t>
  </si>
  <si>
    <t>Math Processor</t>
  </si>
  <si>
    <t>Pericom Semiconductor</t>
  </si>
  <si>
    <t>Philips</t>
  </si>
  <si>
    <t>PMC-Siemensrra</t>
  </si>
  <si>
    <t>ATM/SONET/SDH IC</t>
  </si>
  <si>
    <t>Precision Monolithics - AD</t>
  </si>
  <si>
    <t>Power Trends</t>
  </si>
  <si>
    <t>QuickLogic</t>
  </si>
  <si>
    <t>Quality Semiconductor</t>
  </si>
  <si>
    <t>DSP Peripheral</t>
  </si>
  <si>
    <t>Ramtron</t>
  </si>
  <si>
    <t>RCA</t>
  </si>
  <si>
    <t>773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</si>
</sst>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8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0" fillId="0" borderId="0" xfId="42" applyFont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8" fontId="0" fillId="0" borderId="0" xfId="0" applyNumberFormat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  <wetp:taskpane dockstate="right" visibility="0" width="350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D3E46D3B-C31B-4E0A-87B5-426414B73498}">
  <we:reference id="wa200005502" version="1.0.0.11" store="en-US" storeType="OMEX"/>
  <we:alternateReferences>
    <we:reference id="wa200005502" version="1.0.0.11" store="WA200005502" storeType="OMEX"/>
  </we:alternateReferences>
  <we:properties>
    <we:property name="docId" value="&quot;MSSeYzJJrNeFTKIDVSCdr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CC1F9EB-FFC7-4130-B6EF-F8F5B4CEFAD5}">
  <we:reference id="wa200006575" version="1.0.0.3" store="en-US" storeType="OMEX"/>
  <we:alternateReferences>
    <we:reference id="wa200006575" version="1.0.0.3" store="WA200006575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336E-92A8-44CF-9A20-BA8200DAA0C2}">
  <dimension ref="A1:E25000"/>
  <sheetViews>
    <sheetView tabSelected="1" workbookViewId="0"/>
  </sheetViews>
  <sheetFormatPr defaultRowHeight="15" x14ac:dyDescent="0.25"/>
  <cols>
    <col min="1" max="1" width="18.140625" customWidth="1"/>
    <col min="2" max="2" width="19.28515625" style="3" customWidth="1"/>
    <col min="4" max="4" width="9.85546875" bestFit="1" customWidth="1"/>
    <col min="5" max="5" width="53" bestFit="1" customWidth="1"/>
  </cols>
  <sheetData>
    <row r="1" spans="1:5" x14ac:dyDescent="0.25">
      <c r="A1" s="1" t="s">
        <v>0</v>
      </c>
      <c r="B1" s="2" t="s">
        <v>1</v>
      </c>
      <c r="C1" s="5" t="s">
        <v>2</v>
      </c>
      <c r="D1" s="5" t="s">
        <v>4</v>
      </c>
      <c r="E1" s="1" t="s">
        <v>3</v>
      </c>
    </row>
    <row r="2" spans="1:5" x14ac:dyDescent="0.25">
      <c r="A2" t="str">
        <f>HYPERLINK("https://www.773grp.com/globalSearch/MPSH17G/page-1", "MPSH17G")</f>
        <v>MPSH17G</v>
      </c>
      <c r="B2" s="4" t="str">
        <f>HYPERLINK("https://www.773grp.com/manufacturer/onsemi?pageNo=1", "Onsemi")</f>
        <v>Onsemi</v>
      </c>
      <c r="C2" s="6">
        <v>25000</v>
      </c>
      <c r="D2" s="7">
        <v>0.15</v>
      </c>
      <c r="E2" t="s">
        <v>49</v>
      </c>
    </row>
    <row r="3" spans="1:5" x14ac:dyDescent="0.25">
      <c r="A3" t="str">
        <f>HYPERLINK("https://www.773grp.com/globalSearch/MPSH17RLRA/page-1", "MPSH17RLRA")</f>
        <v>MPSH17RLRA</v>
      </c>
      <c r="B3" s="3" t="str">
        <f>HYPERLINK("https://www.773grp.com/manufacturer/onsemi?pageNo=2", "Onsemi")</f>
        <v>Onsemi</v>
      </c>
      <c r="C3" s="6">
        <v>8000</v>
      </c>
      <c r="D3" s="7">
        <v>0.15</v>
      </c>
      <c r="E3" t="s">
        <v>49</v>
      </c>
    </row>
    <row r="4" spans="1:5" x14ac:dyDescent="0.25">
      <c r="A4" t="str">
        <f>HYPERLINK("https://www.773grp.com/globalSearch/MPSH17RLRAG/page-1", "MPSH17RLRAG")</f>
        <v>MPSH17RLRAG</v>
      </c>
      <c r="B4" s="3" t="str">
        <f>HYPERLINK("https://www.773grp.com/manufacturer/onsemi?pageNo=3", "Onsemi")</f>
        <v>Onsemi</v>
      </c>
      <c r="C4" s="6">
        <v>28810</v>
      </c>
      <c r="D4" s="7">
        <v>0.15</v>
      </c>
      <c r="E4" t="s">
        <v>49</v>
      </c>
    </row>
    <row r="5" spans="1:5" x14ac:dyDescent="0.25">
      <c r="A5" t="str">
        <f>HYPERLINK("https://www.773grp.com/globalSearch/MR851/page-1", "MR851")</f>
        <v>MR851</v>
      </c>
      <c r="B5" s="3" t="str">
        <f>HYPERLINK("https://www.773grp.com/manufacturer/onsemi?pageNo=4", "Onsemi")</f>
        <v>Onsemi</v>
      </c>
      <c r="C5" s="6">
        <v>4750</v>
      </c>
      <c r="D5" s="7">
        <v>0.15</v>
      </c>
      <c r="E5" t="s">
        <v>82</v>
      </c>
    </row>
    <row r="6" spans="1:5" x14ac:dyDescent="0.25">
      <c r="A6" t="str">
        <f>HYPERLINK("https://www.773grp.com/globalSearch/MR851RL/page-1", "MR851RL")</f>
        <v>MR851RL</v>
      </c>
      <c r="B6" s="3" t="str">
        <f>HYPERLINK("https://www.773grp.com/manufacturer/onsemi?pageNo=5", "Onsemi")</f>
        <v>Onsemi</v>
      </c>
      <c r="C6" s="6">
        <v>7933</v>
      </c>
      <c r="D6" s="7">
        <v>0.15</v>
      </c>
      <c r="E6" t="s">
        <v>82</v>
      </c>
    </row>
    <row r="7" spans="1:5" x14ac:dyDescent="0.25">
      <c r="A7" t="str">
        <f>HYPERLINK("https://www.773grp.com/globalSearch/MR854/page-1", "MR854")</f>
        <v>MR854</v>
      </c>
      <c r="B7" s="3" t="str">
        <f>HYPERLINK("https://www.773grp.com/manufacturer/onsemi?pageNo=6", "Onsemi")</f>
        <v>Onsemi</v>
      </c>
      <c r="C7" s="6">
        <v>148</v>
      </c>
      <c r="D7" s="7">
        <v>0.15</v>
      </c>
      <c r="E7" t="s">
        <v>82</v>
      </c>
    </row>
    <row r="8" spans="1:5" x14ac:dyDescent="0.25">
      <c r="A8" t="str">
        <f>HYPERLINK("https://www.773grp.com/globalSearch/MR856/page-1", "MR856")</f>
        <v>MR856</v>
      </c>
      <c r="B8" s="4" t="str">
        <f>HYPERLINK("https://www.773grp.com/manufacturer/onsemi?pageNo=7", "Onsemi")</f>
        <v>Onsemi</v>
      </c>
      <c r="C8" s="6">
        <v>3233</v>
      </c>
      <c r="D8" s="7">
        <v>0.15</v>
      </c>
      <c r="E8" t="s">
        <v>82</v>
      </c>
    </row>
    <row r="9" spans="1:5" x14ac:dyDescent="0.25">
      <c r="A9" t="str">
        <f>HYPERLINK("https://www.773grp.com/globalSearch/MSA1162GT1G/page-1", "MSA1162GT1G")</f>
        <v>MSA1162GT1G</v>
      </c>
      <c r="B9" s="3" t="str">
        <f>HYPERLINK("https://www.773grp.com/manufacturer/onsemi?pageNo=8", "Onsemi")</f>
        <v>Onsemi</v>
      </c>
      <c r="C9" s="6">
        <v>5899</v>
      </c>
      <c r="D9" s="7">
        <v>0.15</v>
      </c>
      <c r="E9" t="s">
        <v>57</v>
      </c>
    </row>
    <row r="10" spans="1:5" x14ac:dyDescent="0.25">
      <c r="A10" t="str">
        <f>HYPERLINK("https://www.773grp.com/globalSearch/MSB92ASWT1/page-1", "MSB92ASWT1")</f>
        <v>MSB92ASWT1</v>
      </c>
      <c r="B10" s="3" t="str">
        <f>HYPERLINK("https://www.773grp.com/manufacturer/onsemi?pageNo=9", "Onsemi")</f>
        <v>Onsemi</v>
      </c>
      <c r="C10" s="6">
        <v>36133</v>
      </c>
      <c r="D10" s="7">
        <v>0.15</v>
      </c>
      <c r="E10" t="s">
        <v>57</v>
      </c>
    </row>
    <row r="11" spans="1:5" x14ac:dyDescent="0.25">
      <c r="A11" t="str">
        <f>HYPERLINK("https://www.773grp.com/globalSearch/MSB92AWT1/page-1", "MSB92AWT1")</f>
        <v>MSB92AWT1</v>
      </c>
      <c r="B11" s="3" t="str">
        <f>HYPERLINK("https://www.773grp.com/manufacturer/onsemi?pageNo=10", "Onsemi")</f>
        <v>Onsemi</v>
      </c>
      <c r="C11" s="6">
        <v>1098000</v>
      </c>
      <c r="D11" s="7">
        <v>0.15</v>
      </c>
      <c r="E11" t="s">
        <v>57</v>
      </c>
    </row>
    <row r="12" spans="1:5" x14ac:dyDescent="0.25">
      <c r="A12" t="str">
        <f>HYPERLINK("https://www.773grp.com/globalSearch/MSC2295-BT1/page-1", "MSC2295-BT1")</f>
        <v>MSC2295-BT1</v>
      </c>
      <c r="B12" s="3" t="str">
        <f>HYPERLINK("https://www.773grp.com/manufacturer/onsemi?pageNo=11", "Onsemi")</f>
        <v>Onsemi</v>
      </c>
      <c r="C12" s="6">
        <v>36000</v>
      </c>
      <c r="D12" s="7">
        <v>0.15</v>
      </c>
      <c r="E12" t="s">
        <v>49</v>
      </c>
    </row>
    <row r="13" spans="1:5" x14ac:dyDescent="0.25">
      <c r="A13" t="str">
        <f>HYPERLINK("https://www.773grp.com/globalSearch/MSC2295-BT1G/page-1", "MSC2295-BT1G")</f>
        <v>MSC2295-BT1G</v>
      </c>
      <c r="B13" s="3" t="str">
        <f>HYPERLINK("https://www.773grp.com/manufacturer/onsemi?pageNo=12", "Onsemi")</f>
        <v>Onsemi</v>
      </c>
      <c r="C13" s="6">
        <v>21000</v>
      </c>
      <c r="D13" s="7">
        <v>0.15</v>
      </c>
      <c r="E13" t="s">
        <v>49</v>
      </c>
    </row>
    <row r="14" spans="1:5" x14ac:dyDescent="0.25">
      <c r="A14" t="str">
        <f>HYPERLINK("https://www.773grp.com/globalSearch/MSC2295-CT1/page-1", "MSC2295-CT1")</f>
        <v>MSC2295-CT1</v>
      </c>
      <c r="B14" s="3" t="str">
        <f>HYPERLINK("https://www.773grp.com/manufacturer/onsemi?pageNo=13", "Onsemi")</f>
        <v>Onsemi</v>
      </c>
      <c r="C14" s="6">
        <v>42000</v>
      </c>
      <c r="D14" s="7">
        <v>0.15</v>
      </c>
      <c r="E14" t="s">
        <v>49</v>
      </c>
    </row>
    <row r="15" spans="1:5" x14ac:dyDescent="0.25">
      <c r="A15" t="str">
        <f>HYPERLINK("https://www.773grp.com/globalSearch/MSC2295-CT1G/page-1", "MSC2295-CT1G")</f>
        <v>MSC2295-CT1G</v>
      </c>
      <c r="B15" s="3" t="str">
        <f>HYPERLINK("https://www.773grp.com/manufacturer/onsemi?pageNo=14", "Onsemi")</f>
        <v>Onsemi</v>
      </c>
      <c r="C15" s="6">
        <v>27000</v>
      </c>
      <c r="D15" s="7">
        <v>0.15</v>
      </c>
      <c r="E15" t="s">
        <v>49</v>
      </c>
    </row>
    <row r="16" spans="1:5" x14ac:dyDescent="0.25">
      <c r="A16" t="str">
        <f>HYPERLINK("https://www.773grp.com/globalSearch/MSC2712GT1G/page-1", "MSC2712GT1G")</f>
        <v>MSC2712GT1G</v>
      </c>
      <c r="B16" s="3" t="str">
        <f>HYPERLINK("https://www.773grp.com/manufacturer/onsemi?pageNo=15", "Onsemi")</f>
        <v>Onsemi</v>
      </c>
      <c r="C16" s="6">
        <v>106995</v>
      </c>
      <c r="D16" s="7">
        <v>0.15</v>
      </c>
      <c r="E16" t="s">
        <v>57</v>
      </c>
    </row>
    <row r="17" spans="1:5" x14ac:dyDescent="0.25">
      <c r="A17" t="str">
        <f>HYPERLINK("https://www.773grp.com/globalSearch/MSC3930-BT1/page-1", "MSC3930-BT1")</f>
        <v>MSC3930-BT1</v>
      </c>
      <c r="B17" s="3" t="str">
        <f>HYPERLINK("https://www.773grp.com/manufacturer/onsemi?pageNo=16", "Onsemi")</f>
        <v>Onsemi</v>
      </c>
      <c r="C17" s="6">
        <v>3000</v>
      </c>
      <c r="D17" s="7">
        <v>0.15</v>
      </c>
      <c r="E17" t="s">
        <v>57</v>
      </c>
    </row>
    <row r="18" spans="1:5" x14ac:dyDescent="0.25">
      <c r="A18" t="str">
        <f>HYPERLINK("https://www.773grp.com/globalSearch/MSD42SWT1/page-1", "MSD42SWT1")</f>
        <v>MSD42SWT1</v>
      </c>
      <c r="B18" s="3" t="str">
        <f>HYPERLINK("https://www.773grp.com/manufacturer/onsemi?pageNo=17", "Onsemi")</f>
        <v>Onsemi</v>
      </c>
      <c r="C18" s="6">
        <v>7323</v>
      </c>
      <c r="D18" s="7">
        <v>0.15</v>
      </c>
      <c r="E18" t="s">
        <v>57</v>
      </c>
    </row>
    <row r="19" spans="1:5" x14ac:dyDescent="0.25">
      <c r="A19" t="str">
        <f>HYPERLINK("https://www.773grp.com/globalSearch/MSD42WT1/page-1", "MSD42WT1")</f>
        <v>MSD42WT1</v>
      </c>
      <c r="B19" s="3" t="str">
        <f>HYPERLINK("https://www.773grp.com/manufacturer/onsemi?pageNo=18", "Onsemi")</f>
        <v>Onsemi</v>
      </c>
      <c r="C19" s="6">
        <v>106333</v>
      </c>
      <c r="D19" s="7">
        <v>0.15</v>
      </c>
      <c r="E19" t="s">
        <v>57</v>
      </c>
    </row>
    <row r="20" spans="1:5" x14ac:dyDescent="0.25">
      <c r="A20" t="str">
        <f>HYPERLINK("https://www.773grp.com/globalSearch/MSD601-RT1G/page-1", "MSD601-RT1G")</f>
        <v>MSD601-RT1G</v>
      </c>
      <c r="B20" s="3" t="str">
        <f>HYPERLINK("https://www.773grp.com/manufacturer/onsemi?pageNo=19", "Onsemi")</f>
        <v>Onsemi</v>
      </c>
      <c r="C20" s="6">
        <v>3170759</v>
      </c>
      <c r="D20" s="7">
        <v>0.15</v>
      </c>
      <c r="E20" t="s">
        <v>57</v>
      </c>
    </row>
    <row r="21" spans="1:5" x14ac:dyDescent="0.25">
      <c r="A21" t="str">
        <f>HYPERLINK("https://www.773grp.com/globalSearch/MSD6100RLRA/page-1", "MSD6100RLRA")</f>
        <v>MSD6100RLRA</v>
      </c>
      <c r="B21" s="3" t="str">
        <f>HYPERLINK("https://www.773grp.com/manufacturer/onsemi?pageNo=20", "Onsemi")</f>
        <v>Onsemi</v>
      </c>
      <c r="C21" s="6">
        <v>82000</v>
      </c>
      <c r="D21" s="7">
        <v>0.15</v>
      </c>
      <c r="E21" t="s">
        <v>73</v>
      </c>
    </row>
    <row r="22" spans="1:5" x14ac:dyDescent="0.25">
      <c r="A22" t="str">
        <f>HYPERLINK("https://www.773grp.com/globalSearch/MSD6100RLRAG/page-1", "MSD6100RLRAG")</f>
        <v>MSD6100RLRAG</v>
      </c>
      <c r="B22" s="3" t="str">
        <f>HYPERLINK("https://www.773grp.com/manufacturer/onsemi?pageNo=21", "Onsemi")</f>
        <v>Onsemi</v>
      </c>
      <c r="C22" s="6">
        <v>58000</v>
      </c>
      <c r="D22" s="7">
        <v>0.15</v>
      </c>
      <c r="E22" t="s">
        <v>73</v>
      </c>
    </row>
    <row r="23" spans="1:5" x14ac:dyDescent="0.25">
      <c r="A23" t="str">
        <f>HYPERLINK("https://www.773grp.com/globalSearch/MSD6150/page-1", "MSD6150")</f>
        <v>MSD6150</v>
      </c>
      <c r="B23" s="3" t="str">
        <f>HYPERLINK("https://www.773grp.com/manufacturer/onsemi?pageNo=22", "Onsemi")</f>
        <v>Onsemi</v>
      </c>
      <c r="C23" s="6">
        <v>106985</v>
      </c>
      <c r="D23" s="7">
        <v>0.15</v>
      </c>
      <c r="E23" t="s">
        <v>73</v>
      </c>
    </row>
    <row r="24" spans="1:5" x14ac:dyDescent="0.25">
      <c r="A24" t="str">
        <f>HYPERLINK("https://www.773grp.com/globalSearch/MSQA6V1W5T2/page-1", "MSQA6V1W5T2")</f>
        <v>MSQA6V1W5T2</v>
      </c>
      <c r="B24" s="3" t="str">
        <f>HYPERLINK("https://www.773grp.com/manufacturer/onsemi?pageNo=23", "Onsemi")</f>
        <v>Onsemi</v>
      </c>
      <c r="C24" s="6">
        <v>101800</v>
      </c>
      <c r="D24" s="7">
        <v>0.15</v>
      </c>
      <c r="E24" t="s">
        <v>75</v>
      </c>
    </row>
    <row r="25" spans="1:5" x14ac:dyDescent="0.25">
      <c r="A25" t="str">
        <f>HYPERLINK("https://www.773grp.com/globalSearch/MUN2111T1G/page-1", "MUN2111T1G")</f>
        <v>MUN2111T1G</v>
      </c>
      <c r="B25" s="3" t="str">
        <f>HYPERLINK("https://www.773grp.com/manufacturer/onsemi?pageNo=24", "Onsemi")</f>
        <v>Onsemi</v>
      </c>
      <c r="C25" s="6">
        <v>887846</v>
      </c>
      <c r="D25" s="7">
        <v>0.15</v>
      </c>
      <c r="E25" t="s">
        <v>57</v>
      </c>
    </row>
    <row r="26" spans="1:5" x14ac:dyDescent="0.25">
      <c r="A26" t="str">
        <f>HYPERLINK("https://www.773grp.com/globalSearch/MUN2112T1G/page-1", "MUN2112T1G")</f>
        <v>MUN2112T1G</v>
      </c>
      <c r="B26" s="3" t="str">
        <f>HYPERLINK("https://www.773grp.com/manufacturer/onsemi?pageNo=25", "Onsemi")</f>
        <v>Onsemi</v>
      </c>
      <c r="C26" s="6">
        <v>170189</v>
      </c>
      <c r="D26" s="7">
        <v>0.15</v>
      </c>
      <c r="E26" t="s">
        <v>57</v>
      </c>
    </row>
    <row r="27" spans="1:5" x14ac:dyDescent="0.25">
      <c r="A27" t="str">
        <f>HYPERLINK("https://www.773grp.com/globalSearch/MUN2113T1G/page-1", "MUN2113T1G")</f>
        <v>MUN2113T1G</v>
      </c>
      <c r="B27" s="3" t="str">
        <f>HYPERLINK("https://www.773grp.com/manufacturer/onsemi?pageNo=26", "Onsemi")</f>
        <v>Onsemi</v>
      </c>
      <c r="C27" s="6">
        <v>87000</v>
      </c>
      <c r="D27" s="7">
        <v>0.15</v>
      </c>
      <c r="E27" t="s">
        <v>57</v>
      </c>
    </row>
    <row r="28" spans="1:5" x14ac:dyDescent="0.25">
      <c r="A28" t="str">
        <f>HYPERLINK("https://www.773grp.com/globalSearch/MUN2114T1G/page-1", "MUN2114T1G")</f>
        <v>MUN2114T1G</v>
      </c>
      <c r="B28" s="3" t="str">
        <f>HYPERLINK("https://www.773grp.com/manufacturer/onsemi?pageNo=27", "Onsemi")</f>
        <v>Onsemi</v>
      </c>
      <c r="C28" s="6">
        <v>347511</v>
      </c>
      <c r="D28" s="7">
        <v>0.15</v>
      </c>
      <c r="E28" t="s">
        <v>57</v>
      </c>
    </row>
    <row r="29" spans="1:5" x14ac:dyDescent="0.25">
      <c r="A29" t="str">
        <f>HYPERLINK("https://www.773grp.com/globalSearch/MUN2115T1G/page-1", "MUN2115T1G")</f>
        <v>MUN2115T1G</v>
      </c>
      <c r="B29" s="3" t="str">
        <f>HYPERLINK("https://www.773grp.com/manufacturer/onsemi?pageNo=28", "Onsemi")</f>
        <v>Onsemi</v>
      </c>
      <c r="C29" s="6">
        <v>384000</v>
      </c>
      <c r="D29" s="7">
        <v>0.15</v>
      </c>
      <c r="E29" t="s">
        <v>57</v>
      </c>
    </row>
    <row r="30" spans="1:5" x14ac:dyDescent="0.25">
      <c r="A30" t="str">
        <f>HYPERLINK("https://www.773grp.com/globalSearch/MUN2116T1G/page-1", "MUN2116T1G")</f>
        <v>MUN2116T1G</v>
      </c>
      <c r="B30" s="3" t="str">
        <f>HYPERLINK("https://www.773grp.com/manufacturer/onsemi?pageNo=29", "Onsemi")</f>
        <v>Onsemi</v>
      </c>
      <c r="C30" s="6">
        <v>177000</v>
      </c>
      <c r="D30" s="7">
        <v>0.15</v>
      </c>
      <c r="E30" t="s">
        <v>57</v>
      </c>
    </row>
    <row r="31" spans="1:5" x14ac:dyDescent="0.25">
      <c r="A31" t="str">
        <f>HYPERLINK("https://www.773grp.com/globalSearch/MUN2131T1G/page-1", "MUN2131T1G")</f>
        <v>MUN2131T1G</v>
      </c>
      <c r="B31" s="3" t="str">
        <f>HYPERLINK("https://www.773grp.com/manufacturer/onsemi?pageNo=30", "Onsemi")</f>
        <v>Onsemi</v>
      </c>
      <c r="C31" s="6">
        <v>96000</v>
      </c>
      <c r="D31" s="7">
        <v>0.15</v>
      </c>
      <c r="E31" t="s">
        <v>57</v>
      </c>
    </row>
    <row r="32" spans="1:5" x14ac:dyDescent="0.25">
      <c r="A32" t="str">
        <f>HYPERLINK("https://www.773grp.com/globalSearch/MUN2132T1G/page-1", "MUN2132T1G")</f>
        <v>MUN2132T1G</v>
      </c>
      <c r="B32" s="3" t="str">
        <f>HYPERLINK("https://www.773grp.com/manufacturer/onsemi?pageNo=31", "Onsemi")</f>
        <v>Onsemi</v>
      </c>
      <c r="C32" s="6">
        <v>90000</v>
      </c>
      <c r="D32" s="7">
        <v>0.15</v>
      </c>
      <c r="E32" t="s">
        <v>57</v>
      </c>
    </row>
    <row r="33" spans="1:5" x14ac:dyDescent="0.25">
      <c r="A33" t="str">
        <f>HYPERLINK("https://www.773grp.com/globalSearch/MUN2133T1G/page-1", "MUN2133T1G")</f>
        <v>MUN2133T1G</v>
      </c>
      <c r="B33" s="3" t="str">
        <f>HYPERLINK("https://www.773grp.com/manufacturer/onsemi?pageNo=32", "Onsemi")</f>
        <v>Onsemi</v>
      </c>
      <c r="C33" s="6">
        <v>108000</v>
      </c>
      <c r="D33" s="7">
        <v>0.15</v>
      </c>
      <c r="E33" t="s">
        <v>57</v>
      </c>
    </row>
    <row r="34" spans="1:5" x14ac:dyDescent="0.25">
      <c r="A34" t="str">
        <f>HYPERLINK("https://www.773grp.com/globalSearch/MUN2211JT1G/page-1", "MUN2211JT1G")</f>
        <v>MUN2211JT1G</v>
      </c>
      <c r="B34" s="3" t="str">
        <f>HYPERLINK("https://www.773grp.com/manufacturer/onsemi?pageNo=33", "Onsemi")</f>
        <v>Onsemi</v>
      </c>
      <c r="C34" s="6">
        <v>114000</v>
      </c>
      <c r="D34" s="7">
        <v>0.15</v>
      </c>
    </row>
    <row r="35" spans="1:5" x14ac:dyDescent="0.25">
      <c r="A35" t="str">
        <f>HYPERLINK("https://www.773grp.com/globalSearch/MUN2211T1G/page-1", "MUN2211T1G")</f>
        <v>MUN2211T1G</v>
      </c>
      <c r="B35" s="3" t="str">
        <f>HYPERLINK("https://www.773grp.com/manufacturer/onsemi?pageNo=34", "Onsemi")</f>
        <v>Onsemi</v>
      </c>
      <c r="C35" s="6">
        <v>135500</v>
      </c>
      <c r="D35" s="7">
        <v>0.15</v>
      </c>
      <c r="E35" t="s">
        <v>57</v>
      </c>
    </row>
    <row r="36" spans="1:5" x14ac:dyDescent="0.25">
      <c r="A36" t="str">
        <f>HYPERLINK("https://www.773grp.com/globalSearch/MUN2211T3G/page-1", "MUN2211T3G")</f>
        <v>MUN2211T3G</v>
      </c>
      <c r="B36" s="3" t="str">
        <f>HYPERLINK("https://www.773grp.com/manufacturer/onsemi?pageNo=35", "Onsemi")</f>
        <v>Onsemi</v>
      </c>
      <c r="C36" s="6">
        <v>10000</v>
      </c>
      <c r="D36" s="7">
        <v>0.15</v>
      </c>
    </row>
    <row r="37" spans="1:5" x14ac:dyDescent="0.25">
      <c r="A37" t="str">
        <f>HYPERLINK("https://www.773grp.com/globalSearch/MUN2212T1G/page-1", "MUN2212T1G")</f>
        <v>MUN2212T1G</v>
      </c>
      <c r="B37" s="3" t="str">
        <f>HYPERLINK("https://www.773grp.com/manufacturer/onsemi?pageNo=36", "Onsemi")</f>
        <v>Onsemi</v>
      </c>
      <c r="C37" s="6">
        <v>66000</v>
      </c>
      <c r="D37" s="7">
        <v>0.15</v>
      </c>
      <c r="E37" t="s">
        <v>57</v>
      </c>
    </row>
    <row r="38" spans="1:5" x14ac:dyDescent="0.25">
      <c r="A38" t="str">
        <f>HYPERLINK("https://www.773grp.com/globalSearch/MUN2213T1G/page-1", "MUN2213T1G")</f>
        <v>MUN2213T1G</v>
      </c>
      <c r="B38" s="3" t="str">
        <f>HYPERLINK("https://www.773grp.com/manufacturer/onsemi?pageNo=37", "Onsemi")</f>
        <v>Onsemi</v>
      </c>
      <c r="C38" s="6">
        <v>341975</v>
      </c>
      <c r="D38" s="7">
        <v>0.15</v>
      </c>
      <c r="E38" t="s">
        <v>57</v>
      </c>
    </row>
    <row r="39" spans="1:5" x14ac:dyDescent="0.25">
      <c r="A39" t="str">
        <f>HYPERLINK("https://www.773grp.com/globalSearch/MUN2214T1G/page-1", "MUN2214T1G")</f>
        <v>MUN2214T1G</v>
      </c>
      <c r="B39" s="3" t="str">
        <f>HYPERLINK("https://www.773grp.com/manufacturer/onsemi?pageNo=38", "Onsemi")</f>
        <v>Onsemi</v>
      </c>
      <c r="C39" s="6">
        <v>251150</v>
      </c>
      <c r="D39" s="7">
        <v>0.15</v>
      </c>
      <c r="E39" t="s">
        <v>57</v>
      </c>
    </row>
    <row r="40" spans="1:5" x14ac:dyDescent="0.25">
      <c r="A40" t="str">
        <f>HYPERLINK("https://www.773grp.com/globalSearch/MUN2215T1G/page-1", "MUN2215T1G")</f>
        <v>MUN2215T1G</v>
      </c>
      <c r="B40" s="3" t="str">
        <f>HYPERLINK("https://www.773grp.com/manufacturer/onsemi?pageNo=39", "Onsemi")</f>
        <v>Onsemi</v>
      </c>
      <c r="C40" s="6">
        <v>186000</v>
      </c>
      <c r="D40" s="7">
        <v>0.15</v>
      </c>
      <c r="E40" t="s">
        <v>57</v>
      </c>
    </row>
    <row r="41" spans="1:5" x14ac:dyDescent="0.25">
      <c r="A41" t="str">
        <f>HYPERLINK("https://www.773grp.com/globalSearch/MUN2216T1G/page-1", "MUN2216T1G")</f>
        <v>MUN2216T1G</v>
      </c>
      <c r="B41" s="3" t="str">
        <f>HYPERLINK("https://www.773grp.com/manufacturer/onsemi?pageNo=40", "Onsemi")</f>
        <v>Onsemi</v>
      </c>
      <c r="C41" s="6">
        <v>99000</v>
      </c>
      <c r="D41" s="7">
        <v>0.15</v>
      </c>
      <c r="E41" t="s">
        <v>57</v>
      </c>
    </row>
    <row r="42" spans="1:5" x14ac:dyDescent="0.25">
      <c r="A42" t="str">
        <f>HYPERLINK("https://www.773grp.com/globalSearch/MUN2230T1G/page-1", "MUN2230T1G")</f>
        <v>MUN2230T1G</v>
      </c>
      <c r="B42" s="3" t="str">
        <f>HYPERLINK("https://www.773grp.com/manufacturer/onsemi?pageNo=41", "Onsemi")</f>
        <v>Onsemi</v>
      </c>
      <c r="C42" s="6">
        <v>87000</v>
      </c>
      <c r="D42" s="7">
        <v>0.15</v>
      </c>
      <c r="E42" t="s">
        <v>57</v>
      </c>
    </row>
    <row r="43" spans="1:5" x14ac:dyDescent="0.25">
      <c r="A43" t="str">
        <f>HYPERLINK("https://www.773grp.com/globalSearch/MUN2231T1G/page-1", "MUN2231T1G")</f>
        <v>MUN2231T1G</v>
      </c>
      <c r="B43" s="3" t="str">
        <f>HYPERLINK("https://www.773grp.com/manufacturer/onsemi?pageNo=42", "Onsemi")</f>
        <v>Onsemi</v>
      </c>
      <c r="C43" s="6">
        <v>93000</v>
      </c>
      <c r="D43" s="7">
        <v>0.15</v>
      </c>
      <c r="E43" t="s">
        <v>57</v>
      </c>
    </row>
    <row r="44" spans="1:5" x14ac:dyDescent="0.25">
      <c r="A44" t="str">
        <f>HYPERLINK("https://www.773grp.com/globalSearch/MUN2232T1G/page-1", "MUN2232T1G")</f>
        <v>MUN2232T1G</v>
      </c>
      <c r="B44" s="3" t="str">
        <f>HYPERLINK("https://www.773grp.com/manufacturer/onsemi?pageNo=43", "Onsemi")</f>
        <v>Onsemi</v>
      </c>
      <c r="C44" s="6">
        <v>258000</v>
      </c>
      <c r="D44" s="7">
        <v>0.15</v>
      </c>
      <c r="E44" t="s">
        <v>57</v>
      </c>
    </row>
    <row r="45" spans="1:5" x14ac:dyDescent="0.25">
      <c r="A45" t="str">
        <f>HYPERLINK("https://www.773grp.com/globalSearch/MUN2233T1G/page-1", "MUN2233T1G")</f>
        <v>MUN2233T1G</v>
      </c>
      <c r="B45" s="3" t="str">
        <f>HYPERLINK("https://www.773grp.com/manufacturer/onsemi?pageNo=44", "Onsemi")</f>
        <v>Onsemi</v>
      </c>
      <c r="C45" s="6">
        <v>405000</v>
      </c>
      <c r="D45" s="7">
        <v>0.15</v>
      </c>
      <c r="E45" t="s">
        <v>57</v>
      </c>
    </row>
    <row r="46" spans="1:5" x14ac:dyDescent="0.25">
      <c r="A46" t="str">
        <f>HYPERLINK("https://www.773grp.com/globalSearch/MUN2234T1G/page-1", "MUN2234T1G")</f>
        <v>MUN2234T1G</v>
      </c>
      <c r="B46" s="3" t="str">
        <f>HYPERLINK("https://www.773grp.com/manufacturer/onsemi?pageNo=45", "Onsemi")</f>
        <v>Onsemi</v>
      </c>
      <c r="C46" s="6">
        <v>93000</v>
      </c>
      <c r="D46" s="7">
        <v>0.15</v>
      </c>
      <c r="E46" t="s">
        <v>57</v>
      </c>
    </row>
    <row r="47" spans="1:5" x14ac:dyDescent="0.25">
      <c r="A47" t="str">
        <f>HYPERLINK("https://www.773grp.com/globalSearch/MUN2236T1G/page-1", "MUN2236T1G")</f>
        <v>MUN2236T1G</v>
      </c>
      <c r="B47" s="3" t="str">
        <f>HYPERLINK("https://www.773grp.com/manufacturer/onsemi?pageNo=46", "Onsemi")</f>
        <v>Onsemi</v>
      </c>
      <c r="C47" s="6">
        <v>126000</v>
      </c>
      <c r="D47" s="7">
        <v>0.15</v>
      </c>
      <c r="E47" t="s">
        <v>57</v>
      </c>
    </row>
    <row r="48" spans="1:5" x14ac:dyDescent="0.25">
      <c r="A48" t="str">
        <f>HYPERLINK("https://www.773grp.com/globalSearch/MUN2237T1G/page-1", "MUN2237T1G")</f>
        <v>MUN2237T1G</v>
      </c>
      <c r="B48" s="3" t="str">
        <f>HYPERLINK("https://www.773grp.com/manufacturer/onsemi?pageNo=47", "Onsemi")</f>
        <v>Onsemi</v>
      </c>
      <c r="C48" s="6">
        <v>119700</v>
      </c>
      <c r="D48" s="7">
        <v>0.15</v>
      </c>
      <c r="E48" t="s">
        <v>57</v>
      </c>
    </row>
    <row r="49" spans="1:5" x14ac:dyDescent="0.25">
      <c r="A49" t="str">
        <f>HYPERLINK("https://www.773grp.com/globalSearch/MUN2240T1G/page-1", "MUN2240T1G")</f>
        <v>MUN2240T1G</v>
      </c>
      <c r="B49" s="3" t="str">
        <f>HYPERLINK("https://www.773grp.com/manufacturer/onsemi?pageNo=48", "Onsemi")</f>
        <v>Onsemi</v>
      </c>
      <c r="C49" s="6">
        <v>130000</v>
      </c>
      <c r="D49" s="7">
        <v>0.15</v>
      </c>
      <c r="E49" t="s">
        <v>57</v>
      </c>
    </row>
    <row r="50" spans="1:5" x14ac:dyDescent="0.25">
      <c r="A50" t="str">
        <f>HYPERLINK("https://www.773grp.com/globalSearch/MUN2241T1G/page-1", "MUN2241T1G")</f>
        <v>MUN2241T1G</v>
      </c>
      <c r="B50" s="3" t="str">
        <f>HYPERLINK("https://www.773grp.com/manufacturer/onsemi?pageNo=49", "Onsemi")</f>
        <v>Onsemi</v>
      </c>
      <c r="C50" s="6">
        <v>39000</v>
      </c>
      <c r="D50" s="7">
        <v>0.15</v>
      </c>
      <c r="E50" t="s">
        <v>57</v>
      </c>
    </row>
    <row r="51" spans="1:5" x14ac:dyDescent="0.25">
      <c r="A51" t="str">
        <f>HYPERLINK("https://www.773grp.com/globalSearch/MUN5111T1/page-1", "MUN5111T1")</f>
        <v>MUN5111T1</v>
      </c>
      <c r="B51" s="3" t="str">
        <f>HYPERLINK("https://www.773grp.com/manufacturer/onsemi?pageNo=50", "Onsemi")</f>
        <v>Onsemi</v>
      </c>
      <c r="C51" s="6">
        <v>69000</v>
      </c>
      <c r="D51" s="7">
        <v>0.15</v>
      </c>
      <c r="E51" t="s">
        <v>57</v>
      </c>
    </row>
    <row r="52" spans="1:5" x14ac:dyDescent="0.25">
      <c r="A52" t="str">
        <f>HYPERLINK("https://www.773grp.com/globalSearch/MUN5111T1G/page-1", "MUN5111T1G")</f>
        <v>MUN5111T1G</v>
      </c>
      <c r="B52" s="3" t="str">
        <f>HYPERLINK("https://www.773grp.com/manufacturer/onsemi?pageNo=51", "Onsemi")</f>
        <v>Onsemi</v>
      </c>
      <c r="C52" s="6">
        <v>561000</v>
      </c>
      <c r="D52" s="7">
        <v>0.15</v>
      </c>
      <c r="E52" t="s">
        <v>57</v>
      </c>
    </row>
    <row r="53" spans="1:5" x14ac:dyDescent="0.25">
      <c r="A53" t="str">
        <f>HYPERLINK("https://www.773grp.com/globalSearch/MUN5112T1/page-1", "MUN5112T1")</f>
        <v>MUN5112T1</v>
      </c>
      <c r="B53" s="3" t="str">
        <f>HYPERLINK("https://www.773grp.com/manufacturer/onsemi?pageNo=52", "Onsemi")</f>
        <v>Onsemi</v>
      </c>
      <c r="C53" s="6">
        <v>774000</v>
      </c>
      <c r="D53" s="7">
        <v>0.15</v>
      </c>
      <c r="E53" t="s">
        <v>57</v>
      </c>
    </row>
    <row r="54" spans="1:5" x14ac:dyDescent="0.25">
      <c r="A54" t="str">
        <f>HYPERLINK("https://www.773grp.com/globalSearch/MUN5112T1G/page-1", "MUN5112T1G")</f>
        <v>MUN5112T1G</v>
      </c>
      <c r="B54" s="3" t="str">
        <f>HYPERLINK("https://www.773grp.com/manufacturer/onsemi?pageNo=53", "Onsemi")</f>
        <v>Onsemi</v>
      </c>
      <c r="C54" s="6">
        <v>417000</v>
      </c>
      <c r="D54" s="7">
        <v>0.15</v>
      </c>
      <c r="E54" t="s">
        <v>57</v>
      </c>
    </row>
    <row r="55" spans="1:5" x14ac:dyDescent="0.25">
      <c r="A55" t="str">
        <f>HYPERLINK("https://www.773grp.com/globalSearch/MUN5113DW1T1/page-1", "MUN5113DW1T1")</f>
        <v>MUN5113DW1T1</v>
      </c>
      <c r="B55" s="3" t="str">
        <f>HYPERLINK("https://www.773grp.com/manufacturer/onsemi?pageNo=54", "Onsemi")</f>
        <v>Onsemi</v>
      </c>
      <c r="C55" s="6">
        <v>15000</v>
      </c>
      <c r="D55" s="7">
        <v>0.15</v>
      </c>
      <c r="E55" t="s">
        <v>57</v>
      </c>
    </row>
    <row r="56" spans="1:5" x14ac:dyDescent="0.25">
      <c r="A56" t="str">
        <f>HYPERLINK("https://www.773grp.com/globalSearch/MUN5113T1G/page-1", "MUN5113T1G")</f>
        <v>MUN5113T1G</v>
      </c>
      <c r="B56" s="3" t="str">
        <f>HYPERLINK("https://www.773grp.com/manufacturer/onsemi?pageNo=55", "Onsemi")</f>
        <v>Onsemi</v>
      </c>
      <c r="C56" s="6">
        <v>252000</v>
      </c>
      <c r="D56" s="7">
        <v>0.15</v>
      </c>
      <c r="E56" t="s">
        <v>57</v>
      </c>
    </row>
    <row r="57" spans="1:5" x14ac:dyDescent="0.25">
      <c r="A57" t="str">
        <f>HYPERLINK("https://www.773grp.com/globalSearch/MUN5114T1G/page-1", "MUN5114T1G")</f>
        <v>MUN5114T1G</v>
      </c>
      <c r="B57" s="3" t="str">
        <f>HYPERLINK("https://www.773grp.com/manufacturer/onsemi?pageNo=56", "Onsemi")</f>
        <v>Onsemi</v>
      </c>
      <c r="C57" s="6">
        <v>208750</v>
      </c>
      <c r="D57" s="7">
        <v>0.15</v>
      </c>
      <c r="E57" t="s">
        <v>57</v>
      </c>
    </row>
    <row r="58" spans="1:5" x14ac:dyDescent="0.25">
      <c r="A58" t="str">
        <f>HYPERLINK("https://www.773grp.com/globalSearch/MUN5115T1/page-1", "MUN5115T1")</f>
        <v>MUN5115T1</v>
      </c>
      <c r="B58" s="3" t="str">
        <f>HYPERLINK("https://www.773grp.com/manufacturer/onsemi?pageNo=57", "Onsemi")</f>
        <v>Onsemi</v>
      </c>
      <c r="C58" s="6">
        <v>9000</v>
      </c>
      <c r="D58" s="7">
        <v>0.15</v>
      </c>
      <c r="E58" t="s">
        <v>57</v>
      </c>
    </row>
    <row r="59" spans="1:5" x14ac:dyDescent="0.25">
      <c r="A59" t="str">
        <f>HYPERLINK("https://www.773grp.com/globalSearch/MUN5115T1G/page-1", "MUN5115T1G")</f>
        <v>MUN5115T1G</v>
      </c>
      <c r="B59" s="3" t="str">
        <f>HYPERLINK("https://www.773grp.com/manufacturer/onsemi?pageNo=58", "Onsemi")</f>
        <v>Onsemi</v>
      </c>
      <c r="C59" s="6">
        <v>96000</v>
      </c>
      <c r="D59" s="7">
        <v>0.15</v>
      </c>
      <c r="E59" t="s">
        <v>57</v>
      </c>
    </row>
    <row r="60" spans="1:5" x14ac:dyDescent="0.25">
      <c r="A60" t="str">
        <f>HYPERLINK("https://www.773grp.com/globalSearch/MUN5116T1/page-1", "MUN5116T1")</f>
        <v>MUN5116T1</v>
      </c>
      <c r="B60" s="3" t="str">
        <f>HYPERLINK("https://www.773grp.com/manufacturer/onsemi?pageNo=59", "Onsemi")</f>
        <v>Onsemi</v>
      </c>
      <c r="C60" s="6">
        <v>39000</v>
      </c>
      <c r="D60" s="7">
        <v>0.15</v>
      </c>
      <c r="E60" t="s">
        <v>57</v>
      </c>
    </row>
    <row r="61" spans="1:5" x14ac:dyDescent="0.25">
      <c r="A61" t="str">
        <f>HYPERLINK("https://www.773grp.com/globalSearch/MUN5116T1G/page-1", "MUN5116T1G")</f>
        <v>MUN5116T1G</v>
      </c>
      <c r="B61" s="3" t="str">
        <f>HYPERLINK("https://www.773grp.com/manufacturer/onsemi?pageNo=60", "Onsemi")</f>
        <v>Onsemi</v>
      </c>
      <c r="C61" s="6">
        <v>54000</v>
      </c>
      <c r="D61" s="7">
        <v>0.15</v>
      </c>
      <c r="E61" t="s">
        <v>57</v>
      </c>
    </row>
    <row r="62" spans="1:5" x14ac:dyDescent="0.25">
      <c r="A62" t="str">
        <f>HYPERLINK("https://www.773grp.com/globalSearch/MUN5130T1G/page-1", "MUN5130T1G")</f>
        <v>MUN5130T1G</v>
      </c>
      <c r="B62" s="3" t="str">
        <f>HYPERLINK("https://www.773grp.com/manufacturer/onsemi?pageNo=61", "Onsemi")</f>
        <v>Onsemi</v>
      </c>
      <c r="C62" s="6">
        <v>195000</v>
      </c>
      <c r="D62" s="7">
        <v>0.15</v>
      </c>
      <c r="E62" t="s">
        <v>57</v>
      </c>
    </row>
    <row r="63" spans="1:5" x14ac:dyDescent="0.25">
      <c r="A63" t="str">
        <f>HYPERLINK("https://www.773grp.com/globalSearch/MUN5131T1/page-1", "MUN5131T1")</f>
        <v>MUN5131T1</v>
      </c>
      <c r="B63" s="3" t="str">
        <f>HYPERLINK("https://www.773grp.com/manufacturer/onsemi?pageNo=62", "Onsemi")</f>
        <v>Onsemi</v>
      </c>
      <c r="C63" s="6">
        <v>66000</v>
      </c>
      <c r="D63" s="7">
        <v>0.15</v>
      </c>
      <c r="E63" t="s">
        <v>57</v>
      </c>
    </row>
    <row r="64" spans="1:5" x14ac:dyDescent="0.25">
      <c r="A64" t="str">
        <f>HYPERLINK("https://www.773grp.com/globalSearch/MUN5131T1G/page-1", "MUN5131T1G")</f>
        <v>MUN5131T1G</v>
      </c>
      <c r="B64" s="3" t="str">
        <f>HYPERLINK("https://www.773grp.com/manufacturer/onsemi?pageNo=63", "Onsemi")</f>
        <v>Onsemi</v>
      </c>
      <c r="C64" s="6">
        <v>475000</v>
      </c>
      <c r="D64" s="7">
        <v>0.15</v>
      </c>
      <c r="E64" t="s">
        <v>57</v>
      </c>
    </row>
    <row r="65" spans="1:5" x14ac:dyDescent="0.25">
      <c r="A65" t="str">
        <f>HYPERLINK("https://www.773grp.com/globalSearch/MUN5132T1/page-1", "MUN5132T1")</f>
        <v>MUN5132T1</v>
      </c>
      <c r="B65" s="3" t="str">
        <f>HYPERLINK("https://www.773grp.com/manufacturer/onsemi?pageNo=64", "Onsemi")</f>
        <v>Onsemi</v>
      </c>
      <c r="C65" s="6">
        <v>204000</v>
      </c>
      <c r="D65" s="7">
        <v>0.15</v>
      </c>
      <c r="E65" t="s">
        <v>57</v>
      </c>
    </row>
    <row r="66" spans="1:5" x14ac:dyDescent="0.25">
      <c r="A66" t="str">
        <f>HYPERLINK("https://www.773grp.com/globalSearch/MUN5132T1G/page-1", "MUN5132T1G")</f>
        <v>MUN5132T1G</v>
      </c>
      <c r="B66" s="3" t="str">
        <f>HYPERLINK("https://www.773grp.com/manufacturer/onsemi?pageNo=65", "Onsemi")</f>
        <v>Onsemi</v>
      </c>
      <c r="C66" s="6">
        <v>227500</v>
      </c>
      <c r="D66" s="7">
        <v>0.15</v>
      </c>
      <c r="E66" t="s">
        <v>57</v>
      </c>
    </row>
    <row r="67" spans="1:5" x14ac:dyDescent="0.25">
      <c r="A67" t="str">
        <f>HYPERLINK("https://www.773grp.com/globalSearch/MUN5133T1/page-1", "MUN5133T1")</f>
        <v>MUN5133T1</v>
      </c>
      <c r="B67" s="3" t="str">
        <f>HYPERLINK("https://www.773grp.com/manufacturer/onsemi?pageNo=66", "Onsemi")</f>
        <v>Onsemi</v>
      </c>
      <c r="C67" s="6">
        <v>162000</v>
      </c>
      <c r="D67" s="7">
        <v>0.15</v>
      </c>
      <c r="E67" t="s">
        <v>57</v>
      </c>
    </row>
    <row r="68" spans="1:5" x14ac:dyDescent="0.25">
      <c r="A68" t="str">
        <f>HYPERLINK("https://www.773grp.com/globalSearch/MUN5133T1G/page-1", "MUN5133T1G")</f>
        <v>MUN5133T1G</v>
      </c>
      <c r="B68" s="3" t="str">
        <f>HYPERLINK("https://www.773grp.com/manufacturer/onsemi?pageNo=67", "Onsemi")</f>
        <v>Onsemi</v>
      </c>
      <c r="C68" s="6">
        <v>84000</v>
      </c>
      <c r="D68" s="7">
        <v>0.15</v>
      </c>
      <c r="E68" t="s">
        <v>57</v>
      </c>
    </row>
    <row r="69" spans="1:5" x14ac:dyDescent="0.25">
      <c r="A69" t="str">
        <f>HYPERLINK("https://www.773grp.com/globalSearch/MUN5134T1G/page-1", "MUN5134T1G")</f>
        <v>MUN5134T1G</v>
      </c>
      <c r="B69" s="3" t="str">
        <f>HYPERLINK("https://www.773grp.com/manufacturer/onsemi?pageNo=68", "Onsemi")</f>
        <v>Onsemi</v>
      </c>
      <c r="C69" s="6">
        <v>69000</v>
      </c>
      <c r="D69" s="7">
        <v>0.15</v>
      </c>
      <c r="E69" t="s">
        <v>57</v>
      </c>
    </row>
    <row r="70" spans="1:5" x14ac:dyDescent="0.25">
      <c r="A70" t="str">
        <f>HYPERLINK("https://www.773grp.com/globalSearch/MUN5135T1/page-1", "MUN5135T1")</f>
        <v>MUN5135T1</v>
      </c>
      <c r="B70" s="3" t="str">
        <f>HYPERLINK("https://www.773grp.com/manufacturer/onsemi?pageNo=69", "Onsemi")</f>
        <v>Onsemi</v>
      </c>
      <c r="C70" s="6">
        <v>6000</v>
      </c>
      <c r="D70" s="7">
        <v>0.15</v>
      </c>
      <c r="E70" t="s">
        <v>57</v>
      </c>
    </row>
    <row r="71" spans="1:5" x14ac:dyDescent="0.25">
      <c r="A71" t="str">
        <f>HYPERLINK("https://www.773grp.com/globalSearch/MUN5135T1G/page-1", "MUN5135T1G")</f>
        <v>MUN5135T1G</v>
      </c>
      <c r="B71" s="3" t="str">
        <f>HYPERLINK("https://www.773grp.com/manufacturer/onsemi?pageNo=70", "Onsemi")</f>
        <v>Onsemi</v>
      </c>
      <c r="C71" s="6">
        <v>237000</v>
      </c>
      <c r="D71" s="7">
        <v>0.15</v>
      </c>
      <c r="E71" t="s">
        <v>57</v>
      </c>
    </row>
    <row r="72" spans="1:5" x14ac:dyDescent="0.25">
      <c r="A72" t="str">
        <f>HYPERLINK("https://www.773grp.com/globalSearch/MUN5136T1/page-1", "MUN5136T1")</f>
        <v>MUN5136T1</v>
      </c>
      <c r="B72" s="3" t="str">
        <f>HYPERLINK("https://www.773grp.com/manufacturer/onsemi?pageNo=71", "Onsemi")</f>
        <v>Onsemi</v>
      </c>
      <c r="C72" s="6">
        <v>111000</v>
      </c>
      <c r="D72" s="7">
        <v>0.15</v>
      </c>
      <c r="E72" t="s">
        <v>57</v>
      </c>
    </row>
    <row r="73" spans="1:5" x14ac:dyDescent="0.25">
      <c r="A73" t="str">
        <f>HYPERLINK("https://www.773grp.com/globalSearch/MUN5137T1/page-1", "MUN5137T1")</f>
        <v>MUN5137T1</v>
      </c>
      <c r="B73" s="3" t="str">
        <f>HYPERLINK("https://www.773grp.com/manufacturer/onsemi?pageNo=72", "Onsemi")</f>
        <v>Onsemi</v>
      </c>
      <c r="C73" s="6">
        <v>66000</v>
      </c>
      <c r="D73" s="7">
        <v>0.15</v>
      </c>
      <c r="E73" t="s">
        <v>57</v>
      </c>
    </row>
    <row r="74" spans="1:5" x14ac:dyDescent="0.25">
      <c r="A74" t="str">
        <f>HYPERLINK("https://www.773grp.com/globalSearch/MUN5137T1G/page-1", "MUN5137T1G")</f>
        <v>MUN5137T1G</v>
      </c>
      <c r="B74" s="3" t="str">
        <f>HYPERLINK("https://www.773grp.com/manufacturer/onsemi?pageNo=73", "Onsemi")</f>
        <v>Onsemi</v>
      </c>
      <c r="C74" s="6">
        <v>6000</v>
      </c>
      <c r="D74" s="7">
        <v>0.15</v>
      </c>
      <c r="E74" t="s">
        <v>57</v>
      </c>
    </row>
    <row r="75" spans="1:5" x14ac:dyDescent="0.25">
      <c r="A75" t="str">
        <f>HYPERLINK("https://www.773grp.com/globalSearch/MUN5211T1/page-1", "MUN5211T1")</f>
        <v>MUN5211T1</v>
      </c>
      <c r="B75" s="3" t="str">
        <f>HYPERLINK("https://www.773grp.com/manufacturer/onsemi?pageNo=74", "Onsemi")</f>
        <v>Onsemi</v>
      </c>
      <c r="C75" s="6">
        <v>135000</v>
      </c>
      <c r="D75" s="7">
        <v>0.15</v>
      </c>
      <c r="E75" t="s">
        <v>57</v>
      </c>
    </row>
    <row r="76" spans="1:5" x14ac:dyDescent="0.25">
      <c r="A76" t="str">
        <f>HYPERLINK("https://www.773grp.com/globalSearch/MUN5211T1G/page-1", "MUN5211T1G")</f>
        <v>MUN5211T1G</v>
      </c>
      <c r="B76" s="3" t="str">
        <f>HYPERLINK("https://www.773grp.com/manufacturer/onsemi?pageNo=75", "Onsemi")</f>
        <v>Onsemi</v>
      </c>
      <c r="C76" s="6">
        <v>576000</v>
      </c>
      <c r="D76" s="7">
        <v>0.15</v>
      </c>
      <c r="E76" t="s">
        <v>57</v>
      </c>
    </row>
    <row r="77" spans="1:5" x14ac:dyDescent="0.25">
      <c r="A77" t="str">
        <f>HYPERLINK("https://www.773grp.com/globalSearch/MUN5212T1/page-1", "MUN5212T1")</f>
        <v>MUN5212T1</v>
      </c>
      <c r="B77" s="3" t="str">
        <f>HYPERLINK("https://www.773grp.com/manufacturer/onsemi?pageNo=76", "Onsemi")</f>
        <v>Onsemi</v>
      </c>
      <c r="C77" s="6">
        <v>110724</v>
      </c>
      <c r="D77" s="7">
        <v>0.15</v>
      </c>
      <c r="E77" t="s">
        <v>57</v>
      </c>
    </row>
    <row r="78" spans="1:5" x14ac:dyDescent="0.25">
      <c r="A78" t="str">
        <f>HYPERLINK("https://www.773grp.com/globalSearch/MUN5212T1G/page-1", "MUN5212T1G")</f>
        <v>MUN5212T1G</v>
      </c>
      <c r="B78" s="3" t="str">
        <f>HYPERLINK("https://www.773grp.com/manufacturer/onsemi?pageNo=77", "Onsemi")</f>
        <v>Onsemi</v>
      </c>
      <c r="C78" s="6">
        <v>259850</v>
      </c>
      <c r="D78" s="7">
        <v>0.15</v>
      </c>
      <c r="E78" t="s">
        <v>57</v>
      </c>
    </row>
    <row r="79" spans="1:5" x14ac:dyDescent="0.25">
      <c r="A79" t="str">
        <f>HYPERLINK("https://www.773grp.com/globalSearch/MUN5213T1/page-1", "MUN5213T1")</f>
        <v>MUN5213T1</v>
      </c>
      <c r="B79" s="3" t="str">
        <f>HYPERLINK("https://www.773grp.com/manufacturer/onsemi?pageNo=78", "Onsemi")</f>
        <v>Onsemi</v>
      </c>
      <c r="C79" s="6">
        <v>288000</v>
      </c>
      <c r="D79" s="7">
        <v>0.15</v>
      </c>
      <c r="E79" t="s">
        <v>57</v>
      </c>
    </row>
    <row r="80" spans="1:5" x14ac:dyDescent="0.25">
      <c r="A80" t="str">
        <f>HYPERLINK("https://www.773grp.com/globalSearch/MUN5213T1G/page-1", "MUN5213T1G")</f>
        <v>MUN5213T1G</v>
      </c>
      <c r="B80" s="3" t="str">
        <f>HYPERLINK("https://www.773grp.com/manufacturer/onsemi?pageNo=79", "Onsemi")</f>
        <v>Onsemi</v>
      </c>
      <c r="C80" s="6">
        <v>2169496</v>
      </c>
      <c r="D80" s="7">
        <v>0.15</v>
      </c>
      <c r="E80" t="s">
        <v>57</v>
      </c>
    </row>
    <row r="81" spans="1:5" x14ac:dyDescent="0.25">
      <c r="A81" t="str">
        <f>HYPERLINK("https://www.773grp.com/globalSearch/MUN5214T1/page-1", "MUN5214T1")</f>
        <v>MUN5214T1</v>
      </c>
      <c r="B81" s="3" t="str">
        <f>HYPERLINK("https://www.773grp.com/manufacturer/onsemi?pageNo=80", "Onsemi")</f>
        <v>Onsemi</v>
      </c>
      <c r="C81" s="6">
        <v>39000</v>
      </c>
      <c r="D81" s="7">
        <v>0.15</v>
      </c>
      <c r="E81" t="s">
        <v>57</v>
      </c>
    </row>
    <row r="82" spans="1:5" x14ac:dyDescent="0.25">
      <c r="A82" t="str">
        <f>HYPERLINK("https://www.773grp.com/globalSearch/MUN5214T1G/page-1", "MUN5214T1G")</f>
        <v>MUN5214T1G</v>
      </c>
      <c r="B82" s="3" t="str">
        <f>HYPERLINK("https://www.773grp.com/manufacturer/onsemi?pageNo=81", "Onsemi")</f>
        <v>Onsemi</v>
      </c>
      <c r="C82" s="6">
        <v>672000</v>
      </c>
      <c r="D82" s="7">
        <v>0.15</v>
      </c>
      <c r="E82" t="s">
        <v>57</v>
      </c>
    </row>
    <row r="83" spans="1:5" x14ac:dyDescent="0.25">
      <c r="A83" t="str">
        <f>HYPERLINK("https://www.773grp.com/globalSearch/MUN5215T1/page-1", "MUN5215T1")</f>
        <v>MUN5215T1</v>
      </c>
      <c r="B83" s="3" t="str">
        <f>HYPERLINK("https://www.773grp.com/manufacturer/onsemi?pageNo=82", "Onsemi")</f>
        <v>Onsemi</v>
      </c>
      <c r="C83" s="6">
        <v>39000</v>
      </c>
      <c r="D83" s="7">
        <v>0.15</v>
      </c>
      <c r="E83" t="s">
        <v>57</v>
      </c>
    </row>
    <row r="84" spans="1:5" x14ac:dyDescent="0.25">
      <c r="A84" t="str">
        <f>HYPERLINK("https://www.773grp.com/globalSearch/MUN5215T1G/page-1", "MUN5215T1G")</f>
        <v>MUN5215T1G</v>
      </c>
      <c r="B84" s="3" t="str">
        <f>HYPERLINK("https://www.773grp.com/manufacturer/onsemi?pageNo=83", "Onsemi")</f>
        <v>Onsemi</v>
      </c>
      <c r="C84" s="6">
        <v>90000</v>
      </c>
      <c r="D84" s="7">
        <v>0.15</v>
      </c>
      <c r="E84" t="s">
        <v>57</v>
      </c>
    </row>
    <row r="85" spans="1:5" x14ac:dyDescent="0.25">
      <c r="A85" t="str">
        <f>HYPERLINK("https://www.773grp.com/globalSearch/MUN5216T1/page-1", "MUN5216T1")</f>
        <v>MUN5216T1</v>
      </c>
      <c r="B85" s="3" t="str">
        <f>HYPERLINK("https://www.773grp.com/manufacturer/onsemi?pageNo=84", "Onsemi")</f>
        <v>Onsemi</v>
      </c>
      <c r="C85" s="6">
        <v>495000</v>
      </c>
      <c r="D85" s="7">
        <v>0.15</v>
      </c>
      <c r="E85" t="s">
        <v>57</v>
      </c>
    </row>
    <row r="86" spans="1:5" x14ac:dyDescent="0.25">
      <c r="A86" t="str">
        <f>HYPERLINK("https://www.773grp.com/globalSearch/MUN5216T1G/page-1", "MUN5216T1G")</f>
        <v>MUN5216T1G</v>
      </c>
      <c r="B86" s="3" t="str">
        <f>HYPERLINK("https://www.773grp.com/manufacturer/onsemi?pageNo=85", "Onsemi")</f>
        <v>Onsemi</v>
      </c>
      <c r="C86" s="6">
        <v>123000</v>
      </c>
      <c r="D86" s="7">
        <v>0.15</v>
      </c>
      <c r="E86" t="s">
        <v>57</v>
      </c>
    </row>
    <row r="87" spans="1:5" x14ac:dyDescent="0.25">
      <c r="A87" t="str">
        <f>HYPERLINK("https://www.773grp.com/globalSearch/MUN5230T1G/page-1", "MUN5230T1G")</f>
        <v>MUN5230T1G</v>
      </c>
      <c r="B87" s="3" t="str">
        <f>HYPERLINK("https://www.773grp.com/manufacturer/onsemi?pageNo=86", "Onsemi")</f>
        <v>Onsemi</v>
      </c>
      <c r="C87" s="6">
        <v>231100</v>
      </c>
      <c r="D87" s="7">
        <v>0.15</v>
      </c>
      <c r="E87" t="s">
        <v>57</v>
      </c>
    </row>
    <row r="88" spans="1:5" x14ac:dyDescent="0.25">
      <c r="A88" t="str">
        <f>HYPERLINK("https://www.773grp.com/globalSearch/MUN5231T1/page-1", "MUN5231T1")</f>
        <v>MUN5231T1</v>
      </c>
      <c r="B88" s="3" t="str">
        <f>HYPERLINK("https://www.773grp.com/manufacturer/onsemi?pageNo=87", "Onsemi")</f>
        <v>Onsemi</v>
      </c>
      <c r="C88" s="6">
        <v>15000</v>
      </c>
      <c r="D88" s="7">
        <v>0.15</v>
      </c>
      <c r="E88" t="s">
        <v>57</v>
      </c>
    </row>
    <row r="89" spans="1:5" x14ac:dyDescent="0.25">
      <c r="A89" t="str">
        <f>HYPERLINK("https://www.773grp.com/globalSearch/MUN5231T1G/page-1", "MUN5231T1G")</f>
        <v>MUN5231T1G</v>
      </c>
      <c r="B89" s="3" t="str">
        <f>HYPERLINK("https://www.773grp.com/manufacturer/onsemi?pageNo=88", "Onsemi")</f>
        <v>Onsemi</v>
      </c>
      <c r="C89" s="6">
        <v>120000</v>
      </c>
      <c r="D89" s="7">
        <v>0.15</v>
      </c>
      <c r="E89" t="s">
        <v>57</v>
      </c>
    </row>
    <row r="90" spans="1:5" x14ac:dyDescent="0.25">
      <c r="A90" t="str">
        <f>HYPERLINK("https://www.773grp.com/globalSearch/MUN5232T1/page-1", "MUN5232T1")</f>
        <v>MUN5232T1</v>
      </c>
      <c r="B90" s="3" t="str">
        <f>HYPERLINK("https://www.773grp.com/manufacturer/onsemi?pageNo=89", "Onsemi")</f>
        <v>Onsemi</v>
      </c>
      <c r="C90" s="6">
        <v>30000</v>
      </c>
      <c r="D90" s="7">
        <v>0.15</v>
      </c>
      <c r="E90" t="s">
        <v>57</v>
      </c>
    </row>
    <row r="91" spans="1:5" x14ac:dyDescent="0.25">
      <c r="A91" t="str">
        <f>HYPERLINK("https://www.773grp.com/globalSearch/MUN5232T1G/page-1", "MUN5232T1G")</f>
        <v>MUN5232T1G</v>
      </c>
      <c r="B91" s="3" t="str">
        <f>HYPERLINK("https://www.773grp.com/manufacturer/onsemi?pageNo=90", "Onsemi")</f>
        <v>Onsemi</v>
      </c>
      <c r="C91" s="6">
        <v>48000</v>
      </c>
      <c r="D91" s="7">
        <v>0.15</v>
      </c>
      <c r="E91" t="s">
        <v>57</v>
      </c>
    </row>
    <row r="92" spans="1:5" x14ac:dyDescent="0.25">
      <c r="A92" t="str">
        <f>HYPERLINK("https://www.773grp.com/globalSearch/MUN5233T1/page-1", "MUN5233T1")</f>
        <v>MUN5233T1</v>
      </c>
      <c r="B92" s="3" t="str">
        <f>HYPERLINK("https://www.773grp.com/manufacturer/onsemi?pageNo=91", "Onsemi")</f>
        <v>Onsemi</v>
      </c>
      <c r="C92" s="6">
        <v>146750</v>
      </c>
      <c r="D92" s="7">
        <v>0.15</v>
      </c>
      <c r="E92" t="s">
        <v>57</v>
      </c>
    </row>
    <row r="93" spans="1:5" x14ac:dyDescent="0.25">
      <c r="A93" t="str">
        <f>HYPERLINK("https://www.773grp.com/globalSearch/MUN5233T1G/page-1", "MUN5233T1G")</f>
        <v>MUN5233T1G</v>
      </c>
      <c r="B93" s="3" t="str">
        <f>HYPERLINK("https://www.773grp.com/manufacturer/onsemi?pageNo=92", "Onsemi")</f>
        <v>Onsemi</v>
      </c>
      <c r="C93" s="6">
        <v>456000</v>
      </c>
      <c r="D93" s="7">
        <v>0.15</v>
      </c>
      <c r="E93" t="s">
        <v>57</v>
      </c>
    </row>
    <row r="94" spans="1:5" x14ac:dyDescent="0.25">
      <c r="A94" t="str">
        <f>HYPERLINK("https://www.773grp.com/globalSearch/MUN5234T1/page-1", "MUN5234T1")</f>
        <v>MUN5234T1</v>
      </c>
      <c r="B94" s="3" t="str">
        <f>HYPERLINK("https://www.773grp.com/manufacturer/onsemi?pageNo=93", "Onsemi")</f>
        <v>Onsemi</v>
      </c>
      <c r="C94" s="6">
        <v>72000</v>
      </c>
      <c r="D94" s="7">
        <v>0.15</v>
      </c>
      <c r="E94" t="s">
        <v>57</v>
      </c>
    </row>
    <row r="95" spans="1:5" x14ac:dyDescent="0.25">
      <c r="A95" t="str">
        <f>HYPERLINK("https://www.773grp.com/globalSearch/MUN5235T1G/page-1", "MUN5235T1G")</f>
        <v>MUN5235T1G</v>
      </c>
      <c r="B95" s="3" t="str">
        <f>HYPERLINK("https://www.773grp.com/manufacturer/onsemi?pageNo=94", "Onsemi")</f>
        <v>Onsemi</v>
      </c>
      <c r="C95" s="6">
        <v>135000</v>
      </c>
      <c r="D95" s="7">
        <v>0.15</v>
      </c>
      <c r="E95" t="s">
        <v>57</v>
      </c>
    </row>
    <row r="96" spans="1:5" x14ac:dyDescent="0.25">
      <c r="A96" t="str">
        <f>HYPERLINK("https://www.773grp.com/globalSearch/MUN5236T1/page-1", "MUN5236T1")</f>
        <v>MUN5236T1</v>
      </c>
      <c r="B96" s="3" t="str">
        <f>HYPERLINK("https://www.773grp.com/manufacturer/onsemi?pageNo=95", "Onsemi")</f>
        <v>Onsemi</v>
      </c>
      <c r="C96" s="6">
        <v>111000</v>
      </c>
      <c r="D96" s="7">
        <v>0.15</v>
      </c>
      <c r="E96" t="s">
        <v>57</v>
      </c>
    </row>
    <row r="97" spans="1:5" x14ac:dyDescent="0.25">
      <c r="A97" t="str">
        <f>HYPERLINK("https://www.773grp.com/globalSearch/MUN5237T1/page-1", "MUN5237T1")</f>
        <v>MUN5237T1</v>
      </c>
      <c r="B97" s="3" t="str">
        <f>HYPERLINK("https://www.773grp.com/manufacturer/onsemi?pageNo=96", "Onsemi")</f>
        <v>Onsemi</v>
      </c>
      <c r="C97" s="6">
        <v>68985</v>
      </c>
      <c r="D97" s="7">
        <v>0.15</v>
      </c>
      <c r="E97" t="s">
        <v>57</v>
      </c>
    </row>
    <row r="98" spans="1:5" x14ac:dyDescent="0.25">
      <c r="A98" t="str">
        <f>HYPERLINK("https://www.773grp.com/globalSearch/MUN5237T1G/page-1", "MUN5237T1G")</f>
        <v>MUN5237T1G</v>
      </c>
      <c r="B98" s="3" t="str">
        <f>HYPERLINK("https://www.773grp.com/manufacturer/onsemi?pageNo=97", "Onsemi")</f>
        <v>Onsemi</v>
      </c>
      <c r="C98" s="6">
        <v>12000</v>
      </c>
      <c r="D98" s="7">
        <v>0.15</v>
      </c>
      <c r="E98" t="s">
        <v>57</v>
      </c>
    </row>
    <row r="99" spans="1:5" x14ac:dyDescent="0.25">
      <c r="A99" t="str">
        <f>HYPERLINK("https://www.773grp.com/globalSearch/NS2029M3T5G/page-1", "NS2029M3T5G")</f>
        <v>NS2029M3T5G</v>
      </c>
      <c r="B99" s="3" t="str">
        <f>HYPERLINK("https://www.773grp.com/manufacturer/onsemi?pageNo=98", "Onsemi")</f>
        <v>Onsemi</v>
      </c>
      <c r="C99" s="6">
        <v>44000</v>
      </c>
      <c r="D99" s="7">
        <v>0.15</v>
      </c>
      <c r="E99" t="s">
        <v>57</v>
      </c>
    </row>
    <row r="100" spans="1:5" x14ac:dyDescent="0.25">
      <c r="A100" t="str">
        <f>HYPERLINK("https://www.773grp.com/globalSearch/NSB1010XV5T5/page-1", "NSB1010XV5T5")</f>
        <v>NSB1010XV5T5</v>
      </c>
      <c r="B100" s="3" t="str">
        <f>HYPERLINK("https://www.773grp.com/manufacturer/onsemi?pageNo=99", "Onsemi")</f>
        <v>Onsemi</v>
      </c>
      <c r="C100" s="6">
        <v>168000</v>
      </c>
      <c r="D100" s="7">
        <v>0.15</v>
      </c>
      <c r="E100" t="s">
        <v>57</v>
      </c>
    </row>
    <row r="101" spans="1:5" x14ac:dyDescent="0.25">
      <c r="A101" t="str">
        <f>HYPERLINK("https://www.773grp.com/globalSearch/NSB1011XV6T5/page-1", "NSB1011XV6T5")</f>
        <v>NSB1011XV6T5</v>
      </c>
      <c r="B101" s="3" t="str">
        <f>HYPERLINK("https://www.773grp.com/manufacturer/onsemi?pageNo=100", "Onsemi")</f>
        <v>Onsemi</v>
      </c>
      <c r="C101" s="6">
        <v>88000</v>
      </c>
      <c r="D101" s="7">
        <v>0.15</v>
      </c>
      <c r="E101" t="s">
        <v>57</v>
      </c>
    </row>
    <row r="102" spans="1:5" x14ac:dyDescent="0.25">
      <c r="A102" t="str">
        <f>HYPERLINK("https://www.773grp.com/globalSearch/NSBA114EDXV6T5/page-1", "NSBA114EDXV6T5")</f>
        <v>NSBA114EDXV6T5</v>
      </c>
      <c r="B102" s="3" t="str">
        <f>HYPERLINK("https://www.773grp.com/manufacturer/onsemi?pageNo=101", "Onsemi")</f>
        <v>Onsemi</v>
      </c>
      <c r="C102" s="6">
        <v>8000</v>
      </c>
      <c r="D102" s="7">
        <v>0.15</v>
      </c>
      <c r="E102" t="s">
        <v>57</v>
      </c>
    </row>
    <row r="103" spans="1:5" x14ac:dyDescent="0.25">
      <c r="A103" t="str">
        <f>HYPERLINK("https://www.773grp.com/globalSearch/NSBA114EDXV6T5G/page-1", "NSBA114EDXV6T5G")</f>
        <v>NSBA114EDXV6T5G</v>
      </c>
      <c r="B103" s="3" t="str">
        <f>HYPERLINK("https://www.773grp.com/manufacturer/onsemi?pageNo=102", "Onsemi")</f>
        <v>Onsemi</v>
      </c>
      <c r="C103" s="6">
        <v>48000</v>
      </c>
      <c r="D103" s="7">
        <v>0.15</v>
      </c>
      <c r="E103" t="s">
        <v>57</v>
      </c>
    </row>
    <row r="104" spans="1:5" x14ac:dyDescent="0.25">
      <c r="A104" t="str">
        <f>HYPERLINK("https://www.773grp.com/globalSearch/NSBA114TDXV6T1/page-1", "NSBA114TDXV6T1")</f>
        <v>NSBA114TDXV6T1</v>
      </c>
      <c r="B104" s="3" t="str">
        <f>HYPERLINK("https://www.773grp.com/manufacturer/onsemi?pageNo=103", "Onsemi")</f>
        <v>Onsemi</v>
      </c>
      <c r="C104" s="6">
        <v>48000</v>
      </c>
      <c r="D104" s="7">
        <v>0.15</v>
      </c>
      <c r="E104" t="s">
        <v>57</v>
      </c>
    </row>
    <row r="105" spans="1:5" x14ac:dyDescent="0.25">
      <c r="A105" t="str">
        <f>HYPERLINK("https://www.773grp.com/globalSearch/NSBA114TDXV6T5/page-1", "NSBA114TDXV6T5")</f>
        <v>NSBA114TDXV6T5</v>
      </c>
      <c r="B105" s="3" t="str">
        <f>HYPERLINK("https://www.773grp.com/manufacturer/onsemi?pageNo=104", "Onsemi")</f>
        <v>Onsemi</v>
      </c>
      <c r="C105" s="6">
        <v>15999</v>
      </c>
      <c r="D105" s="7">
        <v>0.15</v>
      </c>
      <c r="E105" t="s">
        <v>57</v>
      </c>
    </row>
    <row r="106" spans="1:5" x14ac:dyDescent="0.25">
      <c r="A106" t="str">
        <f>HYPERLINK("https://www.773grp.com/globalSearch/NSBA114YDXV6T1/page-1", "NSBA114YDXV6T1")</f>
        <v>NSBA114YDXV6T1</v>
      </c>
      <c r="B106" s="3" t="str">
        <f>HYPERLINK("https://www.773grp.com/manufacturer/onsemi?pageNo=105", "Onsemi")</f>
        <v>Onsemi</v>
      </c>
      <c r="C106" s="6">
        <v>144000</v>
      </c>
      <c r="D106" s="7">
        <v>0.15</v>
      </c>
      <c r="E106" t="s">
        <v>57</v>
      </c>
    </row>
    <row r="107" spans="1:5" x14ac:dyDescent="0.25">
      <c r="A107" t="str">
        <f>HYPERLINK("https://www.773grp.com/globalSearch/NSBA115EDXV6T1/page-1", "NSBA115EDXV6T1")</f>
        <v>NSBA115EDXV6T1</v>
      </c>
      <c r="B107" s="3" t="str">
        <f>HYPERLINK("https://www.773grp.com/manufacturer/onsemi?pageNo=106", "Onsemi")</f>
        <v>Onsemi</v>
      </c>
      <c r="C107" s="6">
        <v>15975</v>
      </c>
      <c r="D107" s="7">
        <v>0.15</v>
      </c>
      <c r="E107" t="s">
        <v>57</v>
      </c>
    </row>
    <row r="108" spans="1:5" x14ac:dyDescent="0.25">
      <c r="A108" t="str">
        <f>HYPERLINK("https://www.773grp.com/globalSearch/NSBA123EDXV6T1/page-1", "NSBA123EDXV6T1")</f>
        <v>NSBA123EDXV6T1</v>
      </c>
      <c r="B108" s="3" t="str">
        <f>HYPERLINK("https://www.773grp.com/manufacturer/onsemi?pageNo=107", "Onsemi")</f>
        <v>Onsemi</v>
      </c>
      <c r="C108" s="6">
        <v>120000</v>
      </c>
      <c r="D108" s="7">
        <v>0.15</v>
      </c>
      <c r="E108" t="s">
        <v>57</v>
      </c>
    </row>
    <row r="109" spans="1:5" x14ac:dyDescent="0.25">
      <c r="A109" t="str">
        <f>HYPERLINK("https://www.773grp.com/globalSearch/NSBA123JDXV6/page-1", "NSBA123JDXV6")</f>
        <v>NSBA123JDXV6</v>
      </c>
      <c r="B109" s="3" t="str">
        <f>HYPERLINK("https://www.773grp.com/manufacturer/onsemi?pageNo=108", "Onsemi")</f>
        <v>Onsemi</v>
      </c>
      <c r="C109" s="6">
        <v>4000</v>
      </c>
      <c r="D109" s="7">
        <v>0.15</v>
      </c>
    </row>
    <row r="110" spans="1:5" x14ac:dyDescent="0.25">
      <c r="A110" t="str">
        <f>HYPERLINK("https://www.773grp.com/globalSearch/NSBA123JDXV6T1/page-1", "NSBA123JDXV6T1")</f>
        <v>NSBA123JDXV6T1</v>
      </c>
      <c r="B110" s="3" t="str">
        <f>HYPERLINK("https://www.773grp.com/manufacturer/onsemi?pageNo=109", "Onsemi")</f>
        <v>Onsemi</v>
      </c>
      <c r="C110" s="6">
        <v>171949</v>
      </c>
      <c r="D110" s="7">
        <v>0.15</v>
      </c>
      <c r="E110" t="s">
        <v>57</v>
      </c>
    </row>
    <row r="111" spans="1:5" x14ac:dyDescent="0.25">
      <c r="A111" t="str">
        <f>HYPERLINK("https://www.773grp.com/globalSearch/NSBA123JDXV6T1G/page-1", "NSBA123JDXV6T1G")</f>
        <v>NSBA123JDXV6T1G</v>
      </c>
      <c r="B111" s="3" t="str">
        <f>HYPERLINK("https://www.773grp.com/manufacturer/onsemi?pageNo=110", "Onsemi")</f>
        <v>Onsemi</v>
      </c>
      <c r="C111" s="6">
        <v>283000</v>
      </c>
      <c r="D111" s="7">
        <v>0.15</v>
      </c>
      <c r="E111" t="s">
        <v>57</v>
      </c>
    </row>
    <row r="112" spans="1:5" x14ac:dyDescent="0.25">
      <c r="A112" t="str">
        <f>HYPERLINK("https://www.773grp.com/globalSearch/NSBA123JDXV6T5/page-1", "NSBA123JDXV6T5")</f>
        <v>NSBA123JDXV6T5</v>
      </c>
      <c r="B112" s="3" t="str">
        <f>HYPERLINK("https://www.773grp.com/manufacturer/onsemi?pageNo=111", "Onsemi")</f>
        <v>Onsemi</v>
      </c>
      <c r="C112" s="6">
        <v>943800</v>
      </c>
      <c r="D112" s="7">
        <v>0.15</v>
      </c>
      <c r="E112" t="s">
        <v>57</v>
      </c>
    </row>
    <row r="113" spans="1:5" x14ac:dyDescent="0.25">
      <c r="A113" t="str">
        <f>HYPERLINK("https://www.773grp.com/globalSearch/NSBA124EDXV6T1/page-1", "NSBA124EDXV6T1")</f>
        <v>NSBA124EDXV6T1</v>
      </c>
      <c r="B113" s="3" t="str">
        <f>HYPERLINK("https://www.773grp.com/manufacturer/onsemi?pageNo=112", "Onsemi")</f>
        <v>Onsemi</v>
      </c>
      <c r="C113" s="6">
        <v>100000</v>
      </c>
      <c r="D113" s="7">
        <v>0.15</v>
      </c>
      <c r="E113" t="s">
        <v>57</v>
      </c>
    </row>
    <row r="114" spans="1:5" x14ac:dyDescent="0.25">
      <c r="A114" t="str">
        <f>HYPERLINK("https://www.773grp.com/globalSearch/NSBA124EDXV6T5/page-1", "NSBA124EDXV6T5")</f>
        <v>NSBA124EDXV6T5</v>
      </c>
      <c r="B114" s="3" t="str">
        <f>HYPERLINK("https://www.773grp.com/manufacturer/onsemi?pageNo=113", "Onsemi")</f>
        <v>Onsemi</v>
      </c>
      <c r="C114" s="6">
        <v>24000</v>
      </c>
      <c r="D114" s="7">
        <v>0.15</v>
      </c>
      <c r="E114" t="s">
        <v>57</v>
      </c>
    </row>
    <row r="115" spans="1:5" x14ac:dyDescent="0.25">
      <c r="A115" t="str">
        <f>HYPERLINK("https://www.773grp.com/globalSearch/NSBA124XDXV6T1/page-1", "NSBA124XDXV6T1")</f>
        <v>NSBA124XDXV6T1</v>
      </c>
      <c r="B115" s="3" t="str">
        <f>HYPERLINK("https://www.773grp.com/manufacturer/onsemi?pageNo=114", "Onsemi")</f>
        <v>Onsemi</v>
      </c>
      <c r="C115" s="6">
        <v>76000</v>
      </c>
      <c r="D115" s="7">
        <v>0.15</v>
      </c>
      <c r="E115" t="s">
        <v>57</v>
      </c>
    </row>
    <row r="116" spans="1:5" x14ac:dyDescent="0.25">
      <c r="A116" t="str">
        <f>HYPERLINK("https://www.773grp.com/globalSearch/NSBA143EDXV6T1/page-1", "NSBA143EDXV6T1")</f>
        <v>NSBA143EDXV6T1</v>
      </c>
      <c r="B116" s="3" t="str">
        <f>HYPERLINK("https://www.773grp.com/manufacturer/onsemi?pageNo=115", "Onsemi")</f>
        <v>Onsemi</v>
      </c>
      <c r="C116" s="6">
        <v>44000</v>
      </c>
      <c r="D116" s="7">
        <v>0.15</v>
      </c>
      <c r="E116" t="s">
        <v>57</v>
      </c>
    </row>
    <row r="117" spans="1:5" x14ac:dyDescent="0.25">
      <c r="A117" t="str">
        <f>HYPERLINK("https://www.773grp.com/globalSearch/NSBA143TDXV6T1/page-1", "NSBA143TDXV6T1")</f>
        <v>NSBA143TDXV6T1</v>
      </c>
      <c r="B117" s="3" t="str">
        <f>HYPERLINK("https://www.773grp.com/manufacturer/onsemi?pageNo=116", "Onsemi")</f>
        <v>Onsemi</v>
      </c>
      <c r="C117" s="6">
        <v>36000</v>
      </c>
      <c r="D117" s="7">
        <v>0.15</v>
      </c>
      <c r="E117" t="s">
        <v>57</v>
      </c>
    </row>
    <row r="118" spans="1:5" x14ac:dyDescent="0.25">
      <c r="A118" t="str">
        <f>HYPERLINK("https://www.773grp.com/globalSearch/NSBA143TDXV6T5/page-1", "NSBA143TDXV6T5")</f>
        <v>NSBA143TDXV6T5</v>
      </c>
      <c r="B118" s="3" t="str">
        <f>HYPERLINK("https://www.773grp.com/manufacturer/onsemi?pageNo=117", "Onsemi")</f>
        <v>Onsemi</v>
      </c>
      <c r="C118" s="6">
        <v>56000</v>
      </c>
      <c r="D118" s="7">
        <v>0.15</v>
      </c>
      <c r="E118" t="s">
        <v>57</v>
      </c>
    </row>
    <row r="119" spans="1:5" x14ac:dyDescent="0.25">
      <c r="A119" t="str">
        <f>HYPERLINK("https://www.773grp.com/globalSearch/NSBA143ZDXV6/page-1", "NSBA143ZDXV6")</f>
        <v>NSBA143ZDXV6</v>
      </c>
      <c r="B119" s="3" t="str">
        <f>HYPERLINK("https://www.773grp.com/manufacturer/onsemi?pageNo=118", "Onsemi")</f>
        <v>Onsemi</v>
      </c>
      <c r="C119" s="6">
        <v>4000</v>
      </c>
      <c r="D119" s="7">
        <v>0.15</v>
      </c>
    </row>
    <row r="120" spans="1:5" x14ac:dyDescent="0.25">
      <c r="A120" t="str">
        <f>HYPERLINK("https://www.773grp.com/globalSearch/NSBA143ZDXV6T1/page-1", "NSBA143ZDXV6T1")</f>
        <v>NSBA143ZDXV6T1</v>
      </c>
      <c r="B120" s="3" t="str">
        <f>HYPERLINK("https://www.773grp.com/manufacturer/onsemi?pageNo=119", "Onsemi")</f>
        <v>Onsemi</v>
      </c>
      <c r="C120" s="6">
        <v>43990</v>
      </c>
      <c r="D120" s="7">
        <v>0.15</v>
      </c>
      <c r="E120" t="s">
        <v>57</v>
      </c>
    </row>
    <row r="121" spans="1:5" x14ac:dyDescent="0.25">
      <c r="A121" t="str">
        <f>HYPERLINK("https://www.773grp.com/globalSearch/NSBA144EDXV6T1/page-1", "NSBA144EDXV6T1")</f>
        <v>NSBA144EDXV6T1</v>
      </c>
      <c r="B121" s="3" t="str">
        <f>HYPERLINK("https://www.773grp.com/manufacturer/onsemi?pageNo=120", "Onsemi")</f>
        <v>Onsemi</v>
      </c>
      <c r="C121" s="6">
        <v>32000</v>
      </c>
      <c r="D121" s="7">
        <v>0.15</v>
      </c>
      <c r="E121" t="s">
        <v>57</v>
      </c>
    </row>
    <row r="122" spans="1:5" x14ac:dyDescent="0.25">
      <c r="A122" t="str">
        <f>HYPERLINK("https://www.773grp.com/globalSearch/NSBA144EDXV6T5/page-1", "NSBA144EDXV6T5")</f>
        <v>NSBA144EDXV6T5</v>
      </c>
      <c r="B122" s="3" t="str">
        <f>HYPERLINK("https://www.773grp.com/manufacturer/onsemi?pageNo=121", "Onsemi")</f>
        <v>Onsemi</v>
      </c>
      <c r="C122" s="6">
        <v>8000</v>
      </c>
      <c r="D122" s="7">
        <v>0.15</v>
      </c>
      <c r="E122" t="s">
        <v>57</v>
      </c>
    </row>
    <row r="123" spans="1:5" x14ac:dyDescent="0.25">
      <c r="A123" t="str">
        <f>HYPERLINK("https://www.773grp.com/globalSearch/NSBC113EDXV6T1/page-1", "NSBC113EDXV6T1")</f>
        <v>NSBC113EDXV6T1</v>
      </c>
      <c r="B123" s="3" t="str">
        <f>HYPERLINK("https://www.773grp.com/manufacturer/onsemi?pageNo=122", "Onsemi")</f>
        <v>Onsemi</v>
      </c>
      <c r="C123" s="6">
        <v>36000</v>
      </c>
      <c r="D123" s="7">
        <v>0.15</v>
      </c>
      <c r="E123" t="s">
        <v>57</v>
      </c>
    </row>
    <row r="124" spans="1:5" x14ac:dyDescent="0.25">
      <c r="A124" t="str">
        <f>HYPERLINK("https://www.773grp.com/globalSearch/NSBC113EDXV6T5/page-1", "NSBC113EDXV6T5")</f>
        <v>NSBC113EDXV6T5</v>
      </c>
      <c r="B124" s="3" t="str">
        <f>HYPERLINK("https://www.773grp.com/manufacturer/onsemi?pageNo=123", "Onsemi")</f>
        <v>Onsemi</v>
      </c>
      <c r="C124" s="6">
        <v>8000</v>
      </c>
      <c r="D124" s="7">
        <v>0.15</v>
      </c>
      <c r="E124" t="s">
        <v>57</v>
      </c>
    </row>
    <row r="125" spans="1:5" x14ac:dyDescent="0.25">
      <c r="A125" t="str">
        <f>HYPERLINK("https://www.773grp.com/globalSearch/NSBC113EPDXV6T1/page-1", "NSBC113EPDXV6T1")</f>
        <v>NSBC113EPDXV6T1</v>
      </c>
      <c r="B125" s="3" t="str">
        <f>HYPERLINK("https://www.773grp.com/manufacturer/onsemi?pageNo=124", "Onsemi")</f>
        <v>Onsemi</v>
      </c>
      <c r="C125" s="6">
        <v>56500</v>
      </c>
      <c r="D125" s="7">
        <v>0.15</v>
      </c>
      <c r="E125" t="s">
        <v>57</v>
      </c>
    </row>
    <row r="126" spans="1:5" x14ac:dyDescent="0.25">
      <c r="A126" t="str">
        <f>HYPERLINK("https://www.773grp.com/globalSearch/NSBC113EPDXV6T5/page-1", "NSBC113EPDXV6T5")</f>
        <v>NSBC113EPDXV6T5</v>
      </c>
      <c r="B126" s="3" t="str">
        <f>HYPERLINK("https://www.773grp.com/manufacturer/onsemi?pageNo=125", "Onsemi")</f>
        <v>Onsemi</v>
      </c>
      <c r="C126" s="6">
        <v>16000</v>
      </c>
      <c r="D126" s="7">
        <v>0.15</v>
      </c>
      <c r="E126" t="s">
        <v>57</v>
      </c>
    </row>
    <row r="127" spans="1:5" x14ac:dyDescent="0.25">
      <c r="A127" t="str">
        <f>HYPERLINK("https://www.773grp.com/globalSearch/NSBC114EPDXV6T1/page-1", "NSBC114EPDXV6T1")</f>
        <v>NSBC114EPDXV6T1</v>
      </c>
      <c r="B127" s="3" t="str">
        <f>HYPERLINK("https://www.773grp.com/manufacturer/onsemi?pageNo=126", "Onsemi")</f>
        <v>Onsemi</v>
      </c>
      <c r="C127" s="6">
        <v>121830</v>
      </c>
      <c r="D127" s="7">
        <v>0.15</v>
      </c>
      <c r="E127" t="s">
        <v>57</v>
      </c>
    </row>
    <row r="128" spans="1:5" x14ac:dyDescent="0.25">
      <c r="A128" t="str">
        <f>HYPERLINK("https://www.773grp.com/globalSearch/NSBC114TDXV6/page-1", "NSBC114TDXV6")</f>
        <v>NSBC114TDXV6</v>
      </c>
      <c r="B128" s="3" t="str">
        <f>HYPERLINK("https://www.773grp.com/manufacturer/onsemi?pageNo=127", "Onsemi")</f>
        <v>Onsemi</v>
      </c>
      <c r="C128" s="6">
        <v>80000</v>
      </c>
      <c r="D128" s="7">
        <v>0.15</v>
      </c>
    </row>
    <row r="129" spans="1:5" x14ac:dyDescent="0.25">
      <c r="A129" t="str">
        <f>HYPERLINK("https://www.773grp.com/globalSearch/NSBC114TDXV6T1/page-1", "NSBC114TDXV6T1")</f>
        <v>NSBC114TDXV6T1</v>
      </c>
      <c r="B129" s="3" t="str">
        <f>HYPERLINK("https://www.773grp.com/manufacturer/onsemi?pageNo=128", "Onsemi")</f>
        <v>Onsemi</v>
      </c>
      <c r="C129" s="6">
        <v>728000</v>
      </c>
      <c r="D129" s="7">
        <v>0.15</v>
      </c>
      <c r="E129" t="s">
        <v>57</v>
      </c>
    </row>
    <row r="130" spans="1:5" x14ac:dyDescent="0.25">
      <c r="A130" t="str">
        <f>HYPERLINK("https://www.773grp.com/globalSearch/NSBC114TDXV6T5/page-1", "NSBC114TDXV6T5")</f>
        <v>NSBC114TDXV6T5</v>
      </c>
      <c r="B130" s="3" t="str">
        <f>HYPERLINK("https://www.773grp.com/manufacturer/onsemi?pageNo=129", "Onsemi")</f>
        <v>Onsemi</v>
      </c>
      <c r="C130" s="6">
        <v>215600</v>
      </c>
      <c r="D130" s="7">
        <v>0.15</v>
      </c>
      <c r="E130" t="s">
        <v>57</v>
      </c>
    </row>
    <row r="131" spans="1:5" x14ac:dyDescent="0.25">
      <c r="A131" t="str">
        <f>HYPERLINK("https://www.773grp.com/globalSearch/NSBC114TPDXV6T1/page-1", "NSBC114TPDXV6T1")</f>
        <v>NSBC114TPDXV6T1</v>
      </c>
      <c r="B131" s="3" t="str">
        <f>HYPERLINK("https://www.773grp.com/manufacturer/onsemi?pageNo=130", "Onsemi")</f>
        <v>Onsemi</v>
      </c>
      <c r="C131" s="6">
        <v>83930</v>
      </c>
      <c r="D131" s="7">
        <v>0.15</v>
      </c>
      <c r="E131" t="s">
        <v>57</v>
      </c>
    </row>
    <row r="132" spans="1:5" x14ac:dyDescent="0.25">
      <c r="A132" t="str">
        <f>HYPERLINK("https://www.773grp.com/globalSearch/NSBC114YPDXV6T1/page-1", "NSBC114YPDXV6T1")</f>
        <v>NSBC114YPDXV6T1</v>
      </c>
      <c r="B132" s="3" t="str">
        <f>HYPERLINK("https://www.773grp.com/manufacturer/onsemi?pageNo=131", "Onsemi")</f>
        <v>Onsemi</v>
      </c>
      <c r="C132" s="6">
        <v>379710</v>
      </c>
      <c r="D132" s="7">
        <v>0.15</v>
      </c>
      <c r="E132" t="s">
        <v>57</v>
      </c>
    </row>
    <row r="133" spans="1:5" x14ac:dyDescent="0.25">
      <c r="A133" t="str">
        <f>HYPERLINK("https://www.773grp.com/globalSearch/NSBC115EDXV6T1/page-1", "NSBC115EDXV6T1")</f>
        <v>NSBC115EDXV6T1</v>
      </c>
      <c r="B133" s="3" t="str">
        <f>HYPERLINK("https://www.773grp.com/manufacturer/onsemi?pageNo=132", "Onsemi")</f>
        <v>Onsemi</v>
      </c>
      <c r="C133" s="6">
        <v>2000</v>
      </c>
      <c r="D133" s="7">
        <v>0.15</v>
      </c>
      <c r="E133" t="s">
        <v>57</v>
      </c>
    </row>
    <row r="134" spans="1:5" x14ac:dyDescent="0.25">
      <c r="A134" t="str">
        <f>HYPERLINK("https://www.773grp.com/globalSearch/NSBC123EDXV6T1/page-1", "NSBC123EDXV6T1")</f>
        <v>NSBC123EDXV6T1</v>
      </c>
      <c r="B134" s="3" t="str">
        <f>HYPERLINK("https://www.773grp.com/manufacturer/onsemi?pageNo=133", "Onsemi")</f>
        <v>Onsemi</v>
      </c>
      <c r="C134" s="6">
        <v>36000</v>
      </c>
      <c r="D134" s="7">
        <v>0.15</v>
      </c>
      <c r="E134" t="s">
        <v>57</v>
      </c>
    </row>
    <row r="135" spans="1:5" x14ac:dyDescent="0.25">
      <c r="A135" t="str">
        <f>HYPERLINK("https://www.773grp.com/globalSearch/NSBC123EPDXV6T1/page-1", "NSBC123EPDXV6T1")</f>
        <v>NSBC123EPDXV6T1</v>
      </c>
      <c r="B135" s="3" t="str">
        <f>HYPERLINK("https://www.773grp.com/manufacturer/onsemi?pageNo=134", "Onsemi")</f>
        <v>Onsemi</v>
      </c>
      <c r="C135" s="6">
        <v>96000</v>
      </c>
      <c r="D135" s="7">
        <v>0.15</v>
      </c>
      <c r="E135" t="s">
        <v>57</v>
      </c>
    </row>
    <row r="136" spans="1:5" x14ac:dyDescent="0.25">
      <c r="A136" t="str">
        <f>HYPERLINK("https://www.773grp.com/globalSearch/NSBC123JDXV6T1/page-1", "NSBC123JDXV6T1")</f>
        <v>NSBC123JDXV6T1</v>
      </c>
      <c r="B136" s="3" t="str">
        <f>HYPERLINK("https://www.773grp.com/manufacturer/onsemi?pageNo=135", "Onsemi")</f>
        <v>Onsemi</v>
      </c>
      <c r="C136" s="6">
        <v>128000</v>
      </c>
      <c r="D136" s="7">
        <v>0.15</v>
      </c>
      <c r="E136" t="s">
        <v>57</v>
      </c>
    </row>
    <row r="137" spans="1:5" x14ac:dyDescent="0.25">
      <c r="A137" t="str">
        <f>HYPERLINK("https://www.773grp.com/globalSearch/NSBC123JPDXV6T5/page-1", "NSBC123JPDXV6T5")</f>
        <v>NSBC123JPDXV6T5</v>
      </c>
      <c r="B137" s="3" t="str">
        <f>HYPERLINK("https://www.773grp.com/manufacturer/onsemi?pageNo=136", "Onsemi")</f>
        <v>Onsemi</v>
      </c>
      <c r="C137" s="6">
        <v>7955</v>
      </c>
      <c r="D137" s="7">
        <v>0.15</v>
      </c>
      <c r="E137" t="s">
        <v>57</v>
      </c>
    </row>
    <row r="138" spans="1:5" x14ac:dyDescent="0.25">
      <c r="A138" t="str">
        <f>HYPERLINK("https://www.773grp.com/globalSearch/NSBC124EPDXV6T1/page-1", "NSBC124EPDXV6T1")</f>
        <v>NSBC124EPDXV6T1</v>
      </c>
      <c r="B138" s="3" t="str">
        <f>HYPERLINK("https://www.773grp.com/manufacturer/onsemi?pageNo=137", "Onsemi")</f>
        <v>Onsemi</v>
      </c>
      <c r="C138" s="6">
        <v>211695</v>
      </c>
      <c r="D138" s="7">
        <v>0.15</v>
      </c>
      <c r="E138" t="s">
        <v>57</v>
      </c>
    </row>
    <row r="139" spans="1:5" x14ac:dyDescent="0.25">
      <c r="A139" t="str">
        <f>HYPERLINK("https://www.773grp.com/globalSearch/NSBC124XDXV6T1/page-1", "NSBC124XDXV6T1")</f>
        <v>NSBC124XDXV6T1</v>
      </c>
      <c r="B139" s="3" t="str">
        <f>HYPERLINK("https://www.773grp.com/manufacturer/onsemi?pageNo=138", "Onsemi")</f>
        <v>Onsemi</v>
      </c>
      <c r="C139" s="6">
        <v>91950</v>
      </c>
      <c r="D139" s="7">
        <v>0.15</v>
      </c>
      <c r="E139" t="s">
        <v>57</v>
      </c>
    </row>
    <row r="140" spans="1:5" x14ac:dyDescent="0.25">
      <c r="A140" t="str">
        <f>HYPERLINK("https://www.773grp.com/globalSearch/NSBC124XPDXV6T1/page-1", "NSBC124XPDXV6T1")</f>
        <v>NSBC124XPDXV6T1</v>
      </c>
      <c r="B140" s="3" t="str">
        <f>HYPERLINK("https://www.773grp.com/manufacturer/onsemi?pageNo=139", "Onsemi")</f>
        <v>Onsemi</v>
      </c>
      <c r="C140" s="6">
        <v>8000</v>
      </c>
      <c r="D140" s="7">
        <v>0.15</v>
      </c>
      <c r="E140" t="s">
        <v>57</v>
      </c>
    </row>
    <row r="141" spans="1:5" x14ac:dyDescent="0.25">
      <c r="A141" t="str">
        <f>HYPERLINK("https://www.773grp.com/globalSearch/NSBC143EDXV6T1/page-1", "NSBC143EDXV6T1")</f>
        <v>NSBC143EDXV6T1</v>
      </c>
      <c r="B141" s="3" t="str">
        <f>HYPERLINK("https://www.773grp.com/manufacturer/onsemi?pageNo=140", "Onsemi")</f>
        <v>Onsemi</v>
      </c>
      <c r="C141" s="6">
        <v>39975</v>
      </c>
      <c r="D141" s="7">
        <v>0.15</v>
      </c>
      <c r="E141" t="s">
        <v>57</v>
      </c>
    </row>
    <row r="142" spans="1:5" x14ac:dyDescent="0.25">
      <c r="A142" t="str">
        <f>HYPERLINK("https://www.773grp.com/globalSearch/NSBC143EPDXV6T1/page-1", "NSBC143EPDXV6T1")</f>
        <v>NSBC143EPDXV6T1</v>
      </c>
      <c r="B142" s="3" t="str">
        <f>HYPERLINK("https://www.773grp.com/manufacturer/onsemi?pageNo=141", "Onsemi")</f>
        <v>Onsemi</v>
      </c>
      <c r="C142" s="6">
        <v>631985</v>
      </c>
      <c r="D142" s="7">
        <v>0.15</v>
      </c>
      <c r="E142" t="s">
        <v>57</v>
      </c>
    </row>
    <row r="143" spans="1:5" x14ac:dyDescent="0.25">
      <c r="A143" t="str">
        <f>HYPERLINK("https://www.773grp.com/globalSearch/NSBC143TDXV6T1/page-1", "NSBC143TDXV6T1")</f>
        <v>NSBC143TDXV6T1</v>
      </c>
      <c r="B143" s="3" t="str">
        <f>HYPERLINK("https://www.773grp.com/manufacturer/onsemi?pageNo=142", "Onsemi")</f>
        <v>Onsemi</v>
      </c>
      <c r="C143" s="6">
        <v>31986</v>
      </c>
      <c r="D143" s="7">
        <v>0.15</v>
      </c>
      <c r="E143" t="s">
        <v>57</v>
      </c>
    </row>
    <row r="144" spans="1:5" x14ac:dyDescent="0.25">
      <c r="A144" t="str">
        <f>HYPERLINK("https://www.773grp.com/globalSearch/NSBC143TDXV6T5/page-1", "NSBC143TDXV6T5")</f>
        <v>NSBC143TDXV6T5</v>
      </c>
      <c r="B144" s="3" t="str">
        <f>HYPERLINK("https://www.773grp.com/manufacturer/onsemi?pageNo=143", "Onsemi")</f>
        <v>Onsemi</v>
      </c>
      <c r="C144" s="6">
        <v>400000</v>
      </c>
      <c r="D144" s="7">
        <v>0.15</v>
      </c>
      <c r="E144" t="s">
        <v>57</v>
      </c>
    </row>
    <row r="145" spans="1:5" x14ac:dyDescent="0.25">
      <c r="A145" t="str">
        <f>HYPERLINK("https://www.773grp.com/globalSearch/NSBC143TPDXV6T5/page-1", "NSBC143TPDXV6T5")</f>
        <v>NSBC143TPDXV6T5</v>
      </c>
      <c r="B145" s="3" t="str">
        <f>HYPERLINK("https://www.773grp.com/manufacturer/onsemi?pageNo=144", "Onsemi")</f>
        <v>Onsemi</v>
      </c>
      <c r="C145" s="6">
        <v>104000</v>
      </c>
      <c r="D145" s="7">
        <v>0.15</v>
      </c>
      <c r="E145" t="s">
        <v>57</v>
      </c>
    </row>
    <row r="146" spans="1:5" x14ac:dyDescent="0.25">
      <c r="A146" t="str">
        <f>HYPERLINK("https://www.773grp.com/globalSearch/NSBC143ZDXV6T1/page-1", "NSBC143ZDXV6T1")</f>
        <v>NSBC143ZDXV6T1</v>
      </c>
      <c r="B146" s="3" t="str">
        <f>HYPERLINK("https://www.773grp.com/manufacturer/onsemi?pageNo=145", "Onsemi")</f>
        <v>Onsemi</v>
      </c>
      <c r="C146" s="6">
        <v>55960</v>
      </c>
      <c r="D146" s="7">
        <v>0.15</v>
      </c>
      <c r="E146" t="s">
        <v>57</v>
      </c>
    </row>
    <row r="147" spans="1:5" x14ac:dyDescent="0.25">
      <c r="A147" t="str">
        <f>HYPERLINK("https://www.773grp.com/globalSearch/NSBC143ZPDXV6T5/page-1", "NSBC143ZPDXV6T5")</f>
        <v>NSBC143ZPDXV6T5</v>
      </c>
      <c r="B147" s="3" t="str">
        <f>HYPERLINK("https://www.773grp.com/manufacturer/onsemi?pageNo=146", "Onsemi")</f>
        <v>Onsemi</v>
      </c>
      <c r="C147" s="6">
        <v>7950</v>
      </c>
      <c r="D147" s="7">
        <v>0.15</v>
      </c>
      <c r="E147" t="s">
        <v>57</v>
      </c>
    </row>
    <row r="148" spans="1:5" x14ac:dyDescent="0.25">
      <c r="A148" t="str">
        <f>HYPERLINK("https://www.773grp.com/globalSearch/NSBC143ZPDXV6T5G/page-1", "NSBC143ZPDXV6T5G")</f>
        <v>NSBC143ZPDXV6T5G</v>
      </c>
      <c r="B148" s="3" t="str">
        <f>HYPERLINK("https://www.773grp.com/manufacturer/onsemi?pageNo=147", "Onsemi")</f>
        <v>Onsemi</v>
      </c>
      <c r="C148" s="6">
        <v>80000</v>
      </c>
      <c r="D148" s="7">
        <v>0.15</v>
      </c>
      <c r="E148" t="s">
        <v>57</v>
      </c>
    </row>
    <row r="149" spans="1:5" x14ac:dyDescent="0.25">
      <c r="A149" t="str">
        <f>HYPERLINK("https://www.773grp.com/globalSearch/NSBC144EDXV6T5/page-1", "NSBC144EDXV6T5")</f>
        <v>NSBC144EDXV6T5</v>
      </c>
      <c r="B149" s="3" t="str">
        <f>HYPERLINK("https://www.773grp.com/manufacturer/onsemi?pageNo=148", "Onsemi")</f>
        <v>Onsemi</v>
      </c>
      <c r="C149" s="6">
        <v>7995</v>
      </c>
      <c r="D149" s="7">
        <v>0.15</v>
      </c>
      <c r="E149" t="s">
        <v>57</v>
      </c>
    </row>
    <row r="150" spans="1:5" x14ac:dyDescent="0.25">
      <c r="A150" t="str">
        <f>HYPERLINK("https://www.773grp.com/globalSearch/NSBC144EPDXV6T5/page-1", "NSBC144EPDXV6T5")</f>
        <v>NSBC144EPDXV6T5</v>
      </c>
      <c r="B150" s="3" t="str">
        <f>HYPERLINK("https://www.773grp.com/manufacturer/onsemi?pageNo=149", "Onsemi")</f>
        <v>Onsemi</v>
      </c>
      <c r="C150" s="6">
        <v>264000</v>
      </c>
      <c r="D150" s="7">
        <v>0.15</v>
      </c>
      <c r="E150" t="s">
        <v>57</v>
      </c>
    </row>
    <row r="151" spans="1:5" x14ac:dyDescent="0.25">
      <c r="A151" t="str">
        <f>HYPERLINK("https://www.773grp.com/globalSearch/NSCT817-40LT3G/page-1", "NSCT817-40LT3G")</f>
        <v>NSCT817-40LT3G</v>
      </c>
      <c r="B151" s="3" t="str">
        <f>HYPERLINK("https://www.773grp.com/manufacturer/onsemi?pageNo=150", "Onsemi")</f>
        <v>Onsemi</v>
      </c>
      <c r="C151" s="6">
        <v>60000</v>
      </c>
      <c r="D151" s="7">
        <v>0.15</v>
      </c>
    </row>
    <row r="152" spans="1:5" x14ac:dyDescent="0.25">
      <c r="A152" t="str">
        <f>HYPERLINK("https://www.773grp.com/globalSearch/NSDEMN11XV6T1G/page-1", "NSDEMN11XV6T1G")</f>
        <v>NSDEMN11XV6T1G</v>
      </c>
      <c r="B152" s="3" t="str">
        <f>HYPERLINK("https://www.773grp.com/manufacturer/onsemi?pageNo=151", "Onsemi")</f>
        <v>Onsemi</v>
      </c>
      <c r="C152" s="6">
        <v>28000</v>
      </c>
      <c r="D152" s="7">
        <v>0.15</v>
      </c>
      <c r="E152" t="s">
        <v>73</v>
      </c>
    </row>
    <row r="153" spans="1:5" x14ac:dyDescent="0.25">
      <c r="A153" t="str">
        <f>HYPERLINK("https://www.773grp.com/globalSearch/NSDEMP11XV6T1/page-1", "NSDEMP11XV6T1")</f>
        <v>NSDEMP11XV6T1</v>
      </c>
      <c r="B153" s="3" t="str">
        <f>HYPERLINK("https://www.773grp.com/manufacturer/onsemi?pageNo=152", "Onsemi")</f>
        <v>Onsemi</v>
      </c>
      <c r="C153" s="6">
        <v>16049</v>
      </c>
      <c r="D153" s="7">
        <v>0.15</v>
      </c>
      <c r="E153" t="s">
        <v>73</v>
      </c>
    </row>
    <row r="154" spans="1:5" x14ac:dyDescent="0.25">
      <c r="A154" t="str">
        <f>HYPERLINK("https://www.773grp.com/globalSearch/NSDEMP11XV6T5/page-1", "NSDEMP11XV6T5")</f>
        <v>NSDEMP11XV6T5</v>
      </c>
      <c r="B154" s="3" t="str">
        <f>HYPERLINK("https://www.773grp.com/manufacturer/onsemi?pageNo=153", "Onsemi")</f>
        <v>Onsemi</v>
      </c>
      <c r="C154" s="6">
        <v>1771000</v>
      </c>
      <c r="D154" s="7">
        <v>0.15</v>
      </c>
      <c r="E154" t="s">
        <v>73</v>
      </c>
    </row>
    <row r="155" spans="1:5" x14ac:dyDescent="0.25">
      <c r="A155" t="str">
        <f>HYPERLINK("https://www.773grp.com/globalSearch/NSR0170P2T5G/page-1", "NSR0170P2T5G")</f>
        <v>NSR0170P2T5G</v>
      </c>
      <c r="B155" s="3" t="str">
        <f>HYPERLINK("https://www.773grp.com/manufacturer/onsemi?pageNo=154", "Onsemi")</f>
        <v>Onsemi</v>
      </c>
      <c r="C155" s="6">
        <v>8000</v>
      </c>
      <c r="D155" s="7">
        <v>0.15</v>
      </c>
    </row>
    <row r="156" spans="1:5" x14ac:dyDescent="0.25">
      <c r="A156" t="str">
        <f>HYPERLINK("https://www.773grp.com/globalSearch/NST3904DXV6T/page-1", "NST3904DXV6T")</f>
        <v>NST3904DXV6T</v>
      </c>
      <c r="B156" s="3" t="str">
        <f>HYPERLINK("https://www.773grp.com/manufacturer/onsemi?pageNo=155", "Onsemi")</f>
        <v>Onsemi</v>
      </c>
      <c r="C156" s="6">
        <v>4000</v>
      </c>
      <c r="D156" s="7">
        <v>0.15</v>
      </c>
    </row>
    <row r="157" spans="1:5" x14ac:dyDescent="0.25">
      <c r="A157" t="str">
        <f>HYPERLINK("https://www.773grp.com/globalSearch/NST3904DXV6T1/page-1", "NST3904DXV6T1")</f>
        <v>NST3904DXV6T1</v>
      </c>
      <c r="B157" s="3" t="str">
        <f>HYPERLINK("https://www.773grp.com/manufacturer/onsemi?pageNo=156", "Onsemi")</f>
        <v>Onsemi</v>
      </c>
      <c r="C157" s="6">
        <v>892000</v>
      </c>
      <c r="D157" s="7">
        <v>0.15</v>
      </c>
      <c r="E157" t="s">
        <v>57</v>
      </c>
    </row>
    <row r="158" spans="1:5" x14ac:dyDescent="0.25">
      <c r="A158" t="str">
        <f>HYPERLINK("https://www.773grp.com/globalSearch/NST3904DXV6T5/page-1", "NST3904DXV6T5")</f>
        <v>NST3904DXV6T5</v>
      </c>
      <c r="B158" s="3" t="str">
        <f>HYPERLINK("https://www.773grp.com/manufacturer/onsemi?pageNo=157", "Onsemi")</f>
        <v>Onsemi</v>
      </c>
      <c r="C158" s="6">
        <v>7541</v>
      </c>
      <c r="D158" s="7">
        <v>0.15</v>
      </c>
      <c r="E158" t="s">
        <v>57</v>
      </c>
    </row>
    <row r="159" spans="1:5" x14ac:dyDescent="0.25">
      <c r="A159" t="str">
        <f>HYPERLINK("https://www.773grp.com/globalSearch/NST3906DXV6T1/page-1", "NST3906DXV6T1")</f>
        <v>NST3906DXV6T1</v>
      </c>
      <c r="B159" s="3" t="str">
        <f>HYPERLINK("https://www.773grp.com/manufacturer/onsemi?pageNo=158", "Onsemi")</f>
        <v>Onsemi</v>
      </c>
      <c r="C159" s="6">
        <v>91925</v>
      </c>
      <c r="D159" s="7">
        <v>0.15</v>
      </c>
      <c r="E159" t="s">
        <v>57</v>
      </c>
    </row>
    <row r="160" spans="1:5" x14ac:dyDescent="0.25">
      <c r="A160" t="str">
        <f>HYPERLINK("https://www.773grp.com/globalSearch/NST3946DXV6T5/page-1", "NST3946DXV6T5")</f>
        <v>NST3946DXV6T5</v>
      </c>
      <c r="B160" s="3" t="str">
        <f>HYPERLINK("https://www.773grp.com/manufacturer/onsemi?pageNo=159", "Onsemi")</f>
        <v>Onsemi</v>
      </c>
      <c r="C160" s="6">
        <v>14520</v>
      </c>
      <c r="D160" s="7">
        <v>0.15</v>
      </c>
      <c r="E160" t="s">
        <v>57</v>
      </c>
    </row>
    <row r="161" spans="1:5" x14ac:dyDescent="0.25">
      <c r="A161" t="str">
        <f>HYPERLINK("https://www.773grp.com/globalSearch/NSTB1003DXV5T1/page-1", "NSTB1003DXV5T1")</f>
        <v>NSTB1003DXV5T1</v>
      </c>
      <c r="B161" s="3" t="str">
        <f>HYPERLINK("https://www.773grp.com/manufacturer/onsemi?pageNo=160", "Onsemi")</f>
        <v>Onsemi</v>
      </c>
      <c r="C161" s="6">
        <v>100000</v>
      </c>
      <c r="D161" s="7">
        <v>0.15</v>
      </c>
    </row>
    <row r="162" spans="1:5" x14ac:dyDescent="0.25">
      <c r="A162" t="str">
        <f>HYPERLINK("https://www.773grp.com/globalSearch/NSTB1004DXV5T1/page-1", "NSTB1004DXV5T1")</f>
        <v>NSTB1004DXV5T1</v>
      </c>
      <c r="B162" s="3" t="str">
        <f>HYPERLINK("https://www.773grp.com/manufacturer/onsemi?pageNo=161", "Onsemi")</f>
        <v>Onsemi</v>
      </c>
      <c r="C162" s="6">
        <v>300000</v>
      </c>
      <c r="D162" s="7">
        <v>0.15</v>
      </c>
    </row>
    <row r="163" spans="1:5" x14ac:dyDescent="0.25">
      <c r="A163" t="str">
        <f>HYPERLINK("https://www.773grp.com/globalSearch/NSVBAS21HT1/page-1", "NSVBAS21HT1")</f>
        <v>NSVBAS21HT1</v>
      </c>
      <c r="B163" s="3" t="str">
        <f>HYPERLINK("https://www.773grp.com/manufacturer/onsemi?pageNo=162", "Onsemi")</f>
        <v>Onsemi</v>
      </c>
      <c r="C163" s="6">
        <v>75000</v>
      </c>
      <c r="D163" s="7">
        <v>0.15</v>
      </c>
    </row>
    <row r="164" spans="1:5" x14ac:dyDescent="0.25">
      <c r="A164" t="str">
        <f>HYPERLINK("https://www.773grp.com/globalSearch/NSVBAT54LT1G/page-1", "NSVBAT54LT1G")</f>
        <v>NSVBAT54LT1G</v>
      </c>
      <c r="B164" s="3" t="str">
        <f>HYPERLINK("https://www.773grp.com/manufacturer/onsemi?pageNo=163", "Onsemi")</f>
        <v>Onsemi</v>
      </c>
      <c r="C164" s="6">
        <v>45000</v>
      </c>
      <c r="D164" s="7">
        <v>0.15</v>
      </c>
    </row>
    <row r="165" spans="1:5" x14ac:dyDescent="0.25">
      <c r="A165" t="str">
        <f>HYPERLINK("https://www.773grp.com/globalSearch/NSVBC114YPDXV65G/page-1", "NSVBC114YPDXV65G")</f>
        <v>NSVBC114YPDXV65G</v>
      </c>
      <c r="B165" s="3" t="str">
        <f>HYPERLINK("https://www.773grp.com/manufacturer/onsemi?pageNo=164", "Onsemi")</f>
        <v>Onsemi</v>
      </c>
      <c r="C165" s="6">
        <v>104000</v>
      </c>
      <c r="D165" s="7">
        <v>0.15</v>
      </c>
    </row>
    <row r="166" spans="1:5" x14ac:dyDescent="0.25">
      <c r="A166" t="str">
        <f>HYPERLINK("https://www.773grp.com/globalSearch/NSVBC848CLT1G/page-1", "NSVBC848CLT1G")</f>
        <v>NSVBC848CLT1G</v>
      </c>
      <c r="B166" s="3" t="str">
        <f>HYPERLINK("https://www.773grp.com/manufacturer/onsemi?pageNo=165", "Onsemi")</f>
        <v>Onsemi</v>
      </c>
      <c r="C166" s="6">
        <v>6000</v>
      </c>
      <c r="D166" s="7">
        <v>0.15</v>
      </c>
    </row>
    <row r="167" spans="1:5" x14ac:dyDescent="0.25">
      <c r="A167" t="str">
        <f>HYPERLINK("https://www.773grp.com/globalSearch/NTJD5121NT1G/page-1", "NTJD5121NT1G")</f>
        <v>NTJD5121NT1G</v>
      </c>
      <c r="B167" s="3" t="str">
        <f>HYPERLINK("https://www.773grp.com/manufacturer/onsemi?pageNo=166", "Onsemi")</f>
        <v>Onsemi</v>
      </c>
      <c r="C167" s="6">
        <v>124700</v>
      </c>
      <c r="D167" s="7">
        <v>0.15</v>
      </c>
      <c r="E167" t="s">
        <v>85</v>
      </c>
    </row>
    <row r="168" spans="1:5" x14ac:dyDescent="0.25">
      <c r="A168" t="str">
        <f>HYPERLINK("https://www.773grp.com/globalSearch/NTR0202PLT3G/page-1", "NTR0202PLT3G")</f>
        <v>NTR0202PLT3G</v>
      </c>
      <c r="B168" s="3" t="str">
        <f>HYPERLINK("https://www.773grp.com/manufacturer/onsemi?pageNo=167", "Onsemi")</f>
        <v>Onsemi</v>
      </c>
      <c r="C168" s="6">
        <v>10000</v>
      </c>
      <c r="D168" s="7">
        <v>0.15</v>
      </c>
      <c r="E168" t="s">
        <v>85</v>
      </c>
    </row>
    <row r="169" spans="1:5" x14ac:dyDescent="0.25">
      <c r="A169" t="str">
        <f>HYPERLINK("https://www.773grp.com/globalSearch/NTR4003NT3G/page-1", "NTR4003NT3G")</f>
        <v>NTR4003NT3G</v>
      </c>
      <c r="B169" s="3" t="str">
        <f>HYPERLINK("https://www.773grp.com/manufacturer/onsemi?pageNo=168", "Onsemi")</f>
        <v>Onsemi</v>
      </c>
      <c r="C169" s="6">
        <v>10000</v>
      </c>
      <c r="D169" s="7">
        <v>0.15</v>
      </c>
    </row>
    <row r="170" spans="1:5" x14ac:dyDescent="0.25">
      <c r="A170" t="str">
        <f>HYPERLINK("https://www.773grp.com/globalSearch/NTS4001NT1G/page-1", "NTS4001NT1G")</f>
        <v>NTS4001NT1G</v>
      </c>
      <c r="B170" s="3" t="str">
        <f>HYPERLINK("https://www.773grp.com/manufacturer/onsemi?pageNo=169", "Onsemi")</f>
        <v>Onsemi</v>
      </c>
      <c r="C170" s="6">
        <v>116699</v>
      </c>
      <c r="D170" s="7">
        <v>0.15</v>
      </c>
      <c r="E170" t="s">
        <v>85</v>
      </c>
    </row>
    <row r="171" spans="1:5" x14ac:dyDescent="0.25">
      <c r="A171" t="str">
        <f>HYPERLINK("https://www.773grp.com/globalSearch/P2N2222A/page-1", "P2N2222A")</f>
        <v>P2N2222A</v>
      </c>
      <c r="B171" s="3" t="str">
        <f>HYPERLINK("https://www.773grp.com/manufacturer/onsemi?pageNo=170", "Onsemi")</f>
        <v>Onsemi</v>
      </c>
      <c r="C171" s="6">
        <v>13200</v>
      </c>
      <c r="D171" s="7">
        <v>0.15</v>
      </c>
      <c r="E171" t="s">
        <v>57</v>
      </c>
    </row>
    <row r="172" spans="1:5" x14ac:dyDescent="0.25">
      <c r="A172" t="str">
        <f>HYPERLINK("https://www.773grp.com/globalSearch/P2N2222ARL1/page-1", "P2N2222ARL1")</f>
        <v>P2N2222ARL1</v>
      </c>
      <c r="B172" s="3" t="str">
        <f>HYPERLINK("https://www.773grp.com/manufacturer/onsemi?pageNo=171", "Onsemi")</f>
        <v>Onsemi</v>
      </c>
      <c r="C172" s="6">
        <v>10000</v>
      </c>
      <c r="D172" s="7">
        <v>0.15</v>
      </c>
      <c r="E172" t="s">
        <v>57</v>
      </c>
    </row>
    <row r="173" spans="1:5" x14ac:dyDescent="0.25">
      <c r="A173" t="str">
        <f>HYPERLINK("https://www.773grp.com/globalSearch/P2N2369ZL1/page-1", "P2N2369ZL1")</f>
        <v>P2N2369ZL1</v>
      </c>
      <c r="B173" s="3" t="str">
        <f>HYPERLINK("https://www.773grp.com/manufacturer/onsemi?pageNo=172", "Onsemi")</f>
        <v>Onsemi</v>
      </c>
      <c r="C173" s="6">
        <v>3030</v>
      </c>
      <c r="D173" s="7">
        <v>0.15</v>
      </c>
    </row>
    <row r="174" spans="1:5" x14ac:dyDescent="0.25">
      <c r="A174" t="str">
        <f>HYPERLINK("https://www.773grp.com/globalSearch/P2N2369ZL1G/page-1", "P2N2369ZL1G")</f>
        <v>P2N2369ZL1G</v>
      </c>
      <c r="B174" s="3" t="str">
        <f>HYPERLINK("https://www.773grp.com/manufacturer/onsemi?pageNo=173", "Onsemi")</f>
        <v>Onsemi</v>
      </c>
      <c r="C174" s="6">
        <v>40000</v>
      </c>
      <c r="D174" s="7">
        <v>0.15</v>
      </c>
    </row>
    <row r="175" spans="1:5" x14ac:dyDescent="0.25">
      <c r="A175" t="str">
        <f>HYPERLINK("https://www.773grp.com/globalSearch/P2N2907AZL1/page-1", "P2N2907AZL1")</f>
        <v>P2N2907AZL1</v>
      </c>
      <c r="B175" s="3" t="str">
        <f>HYPERLINK("https://www.773grp.com/manufacturer/onsemi?pageNo=174", "Onsemi")</f>
        <v>Onsemi</v>
      </c>
      <c r="C175" s="6">
        <v>14000</v>
      </c>
      <c r="D175" s="7">
        <v>0.15</v>
      </c>
      <c r="E175" t="s">
        <v>57</v>
      </c>
    </row>
    <row r="176" spans="1:5" x14ac:dyDescent="0.25">
      <c r="A176" t="str">
        <f>HYPERLINK("https://www.773grp.com/globalSearch/P2N2907AZL1G/page-1", "P2N2907AZL1G")</f>
        <v>P2N2907AZL1G</v>
      </c>
      <c r="B176" s="3" t="str">
        <f>HYPERLINK("https://www.773grp.com/manufacturer/onsemi?pageNo=175", "Onsemi")</f>
        <v>Onsemi</v>
      </c>
      <c r="C176" s="6">
        <v>14000</v>
      </c>
      <c r="D176" s="7">
        <v>0.15</v>
      </c>
      <c r="E176" t="s">
        <v>57</v>
      </c>
    </row>
    <row r="177" spans="1:5" x14ac:dyDescent="0.25">
      <c r="A177" t="str">
        <f>HYPERLINK("https://www.773grp.com/globalSearch/PN2222A/page-1", "PN2222A")</f>
        <v>PN2222A</v>
      </c>
      <c r="B177" s="3" t="str">
        <f>HYPERLINK("https://www.773grp.com/manufacturer/onsemi?pageNo=176", "Onsemi")</f>
        <v>Onsemi</v>
      </c>
      <c r="C177" s="6">
        <v>30000</v>
      </c>
      <c r="D177" s="7">
        <v>0.15</v>
      </c>
      <c r="E177" t="s">
        <v>57</v>
      </c>
    </row>
    <row r="178" spans="1:5" x14ac:dyDescent="0.25">
      <c r="A178" t="str">
        <f>HYPERLINK("https://www.773grp.com/globalSearch/PN2222ARLRA/page-1", "PN2222ARLRA")</f>
        <v>PN2222ARLRA</v>
      </c>
      <c r="B178" s="3" t="str">
        <f>HYPERLINK("https://www.773grp.com/manufacturer/onsemi?pageNo=177", "Onsemi")</f>
        <v>Onsemi</v>
      </c>
      <c r="C178" s="6">
        <v>4000</v>
      </c>
      <c r="D178" s="7">
        <v>0.15</v>
      </c>
      <c r="E178" t="s">
        <v>57</v>
      </c>
    </row>
    <row r="179" spans="1:5" x14ac:dyDescent="0.25">
      <c r="A179" t="str">
        <f>HYPERLINK("https://www.773grp.com/globalSearch/PN2222ARLRP/page-1", "PN2222ARLRP")</f>
        <v>PN2222ARLRP</v>
      </c>
      <c r="B179" s="3" t="str">
        <f>HYPERLINK("https://www.773grp.com/manufacturer/onsemi?pageNo=178", "Onsemi")</f>
        <v>Onsemi</v>
      </c>
      <c r="C179" s="6">
        <v>50000</v>
      </c>
      <c r="D179" s="7">
        <v>0.15</v>
      </c>
      <c r="E179" t="s">
        <v>57</v>
      </c>
    </row>
    <row r="180" spans="1:5" x14ac:dyDescent="0.25">
      <c r="A180" t="str">
        <f>HYPERLINK("https://www.773grp.com/globalSearch/PN2907A/page-1", "PN2907A")</f>
        <v>PN2907A</v>
      </c>
      <c r="B180" s="3" t="str">
        <f>HYPERLINK("https://www.773grp.com/manufacturer/onsemi?pageNo=179", "Onsemi")</f>
        <v>Onsemi</v>
      </c>
      <c r="C180" s="6">
        <v>1250</v>
      </c>
      <c r="D180" s="7">
        <v>0.15</v>
      </c>
      <c r="E180" t="s">
        <v>57</v>
      </c>
    </row>
    <row r="181" spans="1:5" x14ac:dyDescent="0.25">
      <c r="A181" t="str">
        <f>HYPERLINK("https://www.773grp.com/globalSearch/RB520S30T1G/page-1", "RB520S30T1G")</f>
        <v>RB520S30T1G</v>
      </c>
      <c r="B181" s="3" t="str">
        <f>HYPERLINK("https://www.773grp.com/manufacturer/onsemi?pageNo=180", "Onsemi")</f>
        <v>Onsemi</v>
      </c>
      <c r="C181" s="6">
        <v>855000</v>
      </c>
      <c r="D181" s="7">
        <v>0.15</v>
      </c>
      <c r="E181" t="s">
        <v>73</v>
      </c>
    </row>
    <row r="182" spans="1:5" x14ac:dyDescent="0.25">
      <c r="A182" t="str">
        <f>HYPERLINK("https://www.773grp.com/globalSearch/RB520S30T1G/page-1", "RB520S30T1G")</f>
        <v>RB520S30T1G</v>
      </c>
      <c r="B182" s="3" t="str">
        <f>HYPERLINK("https://www.773grp.com/manufacturer/onsemi?pageNo=181", "Onsemi")</f>
        <v>Onsemi</v>
      </c>
      <c r="C182" s="6">
        <v>1353300</v>
      </c>
      <c r="D182" s="7">
        <v>0.15</v>
      </c>
      <c r="E182" t="s">
        <v>73</v>
      </c>
    </row>
    <row r="183" spans="1:5" x14ac:dyDescent="0.25">
      <c r="A183" t="str">
        <f>HYPERLINK("https://www.773grp.com/globalSearch/RB521S30T1G/page-1", "RB521S30T1G")</f>
        <v>RB521S30T1G</v>
      </c>
      <c r="B183" s="3" t="str">
        <f>HYPERLINK("https://www.773grp.com/manufacturer/onsemi?pageNo=182", "Onsemi")</f>
        <v>Onsemi</v>
      </c>
      <c r="C183" s="6">
        <v>2272135</v>
      </c>
      <c r="D183" s="7">
        <v>0.15</v>
      </c>
      <c r="E183" t="s">
        <v>73</v>
      </c>
    </row>
    <row r="184" spans="1:5" x14ac:dyDescent="0.25">
      <c r="A184" t="str">
        <f>HYPERLINK("https://www.773grp.com/globalSearch/RB751V40T1/page-1", "RB751V40T1")</f>
        <v>RB751V40T1</v>
      </c>
      <c r="B184" s="3" t="str">
        <f>HYPERLINK("https://www.773grp.com/manufacturer/onsemi?pageNo=183", "Onsemi")</f>
        <v>Onsemi</v>
      </c>
      <c r="C184" s="6">
        <v>1592098</v>
      </c>
      <c r="D184" s="7">
        <v>0.15</v>
      </c>
      <c r="E184" t="s">
        <v>73</v>
      </c>
    </row>
    <row r="185" spans="1:5" x14ac:dyDescent="0.25">
      <c r="A185" t="str">
        <f>HYPERLINK("https://www.773grp.com/globalSearch/SBAS16LT1G/page-1", "SBAS16LT1G")</f>
        <v>SBAS16LT1G</v>
      </c>
      <c r="B185" s="3" t="str">
        <f>HYPERLINK("https://www.773grp.com/manufacturer/onsemi?pageNo=184", "Onsemi")</f>
        <v>Onsemi</v>
      </c>
      <c r="C185" s="6">
        <v>104795</v>
      </c>
      <c r="D185" s="7">
        <v>0.15</v>
      </c>
    </row>
    <row r="186" spans="1:5" x14ac:dyDescent="0.25">
      <c r="A186" t="str">
        <f>HYPERLINK("https://www.773grp.com/globalSearch/SBAS21LT1G/page-1", "SBAS21LT1G")</f>
        <v>SBAS21LT1G</v>
      </c>
      <c r="B186" s="3" t="str">
        <f>HYPERLINK("https://www.773grp.com/manufacturer/onsemi?pageNo=185", "Onsemi")</f>
        <v>Onsemi</v>
      </c>
      <c r="C186" s="6">
        <v>3000</v>
      </c>
      <c r="D186" s="7">
        <v>0.15</v>
      </c>
    </row>
    <row r="187" spans="1:5" x14ac:dyDescent="0.25">
      <c r="A187" t="str">
        <f>HYPERLINK("https://www.773grp.com/globalSearch/SBAS21LT3G/page-1", "SBAS21LT3G")</f>
        <v>SBAS21LT3G</v>
      </c>
      <c r="B187" s="3" t="str">
        <f>HYPERLINK("https://www.773grp.com/manufacturer/onsemi?pageNo=186", "Onsemi")</f>
        <v>Onsemi</v>
      </c>
      <c r="C187" s="6">
        <v>10000</v>
      </c>
      <c r="D187" s="7">
        <v>0.15</v>
      </c>
    </row>
    <row r="188" spans="1:5" x14ac:dyDescent="0.25">
      <c r="A188" t="str">
        <f>HYPERLINK("https://www.773grp.com/globalSearch/SBAV70LT3G/page-1", "SBAV70LT3G")</f>
        <v>SBAV70LT3G</v>
      </c>
      <c r="B188" s="3" t="str">
        <f>HYPERLINK("https://www.773grp.com/manufacturer/onsemi?pageNo=187", "Onsemi")</f>
        <v>Onsemi</v>
      </c>
      <c r="C188" s="6">
        <v>1589900</v>
      </c>
      <c r="D188" s="7">
        <v>0.15</v>
      </c>
    </row>
    <row r="189" spans="1:5" x14ac:dyDescent="0.25">
      <c r="A189" t="str">
        <f>HYPERLINK("https://www.773grp.com/globalSearch/SBAW56LT1G/page-1", "SBAW56LT1G")</f>
        <v>SBAW56LT1G</v>
      </c>
      <c r="B189" s="3" t="str">
        <f>HYPERLINK("https://www.773grp.com/manufacturer/onsemi?pageNo=188", "Onsemi")</f>
        <v>Onsemi</v>
      </c>
      <c r="C189" s="6">
        <v>180000</v>
      </c>
      <c r="D189" s="7">
        <v>0.15</v>
      </c>
    </row>
    <row r="190" spans="1:5" x14ac:dyDescent="0.25">
      <c r="A190" t="str">
        <f>HYPERLINK("https://www.773grp.com/globalSearch/SBC807-40LT3/page-1", "SBC807-40LT3")</f>
        <v>SBC807-40LT3</v>
      </c>
      <c r="B190" s="3" t="str">
        <f>HYPERLINK("https://www.773grp.com/manufacturer/onsemi?pageNo=189", "Onsemi")</f>
        <v>Onsemi</v>
      </c>
      <c r="C190" s="6">
        <v>70000</v>
      </c>
      <c r="D190" s="7">
        <v>0.15</v>
      </c>
      <c r="E190" t="s">
        <v>57</v>
      </c>
    </row>
    <row r="191" spans="1:5" x14ac:dyDescent="0.25">
      <c r="A191" t="str">
        <f>HYPERLINK("https://www.773grp.com/globalSearch/SBC817-16LT3G/page-1", "SBC817-16LT3G")</f>
        <v>SBC817-16LT3G</v>
      </c>
      <c r="B191" s="3" t="str">
        <f>HYPERLINK("https://www.773grp.com/manufacturer/onsemi?pageNo=190", "Onsemi")</f>
        <v>Onsemi</v>
      </c>
      <c r="C191" s="6">
        <v>200000</v>
      </c>
      <c r="D191" s="7">
        <v>0.15</v>
      </c>
    </row>
    <row r="192" spans="1:5" x14ac:dyDescent="0.25">
      <c r="A192" t="str">
        <f>HYPERLINK("https://www.773grp.com/globalSearch/SBC847BLT1G/page-1", "SBC847BLT1G")</f>
        <v>SBC847BLT1G</v>
      </c>
      <c r="B192" s="3" t="str">
        <f>HYPERLINK("https://www.773grp.com/manufacturer/onsemi?pageNo=191", "Onsemi")</f>
        <v>Onsemi</v>
      </c>
      <c r="C192" s="6">
        <v>207000</v>
      </c>
      <c r="D192" s="7">
        <v>0.15</v>
      </c>
    </row>
    <row r="193" spans="1:5" x14ac:dyDescent="0.25">
      <c r="A193" t="str">
        <f>HYPERLINK("https://www.773grp.com/globalSearch/SBC847CLT1G/page-1", "SBC847CLT1G")</f>
        <v>SBC847CLT1G</v>
      </c>
      <c r="B193" s="3" t="str">
        <f>HYPERLINK("https://www.773grp.com/manufacturer/onsemi?pageNo=192", "Onsemi")</f>
        <v>Onsemi</v>
      </c>
      <c r="C193" s="6">
        <v>6000</v>
      </c>
      <c r="D193" s="7">
        <v>0.15</v>
      </c>
    </row>
    <row r="194" spans="1:5" x14ac:dyDescent="0.25">
      <c r="A194" t="str">
        <f>HYPERLINK("https://www.773grp.com/globalSearch/SBC848BLT1G/page-1", "SBC848BLT1G")</f>
        <v>SBC848BLT1G</v>
      </c>
      <c r="B194" s="3" t="str">
        <f>HYPERLINK("https://www.773grp.com/manufacturer/onsemi?pageNo=193", "Onsemi")</f>
        <v>Onsemi</v>
      </c>
      <c r="C194" s="6">
        <v>321000</v>
      </c>
      <c r="D194" s="7">
        <v>0.15</v>
      </c>
    </row>
    <row r="195" spans="1:5" x14ac:dyDescent="0.25">
      <c r="A195" t="str">
        <f>HYPERLINK("https://www.773grp.com/globalSearch/SBC856ALT1G/page-1", "SBC856ALT1G")</f>
        <v>SBC856ALT1G</v>
      </c>
      <c r="B195" s="3" t="str">
        <f>HYPERLINK("https://www.773grp.com/manufacturer/onsemi?pageNo=194", "Onsemi")</f>
        <v>Onsemi</v>
      </c>
      <c r="C195" s="6">
        <v>18000</v>
      </c>
      <c r="D195" s="7">
        <v>0.15</v>
      </c>
    </row>
    <row r="196" spans="1:5" x14ac:dyDescent="0.25">
      <c r="A196" t="str">
        <f>HYPERLINK("https://www.773grp.com/globalSearch/SBC857ALT1G/page-1", "SBC857ALT1G")</f>
        <v>SBC857ALT1G</v>
      </c>
      <c r="B196" s="3" t="str">
        <f>HYPERLINK("https://www.773grp.com/manufacturer/onsemi?pageNo=195", "Onsemi")</f>
        <v>Onsemi</v>
      </c>
      <c r="C196" s="6">
        <v>105000</v>
      </c>
      <c r="D196" s="7">
        <v>0.15</v>
      </c>
    </row>
    <row r="197" spans="1:5" x14ac:dyDescent="0.25">
      <c r="A197" t="str">
        <f>HYPERLINK("https://www.773grp.com/globalSearch/SBVS138LT1G/page-1", "SBVS138LT1G")</f>
        <v>SBVS138LT1G</v>
      </c>
      <c r="B197" s="3" t="str">
        <f>HYPERLINK("https://www.773grp.com/manufacturer/onsemi?pageNo=196", "Onsemi")</f>
        <v>Onsemi</v>
      </c>
      <c r="C197" s="6">
        <v>6000</v>
      </c>
      <c r="D197" s="7">
        <v>0.15</v>
      </c>
    </row>
    <row r="198" spans="1:5" x14ac:dyDescent="0.25">
      <c r="A198" t="str">
        <f>HYPERLINK("https://www.773grp.com/globalSearch/SD05T1/page-1", "SD05T1")</f>
        <v>SD05T1</v>
      </c>
      <c r="B198" s="3" t="str">
        <f>HYPERLINK("https://www.773grp.com/manufacturer/onsemi?pageNo=197", "Onsemi")</f>
        <v>Onsemi</v>
      </c>
      <c r="C198" s="6">
        <v>245801</v>
      </c>
      <c r="D198" s="7">
        <v>0.15</v>
      </c>
      <c r="E198" t="s">
        <v>75</v>
      </c>
    </row>
    <row r="199" spans="1:5" x14ac:dyDescent="0.25">
      <c r="A199" t="str">
        <f>HYPERLINK("https://www.773grp.com/globalSearch/SDTC114EET1G/page-1", "SDTC114EET1G")</f>
        <v>SDTC114EET1G</v>
      </c>
      <c r="B199" s="3" t="str">
        <f>HYPERLINK("https://www.773grp.com/manufacturer/onsemi?pageNo=198", "Onsemi")</f>
        <v>Onsemi</v>
      </c>
      <c r="C199" s="6">
        <v>6000</v>
      </c>
      <c r="D199" s="7">
        <v>0.15</v>
      </c>
    </row>
    <row r="200" spans="1:5" x14ac:dyDescent="0.25">
      <c r="A200" t="str">
        <f>HYPERLINK("https://www.773grp.com/globalSearch/SDTC114YET1G/page-1", "SDTC114YET1G")</f>
        <v>SDTC114YET1G</v>
      </c>
      <c r="B200" s="3" t="str">
        <f>HYPERLINK("https://www.773grp.com/manufacturer/onsemi?pageNo=199", "Onsemi")</f>
        <v>Onsemi</v>
      </c>
      <c r="C200" s="6">
        <v>3000</v>
      </c>
      <c r="D200" s="7">
        <v>0.15</v>
      </c>
    </row>
    <row r="201" spans="1:5" x14ac:dyDescent="0.25">
      <c r="A201" t="str">
        <f>HYPERLINK("https://www.773grp.com/globalSearch/SM1MA142WKT1G/page-1", "SM1MA142WKT1G")</f>
        <v>SM1MA142WKT1G</v>
      </c>
      <c r="B201" s="3" t="str">
        <f>HYPERLINK("https://www.773grp.com/manufacturer/onsemi?pageNo=200", "Onsemi")</f>
        <v>Onsemi</v>
      </c>
      <c r="C201" s="6">
        <v>30000</v>
      </c>
      <c r="D201" s="7">
        <v>0.15</v>
      </c>
    </row>
    <row r="202" spans="1:5" x14ac:dyDescent="0.25">
      <c r="A202" t="str">
        <f>HYPERLINK("https://www.773grp.com/globalSearch/SMBT1504T3G/page-1", "SMBT1504T3G")</f>
        <v>SMBT1504T3G</v>
      </c>
      <c r="B202" s="3" t="str">
        <f>HYPERLINK("https://www.773grp.com/manufacturer/onsemi?pageNo=201", "Onsemi")</f>
        <v>Onsemi</v>
      </c>
      <c r="C202" s="6">
        <v>67850</v>
      </c>
      <c r="D202" s="7">
        <v>0.15</v>
      </c>
    </row>
    <row r="203" spans="1:5" x14ac:dyDescent="0.25">
      <c r="A203" t="str">
        <f>HYPERLINK("https://www.773grp.com/globalSearch/SMBT1505T3G/page-1", "SMBT1505T3G")</f>
        <v>SMBT1505T3G</v>
      </c>
      <c r="B203" s="3" t="str">
        <f>HYPERLINK("https://www.773grp.com/manufacturer/onsemi?pageNo=202", "Onsemi")</f>
        <v>Onsemi</v>
      </c>
      <c r="C203" s="6">
        <v>50000</v>
      </c>
      <c r="D203" s="7">
        <v>0.15</v>
      </c>
    </row>
    <row r="204" spans="1:5" x14ac:dyDescent="0.25">
      <c r="A204" t="str">
        <f>HYPERLINK("https://www.773grp.com/globalSearch/SMBT2000T1G/page-1", "SMBT2000T1G")</f>
        <v>SMBT2000T1G</v>
      </c>
      <c r="B204" s="3" t="str">
        <f>HYPERLINK("https://www.773grp.com/manufacturer/onsemi?pageNo=203", "Onsemi")</f>
        <v>Onsemi</v>
      </c>
      <c r="C204" s="6">
        <v>15000</v>
      </c>
      <c r="D204" s="7">
        <v>0.15</v>
      </c>
    </row>
    <row r="205" spans="1:5" x14ac:dyDescent="0.25">
      <c r="A205" t="str">
        <f>HYPERLINK("https://www.773grp.com/globalSearch/SMBT2001T1G/page-1", "SMBT2001T1G")</f>
        <v>SMBT2001T1G</v>
      </c>
      <c r="B205" s="3" t="str">
        <f>HYPERLINK("https://www.773grp.com/manufacturer/onsemi?pageNo=204", "Onsemi")</f>
        <v>Onsemi</v>
      </c>
      <c r="C205" s="6">
        <v>19500</v>
      </c>
      <c r="D205" s="7">
        <v>0.15</v>
      </c>
    </row>
    <row r="206" spans="1:5" x14ac:dyDescent="0.25">
      <c r="A206" t="str">
        <f>HYPERLINK("https://www.773grp.com/globalSearch/SMBT2002T1/page-1", "SMBT2002T1")</f>
        <v>SMBT2002T1</v>
      </c>
      <c r="B206" s="3" t="str">
        <f>HYPERLINK("https://www.773grp.com/manufacturer/onsemi?pageNo=205", "Onsemi")</f>
        <v>Onsemi</v>
      </c>
      <c r="C206" s="6">
        <v>6000</v>
      </c>
      <c r="D206" s="7">
        <v>0.15</v>
      </c>
    </row>
    <row r="207" spans="1:5" x14ac:dyDescent="0.25">
      <c r="A207" t="str">
        <f>HYPERLINK("https://www.773grp.com/globalSearch/SMBT2002T1G/page-1", "SMBT2002T1G")</f>
        <v>SMBT2002T1G</v>
      </c>
      <c r="B207" s="3" t="str">
        <f>HYPERLINK("https://www.773grp.com/manufacturer/onsemi?pageNo=206", "Onsemi")</f>
        <v>Onsemi</v>
      </c>
      <c r="C207" s="6">
        <v>2000</v>
      </c>
      <c r="D207" s="7">
        <v>0.15</v>
      </c>
    </row>
    <row r="208" spans="1:5" x14ac:dyDescent="0.25">
      <c r="A208" t="str">
        <f>HYPERLINK("https://www.773grp.com/globalSearch/SMMBD914LT1G/page-1", "SMMBD914LT1G")</f>
        <v>SMMBD914LT1G</v>
      </c>
      <c r="B208" s="3" t="str">
        <f>HYPERLINK("https://www.773grp.com/manufacturer/onsemi?pageNo=207", "Onsemi")</f>
        <v>Onsemi</v>
      </c>
      <c r="C208" s="6">
        <v>48000</v>
      </c>
      <c r="D208" s="7">
        <v>0.15</v>
      </c>
      <c r="E208" t="s">
        <v>73</v>
      </c>
    </row>
    <row r="209" spans="1:5" x14ac:dyDescent="0.25">
      <c r="A209" t="str">
        <f>HYPERLINK("https://www.773grp.com/globalSearch/SMMBTH10LT1/page-1", "SMMBTH10LT1")</f>
        <v>SMMBTH10LT1</v>
      </c>
      <c r="B209" s="3" t="str">
        <f>HYPERLINK("https://www.773grp.com/manufacturer/onsemi?pageNo=208", "Onsemi")</f>
        <v>Onsemi</v>
      </c>
      <c r="C209" s="6">
        <v>69000</v>
      </c>
      <c r="D209" s="7">
        <v>0.15</v>
      </c>
      <c r="E209" t="s">
        <v>49</v>
      </c>
    </row>
    <row r="210" spans="1:5" x14ac:dyDescent="0.25">
      <c r="A210" t="str">
        <f>HYPERLINK("https://www.773grp.com/globalSearch/SMMUN2111LT1G/page-1", "SMMUN2111LT1G")</f>
        <v>SMMUN2111LT1G</v>
      </c>
      <c r="B210" s="3" t="str">
        <f>HYPERLINK("https://www.773grp.com/manufacturer/onsemi?pageNo=209", "Onsemi")</f>
        <v>Onsemi</v>
      </c>
      <c r="C210" s="6">
        <v>63000</v>
      </c>
      <c r="D210" s="7">
        <v>0.15</v>
      </c>
    </row>
    <row r="211" spans="1:5" x14ac:dyDescent="0.25">
      <c r="A211" t="str">
        <f>HYPERLINK("https://www.773grp.com/globalSearch/SMMUN2111LT3G/page-1", "SMMUN2111LT3G")</f>
        <v>SMMUN2111LT3G</v>
      </c>
      <c r="B211" s="3" t="str">
        <f>HYPERLINK("https://www.773grp.com/manufacturer/onsemi?pageNo=210", "Onsemi")</f>
        <v>Onsemi</v>
      </c>
      <c r="C211" s="6">
        <v>50000</v>
      </c>
      <c r="D211" s="7">
        <v>0.15</v>
      </c>
    </row>
    <row r="212" spans="1:5" x14ac:dyDescent="0.25">
      <c r="A212" t="str">
        <f>HYPERLINK("https://www.773grp.com/globalSearch/SMMUN2113LT1G/page-1", "SMMUN2113LT1G")</f>
        <v>SMMUN2113LT1G</v>
      </c>
      <c r="B212" s="3" t="str">
        <f>HYPERLINK("https://www.773grp.com/manufacturer/onsemi?pageNo=211", "Onsemi")</f>
        <v>Onsemi</v>
      </c>
      <c r="C212" s="6">
        <v>30000</v>
      </c>
      <c r="D212" s="7">
        <v>0.15</v>
      </c>
    </row>
    <row r="213" spans="1:5" x14ac:dyDescent="0.25">
      <c r="A213" t="str">
        <f>HYPERLINK("https://www.773grp.com/globalSearch/SMMUN2116LT1G/page-1", "SMMUN2116LT1G")</f>
        <v>SMMUN2116LT1G</v>
      </c>
      <c r="B213" s="3" t="str">
        <f>HYPERLINK("https://www.773grp.com/manufacturer/onsemi?pageNo=212", "Onsemi")</f>
        <v>Onsemi</v>
      </c>
      <c r="C213" s="6">
        <v>96000</v>
      </c>
      <c r="D213" s="7">
        <v>0.15</v>
      </c>
    </row>
    <row r="214" spans="1:5" x14ac:dyDescent="0.25">
      <c r="A214" t="str">
        <f>HYPERLINK("https://www.773grp.com/globalSearch/SMMUN2211LT1G/page-1", "SMMUN2211LT1G")</f>
        <v>SMMUN2211LT1G</v>
      </c>
      <c r="B214" s="3" t="str">
        <f>HYPERLINK("https://www.773grp.com/manufacturer/onsemi?pageNo=213", "Onsemi")</f>
        <v>Onsemi</v>
      </c>
      <c r="C214" s="6">
        <v>12000</v>
      </c>
      <c r="D214" s="7">
        <v>0.15</v>
      </c>
    </row>
    <row r="215" spans="1:5" x14ac:dyDescent="0.25">
      <c r="A215" t="str">
        <f>HYPERLINK("https://www.773grp.com/globalSearch/SMMUN2213LT1G/page-1", "SMMUN2213LT1G")</f>
        <v>SMMUN2213LT1G</v>
      </c>
      <c r="B215" s="3" t="str">
        <f>HYPERLINK("https://www.773grp.com/manufacturer/onsemi?pageNo=214", "Onsemi")</f>
        <v>Onsemi</v>
      </c>
      <c r="C215" s="6">
        <v>78000</v>
      </c>
      <c r="D215" s="7">
        <v>0.15</v>
      </c>
    </row>
    <row r="216" spans="1:5" x14ac:dyDescent="0.25">
      <c r="A216" t="str">
        <f>HYPERLINK("https://www.773grp.com/globalSearch/SMMUN2213LT3G/page-1", "SMMUN2213LT3G")</f>
        <v>SMMUN2213LT3G</v>
      </c>
      <c r="B216" s="3" t="str">
        <f>HYPERLINK("https://www.773grp.com/manufacturer/onsemi?pageNo=215", "Onsemi")</f>
        <v>Onsemi</v>
      </c>
      <c r="C216" s="6">
        <v>70000</v>
      </c>
      <c r="D216" s="7">
        <v>0.15</v>
      </c>
    </row>
    <row r="217" spans="1:5" x14ac:dyDescent="0.25">
      <c r="A217" t="str">
        <f>HYPERLINK("https://www.773grp.com/globalSearch/SMMUN2216LT1G/page-1", "SMMUN2216LT1G")</f>
        <v>SMMUN2216LT1G</v>
      </c>
      <c r="B217" s="3" t="str">
        <f>HYPERLINK("https://www.773grp.com/manufacturer/onsemi?pageNo=216", "Onsemi")</f>
        <v>Onsemi</v>
      </c>
      <c r="C217" s="6">
        <v>186000</v>
      </c>
      <c r="D217" s="7">
        <v>0.15</v>
      </c>
    </row>
    <row r="218" spans="1:5" x14ac:dyDescent="0.25">
      <c r="A218" t="str">
        <f>HYPERLINK("https://www.773grp.com/globalSearch/SMSD1002T1G/page-1", "SMSD1002T1G")</f>
        <v>SMSD1002T1G</v>
      </c>
      <c r="B218" s="3" t="str">
        <f>HYPERLINK("https://www.773grp.com/manufacturer/onsemi?pageNo=217", "Onsemi")</f>
        <v>Onsemi</v>
      </c>
      <c r="C218" s="6">
        <v>369000</v>
      </c>
      <c r="D218" s="7">
        <v>0.15</v>
      </c>
    </row>
    <row r="219" spans="1:5" x14ac:dyDescent="0.25">
      <c r="A219" t="str">
        <f>HYPERLINK("https://www.773grp.com/globalSearch/SMSD602-RT1G/page-1", "SMSD602-RT1G")</f>
        <v>SMSD602-RT1G</v>
      </c>
      <c r="B219" s="3" t="str">
        <f>HYPERLINK("https://www.773grp.com/manufacturer/onsemi?pageNo=218", "Onsemi")</f>
        <v>Onsemi</v>
      </c>
      <c r="C219" s="6">
        <v>198000</v>
      </c>
      <c r="D219" s="7">
        <v>0.15</v>
      </c>
    </row>
    <row r="220" spans="1:5" x14ac:dyDescent="0.25">
      <c r="A220" t="str">
        <f>HYPERLINK("https://www.773grp.com/globalSearch/SMUN2113T1G/page-1", "SMUN2113T1G")</f>
        <v>SMUN2113T1G</v>
      </c>
      <c r="B220" s="3" t="str">
        <f>HYPERLINK("https://www.773grp.com/manufacturer/onsemi?pageNo=219", "Onsemi")</f>
        <v>Onsemi</v>
      </c>
      <c r="C220" s="6">
        <v>144000</v>
      </c>
      <c r="D220" s="7">
        <v>0.15</v>
      </c>
    </row>
    <row r="221" spans="1:5" x14ac:dyDescent="0.25">
      <c r="A221" t="str">
        <f>HYPERLINK("https://www.773grp.com/globalSearch/SMUN2211T1G/page-1", "SMUN2211T1G")</f>
        <v>SMUN2211T1G</v>
      </c>
      <c r="B221" s="3" t="str">
        <f>HYPERLINK("https://www.773grp.com/manufacturer/onsemi?pageNo=220", "Onsemi")</f>
        <v>Onsemi</v>
      </c>
      <c r="C221" s="6">
        <v>45000</v>
      </c>
      <c r="D221" s="7">
        <v>0.15</v>
      </c>
    </row>
    <row r="222" spans="1:5" x14ac:dyDescent="0.25">
      <c r="A222" t="str">
        <f>HYPERLINK("https://www.773grp.com/globalSearch/SMUN2214T3G/page-1", "SMUN2214T3G")</f>
        <v>SMUN2214T3G</v>
      </c>
      <c r="B222" s="3" t="str">
        <f>HYPERLINK("https://www.773grp.com/manufacturer/onsemi?pageNo=221", "Onsemi")</f>
        <v>Onsemi</v>
      </c>
      <c r="C222" s="6">
        <v>40000</v>
      </c>
      <c r="D222" s="7">
        <v>0.15</v>
      </c>
    </row>
    <row r="223" spans="1:5" x14ac:dyDescent="0.25">
      <c r="A223" t="str">
        <f>HYPERLINK("https://www.773grp.com/globalSearch/SMUN2232T1G/page-1", "SMUN2232T1G")</f>
        <v>SMUN2232T1G</v>
      </c>
      <c r="B223" s="3" t="str">
        <f>HYPERLINK("https://www.773grp.com/manufacturer/onsemi?pageNo=222", "Onsemi")</f>
        <v>Onsemi</v>
      </c>
      <c r="C223" s="6">
        <v>72000</v>
      </c>
      <c r="D223" s="7">
        <v>0.15</v>
      </c>
    </row>
    <row r="224" spans="1:5" x14ac:dyDescent="0.25">
      <c r="A224" t="str">
        <f>HYPERLINK("https://www.773grp.com/globalSearch/SMUN5111T1G/page-1", "SMUN5111T1G")</f>
        <v>SMUN5111T1G</v>
      </c>
      <c r="B224" s="3" t="str">
        <f>HYPERLINK("https://www.773grp.com/manufacturer/onsemi?pageNo=223", "Onsemi")</f>
        <v>Onsemi</v>
      </c>
      <c r="C224" s="6">
        <v>28750</v>
      </c>
      <c r="D224" s="7">
        <v>0.15</v>
      </c>
    </row>
    <row r="225" spans="1:4" x14ac:dyDescent="0.25">
      <c r="A225" t="str">
        <f>HYPERLINK("https://www.773grp.com/globalSearch/SMUN5113T1G/page-1", "SMUN5113T1G")</f>
        <v>SMUN5113T1G</v>
      </c>
      <c r="B225" s="3" t="str">
        <f>HYPERLINK("https://www.773grp.com/manufacturer/onsemi?pageNo=224", "Onsemi")</f>
        <v>Onsemi</v>
      </c>
      <c r="C225" s="6">
        <v>81000</v>
      </c>
      <c r="D225" s="7">
        <v>0.15</v>
      </c>
    </row>
    <row r="226" spans="1:4" x14ac:dyDescent="0.25">
      <c r="A226" t="str">
        <f>HYPERLINK("https://www.773grp.com/globalSearch/SMUN5133T1G/page-1", "SMUN5133T1G")</f>
        <v>SMUN5133T1G</v>
      </c>
      <c r="B226" s="3" t="str">
        <f>HYPERLINK("https://www.773grp.com/manufacturer/onsemi?pageNo=225", "Onsemi")</f>
        <v>Onsemi</v>
      </c>
      <c r="C226" s="6">
        <v>96000</v>
      </c>
      <c r="D226" s="7">
        <v>0.15</v>
      </c>
    </row>
    <row r="227" spans="1:4" x14ac:dyDescent="0.25">
      <c r="A227" t="str">
        <f>HYPERLINK("https://www.773grp.com/globalSearch/SMUN5211T1/page-1", "SMUN5211T1")</f>
        <v>SMUN5211T1</v>
      </c>
      <c r="B227" s="3" t="str">
        <f>HYPERLINK("https://www.773grp.com/manufacturer/onsemi?pageNo=226", "Onsemi")</f>
        <v>Onsemi</v>
      </c>
      <c r="C227" s="6">
        <v>42000</v>
      </c>
      <c r="D227" s="7">
        <v>0.15</v>
      </c>
    </row>
    <row r="228" spans="1:4" x14ac:dyDescent="0.25">
      <c r="A228" t="str">
        <f>HYPERLINK("https://www.773grp.com/globalSearch/SMUN5211T1G/page-1", "SMUN5211T1G")</f>
        <v>SMUN5211T1G</v>
      </c>
      <c r="B228" s="3" t="str">
        <f>HYPERLINK("https://www.773grp.com/manufacturer/onsemi?pageNo=227", "Onsemi")</f>
        <v>Onsemi</v>
      </c>
      <c r="C228" s="6">
        <v>126000</v>
      </c>
      <c r="D228" s="7">
        <v>0.15</v>
      </c>
    </row>
    <row r="229" spans="1:4" x14ac:dyDescent="0.25">
      <c r="A229" t="str">
        <f>HYPERLINK("https://www.773grp.com/globalSearch/SMUN5211T3G/page-1", "SMUN5211T3G")</f>
        <v>SMUN5211T3G</v>
      </c>
      <c r="B229" s="3" t="str">
        <f>HYPERLINK("https://www.773grp.com/manufacturer/onsemi?pageNo=228", "Onsemi")</f>
        <v>Onsemi</v>
      </c>
      <c r="C229" s="6">
        <v>50000</v>
      </c>
      <c r="D229" s="7">
        <v>0.15</v>
      </c>
    </row>
    <row r="230" spans="1:4" x14ac:dyDescent="0.25">
      <c r="A230" t="str">
        <f>HYPERLINK("https://www.773grp.com/globalSearch/SMUN5212T1G/page-1", "SMUN5212T1G")</f>
        <v>SMUN5212T1G</v>
      </c>
      <c r="B230" s="3" t="str">
        <f>HYPERLINK("https://www.773grp.com/manufacturer/onsemi?pageNo=229", "Onsemi")</f>
        <v>Onsemi</v>
      </c>
      <c r="C230" s="6">
        <v>99000</v>
      </c>
      <c r="D230" s="7">
        <v>0.15</v>
      </c>
    </row>
    <row r="231" spans="1:4" x14ac:dyDescent="0.25">
      <c r="A231" t="str">
        <f>HYPERLINK("https://www.773grp.com/globalSearch/SMUN5233T1G/page-1", "SMUN5233T1G")</f>
        <v>SMUN5233T1G</v>
      </c>
      <c r="B231" s="3" t="str">
        <f>HYPERLINK("https://www.773grp.com/manufacturer/onsemi?pageNo=230", "Onsemi")</f>
        <v>Onsemi</v>
      </c>
      <c r="C231" s="6">
        <v>57000</v>
      </c>
      <c r="D231" s="7">
        <v>0.15</v>
      </c>
    </row>
    <row r="232" spans="1:4" x14ac:dyDescent="0.25">
      <c r="A232" t="str">
        <f>HYPERLINK("https://www.773grp.com/globalSearch/SPS5800/page-1", "SPS5800")</f>
        <v>SPS5800</v>
      </c>
      <c r="B232" s="3" t="str">
        <f>HYPERLINK("https://www.773grp.com/manufacturer/onsemi?pageNo=231", "Onsemi")</f>
        <v>Onsemi</v>
      </c>
      <c r="C232" s="6">
        <v>5000</v>
      </c>
      <c r="D232" s="7">
        <v>0.15</v>
      </c>
    </row>
    <row r="233" spans="1:4" x14ac:dyDescent="0.25">
      <c r="A233" t="str">
        <f>HYPERLINK("https://www.773grp.com/globalSearch/SSV1BC847CWT1/page-1", "SSV1BC847CWT1")</f>
        <v>SSV1BC847CWT1</v>
      </c>
      <c r="B233" s="3" t="str">
        <f>HYPERLINK("https://www.773grp.com/manufacturer/onsemi?pageNo=232", "Onsemi")</f>
        <v>Onsemi</v>
      </c>
      <c r="C233" s="6">
        <v>210000</v>
      </c>
      <c r="D233" s="7">
        <v>0.15</v>
      </c>
    </row>
    <row r="234" spans="1:4" x14ac:dyDescent="0.25">
      <c r="A234" t="str">
        <f>HYPERLINK("https://www.773grp.com/globalSearch/SZBZX84C10LT1G/page-1", "SZBZX84C10LT1G")</f>
        <v>SZBZX84C10LT1G</v>
      </c>
      <c r="B234" s="3" t="str">
        <f>HYPERLINK("https://www.773grp.com/manufacturer/onsemi?pageNo=233", "Onsemi")</f>
        <v>Onsemi</v>
      </c>
      <c r="C234" s="6">
        <v>21000</v>
      </c>
      <c r="D234" s="7">
        <v>0.15</v>
      </c>
    </row>
    <row r="235" spans="1:4" x14ac:dyDescent="0.25">
      <c r="A235" t="str">
        <f>HYPERLINK("https://www.773grp.com/globalSearch/SZBZX84C16LT1G/page-1", "SZBZX84C16LT1G")</f>
        <v>SZBZX84C16LT1G</v>
      </c>
      <c r="B235" s="3" t="str">
        <f>HYPERLINK("https://www.773grp.com/manufacturer/onsemi?pageNo=234", "Onsemi")</f>
        <v>Onsemi</v>
      </c>
      <c r="C235" s="6">
        <v>21000</v>
      </c>
      <c r="D235" s="7">
        <v>0.15</v>
      </c>
    </row>
    <row r="236" spans="1:4" x14ac:dyDescent="0.25">
      <c r="A236" t="str">
        <f>HYPERLINK("https://www.773grp.com/globalSearch/SZBZX84C18LT1G/page-1", "SZBZX84C18LT1G")</f>
        <v>SZBZX84C18LT1G</v>
      </c>
      <c r="B236" s="3" t="str">
        <f>HYPERLINK("https://www.773grp.com/manufacturer/onsemi?pageNo=235", "Onsemi")</f>
        <v>Onsemi</v>
      </c>
      <c r="C236" s="6">
        <v>3000</v>
      </c>
      <c r="D236" s="7">
        <v>0.15</v>
      </c>
    </row>
    <row r="237" spans="1:4" x14ac:dyDescent="0.25">
      <c r="A237" t="str">
        <f>HYPERLINK("https://www.773grp.com/globalSearch/SZBZX84C20LT1G/page-1", "SZBZX84C20LT1G")</f>
        <v>SZBZX84C20LT1G</v>
      </c>
      <c r="B237" s="3" t="str">
        <f>HYPERLINK("https://www.773grp.com/manufacturer/onsemi?pageNo=236", "Onsemi")</f>
        <v>Onsemi</v>
      </c>
      <c r="C237" s="6">
        <v>54000</v>
      </c>
      <c r="D237" s="7">
        <v>0.15</v>
      </c>
    </row>
    <row r="238" spans="1:4" x14ac:dyDescent="0.25">
      <c r="A238" t="str">
        <f>HYPERLINK("https://www.773grp.com/globalSearch/SZBZX84C22LT1G/page-1", "SZBZX84C22LT1G")</f>
        <v>SZBZX84C22LT1G</v>
      </c>
      <c r="B238" s="3" t="str">
        <f>HYPERLINK("https://www.773grp.com/manufacturer/onsemi?pageNo=237", "Onsemi")</f>
        <v>Onsemi</v>
      </c>
      <c r="C238" s="6">
        <v>9000</v>
      </c>
      <c r="D238" s="7">
        <v>0.15</v>
      </c>
    </row>
    <row r="239" spans="1:4" x14ac:dyDescent="0.25">
      <c r="A239" t="str">
        <f>HYPERLINK("https://www.773grp.com/globalSearch/SZBZX84C24LT1G/page-1", "SZBZX84C24LT1G")</f>
        <v>SZBZX84C24LT1G</v>
      </c>
      <c r="B239" s="3" t="str">
        <f>HYPERLINK("https://www.773grp.com/manufacturer/onsemi?pageNo=238", "Onsemi")</f>
        <v>Onsemi</v>
      </c>
      <c r="C239" s="6">
        <v>72000</v>
      </c>
      <c r="D239" s="7">
        <v>0.15</v>
      </c>
    </row>
    <row r="240" spans="1:4" x14ac:dyDescent="0.25">
      <c r="A240" t="str">
        <f>HYPERLINK("https://www.773grp.com/globalSearch/SZBZX84C33LT1G/page-1", "SZBZX84C33LT1G")</f>
        <v>SZBZX84C33LT1G</v>
      </c>
      <c r="B240" s="3" t="str">
        <f>HYPERLINK("https://www.773grp.com/manufacturer/onsemi?pageNo=239", "Onsemi")</f>
        <v>Onsemi</v>
      </c>
      <c r="C240" s="6">
        <v>130000</v>
      </c>
      <c r="D240" s="7">
        <v>0.15</v>
      </c>
    </row>
    <row r="241" spans="1:4" x14ac:dyDescent="0.25">
      <c r="A241" t="str">
        <f>HYPERLINK("https://www.773grp.com/globalSearch/SZBZX84C3V0LT1G/page-1", "SZBZX84C3V0LT1G")</f>
        <v>SZBZX84C3V0LT1G</v>
      </c>
      <c r="B241" s="3" t="str">
        <f>HYPERLINK("https://www.773grp.com/manufacturer/onsemi?pageNo=240", "Onsemi")</f>
        <v>Onsemi</v>
      </c>
      <c r="C241" s="6">
        <v>27000</v>
      </c>
      <c r="D241" s="7">
        <v>0.15</v>
      </c>
    </row>
    <row r="242" spans="1:4" x14ac:dyDescent="0.25">
      <c r="A242" t="str">
        <f>HYPERLINK("https://www.773grp.com/globalSearch/SZBZX84C3V9LT1G/page-1", "SZBZX84C3V9LT1G")</f>
        <v>SZBZX84C3V9LT1G</v>
      </c>
      <c r="B242" s="3" t="str">
        <f>HYPERLINK("https://www.773grp.com/manufacturer/onsemi?pageNo=241", "Onsemi")</f>
        <v>Onsemi</v>
      </c>
      <c r="C242" s="6">
        <v>39000</v>
      </c>
      <c r="D242" s="7">
        <v>0.15</v>
      </c>
    </row>
    <row r="243" spans="1:4" x14ac:dyDescent="0.25">
      <c r="A243" t="str">
        <f>HYPERLINK("https://www.773grp.com/globalSearch/SZBZX84C47LT1G/page-1", "SZBZX84C47LT1G")</f>
        <v>SZBZX84C47LT1G</v>
      </c>
      <c r="B243" s="3" t="str">
        <f>HYPERLINK("https://www.773grp.com/manufacturer/onsemi?pageNo=242", "Onsemi")</f>
        <v>Onsemi</v>
      </c>
      <c r="C243" s="6">
        <v>42000</v>
      </c>
      <c r="D243" s="7">
        <v>0.15</v>
      </c>
    </row>
    <row r="244" spans="1:4" x14ac:dyDescent="0.25">
      <c r="A244" t="str">
        <f>HYPERLINK("https://www.773grp.com/globalSearch/SZBZX84C4V3LT1G/page-1", "SZBZX84C4V3LT1G")</f>
        <v>SZBZX84C4V3LT1G</v>
      </c>
      <c r="B244" s="3" t="str">
        <f>HYPERLINK("https://www.773grp.com/manufacturer/onsemi?pageNo=243", "Onsemi")</f>
        <v>Onsemi</v>
      </c>
      <c r="C244" s="6">
        <v>702000</v>
      </c>
      <c r="D244" s="7">
        <v>0.15</v>
      </c>
    </row>
    <row r="245" spans="1:4" x14ac:dyDescent="0.25">
      <c r="A245" t="str">
        <f>HYPERLINK("https://www.773grp.com/globalSearch/SZBZX84C4V7LT1G/page-1", "SZBZX84C4V7LT1G")</f>
        <v>SZBZX84C4V7LT1G</v>
      </c>
      <c r="B245" s="3" t="str">
        <f>HYPERLINK("https://www.773grp.com/manufacturer/onsemi?pageNo=244", "Onsemi")</f>
        <v>Onsemi</v>
      </c>
      <c r="C245" s="6">
        <v>33000</v>
      </c>
      <c r="D245" s="7">
        <v>0.15</v>
      </c>
    </row>
    <row r="246" spans="1:4" x14ac:dyDescent="0.25">
      <c r="A246" t="str">
        <f>HYPERLINK("https://www.773grp.com/globalSearch/SZBZX84C56LT1G/page-1", "SZBZX84C56LT1G")</f>
        <v>SZBZX84C56LT1G</v>
      </c>
      <c r="B246" s="3" t="str">
        <f>HYPERLINK("https://www.773grp.com/manufacturer/onsemi?pageNo=245", "Onsemi")</f>
        <v>Onsemi</v>
      </c>
      <c r="C246" s="6">
        <v>63000</v>
      </c>
      <c r="D246" s="7">
        <v>0.15</v>
      </c>
    </row>
    <row r="247" spans="1:4" x14ac:dyDescent="0.25">
      <c r="A247" t="str">
        <f>HYPERLINK("https://www.773grp.com/globalSearch/SZBZX84C6V2LT1G/page-1", "SZBZX84C6V2LT1G")</f>
        <v>SZBZX84C6V2LT1G</v>
      </c>
      <c r="B247" s="3" t="str">
        <f>HYPERLINK("https://www.773grp.com/manufacturer/onsemi?pageNo=246", "Onsemi")</f>
        <v>Onsemi</v>
      </c>
      <c r="C247" s="6">
        <v>33000</v>
      </c>
      <c r="D247" s="7">
        <v>0.15</v>
      </c>
    </row>
    <row r="248" spans="1:4" x14ac:dyDescent="0.25">
      <c r="A248" t="str">
        <f>HYPERLINK("https://www.773grp.com/globalSearch/SZBZX84C9V1LT1G/page-1", "SZBZX84C9V1LT1G")</f>
        <v>SZBZX84C9V1LT1G</v>
      </c>
      <c r="B248" s="3" t="str">
        <f>HYPERLINK("https://www.773grp.com/manufacturer/onsemi?pageNo=247", "Onsemi")</f>
        <v>Onsemi</v>
      </c>
      <c r="C248" s="6">
        <v>480000</v>
      </c>
      <c r="D248" s="7">
        <v>0.15</v>
      </c>
    </row>
    <row r="249" spans="1:4" x14ac:dyDescent="0.25">
      <c r="A249" t="str">
        <f>HYPERLINK("https://www.773grp.com/globalSearch/SZMMBZ5232BLT1G/page-1", "SZMMBZ5232BLT1G")</f>
        <v>SZMMBZ5232BLT1G</v>
      </c>
      <c r="B249" s="3" t="str">
        <f>HYPERLINK("https://www.773grp.com/manufacturer/onsemi?pageNo=248", "Onsemi")</f>
        <v>Onsemi</v>
      </c>
      <c r="C249" s="6">
        <v>24000</v>
      </c>
      <c r="D249" s="7">
        <v>0.15</v>
      </c>
    </row>
    <row r="250" spans="1:4" x14ac:dyDescent="0.25">
      <c r="A250" t="str">
        <f>HYPERLINK("https://www.773grp.com/globalSearch/SZMMBZ5234BLT1G/page-1", "SZMMBZ5234BLT1G")</f>
        <v>SZMMBZ5234BLT1G</v>
      </c>
      <c r="B250" s="3" t="str">
        <f>HYPERLINK("https://www.773grp.com/manufacturer/onsemi?pageNo=249", "Onsemi")</f>
        <v>Onsemi</v>
      </c>
      <c r="C250" s="6">
        <v>30000</v>
      </c>
      <c r="D250" s="7">
        <v>0.15</v>
      </c>
    </row>
    <row r="251" spans="1:4" x14ac:dyDescent="0.25">
      <c r="A251" t="str">
        <f>HYPERLINK("https://www.773grp.com/globalSearch/SZMMBZ5241BLT1G/page-1", "SZMMBZ5241BLT1G")</f>
        <v>SZMMBZ5241BLT1G</v>
      </c>
      <c r="B251" s="3" t="str">
        <f>HYPERLINK("https://www.773grp.com/manufacturer/onsemi?pageNo=250", "Onsemi")</f>
        <v>Onsemi</v>
      </c>
      <c r="C251" s="6">
        <v>9000</v>
      </c>
      <c r="D251" s="7">
        <v>0.15</v>
      </c>
    </row>
    <row r="252" spans="1:4" x14ac:dyDescent="0.25">
      <c r="A252" t="str">
        <f>HYPERLINK("https://www.773grp.com/globalSearch/SZMMBZ5259BLT1G/page-1", "SZMMBZ5259BLT1G")</f>
        <v>SZMMBZ5259BLT1G</v>
      </c>
      <c r="B252" s="3" t="str">
        <f>HYPERLINK("https://www.773grp.com/manufacturer/onsemi?pageNo=251", "Onsemi")</f>
        <v>Onsemi</v>
      </c>
      <c r="C252" s="6">
        <v>27000</v>
      </c>
      <c r="D252" s="7">
        <v>0.15</v>
      </c>
    </row>
    <row r="253" spans="1:4" x14ac:dyDescent="0.25">
      <c r="A253" t="str">
        <f>HYPERLINK("https://www.773grp.com/globalSearch/SZMMBZ5262BLT1G/page-1", "SZMMBZ5262BLT1G")</f>
        <v>SZMMBZ5262BLT1G</v>
      </c>
      <c r="B253" s="3" t="str">
        <f>HYPERLINK("https://www.773grp.com/manufacturer/onsemi?pageNo=252", "Onsemi")</f>
        <v>Onsemi</v>
      </c>
      <c r="C253" s="6">
        <v>3000</v>
      </c>
      <c r="D253" s="7">
        <v>0.15</v>
      </c>
    </row>
    <row r="254" spans="1:4" x14ac:dyDescent="0.25">
      <c r="A254" t="str">
        <f>HYPERLINK("https://www.773grp.com/globalSearch/SZMMBZ5264BLT1G/page-1", "SZMMBZ5264BLT1G")</f>
        <v>SZMMBZ5264BLT1G</v>
      </c>
      <c r="B254" s="3" t="str">
        <f>HYPERLINK("https://www.773grp.com/manufacturer/onsemi?pageNo=253", "Onsemi")</f>
        <v>Onsemi</v>
      </c>
      <c r="C254" s="6">
        <v>9000</v>
      </c>
      <c r="D254" s="7">
        <v>0.15</v>
      </c>
    </row>
    <row r="255" spans="1:4" x14ac:dyDescent="0.25">
      <c r="A255" t="str">
        <f>HYPERLINK("https://www.773grp.com/globalSearch/SZMMSZ15T1G/page-1", "SZMMSZ15T1G")</f>
        <v>SZMMSZ15T1G</v>
      </c>
      <c r="B255" s="3" t="str">
        <f>HYPERLINK("https://www.773grp.com/manufacturer/onsemi?pageNo=254", "Onsemi")</f>
        <v>Onsemi</v>
      </c>
      <c r="C255" s="6">
        <v>9000</v>
      </c>
      <c r="D255" s="7">
        <v>0.15</v>
      </c>
    </row>
    <row r="256" spans="1:4" x14ac:dyDescent="0.25">
      <c r="A256" t="str">
        <f>HYPERLINK("https://www.773grp.com/globalSearch/SZMMSZ18T1G/page-1", "SZMMSZ18T1G")</f>
        <v>SZMMSZ18T1G</v>
      </c>
      <c r="B256" s="3" t="str">
        <f>HYPERLINK("https://www.773grp.com/manufacturer/onsemi?pageNo=255", "Onsemi")</f>
        <v>Onsemi</v>
      </c>
      <c r="C256" s="6">
        <v>24000</v>
      </c>
      <c r="D256" s="7">
        <v>0.15</v>
      </c>
    </row>
    <row r="257" spans="1:5" x14ac:dyDescent="0.25">
      <c r="A257" t="str">
        <f>HYPERLINK("https://www.773grp.com/globalSearch/SZMMSZ24T1G/page-1", "SZMMSZ24T1G")</f>
        <v>SZMMSZ24T1G</v>
      </c>
      <c r="B257" s="3" t="str">
        <f>HYPERLINK("https://www.773grp.com/manufacturer/onsemi?pageNo=256", "Onsemi")</f>
        <v>Onsemi</v>
      </c>
      <c r="C257" s="6">
        <v>66000</v>
      </c>
      <c r="D257" s="7">
        <v>0.15</v>
      </c>
    </row>
    <row r="258" spans="1:5" x14ac:dyDescent="0.25">
      <c r="A258" t="str">
        <f>HYPERLINK("https://www.773grp.com/globalSearch/SZMMSZ27T1G/page-1", "SZMMSZ27T1G")</f>
        <v>SZMMSZ27T1G</v>
      </c>
      <c r="B258" s="3" t="str">
        <f>HYPERLINK("https://www.773grp.com/manufacturer/onsemi?pageNo=257", "Onsemi")</f>
        <v>Onsemi</v>
      </c>
      <c r="C258" s="6">
        <v>24000</v>
      </c>
      <c r="D258" s="7">
        <v>0.15</v>
      </c>
    </row>
    <row r="259" spans="1:5" x14ac:dyDescent="0.25">
      <c r="A259" t="str">
        <f>HYPERLINK("https://www.773grp.com/globalSearch/SZMMSZ4678T1G/page-1", "SZMMSZ4678T1G")</f>
        <v>SZMMSZ4678T1G</v>
      </c>
      <c r="B259" s="3" t="str">
        <f>HYPERLINK("https://www.773grp.com/manufacturer/onsemi?pageNo=258", "Onsemi")</f>
        <v>Onsemi</v>
      </c>
      <c r="C259" s="6">
        <v>3000</v>
      </c>
      <c r="D259" s="7">
        <v>0.15</v>
      </c>
    </row>
    <row r="260" spans="1:5" x14ac:dyDescent="0.25">
      <c r="A260" t="str">
        <f>HYPERLINK("https://www.773grp.com/globalSearch/SZMMSZ4690T3G/page-1", "SZMMSZ4690T3G")</f>
        <v>SZMMSZ4690T3G</v>
      </c>
      <c r="B260" s="3" t="str">
        <f>HYPERLINK("https://www.773grp.com/manufacturer/onsemi?pageNo=259", "Onsemi")</f>
        <v>Onsemi</v>
      </c>
      <c r="C260" s="6">
        <v>30000</v>
      </c>
      <c r="D260" s="7">
        <v>0.15</v>
      </c>
    </row>
    <row r="261" spans="1:5" x14ac:dyDescent="0.25">
      <c r="A261" t="str">
        <f>HYPERLINK("https://www.773grp.com/globalSearch/SZMMSZ4692T1G/page-1", "SZMMSZ4692T1G")</f>
        <v>SZMMSZ4692T1G</v>
      </c>
      <c r="B261" s="3" t="str">
        <f>HYPERLINK("https://www.773grp.com/manufacturer/onsemi?pageNo=260", "Onsemi")</f>
        <v>Onsemi</v>
      </c>
      <c r="C261" s="6">
        <v>24000</v>
      </c>
      <c r="D261" s="7">
        <v>0.15</v>
      </c>
    </row>
    <row r="262" spans="1:5" x14ac:dyDescent="0.25">
      <c r="A262" t="str">
        <f>HYPERLINK("https://www.773grp.com/globalSearch/SZMMSZ4705T1G/page-1", "SZMMSZ4705T1G")</f>
        <v>SZMMSZ4705T1G</v>
      </c>
      <c r="B262" s="3" t="str">
        <f>HYPERLINK("https://www.773grp.com/manufacturer/onsemi?pageNo=261", "Onsemi")</f>
        <v>Onsemi</v>
      </c>
      <c r="C262" s="6">
        <v>69000</v>
      </c>
      <c r="D262" s="7">
        <v>0.15</v>
      </c>
    </row>
    <row r="263" spans="1:5" x14ac:dyDescent="0.25">
      <c r="A263" t="str">
        <f>HYPERLINK("https://www.773grp.com/globalSearch/SZMMSZ4V7T1G/page-1", "SZMMSZ4V7T1G")</f>
        <v>SZMMSZ4V7T1G</v>
      </c>
      <c r="B263" s="3" t="str">
        <f>HYPERLINK("https://www.773grp.com/manufacturer/onsemi?pageNo=262", "Onsemi")</f>
        <v>Onsemi</v>
      </c>
      <c r="C263" s="6">
        <v>12000</v>
      </c>
      <c r="D263" s="7">
        <v>0.15</v>
      </c>
    </row>
    <row r="264" spans="1:5" x14ac:dyDescent="0.25">
      <c r="A264" t="str">
        <f>HYPERLINK("https://www.773grp.com/globalSearch/SZMMSZ5229BT1G/page-1", "SZMMSZ5229BT1G")</f>
        <v>SZMMSZ5229BT1G</v>
      </c>
      <c r="B264" s="3" t="str">
        <f>HYPERLINK("https://www.773grp.com/manufacturer/onsemi?pageNo=263", "Onsemi")</f>
        <v>Onsemi</v>
      </c>
      <c r="C264" s="6">
        <v>9000</v>
      </c>
      <c r="D264" s="7">
        <v>0.15</v>
      </c>
    </row>
    <row r="265" spans="1:5" x14ac:dyDescent="0.25">
      <c r="A265" t="str">
        <f>HYPERLINK("https://www.773grp.com/globalSearch/SZMMSZ5230BT1G/page-1", "SZMMSZ5230BT1G")</f>
        <v>SZMMSZ5230BT1G</v>
      </c>
      <c r="B265" s="3" t="str">
        <f>HYPERLINK("https://www.773grp.com/manufacturer/onsemi?pageNo=264", "Onsemi")</f>
        <v>Onsemi</v>
      </c>
      <c r="C265" s="6">
        <v>18000</v>
      </c>
      <c r="D265" s="7">
        <v>0.15</v>
      </c>
    </row>
    <row r="266" spans="1:5" x14ac:dyDescent="0.25">
      <c r="A266" t="str">
        <f>HYPERLINK("https://www.773grp.com/globalSearch/SZMMSZ5232BT1G/page-1", "SZMMSZ5232BT1G")</f>
        <v>SZMMSZ5232BT1G</v>
      </c>
      <c r="B266" s="3" t="str">
        <f>HYPERLINK("https://www.773grp.com/manufacturer/onsemi?pageNo=265", "Onsemi")</f>
        <v>Onsemi</v>
      </c>
      <c r="C266" s="6">
        <v>9000</v>
      </c>
      <c r="D266" s="7">
        <v>0.15</v>
      </c>
    </row>
    <row r="267" spans="1:5" x14ac:dyDescent="0.25">
      <c r="A267" t="str">
        <f>HYPERLINK("https://www.773grp.com/globalSearch/SZMMSZ5238BT1G/page-1", "SZMMSZ5238BT1G")</f>
        <v>SZMMSZ5238BT1G</v>
      </c>
      <c r="B267" s="3" t="str">
        <f>HYPERLINK("https://www.773grp.com/manufacturer/onsemi?pageNo=266", "Onsemi")</f>
        <v>Onsemi</v>
      </c>
      <c r="C267" s="6">
        <v>30000</v>
      </c>
      <c r="D267" s="7">
        <v>0.15</v>
      </c>
    </row>
    <row r="268" spans="1:5" x14ac:dyDescent="0.25">
      <c r="A268" t="str">
        <f>HYPERLINK("https://www.773grp.com/globalSearch/SZMMSZ5242BT1G/page-1", "SZMMSZ5242BT1G")</f>
        <v>SZMMSZ5242BT1G</v>
      </c>
      <c r="B268" s="3" t="str">
        <f>HYPERLINK("https://www.773grp.com/manufacturer/onsemi?pageNo=267", "Onsemi")</f>
        <v>Onsemi</v>
      </c>
      <c r="C268" s="6">
        <v>44800</v>
      </c>
      <c r="D268" s="7">
        <v>0.15</v>
      </c>
    </row>
    <row r="269" spans="1:5" x14ac:dyDescent="0.25">
      <c r="A269" t="str">
        <f>HYPERLINK("https://www.773grp.com/globalSearch/SZMMSZ5246BT1G/page-1", "SZMMSZ5246BT1G")</f>
        <v>SZMMSZ5246BT1G</v>
      </c>
      <c r="B269" s="3" t="str">
        <f>HYPERLINK("https://www.773grp.com/manufacturer/onsemi?pageNo=268", "Onsemi")</f>
        <v>Onsemi</v>
      </c>
      <c r="C269" s="6">
        <v>30000</v>
      </c>
      <c r="D269" s="7">
        <v>0.15</v>
      </c>
    </row>
    <row r="270" spans="1:5" x14ac:dyDescent="0.25">
      <c r="A270" t="str">
        <f>HYPERLINK("https://www.773grp.com/globalSearch/SZMMSZ5254BT1G/page-1", "SZMMSZ5254BT1G")</f>
        <v>SZMMSZ5254BT1G</v>
      </c>
      <c r="B270" s="3" t="str">
        <f>HYPERLINK("https://www.773grp.com/manufacturer/onsemi?pageNo=269", "Onsemi")</f>
        <v>Onsemi</v>
      </c>
      <c r="C270" s="6">
        <v>9000</v>
      </c>
      <c r="D270" s="7">
        <v>0.15</v>
      </c>
    </row>
    <row r="271" spans="1:5" x14ac:dyDescent="0.25">
      <c r="A271" t="str">
        <f>HYPERLINK("https://www.773grp.com/globalSearch/UC3844BD1/page-1", "UC3844BD1")</f>
        <v>UC3844BD1</v>
      </c>
      <c r="B271" s="3" t="str">
        <f>HYPERLINK("https://www.773grp.com/manufacturer/onsemi?pageNo=270", "Onsemi")</f>
        <v>Onsemi</v>
      </c>
      <c r="C271" s="6">
        <v>880</v>
      </c>
      <c r="D271" s="7">
        <v>0.15</v>
      </c>
      <c r="E271" t="s">
        <v>5</v>
      </c>
    </row>
    <row r="272" spans="1:5" x14ac:dyDescent="0.25">
      <c r="A272" t="str">
        <f>HYPERLINK("https://www.773grp.com/globalSearch/1N4001RL/page-1", "1N4001RL")</f>
        <v>1N4001RL</v>
      </c>
      <c r="B272" s="3" t="str">
        <f>HYPERLINK("https://www.773grp.com/manufacturer/onsemi?pageNo=271", "Onsemi")</f>
        <v>Onsemi</v>
      </c>
      <c r="C272" s="6">
        <v>10000</v>
      </c>
      <c r="D272" s="7">
        <v>0.23</v>
      </c>
      <c r="E272" t="s">
        <v>73</v>
      </c>
    </row>
    <row r="273" spans="1:5" x14ac:dyDescent="0.25">
      <c r="A273" t="str">
        <f>HYPERLINK("https://www.773grp.com/globalSearch/1N4682/page-1", "1N4682")</f>
        <v>1N4682</v>
      </c>
      <c r="B273" s="3" t="str">
        <f>HYPERLINK("https://www.773grp.com/manufacturer/onsemi?pageNo=272", "Onsemi")</f>
        <v>Onsemi</v>
      </c>
      <c r="C273" s="6">
        <v>191</v>
      </c>
      <c r="D273" s="7">
        <v>0.23</v>
      </c>
      <c r="E273" t="s">
        <v>77</v>
      </c>
    </row>
    <row r="274" spans="1:5" x14ac:dyDescent="0.25">
      <c r="A274" t="str">
        <f>HYPERLINK("https://www.773grp.com/globalSearch/1N4682/page-1", "1N4682")</f>
        <v>1N4682</v>
      </c>
      <c r="B274" s="3" t="str">
        <f>HYPERLINK("https://www.773grp.com/manufacturer/onsemi?pageNo=273", "Onsemi")</f>
        <v>Onsemi</v>
      </c>
      <c r="C274" s="6">
        <v>6500</v>
      </c>
      <c r="D274" s="7">
        <v>0.23</v>
      </c>
      <c r="E274" t="s">
        <v>77</v>
      </c>
    </row>
    <row r="275" spans="1:5" x14ac:dyDescent="0.25">
      <c r="A275" t="str">
        <f>HYPERLINK("https://www.773grp.com/globalSearch/1N4684/page-1", "1N4684")</f>
        <v>1N4684</v>
      </c>
      <c r="B275" s="3" t="str">
        <f>HYPERLINK("https://www.773grp.com/manufacturer/onsemi?pageNo=274", "Onsemi")</f>
        <v>Onsemi</v>
      </c>
      <c r="C275" s="6">
        <v>720</v>
      </c>
      <c r="D275" s="7">
        <v>0.23</v>
      </c>
      <c r="E275" t="s">
        <v>77</v>
      </c>
    </row>
    <row r="276" spans="1:5" x14ac:dyDescent="0.25">
      <c r="A276" t="str">
        <f>HYPERLINK("https://www.773grp.com/globalSearch/1N5818/page-1", "1N5818")</f>
        <v>1N5818</v>
      </c>
      <c r="B276" s="3" t="str">
        <f>HYPERLINK("https://www.773grp.com/manufacturer/onsemi?pageNo=275", "Onsemi")</f>
        <v>Onsemi</v>
      </c>
      <c r="C276" s="6">
        <v>5871</v>
      </c>
      <c r="D276" s="7">
        <v>0.23</v>
      </c>
      <c r="E276" t="s">
        <v>73</v>
      </c>
    </row>
    <row r="277" spans="1:5" x14ac:dyDescent="0.25">
      <c r="A277" t="str">
        <f>HYPERLINK("https://www.773grp.com/globalSearch/1N5818RL/page-1", "1N5818RL")</f>
        <v>1N5818RL</v>
      </c>
      <c r="B277" s="3" t="str">
        <f>HYPERLINK("https://www.773grp.com/manufacturer/onsemi?pageNo=276", "Onsemi")</f>
        <v>Onsemi</v>
      </c>
      <c r="C277" s="6">
        <v>30</v>
      </c>
      <c r="D277" s="7">
        <v>0.23</v>
      </c>
      <c r="E277" t="s">
        <v>73</v>
      </c>
    </row>
    <row r="278" spans="1:5" x14ac:dyDescent="0.25">
      <c r="A278" t="str">
        <f>HYPERLINK("https://www.773grp.com/globalSearch/1N5819/page-1", "1N5819")</f>
        <v>1N5819</v>
      </c>
      <c r="B278" s="3" t="str">
        <f>HYPERLINK("https://www.773grp.com/manufacturer/onsemi?pageNo=277", "Onsemi")</f>
        <v>Onsemi</v>
      </c>
      <c r="C278" s="6">
        <v>13399</v>
      </c>
      <c r="D278" s="7">
        <v>0.23</v>
      </c>
      <c r="E278" t="s">
        <v>73</v>
      </c>
    </row>
    <row r="279" spans="1:5" x14ac:dyDescent="0.25">
      <c r="A279" t="str">
        <f>HYPERLINK("https://www.773grp.com/globalSearch/1N5819RL/page-1", "1N5819RL")</f>
        <v>1N5819RL</v>
      </c>
      <c r="B279" s="3" t="str">
        <f>HYPERLINK("https://www.773grp.com/manufacturer/onsemi?pageNo=278", "Onsemi")</f>
        <v>Onsemi</v>
      </c>
      <c r="C279" s="6">
        <v>10175</v>
      </c>
      <c r="D279" s="7">
        <v>0.23</v>
      </c>
      <c r="E279" t="s">
        <v>73</v>
      </c>
    </row>
    <row r="280" spans="1:5" x14ac:dyDescent="0.25">
      <c r="A280" t="str">
        <f>HYPERLINK("https://www.773grp.com/globalSearch/1N5991BRL/page-1", "1N5991BRL")</f>
        <v>1N5991BRL</v>
      </c>
      <c r="B280" s="3" t="str">
        <f>HYPERLINK("https://www.773grp.com/manufacturer/onsemi?pageNo=279", "Onsemi")</f>
        <v>Onsemi</v>
      </c>
      <c r="C280" s="6">
        <v>20000</v>
      </c>
      <c r="D280" s="7">
        <v>0.23</v>
      </c>
      <c r="E280" t="s">
        <v>77</v>
      </c>
    </row>
    <row r="281" spans="1:5" x14ac:dyDescent="0.25">
      <c r="A281" t="str">
        <f>HYPERLINK("https://www.773grp.com/globalSearch/1SS400T1G/page-1", "1SS400T1G")</f>
        <v>1SS400T1G</v>
      </c>
      <c r="B281" s="3" t="str">
        <f>HYPERLINK("https://www.773grp.com/manufacturer/onsemi?pageNo=280", "Onsemi")</f>
        <v>Onsemi</v>
      </c>
      <c r="C281" s="6">
        <v>2376000</v>
      </c>
      <c r="D281" s="7">
        <v>0.23</v>
      </c>
      <c r="E281" t="s">
        <v>73</v>
      </c>
    </row>
    <row r="282" spans="1:5" x14ac:dyDescent="0.25">
      <c r="A282" t="str">
        <f>HYPERLINK("https://www.773grp.com/globalSearch/2N5089RLRM/page-1", "2N5089RLRM")</f>
        <v>2N5089RLRM</v>
      </c>
      <c r="B282" s="3" t="str">
        <f>HYPERLINK("https://www.773grp.com/manufacturer/onsemi?pageNo=281", "Onsemi")</f>
        <v>Onsemi</v>
      </c>
      <c r="C282" s="6">
        <v>18000</v>
      </c>
      <c r="D282" s="7">
        <v>0.23</v>
      </c>
      <c r="E282" t="s">
        <v>57</v>
      </c>
    </row>
    <row r="283" spans="1:5" x14ac:dyDescent="0.25">
      <c r="A283" t="str">
        <f>HYPERLINK("https://www.773grp.com/globalSearch/2N6426RLRAG/page-1", "2N6426RLRAG")</f>
        <v>2N6426RLRAG</v>
      </c>
      <c r="B283" s="3" t="str">
        <f>HYPERLINK("https://www.773grp.com/manufacturer/onsemi?pageNo=282", "Onsemi")</f>
        <v>Onsemi</v>
      </c>
      <c r="C283" s="6">
        <v>22000</v>
      </c>
      <c r="D283" s="7">
        <v>0.23</v>
      </c>
      <c r="E283" t="s">
        <v>57</v>
      </c>
    </row>
    <row r="284" spans="1:5" x14ac:dyDescent="0.25">
      <c r="A284" t="str">
        <f>HYPERLINK("https://www.773grp.com/globalSearch/2N6427G/page-1", "2N6427G")</f>
        <v>2N6427G</v>
      </c>
      <c r="B284" s="3" t="str">
        <f>HYPERLINK("https://www.773grp.com/manufacturer/onsemi?pageNo=283", "Onsemi")</f>
        <v>Onsemi</v>
      </c>
      <c r="C284" s="6">
        <v>36557</v>
      </c>
      <c r="D284" s="7">
        <v>0.23</v>
      </c>
      <c r="E284" t="s">
        <v>57</v>
      </c>
    </row>
    <row r="285" spans="1:5" x14ac:dyDescent="0.25">
      <c r="A285" t="str">
        <f>HYPERLINK("https://www.773grp.com/globalSearch/2N6427RLRAG/page-1", "2N6427RLRAG")</f>
        <v>2N6427RLRAG</v>
      </c>
      <c r="B285" s="3" t="str">
        <f>HYPERLINK("https://www.773grp.com/manufacturer/onsemi?pageNo=284", "Onsemi")</f>
        <v>Onsemi</v>
      </c>
      <c r="C285" s="6">
        <v>10000</v>
      </c>
      <c r="D285" s="7">
        <v>0.23</v>
      </c>
      <c r="E285" t="s">
        <v>57</v>
      </c>
    </row>
    <row r="286" spans="1:5" x14ac:dyDescent="0.25">
      <c r="A286" t="str">
        <f>HYPERLINK("https://www.773grp.com/globalSearch/BAS16TT1/page-1", "BAS16TT1")</f>
        <v>BAS16TT1</v>
      </c>
      <c r="B286" s="3" t="str">
        <f>HYPERLINK("https://www.773grp.com/manufacturer/onsemi?pageNo=285", "Onsemi")</f>
        <v>Onsemi</v>
      </c>
      <c r="C286" s="6">
        <v>72000</v>
      </c>
      <c r="D286" s="7">
        <v>0.23</v>
      </c>
      <c r="E286" t="s">
        <v>73</v>
      </c>
    </row>
    <row r="287" spans="1:5" x14ac:dyDescent="0.25">
      <c r="A287" t="str">
        <f>HYPERLINK("https://www.773grp.com/globalSearch/BAS16XV2T1G/page-1", "BAS16XV2T1G")</f>
        <v>BAS16XV2T1G</v>
      </c>
      <c r="B287" s="3" t="str">
        <f>HYPERLINK("https://www.773grp.com/manufacturer/onsemi?pageNo=286", "Onsemi")</f>
        <v>Onsemi</v>
      </c>
      <c r="C287" s="6">
        <v>488424</v>
      </c>
      <c r="D287" s="7">
        <v>0.23</v>
      </c>
      <c r="E287" t="s">
        <v>73</v>
      </c>
    </row>
    <row r="288" spans="1:5" x14ac:dyDescent="0.25">
      <c r="A288" t="str">
        <f>HYPERLINK("https://www.773grp.com/globalSearch/BAS16XV2T5G/page-1", "BAS16XV2T5G")</f>
        <v>BAS16XV2T5G</v>
      </c>
      <c r="B288" s="3" t="str">
        <f>HYPERLINK("https://www.773grp.com/manufacturer/onsemi?pageNo=287", "Onsemi")</f>
        <v>Onsemi</v>
      </c>
      <c r="C288" s="6">
        <v>64000</v>
      </c>
      <c r="D288" s="7">
        <v>0.23</v>
      </c>
    </row>
    <row r="289" spans="1:5" x14ac:dyDescent="0.25">
      <c r="A289" t="str">
        <f>HYPERLINK("https://www.773grp.com/globalSearch/BAS20HT1G/page-1", "BAS20HT1G")</f>
        <v>BAS20HT1G</v>
      </c>
      <c r="B289" s="3" t="str">
        <f>HYPERLINK("https://www.773grp.com/manufacturer/onsemi?pageNo=288", "Onsemi")</f>
        <v>Onsemi</v>
      </c>
      <c r="C289" s="6">
        <v>159700</v>
      </c>
      <c r="D289" s="7">
        <v>0.23</v>
      </c>
      <c r="E289" t="s">
        <v>73</v>
      </c>
    </row>
    <row r="290" spans="1:5" x14ac:dyDescent="0.25">
      <c r="A290" t="str">
        <f>HYPERLINK("https://www.773grp.com/globalSearch/BAS21HT1/page-1", "BAS21HT1")</f>
        <v>BAS21HT1</v>
      </c>
      <c r="B290" s="3" t="str">
        <f>HYPERLINK("https://www.773grp.com/manufacturer/onsemi?pageNo=289", "Onsemi")</f>
        <v>Onsemi</v>
      </c>
      <c r="C290" s="6">
        <v>99000</v>
      </c>
      <c r="D290" s="7">
        <v>0.23</v>
      </c>
      <c r="E290" t="s">
        <v>73</v>
      </c>
    </row>
    <row r="291" spans="1:5" x14ac:dyDescent="0.25">
      <c r="A291" t="str">
        <f>HYPERLINK("https://www.773grp.com/globalSearch/BAT54CXV3T1/page-1", "BAT54CXV3T1")</f>
        <v>BAT54CXV3T1</v>
      </c>
      <c r="B291" s="3" t="str">
        <f>HYPERLINK("https://www.773grp.com/manufacturer/onsemi?pageNo=290", "Onsemi")</f>
        <v>Onsemi</v>
      </c>
      <c r="C291" s="6">
        <v>192000</v>
      </c>
      <c r="D291" s="7">
        <v>0.23</v>
      </c>
      <c r="E291" t="s">
        <v>73</v>
      </c>
    </row>
    <row r="292" spans="1:5" x14ac:dyDescent="0.25">
      <c r="A292" t="str">
        <f>HYPERLINK("https://www.773grp.com/globalSearch/BAT54XV2T1G/page-1", "BAT54XV2T1G")</f>
        <v>BAT54XV2T1G</v>
      </c>
      <c r="B292" s="3" t="str">
        <f>HYPERLINK("https://www.773grp.com/manufacturer/onsemi?pageNo=291", "Onsemi")</f>
        <v>Onsemi</v>
      </c>
      <c r="C292" s="6">
        <v>2101765</v>
      </c>
      <c r="D292" s="7">
        <v>0.23</v>
      </c>
      <c r="E292" t="s">
        <v>73</v>
      </c>
    </row>
    <row r="293" spans="1:5" x14ac:dyDescent="0.25">
      <c r="A293" t="str">
        <f>HYPERLINK("https://www.773grp.com/globalSearch/BAT54XV2T5G/page-1", "BAT54XV2T5G")</f>
        <v>BAT54XV2T5G</v>
      </c>
      <c r="B293" s="3" t="str">
        <f>HYPERLINK("https://www.773grp.com/manufacturer/onsemi?pageNo=292", "Onsemi")</f>
        <v>Onsemi</v>
      </c>
      <c r="C293" s="6">
        <v>29990</v>
      </c>
      <c r="D293" s="7">
        <v>0.23</v>
      </c>
    </row>
    <row r="294" spans="1:5" x14ac:dyDescent="0.25">
      <c r="A294" t="str">
        <f>HYPERLINK("https://www.773grp.com/globalSearch/BAV23CLT1G/page-1", "BAV23CLT1G")</f>
        <v>BAV23CLT1G</v>
      </c>
      <c r="B294" s="3" t="str">
        <f>HYPERLINK("https://www.773grp.com/manufacturer/onsemi?pageNo=293", "Onsemi")</f>
        <v>Onsemi</v>
      </c>
      <c r="C294" s="6">
        <v>797700</v>
      </c>
      <c r="D294" s="7">
        <v>0.23</v>
      </c>
      <c r="E294" t="s">
        <v>73</v>
      </c>
    </row>
    <row r="295" spans="1:5" x14ac:dyDescent="0.25">
      <c r="A295" t="str">
        <f>HYPERLINK("https://www.773grp.com/globalSearch/BAW56TT1/page-1", "BAW56TT1")</f>
        <v>BAW56TT1</v>
      </c>
      <c r="B295" s="3" t="str">
        <f>HYPERLINK("https://www.773grp.com/manufacturer/onsemi?pageNo=294", "Onsemi")</f>
        <v>Onsemi</v>
      </c>
      <c r="C295" s="6">
        <v>9000</v>
      </c>
      <c r="D295" s="7">
        <v>0.23</v>
      </c>
      <c r="E295" t="s">
        <v>73</v>
      </c>
    </row>
    <row r="296" spans="1:5" x14ac:dyDescent="0.25">
      <c r="A296" t="str">
        <f>HYPERLINK("https://www.773grp.com/globalSearch/BC369ZL1/page-1", "BC369ZL1")</f>
        <v>BC369ZL1</v>
      </c>
      <c r="B296" s="3" t="str">
        <f>HYPERLINK("https://www.773grp.com/manufacturer/onsemi?pageNo=295", "Onsemi")</f>
        <v>Onsemi</v>
      </c>
      <c r="C296" s="6">
        <v>864000</v>
      </c>
      <c r="D296" s="7">
        <v>0.23</v>
      </c>
      <c r="E296" t="s">
        <v>57</v>
      </c>
    </row>
    <row r="297" spans="1:5" x14ac:dyDescent="0.25">
      <c r="A297" t="str">
        <f>HYPERLINK("https://www.773grp.com/globalSearch/BC372/page-1", "BC372")</f>
        <v>BC372</v>
      </c>
      <c r="B297" s="3" t="str">
        <f>HYPERLINK("https://www.773grp.com/manufacturer/onsemi?pageNo=296", "Onsemi")</f>
        <v>Onsemi</v>
      </c>
      <c r="C297" s="6">
        <v>3000</v>
      </c>
      <c r="D297" s="7">
        <v>0.23</v>
      </c>
      <c r="E297" t="s">
        <v>57</v>
      </c>
    </row>
    <row r="298" spans="1:5" x14ac:dyDescent="0.25">
      <c r="A298" t="str">
        <f>HYPERLINK("https://www.773grp.com/globalSearch/BC490BZL1/page-1", "BC490BZL1")</f>
        <v>BC490BZL1</v>
      </c>
      <c r="B298" s="3" t="str">
        <f>HYPERLINK("https://www.773grp.com/manufacturer/onsemi?pageNo=297", "Onsemi")</f>
        <v>Onsemi</v>
      </c>
      <c r="C298" s="6">
        <v>1000</v>
      </c>
      <c r="D298" s="7">
        <v>0.23</v>
      </c>
      <c r="E298" t="s">
        <v>57</v>
      </c>
    </row>
    <row r="299" spans="1:5" x14ac:dyDescent="0.25">
      <c r="A299" t="str">
        <f>HYPERLINK("https://www.773grp.com/globalSearch/BC490G/page-1", "BC490G")</f>
        <v>BC490G</v>
      </c>
      <c r="B299" s="3" t="str">
        <f>HYPERLINK("https://www.773grp.com/manufacturer/onsemi?pageNo=298", "Onsemi")</f>
        <v>Onsemi</v>
      </c>
      <c r="C299" s="6">
        <v>19265</v>
      </c>
      <c r="D299" s="7">
        <v>0.23</v>
      </c>
      <c r="E299" t="s">
        <v>57</v>
      </c>
    </row>
    <row r="300" spans="1:5" x14ac:dyDescent="0.25">
      <c r="A300" t="str">
        <f>HYPERLINK("https://www.773grp.com/globalSearch/BC635RL1G/page-1", "BC635RL1G")</f>
        <v>BC635RL1G</v>
      </c>
      <c r="B300" s="3" t="str">
        <f>HYPERLINK("https://www.773grp.com/manufacturer/onsemi?pageNo=299", "Onsemi")</f>
        <v>Onsemi</v>
      </c>
      <c r="C300" s="6">
        <v>2000</v>
      </c>
      <c r="D300" s="7">
        <v>0.23</v>
      </c>
      <c r="E300" t="s">
        <v>57</v>
      </c>
    </row>
    <row r="301" spans="1:5" x14ac:dyDescent="0.25">
      <c r="A301" t="str">
        <f>HYPERLINK("https://www.773grp.com/globalSearch/BC637G/page-1", "BC637G")</f>
        <v>BC637G</v>
      </c>
      <c r="B301" s="3" t="str">
        <f>HYPERLINK("https://www.773grp.com/manufacturer/onsemi?pageNo=300", "Onsemi")</f>
        <v>Onsemi</v>
      </c>
      <c r="C301" s="6">
        <v>112834</v>
      </c>
      <c r="D301" s="7">
        <v>0.23</v>
      </c>
      <c r="E301" t="s">
        <v>57</v>
      </c>
    </row>
    <row r="302" spans="1:5" x14ac:dyDescent="0.25">
      <c r="A302" t="str">
        <f>HYPERLINK("https://www.773grp.com/globalSearch/BC637RL1G/page-1", "BC637RL1G")</f>
        <v>BC637RL1G</v>
      </c>
      <c r="B302" s="3" t="str">
        <f>HYPERLINK("https://www.773grp.com/manufacturer/onsemi?pageNo=301", "Onsemi")</f>
        <v>Onsemi</v>
      </c>
      <c r="C302" s="6">
        <v>258000</v>
      </c>
      <c r="D302" s="7">
        <v>0.23</v>
      </c>
      <c r="E302" t="s">
        <v>57</v>
      </c>
    </row>
    <row r="303" spans="1:5" x14ac:dyDescent="0.25">
      <c r="A303" t="str">
        <f>HYPERLINK("https://www.773grp.com/globalSearch/BC638ZL1/page-1", "BC638ZL1")</f>
        <v>BC638ZL1</v>
      </c>
      <c r="B303" s="3" t="str">
        <f>HYPERLINK("https://www.773grp.com/manufacturer/onsemi?pageNo=302", "Onsemi")</f>
        <v>Onsemi</v>
      </c>
      <c r="C303" s="6">
        <v>8000</v>
      </c>
      <c r="D303" s="7">
        <v>0.23</v>
      </c>
      <c r="E303" t="s">
        <v>57</v>
      </c>
    </row>
    <row r="304" spans="1:5" x14ac:dyDescent="0.25">
      <c r="A304" t="str">
        <f>HYPERLINK("https://www.773grp.com/globalSearch/BC640-016/page-1", "BC640-016")</f>
        <v>BC640-016</v>
      </c>
      <c r="B304" s="3" t="str">
        <f>HYPERLINK("https://www.773grp.com/manufacturer/onsemi?pageNo=303", "Onsemi")</f>
        <v>Onsemi</v>
      </c>
      <c r="C304" s="6">
        <v>15000</v>
      </c>
      <c r="D304" s="7">
        <v>0.23</v>
      </c>
    </row>
    <row r="305" spans="1:5" x14ac:dyDescent="0.25">
      <c r="A305" t="str">
        <f>HYPERLINK("https://www.773grp.com/globalSearch/BC640ZL1/page-1", "BC640ZL1")</f>
        <v>BC640ZL1</v>
      </c>
      <c r="B305" s="3" t="str">
        <f>HYPERLINK("https://www.773grp.com/manufacturer/onsemi?pageNo=304", "Onsemi")</f>
        <v>Onsemi</v>
      </c>
      <c r="C305" s="6">
        <v>4000</v>
      </c>
      <c r="D305" s="7">
        <v>0.23</v>
      </c>
      <c r="E305" t="s">
        <v>57</v>
      </c>
    </row>
    <row r="306" spans="1:5" x14ac:dyDescent="0.25">
      <c r="A306" t="str">
        <f>HYPERLINK("https://www.773grp.com/globalSearch/BC807-40CLT1/page-1", "BC807-40CLT1")</f>
        <v>BC807-40CLT1</v>
      </c>
      <c r="B306" s="3" t="str">
        <f>HYPERLINK("https://www.773grp.com/manufacturer/onsemi?pageNo=305", "Onsemi")</f>
        <v>Onsemi</v>
      </c>
      <c r="C306" s="6">
        <v>450000</v>
      </c>
      <c r="D306" s="7">
        <v>0.23</v>
      </c>
    </row>
    <row r="307" spans="1:5" x14ac:dyDescent="0.25">
      <c r="A307" t="str">
        <f>HYPERLINK("https://www.773grp.com/globalSearch/BC846BDW1T1G/page-1", "BC846BDW1T1G")</f>
        <v>BC846BDW1T1G</v>
      </c>
      <c r="B307" s="3" t="str">
        <f>HYPERLINK("https://www.773grp.com/manufacturer/onsemi?pageNo=306", "Onsemi")</f>
        <v>Onsemi</v>
      </c>
      <c r="C307" s="6">
        <v>2880</v>
      </c>
      <c r="D307" s="7">
        <v>0.23</v>
      </c>
      <c r="E307" t="s">
        <v>57</v>
      </c>
    </row>
    <row r="308" spans="1:5" x14ac:dyDescent="0.25">
      <c r="A308" t="str">
        <f>HYPERLINK("https://www.773grp.com/globalSearch/BC846BDW1T1H/page-1", "BC846BDW1T1H")</f>
        <v>BC846BDW1T1H</v>
      </c>
      <c r="B308" s="3" t="str">
        <f>HYPERLINK("https://www.773grp.com/manufacturer/onsemi?pageNo=307", "Onsemi")</f>
        <v>Onsemi</v>
      </c>
      <c r="C308" s="6">
        <v>6000</v>
      </c>
      <c r="D308" s="7">
        <v>0.23</v>
      </c>
    </row>
    <row r="309" spans="1:5" x14ac:dyDescent="0.25">
      <c r="A309" t="str">
        <f>HYPERLINK("https://www.773grp.com/globalSearch/BC847AWT1/page-1", "BC847AWT1")</f>
        <v>BC847AWT1</v>
      </c>
      <c r="B309" s="3" t="str">
        <f>HYPERLINK("https://www.773grp.com/manufacturer/onsemi?pageNo=308", "Onsemi")</f>
        <v>Onsemi</v>
      </c>
      <c r="C309" s="6">
        <v>114000</v>
      </c>
      <c r="D309" s="7">
        <v>0.23</v>
      </c>
      <c r="E309" t="s">
        <v>57</v>
      </c>
    </row>
    <row r="310" spans="1:5" x14ac:dyDescent="0.25">
      <c r="A310" t="str">
        <f>HYPERLINK("https://www.773grp.com/globalSearch/BC847BDW1T1/page-1", "BC847BDW1T1")</f>
        <v>BC847BDW1T1</v>
      </c>
      <c r="B310" s="3" t="str">
        <f>HYPERLINK("https://www.773grp.com/manufacturer/onsemi?pageNo=309", "Onsemi")</f>
        <v>Onsemi</v>
      </c>
      <c r="C310" s="6">
        <v>21000</v>
      </c>
      <c r="D310" s="7">
        <v>0.23</v>
      </c>
      <c r="E310" t="s">
        <v>57</v>
      </c>
    </row>
    <row r="311" spans="1:5" x14ac:dyDescent="0.25">
      <c r="A311" t="str">
        <f>HYPERLINK("https://www.773grp.com/globalSearch/BC847BDW1T1G/page-1", "BC847BDW1T1G")</f>
        <v>BC847BDW1T1G</v>
      </c>
      <c r="B311" s="3" t="str">
        <f>HYPERLINK("https://www.773grp.com/manufacturer/onsemi?pageNo=310", "Onsemi")</f>
        <v>Onsemi</v>
      </c>
      <c r="C311" s="6">
        <v>69000</v>
      </c>
      <c r="D311" s="7">
        <v>0.23</v>
      </c>
      <c r="E311" t="s">
        <v>57</v>
      </c>
    </row>
    <row r="312" spans="1:5" x14ac:dyDescent="0.25">
      <c r="A312" t="str">
        <f>HYPERLINK("https://www.773grp.com/globalSearch/BC847BDW1T3/page-1", "BC847BDW1T3")</f>
        <v>BC847BDW1T3</v>
      </c>
      <c r="B312" s="3" t="str">
        <f>HYPERLINK("https://www.773grp.com/manufacturer/onsemi?pageNo=311", "Onsemi")</f>
        <v>Onsemi</v>
      </c>
      <c r="C312" s="6">
        <v>80000</v>
      </c>
      <c r="D312" s="7">
        <v>0.23</v>
      </c>
      <c r="E312" t="s">
        <v>57</v>
      </c>
    </row>
    <row r="313" spans="1:5" x14ac:dyDescent="0.25">
      <c r="A313" t="str">
        <f>HYPERLINK("https://www.773grp.com/globalSearch/BC847BDW1T3G/page-1", "BC847BDW1T3G")</f>
        <v>BC847BDW1T3G</v>
      </c>
      <c r="B313" s="3" t="str">
        <f>HYPERLINK("https://www.773grp.com/manufacturer/onsemi?pageNo=312", "Onsemi")</f>
        <v>Onsemi</v>
      </c>
      <c r="C313" s="6">
        <v>548251</v>
      </c>
      <c r="D313" s="7">
        <v>0.23</v>
      </c>
      <c r="E313" t="s">
        <v>57</v>
      </c>
    </row>
    <row r="314" spans="1:5" x14ac:dyDescent="0.25">
      <c r="A314" t="str">
        <f>HYPERLINK("https://www.773grp.com/globalSearch/BC847BPDW1T1G/page-1", "BC847BPDW1T1G")</f>
        <v>BC847BPDW1T1G</v>
      </c>
      <c r="B314" s="3" t="str">
        <f>HYPERLINK("https://www.773grp.com/manufacturer/onsemi?pageNo=313", "Onsemi")</f>
        <v>Onsemi</v>
      </c>
      <c r="C314" s="6">
        <v>553770</v>
      </c>
      <c r="D314" s="7">
        <v>0.23</v>
      </c>
      <c r="E314" t="s">
        <v>57</v>
      </c>
    </row>
    <row r="315" spans="1:5" x14ac:dyDescent="0.25">
      <c r="A315" t="str">
        <f>HYPERLINK("https://www.773grp.com/globalSearch/BC847BPDW1T3G/page-1", "BC847BPDW1T3G")</f>
        <v>BC847BPDW1T3G</v>
      </c>
      <c r="B315" s="3" t="str">
        <f>HYPERLINK("https://www.773grp.com/manufacturer/onsemi?pageNo=314", "Onsemi")</f>
        <v>Onsemi</v>
      </c>
      <c r="C315" s="6">
        <v>90000</v>
      </c>
      <c r="D315" s="7">
        <v>0.23</v>
      </c>
    </row>
    <row r="316" spans="1:5" x14ac:dyDescent="0.25">
      <c r="A316" t="str">
        <f>HYPERLINK("https://www.773grp.com/globalSearch/BC847CDW1T1/page-1", "BC847CDW1T1")</f>
        <v>BC847CDW1T1</v>
      </c>
      <c r="B316" s="3" t="str">
        <f>HYPERLINK("https://www.773grp.com/manufacturer/onsemi?pageNo=315", "Onsemi")</f>
        <v>Onsemi</v>
      </c>
      <c r="C316" s="6">
        <v>96000</v>
      </c>
      <c r="D316" s="7">
        <v>0.23</v>
      </c>
      <c r="E316" t="s">
        <v>57</v>
      </c>
    </row>
    <row r="317" spans="1:5" x14ac:dyDescent="0.25">
      <c r="A317" t="str">
        <f>HYPERLINK("https://www.773grp.com/globalSearch/BC847CDW1T1G/page-1", "BC847CDW1T1G")</f>
        <v>BC847CDW1T1G</v>
      </c>
      <c r="B317" s="3" t="str">
        <f>HYPERLINK("https://www.773grp.com/manufacturer/onsemi?pageNo=316", "Onsemi")</f>
        <v>Onsemi</v>
      </c>
      <c r="C317" s="6">
        <v>27000</v>
      </c>
      <c r="D317" s="7">
        <v>0.23</v>
      </c>
      <c r="E317" t="s">
        <v>57</v>
      </c>
    </row>
    <row r="318" spans="1:5" x14ac:dyDescent="0.25">
      <c r="A318" t="str">
        <f>HYPERLINK("https://www.773grp.com/globalSearch/BC847CTT1G/page-1", "BC847CTT1G")</f>
        <v>BC847CTT1G</v>
      </c>
      <c r="B318" s="3" t="str">
        <f>HYPERLINK("https://www.773grp.com/manufacturer/onsemi?pageNo=317", "Onsemi")</f>
        <v>Onsemi</v>
      </c>
      <c r="C318" s="6">
        <v>8249</v>
      </c>
      <c r="D318" s="7">
        <v>0.23</v>
      </c>
      <c r="E318" t="s">
        <v>57</v>
      </c>
    </row>
    <row r="319" spans="1:5" x14ac:dyDescent="0.25">
      <c r="A319" t="str">
        <f>HYPERLINK("https://www.773grp.com/globalSearch/BC848CDW1T1G/page-1", "BC848CDW1T1G")</f>
        <v>BC848CDW1T1G</v>
      </c>
      <c r="B319" s="3" t="str">
        <f>HYPERLINK("https://www.773grp.com/manufacturer/onsemi?pageNo=318", "Onsemi")</f>
        <v>Onsemi</v>
      </c>
      <c r="C319" s="6">
        <v>21000</v>
      </c>
      <c r="D319" s="7">
        <v>0.23</v>
      </c>
      <c r="E319" t="s">
        <v>57</v>
      </c>
    </row>
    <row r="320" spans="1:5" x14ac:dyDescent="0.25">
      <c r="A320" t="str">
        <f>HYPERLINK("https://www.773grp.com/globalSearch/BC848CPDW1T1G/page-1", "BC848CPDW1T1G")</f>
        <v>BC848CPDW1T1G</v>
      </c>
      <c r="B320" s="3" t="str">
        <f>HYPERLINK("https://www.773grp.com/manufacturer/onsemi?pageNo=319", "Onsemi")</f>
        <v>Onsemi</v>
      </c>
      <c r="C320" s="6">
        <v>63000</v>
      </c>
      <c r="D320" s="7">
        <v>0.23</v>
      </c>
      <c r="E320" t="s">
        <v>57</v>
      </c>
    </row>
    <row r="321" spans="1:5" x14ac:dyDescent="0.25">
      <c r="A321" t="str">
        <f>HYPERLINK("https://www.773grp.com/globalSearch/BC856BDW1T1G/page-1", "BC856BDW1T1G")</f>
        <v>BC856BDW1T1G</v>
      </c>
      <c r="B321" s="3" t="str">
        <f>HYPERLINK("https://www.773grp.com/manufacturer/onsemi?pageNo=320", "Onsemi")</f>
        <v>Onsemi</v>
      </c>
      <c r="C321" s="6">
        <v>9000</v>
      </c>
      <c r="D321" s="7">
        <v>0.23</v>
      </c>
      <c r="E321" t="s">
        <v>57</v>
      </c>
    </row>
    <row r="322" spans="1:5" x14ac:dyDescent="0.25">
      <c r="A322" t="str">
        <f>HYPERLINK("https://www.773grp.com/globalSearch/BC856BDW1T3/page-1", "BC856BDW1T3")</f>
        <v>BC856BDW1T3</v>
      </c>
      <c r="B322" s="3" t="str">
        <f>HYPERLINK("https://www.773grp.com/manufacturer/onsemi?pageNo=321", "Onsemi")</f>
        <v>Onsemi</v>
      </c>
      <c r="C322" s="6">
        <v>90000</v>
      </c>
      <c r="D322" s="7">
        <v>0.23</v>
      </c>
      <c r="E322" t="s">
        <v>57</v>
      </c>
    </row>
    <row r="323" spans="1:5" x14ac:dyDescent="0.25">
      <c r="A323" t="str">
        <f>HYPERLINK("https://www.773grp.com/globalSearch/BC856BDW1T3G/page-1", "BC856BDW1T3G")</f>
        <v>BC856BDW1T3G</v>
      </c>
      <c r="B323" s="3" t="str">
        <f>HYPERLINK("https://www.773grp.com/manufacturer/onsemi?pageNo=322", "Onsemi")</f>
        <v>Onsemi</v>
      </c>
      <c r="C323" s="6">
        <v>2930000</v>
      </c>
      <c r="D323" s="7">
        <v>0.23</v>
      </c>
    </row>
    <row r="324" spans="1:5" x14ac:dyDescent="0.25">
      <c r="A324" t="str">
        <f>HYPERLINK("https://www.773grp.com/globalSearch/BC856BWT1/page-1", "BC856BWT1")</f>
        <v>BC856BWT1</v>
      </c>
      <c r="B324" s="3" t="str">
        <f>HYPERLINK("https://www.773grp.com/manufacturer/onsemi?pageNo=323", "Onsemi")</f>
        <v>Onsemi</v>
      </c>
      <c r="C324" s="6">
        <v>2865000</v>
      </c>
      <c r="D324" s="7">
        <v>0.23</v>
      </c>
      <c r="E324" t="s">
        <v>57</v>
      </c>
    </row>
    <row r="325" spans="1:5" x14ac:dyDescent="0.25">
      <c r="A325" t="str">
        <f>HYPERLINK("https://www.773grp.com/globalSearch/BC857BDW1T1G/page-1", "BC857BDW1T1G")</f>
        <v>BC857BDW1T1G</v>
      </c>
      <c r="B325" s="3" t="str">
        <f>HYPERLINK("https://www.773grp.com/manufacturer/onsemi?pageNo=324", "Onsemi")</f>
        <v>Onsemi</v>
      </c>
      <c r="C325" s="6">
        <v>24000</v>
      </c>
      <c r="D325" s="7">
        <v>0.23</v>
      </c>
      <c r="E325" t="s">
        <v>57</v>
      </c>
    </row>
    <row r="326" spans="1:5" x14ac:dyDescent="0.25">
      <c r="A326" t="str">
        <f>HYPERLINK("https://www.773grp.com/globalSearch/BC857CDW1T1G/page-1", "BC857CDW1T1G")</f>
        <v>BC857CDW1T1G</v>
      </c>
      <c r="B326" s="3" t="str">
        <f>HYPERLINK("https://www.773grp.com/manufacturer/onsemi?pageNo=325", "Onsemi")</f>
        <v>Onsemi</v>
      </c>
      <c r="C326" s="6">
        <v>12000</v>
      </c>
      <c r="D326" s="7">
        <v>0.23</v>
      </c>
      <c r="E326" t="s">
        <v>57</v>
      </c>
    </row>
    <row r="327" spans="1:5" x14ac:dyDescent="0.25">
      <c r="A327" t="str">
        <f>HYPERLINK("https://www.773grp.com/globalSearch/BCW61DLT1/page-1", "BCW61DLT1")</f>
        <v>BCW61DLT1</v>
      </c>
      <c r="B327" s="3" t="str">
        <f>HYPERLINK("https://www.773grp.com/manufacturer/onsemi?pageNo=326", "Onsemi")</f>
        <v>Onsemi</v>
      </c>
      <c r="C327" s="6">
        <v>1000</v>
      </c>
      <c r="D327" s="7">
        <v>0.23</v>
      </c>
      <c r="E327" t="s">
        <v>57</v>
      </c>
    </row>
    <row r="328" spans="1:5" x14ac:dyDescent="0.25">
      <c r="A328" t="str">
        <f>HYPERLINK("https://www.773grp.com/globalSearch/BCW65ALT1G/page-1", "BCW65ALT1G")</f>
        <v>BCW65ALT1G</v>
      </c>
      <c r="B328" s="3" t="str">
        <f>HYPERLINK("https://www.773grp.com/manufacturer/onsemi?pageNo=327", "Onsemi")</f>
        <v>Onsemi</v>
      </c>
      <c r="C328" s="6">
        <v>113447</v>
      </c>
      <c r="D328" s="7">
        <v>0.23</v>
      </c>
      <c r="E328" t="s">
        <v>57</v>
      </c>
    </row>
    <row r="329" spans="1:5" x14ac:dyDescent="0.25">
      <c r="A329" t="str">
        <f>HYPERLINK("https://www.773grp.com/globalSearch/BCW65CLT1/page-1", "BCW65CLT1")</f>
        <v>BCW65CLT1</v>
      </c>
      <c r="B329" s="3" t="str">
        <f>HYPERLINK("https://www.773grp.com/manufacturer/onsemi?pageNo=328", "Onsemi")</f>
        <v>Onsemi</v>
      </c>
      <c r="C329" s="6">
        <v>66000</v>
      </c>
      <c r="D329" s="7">
        <v>0.23</v>
      </c>
      <c r="E329" t="s">
        <v>57</v>
      </c>
    </row>
    <row r="330" spans="1:5" x14ac:dyDescent="0.25">
      <c r="A330" t="str">
        <f>HYPERLINK("https://www.773grp.com/globalSearch/BCW65CLT1G/page-1", "BCW65CLT1G")</f>
        <v>BCW65CLT1G</v>
      </c>
      <c r="B330" s="3" t="str">
        <f>HYPERLINK("https://www.773grp.com/manufacturer/onsemi?pageNo=329", "Onsemi")</f>
        <v>Onsemi</v>
      </c>
      <c r="C330" s="6">
        <v>5826</v>
      </c>
      <c r="D330" s="7">
        <v>0.23</v>
      </c>
      <c r="E330" t="s">
        <v>57</v>
      </c>
    </row>
    <row r="331" spans="1:5" x14ac:dyDescent="0.25">
      <c r="A331" t="str">
        <f>HYPERLINK("https://www.773grp.com/globalSearch/BCW66GLT1G/page-1", "BCW66GLT1G")</f>
        <v>BCW66GLT1G</v>
      </c>
      <c r="B331" s="3" t="str">
        <f>HYPERLINK("https://www.773grp.com/manufacturer/onsemi?pageNo=330", "Onsemi")</f>
        <v>Onsemi</v>
      </c>
      <c r="C331" s="6">
        <v>447000</v>
      </c>
      <c r="D331" s="7">
        <v>0.23</v>
      </c>
      <c r="E331" t="s">
        <v>57</v>
      </c>
    </row>
    <row r="332" spans="1:5" x14ac:dyDescent="0.25">
      <c r="A332" t="str">
        <f>HYPERLINK("https://www.773grp.com/globalSearch/BCW68GLT1G/page-1", "BCW68GLT1G")</f>
        <v>BCW68GLT1G</v>
      </c>
      <c r="B332" s="3" t="str">
        <f>HYPERLINK("https://www.773grp.com/manufacturer/onsemi?pageNo=331", "Onsemi")</f>
        <v>Onsemi</v>
      </c>
      <c r="C332" s="6">
        <v>1152969</v>
      </c>
      <c r="D332" s="7">
        <v>0.23</v>
      </c>
      <c r="E332" t="s">
        <v>57</v>
      </c>
    </row>
    <row r="333" spans="1:5" x14ac:dyDescent="0.25">
      <c r="A333" t="str">
        <f>HYPERLINK("https://www.773grp.com/globalSearch/BCW70LT1G/page-1", "BCW70LT1G")</f>
        <v>BCW70LT1G</v>
      </c>
      <c r="B333" s="3" t="str">
        <f>HYPERLINK("https://www.773grp.com/manufacturer/onsemi?pageNo=332", "Onsemi")</f>
        <v>Onsemi</v>
      </c>
      <c r="C333" s="6">
        <v>115749</v>
      </c>
      <c r="D333" s="7">
        <v>0.23</v>
      </c>
      <c r="E333" t="s">
        <v>57</v>
      </c>
    </row>
    <row r="334" spans="1:5" x14ac:dyDescent="0.25">
      <c r="A334" t="str">
        <f>HYPERLINK("https://www.773grp.com/globalSearch/BCW72LT1G/page-1", "BCW72LT1G")</f>
        <v>BCW72LT1G</v>
      </c>
      <c r="B334" s="3" t="str">
        <f>HYPERLINK("https://www.773grp.com/manufacturer/onsemi?pageNo=333", "Onsemi")</f>
        <v>Onsemi</v>
      </c>
      <c r="C334" s="6">
        <v>1338000</v>
      </c>
      <c r="D334" s="7">
        <v>0.23</v>
      </c>
      <c r="E334" t="s">
        <v>57</v>
      </c>
    </row>
    <row r="335" spans="1:5" x14ac:dyDescent="0.25">
      <c r="A335" t="str">
        <f>HYPERLINK("https://www.773grp.com/globalSearch/BCX17LT1G/page-1", "BCX17LT1G")</f>
        <v>BCX17LT1G</v>
      </c>
      <c r="B335" s="3" t="str">
        <f>HYPERLINK("https://www.773grp.com/manufacturer/onsemi?pageNo=334", "Onsemi")</f>
        <v>Onsemi</v>
      </c>
      <c r="C335" s="6">
        <v>76697</v>
      </c>
      <c r="D335" s="7">
        <v>0.23</v>
      </c>
      <c r="E335" t="s">
        <v>57</v>
      </c>
    </row>
    <row r="336" spans="1:5" x14ac:dyDescent="0.25">
      <c r="A336" t="str">
        <f>HYPERLINK("https://www.773grp.com/globalSearch/BCX19LT1G/page-1", "BCX19LT1G")</f>
        <v>BCX19LT1G</v>
      </c>
      <c r="B336" s="3" t="str">
        <f>HYPERLINK("https://www.773grp.com/manufacturer/onsemi?pageNo=335", "Onsemi")</f>
        <v>Onsemi</v>
      </c>
      <c r="C336" s="6">
        <v>190696</v>
      </c>
      <c r="D336" s="7">
        <v>0.23</v>
      </c>
      <c r="E336" t="s">
        <v>57</v>
      </c>
    </row>
    <row r="337" spans="1:5" x14ac:dyDescent="0.25">
      <c r="A337" t="str">
        <f>HYPERLINK("https://www.773grp.com/globalSearch/BF392ZL1/page-1", "BF392ZL1")</f>
        <v>BF392ZL1</v>
      </c>
      <c r="B337" s="3" t="str">
        <f>HYPERLINK("https://www.773grp.com/manufacturer/onsemi?pageNo=336", "Onsemi")</f>
        <v>Onsemi</v>
      </c>
      <c r="C337" s="6">
        <v>24000</v>
      </c>
      <c r="D337" s="7">
        <v>0.23</v>
      </c>
      <c r="E337" t="s">
        <v>57</v>
      </c>
    </row>
    <row r="338" spans="1:5" x14ac:dyDescent="0.25">
      <c r="A338" t="str">
        <f>HYPERLINK("https://www.773grp.com/globalSearch/BS170/page-1", "BS170")</f>
        <v>BS170</v>
      </c>
      <c r="B338" s="3" t="str">
        <f>HYPERLINK("https://www.773grp.com/manufacturer/onsemi?pageNo=337", "Onsemi")</f>
        <v>Onsemi</v>
      </c>
      <c r="C338" s="6">
        <v>1000</v>
      </c>
      <c r="D338" s="7">
        <v>0.23</v>
      </c>
      <c r="E338" t="s">
        <v>85</v>
      </c>
    </row>
    <row r="339" spans="1:5" x14ac:dyDescent="0.25">
      <c r="A339" t="str">
        <f>HYPERLINK("https://www.773grp.com/globalSearch/BS170RLRM/page-1", "BS170RLRM")</f>
        <v>BS170RLRM</v>
      </c>
      <c r="B339" s="3" t="str">
        <f>HYPERLINK("https://www.773grp.com/manufacturer/onsemi?pageNo=338", "Onsemi")</f>
        <v>Onsemi</v>
      </c>
      <c r="C339" s="6">
        <v>1100</v>
      </c>
      <c r="D339" s="7">
        <v>0.23</v>
      </c>
      <c r="E339" t="s">
        <v>85</v>
      </c>
    </row>
    <row r="340" spans="1:5" x14ac:dyDescent="0.25">
      <c r="A340" t="str">
        <f>HYPERLINK("https://www.773grp.com/globalSearch/BSS63LT1G/page-1", "BSS63LT1G")</f>
        <v>BSS63LT1G</v>
      </c>
      <c r="B340" s="3" t="str">
        <f>HYPERLINK("https://www.773grp.com/manufacturer/onsemi?pageNo=339", "Onsemi")</f>
        <v>Onsemi</v>
      </c>
      <c r="C340" s="6">
        <v>229605</v>
      </c>
      <c r="D340" s="7">
        <v>0.23</v>
      </c>
      <c r="E340" t="s">
        <v>57</v>
      </c>
    </row>
    <row r="341" spans="1:5" x14ac:dyDescent="0.25">
      <c r="A341" t="str">
        <f>HYPERLINK("https://www.773grp.com/globalSearch/BSS64LT1G/page-1", "BSS64LT1G")</f>
        <v>BSS64LT1G</v>
      </c>
      <c r="B341" s="3" t="str">
        <f>HYPERLINK("https://www.773grp.com/manufacturer/onsemi?pageNo=340", "Onsemi")</f>
        <v>Onsemi</v>
      </c>
      <c r="C341" s="6">
        <v>5234</v>
      </c>
      <c r="D341" s="7">
        <v>0.23</v>
      </c>
      <c r="E341" t="s">
        <v>57</v>
      </c>
    </row>
    <row r="342" spans="1:5" x14ac:dyDescent="0.25">
      <c r="A342" t="str">
        <f>HYPERLINK("https://www.773grp.com/globalSearch/BZX84B12LT1G/page-1", "BZX84B12LT1G")</f>
        <v>BZX84B12LT1G</v>
      </c>
      <c r="B342" s="3" t="str">
        <f>HYPERLINK("https://www.773grp.com/manufacturer/onsemi?pageNo=341", "Onsemi")</f>
        <v>Onsemi</v>
      </c>
      <c r="C342" s="6">
        <v>110496</v>
      </c>
      <c r="D342" s="7">
        <v>0.23</v>
      </c>
      <c r="E342" t="s">
        <v>77</v>
      </c>
    </row>
    <row r="343" spans="1:5" x14ac:dyDescent="0.25">
      <c r="A343" t="str">
        <f>HYPERLINK("https://www.773grp.com/globalSearch/BZX84B15LT1G/page-1", "BZX84B15LT1G")</f>
        <v>BZX84B15LT1G</v>
      </c>
      <c r="B343" s="3" t="str">
        <f>HYPERLINK("https://www.773grp.com/manufacturer/onsemi?pageNo=342", "Onsemi")</f>
        <v>Onsemi</v>
      </c>
      <c r="C343" s="6">
        <v>22312</v>
      </c>
      <c r="D343" s="7">
        <v>0.23</v>
      </c>
      <c r="E343" t="s">
        <v>77</v>
      </c>
    </row>
    <row r="344" spans="1:5" x14ac:dyDescent="0.25">
      <c r="A344" t="str">
        <f>HYPERLINK("https://www.773grp.com/globalSearch/BZX84B18LT1G/page-1", "BZX84B18LT1G")</f>
        <v>BZX84B18LT1G</v>
      </c>
      <c r="B344" s="3" t="str">
        <f>HYPERLINK("https://www.773grp.com/manufacturer/onsemi?pageNo=343", "Onsemi")</f>
        <v>Onsemi</v>
      </c>
      <c r="C344" s="6">
        <v>147000</v>
      </c>
      <c r="D344" s="7">
        <v>0.23</v>
      </c>
      <c r="E344" t="s">
        <v>77</v>
      </c>
    </row>
    <row r="345" spans="1:5" x14ac:dyDescent="0.25">
      <c r="A345" t="str">
        <f>HYPERLINK("https://www.773grp.com/globalSearch/BZX84B22LT1G/page-1", "BZX84B22LT1G")</f>
        <v>BZX84B22LT1G</v>
      </c>
      <c r="B345" s="3" t="str">
        <f>HYPERLINK("https://www.773grp.com/manufacturer/onsemi?pageNo=344", "Onsemi")</f>
        <v>Onsemi</v>
      </c>
      <c r="C345" s="6">
        <v>531000</v>
      </c>
      <c r="D345" s="7">
        <v>0.23</v>
      </c>
      <c r="E345" t="s">
        <v>77</v>
      </c>
    </row>
    <row r="346" spans="1:5" x14ac:dyDescent="0.25">
      <c r="A346" t="str">
        <f>HYPERLINK("https://www.773grp.com/globalSearch/BZX84B24LT1G/page-1", "BZX84B24LT1G")</f>
        <v>BZX84B24LT1G</v>
      </c>
      <c r="B346" s="3" t="str">
        <f>HYPERLINK("https://www.773grp.com/manufacturer/onsemi?pageNo=345", "Onsemi")</f>
        <v>Onsemi</v>
      </c>
      <c r="C346" s="6">
        <v>162000</v>
      </c>
      <c r="D346" s="7">
        <v>0.23</v>
      </c>
      <c r="E346" t="s">
        <v>77</v>
      </c>
    </row>
    <row r="347" spans="1:5" x14ac:dyDescent="0.25">
      <c r="A347" t="str">
        <f>HYPERLINK("https://www.773grp.com/globalSearch/BZX84B5V1LT1G/page-1", "BZX84B5V1LT1G")</f>
        <v>BZX84B5V1LT1G</v>
      </c>
      <c r="B347" s="3" t="str">
        <f>HYPERLINK("https://www.773grp.com/manufacturer/onsemi?pageNo=346", "Onsemi")</f>
        <v>Onsemi</v>
      </c>
      <c r="C347" s="6">
        <v>135615</v>
      </c>
      <c r="D347" s="7">
        <v>0.23</v>
      </c>
      <c r="E347" t="s">
        <v>77</v>
      </c>
    </row>
    <row r="348" spans="1:5" x14ac:dyDescent="0.25">
      <c r="A348" t="str">
        <f>HYPERLINK("https://www.773grp.com/globalSearch/BZX84B5V6LT1G/page-1", "BZX84B5V6LT1G")</f>
        <v>BZX84B5V6LT1G</v>
      </c>
      <c r="B348" s="3" t="str">
        <f>HYPERLINK("https://www.773grp.com/manufacturer/onsemi?pageNo=347", "Onsemi")</f>
        <v>Onsemi</v>
      </c>
      <c r="C348" s="6">
        <v>151075</v>
      </c>
      <c r="D348" s="7">
        <v>0.23</v>
      </c>
    </row>
    <row r="349" spans="1:5" x14ac:dyDescent="0.25">
      <c r="A349" t="str">
        <f>HYPERLINK("https://www.773grp.com/globalSearch/BZX84B6V2LT1G/page-1", "BZX84B6V2LT1G")</f>
        <v>BZX84B6V2LT1G</v>
      </c>
      <c r="B349" s="3" t="str">
        <f>HYPERLINK("https://www.773grp.com/manufacturer/onsemi?pageNo=348", "Onsemi")</f>
        <v>Onsemi</v>
      </c>
      <c r="C349" s="6">
        <v>279400</v>
      </c>
      <c r="D349" s="7">
        <v>0.23</v>
      </c>
      <c r="E349" t="s">
        <v>77</v>
      </c>
    </row>
    <row r="350" spans="1:5" x14ac:dyDescent="0.25">
      <c r="A350" t="str">
        <f>HYPERLINK("https://www.773grp.com/globalSearch/BZX84B6V8LT1G/page-1", "BZX84B6V8LT1G")</f>
        <v>BZX84B6V8LT1G</v>
      </c>
      <c r="B350" s="3" t="str">
        <f>HYPERLINK("https://www.773grp.com/manufacturer/onsemi?pageNo=349", "Onsemi")</f>
        <v>Onsemi</v>
      </c>
      <c r="C350" s="6">
        <v>57000</v>
      </c>
      <c r="D350" s="7">
        <v>0.23</v>
      </c>
      <c r="E350" t="s">
        <v>77</v>
      </c>
    </row>
    <row r="351" spans="1:5" x14ac:dyDescent="0.25">
      <c r="A351" t="str">
        <f>HYPERLINK("https://www.773grp.com/globalSearch/BZX84B7V5LT1G/page-1", "BZX84B7V5LT1G")</f>
        <v>BZX84B7V5LT1G</v>
      </c>
      <c r="B351" s="3" t="str">
        <f>HYPERLINK("https://www.773grp.com/manufacturer/onsemi?pageNo=350", "Onsemi")</f>
        <v>Onsemi</v>
      </c>
      <c r="C351" s="6">
        <v>35488</v>
      </c>
      <c r="D351" s="7">
        <v>0.23</v>
      </c>
      <c r="E351" t="s">
        <v>77</v>
      </c>
    </row>
    <row r="352" spans="1:5" x14ac:dyDescent="0.25">
      <c r="A352" t="str">
        <f>HYPERLINK("https://www.773grp.com/globalSearch/BZX84B8V2LT1G/page-1", "BZX84B8V2LT1G")</f>
        <v>BZX84B8V2LT1G</v>
      </c>
      <c r="B352" s="3" t="str">
        <f>HYPERLINK("https://www.773grp.com/manufacturer/onsemi?pageNo=351", "Onsemi")</f>
        <v>Onsemi</v>
      </c>
      <c r="C352" s="6">
        <v>362636</v>
      </c>
      <c r="D352" s="7">
        <v>0.23</v>
      </c>
      <c r="E352" t="s">
        <v>77</v>
      </c>
    </row>
    <row r="353" spans="1:5" x14ac:dyDescent="0.25">
      <c r="A353" t="str">
        <f>HYPERLINK("https://www.773grp.com/globalSearch/BZX84B9V1LT1G/page-1", "BZX84B9V1LT1G")</f>
        <v>BZX84B9V1LT1G</v>
      </c>
      <c r="B353" s="3" t="str">
        <f>HYPERLINK("https://www.773grp.com/manufacturer/onsemi?pageNo=352", "Onsemi")</f>
        <v>Onsemi</v>
      </c>
      <c r="C353" s="6">
        <v>22775</v>
      </c>
      <c r="D353" s="7">
        <v>0.23</v>
      </c>
      <c r="E353" t="s">
        <v>77</v>
      </c>
    </row>
    <row r="354" spans="1:5" x14ac:dyDescent="0.25">
      <c r="A354" t="str">
        <f>HYPERLINK("https://www.773grp.com/globalSearch/BZX84C11ET1G/page-1", "BZX84C11ET1G")</f>
        <v>BZX84C11ET1G</v>
      </c>
      <c r="B354" s="3" t="str">
        <f>HYPERLINK("https://www.773grp.com/manufacturer/onsemi?pageNo=353", "Onsemi")</f>
        <v>Onsemi</v>
      </c>
      <c r="C354" s="6">
        <v>12000</v>
      </c>
      <c r="D354" s="7">
        <v>0.23</v>
      </c>
      <c r="E354" t="s">
        <v>77</v>
      </c>
    </row>
    <row r="355" spans="1:5" x14ac:dyDescent="0.25">
      <c r="A355" t="str">
        <f>HYPERLINK("https://www.773grp.com/globalSearch/BZX84C15LT3/page-1", "BZX84C15LT3")</f>
        <v>BZX84C15LT3</v>
      </c>
      <c r="B355" s="3" t="str">
        <f>HYPERLINK("https://www.773grp.com/manufacturer/onsemi?pageNo=354", "Onsemi")</f>
        <v>Onsemi</v>
      </c>
      <c r="C355" s="6">
        <v>90000</v>
      </c>
      <c r="D355" s="7">
        <v>0.23</v>
      </c>
      <c r="E355" t="s">
        <v>77</v>
      </c>
    </row>
    <row r="356" spans="1:5" x14ac:dyDescent="0.25">
      <c r="A356" t="str">
        <f>HYPERLINK("https://www.773grp.com/globalSearch/BZX84C24LT3G/page-1", "BZX84C24LT3G")</f>
        <v>BZX84C24LT3G</v>
      </c>
      <c r="B356" s="3" t="str">
        <f>HYPERLINK("https://www.773grp.com/manufacturer/onsemi?pageNo=355", "Onsemi")</f>
        <v>Onsemi</v>
      </c>
      <c r="C356" s="6">
        <v>58824</v>
      </c>
      <c r="D356" s="7">
        <v>0.23</v>
      </c>
      <c r="E356" t="s">
        <v>77</v>
      </c>
    </row>
    <row r="357" spans="1:5" x14ac:dyDescent="0.25">
      <c r="A357" t="str">
        <f>HYPERLINK("https://www.773grp.com/globalSearch/BZX84C27LT3G/page-1", "BZX84C27LT3G")</f>
        <v>BZX84C27LT3G</v>
      </c>
      <c r="B357" s="3" t="str">
        <f>HYPERLINK("https://www.773grp.com/manufacturer/onsemi?pageNo=356", "Onsemi")</f>
        <v>Onsemi</v>
      </c>
      <c r="C357" s="6">
        <v>260000</v>
      </c>
      <c r="D357" s="7">
        <v>0.23</v>
      </c>
      <c r="E357" t="s">
        <v>77</v>
      </c>
    </row>
    <row r="358" spans="1:5" x14ac:dyDescent="0.25">
      <c r="A358" t="str">
        <f>HYPERLINK("https://www.773grp.com/globalSearch/BZX84C5V6LT1/page-1", "BZX84C5V6LT1")</f>
        <v>BZX84C5V6LT1</v>
      </c>
      <c r="B358" s="3" t="str">
        <f>HYPERLINK("https://www.773grp.com/manufacturer/onsemi?pageNo=357", "Onsemi")</f>
        <v>Onsemi</v>
      </c>
      <c r="C358" s="6">
        <v>153000</v>
      </c>
      <c r="D358" s="7">
        <v>0.23</v>
      </c>
      <c r="E358" t="s">
        <v>77</v>
      </c>
    </row>
    <row r="359" spans="1:5" x14ac:dyDescent="0.25">
      <c r="A359" t="str">
        <f>HYPERLINK("https://www.773grp.com/globalSearch/BZX84C8V2LT3G/page-1", "BZX84C8V2LT3G")</f>
        <v>BZX84C8V2LT3G</v>
      </c>
      <c r="B359" s="3" t="str">
        <f>HYPERLINK("https://www.773grp.com/manufacturer/onsemi?pageNo=358", "Onsemi")</f>
        <v>Onsemi</v>
      </c>
      <c r="C359" s="6">
        <v>80000</v>
      </c>
      <c r="D359" s="7">
        <v>0.23</v>
      </c>
    </row>
    <row r="360" spans="1:5" x14ac:dyDescent="0.25">
      <c r="A360" t="str">
        <f>HYPERLINK("https://www.773grp.com/globalSearch/DA121TT1/page-1", "DA121TT1")</f>
        <v>DA121TT1</v>
      </c>
      <c r="B360" s="3" t="str">
        <f>HYPERLINK("https://www.773grp.com/manufacturer/onsemi?pageNo=359", "Onsemi")</f>
        <v>Onsemi</v>
      </c>
      <c r="C360" s="6">
        <v>3000</v>
      </c>
      <c r="D360" s="7">
        <v>0.23</v>
      </c>
      <c r="E360" t="s">
        <v>73</v>
      </c>
    </row>
    <row r="361" spans="1:5" x14ac:dyDescent="0.25">
      <c r="A361" t="str">
        <f>HYPERLINK("https://www.773grp.com/globalSearch/DAN222T1/page-1", "DAN222T1")</f>
        <v>DAN222T1</v>
      </c>
      <c r="B361" s="3" t="str">
        <f>HYPERLINK("https://www.773grp.com/manufacturer/onsemi?pageNo=360", "Onsemi")</f>
        <v>Onsemi</v>
      </c>
      <c r="C361" s="6">
        <v>855000</v>
      </c>
      <c r="D361" s="7">
        <v>0.23</v>
      </c>
      <c r="E361" t="s">
        <v>73</v>
      </c>
    </row>
    <row r="362" spans="1:5" x14ac:dyDescent="0.25">
      <c r="A362" t="str">
        <f>HYPERLINK("https://www.773grp.com/globalSearch/DAP222/page-1", "DAP222")</f>
        <v>DAP222</v>
      </c>
      <c r="B362" s="3" t="str">
        <f>HYPERLINK("https://www.773grp.com/manufacturer/onsemi?pageNo=361", "Onsemi")</f>
        <v>Onsemi</v>
      </c>
      <c r="C362" s="6">
        <v>1551000</v>
      </c>
      <c r="D362" s="7">
        <v>0.23</v>
      </c>
      <c r="E362" t="s">
        <v>73</v>
      </c>
    </row>
    <row r="363" spans="1:5" x14ac:dyDescent="0.25">
      <c r="A363" t="str">
        <f>HYPERLINK("https://www.773grp.com/globalSearch/DAP222T1/page-1", "DAP222T1")</f>
        <v>DAP222T1</v>
      </c>
      <c r="B363" s="3" t="str">
        <f>HYPERLINK("https://www.773grp.com/manufacturer/onsemi?pageNo=362", "Onsemi")</f>
        <v>Onsemi</v>
      </c>
      <c r="C363" s="6">
        <v>1415981</v>
      </c>
      <c r="D363" s="7">
        <v>0.23</v>
      </c>
      <c r="E363" t="s">
        <v>73</v>
      </c>
    </row>
    <row r="364" spans="1:5" x14ac:dyDescent="0.25">
      <c r="A364" t="str">
        <f>HYPERLINK("https://www.773grp.com/globalSearch/DF3A6.8FUT1/page-1", "DF3A6.8FUT1")</f>
        <v>DF3A6.8FUT1</v>
      </c>
      <c r="B364" s="3" t="str">
        <f>HYPERLINK("https://www.773grp.com/manufacturer/onsemi?pageNo=363", "Onsemi")</f>
        <v>Onsemi</v>
      </c>
      <c r="C364" s="6">
        <v>3000</v>
      </c>
      <c r="D364" s="7">
        <v>0.23</v>
      </c>
      <c r="E364" t="s">
        <v>75</v>
      </c>
    </row>
    <row r="365" spans="1:5" x14ac:dyDescent="0.25">
      <c r="A365" t="str">
        <f>HYPERLINK("https://www.773grp.com/globalSearch/DTA144TXV3T1/page-1", "DTA144TXV3T1")</f>
        <v>DTA144TXV3T1</v>
      </c>
      <c r="B365" s="3" t="str">
        <f>HYPERLINK("https://www.773grp.com/manufacturer/onsemi?pageNo=364", "Onsemi")</f>
        <v>Onsemi</v>
      </c>
      <c r="C365" s="6">
        <v>96000</v>
      </c>
      <c r="D365" s="7">
        <v>0.23</v>
      </c>
      <c r="E365" t="s">
        <v>57</v>
      </c>
    </row>
    <row r="366" spans="1:5" x14ac:dyDescent="0.25">
      <c r="A366" t="str">
        <f>HYPERLINK("https://www.773grp.com/globalSearch/DTA144WXV3T1/page-1", "DTA144WXV3T1")</f>
        <v>DTA144WXV3T1</v>
      </c>
      <c r="B366" s="3" t="str">
        <f>HYPERLINK("https://www.773grp.com/manufacturer/onsemi?pageNo=365", "Onsemi")</f>
        <v>Onsemi</v>
      </c>
      <c r="C366" s="6">
        <v>36000</v>
      </c>
      <c r="D366" s="7">
        <v>0.23</v>
      </c>
      <c r="E366" t="s">
        <v>57</v>
      </c>
    </row>
    <row r="367" spans="1:5" x14ac:dyDescent="0.25">
      <c r="A367" t="str">
        <f>HYPERLINK("https://www.773grp.com/globalSearch/DTC114EXV3T1/page-1", "DTC114EXV3T1")</f>
        <v>DTC114EXV3T1</v>
      </c>
      <c r="B367" s="3" t="str">
        <f>HYPERLINK("https://www.773grp.com/manufacturer/onsemi?pageNo=366", "Onsemi")</f>
        <v>Onsemi</v>
      </c>
      <c r="C367" s="6">
        <v>99000</v>
      </c>
      <c r="D367" s="7">
        <v>0.23</v>
      </c>
      <c r="E367" t="s">
        <v>57</v>
      </c>
    </row>
    <row r="368" spans="1:5" x14ac:dyDescent="0.25">
      <c r="A368" t="str">
        <f>HYPERLINK("https://www.773grp.com/globalSearch/DTC114YRLRM/page-1", "DTC114YRLRM")</f>
        <v>DTC114YRLRM</v>
      </c>
      <c r="B368" s="3" t="str">
        <f>HYPERLINK("https://www.773grp.com/manufacturer/onsemi?pageNo=367", "Onsemi")</f>
        <v>Onsemi</v>
      </c>
      <c r="C368" s="6">
        <v>4000</v>
      </c>
      <c r="D368" s="7">
        <v>0.23</v>
      </c>
      <c r="E368" t="s">
        <v>57</v>
      </c>
    </row>
    <row r="369" spans="1:5" x14ac:dyDescent="0.25">
      <c r="A369" t="str">
        <f>HYPERLINK("https://www.773grp.com/globalSearch/DTC143TM3T5/page-1", "DTC143TM3T5")</f>
        <v>DTC143TM3T5</v>
      </c>
      <c r="B369" s="3" t="str">
        <f>HYPERLINK("https://www.773grp.com/manufacturer/onsemi?pageNo=368", "Onsemi")</f>
        <v>Onsemi</v>
      </c>
      <c r="C369" s="6">
        <v>8000</v>
      </c>
      <c r="D369" s="7">
        <v>0.23</v>
      </c>
    </row>
    <row r="370" spans="1:5" x14ac:dyDescent="0.25">
      <c r="A370" t="str">
        <f>HYPERLINK("https://www.773grp.com/globalSearch/DTC143TM3T5H/page-1", "DTC143TM3T5H")</f>
        <v>DTC143TM3T5H</v>
      </c>
      <c r="B370" s="3" t="str">
        <f>HYPERLINK("https://www.773grp.com/manufacturer/onsemi?pageNo=369", "Onsemi")</f>
        <v>Onsemi</v>
      </c>
      <c r="C370" s="6">
        <v>8000</v>
      </c>
      <c r="D370" s="7">
        <v>0.23</v>
      </c>
    </row>
    <row r="371" spans="1:5" x14ac:dyDescent="0.25">
      <c r="A371" t="str">
        <f>HYPERLINK("https://www.773grp.com/globalSearch/EMF18XV6T5/page-1", "EMF18XV6T5")</f>
        <v>EMF18XV6T5</v>
      </c>
      <c r="B371" s="3" t="str">
        <f>HYPERLINK("https://www.773grp.com/manufacturer/onsemi?pageNo=370", "Onsemi")</f>
        <v>Onsemi</v>
      </c>
      <c r="C371" s="6">
        <v>88000</v>
      </c>
      <c r="D371" s="7">
        <v>0.23</v>
      </c>
      <c r="E371" t="s">
        <v>57</v>
      </c>
    </row>
    <row r="372" spans="1:5" x14ac:dyDescent="0.25">
      <c r="A372" t="str">
        <f>HYPERLINK("https://www.773grp.com/globalSearch/EMF23XV6T5/page-1", "EMF23XV6T5")</f>
        <v>EMF23XV6T5</v>
      </c>
      <c r="B372" s="3" t="str">
        <f>HYPERLINK("https://www.773grp.com/manufacturer/onsemi?pageNo=371", "Onsemi")</f>
        <v>Onsemi</v>
      </c>
      <c r="C372" s="6">
        <v>96000</v>
      </c>
      <c r="D372" s="7">
        <v>0.23</v>
      </c>
      <c r="E372" t="s">
        <v>57</v>
      </c>
    </row>
    <row r="373" spans="1:5" x14ac:dyDescent="0.25">
      <c r="A373" t="str">
        <f>HYPERLINK("https://www.773grp.com/globalSearch/EMF5XV6T5/page-1", "EMF5XV6T5")</f>
        <v>EMF5XV6T5</v>
      </c>
      <c r="B373" s="3" t="str">
        <f>HYPERLINK("https://www.773grp.com/manufacturer/onsemi?pageNo=372", "Onsemi")</f>
        <v>Onsemi</v>
      </c>
      <c r="C373" s="6">
        <v>1048000</v>
      </c>
      <c r="D373" s="7">
        <v>0.23</v>
      </c>
      <c r="E373" t="s">
        <v>57</v>
      </c>
    </row>
    <row r="374" spans="1:5" x14ac:dyDescent="0.25">
      <c r="A374" t="str">
        <f>HYPERLINK("https://www.773grp.com/globalSearch/ESD5Z12T1G/page-1", "ESD5Z12T1G")</f>
        <v>ESD5Z12T1G</v>
      </c>
      <c r="B374" s="3" t="str">
        <f>HYPERLINK("https://www.773grp.com/manufacturer/onsemi?pageNo=373", "Onsemi")</f>
        <v>Onsemi</v>
      </c>
      <c r="C374" s="6">
        <v>550873</v>
      </c>
      <c r="D374" s="7">
        <v>0.23</v>
      </c>
      <c r="E374" t="s">
        <v>75</v>
      </c>
    </row>
    <row r="375" spans="1:5" x14ac:dyDescent="0.25">
      <c r="A375" t="str">
        <f>HYPERLINK("https://www.773grp.com/globalSearch/ESD5Z2.5T1G/page-1", "ESD5Z2.5T1G")</f>
        <v>ESD5Z2.5T1G</v>
      </c>
      <c r="B375" s="3" t="str">
        <f>HYPERLINK("https://www.773grp.com/manufacturer/onsemi?pageNo=374", "Onsemi")</f>
        <v>Onsemi</v>
      </c>
      <c r="C375" s="6">
        <v>194910</v>
      </c>
      <c r="D375" s="7">
        <v>0.23</v>
      </c>
      <c r="E375" t="s">
        <v>75</v>
      </c>
    </row>
    <row r="376" spans="1:5" x14ac:dyDescent="0.25">
      <c r="A376" t="str">
        <f>HYPERLINK("https://www.773grp.com/globalSearch/ESD5Z3.3T1G/page-1", "ESD5Z3.3T1G")</f>
        <v>ESD5Z3.3T1G</v>
      </c>
      <c r="B376" s="3" t="str">
        <f>HYPERLINK("https://www.773grp.com/manufacturer/onsemi?pageNo=375", "Onsemi")</f>
        <v>Onsemi</v>
      </c>
      <c r="C376" s="6">
        <v>88000</v>
      </c>
      <c r="D376" s="7">
        <v>0.23</v>
      </c>
      <c r="E376" t="s">
        <v>75</v>
      </c>
    </row>
    <row r="377" spans="1:5" x14ac:dyDescent="0.25">
      <c r="A377" t="str">
        <f>HYPERLINK("https://www.773grp.com/globalSearch/ESD5Z5.0T1G/page-1", "ESD5Z5.0T1G")</f>
        <v>ESD5Z5.0T1G</v>
      </c>
      <c r="B377" s="3" t="str">
        <f>HYPERLINK("https://www.773grp.com/manufacturer/onsemi?pageNo=376", "Onsemi")</f>
        <v>Onsemi</v>
      </c>
      <c r="C377" s="6">
        <v>1650000</v>
      </c>
      <c r="D377" s="7">
        <v>0.23</v>
      </c>
      <c r="E377" t="s">
        <v>75</v>
      </c>
    </row>
    <row r="378" spans="1:5" x14ac:dyDescent="0.25">
      <c r="A378" t="str">
        <f>HYPERLINK("https://www.773grp.com/globalSearch/ESD5Z6.0T1G/page-1", "ESD5Z6.0T1G")</f>
        <v>ESD5Z6.0T1G</v>
      </c>
      <c r="B378" s="3" t="str">
        <f>HYPERLINK("https://www.773grp.com/manufacturer/onsemi?pageNo=377", "Onsemi")</f>
        <v>Onsemi</v>
      </c>
      <c r="C378" s="6">
        <v>36000</v>
      </c>
      <c r="D378" s="7">
        <v>0.23</v>
      </c>
      <c r="E378" t="s">
        <v>75</v>
      </c>
    </row>
    <row r="379" spans="1:5" x14ac:dyDescent="0.25">
      <c r="A379" t="str">
        <f>HYPERLINK("https://www.773grp.com/globalSearch/ESD9B3.3ST5G/page-1", "ESD9B3.3ST5G")</f>
        <v>ESD9B3.3ST5G</v>
      </c>
      <c r="B379" s="3" t="str">
        <f>HYPERLINK("https://www.773grp.com/manufacturer/onsemi?pageNo=378", "Onsemi")</f>
        <v>Onsemi</v>
      </c>
      <c r="C379" s="6">
        <v>792000</v>
      </c>
      <c r="D379" s="7">
        <v>0.23</v>
      </c>
      <c r="E379" t="s">
        <v>75</v>
      </c>
    </row>
    <row r="380" spans="1:5" x14ac:dyDescent="0.25">
      <c r="A380" t="str">
        <f>HYPERLINK("https://www.773grp.com/globalSearch/ESD9P5.0ST5G/page-1", "ESD9P5.0ST5G")</f>
        <v>ESD9P5.0ST5G</v>
      </c>
      <c r="B380" s="3" t="str">
        <f>HYPERLINK("https://www.773grp.com/manufacturer/onsemi?pageNo=379", "Onsemi")</f>
        <v>Onsemi</v>
      </c>
      <c r="C380" s="6">
        <v>23353</v>
      </c>
      <c r="D380" s="7">
        <v>0.23</v>
      </c>
      <c r="E380" t="s">
        <v>75</v>
      </c>
    </row>
    <row r="381" spans="1:5" x14ac:dyDescent="0.25">
      <c r="A381" t="str">
        <f>HYPERLINK("https://www.773grp.com/globalSearch/ESD9X5.0ST5G/page-1", "ESD9X5.0ST5G")</f>
        <v>ESD9X5.0ST5G</v>
      </c>
      <c r="B381" s="3" t="str">
        <f>HYPERLINK("https://www.773grp.com/manufacturer/onsemi?pageNo=380", "Onsemi")</f>
        <v>Onsemi</v>
      </c>
      <c r="C381" s="6">
        <v>1412869</v>
      </c>
      <c r="D381" s="7">
        <v>0.23</v>
      </c>
      <c r="E381" t="s">
        <v>75</v>
      </c>
    </row>
    <row r="382" spans="1:5" x14ac:dyDescent="0.25">
      <c r="A382" t="str">
        <f>HYPERLINK("https://www.773grp.com/globalSearch/J111RLRP/page-1", "J111RLRP")</f>
        <v>J111RLRP</v>
      </c>
      <c r="B382" s="3" t="str">
        <f>HYPERLINK("https://www.773grp.com/manufacturer/onsemi?pageNo=381", "Onsemi")</f>
        <v>Onsemi</v>
      </c>
      <c r="C382" s="6">
        <v>127000</v>
      </c>
      <c r="D382" s="7">
        <v>0.23</v>
      </c>
      <c r="E382" t="s">
        <v>85</v>
      </c>
    </row>
    <row r="383" spans="1:5" x14ac:dyDescent="0.25">
      <c r="A383" t="str">
        <f>HYPERLINK("https://www.773grp.com/globalSearch/M1MA151WKT1/page-1", "M1MA151WKT1")</f>
        <v>M1MA151WKT1</v>
      </c>
      <c r="B383" s="3" t="str">
        <f>HYPERLINK("https://www.773grp.com/manufacturer/onsemi?pageNo=382", "Onsemi")</f>
        <v>Onsemi</v>
      </c>
      <c r="C383" s="6">
        <v>129000</v>
      </c>
      <c r="D383" s="7">
        <v>0.23</v>
      </c>
    </row>
    <row r="384" spans="1:5" x14ac:dyDescent="0.25">
      <c r="A384" t="str">
        <f>HYPERLINK("https://www.773grp.com/globalSearch/M1MA152WAT1G/page-1", "M1MA152WAT1G")</f>
        <v>M1MA152WAT1G</v>
      </c>
      <c r="B384" s="3" t="str">
        <f>HYPERLINK("https://www.773grp.com/manufacturer/onsemi?pageNo=383", "Onsemi")</f>
        <v>Onsemi</v>
      </c>
      <c r="C384" s="6">
        <v>434450</v>
      </c>
      <c r="D384" s="7">
        <v>0.23</v>
      </c>
      <c r="E384" t="s">
        <v>73</v>
      </c>
    </row>
    <row r="385" spans="1:5" x14ac:dyDescent="0.25">
      <c r="A385" t="str">
        <f>HYPERLINK("https://www.773grp.com/globalSearch/M1MA152WKT1G/page-1", "M1MA152WKT1G")</f>
        <v>M1MA152WKT1G</v>
      </c>
      <c r="B385" s="3" t="str">
        <f>HYPERLINK("https://www.773grp.com/manufacturer/onsemi?pageNo=384", "Onsemi")</f>
        <v>Onsemi</v>
      </c>
      <c r="C385" s="6">
        <v>508970</v>
      </c>
      <c r="D385" s="7">
        <v>0.23</v>
      </c>
      <c r="E385" t="s">
        <v>73</v>
      </c>
    </row>
    <row r="386" spans="1:5" x14ac:dyDescent="0.25">
      <c r="A386" t="str">
        <f>HYPERLINK("https://www.773grp.com/globalSearch/MBD301G/page-1", "MBD301G")</f>
        <v>MBD301G</v>
      </c>
      <c r="B386" s="3" t="str">
        <f>HYPERLINK("https://www.773grp.com/manufacturer/onsemi?pageNo=385", "Onsemi")</f>
        <v>Onsemi</v>
      </c>
      <c r="C386" s="6">
        <v>79228</v>
      </c>
      <c r="D386" s="7">
        <v>0.23</v>
      </c>
      <c r="E386" t="s">
        <v>87</v>
      </c>
    </row>
    <row r="387" spans="1:5" x14ac:dyDescent="0.25">
      <c r="A387" t="str">
        <f>HYPERLINK("https://www.773grp.com/globalSearch/MBD330DWT1G/page-1", "MBD330DWT1G")</f>
        <v>MBD330DWT1G</v>
      </c>
      <c r="B387" s="3" t="str">
        <f>HYPERLINK("https://www.773grp.com/manufacturer/onsemi?pageNo=386", "Onsemi")</f>
        <v>Onsemi</v>
      </c>
      <c r="C387" s="6">
        <v>24000</v>
      </c>
      <c r="D387" s="7">
        <v>0.23</v>
      </c>
      <c r="E387" t="s">
        <v>87</v>
      </c>
    </row>
    <row r="388" spans="1:5" x14ac:dyDescent="0.25">
      <c r="A388" t="str">
        <f>HYPERLINK("https://www.773grp.com/globalSearch/MBD770DWT1G/page-1", "MBD770DWT1G")</f>
        <v>MBD770DWT1G</v>
      </c>
      <c r="B388" s="3" t="str">
        <f>HYPERLINK("https://www.773grp.com/manufacturer/onsemi?pageNo=387", "Onsemi")</f>
        <v>Onsemi</v>
      </c>
      <c r="C388" s="6">
        <v>429915</v>
      </c>
      <c r="D388" s="7">
        <v>0.23</v>
      </c>
      <c r="E388" t="s">
        <v>87</v>
      </c>
    </row>
    <row r="389" spans="1:5" x14ac:dyDescent="0.25">
      <c r="A389" t="str">
        <f>HYPERLINK("https://www.773grp.com/globalSearch/MBR160/page-1", "MBR160")</f>
        <v>MBR160</v>
      </c>
      <c r="B389" s="3" t="str">
        <f>HYPERLINK("https://www.773grp.com/manufacturer/onsemi?pageNo=388", "Onsemi")</f>
        <v>Onsemi</v>
      </c>
      <c r="C389" s="6">
        <v>5010</v>
      </c>
      <c r="D389" s="7">
        <v>0.23</v>
      </c>
      <c r="E389" t="s">
        <v>73</v>
      </c>
    </row>
    <row r="390" spans="1:5" x14ac:dyDescent="0.25">
      <c r="A390" t="str">
        <f>HYPERLINK("https://www.773grp.com/globalSearch/MBRA120ET3/page-1", "MBRA120ET3")</f>
        <v>MBRA120ET3</v>
      </c>
      <c r="B390" s="3" t="str">
        <f>HYPERLINK("https://www.773grp.com/manufacturer/onsemi?pageNo=389", "Onsemi")</f>
        <v>Onsemi</v>
      </c>
      <c r="C390" s="6">
        <v>4055</v>
      </c>
      <c r="D390" s="7">
        <v>0.23</v>
      </c>
      <c r="E390" t="s">
        <v>73</v>
      </c>
    </row>
    <row r="391" spans="1:5" x14ac:dyDescent="0.25">
      <c r="A391" t="str">
        <f>HYPERLINK("https://www.773grp.com/globalSearch/MBT2222ADW1T1G/page-1", "MBT2222ADW1T1G")</f>
        <v>MBT2222ADW1T1G</v>
      </c>
      <c r="B391" s="3" t="str">
        <f>HYPERLINK("https://www.773grp.com/manufacturer/onsemi?pageNo=390", "Onsemi")</f>
        <v>Onsemi</v>
      </c>
      <c r="C391" s="6">
        <v>978000</v>
      </c>
      <c r="D391" s="7">
        <v>0.23</v>
      </c>
      <c r="E391" t="s">
        <v>57</v>
      </c>
    </row>
    <row r="392" spans="1:5" x14ac:dyDescent="0.25">
      <c r="A392" t="str">
        <f>HYPERLINK("https://www.773grp.com/globalSearch/MBT3904DW1T1G/page-1", "MBT3904DW1T1G")</f>
        <v>MBT3904DW1T1G</v>
      </c>
      <c r="B392" s="3" t="str">
        <f>HYPERLINK("https://www.773grp.com/manufacturer/onsemi?pageNo=391", "Onsemi")</f>
        <v>Onsemi</v>
      </c>
      <c r="C392" s="6">
        <v>87631</v>
      </c>
      <c r="D392" s="7">
        <v>0.23</v>
      </c>
      <c r="E392" t="s">
        <v>57</v>
      </c>
    </row>
    <row r="393" spans="1:5" x14ac:dyDescent="0.25">
      <c r="A393" t="str">
        <f>HYPERLINK("https://www.773grp.com/globalSearch/MBT3906DW1T1G/page-1", "MBT3906DW1T1G")</f>
        <v>MBT3906DW1T1G</v>
      </c>
      <c r="B393" s="3" t="str">
        <f>HYPERLINK("https://www.773grp.com/manufacturer/onsemi?pageNo=392", "Onsemi")</f>
        <v>Onsemi</v>
      </c>
      <c r="C393" s="6">
        <v>498000</v>
      </c>
      <c r="D393" s="7">
        <v>0.23</v>
      </c>
      <c r="E393" t="s">
        <v>57</v>
      </c>
    </row>
    <row r="394" spans="1:5" x14ac:dyDescent="0.25">
      <c r="A394" t="str">
        <f>HYPERLINK("https://www.773grp.com/globalSearch/MBT3946DW1T1G/page-1", "MBT3946DW1T1G")</f>
        <v>MBT3946DW1T1G</v>
      </c>
      <c r="B394" s="3" t="str">
        <f>HYPERLINK("https://www.773grp.com/manufacturer/onsemi?pageNo=393", "Onsemi")</f>
        <v>Onsemi</v>
      </c>
      <c r="C394" s="6">
        <v>6000</v>
      </c>
      <c r="D394" s="7">
        <v>0.23</v>
      </c>
      <c r="E394" t="s">
        <v>57</v>
      </c>
    </row>
    <row r="395" spans="1:5" x14ac:dyDescent="0.25">
      <c r="A395" t="str">
        <f>HYPERLINK("https://www.773grp.com/globalSearch/MBT3946DW1T2G/page-1", "MBT3946DW1T2G")</f>
        <v>MBT3946DW1T2G</v>
      </c>
      <c r="B395" s="3" t="str">
        <f>HYPERLINK("https://www.773grp.com/manufacturer/onsemi?pageNo=394", "Onsemi")</f>
        <v>Onsemi</v>
      </c>
      <c r="C395" s="6">
        <v>2658955</v>
      </c>
      <c r="D395" s="7">
        <v>0.23</v>
      </c>
      <c r="E395" t="s">
        <v>57</v>
      </c>
    </row>
    <row r="396" spans="1:5" x14ac:dyDescent="0.25">
      <c r="A396" t="str">
        <f>HYPERLINK("https://www.773grp.com/globalSearch/MBT6429DW1T1G/page-1", "MBT6429DW1T1G")</f>
        <v>MBT6429DW1T1G</v>
      </c>
      <c r="B396" s="3" t="str">
        <f>HYPERLINK("https://www.773grp.com/manufacturer/onsemi?pageNo=395", "Onsemi")</f>
        <v>Onsemi</v>
      </c>
      <c r="C396" s="6">
        <v>302082</v>
      </c>
      <c r="D396" s="7">
        <v>0.23</v>
      </c>
      <c r="E396" t="s">
        <v>57</v>
      </c>
    </row>
    <row r="397" spans="1:5" x14ac:dyDescent="0.25">
      <c r="A397" t="str">
        <f>HYPERLINK("https://www.773grp.com/globalSearch/MC74HC1G00DFT2/page-1", "MC74HC1G00DFT2")</f>
        <v>MC74HC1G00DFT2</v>
      </c>
      <c r="B397" s="3" t="str">
        <f>HYPERLINK("https://www.773grp.com/manufacturer/onsemi?pageNo=396", "Onsemi")</f>
        <v>Onsemi</v>
      </c>
      <c r="C397" s="6">
        <v>6000</v>
      </c>
      <c r="D397" s="7">
        <v>0.23</v>
      </c>
      <c r="E397" t="s">
        <v>27</v>
      </c>
    </row>
    <row r="398" spans="1:5" x14ac:dyDescent="0.25">
      <c r="A398" t="str">
        <f>HYPERLINK("https://www.773grp.com/globalSearch/MC74HC1G00DTT1/page-1", "MC74HC1G00DTT1")</f>
        <v>MC74HC1G00DTT1</v>
      </c>
      <c r="B398" s="3" t="str">
        <f>HYPERLINK("https://www.773grp.com/manufacturer/onsemi?pageNo=397", "Onsemi")</f>
        <v>Onsemi</v>
      </c>
      <c r="C398" s="6">
        <v>5970</v>
      </c>
      <c r="D398" s="7">
        <v>0.23</v>
      </c>
      <c r="E398" t="s">
        <v>27</v>
      </c>
    </row>
    <row r="399" spans="1:5" x14ac:dyDescent="0.25">
      <c r="A399" t="str">
        <f>HYPERLINK("https://www.773grp.com/globalSearch/MC74HC1G02DFT2/page-1", "MC74HC1G02DFT2")</f>
        <v>MC74HC1G02DFT2</v>
      </c>
      <c r="B399" s="3" t="str">
        <f>HYPERLINK("https://www.773grp.com/manufacturer/onsemi?pageNo=398", "Onsemi")</f>
        <v>Onsemi</v>
      </c>
      <c r="C399" s="6">
        <v>15000</v>
      </c>
      <c r="D399" s="7">
        <v>0.23</v>
      </c>
      <c r="E399" t="s">
        <v>27</v>
      </c>
    </row>
    <row r="400" spans="1:5" x14ac:dyDescent="0.25">
      <c r="A400" t="str">
        <f>HYPERLINK("https://www.773grp.com/globalSearch/MC74HC1G02DTT1/page-1", "MC74HC1G02DTT1")</f>
        <v>MC74HC1G02DTT1</v>
      </c>
      <c r="B400" s="3" t="str">
        <f>HYPERLINK("https://www.773grp.com/manufacturer/onsemi?pageNo=399", "Onsemi")</f>
        <v>Onsemi</v>
      </c>
      <c r="C400" s="6">
        <v>2955</v>
      </c>
      <c r="D400" s="7">
        <v>0.23</v>
      </c>
      <c r="E400" t="s">
        <v>27</v>
      </c>
    </row>
    <row r="401" spans="1:5" x14ac:dyDescent="0.25">
      <c r="A401" t="str">
        <f>HYPERLINK("https://www.773grp.com/globalSearch/MC74HC1G04DFT1/page-1", "MC74HC1G04DFT1")</f>
        <v>MC74HC1G04DFT1</v>
      </c>
      <c r="B401" s="3" t="str">
        <f>HYPERLINK("https://www.773grp.com/manufacturer/onsemi?pageNo=400", "Onsemi")</f>
        <v>Onsemi</v>
      </c>
      <c r="C401" s="6">
        <v>92530</v>
      </c>
      <c r="D401" s="7">
        <v>0.23</v>
      </c>
      <c r="E401" t="s">
        <v>27</v>
      </c>
    </row>
    <row r="402" spans="1:5" x14ac:dyDescent="0.25">
      <c r="A402" t="str">
        <f>HYPERLINK("https://www.773grp.com/globalSearch/MC74HC1G04DFT2/page-1", "MC74HC1G04DFT2")</f>
        <v>MC74HC1G04DFT2</v>
      </c>
      <c r="B402" s="3" t="str">
        <f>HYPERLINK("https://www.773grp.com/manufacturer/onsemi?pageNo=401", "Onsemi")</f>
        <v>Onsemi</v>
      </c>
      <c r="C402" s="6">
        <v>291000</v>
      </c>
      <c r="D402" s="7">
        <v>0.23</v>
      </c>
      <c r="E402" t="s">
        <v>27</v>
      </c>
    </row>
    <row r="403" spans="1:5" x14ac:dyDescent="0.25">
      <c r="A403" t="str">
        <f>HYPERLINK("https://www.773grp.com/globalSearch/MC74HC1G08DFT1/page-1", "MC74HC1G08DFT1")</f>
        <v>MC74HC1G08DFT1</v>
      </c>
      <c r="B403" s="3" t="str">
        <f>HYPERLINK("https://www.773grp.com/manufacturer/onsemi?pageNo=402", "Onsemi")</f>
        <v>Onsemi</v>
      </c>
      <c r="C403" s="6">
        <v>120000</v>
      </c>
      <c r="D403" s="7">
        <v>0.23</v>
      </c>
      <c r="E403" t="s">
        <v>27</v>
      </c>
    </row>
    <row r="404" spans="1:5" x14ac:dyDescent="0.25">
      <c r="A404" t="str">
        <f>HYPERLINK("https://www.773grp.com/globalSearch/MC74HC1G08DFT2/page-1", "MC74HC1G08DFT2")</f>
        <v>MC74HC1G08DFT2</v>
      </c>
      <c r="B404" s="3" t="str">
        <f>HYPERLINK("https://www.773grp.com/manufacturer/onsemi?pageNo=403", "Onsemi")</f>
        <v>Onsemi</v>
      </c>
      <c r="C404" s="6">
        <v>137234</v>
      </c>
      <c r="D404" s="7">
        <v>0.23</v>
      </c>
      <c r="E404" t="s">
        <v>27</v>
      </c>
    </row>
    <row r="405" spans="1:5" x14ac:dyDescent="0.25">
      <c r="A405" t="str">
        <f>HYPERLINK("https://www.773grp.com/globalSearch/MC74HC1G14DFT1/page-1", "MC74HC1G14DFT1")</f>
        <v>MC74HC1G14DFT1</v>
      </c>
      <c r="B405" s="3" t="str">
        <f>HYPERLINK("https://www.773grp.com/manufacturer/onsemi?pageNo=404", "Onsemi")</f>
        <v>Onsemi</v>
      </c>
      <c r="C405" s="6">
        <v>26320</v>
      </c>
      <c r="D405" s="7">
        <v>0.23</v>
      </c>
      <c r="E405" t="s">
        <v>27</v>
      </c>
    </row>
    <row r="406" spans="1:5" x14ac:dyDescent="0.25">
      <c r="A406" t="str">
        <f>HYPERLINK("https://www.773grp.com/globalSearch/MC74HC1G14DFT2/page-1", "MC74HC1G14DFT2")</f>
        <v>MC74HC1G14DFT2</v>
      </c>
      <c r="B406" s="3" t="str">
        <f>HYPERLINK("https://www.773grp.com/manufacturer/onsemi?pageNo=405", "Onsemi")</f>
        <v>Onsemi</v>
      </c>
      <c r="C406" s="6">
        <v>60000</v>
      </c>
      <c r="D406" s="7">
        <v>0.23</v>
      </c>
      <c r="E406" t="s">
        <v>27</v>
      </c>
    </row>
    <row r="407" spans="1:5" x14ac:dyDescent="0.25">
      <c r="A407" t="str">
        <f>HYPERLINK("https://www.773grp.com/globalSearch/MC74HC1G14DTT1/page-1", "MC74HC1G14DTT1")</f>
        <v>MC74HC1G14DTT1</v>
      </c>
      <c r="B407" s="3" t="str">
        <f>HYPERLINK("https://www.773grp.com/manufacturer/onsemi?pageNo=406", "Onsemi")</f>
        <v>Onsemi</v>
      </c>
      <c r="C407" s="6">
        <v>210000</v>
      </c>
      <c r="D407" s="7">
        <v>0.23</v>
      </c>
      <c r="E407" t="s">
        <v>27</v>
      </c>
    </row>
    <row r="408" spans="1:5" x14ac:dyDescent="0.25">
      <c r="A408" t="str">
        <f>HYPERLINK("https://www.773grp.com/globalSearch/MC74HC1G32DFT2/page-1", "MC74HC1G32DFT2")</f>
        <v>MC74HC1G32DFT2</v>
      </c>
      <c r="B408" s="3" t="str">
        <f>HYPERLINK("https://www.773grp.com/manufacturer/onsemi?pageNo=407", "Onsemi")</f>
        <v>Onsemi</v>
      </c>
      <c r="C408" s="6">
        <v>5670</v>
      </c>
      <c r="D408" s="7">
        <v>0.23</v>
      </c>
      <c r="E408" t="s">
        <v>27</v>
      </c>
    </row>
    <row r="409" spans="1:5" x14ac:dyDescent="0.25">
      <c r="A409" t="str">
        <f>HYPERLINK("https://www.773grp.com/globalSearch/MC74HC1G32DTT1/page-1", "MC74HC1G32DTT1")</f>
        <v>MC74HC1G32DTT1</v>
      </c>
      <c r="B409" s="3" t="str">
        <f>HYPERLINK("https://www.773grp.com/manufacturer/onsemi?pageNo=408", "Onsemi")</f>
        <v>Onsemi</v>
      </c>
      <c r="C409" s="6">
        <v>23775</v>
      </c>
      <c r="D409" s="7">
        <v>0.23</v>
      </c>
      <c r="E409" t="s">
        <v>27</v>
      </c>
    </row>
    <row r="410" spans="1:5" x14ac:dyDescent="0.25">
      <c r="A410" t="str">
        <f>HYPERLINK("https://www.773grp.com/globalSearch/MC74HC1GU04DFT1/page-1", "MC74HC1GU04DFT1")</f>
        <v>MC74HC1GU04DFT1</v>
      </c>
      <c r="B410" s="3" t="str">
        <f>HYPERLINK("https://www.773grp.com/manufacturer/onsemi?pageNo=409", "Onsemi")</f>
        <v>Onsemi</v>
      </c>
      <c r="C410" s="6">
        <v>18000</v>
      </c>
      <c r="D410" s="7">
        <v>0.23</v>
      </c>
      <c r="E410" t="s">
        <v>27</v>
      </c>
    </row>
    <row r="411" spans="1:5" x14ac:dyDescent="0.25">
      <c r="A411" t="str">
        <f>HYPERLINK("https://www.773grp.com/globalSearch/MC74LVQ04DR2/page-1", "MC74LVQ04DR2")</f>
        <v>MC74LVQ04DR2</v>
      </c>
      <c r="B411" s="3" t="str">
        <f>HYPERLINK("https://www.773grp.com/manufacturer/onsemi?pageNo=410", "Onsemi")</f>
        <v>Onsemi</v>
      </c>
      <c r="C411" s="6">
        <v>20000</v>
      </c>
      <c r="D411" s="7">
        <v>0.23</v>
      </c>
    </row>
    <row r="412" spans="1:5" x14ac:dyDescent="0.25">
      <c r="A412" t="str">
        <f>HYPERLINK("https://www.773grp.com/globalSearch/MC74VHC1G00DFT1/page-1", "MC74VHC1G00DFT1")</f>
        <v>MC74VHC1G00DFT1</v>
      </c>
      <c r="B412" s="3" t="str">
        <f>HYPERLINK("https://www.773grp.com/manufacturer/onsemi?pageNo=411", "Onsemi")</f>
        <v>Onsemi</v>
      </c>
      <c r="C412" s="6">
        <v>26940</v>
      </c>
      <c r="D412" s="7">
        <v>0.23</v>
      </c>
      <c r="E412" t="s">
        <v>27</v>
      </c>
    </row>
    <row r="413" spans="1:5" x14ac:dyDescent="0.25">
      <c r="A413" t="str">
        <f>HYPERLINK("https://www.773grp.com/globalSearch/MC74VHC1G00DFT2/page-1", "MC74VHC1G00DFT2")</f>
        <v>MC74VHC1G00DFT2</v>
      </c>
      <c r="B413" s="3" t="str">
        <f>HYPERLINK("https://www.773grp.com/manufacturer/onsemi?pageNo=412", "Onsemi")</f>
        <v>Onsemi</v>
      </c>
      <c r="C413" s="6">
        <v>99000</v>
      </c>
      <c r="D413" s="7">
        <v>0.23</v>
      </c>
      <c r="E413" t="s">
        <v>27</v>
      </c>
    </row>
    <row r="414" spans="1:5" x14ac:dyDescent="0.25">
      <c r="A414" t="str">
        <f>HYPERLINK("https://www.773grp.com/globalSearch/MC74VHC1G00DTT1/page-1", "MC74VHC1G00DTT1")</f>
        <v>MC74VHC1G00DTT1</v>
      </c>
      <c r="B414" s="3" t="str">
        <f>HYPERLINK("https://www.773grp.com/manufacturer/onsemi?pageNo=413", "Onsemi")</f>
        <v>Onsemi</v>
      </c>
      <c r="C414" s="6">
        <v>179748</v>
      </c>
      <c r="D414" s="7">
        <v>0.23</v>
      </c>
      <c r="E414" t="s">
        <v>27</v>
      </c>
    </row>
    <row r="415" spans="1:5" x14ac:dyDescent="0.25">
      <c r="A415" t="str">
        <f>HYPERLINK("https://www.773grp.com/globalSearch/MC74VHC1G01DTT1/page-1", "MC74VHC1G01DTT1")</f>
        <v>MC74VHC1G01DTT1</v>
      </c>
      <c r="B415" s="3" t="str">
        <f>HYPERLINK("https://www.773grp.com/manufacturer/onsemi?pageNo=414", "Onsemi")</f>
        <v>Onsemi</v>
      </c>
      <c r="C415" s="6">
        <v>27000</v>
      </c>
      <c r="D415" s="7">
        <v>0.23</v>
      </c>
      <c r="E415" t="s">
        <v>27</v>
      </c>
    </row>
    <row r="416" spans="1:5" x14ac:dyDescent="0.25">
      <c r="A416" t="str">
        <f>HYPERLINK("https://www.773grp.com/globalSearch/MC74VHC1G02DFT1/page-1", "MC74VHC1G02DFT1")</f>
        <v>MC74VHC1G02DFT1</v>
      </c>
      <c r="B416" s="3" t="str">
        <f>HYPERLINK("https://www.773grp.com/manufacturer/onsemi?pageNo=415", "Onsemi")</f>
        <v>Onsemi</v>
      </c>
      <c r="C416" s="6">
        <v>12000</v>
      </c>
      <c r="D416" s="7">
        <v>0.23</v>
      </c>
      <c r="E416" t="s">
        <v>27</v>
      </c>
    </row>
    <row r="417" spans="1:5" x14ac:dyDescent="0.25">
      <c r="A417" t="str">
        <f>HYPERLINK("https://www.773grp.com/globalSearch/MC74VHC1G02DFT2/page-1", "MC74VHC1G02DFT2")</f>
        <v>MC74VHC1G02DFT2</v>
      </c>
      <c r="B417" s="3" t="str">
        <f>HYPERLINK("https://www.773grp.com/manufacturer/onsemi?pageNo=416", "Onsemi")</f>
        <v>Onsemi</v>
      </c>
      <c r="C417" s="6">
        <v>5240</v>
      </c>
      <c r="D417" s="7">
        <v>0.23</v>
      </c>
      <c r="E417" t="s">
        <v>27</v>
      </c>
    </row>
    <row r="418" spans="1:5" x14ac:dyDescent="0.25">
      <c r="A418" t="str">
        <f>HYPERLINK("https://www.773grp.com/globalSearch/MC74VHC1G02DTT1/page-1", "MC74VHC1G02DTT1")</f>
        <v>MC74VHC1G02DTT1</v>
      </c>
      <c r="B418" s="3" t="str">
        <f>HYPERLINK("https://www.773grp.com/manufacturer/onsemi?pageNo=417", "Onsemi")</f>
        <v>Onsemi</v>
      </c>
      <c r="C418" s="6">
        <v>80441</v>
      </c>
      <c r="D418" s="7">
        <v>0.23</v>
      </c>
      <c r="E418" t="s">
        <v>27</v>
      </c>
    </row>
    <row r="419" spans="1:5" x14ac:dyDescent="0.25">
      <c r="A419" t="str">
        <f>HYPERLINK("https://www.773grp.com/globalSearch/MC74VHC1G03DFT1/page-1", "MC74VHC1G03DFT1")</f>
        <v>MC74VHC1G03DFT1</v>
      </c>
      <c r="B419" s="3" t="str">
        <f>HYPERLINK("https://www.773grp.com/manufacturer/onsemi?pageNo=418", "Onsemi")</f>
        <v>Onsemi</v>
      </c>
      <c r="C419" s="6">
        <v>45000</v>
      </c>
      <c r="D419" s="7">
        <v>0.23</v>
      </c>
      <c r="E419" t="s">
        <v>27</v>
      </c>
    </row>
    <row r="420" spans="1:5" x14ac:dyDescent="0.25">
      <c r="A420" t="str">
        <f>HYPERLINK("https://www.773grp.com/globalSearch/MC74VHC1G03DFT2/page-1", "MC74VHC1G03DFT2")</f>
        <v>MC74VHC1G03DFT2</v>
      </c>
      <c r="B420" s="3" t="str">
        <f>HYPERLINK("https://www.773grp.com/manufacturer/onsemi?pageNo=419", "Onsemi")</f>
        <v>Onsemi</v>
      </c>
      <c r="C420" s="6">
        <v>72000</v>
      </c>
      <c r="D420" s="7">
        <v>0.23</v>
      </c>
      <c r="E420" t="s">
        <v>27</v>
      </c>
    </row>
    <row r="421" spans="1:5" x14ac:dyDescent="0.25">
      <c r="A421" t="str">
        <f>HYPERLINK("https://www.773grp.com/globalSearch/MC74VHC1G03DTT1/page-1", "MC74VHC1G03DTT1")</f>
        <v>MC74VHC1G03DTT1</v>
      </c>
      <c r="B421" s="3" t="str">
        <f>HYPERLINK("https://www.773grp.com/manufacturer/onsemi?pageNo=420", "Onsemi")</f>
        <v>Onsemi</v>
      </c>
      <c r="C421" s="6">
        <v>38941</v>
      </c>
      <c r="D421" s="7">
        <v>0.23</v>
      </c>
      <c r="E421" t="s">
        <v>27</v>
      </c>
    </row>
    <row r="422" spans="1:5" x14ac:dyDescent="0.25">
      <c r="A422" t="str">
        <f>HYPERLINK("https://www.773grp.com/globalSearch/MC74VHC1G04DFT2/page-1", "MC74VHC1G04DFT2")</f>
        <v>MC74VHC1G04DFT2</v>
      </c>
      <c r="B422" s="3" t="str">
        <f>HYPERLINK("https://www.773grp.com/manufacturer/onsemi?pageNo=421", "Onsemi")</f>
        <v>Onsemi</v>
      </c>
      <c r="C422" s="6">
        <v>128896</v>
      </c>
      <c r="D422" s="7">
        <v>0.23</v>
      </c>
      <c r="E422" t="s">
        <v>27</v>
      </c>
    </row>
    <row r="423" spans="1:5" x14ac:dyDescent="0.25">
      <c r="A423" t="str">
        <f>HYPERLINK("https://www.773grp.com/globalSearch/MC74VHC1G04DTT1/page-1", "MC74VHC1G04DTT1")</f>
        <v>MC74VHC1G04DTT1</v>
      </c>
      <c r="B423" s="3" t="str">
        <f>HYPERLINK("https://www.773grp.com/manufacturer/onsemi?pageNo=422", "Onsemi")</f>
        <v>Onsemi</v>
      </c>
      <c r="C423" s="6">
        <v>21000</v>
      </c>
      <c r="D423" s="7">
        <v>0.23</v>
      </c>
      <c r="E423" t="s">
        <v>27</v>
      </c>
    </row>
    <row r="424" spans="1:5" x14ac:dyDescent="0.25">
      <c r="A424" t="str">
        <f>HYPERLINK("https://www.773grp.com/globalSearch/MC74VHC1G05DFT1/page-1", "MC74VHC1G05DFT1")</f>
        <v>MC74VHC1G05DFT1</v>
      </c>
      <c r="B424" s="3" t="str">
        <f>HYPERLINK("https://www.773grp.com/manufacturer/onsemi?pageNo=423", "Onsemi")</f>
        <v>Onsemi</v>
      </c>
      <c r="C424" s="6">
        <v>57000</v>
      </c>
      <c r="D424" s="7">
        <v>0.23</v>
      </c>
      <c r="E424" t="s">
        <v>27</v>
      </c>
    </row>
    <row r="425" spans="1:5" x14ac:dyDescent="0.25">
      <c r="A425" t="str">
        <f>HYPERLINK("https://www.773grp.com/globalSearch/MC74VHC1G05DFT2/page-1", "MC74VHC1G05DFT2")</f>
        <v>MC74VHC1G05DFT2</v>
      </c>
      <c r="B425" s="3" t="str">
        <f>HYPERLINK("https://www.773grp.com/manufacturer/onsemi?pageNo=424", "Onsemi")</f>
        <v>Onsemi</v>
      </c>
      <c r="C425" s="6">
        <v>74994</v>
      </c>
      <c r="D425" s="7">
        <v>0.23</v>
      </c>
      <c r="E425" t="s">
        <v>27</v>
      </c>
    </row>
    <row r="426" spans="1:5" x14ac:dyDescent="0.25">
      <c r="A426" t="str">
        <f>HYPERLINK("https://www.773grp.com/globalSearch/MC74VHC1G05DTT1/page-1", "MC74VHC1G05DTT1")</f>
        <v>MC74VHC1G05DTT1</v>
      </c>
      <c r="B426" s="3" t="str">
        <f>HYPERLINK("https://www.773grp.com/manufacturer/onsemi?pageNo=425", "Onsemi")</f>
        <v>Onsemi</v>
      </c>
      <c r="C426" s="6">
        <v>41885</v>
      </c>
      <c r="D426" s="7">
        <v>0.23</v>
      </c>
      <c r="E426" t="s">
        <v>27</v>
      </c>
    </row>
    <row r="427" spans="1:5" x14ac:dyDescent="0.25">
      <c r="A427" t="str">
        <f>HYPERLINK("https://www.773grp.com/globalSearch/MC74VHC1G07DFT1/page-1", "MC74VHC1G07DFT1")</f>
        <v>MC74VHC1G07DFT1</v>
      </c>
      <c r="B427" s="3" t="str">
        <f>HYPERLINK("https://www.773grp.com/manufacturer/onsemi?pageNo=426", "Onsemi")</f>
        <v>Onsemi</v>
      </c>
      <c r="C427" s="6">
        <v>54000</v>
      </c>
      <c r="D427" s="7">
        <v>0.23</v>
      </c>
      <c r="E427" t="s">
        <v>27</v>
      </c>
    </row>
    <row r="428" spans="1:5" x14ac:dyDescent="0.25">
      <c r="A428" t="str">
        <f>HYPERLINK("https://www.773grp.com/globalSearch/MC74VHC1G07DFT2/page-1", "MC74VHC1G07DFT2")</f>
        <v>MC74VHC1G07DFT2</v>
      </c>
      <c r="B428" s="3" t="str">
        <f>HYPERLINK("https://www.773grp.com/manufacturer/onsemi?pageNo=427", "Onsemi")</f>
        <v>Onsemi</v>
      </c>
      <c r="C428" s="6">
        <v>20820</v>
      </c>
      <c r="D428" s="7">
        <v>0.23</v>
      </c>
      <c r="E428" t="s">
        <v>27</v>
      </c>
    </row>
    <row r="429" spans="1:5" x14ac:dyDescent="0.25">
      <c r="A429" t="str">
        <f>HYPERLINK("https://www.773grp.com/globalSearch/MC74VHC1G07DTT1/page-1", "MC74VHC1G07DTT1")</f>
        <v>MC74VHC1G07DTT1</v>
      </c>
      <c r="B429" s="3" t="str">
        <f>HYPERLINK("https://www.773grp.com/manufacturer/onsemi?pageNo=428", "Onsemi")</f>
        <v>Onsemi</v>
      </c>
      <c r="C429" s="6">
        <v>2240</v>
      </c>
      <c r="D429" s="7">
        <v>0.23</v>
      </c>
      <c r="E429" t="s">
        <v>27</v>
      </c>
    </row>
    <row r="430" spans="1:5" x14ac:dyDescent="0.25">
      <c r="A430" t="str">
        <f>HYPERLINK("https://www.773grp.com/globalSearch/MC74VHC1G08DFT1/page-1", "MC74VHC1G08DFT1")</f>
        <v>MC74VHC1G08DFT1</v>
      </c>
      <c r="B430" s="3" t="str">
        <f>HYPERLINK("https://www.773grp.com/manufacturer/onsemi?pageNo=429", "Onsemi")</f>
        <v>Onsemi</v>
      </c>
      <c r="C430" s="6">
        <v>122210</v>
      </c>
      <c r="D430" s="7">
        <v>0.23</v>
      </c>
      <c r="E430" t="s">
        <v>27</v>
      </c>
    </row>
    <row r="431" spans="1:5" x14ac:dyDescent="0.25">
      <c r="A431" t="str">
        <f>HYPERLINK("https://www.773grp.com/globalSearch/MC74VHC1G08DFT2/page-1", "MC74VHC1G08DFT2")</f>
        <v>MC74VHC1G08DFT2</v>
      </c>
      <c r="B431" s="3" t="str">
        <f>HYPERLINK("https://www.773grp.com/manufacturer/onsemi?pageNo=430", "Onsemi")</f>
        <v>Onsemi</v>
      </c>
      <c r="C431" s="6">
        <v>83368</v>
      </c>
      <c r="D431" s="7">
        <v>0.23</v>
      </c>
      <c r="E431" t="s">
        <v>27</v>
      </c>
    </row>
    <row r="432" spans="1:5" x14ac:dyDescent="0.25">
      <c r="A432" t="str">
        <f>HYPERLINK("https://www.773grp.com/globalSearch/MC74VHC1G08DTT1/page-1", "MC74VHC1G08DTT1")</f>
        <v>MC74VHC1G08DTT1</v>
      </c>
      <c r="B432" s="3" t="str">
        <f>HYPERLINK("https://www.773grp.com/manufacturer/onsemi?pageNo=431", "Onsemi")</f>
        <v>Onsemi</v>
      </c>
      <c r="C432" s="6">
        <v>14455</v>
      </c>
      <c r="D432" s="7">
        <v>0.23</v>
      </c>
      <c r="E432" t="s">
        <v>27</v>
      </c>
    </row>
    <row r="433" spans="1:5" x14ac:dyDescent="0.25">
      <c r="A433" t="str">
        <f>HYPERLINK("https://www.773grp.com/globalSearch/MC74VHC1G09DFT1/page-1", "MC74VHC1G09DFT1")</f>
        <v>MC74VHC1G09DFT1</v>
      </c>
      <c r="B433" s="3" t="str">
        <f>HYPERLINK("https://www.773grp.com/manufacturer/onsemi?pageNo=432", "Onsemi")</f>
        <v>Onsemi</v>
      </c>
      <c r="C433" s="6">
        <v>3000</v>
      </c>
      <c r="D433" s="7">
        <v>0.23</v>
      </c>
      <c r="E433" t="s">
        <v>27</v>
      </c>
    </row>
    <row r="434" spans="1:5" x14ac:dyDescent="0.25">
      <c r="A434" t="str">
        <f>HYPERLINK("https://www.773grp.com/globalSearch/MC74VHC1G09DTT1/page-1", "MC74VHC1G09DTT1")</f>
        <v>MC74VHC1G09DTT1</v>
      </c>
      <c r="B434" s="3" t="str">
        <f>HYPERLINK("https://www.773grp.com/manufacturer/onsemi?pageNo=433", "Onsemi")</f>
        <v>Onsemi</v>
      </c>
      <c r="C434" s="6">
        <v>84000</v>
      </c>
      <c r="D434" s="7">
        <v>0.23</v>
      </c>
      <c r="E434" t="s">
        <v>27</v>
      </c>
    </row>
    <row r="435" spans="1:5" x14ac:dyDescent="0.25">
      <c r="A435" t="str">
        <f>HYPERLINK("https://www.773grp.com/globalSearch/MC74VHC1G132DFT1/page-1", "MC74VHC1G132DFT1")</f>
        <v>MC74VHC1G132DFT1</v>
      </c>
      <c r="B435" s="3" t="str">
        <f>HYPERLINK("https://www.773grp.com/manufacturer/onsemi?pageNo=434", "Onsemi")</f>
        <v>Onsemi</v>
      </c>
      <c r="C435" s="6">
        <v>1506000</v>
      </c>
      <c r="D435" s="7">
        <v>0.23</v>
      </c>
      <c r="E435" t="s">
        <v>27</v>
      </c>
    </row>
    <row r="436" spans="1:5" x14ac:dyDescent="0.25">
      <c r="A436" t="str">
        <f>HYPERLINK("https://www.773grp.com/globalSearch/MC74VHC1G132DFT2/page-1", "MC74VHC1G132DFT2")</f>
        <v>MC74VHC1G132DFT2</v>
      </c>
      <c r="B436" s="3" t="str">
        <f>HYPERLINK("https://www.773grp.com/manufacturer/onsemi?pageNo=435", "Onsemi")</f>
        <v>Onsemi</v>
      </c>
      <c r="C436" s="6">
        <v>234000</v>
      </c>
      <c r="D436" s="7">
        <v>0.23</v>
      </c>
      <c r="E436" t="s">
        <v>27</v>
      </c>
    </row>
    <row r="437" spans="1:5" x14ac:dyDescent="0.25">
      <c r="A437" t="str">
        <f>HYPERLINK("https://www.773grp.com/globalSearch/MC74VHC1G132DT1G/page-1", "MC74VHC1G132DT1G")</f>
        <v>MC74VHC1G132DT1G</v>
      </c>
      <c r="B437" s="3" t="str">
        <f>HYPERLINK("https://www.773grp.com/manufacturer/onsemi?pageNo=436", "Onsemi")</f>
        <v>Onsemi</v>
      </c>
      <c r="C437" s="6">
        <v>9000</v>
      </c>
      <c r="D437" s="7">
        <v>0.23</v>
      </c>
    </row>
    <row r="438" spans="1:5" x14ac:dyDescent="0.25">
      <c r="A438" t="str">
        <f>HYPERLINK("https://www.773grp.com/globalSearch/MC74VHC1G132DTT1/page-1", "MC74VHC1G132DTT1")</f>
        <v>MC74VHC1G132DTT1</v>
      </c>
      <c r="B438" s="3" t="str">
        <f>HYPERLINK("https://www.773grp.com/manufacturer/onsemi?pageNo=437", "Onsemi")</f>
        <v>Onsemi</v>
      </c>
      <c r="C438" s="6">
        <v>95925</v>
      </c>
      <c r="D438" s="7">
        <v>0.23</v>
      </c>
      <c r="E438" t="s">
        <v>27</v>
      </c>
    </row>
    <row r="439" spans="1:5" x14ac:dyDescent="0.25">
      <c r="A439" t="str">
        <f>HYPERLINK("https://www.773grp.com/globalSearch/MC74VHC1G135DFT1/page-1", "MC74VHC1G135DFT1")</f>
        <v>MC74VHC1G135DFT1</v>
      </c>
      <c r="B439" s="3" t="str">
        <f>HYPERLINK("https://www.773grp.com/manufacturer/onsemi?pageNo=438", "Onsemi")</f>
        <v>Onsemi</v>
      </c>
      <c r="C439" s="6">
        <v>66000</v>
      </c>
      <c r="D439" s="7">
        <v>0.23</v>
      </c>
      <c r="E439" t="s">
        <v>27</v>
      </c>
    </row>
    <row r="440" spans="1:5" x14ac:dyDescent="0.25">
      <c r="A440" t="str">
        <f>HYPERLINK("https://www.773grp.com/globalSearch/MC74VHC1G135DT1G/page-1", "MC74VHC1G135DT1G")</f>
        <v>MC74VHC1G135DT1G</v>
      </c>
      <c r="B440" s="3" t="str">
        <f>HYPERLINK("https://www.773grp.com/manufacturer/onsemi?pageNo=439", "Onsemi")</f>
        <v>Onsemi</v>
      </c>
      <c r="C440" s="6">
        <v>39000</v>
      </c>
      <c r="D440" s="7">
        <v>0.23</v>
      </c>
    </row>
    <row r="441" spans="1:5" x14ac:dyDescent="0.25">
      <c r="A441" t="str">
        <f>HYPERLINK("https://www.773grp.com/globalSearch/MC74VHC1G135DTT1/page-1", "MC74VHC1G135DTT1")</f>
        <v>MC74VHC1G135DTT1</v>
      </c>
      <c r="B441" s="3" t="str">
        <f>HYPERLINK("https://www.773grp.com/manufacturer/onsemi?pageNo=440", "Onsemi")</f>
        <v>Onsemi</v>
      </c>
      <c r="C441" s="6">
        <v>74935</v>
      </c>
      <c r="D441" s="7">
        <v>0.23</v>
      </c>
      <c r="E441" t="s">
        <v>27</v>
      </c>
    </row>
    <row r="442" spans="1:5" x14ac:dyDescent="0.25">
      <c r="A442" t="str">
        <f>HYPERLINK("https://www.773grp.com/globalSearch/MC74VHC1G14DFT1/page-1", "MC74VHC1G14DFT1")</f>
        <v>MC74VHC1G14DFT1</v>
      </c>
      <c r="B442" s="3" t="str">
        <f>HYPERLINK("https://www.773grp.com/manufacturer/onsemi?pageNo=441", "Onsemi")</f>
        <v>Onsemi</v>
      </c>
      <c r="C442" s="6">
        <v>84000</v>
      </c>
      <c r="D442" s="7">
        <v>0.23</v>
      </c>
      <c r="E442" t="s">
        <v>27</v>
      </c>
    </row>
    <row r="443" spans="1:5" x14ac:dyDescent="0.25">
      <c r="A443" t="str">
        <f>HYPERLINK("https://www.773grp.com/globalSearch/MC74VHC1G14DFT2/page-1", "MC74VHC1G14DFT2")</f>
        <v>MC74VHC1G14DFT2</v>
      </c>
      <c r="B443" s="3" t="str">
        <f>HYPERLINK("https://www.773grp.com/manufacturer/onsemi?pageNo=442", "Onsemi")</f>
        <v>Onsemi</v>
      </c>
      <c r="C443" s="6">
        <v>3000</v>
      </c>
      <c r="D443" s="7">
        <v>0.23</v>
      </c>
      <c r="E443" t="s">
        <v>27</v>
      </c>
    </row>
    <row r="444" spans="1:5" x14ac:dyDescent="0.25">
      <c r="A444" t="str">
        <f>HYPERLINK("https://www.773grp.com/globalSearch/MC74VHC1G32DFT1/page-1", "MC74VHC1G32DFT1")</f>
        <v>MC74VHC1G32DFT1</v>
      </c>
      <c r="B444" s="3" t="str">
        <f>HYPERLINK("https://www.773grp.com/manufacturer/onsemi?pageNo=443", "Onsemi")</f>
        <v>Onsemi</v>
      </c>
      <c r="C444" s="6">
        <v>2527</v>
      </c>
      <c r="D444" s="7">
        <v>0.23</v>
      </c>
      <c r="E444" t="s">
        <v>27</v>
      </c>
    </row>
    <row r="445" spans="1:5" x14ac:dyDescent="0.25">
      <c r="A445" t="str">
        <f>HYPERLINK("https://www.773grp.com/globalSearch/MC74VHC1G32DFT2/page-1", "MC74VHC1G32DFT2")</f>
        <v>MC74VHC1G32DFT2</v>
      </c>
      <c r="B445" s="3" t="str">
        <f>HYPERLINK("https://www.773grp.com/manufacturer/onsemi?pageNo=444", "Onsemi")</f>
        <v>Onsemi</v>
      </c>
      <c r="C445" s="6">
        <v>2189366</v>
      </c>
      <c r="D445" s="7">
        <v>0.23</v>
      </c>
      <c r="E445" t="s">
        <v>27</v>
      </c>
    </row>
    <row r="446" spans="1:5" x14ac:dyDescent="0.25">
      <c r="A446" t="str">
        <f>HYPERLINK("https://www.773grp.com/globalSearch/MC74VHC1G32DTT1/page-1", "MC74VHC1G32DTT1")</f>
        <v>MC74VHC1G32DTT1</v>
      </c>
      <c r="B446" s="3" t="str">
        <f>HYPERLINK("https://www.773grp.com/manufacturer/onsemi?pageNo=445", "Onsemi")</f>
        <v>Onsemi</v>
      </c>
      <c r="C446" s="6">
        <v>78000</v>
      </c>
      <c r="D446" s="7">
        <v>0.23</v>
      </c>
      <c r="E446" t="s">
        <v>27</v>
      </c>
    </row>
    <row r="447" spans="1:5" x14ac:dyDescent="0.25">
      <c r="A447" t="str">
        <f>HYPERLINK("https://www.773grp.com/globalSearch/MC74VHC1G50DTT1/page-1", "MC74VHC1G50DTT1")</f>
        <v>MC74VHC1G50DTT1</v>
      </c>
      <c r="B447" s="3" t="str">
        <f>HYPERLINK("https://www.773grp.com/manufacturer/onsemi?pageNo=446", "Onsemi")</f>
        <v>Onsemi</v>
      </c>
      <c r="C447" s="6">
        <v>20375</v>
      </c>
      <c r="D447" s="7">
        <v>0.23</v>
      </c>
      <c r="E447" t="s">
        <v>27</v>
      </c>
    </row>
    <row r="448" spans="1:5" x14ac:dyDescent="0.25">
      <c r="A448" t="str">
        <f>HYPERLINK("https://www.773grp.com/globalSearch/MC74VHC1G66DFT1/page-1", "MC74VHC1G66DFT1")</f>
        <v>MC74VHC1G66DFT1</v>
      </c>
      <c r="B448" s="3" t="str">
        <f>HYPERLINK("https://www.773grp.com/manufacturer/onsemi?pageNo=447", "Onsemi")</f>
        <v>Onsemi</v>
      </c>
      <c r="C448" s="6">
        <v>120000</v>
      </c>
      <c r="D448" s="7">
        <v>0.23</v>
      </c>
      <c r="E448" t="s">
        <v>46</v>
      </c>
    </row>
    <row r="449" spans="1:5" x14ac:dyDescent="0.25">
      <c r="A449" t="str">
        <f>HYPERLINK("https://www.773grp.com/globalSearch/MC74VHC1G86DFT1/page-1", "MC74VHC1G86DFT1")</f>
        <v>MC74VHC1G86DFT1</v>
      </c>
      <c r="B449" s="3" t="str">
        <f>HYPERLINK("https://www.773grp.com/manufacturer/onsemi?pageNo=448", "Onsemi")</f>
        <v>Onsemi</v>
      </c>
      <c r="C449" s="6">
        <v>102000</v>
      </c>
      <c r="D449" s="7">
        <v>0.23</v>
      </c>
      <c r="E449" t="s">
        <v>27</v>
      </c>
    </row>
    <row r="450" spans="1:5" x14ac:dyDescent="0.25">
      <c r="A450" t="str">
        <f>HYPERLINK("https://www.773grp.com/globalSearch/MC74VHC1G86DTT1/page-1", "MC74VHC1G86DTT1")</f>
        <v>MC74VHC1G86DTT1</v>
      </c>
      <c r="B450" s="3" t="str">
        <f>HYPERLINK("https://www.773grp.com/manufacturer/onsemi?pageNo=449", "Onsemi")</f>
        <v>Onsemi</v>
      </c>
      <c r="C450" s="6">
        <v>3320</v>
      </c>
      <c r="D450" s="7">
        <v>0.23</v>
      </c>
      <c r="E450" t="s">
        <v>27</v>
      </c>
    </row>
    <row r="451" spans="1:5" x14ac:dyDescent="0.25">
      <c r="A451" t="str">
        <f>HYPERLINK("https://www.773grp.com/globalSearch/MC74VHC1GT/page-1", "MC74VHC1GT")</f>
        <v>MC74VHC1GT</v>
      </c>
      <c r="B451" s="3" t="str">
        <f>HYPERLINK("https://www.773grp.com/manufacturer/onsemi?pageNo=450", "Onsemi")</f>
        <v>Onsemi</v>
      </c>
      <c r="C451" s="6">
        <v>3000</v>
      </c>
      <c r="D451" s="7">
        <v>0.23</v>
      </c>
    </row>
    <row r="452" spans="1:5" x14ac:dyDescent="0.25">
      <c r="A452" t="str">
        <f>HYPERLINK("https://www.773grp.com/globalSearch/MC74VHC1GT00DTT1/page-1", "MC74VHC1GT00DTT1")</f>
        <v>MC74VHC1GT00DTT1</v>
      </c>
      <c r="B452" s="3" t="str">
        <f>HYPERLINK("https://www.773grp.com/manufacturer/onsemi?pageNo=451", "Onsemi")</f>
        <v>Onsemi</v>
      </c>
      <c r="C452" s="6">
        <v>111000</v>
      </c>
      <c r="D452" s="7">
        <v>0.23</v>
      </c>
      <c r="E452" t="s">
        <v>27</v>
      </c>
    </row>
    <row r="453" spans="1:5" x14ac:dyDescent="0.25">
      <c r="A453" t="str">
        <f>HYPERLINK("https://www.773grp.com/globalSearch/MC74VHC1GT02DFT1/page-1", "MC74VHC1GT02DFT1")</f>
        <v>MC74VHC1GT02DFT1</v>
      </c>
      <c r="B453" s="3" t="str">
        <f>HYPERLINK("https://www.773grp.com/manufacturer/onsemi?pageNo=452", "Onsemi")</f>
        <v>Onsemi</v>
      </c>
      <c r="C453" s="6">
        <v>10875</v>
      </c>
      <c r="D453" s="7">
        <v>0.23</v>
      </c>
      <c r="E453" t="s">
        <v>27</v>
      </c>
    </row>
    <row r="454" spans="1:5" x14ac:dyDescent="0.25">
      <c r="A454" t="str">
        <f>HYPERLINK("https://www.773grp.com/globalSearch/MC74VHC1GT02DTT1/page-1", "MC74VHC1GT02DTT1")</f>
        <v>MC74VHC1GT02DTT1</v>
      </c>
      <c r="B454" s="3" t="str">
        <f>HYPERLINK("https://www.773grp.com/manufacturer/onsemi?pageNo=453", "Onsemi")</f>
        <v>Onsemi</v>
      </c>
      <c r="C454" s="6">
        <v>11995</v>
      </c>
      <c r="D454" s="7">
        <v>0.23</v>
      </c>
      <c r="E454" t="s">
        <v>27</v>
      </c>
    </row>
    <row r="455" spans="1:5" x14ac:dyDescent="0.25">
      <c r="A455" t="str">
        <f>HYPERLINK("https://www.773grp.com/globalSearch/MC74VHC1GT04DFT1/page-1", "MC74VHC1GT04DFT1")</f>
        <v>MC74VHC1GT04DFT1</v>
      </c>
      <c r="B455" s="3" t="str">
        <f>HYPERLINK("https://www.773grp.com/manufacturer/onsemi?pageNo=454", "Onsemi")</f>
        <v>Onsemi</v>
      </c>
      <c r="C455" s="6">
        <v>168000</v>
      </c>
      <c r="D455" s="7">
        <v>0.23</v>
      </c>
      <c r="E455" t="s">
        <v>27</v>
      </c>
    </row>
    <row r="456" spans="1:5" x14ac:dyDescent="0.25">
      <c r="A456" t="str">
        <f>HYPERLINK("https://www.773grp.com/globalSearch/MC74VHC1GT04DFT2/page-1", "MC74VHC1GT04DFT2")</f>
        <v>MC74VHC1GT04DFT2</v>
      </c>
      <c r="B456" s="3" t="str">
        <f>HYPERLINK("https://www.773grp.com/manufacturer/onsemi?pageNo=455", "Onsemi")</f>
        <v>Onsemi</v>
      </c>
      <c r="C456" s="6">
        <v>14480</v>
      </c>
      <c r="D456" s="7">
        <v>0.23</v>
      </c>
      <c r="E456" t="s">
        <v>27</v>
      </c>
    </row>
    <row r="457" spans="1:5" x14ac:dyDescent="0.25">
      <c r="A457" t="str">
        <f>HYPERLINK("https://www.773grp.com/globalSearch/MC74VHC1GT08DFT1/page-1", "MC74VHC1GT08DFT1")</f>
        <v>MC74VHC1GT08DFT1</v>
      </c>
      <c r="B457" s="3" t="str">
        <f>HYPERLINK("https://www.773grp.com/manufacturer/onsemi?pageNo=456", "Onsemi")</f>
        <v>Onsemi</v>
      </c>
      <c r="C457" s="6">
        <v>150500</v>
      </c>
      <c r="D457" s="7">
        <v>0.23</v>
      </c>
      <c r="E457" t="s">
        <v>27</v>
      </c>
    </row>
    <row r="458" spans="1:5" x14ac:dyDescent="0.25">
      <c r="A458" t="str">
        <f>HYPERLINK("https://www.773grp.com/globalSearch/MC74VHC1GT08DFT2/page-1", "MC74VHC1GT08DFT2")</f>
        <v>MC74VHC1GT08DFT2</v>
      </c>
      <c r="B458" s="3" t="str">
        <f>HYPERLINK("https://www.773grp.com/manufacturer/onsemi?pageNo=457", "Onsemi")</f>
        <v>Onsemi</v>
      </c>
      <c r="C458" s="6">
        <v>44450</v>
      </c>
      <c r="D458" s="7">
        <v>0.23</v>
      </c>
      <c r="E458" t="s">
        <v>27</v>
      </c>
    </row>
    <row r="459" spans="1:5" x14ac:dyDescent="0.25">
      <c r="A459" t="str">
        <f>HYPERLINK("https://www.773grp.com/globalSearch/MC74VHC1GT08DTT1/page-1", "MC74VHC1GT08DTT1")</f>
        <v>MC74VHC1GT08DTT1</v>
      </c>
      <c r="B459" s="3" t="str">
        <f>HYPERLINK("https://www.773grp.com/manufacturer/onsemi?pageNo=458", "Onsemi")</f>
        <v>Onsemi</v>
      </c>
      <c r="C459" s="6">
        <v>21290</v>
      </c>
      <c r="D459" s="7">
        <v>0.23</v>
      </c>
      <c r="E459" t="s">
        <v>27</v>
      </c>
    </row>
    <row r="460" spans="1:5" x14ac:dyDescent="0.25">
      <c r="A460" t="str">
        <f>HYPERLINK("https://www.773grp.com/globalSearch/MC74VHC1GT14DFT1/page-1", "MC74VHC1GT14DFT1")</f>
        <v>MC74VHC1GT14DFT1</v>
      </c>
      <c r="B460" s="3" t="str">
        <f>HYPERLINK("https://www.773grp.com/manufacturer/onsemi?pageNo=459", "Onsemi")</f>
        <v>Onsemi</v>
      </c>
      <c r="C460" s="6">
        <v>206750</v>
      </c>
      <c r="D460" s="7">
        <v>0.23</v>
      </c>
      <c r="E460" t="s">
        <v>27</v>
      </c>
    </row>
    <row r="461" spans="1:5" x14ac:dyDescent="0.25">
      <c r="A461" t="str">
        <f>HYPERLINK("https://www.773grp.com/globalSearch/MC74VHC1GT14DFT2/page-1", "MC74VHC1GT14DFT2")</f>
        <v>MC74VHC1GT14DFT2</v>
      </c>
      <c r="B461" s="3" t="str">
        <f>HYPERLINK("https://www.773grp.com/manufacturer/onsemi?pageNo=460", "Onsemi")</f>
        <v>Onsemi</v>
      </c>
      <c r="C461" s="6">
        <v>1730670</v>
      </c>
      <c r="D461" s="7">
        <v>0.23</v>
      </c>
      <c r="E461" t="s">
        <v>27</v>
      </c>
    </row>
    <row r="462" spans="1:5" x14ac:dyDescent="0.25">
      <c r="A462" t="str">
        <f>HYPERLINK("https://www.773grp.com/globalSearch/MC74VHC1GT14DT1G/page-1", "MC74VHC1GT14DT1G")</f>
        <v>MC74VHC1GT14DT1G</v>
      </c>
      <c r="B462" s="3" t="str">
        <f>HYPERLINK("https://www.773grp.com/manufacturer/onsemi?pageNo=461", "Onsemi")</f>
        <v>Onsemi</v>
      </c>
      <c r="C462" s="6">
        <v>39000</v>
      </c>
      <c r="D462" s="7">
        <v>0.23</v>
      </c>
    </row>
    <row r="463" spans="1:5" x14ac:dyDescent="0.25">
      <c r="A463" t="str">
        <f>HYPERLINK("https://www.773grp.com/globalSearch/MC74VHC1GT50DFT1/page-1", "MC74VHC1GT50DFT1")</f>
        <v>MC74VHC1GT50DFT1</v>
      </c>
      <c r="B463" s="3" t="str">
        <f>HYPERLINK("https://www.773grp.com/manufacturer/onsemi?pageNo=462", "Onsemi")</f>
        <v>Onsemi</v>
      </c>
      <c r="C463" s="6">
        <v>156950</v>
      </c>
      <c r="D463" s="7">
        <v>0.23</v>
      </c>
      <c r="E463" t="s">
        <v>27</v>
      </c>
    </row>
    <row r="464" spans="1:5" x14ac:dyDescent="0.25">
      <c r="A464" t="str">
        <f>HYPERLINK("https://www.773grp.com/globalSearch/MC74VHC1GT50DFT2/page-1", "MC74VHC1GT50DFT2")</f>
        <v>MC74VHC1GT50DFT2</v>
      </c>
      <c r="B464" s="3" t="str">
        <f>HYPERLINK("https://www.773grp.com/manufacturer/onsemi?pageNo=463", "Onsemi")</f>
        <v>Onsemi</v>
      </c>
      <c r="C464" s="6">
        <v>935674</v>
      </c>
      <c r="D464" s="7">
        <v>0.23</v>
      </c>
      <c r="E464" t="s">
        <v>27</v>
      </c>
    </row>
    <row r="465" spans="1:5" x14ac:dyDescent="0.25">
      <c r="A465" t="str">
        <f>HYPERLINK("https://www.773grp.com/globalSearch/MC74VHC1GT50DTT1/page-1", "MC74VHC1GT50DTT1")</f>
        <v>MC74VHC1GT50DTT1</v>
      </c>
      <c r="B465" s="3" t="str">
        <f>HYPERLINK("https://www.773grp.com/manufacturer/onsemi?pageNo=464", "Onsemi")</f>
        <v>Onsemi</v>
      </c>
      <c r="C465" s="6">
        <v>176000</v>
      </c>
      <c r="D465" s="7">
        <v>0.23</v>
      </c>
      <c r="E465" t="s">
        <v>27</v>
      </c>
    </row>
    <row r="466" spans="1:5" x14ac:dyDescent="0.25">
      <c r="A466" t="str">
        <f>HYPERLINK("https://www.773grp.com/globalSearch/MC74VHC1GT66DFT1/page-1", "MC74VHC1GT66DFT1")</f>
        <v>MC74VHC1GT66DFT1</v>
      </c>
      <c r="B466" s="3" t="str">
        <f>HYPERLINK("https://www.773grp.com/manufacturer/onsemi?pageNo=465", "Onsemi")</f>
        <v>Onsemi</v>
      </c>
      <c r="C466" s="6">
        <v>573000</v>
      </c>
      <c r="D466" s="7">
        <v>0.23</v>
      </c>
      <c r="E466" t="s">
        <v>46</v>
      </c>
    </row>
    <row r="467" spans="1:5" x14ac:dyDescent="0.25">
      <c r="A467" t="str">
        <f>HYPERLINK("https://www.773grp.com/globalSearch/MC74VHC1GT66DTT1/page-1", "MC74VHC1GT66DTT1")</f>
        <v>MC74VHC1GT66DTT1</v>
      </c>
      <c r="B467" s="3" t="str">
        <f>HYPERLINK("https://www.773grp.com/manufacturer/onsemi?pageNo=466", "Onsemi")</f>
        <v>Onsemi</v>
      </c>
      <c r="C467" s="6">
        <v>36000</v>
      </c>
      <c r="D467" s="7">
        <v>0.23</v>
      </c>
      <c r="E467" t="s">
        <v>46</v>
      </c>
    </row>
    <row r="468" spans="1:5" x14ac:dyDescent="0.25">
      <c r="A468" t="str">
        <f>HYPERLINK("https://www.773grp.com/globalSearch/MC74VHC1GT86DFT2/page-1", "MC74VHC1GT86DFT2")</f>
        <v>MC74VHC1GT86DFT2</v>
      </c>
      <c r="B468" s="3" t="str">
        <f>HYPERLINK("https://www.773grp.com/manufacturer/onsemi?pageNo=467", "Onsemi")</f>
        <v>Onsemi</v>
      </c>
      <c r="C468" s="6">
        <v>66000</v>
      </c>
      <c r="D468" s="7">
        <v>0.23</v>
      </c>
      <c r="E468" t="s">
        <v>27</v>
      </c>
    </row>
    <row r="469" spans="1:5" x14ac:dyDescent="0.25">
      <c r="A469" t="str">
        <f>HYPERLINK("https://www.773grp.com/globalSearch/MC74VHC1GT86DT1G/page-1", "MC74VHC1GT86DT1G")</f>
        <v>MC74VHC1GT86DT1G</v>
      </c>
      <c r="B469" s="3" t="str">
        <f>HYPERLINK("https://www.773grp.com/manufacturer/onsemi?pageNo=468", "Onsemi")</f>
        <v>Onsemi</v>
      </c>
      <c r="C469" s="6">
        <v>33000</v>
      </c>
      <c r="D469" s="7">
        <v>0.23</v>
      </c>
      <c r="E469" t="s">
        <v>27</v>
      </c>
    </row>
    <row r="470" spans="1:5" x14ac:dyDescent="0.25">
      <c r="A470" t="str">
        <f>HYPERLINK("https://www.773grp.com/globalSearch/MC74VHC1GT86DTT1/page-1", "MC74VHC1GT86DTT1")</f>
        <v>MC74VHC1GT86DTT1</v>
      </c>
      <c r="B470" s="3" t="str">
        <f>HYPERLINK("https://www.773grp.com/manufacturer/onsemi?pageNo=469", "Onsemi")</f>
        <v>Onsemi</v>
      </c>
      <c r="C470" s="6">
        <v>3000</v>
      </c>
      <c r="D470" s="7">
        <v>0.23</v>
      </c>
      <c r="E470" t="s">
        <v>27</v>
      </c>
    </row>
    <row r="471" spans="1:5" x14ac:dyDescent="0.25">
      <c r="A471" t="str">
        <f>HYPERLINK("https://www.773grp.com/globalSearch/MC74VHC1GU04DFT2/page-1", "MC74VHC1GU04DFT2")</f>
        <v>MC74VHC1GU04DFT2</v>
      </c>
      <c r="B471" s="3" t="str">
        <f>HYPERLINK("https://www.773grp.com/manufacturer/onsemi?pageNo=470", "Onsemi")</f>
        <v>Onsemi</v>
      </c>
      <c r="C471" s="6">
        <v>837000</v>
      </c>
      <c r="D471" s="7">
        <v>0.23</v>
      </c>
      <c r="E471" t="s">
        <v>27</v>
      </c>
    </row>
    <row r="472" spans="1:5" x14ac:dyDescent="0.25">
      <c r="A472" t="str">
        <f>HYPERLINK("https://www.773grp.com/globalSearch/MMBD2835LT1G/page-1", "MMBD2835LT1G")</f>
        <v>MMBD2835LT1G</v>
      </c>
      <c r="B472" s="3" t="str">
        <f>HYPERLINK("https://www.773grp.com/manufacturer/onsemi?pageNo=471", "Onsemi")</f>
        <v>Onsemi</v>
      </c>
      <c r="C472" s="6">
        <v>191535</v>
      </c>
      <c r="D472" s="7">
        <v>0.23</v>
      </c>
      <c r="E472" t="s">
        <v>73</v>
      </c>
    </row>
    <row r="473" spans="1:5" x14ac:dyDescent="0.25">
      <c r="A473" t="str">
        <f>HYPERLINK("https://www.773grp.com/globalSearch/MMBD2836LT1G/page-1", "MMBD2836LT1G")</f>
        <v>MMBD2836LT1G</v>
      </c>
      <c r="B473" s="3" t="str">
        <f>HYPERLINK("https://www.773grp.com/manufacturer/onsemi?pageNo=472", "Onsemi")</f>
        <v>Onsemi</v>
      </c>
      <c r="C473" s="6">
        <v>150000</v>
      </c>
      <c r="D473" s="7">
        <v>0.23</v>
      </c>
      <c r="E473" t="s">
        <v>73</v>
      </c>
    </row>
    <row r="474" spans="1:5" x14ac:dyDescent="0.25">
      <c r="A474" t="str">
        <f>HYPERLINK("https://www.773grp.com/globalSearch/MMBD2837LT1G/page-1", "MMBD2837LT1G")</f>
        <v>MMBD2837LT1G</v>
      </c>
      <c r="B474" s="3" t="str">
        <f>HYPERLINK("https://www.773grp.com/manufacturer/onsemi?pageNo=473", "Onsemi")</f>
        <v>Onsemi</v>
      </c>
      <c r="C474" s="6">
        <v>29590</v>
      </c>
      <c r="D474" s="7">
        <v>0.23</v>
      </c>
      <c r="E474" t="s">
        <v>73</v>
      </c>
    </row>
    <row r="475" spans="1:5" x14ac:dyDescent="0.25">
      <c r="A475" t="str">
        <f>HYPERLINK("https://www.773grp.com/globalSearch/MMBD2838LT1G/page-1", "MMBD2838LT1G")</f>
        <v>MMBD2838LT1G</v>
      </c>
      <c r="B475" s="3" t="str">
        <f>HYPERLINK("https://www.773grp.com/manufacturer/onsemi?pageNo=474", "Onsemi")</f>
        <v>Onsemi</v>
      </c>
      <c r="C475" s="6">
        <v>158648</v>
      </c>
      <c r="D475" s="7">
        <v>0.23</v>
      </c>
      <c r="E475" t="s">
        <v>73</v>
      </c>
    </row>
    <row r="476" spans="1:5" x14ac:dyDescent="0.25">
      <c r="A476" t="str">
        <f>HYPERLINK("https://www.773grp.com/globalSearch/MMBD6100LT1G/page-1", "MMBD6100LT1G")</f>
        <v>MMBD6100LT1G</v>
      </c>
      <c r="B476" s="3" t="str">
        <f>HYPERLINK("https://www.773grp.com/manufacturer/onsemi?pageNo=475", "Onsemi")</f>
        <v>Onsemi</v>
      </c>
      <c r="C476" s="6">
        <v>60000</v>
      </c>
      <c r="D476" s="7">
        <v>0.23</v>
      </c>
      <c r="E476" t="s">
        <v>73</v>
      </c>
    </row>
    <row r="477" spans="1:5" x14ac:dyDescent="0.25">
      <c r="A477" t="str">
        <f>HYPERLINK("https://www.773grp.com/globalSearch/MMBF2202PT1/page-1", "MMBF2202PT1")</f>
        <v>MMBF2202PT1</v>
      </c>
      <c r="B477" s="3" t="str">
        <f>HYPERLINK("https://www.773grp.com/manufacturer/onsemi?pageNo=476", "Onsemi")</f>
        <v>Onsemi</v>
      </c>
      <c r="C477" s="6">
        <v>2274166</v>
      </c>
      <c r="D477" s="7">
        <v>0.23</v>
      </c>
      <c r="E477" t="s">
        <v>85</v>
      </c>
    </row>
    <row r="478" spans="1:5" x14ac:dyDescent="0.25">
      <c r="A478" t="str">
        <f>HYPERLINK("https://www.773grp.com/globalSearch/MMBT2369ALT1/page-1", "MMBT2369ALT1")</f>
        <v>MMBT2369ALT1</v>
      </c>
      <c r="B478" s="3" t="str">
        <f>HYPERLINK("https://www.773grp.com/manufacturer/onsemi?pageNo=477", "Onsemi")</f>
        <v>Onsemi</v>
      </c>
      <c r="C478" s="6">
        <v>36000</v>
      </c>
      <c r="D478" s="7">
        <v>0.23</v>
      </c>
    </row>
    <row r="479" spans="1:5" x14ac:dyDescent="0.25">
      <c r="A479" t="str">
        <f>HYPERLINK("https://www.773grp.com/globalSearch/MMBT2369ALT3/page-1", "MMBT2369ALT3")</f>
        <v>MMBT2369ALT3</v>
      </c>
      <c r="B479" s="3" t="str">
        <f>HYPERLINK("https://www.773grp.com/manufacturer/onsemi?pageNo=478", "Onsemi")</f>
        <v>Onsemi</v>
      </c>
      <c r="C479" s="6">
        <v>1750</v>
      </c>
      <c r="D479" s="7">
        <v>0.23</v>
      </c>
      <c r="E479" t="s">
        <v>57</v>
      </c>
    </row>
    <row r="480" spans="1:5" x14ac:dyDescent="0.25">
      <c r="A480" t="str">
        <f>HYPERLINK("https://www.773grp.com/globalSearch/MMBT2369LT1/page-1", "MMBT2369LT1")</f>
        <v>MMBT2369LT1</v>
      </c>
      <c r="B480" s="3" t="str">
        <f>HYPERLINK("https://www.773grp.com/manufacturer/onsemi?pageNo=479", "Onsemi")</f>
        <v>Onsemi</v>
      </c>
      <c r="C480" s="6">
        <v>66000</v>
      </c>
      <c r="D480" s="7">
        <v>0.23</v>
      </c>
    </row>
    <row r="481" spans="1:5" x14ac:dyDescent="0.25">
      <c r="A481" t="str">
        <f>HYPERLINK("https://www.773grp.com/globalSearch/MMBT2484LT1G/page-1", "MMBT2484LT1G")</f>
        <v>MMBT2484LT1G</v>
      </c>
      <c r="B481" s="3" t="str">
        <f>HYPERLINK("https://www.773grp.com/manufacturer/onsemi?pageNo=480", "Onsemi")</f>
        <v>Onsemi</v>
      </c>
      <c r="C481" s="6">
        <v>1154620</v>
      </c>
      <c r="D481" s="7">
        <v>0.23</v>
      </c>
      <c r="E481" t="s">
        <v>57</v>
      </c>
    </row>
    <row r="482" spans="1:5" x14ac:dyDescent="0.25">
      <c r="A482" t="str">
        <f>HYPERLINK("https://www.773grp.com/globalSearch/MMBT5088LT1G/page-1", "MMBT5088LT1G")</f>
        <v>MMBT5088LT1G</v>
      </c>
      <c r="B482" s="3" t="str">
        <f>HYPERLINK("https://www.773grp.com/manufacturer/onsemi?pageNo=481", "Onsemi")</f>
        <v>Onsemi</v>
      </c>
      <c r="C482" s="6">
        <v>207000</v>
      </c>
      <c r="D482" s="7">
        <v>0.23</v>
      </c>
      <c r="E482" t="s">
        <v>57</v>
      </c>
    </row>
    <row r="483" spans="1:5" x14ac:dyDescent="0.25">
      <c r="A483" t="str">
        <f>HYPERLINK("https://www.773grp.com/globalSearch/MMBT5089LT1G/page-1", "MMBT5089LT1G")</f>
        <v>MMBT5089LT1G</v>
      </c>
      <c r="B483" s="3" t="str">
        <f>HYPERLINK("https://www.773grp.com/manufacturer/onsemi?pageNo=482", "Onsemi")</f>
        <v>Onsemi</v>
      </c>
      <c r="C483" s="6">
        <v>103000</v>
      </c>
      <c r="D483" s="7">
        <v>0.23</v>
      </c>
      <c r="E483" t="s">
        <v>57</v>
      </c>
    </row>
    <row r="484" spans="1:5" x14ac:dyDescent="0.25">
      <c r="A484" t="str">
        <f>HYPERLINK("https://www.773grp.com/globalSearch/MMBT5401LT1/page-1", "MMBT5401LT1")</f>
        <v>MMBT5401LT1</v>
      </c>
      <c r="B484" s="3" t="str">
        <f>HYPERLINK("https://www.773grp.com/manufacturer/onsemi?pageNo=483", "Onsemi")</f>
        <v>Onsemi</v>
      </c>
      <c r="C484" s="6">
        <v>6000</v>
      </c>
      <c r="D484" s="7">
        <v>0.23</v>
      </c>
    </row>
    <row r="485" spans="1:5" x14ac:dyDescent="0.25">
      <c r="A485" t="str">
        <f>HYPERLINK("https://www.773grp.com/globalSearch/MMBT5550LT1G/page-1", "MMBT5550LT1G")</f>
        <v>MMBT5550LT1G</v>
      </c>
      <c r="B485" s="3" t="str">
        <f>HYPERLINK("https://www.773grp.com/manufacturer/onsemi?pageNo=484", "Onsemi")</f>
        <v>Onsemi</v>
      </c>
      <c r="C485" s="6">
        <v>3000</v>
      </c>
      <c r="D485" s="7">
        <v>0.23</v>
      </c>
      <c r="E485" t="s">
        <v>57</v>
      </c>
    </row>
    <row r="486" spans="1:5" x14ac:dyDescent="0.25">
      <c r="A486" t="str">
        <f>HYPERLINK("https://www.773grp.com/globalSearch/MMBT5550LT3G/page-1", "MMBT5550LT3G")</f>
        <v>MMBT5550LT3G</v>
      </c>
      <c r="B486" s="3" t="str">
        <f>HYPERLINK("https://www.773grp.com/manufacturer/onsemi?pageNo=485", "Onsemi")</f>
        <v>Onsemi</v>
      </c>
      <c r="C486" s="6">
        <v>3070000</v>
      </c>
      <c r="D486" s="7">
        <v>0.23</v>
      </c>
      <c r="E486" t="s">
        <v>57</v>
      </c>
    </row>
    <row r="487" spans="1:5" x14ac:dyDescent="0.25">
      <c r="A487" t="str">
        <f>HYPERLINK("https://www.773grp.com/globalSearch/MMBT6427LT1G/page-1", "MMBT6427LT1G")</f>
        <v>MMBT6427LT1G</v>
      </c>
      <c r="B487" s="3" t="str">
        <f>HYPERLINK("https://www.773grp.com/manufacturer/onsemi?pageNo=486", "Onsemi")</f>
        <v>Onsemi</v>
      </c>
      <c r="C487" s="6">
        <v>56049</v>
      </c>
      <c r="D487" s="7">
        <v>0.23</v>
      </c>
      <c r="E487" t="s">
        <v>57</v>
      </c>
    </row>
    <row r="488" spans="1:5" x14ac:dyDescent="0.25">
      <c r="A488" t="str">
        <f>HYPERLINK("https://www.773grp.com/globalSearch/MMBT6428LT1G/page-1", "MMBT6428LT1G")</f>
        <v>MMBT6428LT1G</v>
      </c>
      <c r="B488" s="3" t="str">
        <f>HYPERLINK("https://www.773grp.com/manufacturer/onsemi?pageNo=487", "Onsemi")</f>
        <v>Onsemi</v>
      </c>
      <c r="C488" s="6">
        <v>269825</v>
      </c>
      <c r="D488" s="7">
        <v>0.23</v>
      </c>
      <c r="E488" t="s">
        <v>57</v>
      </c>
    </row>
    <row r="489" spans="1:5" x14ac:dyDescent="0.25">
      <c r="A489" t="str">
        <f>HYPERLINK("https://www.773grp.com/globalSearch/MMBT6429LT1G/page-1", "MMBT6429LT1G")</f>
        <v>MMBT6429LT1G</v>
      </c>
      <c r="B489" s="3" t="str">
        <f>HYPERLINK("https://www.773grp.com/manufacturer/onsemi?pageNo=488", "Onsemi")</f>
        <v>Onsemi</v>
      </c>
      <c r="C489" s="6">
        <v>566650</v>
      </c>
      <c r="D489" s="7">
        <v>0.23</v>
      </c>
      <c r="E489" t="s">
        <v>57</v>
      </c>
    </row>
    <row r="490" spans="1:5" x14ac:dyDescent="0.25">
      <c r="A490" t="str">
        <f>HYPERLINK("https://www.773grp.com/globalSearch/MMBT8099LT1G/page-1", "MMBT8099LT1G")</f>
        <v>MMBT8099LT1G</v>
      </c>
      <c r="B490" s="3" t="str">
        <f>HYPERLINK("https://www.773grp.com/manufacturer/onsemi?pageNo=489", "Onsemi")</f>
        <v>Onsemi</v>
      </c>
      <c r="C490" s="6">
        <v>63000</v>
      </c>
      <c r="D490" s="7">
        <v>0.23</v>
      </c>
      <c r="E490" t="s">
        <v>57</v>
      </c>
    </row>
    <row r="491" spans="1:5" x14ac:dyDescent="0.25">
      <c r="A491" t="str">
        <f>HYPERLINK("https://www.773grp.com/globalSearch/MMBTA05LT1G/page-1", "MMBTA05LT1G")</f>
        <v>MMBTA05LT1G</v>
      </c>
      <c r="B491" s="3" t="str">
        <f>HYPERLINK("https://www.773grp.com/manufacturer/onsemi?pageNo=490", "Onsemi")</f>
        <v>Onsemi</v>
      </c>
      <c r="C491" s="6">
        <v>39000</v>
      </c>
      <c r="D491" s="7">
        <v>0.23</v>
      </c>
      <c r="E491" t="s">
        <v>57</v>
      </c>
    </row>
    <row r="492" spans="1:5" x14ac:dyDescent="0.25">
      <c r="A492" t="str">
        <f>HYPERLINK("https://www.773grp.com/globalSearch/MMBTA06LT1G/page-1", "MMBTA06LT1G")</f>
        <v>MMBTA06LT1G</v>
      </c>
      <c r="B492" s="3" t="str">
        <f>HYPERLINK("https://www.773grp.com/manufacturer/onsemi?pageNo=491", "Onsemi")</f>
        <v>Onsemi</v>
      </c>
      <c r="C492" s="6">
        <v>2304000</v>
      </c>
      <c r="D492" s="7">
        <v>0.23</v>
      </c>
      <c r="E492" t="s">
        <v>57</v>
      </c>
    </row>
    <row r="493" spans="1:5" x14ac:dyDescent="0.25">
      <c r="A493" t="str">
        <f>HYPERLINK("https://www.773grp.com/globalSearch/MMBTA06LT3G/page-1", "MMBTA06LT3G")</f>
        <v>MMBTA06LT3G</v>
      </c>
      <c r="B493" s="3" t="str">
        <f>HYPERLINK("https://www.773grp.com/manufacturer/onsemi?pageNo=492", "Onsemi")</f>
        <v>Onsemi</v>
      </c>
      <c r="C493" s="6">
        <v>70102</v>
      </c>
      <c r="D493" s="7">
        <v>0.23</v>
      </c>
      <c r="E493" t="s">
        <v>57</v>
      </c>
    </row>
    <row r="494" spans="1:5" x14ac:dyDescent="0.25">
      <c r="A494" t="str">
        <f>HYPERLINK("https://www.773grp.com/globalSearch/MMBTA13LT1G/page-1", "MMBTA13LT1G")</f>
        <v>MMBTA13LT1G</v>
      </c>
      <c r="B494" s="3" t="str">
        <f>HYPERLINK("https://www.773grp.com/manufacturer/onsemi?pageNo=493", "Onsemi")</f>
        <v>Onsemi</v>
      </c>
      <c r="C494" s="6">
        <v>270000</v>
      </c>
      <c r="D494" s="7">
        <v>0.23</v>
      </c>
      <c r="E494" t="s">
        <v>57</v>
      </c>
    </row>
    <row r="495" spans="1:5" x14ac:dyDescent="0.25">
      <c r="A495" t="str">
        <f>HYPERLINK("https://www.773grp.com/globalSearch/MMBTA13LT3G/page-1", "MMBTA13LT3G")</f>
        <v>MMBTA13LT3G</v>
      </c>
      <c r="B495" s="3" t="str">
        <f>HYPERLINK("https://www.773grp.com/manufacturer/onsemi?pageNo=494", "Onsemi")</f>
        <v>Onsemi</v>
      </c>
      <c r="C495" s="6">
        <v>30000</v>
      </c>
      <c r="D495" s="7">
        <v>0.23</v>
      </c>
      <c r="E495" t="s">
        <v>57</v>
      </c>
    </row>
    <row r="496" spans="1:5" x14ac:dyDescent="0.25">
      <c r="A496" t="str">
        <f>HYPERLINK("https://www.773grp.com/globalSearch/MMBTA14LT1G/page-1", "MMBTA14LT1G")</f>
        <v>MMBTA14LT1G</v>
      </c>
      <c r="B496" s="3" t="str">
        <f>HYPERLINK("https://www.773grp.com/manufacturer/onsemi?pageNo=495", "Onsemi")</f>
        <v>Onsemi</v>
      </c>
      <c r="C496" s="6">
        <v>915571</v>
      </c>
      <c r="D496" s="7">
        <v>0.23</v>
      </c>
      <c r="E496" t="s">
        <v>57</v>
      </c>
    </row>
    <row r="497" spans="1:5" x14ac:dyDescent="0.25">
      <c r="A497" t="str">
        <f>HYPERLINK("https://www.773grp.com/globalSearch/MMBTA42LT1/page-1", "MMBTA42LT1")</f>
        <v>MMBTA42LT1</v>
      </c>
      <c r="B497" s="3" t="str">
        <f>HYPERLINK("https://www.773grp.com/manufacturer/onsemi?pageNo=496", "Onsemi")</f>
        <v>Onsemi</v>
      </c>
      <c r="C497" s="6">
        <v>12000</v>
      </c>
      <c r="D497" s="7">
        <v>0.23</v>
      </c>
    </row>
    <row r="498" spans="1:5" x14ac:dyDescent="0.25">
      <c r="A498" t="str">
        <f>HYPERLINK("https://www.773grp.com/globalSearch/MMBTA42LT1G/page-1", "MMBTA42LT1G")</f>
        <v>MMBTA42LT1G</v>
      </c>
      <c r="B498" s="3" t="str">
        <f>HYPERLINK("https://www.773grp.com/manufacturer/onsemi?pageNo=497", "Onsemi")</f>
        <v>Onsemi</v>
      </c>
      <c r="C498" s="6">
        <v>159000</v>
      </c>
      <c r="D498" s="7">
        <v>0.23</v>
      </c>
      <c r="E498" t="s">
        <v>57</v>
      </c>
    </row>
    <row r="499" spans="1:5" x14ac:dyDescent="0.25">
      <c r="A499" t="str">
        <f>HYPERLINK("https://www.773grp.com/globalSearch/MMBTA42LT3G/page-1", "MMBTA42LT3G")</f>
        <v>MMBTA42LT3G</v>
      </c>
      <c r="B499" s="3" t="str">
        <f>HYPERLINK("https://www.773grp.com/manufacturer/onsemi?pageNo=498", "Onsemi")</f>
        <v>Onsemi</v>
      </c>
      <c r="C499" s="6">
        <v>150000</v>
      </c>
      <c r="D499" s="7">
        <v>0.23</v>
      </c>
    </row>
    <row r="500" spans="1:5" x14ac:dyDescent="0.25">
      <c r="A500" t="str">
        <f>HYPERLINK("https://www.773grp.com/globalSearch/MMBTA43LT1G/page-1", "MMBTA43LT1G")</f>
        <v>MMBTA43LT1G</v>
      </c>
      <c r="B500" s="3" t="str">
        <f>HYPERLINK("https://www.773grp.com/manufacturer/onsemi?pageNo=499", "Onsemi")</f>
        <v>Onsemi</v>
      </c>
      <c r="C500" s="6">
        <v>11930</v>
      </c>
      <c r="D500" s="7">
        <v>0.23</v>
      </c>
      <c r="E500" t="s">
        <v>57</v>
      </c>
    </row>
    <row r="501" spans="1:5" x14ac:dyDescent="0.25">
      <c r="A501" t="str">
        <f>HYPERLINK("https://www.773grp.com/globalSearch/MMBTA55LT1G/page-1", "MMBTA55LT1G")</f>
        <v>MMBTA55LT1G</v>
      </c>
      <c r="B501" s="3" t="str">
        <f>HYPERLINK("https://www.773grp.com/manufacturer/onsemi?pageNo=500", "Onsemi")</f>
        <v>Onsemi</v>
      </c>
      <c r="C501" s="6">
        <v>868848</v>
      </c>
      <c r="D501" s="7">
        <v>0.23</v>
      </c>
      <c r="E501" t="s">
        <v>57</v>
      </c>
    </row>
    <row r="502" spans="1:5" x14ac:dyDescent="0.25">
      <c r="A502" t="str">
        <f>HYPERLINK("https://www.773grp.com/globalSearch/MMBTA56LT1/page-1", "MMBTA56LT1")</f>
        <v>MMBTA56LT1</v>
      </c>
      <c r="B502" s="3" t="str">
        <f>HYPERLINK("https://www.773grp.com/manufacturer/onsemi?pageNo=501", "Onsemi")</f>
        <v>Onsemi</v>
      </c>
      <c r="C502" s="6">
        <v>15000</v>
      </c>
      <c r="D502" s="7">
        <v>0.23</v>
      </c>
    </row>
    <row r="503" spans="1:5" x14ac:dyDescent="0.25">
      <c r="A503" t="str">
        <f>HYPERLINK("https://www.773grp.com/globalSearch/MMBTA56LT1G/page-1", "MMBTA56LT1G")</f>
        <v>MMBTA56LT1G</v>
      </c>
      <c r="B503" s="3" t="str">
        <f>HYPERLINK("https://www.773grp.com/manufacturer/onsemi?pageNo=502", "Onsemi")</f>
        <v>Onsemi</v>
      </c>
      <c r="C503" s="6">
        <v>172328</v>
      </c>
      <c r="D503" s="7">
        <v>0.23</v>
      </c>
      <c r="E503" t="s">
        <v>57</v>
      </c>
    </row>
    <row r="504" spans="1:5" x14ac:dyDescent="0.25">
      <c r="A504" t="str">
        <f>HYPERLINK("https://www.773grp.com/globalSearch/MMBTA56LT3G/page-1", "MMBTA56LT3G")</f>
        <v>MMBTA56LT3G</v>
      </c>
      <c r="B504" s="3" t="str">
        <f>HYPERLINK("https://www.773grp.com/manufacturer/onsemi?pageNo=503", "Onsemi")</f>
        <v>Onsemi</v>
      </c>
      <c r="C504" s="6">
        <v>210000</v>
      </c>
      <c r="D504" s="7">
        <v>0.23</v>
      </c>
    </row>
    <row r="505" spans="1:5" x14ac:dyDescent="0.25">
      <c r="A505" t="str">
        <f>HYPERLINK("https://www.773grp.com/globalSearch/MMBTA63LT1G/page-1", "MMBTA63LT1G")</f>
        <v>MMBTA63LT1G</v>
      </c>
      <c r="B505" s="3" t="str">
        <f>HYPERLINK("https://www.773grp.com/manufacturer/onsemi?pageNo=504", "Onsemi")</f>
        <v>Onsemi</v>
      </c>
      <c r="C505" s="6">
        <v>13979</v>
      </c>
      <c r="D505" s="7">
        <v>0.23</v>
      </c>
      <c r="E505" t="s">
        <v>57</v>
      </c>
    </row>
    <row r="506" spans="1:5" x14ac:dyDescent="0.25">
      <c r="A506" t="str">
        <f>HYPERLINK("https://www.773grp.com/globalSearch/MMBTA64LT1/page-1", "MMBTA64LT1")</f>
        <v>MMBTA64LT1</v>
      </c>
      <c r="B506" s="3" t="str">
        <f>HYPERLINK("https://www.773grp.com/manufacturer/onsemi?pageNo=505", "Onsemi")</f>
        <v>Onsemi</v>
      </c>
      <c r="C506" s="6">
        <v>12000</v>
      </c>
      <c r="D506" s="7">
        <v>0.23</v>
      </c>
      <c r="E506" t="s">
        <v>57</v>
      </c>
    </row>
    <row r="507" spans="1:5" x14ac:dyDescent="0.25">
      <c r="A507" t="str">
        <f>HYPERLINK("https://www.773grp.com/globalSearch/MMBTA64LT1G/page-1", "MMBTA64LT1G")</f>
        <v>MMBTA64LT1G</v>
      </c>
      <c r="B507" s="3" t="str">
        <f>HYPERLINK("https://www.773grp.com/manufacturer/onsemi?pageNo=506", "Onsemi")</f>
        <v>Onsemi</v>
      </c>
      <c r="C507" s="6">
        <v>831000</v>
      </c>
      <c r="D507" s="7">
        <v>0.23</v>
      </c>
      <c r="E507" t="s">
        <v>57</v>
      </c>
    </row>
    <row r="508" spans="1:5" x14ac:dyDescent="0.25">
      <c r="A508" t="str">
        <f>HYPERLINK("https://www.773grp.com/globalSearch/MMBTA70LT1G/page-1", "MMBTA70LT1G")</f>
        <v>MMBTA70LT1G</v>
      </c>
      <c r="B508" s="3" t="str">
        <f>HYPERLINK("https://www.773grp.com/manufacturer/onsemi?pageNo=507", "Onsemi")</f>
        <v>Onsemi</v>
      </c>
      <c r="C508" s="6">
        <v>31852</v>
      </c>
      <c r="D508" s="7">
        <v>0.23</v>
      </c>
      <c r="E508" t="s">
        <v>57</v>
      </c>
    </row>
    <row r="509" spans="1:5" x14ac:dyDescent="0.25">
      <c r="A509" t="str">
        <f>HYPERLINK("https://www.773grp.com/globalSearch/MMBTA92LT1G/page-1", "MMBTA92LT1G")</f>
        <v>MMBTA92LT1G</v>
      </c>
      <c r="B509" s="3" t="str">
        <f>HYPERLINK("https://www.773grp.com/manufacturer/onsemi?pageNo=508", "Onsemi")</f>
        <v>Onsemi</v>
      </c>
      <c r="C509" s="6">
        <v>289851</v>
      </c>
      <c r="D509" s="7">
        <v>0.23</v>
      </c>
      <c r="E509" t="s">
        <v>57</v>
      </c>
    </row>
    <row r="510" spans="1:5" x14ac:dyDescent="0.25">
      <c r="A510" t="str">
        <f>HYPERLINK("https://www.773grp.com/globalSearch/MMBTA92LT3G/page-1", "MMBTA92LT3G")</f>
        <v>MMBTA92LT3G</v>
      </c>
      <c r="B510" s="3" t="str">
        <f>HYPERLINK("https://www.773grp.com/manufacturer/onsemi?pageNo=509", "Onsemi")</f>
        <v>Onsemi</v>
      </c>
      <c r="C510" s="6">
        <v>20000</v>
      </c>
      <c r="D510" s="7">
        <v>0.23</v>
      </c>
    </row>
    <row r="511" spans="1:5" x14ac:dyDescent="0.25">
      <c r="A511" t="str">
        <f>HYPERLINK("https://www.773grp.com/globalSearch/MMBZ12VALT1G/page-1", "MMBZ12VALT1G")</f>
        <v>MMBZ12VALT1G</v>
      </c>
      <c r="B511" s="3" t="str">
        <f>HYPERLINK("https://www.773grp.com/manufacturer/onsemi?pageNo=510", "Onsemi")</f>
        <v>Onsemi</v>
      </c>
      <c r="C511" s="6">
        <v>183000</v>
      </c>
      <c r="D511" s="7">
        <v>0.23</v>
      </c>
      <c r="E511" t="s">
        <v>75</v>
      </c>
    </row>
    <row r="512" spans="1:5" x14ac:dyDescent="0.25">
      <c r="A512" t="str">
        <f>HYPERLINK("https://www.773grp.com/globalSearch/MMBZ15VALT1G/page-1", "MMBZ15VALT1G")</f>
        <v>MMBZ15VALT1G</v>
      </c>
      <c r="B512" s="3" t="str">
        <f>HYPERLINK("https://www.773grp.com/manufacturer/onsemi?pageNo=511", "Onsemi")</f>
        <v>Onsemi</v>
      </c>
      <c r="C512" s="6">
        <v>30000</v>
      </c>
      <c r="D512" s="7">
        <v>0.23</v>
      </c>
      <c r="E512" t="s">
        <v>75</v>
      </c>
    </row>
    <row r="513" spans="1:5" x14ac:dyDescent="0.25">
      <c r="A513" t="str">
        <f>HYPERLINK("https://www.773grp.com/globalSearch/MMBZ15VDLT1G/page-1", "MMBZ15VDLT1G")</f>
        <v>MMBZ15VDLT1G</v>
      </c>
      <c r="B513" s="3" t="str">
        <f>HYPERLINK("https://www.773grp.com/manufacturer/onsemi?pageNo=512", "Onsemi")</f>
        <v>Onsemi</v>
      </c>
      <c r="C513" s="6">
        <v>17240</v>
      </c>
      <c r="D513" s="7">
        <v>0.23</v>
      </c>
      <c r="E513" t="s">
        <v>75</v>
      </c>
    </row>
    <row r="514" spans="1:5" x14ac:dyDescent="0.25">
      <c r="A514" t="str">
        <f>HYPERLINK("https://www.773grp.com/globalSearch/MMBZ18VALT1G/page-1", "MMBZ18VALT1G")</f>
        <v>MMBZ18VALT1G</v>
      </c>
      <c r="B514" s="3" t="str">
        <f>HYPERLINK("https://www.773grp.com/manufacturer/onsemi?pageNo=513", "Onsemi")</f>
        <v>Onsemi</v>
      </c>
      <c r="C514" s="6">
        <v>1242</v>
      </c>
      <c r="D514" s="7">
        <v>0.23</v>
      </c>
      <c r="E514" t="s">
        <v>75</v>
      </c>
    </row>
    <row r="515" spans="1:5" x14ac:dyDescent="0.25">
      <c r="A515" t="str">
        <f>HYPERLINK("https://www.773grp.com/globalSearch/MMBZ20VALT1/page-1", "MMBZ20VALT1")</f>
        <v>MMBZ20VALT1</v>
      </c>
      <c r="B515" s="3" t="str">
        <f>HYPERLINK("https://www.773grp.com/manufacturer/onsemi?pageNo=514", "Onsemi")</f>
        <v>Onsemi</v>
      </c>
      <c r="C515" s="6">
        <v>18050</v>
      </c>
      <c r="D515" s="7">
        <v>0.23</v>
      </c>
      <c r="E515" t="s">
        <v>75</v>
      </c>
    </row>
    <row r="516" spans="1:5" x14ac:dyDescent="0.25">
      <c r="A516" t="str">
        <f>HYPERLINK("https://www.773grp.com/globalSearch/MMBZ20VALT1G/page-1", "MMBZ20VALT1G")</f>
        <v>MMBZ20VALT1G</v>
      </c>
      <c r="B516" s="3" t="str">
        <f>HYPERLINK("https://www.773grp.com/manufacturer/onsemi?pageNo=515", "Onsemi")</f>
        <v>Onsemi</v>
      </c>
      <c r="C516" s="6">
        <v>2000</v>
      </c>
      <c r="D516" s="7">
        <v>0.23</v>
      </c>
      <c r="E516" t="s">
        <v>75</v>
      </c>
    </row>
    <row r="517" spans="1:5" x14ac:dyDescent="0.25">
      <c r="A517" t="str">
        <f>HYPERLINK("https://www.773grp.com/globalSearch/MMBZ27VALT1G/page-1", "MMBZ27VALT1G")</f>
        <v>MMBZ27VALT1G</v>
      </c>
      <c r="B517" s="3" t="str">
        <f>HYPERLINK("https://www.773grp.com/manufacturer/onsemi?pageNo=516", "Onsemi")</f>
        <v>Onsemi</v>
      </c>
      <c r="C517" s="6">
        <v>5245</v>
      </c>
      <c r="D517" s="7">
        <v>0.23</v>
      </c>
      <c r="E517" t="s">
        <v>75</v>
      </c>
    </row>
    <row r="518" spans="1:5" x14ac:dyDescent="0.25">
      <c r="A518" t="str">
        <f>HYPERLINK("https://www.773grp.com/globalSearch/MMBZ27VALT3G/page-1", "MMBZ27VALT3G")</f>
        <v>MMBZ27VALT3G</v>
      </c>
      <c r="B518" s="3" t="str">
        <f>HYPERLINK("https://www.773grp.com/manufacturer/onsemi?pageNo=517", "Onsemi")</f>
        <v>Onsemi</v>
      </c>
      <c r="C518" s="6">
        <v>650000</v>
      </c>
      <c r="D518" s="7">
        <v>0.23</v>
      </c>
      <c r="E518" t="s">
        <v>75</v>
      </c>
    </row>
    <row r="519" spans="1:5" x14ac:dyDescent="0.25">
      <c r="A519" t="str">
        <f>HYPERLINK("https://www.773grp.com/globalSearch/MMBZ27VCLT1G/page-1", "MMBZ27VCLT1G")</f>
        <v>MMBZ27VCLT1G</v>
      </c>
      <c r="B519" s="3" t="str">
        <f>HYPERLINK("https://www.773grp.com/manufacturer/onsemi?pageNo=518", "Onsemi")</f>
        <v>Onsemi</v>
      </c>
      <c r="C519" s="6">
        <v>199572</v>
      </c>
      <c r="D519" s="7">
        <v>0.23</v>
      </c>
      <c r="E519" t="s">
        <v>75</v>
      </c>
    </row>
    <row r="520" spans="1:5" x14ac:dyDescent="0.25">
      <c r="A520" t="str">
        <f>HYPERLINK("https://www.773grp.com/globalSearch/MMBZ33VALT1G/page-1", "MMBZ33VALT1G")</f>
        <v>MMBZ33VALT1G</v>
      </c>
      <c r="B520" s="3" t="str">
        <f>HYPERLINK("https://www.773grp.com/manufacturer/onsemi?pageNo=519", "Onsemi")</f>
        <v>Onsemi</v>
      </c>
      <c r="C520" s="6">
        <v>87000</v>
      </c>
      <c r="D520" s="7">
        <v>0.23</v>
      </c>
      <c r="E520" t="s">
        <v>75</v>
      </c>
    </row>
    <row r="521" spans="1:5" x14ac:dyDescent="0.25">
      <c r="A521" t="str">
        <f>HYPERLINK("https://www.773grp.com/globalSearch/MMBZ5227BLT1H/page-1", "MMBZ5227BLT1H")</f>
        <v>MMBZ5227BLT1H</v>
      </c>
      <c r="B521" s="3" t="str">
        <f>HYPERLINK("https://www.773grp.com/manufacturer/onsemi?pageNo=520", "Onsemi")</f>
        <v>Onsemi</v>
      </c>
      <c r="C521" s="6">
        <v>24000</v>
      </c>
      <c r="D521" s="7">
        <v>0.23</v>
      </c>
    </row>
    <row r="522" spans="1:5" x14ac:dyDescent="0.25">
      <c r="A522" t="str">
        <f>HYPERLINK("https://www.773grp.com/globalSearch/MMBZ5232BLT1/page-1", "MMBZ5232BLT1")</f>
        <v>MMBZ5232BLT1</v>
      </c>
      <c r="B522" s="3" t="str">
        <f>HYPERLINK("https://www.773grp.com/manufacturer/onsemi?pageNo=521", "Onsemi")</f>
        <v>Onsemi</v>
      </c>
      <c r="C522" s="6">
        <v>21000</v>
      </c>
      <c r="D522" s="7">
        <v>0.23</v>
      </c>
      <c r="E522" t="s">
        <v>77</v>
      </c>
    </row>
    <row r="523" spans="1:5" x14ac:dyDescent="0.25">
      <c r="A523" t="str">
        <f>HYPERLINK("https://www.773grp.com/globalSearch/MMBZ5235BLT1/page-1", "MMBZ5235BLT1")</f>
        <v>MMBZ5235BLT1</v>
      </c>
      <c r="B523" s="3" t="str">
        <f>HYPERLINK("https://www.773grp.com/manufacturer/onsemi?pageNo=522", "Onsemi")</f>
        <v>Onsemi</v>
      </c>
      <c r="C523" s="6">
        <v>171000</v>
      </c>
      <c r="D523" s="7">
        <v>0.23</v>
      </c>
    </row>
    <row r="524" spans="1:5" x14ac:dyDescent="0.25">
      <c r="A524" t="str">
        <f>HYPERLINK("https://www.773grp.com/globalSearch/MMBZ5236BLT1/page-1", "MMBZ5236BLT1")</f>
        <v>MMBZ5236BLT1</v>
      </c>
      <c r="B524" s="3" t="str">
        <f>HYPERLINK("https://www.773grp.com/manufacturer/onsemi?pageNo=523", "Onsemi")</f>
        <v>Onsemi</v>
      </c>
      <c r="C524" s="6">
        <v>105000</v>
      </c>
      <c r="D524" s="7">
        <v>0.23</v>
      </c>
      <c r="E524" t="s">
        <v>77</v>
      </c>
    </row>
    <row r="525" spans="1:5" x14ac:dyDescent="0.25">
      <c r="A525" t="str">
        <f>HYPERLINK("https://www.773grp.com/globalSearch/MMBZ5241BLT1/page-1", "MMBZ5241BLT1")</f>
        <v>MMBZ5241BLT1</v>
      </c>
      <c r="B525" s="3" t="str">
        <f>HYPERLINK("https://www.773grp.com/manufacturer/onsemi?pageNo=524", "Onsemi")</f>
        <v>Onsemi</v>
      </c>
      <c r="C525" s="6">
        <v>12000</v>
      </c>
      <c r="D525" s="7">
        <v>0.23</v>
      </c>
    </row>
    <row r="526" spans="1:5" x14ac:dyDescent="0.25">
      <c r="A526" t="str">
        <f>HYPERLINK("https://www.773grp.com/globalSearch/MMBZ5245BLT1/page-1", "MMBZ5245BLT1")</f>
        <v>MMBZ5245BLT1</v>
      </c>
      <c r="B526" s="3" t="str">
        <f>HYPERLINK("https://www.773grp.com/manufacturer/onsemi?pageNo=525", "Onsemi")</f>
        <v>Onsemi</v>
      </c>
      <c r="C526" s="6">
        <v>126000</v>
      </c>
      <c r="D526" s="7">
        <v>0.23</v>
      </c>
    </row>
    <row r="527" spans="1:5" x14ac:dyDescent="0.25">
      <c r="A527" t="str">
        <f>HYPERLINK("https://www.773grp.com/globalSearch/MMBZ5245BLT3/page-1", "MMBZ5245BLT3")</f>
        <v>MMBZ5245BLT3</v>
      </c>
      <c r="B527" s="3" t="str">
        <f>HYPERLINK("https://www.773grp.com/manufacturer/onsemi?pageNo=526", "Onsemi")</f>
        <v>Onsemi</v>
      </c>
      <c r="C527" s="6">
        <v>40000</v>
      </c>
      <c r="D527" s="7">
        <v>0.23</v>
      </c>
    </row>
    <row r="528" spans="1:5" x14ac:dyDescent="0.25">
      <c r="A528" t="str">
        <f>HYPERLINK("https://www.773grp.com/globalSearch/MMBZ5245BLT3G/page-1", "MMBZ5245BLT3G")</f>
        <v>MMBZ5245BLT3G</v>
      </c>
      <c r="B528" s="3" t="str">
        <f>HYPERLINK("https://www.773grp.com/manufacturer/onsemi?pageNo=527", "Onsemi")</f>
        <v>Onsemi</v>
      </c>
      <c r="C528" s="6">
        <v>150000</v>
      </c>
      <c r="D528" s="7">
        <v>0.23</v>
      </c>
      <c r="E528" t="s">
        <v>77</v>
      </c>
    </row>
    <row r="529" spans="1:5" x14ac:dyDescent="0.25">
      <c r="A529" t="str">
        <f>HYPERLINK("https://www.773grp.com/globalSearch/MMBZ5251BLTIG/page-1", "MMBZ5251BLTIG")</f>
        <v>MMBZ5251BLTIG</v>
      </c>
      <c r="B529" s="3" t="str">
        <f>HYPERLINK("https://www.773grp.com/manufacturer/onsemi?pageNo=528", "Onsemi")</f>
        <v>Onsemi</v>
      </c>
      <c r="C529" s="6">
        <v>24000</v>
      </c>
      <c r="D529" s="7">
        <v>0.23</v>
      </c>
    </row>
    <row r="530" spans="1:5" x14ac:dyDescent="0.25">
      <c r="A530" t="str">
        <f>HYPERLINK("https://www.773grp.com/globalSearch/MMBZ5257BLT3G/page-1", "MMBZ5257BLT3G")</f>
        <v>MMBZ5257BLT3G</v>
      </c>
      <c r="B530" s="3" t="str">
        <f>HYPERLINK("https://www.773grp.com/manufacturer/onsemi?pageNo=529", "Onsemi")</f>
        <v>Onsemi</v>
      </c>
      <c r="C530" s="6">
        <v>130000</v>
      </c>
      <c r="D530" s="7">
        <v>0.23</v>
      </c>
      <c r="E530" t="s">
        <v>77</v>
      </c>
    </row>
    <row r="531" spans="1:5" x14ac:dyDescent="0.25">
      <c r="A531" t="str">
        <f>HYPERLINK("https://www.773grp.com/globalSearch/MMBZ5261BLT3G/page-1", "MMBZ5261BLT3G")</f>
        <v>MMBZ5261BLT3G</v>
      </c>
      <c r="B531" s="3" t="str">
        <f>HYPERLINK("https://www.773grp.com/manufacturer/onsemi?pageNo=530", "Onsemi")</f>
        <v>Onsemi</v>
      </c>
      <c r="C531" s="6">
        <v>140000</v>
      </c>
      <c r="D531" s="7">
        <v>0.23</v>
      </c>
      <c r="E531" t="s">
        <v>77</v>
      </c>
    </row>
    <row r="532" spans="1:5" x14ac:dyDescent="0.25">
      <c r="A532" t="str">
        <f>HYPERLINK("https://www.773grp.com/globalSearch/MMBZ5262ELT1/page-1", "MMBZ5262ELT1")</f>
        <v>MMBZ5262ELT1</v>
      </c>
      <c r="B532" s="3" t="str">
        <f>HYPERLINK("https://www.773grp.com/manufacturer/onsemi?pageNo=531", "Onsemi")</f>
        <v>Onsemi</v>
      </c>
      <c r="C532" s="6">
        <v>18000</v>
      </c>
      <c r="D532" s="7">
        <v>0.23</v>
      </c>
      <c r="E532" t="s">
        <v>77</v>
      </c>
    </row>
    <row r="533" spans="1:5" x14ac:dyDescent="0.25">
      <c r="A533" t="str">
        <f>HYPERLINK("https://www.773grp.com/globalSearch/MMBZ5V6ALT1/page-1", "MMBZ5V6ALT1")</f>
        <v>MMBZ5V6ALT1</v>
      </c>
      <c r="B533" s="3" t="str">
        <f>HYPERLINK("https://www.773grp.com/manufacturer/onsemi?pageNo=532", "Onsemi")</f>
        <v>Onsemi</v>
      </c>
      <c r="C533" s="6">
        <v>31470</v>
      </c>
      <c r="D533" s="7">
        <v>0.23</v>
      </c>
      <c r="E533" t="s">
        <v>75</v>
      </c>
    </row>
    <row r="534" spans="1:5" x14ac:dyDescent="0.25">
      <c r="A534" t="str">
        <f>HYPERLINK("https://www.773grp.com/globalSearch/MMBZ5V6ALT1G/page-1", "MMBZ5V6ALT1G")</f>
        <v>MMBZ5V6ALT1G</v>
      </c>
      <c r="B534" s="3" t="str">
        <f>HYPERLINK("https://www.773grp.com/manufacturer/onsemi?pageNo=533", "Onsemi")</f>
        <v>Onsemi</v>
      </c>
      <c r="C534" s="6">
        <v>74524</v>
      </c>
      <c r="D534" s="7">
        <v>0.23</v>
      </c>
      <c r="E534" t="s">
        <v>75</v>
      </c>
    </row>
    <row r="535" spans="1:5" x14ac:dyDescent="0.25">
      <c r="A535" t="str">
        <f>HYPERLINK("https://www.773grp.com/globalSearch/MMBZ5V6ALT3G/page-1", "MMBZ5V6ALT3G")</f>
        <v>MMBZ5V6ALT3G</v>
      </c>
      <c r="B535" s="3" t="str">
        <f>HYPERLINK("https://www.773grp.com/manufacturer/onsemi?pageNo=534", "Onsemi")</f>
        <v>Onsemi</v>
      </c>
      <c r="C535" s="6">
        <v>260000</v>
      </c>
      <c r="D535" s="7">
        <v>0.23</v>
      </c>
      <c r="E535" t="s">
        <v>75</v>
      </c>
    </row>
    <row r="536" spans="1:5" x14ac:dyDescent="0.25">
      <c r="A536" t="str">
        <f>HYPERLINK("https://www.773grp.com/globalSearch/MMBZ6V2ALT1/page-1", "MMBZ6V2ALT1")</f>
        <v>MMBZ6V2ALT1</v>
      </c>
      <c r="B536" s="3" t="str">
        <f>HYPERLINK("https://www.773grp.com/manufacturer/onsemi?pageNo=535", "Onsemi")</f>
        <v>Onsemi</v>
      </c>
      <c r="C536" s="6">
        <v>54000</v>
      </c>
      <c r="D536" s="7">
        <v>0.23</v>
      </c>
      <c r="E536" t="s">
        <v>75</v>
      </c>
    </row>
    <row r="537" spans="1:5" x14ac:dyDescent="0.25">
      <c r="A537" t="str">
        <f>HYPERLINK("https://www.773grp.com/globalSearch/MMBZ6V2ALT1G/page-1", "MMBZ6V2ALT1G")</f>
        <v>MMBZ6V2ALT1G</v>
      </c>
      <c r="B537" s="3" t="str">
        <f>HYPERLINK("https://www.773grp.com/manufacturer/onsemi?pageNo=536", "Onsemi")</f>
        <v>Onsemi</v>
      </c>
      <c r="C537" s="6">
        <v>7984</v>
      </c>
      <c r="D537" s="7">
        <v>0.23</v>
      </c>
      <c r="E537" t="s">
        <v>75</v>
      </c>
    </row>
    <row r="538" spans="1:5" x14ac:dyDescent="0.25">
      <c r="A538" t="str">
        <f>HYPERLINK("https://www.773grp.com/globalSearch/MMBZ6V8ALT1/page-1", "MMBZ6V8ALT1")</f>
        <v>MMBZ6V8ALT1</v>
      </c>
      <c r="B538" s="3" t="str">
        <f>HYPERLINK("https://www.773grp.com/manufacturer/onsemi?pageNo=537", "Onsemi")</f>
        <v>Onsemi</v>
      </c>
      <c r="C538" s="6">
        <v>93000</v>
      </c>
      <c r="D538" s="7">
        <v>0.23</v>
      </c>
      <c r="E538" t="s">
        <v>75</v>
      </c>
    </row>
    <row r="539" spans="1:5" x14ac:dyDescent="0.25">
      <c r="A539" t="str">
        <f>HYPERLINK("https://www.773grp.com/globalSearch/MMBZ6V8ALT1G/page-1", "MMBZ6V8ALT1G")</f>
        <v>MMBZ6V8ALT1G</v>
      </c>
      <c r="B539" s="3" t="str">
        <f>HYPERLINK("https://www.773grp.com/manufacturer/onsemi?pageNo=538", "Onsemi")</f>
        <v>Onsemi</v>
      </c>
      <c r="C539" s="6">
        <v>28403</v>
      </c>
      <c r="D539" s="7">
        <v>0.23</v>
      </c>
      <c r="E539" t="s">
        <v>75</v>
      </c>
    </row>
    <row r="540" spans="1:5" x14ac:dyDescent="0.25">
      <c r="A540" t="str">
        <f>HYPERLINK("https://www.773grp.com/globalSearch/MMBZ9V1ALT1/page-1", "MMBZ9V1ALT1")</f>
        <v>MMBZ9V1ALT1</v>
      </c>
      <c r="B540" s="3" t="str">
        <f>HYPERLINK("https://www.773grp.com/manufacturer/onsemi?pageNo=539", "Onsemi")</f>
        <v>Onsemi</v>
      </c>
      <c r="C540" s="6">
        <v>26710</v>
      </c>
      <c r="D540" s="7">
        <v>0.23</v>
      </c>
      <c r="E540" t="s">
        <v>75</v>
      </c>
    </row>
    <row r="541" spans="1:5" x14ac:dyDescent="0.25">
      <c r="A541" t="str">
        <f>HYPERLINK("https://www.773grp.com/globalSearch/MMBZ9V1ALT1G/page-1", "MMBZ9V1ALT1G")</f>
        <v>MMBZ9V1ALT1G</v>
      </c>
      <c r="B541" s="3" t="str">
        <f>HYPERLINK("https://www.773grp.com/manufacturer/onsemi?pageNo=540", "Onsemi")</f>
        <v>Onsemi</v>
      </c>
      <c r="C541" s="6">
        <v>78000</v>
      </c>
      <c r="D541" s="7">
        <v>0.23</v>
      </c>
      <c r="E541" t="s">
        <v>75</v>
      </c>
    </row>
    <row r="542" spans="1:5" x14ac:dyDescent="0.25">
      <c r="A542" t="str">
        <f>HYPERLINK("https://www.773grp.com/globalSearch/MMDL6050T1G/page-1", "MMDL6050T1G")</f>
        <v>MMDL6050T1G</v>
      </c>
      <c r="B542" s="3" t="str">
        <f>HYPERLINK("https://www.773grp.com/manufacturer/onsemi?pageNo=541", "Onsemi")</f>
        <v>Onsemi</v>
      </c>
      <c r="C542" s="6">
        <v>10570</v>
      </c>
      <c r="D542" s="7">
        <v>0.23</v>
      </c>
      <c r="E542" t="s">
        <v>73</v>
      </c>
    </row>
    <row r="543" spans="1:5" x14ac:dyDescent="0.25">
      <c r="A543" t="str">
        <f>HYPERLINK("https://www.773grp.com/globalSearch/MMDL914T1H/page-1", "MMDL914T1H")</f>
        <v>MMDL914T1H</v>
      </c>
      <c r="B543" s="3" t="str">
        <f>HYPERLINK("https://www.773grp.com/manufacturer/onsemi?pageNo=542", "Onsemi")</f>
        <v>Onsemi</v>
      </c>
      <c r="C543" s="6">
        <v>282000</v>
      </c>
      <c r="D543" s="7">
        <v>0.23</v>
      </c>
    </row>
    <row r="544" spans="1:5" x14ac:dyDescent="0.25">
      <c r="A544" t="str">
        <f>HYPERLINK("https://www.773grp.com/globalSearch/MMSD103T1/page-1", "MMSD103T1")</f>
        <v>MMSD103T1</v>
      </c>
      <c r="B544" s="3" t="str">
        <f>HYPERLINK("https://www.773grp.com/manufacturer/onsemi?pageNo=543", "Onsemi")</f>
        <v>Onsemi</v>
      </c>
      <c r="C544" s="6">
        <v>6000</v>
      </c>
      <c r="D544" s="7">
        <v>0.23</v>
      </c>
      <c r="E544" t="s">
        <v>73</v>
      </c>
    </row>
    <row r="545" spans="1:5" x14ac:dyDescent="0.25">
      <c r="A545" t="str">
        <f>HYPERLINK("https://www.773grp.com/globalSearch/MMSD103T1G/page-1", "MMSD103T1G")</f>
        <v>MMSD103T1G</v>
      </c>
      <c r="B545" s="3" t="str">
        <f>HYPERLINK("https://www.773grp.com/manufacturer/onsemi?pageNo=544", "Onsemi")</f>
        <v>Onsemi</v>
      </c>
      <c r="C545" s="6">
        <v>819000</v>
      </c>
      <c r="D545" s="7">
        <v>0.23</v>
      </c>
      <c r="E545" t="s">
        <v>73</v>
      </c>
    </row>
    <row r="546" spans="1:5" x14ac:dyDescent="0.25">
      <c r="A546" t="str">
        <f>HYPERLINK("https://www.773grp.com/globalSearch/MMSZ12T1H/page-1", "MMSZ12T1H")</f>
        <v>MMSZ12T1H</v>
      </c>
      <c r="B546" s="3" t="str">
        <f>HYPERLINK("https://www.773grp.com/manufacturer/onsemi?pageNo=545", "Onsemi")</f>
        <v>Onsemi</v>
      </c>
      <c r="C546" s="6">
        <v>239900</v>
      </c>
      <c r="D546" s="7">
        <v>0.23</v>
      </c>
    </row>
    <row r="547" spans="1:5" x14ac:dyDescent="0.25">
      <c r="A547" t="str">
        <f>HYPERLINK("https://www.773grp.com/globalSearch/MMSZ13ET1/page-1", "MMSZ13ET1")</f>
        <v>MMSZ13ET1</v>
      </c>
      <c r="B547" s="3" t="str">
        <f>HYPERLINK("https://www.773grp.com/manufacturer/onsemi?pageNo=546", "Onsemi")</f>
        <v>Onsemi</v>
      </c>
      <c r="C547" s="6">
        <v>18000</v>
      </c>
      <c r="D547" s="7">
        <v>0.23</v>
      </c>
      <c r="E547" t="s">
        <v>77</v>
      </c>
    </row>
    <row r="548" spans="1:5" x14ac:dyDescent="0.25">
      <c r="A548" t="str">
        <f>HYPERLINK("https://www.773grp.com/globalSearch/MMSZ15T3G/page-1", "MMSZ15T3G")</f>
        <v>MMSZ15T3G</v>
      </c>
      <c r="B548" s="3" t="str">
        <f>HYPERLINK("https://www.773grp.com/manufacturer/onsemi?pageNo=547", "Onsemi")</f>
        <v>Onsemi</v>
      </c>
      <c r="C548" s="6">
        <v>90000</v>
      </c>
      <c r="D548" s="7">
        <v>0.23</v>
      </c>
    </row>
    <row r="549" spans="1:5" x14ac:dyDescent="0.25">
      <c r="A549" t="str">
        <f>HYPERLINK("https://www.773grp.com/globalSearch/MMSZ16T1H/page-1", "MMSZ16T1H")</f>
        <v>MMSZ16T1H</v>
      </c>
      <c r="B549" s="3" t="str">
        <f>HYPERLINK("https://www.773grp.com/manufacturer/onsemi?pageNo=548", "Onsemi")</f>
        <v>Onsemi</v>
      </c>
      <c r="C549" s="6">
        <v>259890</v>
      </c>
      <c r="D549" s="7">
        <v>0.23</v>
      </c>
    </row>
    <row r="550" spans="1:5" x14ac:dyDescent="0.25">
      <c r="A550" t="str">
        <f>HYPERLINK("https://www.773grp.com/globalSearch/MMSZ24T1H/page-1", "MMSZ24T1H")</f>
        <v>MMSZ24T1H</v>
      </c>
      <c r="B550" s="3" t="str">
        <f>HYPERLINK("https://www.773grp.com/manufacturer/onsemi?pageNo=549", "Onsemi")</f>
        <v>Onsemi</v>
      </c>
      <c r="C550" s="6">
        <v>135000</v>
      </c>
      <c r="D550" s="7">
        <v>0.23</v>
      </c>
    </row>
    <row r="551" spans="1:5" x14ac:dyDescent="0.25">
      <c r="A551" t="str">
        <f>HYPERLINK("https://www.773grp.com/globalSearch/MMSZ2V7T3G/page-1", "MMSZ2V7T3G")</f>
        <v>MMSZ2V7T3G</v>
      </c>
      <c r="B551" s="3" t="str">
        <f>HYPERLINK("https://www.773grp.com/manufacturer/onsemi?pageNo=550", "Onsemi")</f>
        <v>Onsemi</v>
      </c>
      <c r="C551" s="6">
        <v>110000</v>
      </c>
      <c r="D551" s="7">
        <v>0.23</v>
      </c>
    </row>
    <row r="552" spans="1:5" x14ac:dyDescent="0.25">
      <c r="A552" t="str">
        <f>HYPERLINK("https://www.773grp.com/globalSearch/MMSZ36T1/page-1", "MMSZ36T1")</f>
        <v>MMSZ36T1</v>
      </c>
      <c r="B552" s="3" t="str">
        <f>HYPERLINK("https://www.773grp.com/manufacturer/onsemi?pageNo=551", "Onsemi")</f>
        <v>Onsemi</v>
      </c>
      <c r="C552" s="6">
        <v>9000</v>
      </c>
      <c r="D552" s="7">
        <v>0.23</v>
      </c>
      <c r="E552" t="s">
        <v>77</v>
      </c>
    </row>
    <row r="553" spans="1:5" x14ac:dyDescent="0.25">
      <c r="A553" t="str">
        <f>HYPERLINK("https://www.773grp.com/globalSearch/MMSZ3V9T1/page-1", "MMSZ3V9T1")</f>
        <v>MMSZ3V9T1</v>
      </c>
      <c r="B553" s="3" t="str">
        <f>HYPERLINK("https://www.773grp.com/manufacturer/onsemi?pageNo=552", "Onsemi")</f>
        <v>Onsemi</v>
      </c>
      <c r="C553" s="6">
        <v>41900</v>
      </c>
      <c r="D553" s="7">
        <v>0.23</v>
      </c>
      <c r="E553" t="s">
        <v>77</v>
      </c>
    </row>
    <row r="554" spans="1:5" x14ac:dyDescent="0.25">
      <c r="A554" t="str">
        <f>HYPERLINK("https://www.773grp.com/globalSearch/MMSZ4680T1G/page-1", "MMSZ4680T1G")</f>
        <v>MMSZ4680T1G</v>
      </c>
      <c r="B554" s="3" t="str">
        <f>HYPERLINK("https://www.773grp.com/manufacturer/onsemi?pageNo=553", "Onsemi")</f>
        <v>Onsemi</v>
      </c>
      <c r="C554" s="6">
        <v>31784</v>
      </c>
      <c r="D554" s="7">
        <v>0.23</v>
      </c>
      <c r="E554" t="s">
        <v>77</v>
      </c>
    </row>
    <row r="555" spans="1:5" x14ac:dyDescent="0.25">
      <c r="A555" t="str">
        <f>HYPERLINK("https://www.773grp.com/globalSearch/MMSZ4682T1G/page-1", "MMSZ4682T1G")</f>
        <v>MMSZ4682T1G</v>
      </c>
      <c r="B555" s="3" t="str">
        <f>HYPERLINK("https://www.773grp.com/manufacturer/onsemi?pageNo=554", "Onsemi")</f>
        <v>Onsemi</v>
      </c>
      <c r="C555" s="6">
        <v>43110</v>
      </c>
      <c r="D555" s="7">
        <v>0.23</v>
      </c>
      <c r="E555" t="s">
        <v>77</v>
      </c>
    </row>
    <row r="556" spans="1:5" x14ac:dyDescent="0.25">
      <c r="A556" t="str">
        <f>HYPERLINK("https://www.773grp.com/globalSearch/MMSZ4689T1/page-1", "MMSZ4689T1")</f>
        <v>MMSZ4689T1</v>
      </c>
      <c r="B556" s="3" t="str">
        <f>HYPERLINK("https://www.773grp.com/manufacturer/onsemi?pageNo=555", "Onsemi")</f>
        <v>Onsemi</v>
      </c>
      <c r="C556" s="6">
        <v>134000</v>
      </c>
      <c r="D556" s="7">
        <v>0.23</v>
      </c>
    </row>
    <row r="557" spans="1:5" x14ac:dyDescent="0.25">
      <c r="A557" t="str">
        <f>HYPERLINK("https://www.773grp.com/globalSearch/MMSZ4689T3/page-1", "MMSZ4689T3")</f>
        <v>MMSZ4689T3</v>
      </c>
      <c r="B557" s="3" t="str">
        <f>HYPERLINK("https://www.773grp.com/manufacturer/onsemi?pageNo=556", "Onsemi")</f>
        <v>Onsemi</v>
      </c>
      <c r="C557" s="6">
        <v>80000</v>
      </c>
      <c r="D557" s="7">
        <v>0.23</v>
      </c>
      <c r="E557" t="s">
        <v>77</v>
      </c>
    </row>
    <row r="558" spans="1:5" x14ac:dyDescent="0.25">
      <c r="A558" t="str">
        <f>HYPERLINK("https://www.773grp.com/globalSearch/MMSZ4690T1/page-1", "MMSZ4690T1")</f>
        <v>MMSZ4690T1</v>
      </c>
      <c r="B558" s="3" t="str">
        <f>HYPERLINK("https://www.773grp.com/manufacturer/onsemi?pageNo=557", "Onsemi")</f>
        <v>Onsemi</v>
      </c>
      <c r="C558" s="6">
        <v>32200</v>
      </c>
      <c r="D558" s="7">
        <v>0.23</v>
      </c>
    </row>
    <row r="559" spans="1:5" x14ac:dyDescent="0.25">
      <c r="A559" t="str">
        <f>HYPERLINK("https://www.773grp.com/globalSearch/MMSZ4697T1/page-1", "MMSZ4697T1")</f>
        <v>MMSZ4697T1</v>
      </c>
      <c r="B559" s="3" t="str">
        <f>HYPERLINK("https://www.773grp.com/manufacturer/onsemi?pageNo=558", "Onsemi")</f>
        <v>Onsemi</v>
      </c>
      <c r="C559" s="6">
        <v>23000</v>
      </c>
      <c r="D559" s="7">
        <v>0.23</v>
      </c>
    </row>
    <row r="560" spans="1:5" x14ac:dyDescent="0.25">
      <c r="A560" t="str">
        <f>HYPERLINK("https://www.773grp.com/globalSearch/MMSZ4700T1G/page-1", "MMSZ4700T1G")</f>
        <v>MMSZ4700T1G</v>
      </c>
      <c r="B560" s="3" t="str">
        <f>HYPERLINK("https://www.773grp.com/manufacturer/onsemi?pageNo=559", "Onsemi")</f>
        <v>Onsemi</v>
      </c>
      <c r="C560" s="6">
        <v>84000</v>
      </c>
      <c r="D560" s="7">
        <v>0.23</v>
      </c>
      <c r="E560" t="s">
        <v>77</v>
      </c>
    </row>
    <row r="561" spans="1:5" x14ac:dyDescent="0.25">
      <c r="A561" t="str">
        <f>HYPERLINK("https://www.773grp.com/globalSearch/MMSZ4702T1/page-1", "MMSZ4702T1")</f>
        <v>MMSZ4702T1</v>
      </c>
      <c r="B561" s="3" t="str">
        <f>HYPERLINK("https://www.773grp.com/manufacturer/onsemi?pageNo=560", "Onsemi")</f>
        <v>Onsemi</v>
      </c>
      <c r="C561" s="6">
        <v>13000</v>
      </c>
      <c r="D561" s="7">
        <v>0.23</v>
      </c>
      <c r="E561" t="s">
        <v>77</v>
      </c>
    </row>
    <row r="562" spans="1:5" x14ac:dyDescent="0.25">
      <c r="A562" t="str">
        <f>HYPERLINK("https://www.773grp.com/globalSearch/MMSZ4703T1G/page-1", "MMSZ4703T1G")</f>
        <v>MMSZ4703T1G</v>
      </c>
      <c r="B562" s="3" t="str">
        <f>HYPERLINK("https://www.773grp.com/manufacturer/onsemi?pageNo=561", "Onsemi")</f>
        <v>Onsemi</v>
      </c>
      <c r="C562" s="6">
        <v>411654</v>
      </c>
      <c r="D562" s="7">
        <v>0.23</v>
      </c>
      <c r="E562" t="s">
        <v>77</v>
      </c>
    </row>
    <row r="563" spans="1:5" x14ac:dyDescent="0.25">
      <c r="A563" t="str">
        <f>HYPERLINK("https://www.773grp.com/globalSearch/MMSZ4707T1G/page-1", "MMSZ4707T1G")</f>
        <v>MMSZ4707T1G</v>
      </c>
      <c r="B563" s="3" t="str">
        <f>HYPERLINK("https://www.773grp.com/manufacturer/onsemi?pageNo=562", "Onsemi")</f>
        <v>Onsemi</v>
      </c>
      <c r="C563" s="6">
        <v>49534</v>
      </c>
      <c r="D563" s="7">
        <v>0.23</v>
      </c>
      <c r="E563" t="s">
        <v>77</v>
      </c>
    </row>
    <row r="564" spans="1:5" x14ac:dyDescent="0.25">
      <c r="A564" t="str">
        <f>HYPERLINK("https://www.773grp.com/globalSearch/MMSZ4710T1G/page-1", "MMSZ4710T1G")</f>
        <v>MMSZ4710T1G</v>
      </c>
      <c r="B564" s="3" t="str">
        <f>HYPERLINK("https://www.773grp.com/manufacturer/onsemi?pageNo=563", "Onsemi")</f>
        <v>Onsemi</v>
      </c>
      <c r="C564" s="6">
        <v>120000</v>
      </c>
      <c r="D564" s="7">
        <v>0.23</v>
      </c>
      <c r="E564" t="s">
        <v>77</v>
      </c>
    </row>
    <row r="565" spans="1:5" x14ac:dyDescent="0.25">
      <c r="A565" t="str">
        <f>HYPERLINK("https://www.773grp.com/globalSearch/MMSZ4713T1G/page-1", "MMSZ4713T1G")</f>
        <v>MMSZ4713T1G</v>
      </c>
      <c r="B565" s="3" t="str">
        <f>HYPERLINK("https://www.773grp.com/manufacturer/onsemi?pageNo=564", "Onsemi")</f>
        <v>Onsemi</v>
      </c>
      <c r="C565" s="6">
        <v>33000</v>
      </c>
      <c r="D565" s="7">
        <v>0.23</v>
      </c>
      <c r="E565" t="s">
        <v>77</v>
      </c>
    </row>
    <row r="566" spans="1:5" x14ac:dyDescent="0.25">
      <c r="A566" t="str">
        <f>HYPERLINK("https://www.773grp.com/globalSearch/MMSZ4717T1G/page-1", "MMSZ4717T1G")</f>
        <v>MMSZ4717T1G</v>
      </c>
      <c r="B566" s="3" t="str">
        <f>HYPERLINK("https://www.773grp.com/manufacturer/onsemi?pageNo=565", "Onsemi")</f>
        <v>Onsemi</v>
      </c>
      <c r="C566" s="6">
        <v>48262</v>
      </c>
      <c r="D566" s="7">
        <v>0.23</v>
      </c>
      <c r="E566" t="s">
        <v>77</v>
      </c>
    </row>
    <row r="567" spans="1:5" x14ac:dyDescent="0.25">
      <c r="A567" t="str">
        <f>HYPERLINK("https://www.773grp.com/globalSearch/MMSZ5226BT1/page-1", "MMSZ5226BT1")</f>
        <v>MMSZ5226BT1</v>
      </c>
      <c r="B567" s="3" t="str">
        <f>HYPERLINK("https://www.773grp.com/manufacturer/onsemi?pageNo=566", "Onsemi")</f>
        <v>Onsemi</v>
      </c>
      <c r="C567" s="6">
        <v>5900</v>
      </c>
      <c r="D567" s="7">
        <v>0.23</v>
      </c>
      <c r="E567" t="s">
        <v>77</v>
      </c>
    </row>
    <row r="568" spans="1:5" x14ac:dyDescent="0.25">
      <c r="A568" t="str">
        <f>HYPERLINK("https://www.773grp.com/globalSearch/MMSZ5238ET1/page-1", "MMSZ5238ET1")</f>
        <v>MMSZ5238ET1</v>
      </c>
      <c r="B568" s="3" t="str">
        <f>HYPERLINK("https://www.773grp.com/manufacturer/onsemi?pageNo=567", "Onsemi")</f>
        <v>Onsemi</v>
      </c>
      <c r="C568" s="6">
        <v>9000</v>
      </c>
      <c r="D568" s="7">
        <v>0.23</v>
      </c>
    </row>
    <row r="569" spans="1:5" x14ac:dyDescent="0.25">
      <c r="A569" t="str">
        <f>HYPERLINK("https://www.773grp.com/globalSearch/MMSZ5255ET1/page-1", "MMSZ5255ET1")</f>
        <v>MMSZ5255ET1</v>
      </c>
      <c r="B569" s="3" t="str">
        <f>HYPERLINK("https://www.773grp.com/manufacturer/onsemi?pageNo=568", "Onsemi")</f>
        <v>Onsemi</v>
      </c>
      <c r="C569" s="6">
        <v>21000</v>
      </c>
      <c r="D569" s="7">
        <v>0.23</v>
      </c>
      <c r="E569" t="s">
        <v>77</v>
      </c>
    </row>
    <row r="570" spans="1:5" x14ac:dyDescent="0.25">
      <c r="A570" t="str">
        <f>HYPERLINK("https://www.773grp.com/globalSearch/MMSZ5257BT1/page-1", "MMSZ5257BT1")</f>
        <v>MMSZ5257BT1</v>
      </c>
      <c r="B570" s="3" t="str">
        <f>HYPERLINK("https://www.773grp.com/manufacturer/onsemi?pageNo=569", "Onsemi")</f>
        <v>Onsemi</v>
      </c>
      <c r="C570" s="6">
        <v>3000</v>
      </c>
      <c r="D570" s="7">
        <v>0.23</v>
      </c>
      <c r="E570" t="s">
        <v>77</v>
      </c>
    </row>
    <row r="571" spans="1:5" x14ac:dyDescent="0.25">
      <c r="A571" t="str">
        <f>HYPERLINK("https://www.773grp.com/globalSearch/MPS2111/page-1", "MPS2111")</f>
        <v>MPS2111</v>
      </c>
      <c r="B571" s="3" t="str">
        <f>HYPERLINK("https://www.773grp.com/manufacturer/onsemi?pageNo=570", "Onsemi")</f>
        <v>Onsemi</v>
      </c>
      <c r="C571" s="6">
        <v>5000</v>
      </c>
      <c r="D571" s="7">
        <v>0.23</v>
      </c>
    </row>
    <row r="572" spans="1:5" x14ac:dyDescent="0.25">
      <c r="A572" t="str">
        <f>HYPERLINK("https://www.773grp.com/globalSearch/MPS2222AG/page-1", "MPS2222AG")</f>
        <v>MPS2222AG</v>
      </c>
      <c r="B572" s="3" t="str">
        <f>HYPERLINK("https://www.773grp.com/manufacturer/onsemi?pageNo=571", "Onsemi")</f>
        <v>Onsemi</v>
      </c>
      <c r="C572" s="6">
        <v>60540</v>
      </c>
      <c r="D572" s="7">
        <v>0.23</v>
      </c>
      <c r="E572" t="s">
        <v>57</v>
      </c>
    </row>
    <row r="573" spans="1:5" x14ac:dyDescent="0.25">
      <c r="A573" t="str">
        <f>HYPERLINK("https://www.773grp.com/globalSearch/MPS2222ARLG/page-1", "MPS2222ARLG")</f>
        <v>MPS2222ARLG</v>
      </c>
      <c r="B573" s="3" t="str">
        <f>HYPERLINK("https://www.773grp.com/manufacturer/onsemi?pageNo=572", "Onsemi")</f>
        <v>Onsemi</v>
      </c>
      <c r="C573" s="6">
        <v>32000</v>
      </c>
      <c r="D573" s="7">
        <v>0.23</v>
      </c>
      <c r="E573" t="s">
        <v>57</v>
      </c>
    </row>
    <row r="574" spans="1:5" x14ac:dyDescent="0.25">
      <c r="A574" t="str">
        <f>HYPERLINK("https://www.773grp.com/globalSearch/MPS2222ARLRAG/page-1", "MPS2222ARLRAG")</f>
        <v>MPS2222ARLRAG</v>
      </c>
      <c r="B574" s="3" t="str">
        <f>HYPERLINK("https://www.773grp.com/manufacturer/onsemi?pageNo=573", "Onsemi")</f>
        <v>Onsemi</v>
      </c>
      <c r="C574" s="6">
        <v>965</v>
      </c>
      <c r="D574" s="7">
        <v>0.23</v>
      </c>
      <c r="E574" t="s">
        <v>57</v>
      </c>
    </row>
    <row r="575" spans="1:5" x14ac:dyDescent="0.25">
      <c r="A575" t="str">
        <f>HYPERLINK("https://www.773grp.com/globalSearch/MPS2222ARLRMG/page-1", "MPS2222ARLRMG")</f>
        <v>MPS2222ARLRMG</v>
      </c>
      <c r="B575" s="3" t="str">
        <f>HYPERLINK("https://www.773grp.com/manufacturer/onsemi?pageNo=574", "Onsemi")</f>
        <v>Onsemi</v>
      </c>
      <c r="C575" s="6">
        <v>40000</v>
      </c>
      <c r="D575" s="7">
        <v>0.23</v>
      </c>
      <c r="E575" t="s">
        <v>57</v>
      </c>
    </row>
    <row r="576" spans="1:5" x14ac:dyDescent="0.25">
      <c r="A576" t="str">
        <f>HYPERLINK("https://www.773grp.com/globalSearch/MPS6521G/page-1", "MPS6521G")</f>
        <v>MPS6521G</v>
      </c>
      <c r="B576" s="3" t="str">
        <f>HYPERLINK("https://www.773grp.com/manufacturer/onsemi?pageNo=575", "Onsemi")</f>
        <v>Onsemi</v>
      </c>
      <c r="C576" s="6">
        <v>57250</v>
      </c>
      <c r="D576" s="7">
        <v>0.23</v>
      </c>
      <c r="E576" t="s">
        <v>57</v>
      </c>
    </row>
    <row r="577" spans="1:5" x14ac:dyDescent="0.25">
      <c r="A577" t="str">
        <f>HYPERLINK("https://www.773grp.com/globalSearch/MPS6523G/page-1", "MPS6523G")</f>
        <v>MPS6523G</v>
      </c>
      <c r="B577" s="3" t="str">
        <f>HYPERLINK("https://www.773grp.com/manufacturer/onsemi?pageNo=576", "Onsemi")</f>
        <v>Onsemi</v>
      </c>
      <c r="C577" s="6">
        <v>7075</v>
      </c>
      <c r="D577" s="7">
        <v>0.23</v>
      </c>
      <c r="E577" t="s">
        <v>57</v>
      </c>
    </row>
    <row r="578" spans="1:5" x14ac:dyDescent="0.25">
      <c r="A578" t="str">
        <f>HYPERLINK("https://www.773grp.com/globalSearch/MPS6560/page-1", "MPS6560")</f>
        <v>MPS6560</v>
      </c>
      <c r="B578" s="3" t="str">
        <f>HYPERLINK("https://www.773grp.com/manufacturer/onsemi?pageNo=577", "Onsemi")</f>
        <v>Onsemi</v>
      </c>
      <c r="C578" s="6">
        <v>8462</v>
      </c>
      <c r="D578" s="7">
        <v>0.23</v>
      </c>
      <c r="E578" t="s">
        <v>57</v>
      </c>
    </row>
    <row r="579" spans="1:5" x14ac:dyDescent="0.25">
      <c r="A579" t="str">
        <f>HYPERLINK("https://www.773grp.com/globalSearch/MPS6601/page-1", "MPS6601")</f>
        <v>MPS6601</v>
      </c>
      <c r="B579" s="3" t="str">
        <f>HYPERLINK("https://www.773grp.com/manufacturer/onsemi?pageNo=578", "Onsemi")</f>
        <v>Onsemi</v>
      </c>
      <c r="C579" s="6">
        <v>54000</v>
      </c>
      <c r="D579" s="7">
        <v>0.23</v>
      </c>
      <c r="E579" t="s">
        <v>57</v>
      </c>
    </row>
    <row r="580" spans="1:5" x14ac:dyDescent="0.25">
      <c r="A580" t="str">
        <f>HYPERLINK("https://www.773grp.com/globalSearch/MPS6651/page-1", "MPS6651")</f>
        <v>MPS6651</v>
      </c>
      <c r="B580" s="3" t="str">
        <f>HYPERLINK("https://www.773grp.com/manufacturer/onsemi?pageNo=579", "Onsemi")</f>
        <v>Onsemi</v>
      </c>
      <c r="C580" s="6">
        <v>921</v>
      </c>
      <c r="D580" s="7">
        <v>0.23</v>
      </c>
      <c r="E580" t="s">
        <v>57</v>
      </c>
    </row>
    <row r="581" spans="1:5" x14ac:dyDescent="0.25">
      <c r="A581" t="str">
        <f>HYPERLINK("https://www.773grp.com/globalSearch/MPS6652/page-1", "MPS6652")</f>
        <v>MPS6652</v>
      </c>
      <c r="B581" s="3" t="str">
        <f>HYPERLINK("https://www.773grp.com/manufacturer/onsemi?pageNo=580", "Onsemi")</f>
        <v>Onsemi</v>
      </c>
      <c r="C581" s="6">
        <v>4000</v>
      </c>
      <c r="D581" s="7">
        <v>0.23</v>
      </c>
      <c r="E581" t="s">
        <v>57</v>
      </c>
    </row>
    <row r="582" spans="1:5" x14ac:dyDescent="0.25">
      <c r="A582" t="str">
        <f>HYPERLINK("https://www.773grp.com/globalSearch/MPS750RLRP/page-1", "MPS750RLRP")</f>
        <v>MPS750RLRP</v>
      </c>
      <c r="B582" s="3" t="str">
        <f>HYPERLINK("https://www.773grp.com/manufacturer/onsemi?pageNo=581", "Onsemi")</f>
        <v>Onsemi</v>
      </c>
      <c r="C582" s="6">
        <v>28000</v>
      </c>
      <c r="D582" s="7">
        <v>0.23</v>
      </c>
      <c r="E582" t="s">
        <v>57</v>
      </c>
    </row>
    <row r="583" spans="1:5" x14ac:dyDescent="0.25">
      <c r="A583" t="str">
        <f>HYPERLINK("https://www.773grp.com/globalSearch/MPS8599RLRA/page-1", "MPS8599RLRA")</f>
        <v>MPS8599RLRA</v>
      </c>
      <c r="B583" s="3" t="str">
        <f>HYPERLINK("https://www.773grp.com/manufacturer/onsemi?pageNo=582", "Onsemi")</f>
        <v>Onsemi</v>
      </c>
      <c r="C583" s="6">
        <v>38200</v>
      </c>
      <c r="D583" s="7">
        <v>0.23</v>
      </c>
      <c r="E583" t="s">
        <v>57</v>
      </c>
    </row>
    <row r="584" spans="1:5" x14ac:dyDescent="0.25">
      <c r="A584" t="str">
        <f>HYPERLINK("https://www.773grp.com/globalSearch/MPSA94/page-1", "MPSA94")</f>
        <v>MPSA94</v>
      </c>
      <c r="B584" s="3" t="str">
        <f>HYPERLINK("https://www.773grp.com/manufacturer/onsemi?pageNo=583", "Onsemi")</f>
        <v>Onsemi</v>
      </c>
      <c r="C584" s="6">
        <v>1598475</v>
      </c>
      <c r="D584" s="7">
        <v>0.23</v>
      </c>
      <c r="E584" t="s">
        <v>57</v>
      </c>
    </row>
    <row r="585" spans="1:5" x14ac:dyDescent="0.25">
      <c r="A585" t="str">
        <f>HYPERLINK("https://www.773grp.com/globalSearch/MRA4003T3/page-1", "MRA4003T3")</f>
        <v>MRA4003T3</v>
      </c>
      <c r="B585" s="3" t="str">
        <f>HYPERLINK("https://www.773grp.com/manufacturer/onsemi?pageNo=584", "Onsemi")</f>
        <v>Onsemi</v>
      </c>
      <c r="C585" s="6">
        <v>20</v>
      </c>
      <c r="D585" s="7">
        <v>0.23</v>
      </c>
      <c r="E585" t="s">
        <v>73</v>
      </c>
    </row>
    <row r="586" spans="1:5" x14ac:dyDescent="0.25">
      <c r="A586" t="str">
        <f>HYPERLINK("https://www.773grp.com/globalSearch/MRA4004T3/page-1", "MRA4004T3")</f>
        <v>MRA4004T3</v>
      </c>
      <c r="B586" s="3" t="str">
        <f>HYPERLINK("https://www.773grp.com/manufacturer/onsemi?pageNo=585", "Onsemi")</f>
        <v>Onsemi</v>
      </c>
      <c r="C586" s="6">
        <v>83616</v>
      </c>
      <c r="D586" s="7">
        <v>0.23</v>
      </c>
      <c r="E586" t="s">
        <v>73</v>
      </c>
    </row>
    <row r="587" spans="1:5" x14ac:dyDescent="0.25">
      <c r="A587" t="str">
        <f>HYPERLINK("https://www.773grp.com/globalSearch/MRA4007T3/page-1", "MRA4007T3")</f>
        <v>MRA4007T3</v>
      </c>
      <c r="B587" s="3" t="str">
        <f>HYPERLINK("https://www.773grp.com/manufacturer/onsemi?pageNo=586", "Onsemi")</f>
        <v>Onsemi</v>
      </c>
      <c r="C587" s="6">
        <v>20790</v>
      </c>
      <c r="D587" s="7">
        <v>0.23</v>
      </c>
      <c r="E587" t="s">
        <v>73</v>
      </c>
    </row>
    <row r="588" spans="1:5" x14ac:dyDescent="0.25">
      <c r="A588" t="str">
        <f>HYPERLINK("https://www.773grp.com/globalSearch/MSA1162YT1G/page-1", "MSA1162YT1G")</f>
        <v>MSA1162YT1G</v>
      </c>
      <c r="B588" s="3" t="str">
        <f>HYPERLINK("https://www.773grp.com/manufacturer/onsemi?pageNo=587", "Onsemi")</f>
        <v>Onsemi</v>
      </c>
      <c r="C588" s="6">
        <v>768000</v>
      </c>
      <c r="D588" s="7">
        <v>0.23</v>
      </c>
      <c r="E588" t="s">
        <v>57</v>
      </c>
    </row>
    <row r="589" spans="1:5" x14ac:dyDescent="0.25">
      <c r="A589" t="str">
        <f>HYPERLINK("https://www.773grp.com/globalSearch/MSB709-RT1G/page-1", "MSB709-RT1G")</f>
        <v>MSB709-RT1G</v>
      </c>
      <c r="B589" s="3" t="str">
        <f>HYPERLINK("https://www.773grp.com/manufacturer/onsemi?pageNo=588", "Onsemi")</f>
        <v>Onsemi</v>
      </c>
      <c r="C589" s="6">
        <v>545448</v>
      </c>
      <c r="D589" s="7">
        <v>0.23</v>
      </c>
      <c r="E589" t="s">
        <v>57</v>
      </c>
    </row>
    <row r="590" spans="1:5" x14ac:dyDescent="0.25">
      <c r="A590" t="str">
        <f>HYPERLINK("https://www.773grp.com/globalSearch/MSD1328-RT1G/page-1", "MSD1328-RT1G")</f>
        <v>MSD1328-RT1G</v>
      </c>
      <c r="B590" s="3" t="str">
        <f>HYPERLINK("https://www.773grp.com/manufacturer/onsemi?pageNo=589", "Onsemi")</f>
        <v>Onsemi</v>
      </c>
      <c r="C590" s="6">
        <v>1089000</v>
      </c>
      <c r="D590" s="7">
        <v>0.23</v>
      </c>
      <c r="E590" t="s">
        <v>57</v>
      </c>
    </row>
    <row r="591" spans="1:5" x14ac:dyDescent="0.25">
      <c r="A591" t="str">
        <f>HYPERLINK("https://www.773grp.com/globalSearch/MSD601-ST1G/page-1", "MSD601-ST1G")</f>
        <v>MSD601-ST1G</v>
      </c>
      <c r="B591" s="3" t="str">
        <f>HYPERLINK("https://www.773grp.com/manufacturer/onsemi?pageNo=590", "Onsemi")</f>
        <v>Onsemi</v>
      </c>
      <c r="C591" s="6">
        <v>1158000</v>
      </c>
      <c r="D591" s="7">
        <v>0.23</v>
      </c>
      <c r="E591" t="s">
        <v>57</v>
      </c>
    </row>
    <row r="592" spans="1:5" x14ac:dyDescent="0.25">
      <c r="A592" t="str">
        <f>HYPERLINK("https://www.773grp.com/globalSearch/MUN2112T1/page-1", "MUN2112T1")</f>
        <v>MUN2112T1</v>
      </c>
      <c r="B592" s="3" t="str">
        <f>HYPERLINK("https://www.773grp.com/manufacturer/onsemi?pageNo=591", "Onsemi")</f>
        <v>Onsemi</v>
      </c>
      <c r="C592" s="6">
        <v>51000</v>
      </c>
      <c r="D592" s="7">
        <v>0.23</v>
      </c>
      <c r="E592" t="s">
        <v>57</v>
      </c>
    </row>
    <row r="593" spans="1:5" x14ac:dyDescent="0.25">
      <c r="A593" t="str">
        <f>HYPERLINK("https://www.773grp.com/globalSearch/MUN2211T1/page-1", "MUN2211T1")</f>
        <v>MUN2211T1</v>
      </c>
      <c r="B593" s="3" t="str">
        <f>HYPERLINK("https://www.773grp.com/manufacturer/onsemi?pageNo=592", "Onsemi")</f>
        <v>Onsemi</v>
      </c>
      <c r="C593" s="6">
        <v>97000</v>
      </c>
      <c r="D593" s="7">
        <v>0.23</v>
      </c>
      <c r="E593" t="s">
        <v>57</v>
      </c>
    </row>
    <row r="594" spans="1:5" x14ac:dyDescent="0.25">
      <c r="A594" t="str">
        <f>HYPERLINK("https://www.773grp.com/globalSearch/MUN2212T1/page-1", "MUN2212T1")</f>
        <v>MUN2212T1</v>
      </c>
      <c r="B594" s="3" t="str">
        <f>HYPERLINK("https://www.773grp.com/manufacturer/onsemi?pageNo=593", "Onsemi")</f>
        <v>Onsemi</v>
      </c>
      <c r="C594" s="6">
        <v>105000</v>
      </c>
      <c r="D594" s="7">
        <v>0.23</v>
      </c>
      <c r="E594" t="s">
        <v>57</v>
      </c>
    </row>
    <row r="595" spans="1:5" x14ac:dyDescent="0.25">
      <c r="A595" t="str">
        <f>HYPERLINK("https://www.773grp.com/globalSearch/MUN5114DW1T1/page-1", "MUN5114DW1T1")</f>
        <v>MUN5114DW1T1</v>
      </c>
      <c r="B595" s="3" t="str">
        <f>HYPERLINK("https://www.773grp.com/manufacturer/onsemi?pageNo=594", "Onsemi")</f>
        <v>Onsemi</v>
      </c>
      <c r="C595" s="6">
        <v>105000</v>
      </c>
      <c r="D595" s="7">
        <v>0.23</v>
      </c>
      <c r="E595" t="s">
        <v>57</v>
      </c>
    </row>
    <row r="596" spans="1:5" x14ac:dyDescent="0.25">
      <c r="A596" t="str">
        <f>HYPERLINK("https://www.773grp.com/globalSearch/MUN5116DW1T1/page-1", "MUN5116DW1T1")</f>
        <v>MUN5116DW1T1</v>
      </c>
      <c r="B596" s="3" t="str">
        <f>HYPERLINK("https://www.773grp.com/manufacturer/onsemi?pageNo=595", "Onsemi")</f>
        <v>Onsemi</v>
      </c>
      <c r="C596" s="6">
        <v>345000</v>
      </c>
      <c r="D596" s="7">
        <v>0.23</v>
      </c>
      <c r="E596" t="s">
        <v>57</v>
      </c>
    </row>
    <row r="597" spans="1:5" x14ac:dyDescent="0.25">
      <c r="A597" t="str">
        <f>HYPERLINK("https://www.773grp.com/globalSearch/MUN5212DW1T1/page-1", "MUN5212DW1T1")</f>
        <v>MUN5212DW1T1</v>
      </c>
      <c r="B597" s="3" t="str">
        <f>HYPERLINK("https://www.773grp.com/manufacturer/onsemi?pageNo=596", "Onsemi")</f>
        <v>Onsemi</v>
      </c>
      <c r="C597" s="6">
        <v>57000</v>
      </c>
      <c r="D597" s="7">
        <v>0.23</v>
      </c>
      <c r="E597" t="s">
        <v>57</v>
      </c>
    </row>
    <row r="598" spans="1:5" x14ac:dyDescent="0.25">
      <c r="A598" t="str">
        <f>HYPERLINK("https://www.773grp.com/globalSearch/MUN5213DW1T1/page-1", "MUN5213DW1T1")</f>
        <v>MUN5213DW1T1</v>
      </c>
      <c r="B598" s="3" t="str">
        <f>HYPERLINK("https://www.773grp.com/manufacturer/onsemi?pageNo=597", "Onsemi")</f>
        <v>Onsemi</v>
      </c>
      <c r="C598" s="6">
        <v>233800</v>
      </c>
      <c r="D598" s="7">
        <v>0.23</v>
      </c>
      <c r="E598" t="s">
        <v>57</v>
      </c>
    </row>
    <row r="599" spans="1:5" x14ac:dyDescent="0.25">
      <c r="A599" t="str">
        <f>HYPERLINK("https://www.773grp.com/globalSearch/MUN5213DW1T1G/page-1", "MUN5213DW1T1G")</f>
        <v>MUN5213DW1T1G</v>
      </c>
      <c r="B599" s="3" t="str">
        <f>HYPERLINK("https://www.773grp.com/manufacturer/onsemi?pageNo=598", "Onsemi")</f>
        <v>Onsemi</v>
      </c>
      <c r="C599" s="6">
        <v>216000</v>
      </c>
      <c r="D599" s="7">
        <v>0.23</v>
      </c>
      <c r="E599" t="s">
        <v>57</v>
      </c>
    </row>
    <row r="600" spans="1:5" x14ac:dyDescent="0.25">
      <c r="A600" t="str">
        <f>HYPERLINK("https://www.773grp.com/globalSearch/MUN5213TI/page-1", "MUN5213TI")</f>
        <v>MUN5213TI</v>
      </c>
      <c r="B600" s="3" t="str">
        <f>HYPERLINK("https://www.773grp.com/manufacturer/onsemi?pageNo=599", "Onsemi")</f>
        <v>Onsemi</v>
      </c>
      <c r="C600" s="6">
        <v>3000</v>
      </c>
      <c r="D600" s="7">
        <v>0.23</v>
      </c>
    </row>
    <row r="601" spans="1:5" x14ac:dyDescent="0.25">
      <c r="A601" t="str">
        <f>HYPERLINK("https://www.773grp.com/globalSearch/MUN5215DW1T1/page-1", "MUN5215DW1T1")</f>
        <v>MUN5215DW1T1</v>
      </c>
      <c r="B601" s="3" t="str">
        <f>HYPERLINK("https://www.773grp.com/manufacturer/onsemi?pageNo=600", "Onsemi")</f>
        <v>Onsemi</v>
      </c>
      <c r="C601" s="6">
        <v>76520</v>
      </c>
      <c r="D601" s="7">
        <v>0.23</v>
      </c>
      <c r="E601" t="s">
        <v>57</v>
      </c>
    </row>
    <row r="602" spans="1:5" x14ac:dyDescent="0.25">
      <c r="A602" t="str">
        <f>HYPERLINK("https://www.773grp.com/globalSearch/MUN5216DW1T1/page-1", "MUN5216DW1T1")</f>
        <v>MUN5216DW1T1</v>
      </c>
      <c r="B602" s="3" t="str">
        <f>HYPERLINK("https://www.773grp.com/manufacturer/onsemi?pageNo=601", "Onsemi")</f>
        <v>Onsemi</v>
      </c>
      <c r="C602" s="6">
        <v>24000</v>
      </c>
      <c r="D602" s="7">
        <v>0.23</v>
      </c>
      <c r="E602" t="s">
        <v>57</v>
      </c>
    </row>
    <row r="603" spans="1:5" x14ac:dyDescent="0.25">
      <c r="A603" t="str">
        <f>HYPERLINK("https://www.773grp.com/globalSearch/MUN5235DW1T1/page-1", "MUN5235DW1T1")</f>
        <v>MUN5235DW1T1</v>
      </c>
      <c r="B603" s="3" t="str">
        <f>HYPERLINK("https://www.773grp.com/manufacturer/onsemi?pageNo=602", "Onsemi")</f>
        <v>Onsemi</v>
      </c>
      <c r="C603" s="6">
        <v>567000</v>
      </c>
      <c r="D603" s="7">
        <v>0.23</v>
      </c>
      <c r="E603" t="s">
        <v>57</v>
      </c>
    </row>
    <row r="604" spans="1:5" x14ac:dyDescent="0.25">
      <c r="A604" t="str">
        <f>HYPERLINK("https://www.773grp.com/globalSearch/MUN5236DW1T1/page-1", "MUN5236DW1T1")</f>
        <v>MUN5236DW1T1</v>
      </c>
      <c r="B604" s="3" t="str">
        <f>HYPERLINK("https://www.773grp.com/manufacturer/onsemi?pageNo=603", "Onsemi")</f>
        <v>Onsemi</v>
      </c>
      <c r="C604" s="6">
        <v>35900</v>
      </c>
      <c r="D604" s="7">
        <v>0.23</v>
      </c>
      <c r="E604" t="s">
        <v>57</v>
      </c>
    </row>
    <row r="605" spans="1:5" x14ac:dyDescent="0.25">
      <c r="A605" t="str">
        <f>HYPERLINK("https://www.773grp.com/globalSearch/MUN5237DW1T1/page-1", "MUN5237DW1T1")</f>
        <v>MUN5237DW1T1</v>
      </c>
      <c r="B605" s="3" t="str">
        <f>HYPERLINK("https://www.773grp.com/manufacturer/onsemi?pageNo=604", "Onsemi")</f>
        <v>Onsemi</v>
      </c>
      <c r="C605" s="6">
        <v>39000</v>
      </c>
      <c r="D605" s="7">
        <v>0.23</v>
      </c>
      <c r="E605" t="s">
        <v>57</v>
      </c>
    </row>
    <row r="606" spans="1:5" x14ac:dyDescent="0.25">
      <c r="A606" t="str">
        <f>HYPERLINK("https://www.773grp.com/globalSearch/MUN5311DW1T1/page-1", "MUN5311DW1T1")</f>
        <v>MUN5311DW1T1</v>
      </c>
      <c r="B606" s="3" t="str">
        <f>HYPERLINK("https://www.773grp.com/manufacturer/onsemi?pageNo=605", "Onsemi")</f>
        <v>Onsemi</v>
      </c>
      <c r="C606" s="6">
        <v>18000</v>
      </c>
      <c r="D606" s="7">
        <v>0.23</v>
      </c>
      <c r="E606" t="s">
        <v>57</v>
      </c>
    </row>
    <row r="607" spans="1:5" x14ac:dyDescent="0.25">
      <c r="A607" t="str">
        <f>HYPERLINK("https://www.773grp.com/globalSearch/MUN5312DW1T1/page-1", "MUN5312DW1T1")</f>
        <v>MUN5312DW1T1</v>
      </c>
      <c r="B607" s="3" t="str">
        <f>HYPERLINK("https://www.773grp.com/manufacturer/onsemi?pageNo=606", "Onsemi")</f>
        <v>Onsemi</v>
      </c>
      <c r="C607" s="6">
        <v>15000</v>
      </c>
      <c r="D607" s="7">
        <v>0.23</v>
      </c>
      <c r="E607" t="s">
        <v>57</v>
      </c>
    </row>
    <row r="608" spans="1:5" x14ac:dyDescent="0.25">
      <c r="A608" t="str">
        <f>HYPERLINK("https://www.773grp.com/globalSearch/MUN5314DW1T1/page-1", "MUN5314DW1T1")</f>
        <v>MUN5314DW1T1</v>
      </c>
      <c r="B608" s="3" t="str">
        <f>HYPERLINK("https://www.773grp.com/manufacturer/onsemi?pageNo=607", "Onsemi")</f>
        <v>Onsemi</v>
      </c>
      <c r="C608" s="6">
        <v>279000</v>
      </c>
      <c r="D608" s="7">
        <v>0.23</v>
      </c>
      <c r="E608" t="s">
        <v>57</v>
      </c>
    </row>
    <row r="609" spans="1:5" x14ac:dyDescent="0.25">
      <c r="A609" t="str">
        <f>HYPERLINK("https://www.773grp.com/globalSearch/MUN5315DW1T1/page-1", "MUN5315DW1T1")</f>
        <v>MUN5315DW1T1</v>
      </c>
      <c r="B609" s="3" t="str">
        <f>HYPERLINK("https://www.773grp.com/manufacturer/onsemi?pageNo=608", "Onsemi")</f>
        <v>Onsemi</v>
      </c>
      <c r="C609" s="6">
        <v>57000</v>
      </c>
      <c r="D609" s="7">
        <v>0.23</v>
      </c>
      <c r="E609" t="s">
        <v>57</v>
      </c>
    </row>
    <row r="610" spans="1:5" x14ac:dyDescent="0.25">
      <c r="A610" t="str">
        <f>HYPERLINK("https://www.773grp.com/globalSearch/MUN5330DW1T1/page-1", "MUN5330DW1T1")</f>
        <v>MUN5330DW1T1</v>
      </c>
      <c r="B610" s="3" t="str">
        <f>HYPERLINK("https://www.773grp.com/manufacturer/onsemi?pageNo=609", "Onsemi")</f>
        <v>Onsemi</v>
      </c>
      <c r="C610" s="6">
        <v>105000</v>
      </c>
      <c r="D610" s="7">
        <v>0.23</v>
      </c>
      <c r="E610" t="s">
        <v>57</v>
      </c>
    </row>
    <row r="611" spans="1:5" x14ac:dyDescent="0.25">
      <c r="A611" t="str">
        <f>HYPERLINK("https://www.773grp.com/globalSearch/MUN5335DW1T1/page-1", "MUN5335DW1T1")</f>
        <v>MUN5335DW1T1</v>
      </c>
      <c r="B611" s="3" t="str">
        <f>HYPERLINK("https://www.773grp.com/manufacturer/onsemi?pageNo=610", "Onsemi")</f>
        <v>Onsemi</v>
      </c>
      <c r="C611" s="6">
        <v>90000</v>
      </c>
      <c r="D611" s="7">
        <v>0.23</v>
      </c>
      <c r="E611" t="s">
        <v>57</v>
      </c>
    </row>
    <row r="612" spans="1:5" x14ac:dyDescent="0.25">
      <c r="A612" t="str">
        <f>HYPERLINK("https://www.773grp.com/globalSearch/MUN5335DW1T2/page-1", "MUN5335DW1T2")</f>
        <v>MUN5335DW1T2</v>
      </c>
      <c r="B612" s="3" t="str">
        <f>HYPERLINK("https://www.773grp.com/manufacturer/onsemi?pageNo=611", "Onsemi")</f>
        <v>Onsemi</v>
      </c>
      <c r="C612" s="6">
        <v>5655</v>
      </c>
      <c r="D612" s="7">
        <v>0.23</v>
      </c>
      <c r="E612" t="s">
        <v>57</v>
      </c>
    </row>
    <row r="613" spans="1:5" x14ac:dyDescent="0.25">
      <c r="A613" t="str">
        <f>HYPERLINK("https://www.773grp.com/globalSearch/MURA215T3/page-1", "MURA215T3")</f>
        <v>MURA215T3</v>
      </c>
      <c r="B613" s="3" t="str">
        <f>HYPERLINK("https://www.773grp.com/manufacturer/onsemi?pageNo=612", "Onsemi")</f>
        <v>Onsemi</v>
      </c>
      <c r="C613" s="6">
        <v>20259</v>
      </c>
      <c r="D613" s="7">
        <v>0.23</v>
      </c>
      <c r="E613" t="s">
        <v>82</v>
      </c>
    </row>
    <row r="614" spans="1:5" x14ac:dyDescent="0.25">
      <c r="A614" t="str">
        <f>HYPERLINK("https://www.773grp.com/globalSearch/NL17SH14P5T5G/page-1", "NL17SH14P5T5G")</f>
        <v>NL17SH14P5T5G</v>
      </c>
      <c r="B614" s="3" t="str">
        <f>HYPERLINK("https://www.773grp.com/manufacturer/onsemi?pageNo=613", "Onsemi")</f>
        <v>Onsemi</v>
      </c>
      <c r="C614" s="6">
        <v>8000</v>
      </c>
      <c r="D614" s="7">
        <v>0.23</v>
      </c>
    </row>
    <row r="615" spans="1:5" x14ac:dyDescent="0.25">
      <c r="A615" t="str">
        <f>HYPERLINK("https://www.773grp.com/globalSearch/NL17SZ00DFT2/page-1", "NL17SZ00DFT2")</f>
        <v>NL17SZ00DFT2</v>
      </c>
      <c r="B615" s="3" t="str">
        <f>HYPERLINK("https://www.773grp.com/manufacturer/onsemi?pageNo=614", "Onsemi")</f>
        <v>Onsemi</v>
      </c>
      <c r="C615" s="6">
        <v>47851</v>
      </c>
      <c r="D615" s="7">
        <v>0.23</v>
      </c>
      <c r="E615" t="s">
        <v>27</v>
      </c>
    </row>
    <row r="616" spans="1:5" x14ac:dyDescent="0.25">
      <c r="A616" t="str">
        <f>HYPERLINK("https://www.773grp.com/globalSearch/NL17SZ00XV5T2/page-1", "NL17SZ00XV5T2")</f>
        <v>NL17SZ00XV5T2</v>
      </c>
      <c r="B616" s="3" t="str">
        <f>HYPERLINK("https://www.773grp.com/manufacturer/onsemi?pageNo=615", "Onsemi")</f>
        <v>Onsemi</v>
      </c>
      <c r="C616" s="6">
        <v>74226</v>
      </c>
      <c r="D616" s="7">
        <v>0.23</v>
      </c>
      <c r="E616" t="s">
        <v>27</v>
      </c>
    </row>
    <row r="617" spans="1:5" x14ac:dyDescent="0.25">
      <c r="A617" t="str">
        <f>HYPERLINK("https://www.773grp.com/globalSearch/NL17SZ02DFT2/page-1", "NL17SZ02DFT2")</f>
        <v>NL17SZ02DFT2</v>
      </c>
      <c r="B617" s="3" t="str">
        <f>HYPERLINK("https://www.773grp.com/manufacturer/onsemi?pageNo=616", "Onsemi")</f>
        <v>Onsemi</v>
      </c>
      <c r="C617" s="6">
        <v>35640</v>
      </c>
      <c r="D617" s="7">
        <v>0.23</v>
      </c>
      <c r="E617" t="s">
        <v>27</v>
      </c>
    </row>
    <row r="618" spans="1:5" x14ac:dyDescent="0.25">
      <c r="A618" t="str">
        <f>HYPERLINK("https://www.773grp.com/globalSearch/NL17SZ02XV5T2/page-1", "NL17SZ02XV5T2")</f>
        <v>NL17SZ02XV5T2</v>
      </c>
      <c r="B618" s="3" t="str">
        <f>HYPERLINK("https://www.773grp.com/manufacturer/onsemi?pageNo=617", "Onsemi")</f>
        <v>Onsemi</v>
      </c>
      <c r="C618" s="6">
        <v>7745</v>
      </c>
      <c r="D618" s="7">
        <v>0.23</v>
      </c>
      <c r="E618" t="s">
        <v>27</v>
      </c>
    </row>
    <row r="619" spans="1:5" x14ac:dyDescent="0.25">
      <c r="A619" t="str">
        <f>HYPERLINK("https://www.773grp.com/globalSearch/NL17SZ04DFT2/page-1", "NL17SZ04DFT2")</f>
        <v>NL17SZ04DFT2</v>
      </c>
      <c r="B619" s="3" t="str">
        <f>HYPERLINK("https://www.773grp.com/manufacturer/onsemi?pageNo=618", "Onsemi")</f>
        <v>Onsemi</v>
      </c>
      <c r="C619" s="6">
        <v>201000</v>
      </c>
      <c r="D619" s="7">
        <v>0.23</v>
      </c>
      <c r="E619" t="s">
        <v>27</v>
      </c>
    </row>
    <row r="620" spans="1:5" x14ac:dyDescent="0.25">
      <c r="A620" t="str">
        <f>HYPERLINK("https://www.773grp.com/globalSearch/NL17SZ04XV5T2/page-1", "NL17SZ04XV5T2")</f>
        <v>NL17SZ04XV5T2</v>
      </c>
      <c r="B620" s="3" t="str">
        <f>HYPERLINK("https://www.773grp.com/manufacturer/onsemi?pageNo=619", "Onsemi")</f>
        <v>Onsemi</v>
      </c>
      <c r="C620" s="6">
        <v>57250</v>
      </c>
      <c r="D620" s="7">
        <v>0.23</v>
      </c>
      <c r="E620" t="s">
        <v>27</v>
      </c>
    </row>
    <row r="621" spans="1:5" x14ac:dyDescent="0.25">
      <c r="A621" t="str">
        <f>HYPERLINK("https://www.773grp.com/globalSearch/NL17SZ06DFT2/page-1", "NL17SZ06DFT2")</f>
        <v>NL17SZ06DFT2</v>
      </c>
      <c r="B621" s="3" t="str">
        <f>HYPERLINK("https://www.773grp.com/manufacturer/onsemi?pageNo=620", "Onsemi")</f>
        <v>Onsemi</v>
      </c>
      <c r="C621" s="6">
        <v>24000</v>
      </c>
      <c r="D621" s="7">
        <v>0.23</v>
      </c>
      <c r="E621" t="s">
        <v>27</v>
      </c>
    </row>
    <row r="622" spans="1:5" x14ac:dyDescent="0.25">
      <c r="A622" t="str">
        <f>HYPERLINK("https://www.773grp.com/globalSearch/NL17SZ06XV5T2/page-1", "NL17SZ06XV5T2")</f>
        <v>NL17SZ06XV5T2</v>
      </c>
      <c r="B622" s="3" t="str">
        <f>HYPERLINK("https://www.773grp.com/manufacturer/onsemi?pageNo=621", "Onsemi")</f>
        <v>Onsemi</v>
      </c>
      <c r="C622" s="6">
        <v>8780</v>
      </c>
      <c r="D622" s="7">
        <v>0.23</v>
      </c>
      <c r="E622" t="s">
        <v>27</v>
      </c>
    </row>
    <row r="623" spans="1:5" x14ac:dyDescent="0.25">
      <c r="A623" t="str">
        <f>HYPERLINK("https://www.773grp.com/globalSearch/NL17SZ07DFT2/page-1", "NL17SZ07DFT2")</f>
        <v>NL17SZ07DFT2</v>
      </c>
      <c r="B623" s="3" t="str">
        <f>HYPERLINK("https://www.773grp.com/manufacturer/onsemi?pageNo=622", "Onsemi")</f>
        <v>Onsemi</v>
      </c>
      <c r="C623" s="6">
        <v>27000</v>
      </c>
      <c r="D623" s="7">
        <v>0.23</v>
      </c>
      <c r="E623" t="s">
        <v>27</v>
      </c>
    </row>
    <row r="624" spans="1:5" x14ac:dyDescent="0.25">
      <c r="A624" t="str">
        <f>HYPERLINK("https://www.773grp.com/globalSearch/NL17SZ07XV5T2/page-1", "NL17SZ07XV5T2")</f>
        <v>NL17SZ07XV5T2</v>
      </c>
      <c r="B624" s="3" t="str">
        <f>HYPERLINK("https://www.773grp.com/manufacturer/onsemi?pageNo=623", "Onsemi")</f>
        <v>Onsemi</v>
      </c>
      <c r="C624" s="6">
        <v>2006785</v>
      </c>
      <c r="D624" s="7">
        <v>0.23</v>
      </c>
      <c r="E624" t="s">
        <v>27</v>
      </c>
    </row>
    <row r="625" spans="1:5" x14ac:dyDescent="0.25">
      <c r="A625" t="str">
        <f>HYPERLINK("https://www.773grp.com/globalSearch/NL17SZ08DFT2/page-1", "NL17SZ08DFT2")</f>
        <v>NL17SZ08DFT2</v>
      </c>
      <c r="B625" s="3" t="str">
        <f>HYPERLINK("https://www.773grp.com/manufacturer/onsemi?pageNo=624", "Onsemi")</f>
        <v>Onsemi</v>
      </c>
      <c r="C625" s="6">
        <v>111450</v>
      </c>
      <c r="D625" s="7">
        <v>0.23</v>
      </c>
      <c r="E625" t="s">
        <v>27</v>
      </c>
    </row>
    <row r="626" spans="1:5" x14ac:dyDescent="0.25">
      <c r="A626" t="str">
        <f>HYPERLINK("https://www.773grp.com/globalSearch/NL17SZ08XV5T2/page-1", "NL17SZ08XV5T2")</f>
        <v>NL17SZ08XV5T2</v>
      </c>
      <c r="B626" s="3" t="str">
        <f>HYPERLINK("https://www.773grp.com/manufacturer/onsemi?pageNo=625", "Onsemi")</f>
        <v>Onsemi</v>
      </c>
      <c r="C626" s="6">
        <v>20990</v>
      </c>
      <c r="D626" s="7">
        <v>0.23</v>
      </c>
      <c r="E626" t="s">
        <v>27</v>
      </c>
    </row>
    <row r="627" spans="1:5" x14ac:dyDescent="0.25">
      <c r="A627" t="str">
        <f>HYPERLINK("https://www.773grp.com/globalSearch/NL17SZ125DFT2/page-1", "NL17SZ125DFT2")</f>
        <v>NL17SZ125DFT2</v>
      </c>
      <c r="B627" s="3" t="str">
        <f>HYPERLINK("https://www.773grp.com/manufacturer/onsemi?pageNo=626", "Onsemi")</f>
        <v>Onsemi</v>
      </c>
      <c r="C627" s="6">
        <v>73632</v>
      </c>
      <c r="D627" s="7">
        <v>0.23</v>
      </c>
      <c r="E627" t="s">
        <v>11</v>
      </c>
    </row>
    <row r="628" spans="1:5" x14ac:dyDescent="0.25">
      <c r="A628" t="str">
        <f>HYPERLINK("https://www.773grp.com/globalSearch/NL17SZ14XV5T2/page-1", "NL17SZ14XV5T2")</f>
        <v>NL17SZ14XV5T2</v>
      </c>
      <c r="B628" s="3" t="str">
        <f>HYPERLINK("https://www.773grp.com/manufacturer/onsemi?pageNo=627", "Onsemi")</f>
        <v>Onsemi</v>
      </c>
      <c r="C628" s="6">
        <v>2667</v>
      </c>
      <c r="D628" s="7">
        <v>0.23</v>
      </c>
      <c r="E628" t="s">
        <v>27</v>
      </c>
    </row>
    <row r="629" spans="1:5" x14ac:dyDescent="0.25">
      <c r="A629" t="str">
        <f>HYPERLINK("https://www.773grp.com/globalSearch/NL17SZ16DFT2/page-1", "NL17SZ16DFT2")</f>
        <v>NL17SZ16DFT2</v>
      </c>
      <c r="B629" s="3" t="str">
        <f>HYPERLINK("https://www.773grp.com/manufacturer/onsemi?pageNo=628", "Onsemi")</f>
        <v>Onsemi</v>
      </c>
      <c r="C629" s="6">
        <v>339000</v>
      </c>
      <c r="D629" s="7">
        <v>0.23</v>
      </c>
      <c r="E629" t="s">
        <v>27</v>
      </c>
    </row>
    <row r="630" spans="1:5" x14ac:dyDescent="0.25">
      <c r="A630" t="str">
        <f>HYPERLINK("https://www.773grp.com/globalSearch/NL17SZ16XV5T2/page-1", "NL17SZ16XV5T2")</f>
        <v>NL17SZ16XV5T2</v>
      </c>
      <c r="B630" s="3" t="str">
        <f>HYPERLINK("https://www.773grp.com/manufacturer/onsemi?pageNo=629", "Onsemi")</f>
        <v>Onsemi</v>
      </c>
      <c r="C630" s="6">
        <v>6616</v>
      </c>
      <c r="D630" s="7">
        <v>0.23</v>
      </c>
      <c r="E630" t="s">
        <v>27</v>
      </c>
    </row>
    <row r="631" spans="1:5" x14ac:dyDescent="0.25">
      <c r="A631" t="str">
        <f>HYPERLINK("https://www.773grp.com/globalSearch/NL17SZ17DFT2/page-1", "NL17SZ17DFT2")</f>
        <v>NL17SZ17DFT2</v>
      </c>
      <c r="B631" s="3" t="str">
        <f>HYPERLINK("https://www.773grp.com/manufacturer/onsemi?pageNo=630", "Onsemi")</f>
        <v>Onsemi</v>
      </c>
      <c r="C631" s="6">
        <v>122000</v>
      </c>
      <c r="D631" s="7">
        <v>0.23</v>
      </c>
      <c r="E631" t="s">
        <v>27</v>
      </c>
    </row>
    <row r="632" spans="1:5" x14ac:dyDescent="0.25">
      <c r="A632" t="str">
        <f>HYPERLINK("https://www.773grp.com/globalSearch/NL17SZ17XV5T2/page-1", "NL17SZ17XV5T2")</f>
        <v>NL17SZ17XV5T2</v>
      </c>
      <c r="B632" s="3" t="str">
        <f>HYPERLINK("https://www.773grp.com/manufacturer/onsemi?pageNo=631", "Onsemi")</f>
        <v>Onsemi</v>
      </c>
      <c r="C632" s="6">
        <v>130874</v>
      </c>
      <c r="D632" s="7">
        <v>0.23</v>
      </c>
      <c r="E632" t="s">
        <v>27</v>
      </c>
    </row>
    <row r="633" spans="1:5" x14ac:dyDescent="0.25">
      <c r="A633" t="str">
        <f>HYPERLINK("https://www.773grp.com/globalSearch/NL17SZ32DFT2/page-1", "NL17SZ32DFT2")</f>
        <v>NL17SZ32DFT2</v>
      </c>
      <c r="B633" s="3" t="str">
        <f>HYPERLINK("https://www.773grp.com/manufacturer/onsemi?pageNo=632", "Onsemi")</f>
        <v>Onsemi</v>
      </c>
      <c r="C633" s="6">
        <v>341225</v>
      </c>
      <c r="D633" s="7">
        <v>0.23</v>
      </c>
      <c r="E633" t="s">
        <v>27</v>
      </c>
    </row>
    <row r="634" spans="1:5" x14ac:dyDescent="0.25">
      <c r="A634" t="str">
        <f>HYPERLINK("https://www.773grp.com/globalSearch/NL17SZ32XV5T2/page-1", "NL17SZ32XV5T2")</f>
        <v>NL17SZ32XV5T2</v>
      </c>
      <c r="B634" s="3" t="str">
        <f>HYPERLINK("https://www.773grp.com/manufacturer/onsemi?pageNo=633", "Onsemi")</f>
        <v>Onsemi</v>
      </c>
      <c r="C634" s="6">
        <v>95642</v>
      </c>
      <c r="D634" s="7">
        <v>0.23</v>
      </c>
      <c r="E634" t="s">
        <v>27</v>
      </c>
    </row>
    <row r="635" spans="1:5" x14ac:dyDescent="0.25">
      <c r="A635" t="str">
        <f>HYPERLINK("https://www.773grp.com/globalSearch/NL17SZ86DFT2/page-1", "NL17SZ86DFT2")</f>
        <v>NL17SZ86DFT2</v>
      </c>
      <c r="B635" s="3" t="str">
        <f>HYPERLINK("https://www.773grp.com/manufacturer/onsemi?pageNo=634", "Onsemi")</f>
        <v>Onsemi</v>
      </c>
      <c r="C635" s="6">
        <v>17555</v>
      </c>
      <c r="D635" s="7">
        <v>0.23</v>
      </c>
      <c r="E635" t="s">
        <v>27</v>
      </c>
    </row>
    <row r="636" spans="1:5" x14ac:dyDescent="0.25">
      <c r="A636" t="str">
        <f>HYPERLINK("https://www.773grp.com/globalSearch/NL17SZU04DFT2/page-1", "NL17SZU04DFT2")</f>
        <v>NL17SZU04DFT2</v>
      </c>
      <c r="B636" s="3" t="str">
        <f>HYPERLINK("https://www.773grp.com/manufacturer/onsemi?pageNo=635", "Onsemi")</f>
        <v>Onsemi</v>
      </c>
      <c r="C636" s="6">
        <v>2879</v>
      </c>
      <c r="D636" s="7">
        <v>0.23</v>
      </c>
      <c r="E636" t="s">
        <v>27</v>
      </c>
    </row>
    <row r="637" spans="1:5" x14ac:dyDescent="0.25">
      <c r="A637" t="str">
        <f>HYPERLINK("https://www.773grp.com/globalSearch/NL17SZU04XV5T2/page-1", "NL17SZU04XV5T2")</f>
        <v>NL17SZU04XV5T2</v>
      </c>
      <c r="B637" s="3" t="str">
        <f>HYPERLINK("https://www.773grp.com/manufacturer/onsemi?pageNo=636", "Onsemi")</f>
        <v>Onsemi</v>
      </c>
      <c r="C637" s="6">
        <v>643960</v>
      </c>
      <c r="D637" s="7">
        <v>0.23</v>
      </c>
      <c r="E637" t="s">
        <v>27</v>
      </c>
    </row>
    <row r="638" spans="1:5" x14ac:dyDescent="0.25">
      <c r="A638" t="str">
        <f>HYPERLINK("https://www.773grp.com/globalSearch/NL17VHC1GT50DFT1/page-1", "NL17VHC1GT50DFT1")</f>
        <v>NL17VHC1GT50DFT1</v>
      </c>
      <c r="B638" s="3" t="str">
        <f>HYPERLINK("https://www.773grp.com/manufacturer/onsemi?pageNo=637", "Onsemi")</f>
        <v>Onsemi</v>
      </c>
      <c r="C638" s="6">
        <v>33000</v>
      </c>
      <c r="D638" s="7">
        <v>0.23</v>
      </c>
    </row>
    <row r="639" spans="1:5" x14ac:dyDescent="0.25">
      <c r="A639" t="str">
        <f>HYPERLINK("https://www.773grp.com/globalSearch/NLVVHC1G08DFT2/page-1", "NLVVHC1G08DFT2")</f>
        <v>NLVVHC1G08DFT2</v>
      </c>
      <c r="B639" s="3" t="str">
        <f>HYPERLINK("https://www.773grp.com/manufacturer/onsemi?pageNo=638", "Onsemi")</f>
        <v>Onsemi</v>
      </c>
      <c r="C639" s="6">
        <v>78000</v>
      </c>
      <c r="D639" s="7">
        <v>0.23</v>
      </c>
    </row>
    <row r="640" spans="1:5" x14ac:dyDescent="0.25">
      <c r="A640" t="str">
        <f>HYPERLINK("https://www.773grp.com/globalSearch/NLVVHC1G32DFT2/page-1", "NLVVHC1G32DFT2")</f>
        <v>NLVVHC1G32DFT2</v>
      </c>
      <c r="B640" s="3" t="str">
        <f>HYPERLINK("https://www.773grp.com/manufacturer/onsemi?pageNo=639", "Onsemi")</f>
        <v>Onsemi</v>
      </c>
      <c r="C640" s="6">
        <v>6000</v>
      </c>
      <c r="D640" s="7">
        <v>0.23</v>
      </c>
    </row>
    <row r="641" spans="1:5" x14ac:dyDescent="0.25">
      <c r="A641" t="str">
        <f>HYPERLINK("https://www.773grp.com/globalSearch/NP3100GARLG/page-1", "NP3100GARLG")</f>
        <v>NP3100GARLG</v>
      </c>
      <c r="B641" s="3" t="str">
        <f>HYPERLINK("https://www.773grp.com/manufacturer/onsemi?pageNo=640", "Onsemi")</f>
        <v>Onsemi</v>
      </c>
      <c r="C641" s="6">
        <v>5000</v>
      </c>
      <c r="D641" s="7">
        <v>0.23</v>
      </c>
      <c r="E641" t="s">
        <v>88</v>
      </c>
    </row>
    <row r="642" spans="1:5" x14ac:dyDescent="0.25">
      <c r="A642" t="str">
        <f>HYPERLINK("https://www.773grp.com/globalSearch/NP3100GBRLG/page-1", "NP3100GBRLG")</f>
        <v>NP3100GBRLG</v>
      </c>
      <c r="B642" s="3" t="str">
        <f>HYPERLINK("https://www.773grp.com/manufacturer/onsemi?pageNo=641", "Onsemi")</f>
        <v>Onsemi</v>
      </c>
      <c r="C642" s="6">
        <v>30000</v>
      </c>
      <c r="D642" s="7">
        <v>0.23</v>
      </c>
      <c r="E642" t="s">
        <v>88</v>
      </c>
    </row>
    <row r="643" spans="1:5" x14ac:dyDescent="0.25">
      <c r="A643" t="str">
        <f>HYPERLINK("https://www.773grp.com/globalSearch/NSB4904DW1T2G/page-1", "NSB4904DW1T2G")</f>
        <v>NSB4904DW1T2G</v>
      </c>
      <c r="B643" s="3" t="str">
        <f>HYPERLINK("https://www.773grp.com/manufacturer/onsemi?pageNo=642", "Onsemi")</f>
        <v>Onsemi</v>
      </c>
      <c r="C643" s="6">
        <v>78000</v>
      </c>
      <c r="D643" s="7">
        <v>0.23</v>
      </c>
      <c r="E643" t="s">
        <v>57</v>
      </c>
    </row>
    <row r="644" spans="1:5" x14ac:dyDescent="0.25">
      <c r="A644" t="str">
        <f>HYPERLINK("https://www.773grp.com/globalSearch/NSD16F3T5G/page-1", "NSD16F3T5G")</f>
        <v>NSD16F3T5G</v>
      </c>
      <c r="B644" s="3" t="str">
        <f>HYPERLINK("https://www.773grp.com/manufacturer/onsemi?pageNo=643", "Onsemi")</f>
        <v>Onsemi</v>
      </c>
      <c r="C644" s="6">
        <v>168000</v>
      </c>
      <c r="D644" s="7">
        <v>0.23</v>
      </c>
    </row>
    <row r="645" spans="1:5" x14ac:dyDescent="0.25">
      <c r="A645" t="str">
        <f>HYPERLINK("https://www.773grp.com/globalSearch/NSD914F3T5G/page-1", "NSD914F3T5G")</f>
        <v>NSD914F3T5G</v>
      </c>
      <c r="B645" s="3" t="str">
        <f>HYPERLINK("https://www.773grp.com/manufacturer/onsemi?pageNo=644", "Onsemi")</f>
        <v>Onsemi</v>
      </c>
      <c r="C645" s="6">
        <v>32000</v>
      </c>
      <c r="D645" s="7">
        <v>0.23</v>
      </c>
      <c r="E645" t="s">
        <v>73</v>
      </c>
    </row>
    <row r="646" spans="1:5" x14ac:dyDescent="0.25">
      <c r="A646" t="str">
        <f>HYPERLINK("https://www.773grp.com/globalSearch/NSD914XV2T1G/page-1", "NSD914XV2T1G")</f>
        <v>NSD914XV2T1G</v>
      </c>
      <c r="B646" s="3" t="str">
        <f>HYPERLINK("https://www.773grp.com/manufacturer/onsemi?pageNo=645", "Onsemi")</f>
        <v>Onsemi</v>
      </c>
      <c r="C646" s="6">
        <v>48000</v>
      </c>
      <c r="D646" s="7">
        <v>0.23</v>
      </c>
      <c r="E646" t="s">
        <v>73</v>
      </c>
    </row>
    <row r="647" spans="1:5" x14ac:dyDescent="0.25">
      <c r="A647" t="str">
        <f>HYPERLINK("https://www.773grp.com/globalSearch/NSR0240HT1G/page-1", "NSR0240HT1G")</f>
        <v>NSR0240HT1G</v>
      </c>
      <c r="B647" s="3" t="str">
        <f>HYPERLINK("https://www.773grp.com/manufacturer/onsemi?pageNo=646", "Onsemi")</f>
        <v>Onsemi</v>
      </c>
      <c r="C647" s="6">
        <v>70000</v>
      </c>
      <c r="D647" s="7">
        <v>0.23</v>
      </c>
      <c r="E647" t="s">
        <v>73</v>
      </c>
    </row>
    <row r="648" spans="1:5" x14ac:dyDescent="0.25">
      <c r="A648" t="str">
        <f>HYPERLINK("https://www.773grp.com/globalSearch/NSR0240V2T1G/page-1", "NSR0240V2T1G")</f>
        <v>NSR0240V2T1G</v>
      </c>
      <c r="B648" s="3" t="str">
        <f>HYPERLINK("https://www.773grp.com/manufacturer/onsemi?pageNo=647", "Onsemi")</f>
        <v>Onsemi</v>
      </c>
      <c r="C648" s="6">
        <v>129000</v>
      </c>
      <c r="D648" s="7">
        <v>0.23</v>
      </c>
      <c r="E648" t="s">
        <v>73</v>
      </c>
    </row>
    <row r="649" spans="1:5" x14ac:dyDescent="0.25">
      <c r="A649" t="str">
        <f>HYPERLINK("https://www.773grp.com/globalSearch/NSR0320MW2T1/page-1", "NSR0320MW2T1")</f>
        <v>NSR0320MW2T1</v>
      </c>
      <c r="B649" s="3" t="str">
        <f>HYPERLINK("https://www.773grp.com/manufacturer/onsemi?pageNo=648", "Onsemi")</f>
        <v>Onsemi</v>
      </c>
      <c r="C649" s="6">
        <v>5749</v>
      </c>
      <c r="D649" s="7">
        <v>0.23</v>
      </c>
      <c r="E649" t="s">
        <v>73</v>
      </c>
    </row>
    <row r="650" spans="1:5" x14ac:dyDescent="0.25">
      <c r="A650" t="str">
        <f>HYPERLINK("https://www.773grp.com/globalSearch/NSR0320MW2T1G/page-1", "NSR0320MW2T1G")</f>
        <v>NSR0320MW2T1G</v>
      </c>
      <c r="B650" s="3" t="str">
        <f>HYPERLINK("https://www.773grp.com/manufacturer/onsemi?pageNo=649", "Onsemi")</f>
        <v>Onsemi</v>
      </c>
      <c r="C650" s="6">
        <v>800245</v>
      </c>
      <c r="D650" s="7">
        <v>0.23</v>
      </c>
      <c r="E650" t="s">
        <v>73</v>
      </c>
    </row>
    <row r="651" spans="1:5" x14ac:dyDescent="0.25">
      <c r="A651" t="str">
        <f>HYPERLINK("https://www.773grp.com/globalSearch/NSR0320MW2T1H/page-1", "NSR0320MW2T1H")</f>
        <v>NSR0320MW2T1H</v>
      </c>
      <c r="B651" s="3" t="str">
        <f>HYPERLINK("https://www.773grp.com/manufacturer/onsemi?pageNo=650", "Onsemi")</f>
        <v>Onsemi</v>
      </c>
      <c r="C651" s="6">
        <v>39000</v>
      </c>
      <c r="D651" s="7">
        <v>0.23</v>
      </c>
    </row>
    <row r="652" spans="1:5" x14ac:dyDescent="0.25">
      <c r="A652" t="str">
        <f>HYPERLINK("https://www.773grp.com/globalSearch/NSR0320MW2T3G/page-1", "NSR0320MW2T3G")</f>
        <v>NSR0320MW2T3G</v>
      </c>
      <c r="B652" s="3" t="str">
        <f>HYPERLINK("https://www.773grp.com/manufacturer/onsemi?pageNo=651", "Onsemi")</f>
        <v>Onsemi</v>
      </c>
      <c r="C652" s="6">
        <v>20000</v>
      </c>
      <c r="D652" s="7">
        <v>0.23</v>
      </c>
      <c r="E652" t="s">
        <v>73</v>
      </c>
    </row>
    <row r="653" spans="1:5" x14ac:dyDescent="0.25">
      <c r="A653" t="str">
        <f>HYPERLINK("https://www.773grp.com/globalSearch/NSR0320XV6T1/page-1", "NSR0320XV6T1")</f>
        <v>NSR0320XV6T1</v>
      </c>
      <c r="B653" s="3" t="str">
        <f>HYPERLINK("https://www.773grp.com/manufacturer/onsemi?pageNo=652", "Onsemi")</f>
        <v>Onsemi</v>
      </c>
      <c r="C653" s="6">
        <v>35455</v>
      </c>
      <c r="D653" s="7">
        <v>0.23</v>
      </c>
      <c r="E653" t="s">
        <v>73</v>
      </c>
    </row>
    <row r="654" spans="1:5" x14ac:dyDescent="0.25">
      <c r="A654" t="str">
        <f>HYPERLINK("https://www.773grp.com/globalSearch/NSR0320XV6T5/page-1", "NSR0320XV6T5")</f>
        <v>NSR0320XV6T5</v>
      </c>
      <c r="B654" s="3" t="str">
        <f>HYPERLINK("https://www.773grp.com/manufacturer/onsemi?pageNo=653", "Onsemi")</f>
        <v>Onsemi</v>
      </c>
      <c r="C654" s="6">
        <v>7800</v>
      </c>
      <c r="D654" s="7">
        <v>0.23</v>
      </c>
      <c r="E654" t="s">
        <v>73</v>
      </c>
    </row>
    <row r="655" spans="1:5" x14ac:dyDescent="0.25">
      <c r="A655" t="str">
        <f>HYPERLINK("https://www.773grp.com/globalSearch/NSR0340V2T1G/page-1", "NSR0340V2T1G")</f>
        <v>NSR0340V2T1G</v>
      </c>
      <c r="B655" s="3" t="str">
        <f>HYPERLINK("https://www.773grp.com/manufacturer/onsemi?pageNo=654", "Onsemi")</f>
        <v>Onsemi</v>
      </c>
      <c r="C655" s="6">
        <v>120000</v>
      </c>
      <c r="D655" s="7">
        <v>0.23</v>
      </c>
    </row>
    <row r="656" spans="1:5" x14ac:dyDescent="0.25">
      <c r="A656" t="str">
        <f>HYPERLINK("https://www.773grp.com/globalSearch/NSR0520V2T1G/page-1", "NSR0520V2T1G")</f>
        <v>NSR0520V2T1G</v>
      </c>
      <c r="B656" s="3" t="str">
        <f>HYPERLINK("https://www.773grp.com/manufacturer/onsemi?pageNo=655", "Onsemi")</f>
        <v>Onsemi</v>
      </c>
      <c r="C656" s="6">
        <v>84000</v>
      </c>
      <c r="D656" s="7">
        <v>0.23</v>
      </c>
      <c r="E656" t="s">
        <v>73</v>
      </c>
    </row>
    <row r="657" spans="1:5" x14ac:dyDescent="0.25">
      <c r="A657" t="str">
        <f>HYPERLINK("https://www.773grp.com/globalSearch/NSR30CM3T5G/page-1", "NSR30CM3T5G")</f>
        <v>NSR30CM3T5G</v>
      </c>
      <c r="B657" s="3" t="str">
        <f>HYPERLINK("https://www.773grp.com/manufacturer/onsemi?pageNo=656", "Onsemi")</f>
        <v>Onsemi</v>
      </c>
      <c r="C657" s="6">
        <v>582583</v>
      </c>
      <c r="D657" s="7">
        <v>0.23</v>
      </c>
      <c r="E657" t="s">
        <v>73</v>
      </c>
    </row>
    <row r="658" spans="1:5" x14ac:dyDescent="0.25">
      <c r="A658" t="str">
        <f>HYPERLINK("https://www.773grp.com/globalSearch/NSRLV20MW2T1G/page-1", "NSRLV20MW2T1G")</f>
        <v>NSRLV20MW2T1G</v>
      </c>
      <c r="B658" s="3" t="str">
        <f>HYPERLINK("https://www.773grp.com/manufacturer/onsemi?pageNo=657", "Onsemi")</f>
        <v>Onsemi</v>
      </c>
      <c r="C658" s="6">
        <v>6000</v>
      </c>
      <c r="D658" s="7">
        <v>0.23</v>
      </c>
    </row>
    <row r="659" spans="1:5" x14ac:dyDescent="0.25">
      <c r="A659" t="str">
        <f>HYPERLINK("https://www.773grp.com/globalSearch/NSS20101JT1G/page-1", "NSS20101JT1G")</f>
        <v>NSS20101JT1G</v>
      </c>
      <c r="B659" s="3" t="str">
        <f>HYPERLINK("https://www.773grp.com/manufacturer/onsemi?pageNo=658", "Onsemi")</f>
        <v>Onsemi</v>
      </c>
      <c r="C659" s="6">
        <v>429000</v>
      </c>
      <c r="D659" s="7">
        <v>0.23</v>
      </c>
      <c r="E659" t="s">
        <v>57</v>
      </c>
    </row>
    <row r="660" spans="1:5" x14ac:dyDescent="0.25">
      <c r="A660" t="str">
        <f>HYPERLINK("https://www.773grp.com/globalSearch/NST3904F3T5G/page-1", "NST3904F3T5G")</f>
        <v>NST3904F3T5G</v>
      </c>
      <c r="B660" s="3" t="str">
        <f>HYPERLINK("https://www.773grp.com/manufacturer/onsemi?pageNo=659", "Onsemi")</f>
        <v>Onsemi</v>
      </c>
      <c r="C660" s="6">
        <v>40000</v>
      </c>
      <c r="D660" s="7">
        <v>0.23</v>
      </c>
    </row>
    <row r="661" spans="1:5" x14ac:dyDescent="0.25">
      <c r="A661" t="str">
        <f>HYPERLINK("https://www.773grp.com/globalSearch/NST3906DP6T5G/page-1", "NST3906DP6T5G")</f>
        <v>NST3906DP6T5G</v>
      </c>
      <c r="B661" s="3" t="str">
        <f>HYPERLINK("https://www.773grp.com/manufacturer/onsemi?pageNo=660", "Onsemi")</f>
        <v>Onsemi</v>
      </c>
      <c r="C661" s="6">
        <v>239000</v>
      </c>
      <c r="D661" s="7">
        <v>0.23</v>
      </c>
      <c r="E661" t="s">
        <v>57</v>
      </c>
    </row>
    <row r="662" spans="1:5" x14ac:dyDescent="0.25">
      <c r="A662" t="str">
        <f>HYPERLINK("https://www.773grp.com/globalSearch/NST3906F3T5G/page-1", "NST3906F3T5G")</f>
        <v>NST3906F3T5G</v>
      </c>
      <c r="B662" s="3" t="str">
        <f>HYPERLINK("https://www.773grp.com/manufacturer/onsemi?pageNo=661", "Onsemi")</f>
        <v>Onsemi</v>
      </c>
      <c r="C662" s="6">
        <v>255425</v>
      </c>
      <c r="D662" s="7">
        <v>0.23</v>
      </c>
      <c r="E662" t="s">
        <v>57</v>
      </c>
    </row>
    <row r="663" spans="1:5" x14ac:dyDescent="0.25">
      <c r="A663" t="str">
        <f>HYPERLINK("https://www.773grp.com/globalSearch/NST846BF3T5G/page-1", "NST846BF3T5G")</f>
        <v>NST846BF3T5G</v>
      </c>
      <c r="B663" s="3" t="str">
        <f>HYPERLINK("https://www.773grp.com/manufacturer/onsemi?pageNo=662", "Onsemi")</f>
        <v>Onsemi</v>
      </c>
      <c r="C663" s="6">
        <v>303200</v>
      </c>
      <c r="D663" s="7">
        <v>0.23</v>
      </c>
      <c r="E663" t="s">
        <v>57</v>
      </c>
    </row>
    <row r="664" spans="1:5" x14ac:dyDescent="0.25">
      <c r="A664" t="str">
        <f>HYPERLINK("https://www.773grp.com/globalSearch/NST847BDP6T5G/page-1", "NST847BDP6T5G")</f>
        <v>NST847BDP6T5G</v>
      </c>
      <c r="B664" s="3" t="str">
        <f>HYPERLINK("https://www.773grp.com/manufacturer/onsemi?pageNo=663", "Onsemi")</f>
        <v>Onsemi</v>
      </c>
      <c r="C664" s="6">
        <v>813661</v>
      </c>
      <c r="D664" s="7">
        <v>0.23</v>
      </c>
      <c r="E664" t="s">
        <v>57</v>
      </c>
    </row>
    <row r="665" spans="1:5" x14ac:dyDescent="0.25">
      <c r="A665" t="str">
        <f>HYPERLINK("https://www.773grp.com/globalSearch/NST847BF3T5G/page-1", "NST847BF3T5G")</f>
        <v>NST847BF3T5G</v>
      </c>
      <c r="B665" s="3" t="str">
        <f>HYPERLINK("https://www.773grp.com/manufacturer/onsemi?pageNo=664", "Onsemi")</f>
        <v>Onsemi</v>
      </c>
      <c r="C665" s="6">
        <v>194000</v>
      </c>
      <c r="D665" s="7">
        <v>0.23</v>
      </c>
      <c r="E665" t="s">
        <v>57</v>
      </c>
    </row>
    <row r="666" spans="1:5" x14ac:dyDescent="0.25">
      <c r="A666" t="str">
        <f>HYPERLINK("https://www.773grp.com/globalSearch/NST847BPDP6T5G/page-1", "NST847BPDP6T5G")</f>
        <v>NST847BPDP6T5G</v>
      </c>
      <c r="B666" s="3" t="str">
        <f>HYPERLINK("https://www.773grp.com/manufacturer/onsemi?pageNo=665", "Onsemi")</f>
        <v>Onsemi</v>
      </c>
      <c r="C666" s="6">
        <v>104000</v>
      </c>
      <c r="D666" s="7">
        <v>0.23</v>
      </c>
      <c r="E666" t="s">
        <v>57</v>
      </c>
    </row>
    <row r="667" spans="1:5" x14ac:dyDescent="0.25">
      <c r="A667" t="str">
        <f>HYPERLINK("https://www.773grp.com/globalSearch/NST848BF3T5G/page-1", "NST848BF3T5G")</f>
        <v>NST848BF3T5G</v>
      </c>
      <c r="B667" s="3" t="str">
        <f>HYPERLINK("https://www.773grp.com/manufacturer/onsemi?pageNo=666", "Onsemi")</f>
        <v>Onsemi</v>
      </c>
      <c r="C667" s="6">
        <v>144000</v>
      </c>
      <c r="D667" s="7">
        <v>0.23</v>
      </c>
      <c r="E667" t="s">
        <v>57</v>
      </c>
    </row>
    <row r="668" spans="1:5" x14ac:dyDescent="0.25">
      <c r="A668" t="str">
        <f>HYPERLINK("https://www.773grp.com/globalSearch/NST856BF3T5G/page-1", "NST856BF3T5G")</f>
        <v>NST856BF3T5G</v>
      </c>
      <c r="B668" s="3" t="str">
        <f>HYPERLINK("https://www.773grp.com/manufacturer/onsemi?pageNo=667", "Onsemi")</f>
        <v>Onsemi</v>
      </c>
      <c r="C668" s="6">
        <v>151305</v>
      </c>
      <c r="D668" s="7">
        <v>0.23</v>
      </c>
      <c r="E668" t="s">
        <v>57</v>
      </c>
    </row>
    <row r="669" spans="1:5" x14ac:dyDescent="0.25">
      <c r="A669" t="str">
        <f>HYPERLINK("https://www.773grp.com/globalSearch/NST857BF3T5G/page-1", "NST857BF3T5G")</f>
        <v>NST857BF3T5G</v>
      </c>
      <c r="B669" s="3" t="str">
        <f>HYPERLINK("https://www.773grp.com/manufacturer/onsemi?pageNo=668", "Onsemi")</f>
        <v>Onsemi</v>
      </c>
      <c r="C669" s="6">
        <v>416000</v>
      </c>
      <c r="D669" s="7">
        <v>0.23</v>
      </c>
      <c r="E669" t="s">
        <v>57</v>
      </c>
    </row>
    <row r="670" spans="1:5" x14ac:dyDescent="0.25">
      <c r="A670" t="str">
        <f>HYPERLINK("https://www.773grp.com/globalSearch/NSTB60BDW1T1/page-1", "NSTB60BDW1T1")</f>
        <v>NSTB60BDW1T1</v>
      </c>
      <c r="B670" s="3" t="str">
        <f>HYPERLINK("https://www.773grp.com/manufacturer/onsemi?pageNo=669", "Onsemi")</f>
        <v>Onsemi</v>
      </c>
      <c r="C670" s="6">
        <v>11970</v>
      </c>
      <c r="D670" s="7">
        <v>0.23</v>
      </c>
      <c r="E670" t="s">
        <v>57</v>
      </c>
    </row>
    <row r="671" spans="1:5" x14ac:dyDescent="0.25">
      <c r="A671" t="str">
        <f>HYPERLINK("https://www.773grp.com/globalSearch/NSV1SS400T1G/page-1", "NSV1SS400T1G")</f>
        <v>NSV1SS400T1G</v>
      </c>
      <c r="B671" s="3" t="str">
        <f>HYPERLINK("https://www.773grp.com/manufacturer/onsemi?pageNo=670", "Onsemi")</f>
        <v>Onsemi</v>
      </c>
      <c r="C671" s="6">
        <v>180000</v>
      </c>
      <c r="D671" s="7">
        <v>0.23</v>
      </c>
    </row>
    <row r="672" spans="1:5" x14ac:dyDescent="0.25">
      <c r="A672" t="str">
        <f>HYPERLINK("https://www.773grp.com/globalSearch/NSVBAS21HT3G/page-1", "NSVBAS21HT3G")</f>
        <v>NSVBAS21HT3G</v>
      </c>
      <c r="B672" s="3" t="str">
        <f>HYPERLINK("https://www.773grp.com/manufacturer/onsemi?pageNo=671", "Onsemi")</f>
        <v>Onsemi</v>
      </c>
      <c r="C672" s="6">
        <v>9550</v>
      </c>
      <c r="D672" s="7">
        <v>0.23</v>
      </c>
    </row>
    <row r="673" spans="1:5" x14ac:dyDescent="0.25">
      <c r="A673" t="str">
        <f>HYPERLINK("https://www.773grp.com/globalSearch/NSVBAV70TT1/page-1", "NSVBAV70TT1")</f>
        <v>NSVBAV70TT1</v>
      </c>
      <c r="B673" s="3" t="str">
        <f>HYPERLINK("https://www.773grp.com/manufacturer/onsemi?pageNo=672", "Onsemi")</f>
        <v>Onsemi</v>
      </c>
      <c r="C673" s="6">
        <v>351000</v>
      </c>
      <c r="D673" s="7">
        <v>0.23</v>
      </c>
    </row>
    <row r="674" spans="1:5" x14ac:dyDescent="0.25">
      <c r="A674" t="str">
        <f>HYPERLINK("https://www.773grp.com/globalSearch/NTA4001NT1G/page-1", "NTA4001NT1G")</f>
        <v>NTA4001NT1G</v>
      </c>
      <c r="B674" s="3" t="str">
        <f>HYPERLINK("https://www.773grp.com/manufacturer/onsemi?pageNo=673", "Onsemi")</f>
        <v>Onsemi</v>
      </c>
      <c r="C674" s="6">
        <v>76999</v>
      </c>
      <c r="D674" s="7">
        <v>0.23</v>
      </c>
      <c r="E674" t="s">
        <v>85</v>
      </c>
    </row>
    <row r="675" spans="1:5" x14ac:dyDescent="0.25">
      <c r="A675" t="str">
        <f>HYPERLINK("https://www.773grp.com/globalSearch/NTGS3441T1/page-1", "NTGS3441T1")</f>
        <v>NTGS3441T1</v>
      </c>
      <c r="B675" s="3" t="str">
        <f>HYPERLINK("https://www.773grp.com/manufacturer/onsemi?pageNo=674", "Onsemi")</f>
        <v>Onsemi</v>
      </c>
      <c r="C675" s="6">
        <v>137513</v>
      </c>
      <c r="D675" s="7">
        <v>0.23</v>
      </c>
      <c r="E675" t="s">
        <v>85</v>
      </c>
    </row>
    <row r="676" spans="1:5" x14ac:dyDescent="0.25">
      <c r="A676" t="str">
        <f>HYPERLINK("https://www.773grp.com/globalSearch/NTK3134NT1G/page-1", "NTK3134NT1G")</f>
        <v>NTK3134NT1G</v>
      </c>
      <c r="B676" s="3" t="str">
        <f>HYPERLINK("https://www.773grp.com/manufacturer/onsemi?pageNo=675", "Onsemi")</f>
        <v>Onsemi</v>
      </c>
      <c r="C676" s="6">
        <v>1361988</v>
      </c>
      <c r="D676" s="7">
        <v>0.23</v>
      </c>
      <c r="E676" t="s">
        <v>85</v>
      </c>
    </row>
    <row r="677" spans="1:5" x14ac:dyDescent="0.25">
      <c r="A677" t="str">
        <f>HYPERLINK("https://www.773grp.com/globalSearch/NTK3139PT1G/page-1", "NTK3139PT1G")</f>
        <v>NTK3139PT1G</v>
      </c>
      <c r="B677" s="3" t="str">
        <f>HYPERLINK("https://www.773grp.com/manufacturer/onsemi?pageNo=676", "Onsemi")</f>
        <v>Onsemi</v>
      </c>
      <c r="C677" s="6">
        <v>3649</v>
      </c>
      <c r="D677" s="7">
        <v>0.23</v>
      </c>
      <c r="E677" t="s">
        <v>84</v>
      </c>
    </row>
    <row r="678" spans="1:5" x14ac:dyDescent="0.25">
      <c r="A678" t="str">
        <f>HYPERLINK("https://www.773grp.com/globalSearch/NTK3139PT1H/page-1", "NTK3139PT1H")</f>
        <v>NTK3139PT1H</v>
      </c>
      <c r="B678" s="3" t="str">
        <f>HYPERLINK("https://www.773grp.com/manufacturer/onsemi?pageNo=677", "Onsemi")</f>
        <v>Onsemi</v>
      </c>
      <c r="C678" s="6">
        <v>64000</v>
      </c>
      <c r="D678" s="7">
        <v>0.23</v>
      </c>
    </row>
    <row r="679" spans="1:5" x14ac:dyDescent="0.25">
      <c r="A679" t="str">
        <f>HYPERLINK("https://www.773grp.com/globalSearch/NTK3139PT5G/page-1", "NTK3139PT5G")</f>
        <v>NTK3139PT5G</v>
      </c>
      <c r="B679" s="3" t="str">
        <f>HYPERLINK("https://www.773grp.com/manufacturer/onsemi?pageNo=678", "Onsemi")</f>
        <v>Onsemi</v>
      </c>
      <c r="C679" s="6">
        <v>16000</v>
      </c>
      <c r="D679" s="7">
        <v>0.23</v>
      </c>
      <c r="E679" t="s">
        <v>84</v>
      </c>
    </row>
    <row r="680" spans="1:5" x14ac:dyDescent="0.25">
      <c r="A680" t="str">
        <f>HYPERLINK("https://www.773grp.com/globalSearch/NTNUS3171PZT5G/page-1", "NTNUS3171PZT5G")</f>
        <v>NTNUS3171PZT5G</v>
      </c>
      <c r="B680" s="3" t="str">
        <f>HYPERLINK("https://www.773grp.com/manufacturer/onsemi?pageNo=679", "Onsemi")</f>
        <v>Onsemi</v>
      </c>
      <c r="C680" s="6">
        <v>96000</v>
      </c>
      <c r="D680" s="7">
        <v>0.23</v>
      </c>
      <c r="E680" t="s">
        <v>85</v>
      </c>
    </row>
    <row r="681" spans="1:5" x14ac:dyDescent="0.25">
      <c r="A681" t="str">
        <f>HYPERLINK("https://www.773grp.com/globalSearch/NUP1301ML3T1G/page-1", "NUP1301ML3T1G")</f>
        <v>NUP1301ML3T1G</v>
      </c>
      <c r="B681" s="3" t="str">
        <f>HYPERLINK("https://www.773grp.com/manufacturer/onsemi?pageNo=680", "Onsemi")</f>
        <v>Onsemi</v>
      </c>
      <c r="C681" s="6">
        <v>12000</v>
      </c>
      <c r="D681" s="7">
        <v>0.23</v>
      </c>
      <c r="E681" t="s">
        <v>75</v>
      </c>
    </row>
    <row r="682" spans="1:5" x14ac:dyDescent="0.25">
      <c r="A682" t="str">
        <f>HYPERLINK("https://www.773grp.com/globalSearch/NZ23C5V6ALT1G/page-1", "NZ23C5V6ALT1G")</f>
        <v>NZ23C5V6ALT1G</v>
      </c>
      <c r="B682" s="3" t="str">
        <f>HYPERLINK("https://www.773grp.com/manufacturer/onsemi?pageNo=681", "Onsemi")</f>
        <v>Onsemi</v>
      </c>
      <c r="C682" s="6">
        <v>2450500</v>
      </c>
      <c r="D682" s="7">
        <v>0.23</v>
      </c>
      <c r="E682" t="s">
        <v>75</v>
      </c>
    </row>
    <row r="683" spans="1:5" x14ac:dyDescent="0.25">
      <c r="A683" t="str">
        <f>HYPERLINK("https://www.773grp.com/globalSearch/NZ9F12VST5G/page-1", "NZ9F12VST5G")</f>
        <v>NZ9F12VST5G</v>
      </c>
      <c r="B683" s="3" t="str">
        <f>HYPERLINK("https://www.773grp.com/manufacturer/onsemi?pageNo=682", "Onsemi")</f>
        <v>Onsemi</v>
      </c>
      <c r="C683" s="6">
        <v>127900</v>
      </c>
      <c r="D683" s="7">
        <v>0.23</v>
      </c>
      <c r="E683" t="s">
        <v>77</v>
      </c>
    </row>
    <row r="684" spans="1:5" x14ac:dyDescent="0.25">
      <c r="A684" t="str">
        <f>HYPERLINK("https://www.773grp.com/globalSearch/NZ9F12VT5G/page-1", "NZ9F12VT5G")</f>
        <v>NZ9F12VT5G</v>
      </c>
      <c r="B684" s="3" t="str">
        <f>HYPERLINK("https://www.773grp.com/manufacturer/onsemi?pageNo=683", "Onsemi")</f>
        <v>Onsemi</v>
      </c>
      <c r="C684" s="6">
        <v>144000</v>
      </c>
      <c r="D684" s="7">
        <v>0.23</v>
      </c>
      <c r="E684" t="s">
        <v>77</v>
      </c>
    </row>
    <row r="685" spans="1:5" x14ac:dyDescent="0.25">
      <c r="A685" t="str">
        <f>HYPERLINK("https://www.773grp.com/globalSearch/NZ9F13VST5G/page-1", "NZ9F13VST5G")</f>
        <v>NZ9F13VST5G</v>
      </c>
      <c r="B685" s="3" t="str">
        <f>HYPERLINK("https://www.773grp.com/manufacturer/onsemi?pageNo=684", "Onsemi")</f>
        <v>Onsemi</v>
      </c>
      <c r="C685" s="6">
        <v>8000</v>
      </c>
      <c r="D685" s="7">
        <v>0.23</v>
      </c>
      <c r="E685" t="s">
        <v>77</v>
      </c>
    </row>
    <row r="686" spans="1:5" x14ac:dyDescent="0.25">
      <c r="A686" t="str">
        <f>HYPERLINK("https://www.773grp.com/globalSearch/NZ9F13VT5G/page-1", "NZ9F13VT5G")</f>
        <v>NZ9F13VT5G</v>
      </c>
      <c r="B686" s="3" t="str">
        <f>HYPERLINK("https://www.773grp.com/manufacturer/onsemi?pageNo=685", "Onsemi")</f>
        <v>Onsemi</v>
      </c>
      <c r="C686" s="6">
        <v>152000</v>
      </c>
      <c r="D686" s="7">
        <v>0.23</v>
      </c>
      <c r="E686" t="s">
        <v>77</v>
      </c>
    </row>
    <row r="687" spans="1:5" x14ac:dyDescent="0.25">
      <c r="A687" t="str">
        <f>HYPERLINK("https://www.773grp.com/globalSearch/NZ9F15VST5G/page-1", "NZ9F15VST5G")</f>
        <v>NZ9F15VST5G</v>
      </c>
      <c r="B687" s="3" t="str">
        <f>HYPERLINK("https://www.773grp.com/manufacturer/onsemi?pageNo=686", "Onsemi")</f>
        <v>Onsemi</v>
      </c>
      <c r="C687" s="6">
        <v>152000</v>
      </c>
      <c r="D687" s="7">
        <v>0.23</v>
      </c>
      <c r="E687" t="s">
        <v>77</v>
      </c>
    </row>
    <row r="688" spans="1:5" x14ac:dyDescent="0.25">
      <c r="A688" t="str">
        <f>HYPERLINK("https://www.773grp.com/globalSearch/NZ9F15VT5G/page-1", "NZ9F15VT5G")</f>
        <v>NZ9F15VT5G</v>
      </c>
      <c r="B688" s="3" t="str">
        <f>HYPERLINK("https://www.773grp.com/manufacturer/onsemi?pageNo=687", "Onsemi")</f>
        <v>Onsemi</v>
      </c>
      <c r="C688" s="6">
        <v>160000</v>
      </c>
      <c r="D688" s="7">
        <v>0.23</v>
      </c>
      <c r="E688" t="s">
        <v>77</v>
      </c>
    </row>
    <row r="689" spans="1:5" x14ac:dyDescent="0.25">
      <c r="A689" t="str">
        <f>HYPERLINK("https://www.773grp.com/globalSearch/NZ9F16VST5G/page-1", "NZ9F16VST5G")</f>
        <v>NZ9F16VST5G</v>
      </c>
      <c r="B689" s="3" t="str">
        <f>HYPERLINK("https://www.773grp.com/manufacturer/onsemi?pageNo=688", "Onsemi")</f>
        <v>Onsemi</v>
      </c>
      <c r="C689" s="6">
        <v>272000</v>
      </c>
      <c r="D689" s="7">
        <v>0.23</v>
      </c>
      <c r="E689" t="s">
        <v>77</v>
      </c>
    </row>
    <row r="690" spans="1:5" x14ac:dyDescent="0.25">
      <c r="A690" t="str">
        <f>HYPERLINK("https://www.773grp.com/globalSearch/NZ9F16VT5G/page-1", "NZ9F16VT5G")</f>
        <v>NZ9F16VT5G</v>
      </c>
      <c r="B690" s="3" t="str">
        <f>HYPERLINK("https://www.773grp.com/manufacturer/onsemi?pageNo=689", "Onsemi")</f>
        <v>Onsemi</v>
      </c>
      <c r="C690" s="6">
        <v>160000</v>
      </c>
      <c r="D690" s="7">
        <v>0.23</v>
      </c>
      <c r="E690" t="s">
        <v>77</v>
      </c>
    </row>
    <row r="691" spans="1:5" x14ac:dyDescent="0.25">
      <c r="A691" t="str">
        <f>HYPERLINK("https://www.773grp.com/globalSearch/NZ9F18VT5G/page-1", "NZ9F18VT5G")</f>
        <v>NZ9F18VT5G</v>
      </c>
      <c r="B691" s="3" t="str">
        <f>HYPERLINK("https://www.773grp.com/manufacturer/onsemi?pageNo=690", "Onsemi")</f>
        <v>Onsemi</v>
      </c>
      <c r="C691" s="6">
        <v>263000</v>
      </c>
      <c r="D691" s="7">
        <v>0.23</v>
      </c>
      <c r="E691" t="s">
        <v>77</v>
      </c>
    </row>
    <row r="692" spans="1:5" x14ac:dyDescent="0.25">
      <c r="A692" t="str">
        <f>HYPERLINK("https://www.773grp.com/globalSearch/NZ9F20VT5G/page-1", "NZ9F20VT5G")</f>
        <v>NZ9F20VT5G</v>
      </c>
      <c r="B692" s="3" t="str">
        <f>HYPERLINK("https://www.773grp.com/manufacturer/onsemi?pageNo=691", "Onsemi")</f>
        <v>Onsemi</v>
      </c>
      <c r="C692" s="6">
        <v>112715</v>
      </c>
      <c r="D692" s="7">
        <v>0.23</v>
      </c>
      <c r="E692" t="s">
        <v>77</v>
      </c>
    </row>
    <row r="693" spans="1:5" x14ac:dyDescent="0.25">
      <c r="A693" t="str">
        <f>HYPERLINK("https://www.773grp.com/globalSearch/NZ9F2V4ST5G/page-1", "NZ9F2V4ST5G")</f>
        <v>NZ9F2V4ST5G</v>
      </c>
      <c r="B693" s="3" t="str">
        <f>HYPERLINK("https://www.773grp.com/manufacturer/onsemi?pageNo=692", "Onsemi")</f>
        <v>Onsemi</v>
      </c>
      <c r="C693" s="6">
        <v>32000</v>
      </c>
      <c r="D693" s="7">
        <v>0.23</v>
      </c>
      <c r="E693" t="s">
        <v>77</v>
      </c>
    </row>
    <row r="694" spans="1:5" x14ac:dyDescent="0.25">
      <c r="A694" t="str">
        <f>HYPERLINK("https://www.773grp.com/globalSearch/NZ9F2V4T5G/page-1", "NZ9F2V4T5G")</f>
        <v>NZ9F2V4T5G</v>
      </c>
      <c r="B694" s="3" t="str">
        <f>HYPERLINK("https://www.773grp.com/manufacturer/onsemi?pageNo=693", "Onsemi")</f>
        <v>Onsemi</v>
      </c>
      <c r="C694" s="6">
        <v>80000</v>
      </c>
      <c r="D694" s="7">
        <v>0.23</v>
      </c>
      <c r="E694" t="s">
        <v>77</v>
      </c>
    </row>
    <row r="695" spans="1:5" x14ac:dyDescent="0.25">
      <c r="A695" t="str">
        <f>HYPERLINK("https://www.773grp.com/globalSearch/NZ9F2V7ST5G/page-1", "NZ9F2V7ST5G")</f>
        <v>NZ9F2V7ST5G</v>
      </c>
      <c r="B695" s="3" t="str">
        <f>HYPERLINK("https://www.773grp.com/manufacturer/onsemi?pageNo=694", "Onsemi")</f>
        <v>Onsemi</v>
      </c>
      <c r="C695" s="6">
        <v>144000</v>
      </c>
      <c r="D695" s="7">
        <v>0.23</v>
      </c>
      <c r="E695" t="s">
        <v>77</v>
      </c>
    </row>
    <row r="696" spans="1:5" x14ac:dyDescent="0.25">
      <c r="A696" t="str">
        <f>HYPERLINK("https://www.773grp.com/globalSearch/NZ9F2V7T5G/page-1", "NZ9F2V7T5G")</f>
        <v>NZ9F2V7T5G</v>
      </c>
      <c r="B696" s="3" t="str">
        <f>HYPERLINK("https://www.773grp.com/manufacturer/onsemi?pageNo=695", "Onsemi")</f>
        <v>Onsemi</v>
      </c>
      <c r="C696" s="6">
        <v>32000</v>
      </c>
      <c r="D696" s="7">
        <v>0.23</v>
      </c>
      <c r="E696" t="s">
        <v>77</v>
      </c>
    </row>
    <row r="697" spans="1:5" x14ac:dyDescent="0.25">
      <c r="A697" t="str">
        <f>HYPERLINK("https://www.773grp.com/globalSearch/NZ9F3V0ST5G/page-1", "NZ9F3V0ST5G")</f>
        <v>NZ9F3V0ST5G</v>
      </c>
      <c r="B697" s="3" t="str">
        <f>HYPERLINK("https://www.773grp.com/manufacturer/onsemi?pageNo=696", "Onsemi")</f>
        <v>Onsemi</v>
      </c>
      <c r="C697" s="6">
        <v>128000</v>
      </c>
      <c r="D697" s="7">
        <v>0.23</v>
      </c>
      <c r="E697" t="s">
        <v>77</v>
      </c>
    </row>
    <row r="698" spans="1:5" x14ac:dyDescent="0.25">
      <c r="A698" t="str">
        <f>HYPERLINK("https://www.773grp.com/globalSearch/NZ9F3V0T5G/page-1", "NZ9F3V0T5G")</f>
        <v>NZ9F3V0T5G</v>
      </c>
      <c r="B698" s="3" t="str">
        <f>HYPERLINK("https://www.773grp.com/manufacturer/onsemi?pageNo=697", "Onsemi")</f>
        <v>Onsemi</v>
      </c>
      <c r="C698" s="6">
        <v>112000</v>
      </c>
      <c r="D698" s="7">
        <v>0.23</v>
      </c>
      <c r="E698" t="s">
        <v>77</v>
      </c>
    </row>
    <row r="699" spans="1:5" x14ac:dyDescent="0.25">
      <c r="A699" t="str">
        <f>HYPERLINK("https://www.773grp.com/globalSearch/NZ9F3V3T5G/page-1", "NZ9F3V3T5G")</f>
        <v>NZ9F3V3T5G</v>
      </c>
      <c r="B699" s="3" t="str">
        <f>HYPERLINK("https://www.773grp.com/manufacturer/onsemi?pageNo=698", "Onsemi")</f>
        <v>Onsemi</v>
      </c>
      <c r="C699" s="6">
        <v>92200</v>
      </c>
      <c r="D699" s="7">
        <v>0.23</v>
      </c>
      <c r="E699" t="s">
        <v>77</v>
      </c>
    </row>
    <row r="700" spans="1:5" x14ac:dyDescent="0.25">
      <c r="A700" t="str">
        <f>HYPERLINK("https://www.773grp.com/globalSearch/NZ9F3V9ST5G/page-1", "NZ9F3V9ST5G")</f>
        <v>NZ9F3V9ST5G</v>
      </c>
      <c r="B700" s="3" t="str">
        <f>HYPERLINK("https://www.773grp.com/manufacturer/onsemi?pageNo=699", "Onsemi")</f>
        <v>Onsemi</v>
      </c>
      <c r="C700" s="6">
        <v>224000</v>
      </c>
      <c r="D700" s="7">
        <v>0.23</v>
      </c>
      <c r="E700" t="s">
        <v>77</v>
      </c>
    </row>
    <row r="701" spans="1:5" x14ac:dyDescent="0.25">
      <c r="A701" t="str">
        <f>HYPERLINK("https://www.773grp.com/globalSearch/NZ9F4V7ST5G/page-1", "NZ9F4V7ST5G")</f>
        <v>NZ9F4V7ST5G</v>
      </c>
      <c r="B701" s="3" t="str">
        <f>HYPERLINK("https://www.773grp.com/manufacturer/onsemi?pageNo=700", "Onsemi")</f>
        <v>Onsemi</v>
      </c>
      <c r="C701" s="6">
        <v>8000</v>
      </c>
      <c r="D701" s="7">
        <v>0.23</v>
      </c>
    </row>
    <row r="702" spans="1:5" x14ac:dyDescent="0.25">
      <c r="A702" t="str">
        <f>HYPERLINK("https://www.773grp.com/globalSearch/NZ9F5V1T5G/page-1", "NZ9F5V1T5G")</f>
        <v>NZ9F5V1T5G</v>
      </c>
      <c r="B702" s="3" t="str">
        <f>HYPERLINK("https://www.773grp.com/manufacturer/onsemi?pageNo=701", "Onsemi")</f>
        <v>Onsemi</v>
      </c>
      <c r="C702" s="6">
        <v>584000</v>
      </c>
      <c r="D702" s="7">
        <v>0.23</v>
      </c>
      <c r="E702" t="s">
        <v>77</v>
      </c>
    </row>
    <row r="703" spans="1:5" x14ac:dyDescent="0.25">
      <c r="A703" t="str">
        <f>HYPERLINK("https://www.773grp.com/globalSearch/NZ9F5V6ST5G/page-1", "NZ9F5V6ST5G")</f>
        <v>NZ9F5V6ST5G</v>
      </c>
      <c r="B703" s="3" t="str">
        <f>HYPERLINK("https://www.773grp.com/manufacturer/onsemi?pageNo=702", "Onsemi")</f>
        <v>Onsemi</v>
      </c>
      <c r="C703" s="6">
        <v>296000</v>
      </c>
      <c r="D703" s="7">
        <v>0.23</v>
      </c>
      <c r="E703" t="s">
        <v>77</v>
      </c>
    </row>
    <row r="704" spans="1:5" x14ac:dyDescent="0.25">
      <c r="A704" t="str">
        <f>HYPERLINK("https://www.773grp.com/globalSearch/NZ9F5V6T5G/page-1", "NZ9F5V6T5G")</f>
        <v>NZ9F5V6T5G</v>
      </c>
      <c r="B704" s="3" t="str">
        <f>HYPERLINK("https://www.773grp.com/manufacturer/onsemi?pageNo=703", "Onsemi")</f>
        <v>Onsemi</v>
      </c>
      <c r="C704" s="6">
        <v>2191200</v>
      </c>
      <c r="D704" s="7">
        <v>0.23</v>
      </c>
      <c r="E704" t="s">
        <v>77</v>
      </c>
    </row>
    <row r="705" spans="1:5" x14ac:dyDescent="0.25">
      <c r="A705" t="str">
        <f>HYPERLINK("https://www.773grp.com/globalSearch/NZ9F6V2ST5G/page-1", "NZ9F6V2ST5G")</f>
        <v>NZ9F6V2ST5G</v>
      </c>
      <c r="B705" s="3" t="str">
        <f>HYPERLINK("https://www.773grp.com/manufacturer/onsemi?pageNo=704", "Onsemi")</f>
        <v>Onsemi</v>
      </c>
      <c r="C705" s="6">
        <v>160000</v>
      </c>
      <c r="D705" s="7">
        <v>0.23</v>
      </c>
      <c r="E705" t="s">
        <v>77</v>
      </c>
    </row>
    <row r="706" spans="1:5" x14ac:dyDescent="0.25">
      <c r="A706" t="str">
        <f>HYPERLINK("https://www.773grp.com/globalSearch/NZ9F6V8ST5G/page-1", "NZ9F6V8ST5G")</f>
        <v>NZ9F6V8ST5G</v>
      </c>
      <c r="B706" s="3" t="str">
        <f>HYPERLINK("https://www.773grp.com/manufacturer/onsemi?pageNo=705", "Onsemi")</f>
        <v>Onsemi</v>
      </c>
      <c r="C706" s="6">
        <v>8000</v>
      </c>
      <c r="D706" s="7">
        <v>0.23</v>
      </c>
    </row>
    <row r="707" spans="1:5" x14ac:dyDescent="0.25">
      <c r="A707" t="str">
        <f>HYPERLINK("https://www.773grp.com/globalSearch/NZ9F9V1ST5G/page-1", "NZ9F9V1ST5G")</f>
        <v>NZ9F9V1ST5G</v>
      </c>
      <c r="B707" s="3" t="str">
        <f>HYPERLINK("https://www.773grp.com/manufacturer/onsemi?pageNo=706", "Onsemi")</f>
        <v>Onsemi</v>
      </c>
      <c r="C707" s="6">
        <v>136000</v>
      </c>
      <c r="D707" s="7">
        <v>0.23</v>
      </c>
      <c r="E707" t="s">
        <v>77</v>
      </c>
    </row>
    <row r="708" spans="1:5" x14ac:dyDescent="0.25">
      <c r="A708" t="str">
        <f>HYPERLINK("https://www.773grp.com/globalSearch/NZ9F9V1T5G/page-1", "NZ9F9V1T5G")</f>
        <v>NZ9F9V1T5G</v>
      </c>
      <c r="B708" s="3" t="str">
        <f>HYPERLINK("https://www.773grp.com/manufacturer/onsemi?pageNo=707", "Onsemi")</f>
        <v>Onsemi</v>
      </c>
      <c r="C708" s="6">
        <v>160000</v>
      </c>
      <c r="D708" s="7">
        <v>0.23</v>
      </c>
      <c r="E708" t="s">
        <v>77</v>
      </c>
    </row>
    <row r="709" spans="1:5" x14ac:dyDescent="0.25">
      <c r="A709" t="str">
        <f>HYPERLINK("https://www.773grp.com/globalSearch/NZL5V6ATT1/page-1", "NZL5V6ATT1")</f>
        <v>NZL5V6ATT1</v>
      </c>
      <c r="B709" s="3" t="str">
        <f>HYPERLINK("https://www.773grp.com/manufacturer/onsemi?pageNo=708", "Onsemi")</f>
        <v>Onsemi</v>
      </c>
      <c r="C709" s="6">
        <v>2930</v>
      </c>
      <c r="D709" s="7">
        <v>0.23</v>
      </c>
      <c r="E709" t="s">
        <v>75</v>
      </c>
    </row>
    <row r="710" spans="1:5" x14ac:dyDescent="0.25">
      <c r="A710" t="str">
        <f>HYPERLINK("https://www.773grp.com/globalSearch/NZL5V6AXV3T1G/page-1", "NZL5V6AXV3T1G")</f>
        <v>NZL5V6AXV3T1G</v>
      </c>
      <c r="B710" s="3" t="str">
        <f>HYPERLINK("https://www.773grp.com/manufacturer/onsemi?pageNo=709", "Onsemi")</f>
        <v>Onsemi</v>
      </c>
      <c r="C710" s="6">
        <v>989602</v>
      </c>
      <c r="D710" s="7">
        <v>0.23</v>
      </c>
      <c r="E710" t="s">
        <v>75</v>
      </c>
    </row>
    <row r="711" spans="1:5" x14ac:dyDescent="0.25">
      <c r="A711" t="str">
        <f>HYPERLINK("https://www.773grp.com/globalSearch/NZL6V8AXV3T1G/page-1", "NZL6V8AXV3T1G")</f>
        <v>NZL6V8AXV3T1G</v>
      </c>
      <c r="B711" s="3" t="str">
        <f>HYPERLINK("https://www.773grp.com/manufacturer/onsemi?pageNo=710", "Onsemi")</f>
        <v>Onsemi</v>
      </c>
      <c r="C711" s="6">
        <v>33980</v>
      </c>
      <c r="D711" s="7">
        <v>0.23</v>
      </c>
      <c r="E711" t="s">
        <v>75</v>
      </c>
    </row>
    <row r="712" spans="1:5" x14ac:dyDescent="0.25">
      <c r="A712" t="str">
        <f>HYPERLINK("https://www.773grp.com/globalSearch/NZL7V5AXV3T1G/page-1", "NZL7V5AXV3T1G")</f>
        <v>NZL7V5AXV3T1G</v>
      </c>
      <c r="B712" s="3" t="str">
        <f>HYPERLINK("https://www.773grp.com/manufacturer/onsemi?pageNo=711", "Onsemi")</f>
        <v>Onsemi</v>
      </c>
      <c r="C712" s="6">
        <v>233</v>
      </c>
      <c r="D712" s="7">
        <v>0.23</v>
      </c>
      <c r="E712" t="s">
        <v>75</v>
      </c>
    </row>
    <row r="713" spans="1:5" x14ac:dyDescent="0.25">
      <c r="A713" t="str">
        <f>HYPERLINK("https://www.773grp.com/globalSearch/RB751S40T1G/page-1", "RB751S40T1G")</f>
        <v>RB751S40T1G</v>
      </c>
      <c r="B713" s="3" t="str">
        <f>HYPERLINK("https://www.773grp.com/manufacturer/onsemi?pageNo=712", "Onsemi")</f>
        <v>Onsemi</v>
      </c>
      <c r="C713" s="6">
        <v>412351</v>
      </c>
      <c r="D713" s="7">
        <v>0.23</v>
      </c>
      <c r="E713" t="s">
        <v>73</v>
      </c>
    </row>
    <row r="714" spans="1:5" x14ac:dyDescent="0.25">
      <c r="A714" t="str">
        <f>HYPERLINK("https://www.773grp.com/globalSearch/SA14011BDR2/page-1", "SA14011BDR2")</f>
        <v>SA14011BDR2</v>
      </c>
      <c r="B714" s="3" t="str">
        <f>HYPERLINK("https://www.773grp.com/manufacturer/onsemi?pageNo=713", "Onsemi")</f>
        <v>Onsemi</v>
      </c>
      <c r="C714" s="6">
        <v>7500</v>
      </c>
      <c r="D714" s="7">
        <v>0.23</v>
      </c>
    </row>
    <row r="715" spans="1:5" x14ac:dyDescent="0.25">
      <c r="A715" t="str">
        <f>HYPERLINK("https://www.773grp.com/globalSearch/SBC846BPDW1T1G/page-1", "SBC846BPDW1T1G")</f>
        <v>SBC846BPDW1T1G</v>
      </c>
      <c r="B715" s="3" t="str">
        <f>HYPERLINK("https://www.773grp.com/manufacturer/onsemi?pageNo=714", "Onsemi")</f>
        <v>Onsemi</v>
      </c>
      <c r="C715" s="6">
        <v>147000</v>
      </c>
      <c r="D715" s="7">
        <v>0.23</v>
      </c>
    </row>
    <row r="716" spans="1:5" x14ac:dyDescent="0.25">
      <c r="A716" t="str">
        <f>HYPERLINK("https://www.773grp.com/globalSearch/SBC846BWT1G/page-1", "SBC846BWT1G")</f>
        <v>SBC846BWT1G</v>
      </c>
      <c r="B716" s="3" t="str">
        <f>HYPERLINK("https://www.773grp.com/manufacturer/onsemi?pageNo=715", "Onsemi")</f>
        <v>Onsemi</v>
      </c>
      <c r="C716" s="6">
        <v>180000</v>
      </c>
      <c r="D716" s="7">
        <v>0.23</v>
      </c>
    </row>
    <row r="717" spans="1:5" x14ac:dyDescent="0.25">
      <c r="A717" t="str">
        <f>HYPERLINK("https://www.773grp.com/globalSearch/SBC847BWT1G/page-1", "SBC847BWT1G")</f>
        <v>SBC847BWT1G</v>
      </c>
      <c r="B717" s="3" t="str">
        <f>HYPERLINK("https://www.773grp.com/manufacturer/onsemi?pageNo=716", "Onsemi")</f>
        <v>Onsemi</v>
      </c>
      <c r="C717" s="6">
        <v>177000</v>
      </c>
      <c r="D717" s="7">
        <v>0.23</v>
      </c>
    </row>
    <row r="718" spans="1:5" x14ac:dyDescent="0.25">
      <c r="A718" t="str">
        <f>HYPERLINK("https://www.773grp.com/globalSearch/SBC847CDW1T1/page-1", "SBC847CDW1T1")</f>
        <v>SBC847CDW1T1</v>
      </c>
      <c r="B718" s="3" t="str">
        <f>HYPERLINK("https://www.773grp.com/manufacturer/onsemi?pageNo=717", "Onsemi")</f>
        <v>Onsemi</v>
      </c>
      <c r="C718" s="6">
        <v>99000</v>
      </c>
      <c r="D718" s="7">
        <v>0.23</v>
      </c>
    </row>
    <row r="719" spans="1:5" x14ac:dyDescent="0.25">
      <c r="A719" t="str">
        <f>HYPERLINK("https://www.773grp.com/globalSearch/SBCW30LT1G/page-1", "SBCW30LT1G")</f>
        <v>SBCW30LT1G</v>
      </c>
      <c r="B719" s="3" t="str">
        <f>HYPERLINK("https://www.773grp.com/manufacturer/onsemi?pageNo=718", "Onsemi")</f>
        <v>Onsemi</v>
      </c>
      <c r="C719" s="6">
        <v>348000</v>
      </c>
      <c r="D719" s="7">
        <v>0.23</v>
      </c>
    </row>
    <row r="720" spans="1:5" x14ac:dyDescent="0.25">
      <c r="A720" t="str">
        <f>HYPERLINK("https://www.773grp.com/globalSearch/SBCW33LT1G/page-1", "SBCW33LT1G")</f>
        <v>SBCW33LT1G</v>
      </c>
      <c r="B720" s="3" t="str">
        <f>HYPERLINK("https://www.773grp.com/manufacturer/onsemi?pageNo=719", "Onsemi")</f>
        <v>Onsemi</v>
      </c>
      <c r="C720" s="6">
        <v>423000</v>
      </c>
      <c r="D720" s="7">
        <v>0.23</v>
      </c>
    </row>
    <row r="721" spans="1:5" x14ac:dyDescent="0.25">
      <c r="A721" t="str">
        <f>HYPERLINK("https://www.773grp.com/globalSearch/SBZMMBZ5V6ALT1/page-1", "SBZMMBZ5V6ALT1")</f>
        <v>SBZMMBZ5V6ALT1</v>
      </c>
      <c r="B721" s="3" t="str">
        <f>HYPERLINK("https://www.773grp.com/manufacturer/onsemi?pageNo=720", "Onsemi")</f>
        <v>Onsemi</v>
      </c>
      <c r="C721" s="6">
        <v>9000</v>
      </c>
      <c r="D721" s="7">
        <v>0.23</v>
      </c>
    </row>
    <row r="722" spans="1:5" x14ac:dyDescent="0.25">
      <c r="A722" t="str">
        <f>HYPERLINK("https://www.773grp.com/globalSearch/SC78M05BDTRK/page-1", "SC78M05BDTRK")</f>
        <v>SC78M05BDTRK</v>
      </c>
      <c r="B722" s="3" t="str">
        <f>HYPERLINK("https://www.773grp.com/manufacturer/onsemi?pageNo=721", "Onsemi")</f>
        <v>Onsemi</v>
      </c>
      <c r="C722" s="6">
        <v>5000</v>
      </c>
      <c r="D722" s="7">
        <v>0.23</v>
      </c>
    </row>
    <row r="723" spans="1:5" x14ac:dyDescent="0.25">
      <c r="A723" t="str">
        <f>HYPERLINK("https://www.773grp.com/globalSearch/SMBZ1093LT1/page-1", "SMBZ1093LT1")</f>
        <v>SMBZ1093LT1</v>
      </c>
      <c r="B723" s="3" t="str">
        <f>HYPERLINK("https://www.773grp.com/manufacturer/onsemi?pageNo=722", "Onsemi")</f>
        <v>Onsemi</v>
      </c>
      <c r="C723" s="6">
        <v>15000</v>
      </c>
      <c r="D723" s="7">
        <v>0.23</v>
      </c>
    </row>
    <row r="724" spans="1:5" x14ac:dyDescent="0.25">
      <c r="A724" t="str">
        <f>HYPERLINK("https://www.773grp.com/globalSearch/SMF05T1/page-1", "SMF05T1")</f>
        <v>SMF05T1</v>
      </c>
      <c r="B724" s="3" t="str">
        <f>HYPERLINK("https://www.773grp.com/manufacturer/onsemi?pageNo=723", "Onsemi")</f>
        <v>Onsemi</v>
      </c>
      <c r="C724" s="6">
        <v>1239000</v>
      </c>
      <c r="D724" s="7">
        <v>0.23</v>
      </c>
      <c r="E724" t="s">
        <v>75</v>
      </c>
    </row>
    <row r="725" spans="1:5" x14ac:dyDescent="0.25">
      <c r="A725" t="str">
        <f>HYPERLINK("https://www.773grp.com/globalSearch/SMF15CT1/page-1", "SMF15CT1")</f>
        <v>SMF15CT1</v>
      </c>
      <c r="B725" s="3" t="str">
        <f>HYPERLINK("https://www.773grp.com/manufacturer/onsemi?pageNo=724", "Onsemi")</f>
        <v>Onsemi</v>
      </c>
      <c r="C725" s="6">
        <v>102000</v>
      </c>
      <c r="D725" s="7">
        <v>0.23</v>
      </c>
      <c r="E725" t="s">
        <v>75</v>
      </c>
    </row>
    <row r="726" spans="1:5" x14ac:dyDescent="0.25">
      <c r="A726" t="str">
        <f>HYPERLINK("https://www.773grp.com/globalSearch/SMF24CT1/page-1", "SMF24CT1")</f>
        <v>SMF24CT1</v>
      </c>
      <c r="B726" s="3" t="str">
        <f>HYPERLINK("https://www.773grp.com/manufacturer/onsemi?pageNo=725", "Onsemi")</f>
        <v>Onsemi</v>
      </c>
      <c r="C726" s="6">
        <v>46500</v>
      </c>
      <c r="D726" s="7">
        <v>0.23</v>
      </c>
      <c r="E726" t="s">
        <v>75</v>
      </c>
    </row>
    <row r="727" spans="1:5" x14ac:dyDescent="0.25">
      <c r="A727" t="str">
        <f>HYPERLINK("https://www.773grp.com/globalSearch/SMMBD2835LT1G/page-1", "SMMBD2835LT1G")</f>
        <v>SMMBD2835LT1G</v>
      </c>
      <c r="B727" s="3" t="str">
        <f>HYPERLINK("https://www.773grp.com/manufacturer/onsemi?pageNo=726", "Onsemi")</f>
        <v>Onsemi</v>
      </c>
      <c r="C727" s="6">
        <v>6000</v>
      </c>
      <c r="D727" s="7">
        <v>0.23</v>
      </c>
    </row>
    <row r="728" spans="1:5" x14ac:dyDescent="0.25">
      <c r="A728" t="str">
        <f>HYPERLINK("https://www.773grp.com/globalSearch/SMMBD2837LT1G/page-1", "SMMBD2837LT1G")</f>
        <v>SMMBD2837LT1G</v>
      </c>
      <c r="B728" s="3" t="str">
        <f>HYPERLINK("https://www.773grp.com/manufacturer/onsemi?pageNo=727", "Onsemi")</f>
        <v>Onsemi</v>
      </c>
      <c r="C728" s="6">
        <v>123000</v>
      </c>
      <c r="D728" s="7">
        <v>0.23</v>
      </c>
    </row>
    <row r="729" spans="1:5" x14ac:dyDescent="0.25">
      <c r="A729" t="str">
        <f>HYPERLINK("https://www.773grp.com/globalSearch/SMMBD914LT3/page-1", "SMMBD914LT3")</f>
        <v>SMMBD914LT3</v>
      </c>
      <c r="B729" s="3" t="str">
        <f>HYPERLINK("https://www.773grp.com/manufacturer/onsemi?pageNo=728", "Onsemi")</f>
        <v>Onsemi</v>
      </c>
      <c r="C729" s="6">
        <v>11</v>
      </c>
      <c r="D729" s="7">
        <v>0.23</v>
      </c>
    </row>
    <row r="730" spans="1:5" x14ac:dyDescent="0.25">
      <c r="A730" t="str">
        <f>HYPERLINK("https://www.773grp.com/globalSearch/SMMBT3904LT3/page-1", "SMMBT3904LT3")</f>
        <v>SMMBT3904LT3</v>
      </c>
      <c r="B730" s="3" t="str">
        <f>HYPERLINK("https://www.773grp.com/manufacturer/onsemi?pageNo=729", "Onsemi")</f>
        <v>Onsemi</v>
      </c>
      <c r="C730" s="6">
        <v>150000</v>
      </c>
      <c r="D730" s="7">
        <v>0.23</v>
      </c>
    </row>
    <row r="731" spans="1:5" x14ac:dyDescent="0.25">
      <c r="A731" t="str">
        <f>HYPERLINK("https://www.773grp.com/globalSearch/SMMBT5551LT1G/page-1", "SMMBT5551LT1G")</f>
        <v>SMMBT5551LT1G</v>
      </c>
      <c r="B731" s="3" t="str">
        <f>HYPERLINK("https://www.773grp.com/manufacturer/onsemi?pageNo=730", "Onsemi")</f>
        <v>Onsemi</v>
      </c>
      <c r="C731" s="6">
        <v>1545</v>
      </c>
      <c r="D731" s="7">
        <v>0.23</v>
      </c>
    </row>
    <row r="732" spans="1:5" x14ac:dyDescent="0.25">
      <c r="A732" t="str">
        <f>HYPERLINK("https://www.773grp.com/globalSearch/SMMBT6427LT1G/page-1", "SMMBT6427LT1G")</f>
        <v>SMMBT6427LT1G</v>
      </c>
      <c r="B732" s="3" t="str">
        <f>HYPERLINK("https://www.773grp.com/manufacturer/onsemi?pageNo=731", "Onsemi")</f>
        <v>Onsemi</v>
      </c>
      <c r="C732" s="6">
        <v>33000</v>
      </c>
      <c r="D732" s="7">
        <v>0.23</v>
      </c>
    </row>
    <row r="733" spans="1:5" x14ac:dyDescent="0.25">
      <c r="A733" t="str">
        <f>HYPERLINK("https://www.773grp.com/globalSearch/SMMBTA13LT1G/page-1", "SMMBTA13LT1G")</f>
        <v>SMMBTA13LT1G</v>
      </c>
      <c r="B733" s="3" t="str">
        <f>HYPERLINK("https://www.773grp.com/manufacturer/onsemi?pageNo=732", "Onsemi")</f>
        <v>Onsemi</v>
      </c>
      <c r="C733" s="6">
        <v>24000</v>
      </c>
      <c r="D733" s="7">
        <v>0.23</v>
      </c>
    </row>
    <row r="734" spans="1:5" x14ac:dyDescent="0.25">
      <c r="A734" t="str">
        <f>HYPERLINK("https://www.773grp.com/globalSearch/SMMBTA14LT1G/page-1", "SMMBTA14LT1G")</f>
        <v>SMMBTA14LT1G</v>
      </c>
      <c r="B734" s="3" t="str">
        <f>HYPERLINK("https://www.773grp.com/manufacturer/onsemi?pageNo=733", "Onsemi")</f>
        <v>Onsemi</v>
      </c>
      <c r="C734" s="6">
        <v>39000</v>
      </c>
      <c r="D734" s="7">
        <v>0.23</v>
      </c>
    </row>
    <row r="735" spans="1:5" x14ac:dyDescent="0.25">
      <c r="A735" t="str">
        <f>HYPERLINK("https://www.773grp.com/globalSearch/SMMBTA42LT3G/page-1", "SMMBTA42LT3G")</f>
        <v>SMMBTA42LT3G</v>
      </c>
      <c r="B735" s="3" t="str">
        <f>HYPERLINK("https://www.773grp.com/manufacturer/onsemi?pageNo=734", "Onsemi")</f>
        <v>Onsemi</v>
      </c>
      <c r="C735" s="6">
        <v>20000</v>
      </c>
      <c r="D735" s="7">
        <v>0.23</v>
      </c>
    </row>
    <row r="736" spans="1:5" x14ac:dyDescent="0.25">
      <c r="A736" t="str">
        <f>HYPERLINK("https://www.773grp.com/globalSearch/SMMBTA64LT1G/page-1", "SMMBTA64LT1G")</f>
        <v>SMMBTA64LT1G</v>
      </c>
      <c r="B736" s="3" t="str">
        <f>HYPERLINK("https://www.773grp.com/manufacturer/onsemi?pageNo=735", "Onsemi")</f>
        <v>Onsemi</v>
      </c>
      <c r="C736" s="6">
        <v>15000</v>
      </c>
      <c r="D736" s="7">
        <v>0.23</v>
      </c>
    </row>
    <row r="737" spans="1:5" x14ac:dyDescent="0.25">
      <c r="A737" t="str">
        <f>HYPERLINK("https://www.773grp.com/globalSearch/SMS12CT1/page-1", "SMS12CT1")</f>
        <v>SMS12CT1</v>
      </c>
      <c r="B737" s="3" t="str">
        <f>HYPERLINK("https://www.773grp.com/manufacturer/onsemi?pageNo=736", "Onsemi")</f>
        <v>Onsemi</v>
      </c>
      <c r="C737" s="6">
        <v>83901</v>
      </c>
      <c r="D737" s="7">
        <v>0.23</v>
      </c>
      <c r="E737" t="s">
        <v>75</v>
      </c>
    </row>
    <row r="738" spans="1:5" x14ac:dyDescent="0.25">
      <c r="A738" t="str">
        <f>HYPERLINK("https://www.773grp.com/globalSearch/SMS24CT1/page-1", "SMS24CT1")</f>
        <v>SMS24CT1</v>
      </c>
      <c r="B738" s="3" t="str">
        <f>HYPERLINK("https://www.773grp.com/manufacturer/onsemi?pageNo=737", "Onsemi")</f>
        <v>Onsemi</v>
      </c>
      <c r="C738" s="6">
        <v>38854</v>
      </c>
      <c r="D738" s="7">
        <v>0.23</v>
      </c>
      <c r="E738" t="s">
        <v>75</v>
      </c>
    </row>
    <row r="739" spans="1:5" x14ac:dyDescent="0.25">
      <c r="A739" t="str">
        <f>HYPERLINK("https://www.773grp.com/globalSearch/SSV1BC847BDW1T/page-1", "SSV1BC847BDW1T")</f>
        <v>SSV1BC847BDW1T</v>
      </c>
      <c r="B739" s="3" t="str">
        <f>HYPERLINK("https://www.773grp.com/manufacturer/onsemi?pageNo=738", "Onsemi")</f>
        <v>Onsemi</v>
      </c>
      <c r="C739" s="6">
        <v>6000</v>
      </c>
      <c r="D739" s="7">
        <v>0.23</v>
      </c>
    </row>
    <row r="740" spans="1:5" x14ac:dyDescent="0.25">
      <c r="A740" t="str">
        <f>HYPERLINK("https://www.773grp.com/globalSearch/SSV1BC847BDW1T1/page-1", "SSV1BC847BDW1T1")</f>
        <v>SSV1BC847BDW1T1</v>
      </c>
      <c r="B740" s="3" t="str">
        <f>HYPERLINK("https://www.773grp.com/manufacturer/onsemi?pageNo=739", "Onsemi")</f>
        <v>Onsemi</v>
      </c>
      <c r="C740" s="6">
        <v>111000</v>
      </c>
      <c r="D740" s="7">
        <v>0.23</v>
      </c>
    </row>
    <row r="741" spans="1:5" x14ac:dyDescent="0.25">
      <c r="A741" t="str">
        <f>HYPERLINK("https://www.773grp.com/globalSearch/SSV1MMBTA92LT1/page-1", "SSV1MMBTA92LT1")</f>
        <v>SSV1MMBTA92LT1</v>
      </c>
      <c r="B741" s="3" t="str">
        <f>HYPERLINK("https://www.773grp.com/manufacturer/onsemi?pageNo=740", "Onsemi")</f>
        <v>Onsemi</v>
      </c>
      <c r="C741" s="6">
        <v>120000</v>
      </c>
      <c r="D741" s="7">
        <v>0.23</v>
      </c>
    </row>
    <row r="742" spans="1:5" x14ac:dyDescent="0.25">
      <c r="A742" t="str">
        <f>HYPERLINK("https://www.773grp.com/globalSearch/SZ300035-27RL/page-1", "SZ300035-27RL")</f>
        <v>SZ300035-27RL</v>
      </c>
      <c r="B742" s="3" t="str">
        <f>HYPERLINK("https://www.773grp.com/manufacturer/onsemi?pageNo=741", "Onsemi")</f>
        <v>Onsemi</v>
      </c>
      <c r="C742" s="6">
        <v>20000</v>
      </c>
      <c r="D742" s="7">
        <v>0.23</v>
      </c>
    </row>
    <row r="743" spans="1:5" x14ac:dyDescent="0.25">
      <c r="A743" t="str">
        <f>HYPERLINK("https://www.773grp.com/globalSearch/SZBZX84C10LT3/page-1", "SZBZX84C10LT3")</f>
        <v>SZBZX84C10LT3</v>
      </c>
      <c r="B743" s="3" t="str">
        <f>HYPERLINK("https://www.773grp.com/manufacturer/onsemi?pageNo=742", "Onsemi")</f>
        <v>Onsemi</v>
      </c>
      <c r="C743" s="6">
        <v>100000</v>
      </c>
      <c r="D743" s="7">
        <v>0.23</v>
      </c>
    </row>
    <row r="744" spans="1:5" x14ac:dyDescent="0.25">
      <c r="A744" t="str">
        <f>HYPERLINK("https://www.773grp.com/globalSearch/SZBZX84C11LT1/page-1", "SZBZX84C11LT1")</f>
        <v>SZBZX84C11LT1</v>
      </c>
      <c r="B744" s="3" t="str">
        <f>HYPERLINK("https://www.773grp.com/manufacturer/onsemi?pageNo=743", "Onsemi")</f>
        <v>Onsemi</v>
      </c>
      <c r="C744" s="6">
        <v>105000</v>
      </c>
      <c r="D744" s="7">
        <v>0.23</v>
      </c>
    </row>
    <row r="745" spans="1:5" x14ac:dyDescent="0.25">
      <c r="A745" t="str">
        <f>HYPERLINK("https://www.773grp.com/globalSearch/SZBZX84C12LT1/page-1", "SZBZX84C12LT1")</f>
        <v>SZBZX84C12LT1</v>
      </c>
      <c r="B745" s="3" t="str">
        <f>HYPERLINK("https://www.773grp.com/manufacturer/onsemi?pageNo=744", "Onsemi")</f>
        <v>Onsemi</v>
      </c>
      <c r="C745" s="6">
        <v>54000</v>
      </c>
      <c r="D745" s="7">
        <v>0.23</v>
      </c>
    </row>
    <row r="746" spans="1:5" x14ac:dyDescent="0.25">
      <c r="A746" t="str">
        <f>HYPERLINK("https://www.773grp.com/globalSearch/SZBZX84C13LT1/page-1", "SZBZX84C13LT1")</f>
        <v>SZBZX84C13LT1</v>
      </c>
      <c r="B746" s="3" t="str">
        <f>HYPERLINK("https://www.773grp.com/manufacturer/onsemi?pageNo=745", "Onsemi")</f>
        <v>Onsemi</v>
      </c>
      <c r="C746" s="6">
        <v>6000</v>
      </c>
      <c r="D746" s="7">
        <v>0.23</v>
      </c>
      <c r="E746" t="s">
        <v>77</v>
      </c>
    </row>
    <row r="747" spans="1:5" x14ac:dyDescent="0.25">
      <c r="A747" t="str">
        <f>HYPERLINK("https://www.773grp.com/globalSearch/SZBZX84C18LT1/page-1", "SZBZX84C18LT1")</f>
        <v>SZBZX84C18LT1</v>
      </c>
      <c r="B747" s="3" t="str">
        <f>HYPERLINK("https://www.773grp.com/manufacturer/onsemi?pageNo=746", "Onsemi")</f>
        <v>Onsemi</v>
      </c>
      <c r="C747" s="6">
        <v>105000</v>
      </c>
      <c r="D747" s="7">
        <v>0.23</v>
      </c>
      <c r="E747" t="s">
        <v>77</v>
      </c>
    </row>
    <row r="748" spans="1:5" x14ac:dyDescent="0.25">
      <c r="A748" t="str">
        <f>HYPERLINK("https://www.773grp.com/globalSearch/SZBZX84C18LT3/page-1", "SZBZX84C18LT3")</f>
        <v>SZBZX84C18LT3</v>
      </c>
      <c r="B748" s="3" t="str">
        <f>HYPERLINK("https://www.773grp.com/manufacturer/onsemi?pageNo=747", "Onsemi")</f>
        <v>Onsemi</v>
      </c>
      <c r="C748" s="6">
        <v>120000</v>
      </c>
      <c r="D748" s="7">
        <v>0.23</v>
      </c>
      <c r="E748" t="s">
        <v>77</v>
      </c>
    </row>
    <row r="749" spans="1:5" x14ac:dyDescent="0.25">
      <c r="A749" t="str">
        <f>HYPERLINK("https://www.773grp.com/globalSearch/SZBZX84C22LT1/page-1", "SZBZX84C22LT1")</f>
        <v>SZBZX84C22LT1</v>
      </c>
      <c r="B749" s="3" t="str">
        <f>HYPERLINK("https://www.773grp.com/manufacturer/onsemi?pageNo=748", "Onsemi")</f>
        <v>Onsemi</v>
      </c>
      <c r="C749" s="6">
        <v>18000</v>
      </c>
      <c r="D749" s="7">
        <v>0.23</v>
      </c>
    </row>
    <row r="750" spans="1:5" x14ac:dyDescent="0.25">
      <c r="A750" t="str">
        <f>HYPERLINK("https://www.773grp.com/globalSearch/SZBZX84C24LT3/page-1", "SZBZX84C24LT3")</f>
        <v>SZBZX84C24LT3</v>
      </c>
      <c r="B750" s="3" t="str">
        <f>HYPERLINK("https://www.773grp.com/manufacturer/onsemi?pageNo=749", "Onsemi")</f>
        <v>Onsemi</v>
      </c>
      <c r="C750" s="6">
        <v>30000</v>
      </c>
      <c r="D750" s="7">
        <v>0.23</v>
      </c>
    </row>
    <row r="751" spans="1:5" x14ac:dyDescent="0.25">
      <c r="A751" t="str">
        <f>HYPERLINK("https://www.773grp.com/globalSearch/SZBZX84C27LT3/page-1", "SZBZX84C27LT3")</f>
        <v>SZBZX84C27LT3</v>
      </c>
      <c r="B751" s="3" t="str">
        <f>HYPERLINK("https://www.773grp.com/manufacturer/onsemi?pageNo=750", "Onsemi")</f>
        <v>Onsemi</v>
      </c>
      <c r="C751" s="6">
        <v>100000</v>
      </c>
      <c r="D751" s="7">
        <v>0.23</v>
      </c>
    </row>
    <row r="752" spans="1:5" x14ac:dyDescent="0.25">
      <c r="A752" t="str">
        <f>HYPERLINK("https://www.773grp.com/globalSearch/SZBZX84C33LT1/page-1", "SZBZX84C33LT1")</f>
        <v>SZBZX84C33LT1</v>
      </c>
      <c r="B752" s="3" t="str">
        <f>HYPERLINK("https://www.773grp.com/manufacturer/onsemi?pageNo=751", "Onsemi")</f>
        <v>Onsemi</v>
      </c>
      <c r="C752" s="6">
        <v>75000</v>
      </c>
      <c r="D752" s="7">
        <v>0.23</v>
      </c>
      <c r="E752" t="s">
        <v>77</v>
      </c>
    </row>
    <row r="753" spans="1:5" x14ac:dyDescent="0.25">
      <c r="A753" t="str">
        <f>HYPERLINK("https://www.773grp.com/globalSearch/SZBZX84C33LT3/page-1", "SZBZX84C33LT3")</f>
        <v>SZBZX84C33LT3</v>
      </c>
      <c r="B753" s="3" t="str">
        <f>HYPERLINK("https://www.773grp.com/manufacturer/onsemi?pageNo=752", "Onsemi")</f>
        <v>Onsemi</v>
      </c>
      <c r="C753" s="6">
        <v>170000</v>
      </c>
      <c r="D753" s="7">
        <v>0.23</v>
      </c>
      <c r="E753" t="s">
        <v>77</v>
      </c>
    </row>
    <row r="754" spans="1:5" x14ac:dyDescent="0.25">
      <c r="A754" t="str">
        <f>HYPERLINK("https://www.773grp.com/globalSearch/SZBZX84C36LT1/page-1", "SZBZX84C36LT1")</f>
        <v>SZBZX84C36LT1</v>
      </c>
      <c r="B754" s="3" t="str">
        <f>HYPERLINK("https://www.773grp.com/manufacturer/onsemi?pageNo=753", "Onsemi")</f>
        <v>Onsemi</v>
      </c>
      <c r="C754" s="6">
        <v>57000</v>
      </c>
      <c r="D754" s="7">
        <v>0.23</v>
      </c>
      <c r="E754" t="s">
        <v>77</v>
      </c>
    </row>
    <row r="755" spans="1:5" x14ac:dyDescent="0.25">
      <c r="A755" t="str">
        <f>HYPERLINK("https://www.773grp.com/globalSearch/SZBZX84C39LT1/page-1", "SZBZX84C39LT1")</f>
        <v>SZBZX84C39LT1</v>
      </c>
      <c r="B755" s="3" t="str">
        <f>HYPERLINK("https://www.773grp.com/manufacturer/onsemi?pageNo=754", "Onsemi")</f>
        <v>Onsemi</v>
      </c>
      <c r="C755" s="6">
        <v>27000</v>
      </c>
      <c r="D755" s="7">
        <v>0.23</v>
      </c>
      <c r="E755" t="s">
        <v>77</v>
      </c>
    </row>
    <row r="756" spans="1:5" x14ac:dyDescent="0.25">
      <c r="A756" t="str">
        <f>HYPERLINK("https://www.773grp.com/globalSearch/SZBZX84C3V0LT1/page-1", "SZBZX84C3V0LT1")</f>
        <v>SZBZX84C3V0LT1</v>
      </c>
      <c r="B756" s="3" t="str">
        <f>HYPERLINK("https://www.773grp.com/manufacturer/onsemi?pageNo=755", "Onsemi")</f>
        <v>Onsemi</v>
      </c>
      <c r="C756" s="6">
        <v>39000</v>
      </c>
      <c r="D756" s="7">
        <v>0.23</v>
      </c>
      <c r="E756" t="s">
        <v>77</v>
      </c>
    </row>
    <row r="757" spans="1:5" x14ac:dyDescent="0.25">
      <c r="A757" t="str">
        <f>HYPERLINK("https://www.773grp.com/globalSearch/SZBZX84C3V3LT1/page-1", "SZBZX84C3V3LT1")</f>
        <v>SZBZX84C3V3LT1</v>
      </c>
      <c r="B757" s="3" t="str">
        <f>HYPERLINK("https://www.773grp.com/manufacturer/onsemi?pageNo=756", "Onsemi")</f>
        <v>Onsemi</v>
      </c>
      <c r="C757" s="6">
        <v>72000</v>
      </c>
      <c r="D757" s="7">
        <v>0.23</v>
      </c>
      <c r="E757" t="s">
        <v>77</v>
      </c>
    </row>
    <row r="758" spans="1:5" x14ac:dyDescent="0.25">
      <c r="A758" t="str">
        <f>HYPERLINK("https://www.773grp.com/globalSearch/SZBZX84C3V6LT1/page-1", "SZBZX84C3V6LT1")</f>
        <v>SZBZX84C3V6LT1</v>
      </c>
      <c r="B758" s="3" t="str">
        <f>HYPERLINK("https://www.773grp.com/manufacturer/onsemi?pageNo=757", "Onsemi")</f>
        <v>Onsemi</v>
      </c>
      <c r="C758" s="6">
        <v>48000</v>
      </c>
      <c r="D758" s="7">
        <v>0.23</v>
      </c>
    </row>
    <row r="759" spans="1:5" x14ac:dyDescent="0.25">
      <c r="A759" t="str">
        <f>HYPERLINK("https://www.773grp.com/globalSearch/SZBZX84C3V9LT3/page-1", "SZBZX84C3V9LT3")</f>
        <v>SZBZX84C3V9LT3</v>
      </c>
      <c r="B759" s="3" t="str">
        <f>HYPERLINK("https://www.773grp.com/manufacturer/onsemi?pageNo=758", "Onsemi")</f>
        <v>Onsemi</v>
      </c>
      <c r="C759" s="6">
        <v>90000</v>
      </c>
      <c r="D759" s="7">
        <v>0.23</v>
      </c>
    </row>
    <row r="760" spans="1:5" x14ac:dyDescent="0.25">
      <c r="A760" t="str">
        <f>HYPERLINK("https://www.773grp.com/globalSearch/SZBZX84C43LT1/page-1", "SZBZX84C43LT1")</f>
        <v>SZBZX84C43LT1</v>
      </c>
      <c r="B760" s="3" t="str">
        <f>HYPERLINK("https://www.773grp.com/manufacturer/onsemi?pageNo=759", "Onsemi")</f>
        <v>Onsemi</v>
      </c>
      <c r="C760" s="6">
        <v>54000</v>
      </c>
      <c r="D760" s="7">
        <v>0.23</v>
      </c>
    </row>
    <row r="761" spans="1:5" x14ac:dyDescent="0.25">
      <c r="A761" t="str">
        <f>HYPERLINK("https://www.773grp.com/globalSearch/SZBZX84C47LT1/page-1", "SZBZX84C47LT1")</f>
        <v>SZBZX84C47LT1</v>
      </c>
      <c r="B761" s="3" t="str">
        <f>HYPERLINK("https://www.773grp.com/manufacturer/onsemi?pageNo=760", "Onsemi")</f>
        <v>Onsemi</v>
      </c>
      <c r="C761" s="6">
        <v>27000</v>
      </c>
      <c r="D761" s="7">
        <v>0.23</v>
      </c>
      <c r="E761" t="s">
        <v>77</v>
      </c>
    </row>
    <row r="762" spans="1:5" x14ac:dyDescent="0.25">
      <c r="A762" t="str">
        <f>HYPERLINK("https://www.773grp.com/globalSearch/SZBZX84C47LT3/page-1", "SZBZX84C47LT3")</f>
        <v>SZBZX84C47LT3</v>
      </c>
      <c r="B762" s="3" t="str">
        <f>HYPERLINK("https://www.773grp.com/manufacturer/onsemi?pageNo=761", "Onsemi")</f>
        <v>Onsemi</v>
      </c>
      <c r="C762" s="6">
        <v>40000</v>
      </c>
      <c r="D762" s="7">
        <v>0.23</v>
      </c>
      <c r="E762" t="s">
        <v>77</v>
      </c>
    </row>
    <row r="763" spans="1:5" x14ac:dyDescent="0.25">
      <c r="A763" t="str">
        <f>HYPERLINK("https://www.773grp.com/globalSearch/SZBZX84C4V3LT1/page-1", "SZBZX84C4V3LT1")</f>
        <v>SZBZX84C4V3LT1</v>
      </c>
      <c r="B763" s="3" t="str">
        <f>HYPERLINK("https://www.773grp.com/manufacturer/onsemi?pageNo=762", "Onsemi")</f>
        <v>Onsemi</v>
      </c>
      <c r="C763" s="6">
        <v>3000</v>
      </c>
      <c r="D763" s="7">
        <v>0.23</v>
      </c>
    </row>
    <row r="764" spans="1:5" x14ac:dyDescent="0.25">
      <c r="A764" t="str">
        <f>HYPERLINK("https://www.773grp.com/globalSearch/SZBZX84C4V3LT3/page-1", "SZBZX84C4V3LT3")</f>
        <v>SZBZX84C4V3LT3</v>
      </c>
      <c r="B764" s="3" t="str">
        <f>HYPERLINK("https://www.773grp.com/manufacturer/onsemi?pageNo=763", "Onsemi")</f>
        <v>Onsemi</v>
      </c>
      <c r="C764" s="6">
        <v>50000</v>
      </c>
      <c r="D764" s="7">
        <v>0.23</v>
      </c>
    </row>
    <row r="765" spans="1:5" x14ac:dyDescent="0.25">
      <c r="A765" t="str">
        <f>HYPERLINK("https://www.773grp.com/globalSearch/SZBZX84C51LT1/page-1", "SZBZX84C51LT1")</f>
        <v>SZBZX84C51LT1</v>
      </c>
      <c r="B765" s="3" t="str">
        <f>HYPERLINK("https://www.773grp.com/manufacturer/onsemi?pageNo=764", "Onsemi")</f>
        <v>Onsemi</v>
      </c>
      <c r="C765" s="6">
        <v>21000</v>
      </c>
      <c r="D765" s="7">
        <v>0.23</v>
      </c>
    </row>
    <row r="766" spans="1:5" x14ac:dyDescent="0.25">
      <c r="A766" t="str">
        <f>HYPERLINK("https://www.773grp.com/globalSearch/SZBZX84C5V1LT3/page-1", "SZBZX84C5V1LT3")</f>
        <v>SZBZX84C5V1LT3</v>
      </c>
      <c r="B766" s="3" t="str">
        <f>HYPERLINK("https://www.773grp.com/manufacturer/onsemi?pageNo=765", "Onsemi")</f>
        <v>Onsemi</v>
      </c>
      <c r="C766" s="6">
        <v>60000</v>
      </c>
      <c r="D766" s="7">
        <v>0.23</v>
      </c>
    </row>
    <row r="767" spans="1:5" x14ac:dyDescent="0.25">
      <c r="A767" t="str">
        <f>HYPERLINK("https://www.773grp.com/globalSearch/SZBZX84C5V6LT1/page-1", "SZBZX84C5V6LT1")</f>
        <v>SZBZX84C5V6LT1</v>
      </c>
      <c r="B767" s="3" t="str">
        <f>HYPERLINK("https://www.773grp.com/manufacturer/onsemi?pageNo=766", "Onsemi")</f>
        <v>Onsemi</v>
      </c>
      <c r="C767" s="6">
        <v>99000</v>
      </c>
      <c r="D767" s="7">
        <v>0.23</v>
      </c>
    </row>
    <row r="768" spans="1:5" x14ac:dyDescent="0.25">
      <c r="A768" t="str">
        <f>HYPERLINK("https://www.773grp.com/globalSearch/SZBZX84C6V2LT1/page-1", "SZBZX84C6V2LT1")</f>
        <v>SZBZX84C6V2LT1</v>
      </c>
      <c r="B768" s="3" t="str">
        <f>HYPERLINK("https://www.773grp.com/manufacturer/onsemi?pageNo=767", "Onsemi")</f>
        <v>Onsemi</v>
      </c>
      <c r="C768" s="6">
        <v>33000</v>
      </c>
      <c r="D768" s="7">
        <v>0.23</v>
      </c>
    </row>
    <row r="769" spans="1:5" x14ac:dyDescent="0.25">
      <c r="A769" t="str">
        <f>HYPERLINK("https://www.773grp.com/globalSearch/SZBZX84C6V8LT1/page-1", "SZBZX84C6V8LT1")</f>
        <v>SZBZX84C6V8LT1</v>
      </c>
      <c r="B769" s="3" t="str">
        <f>HYPERLINK("https://www.773grp.com/manufacturer/onsemi?pageNo=768", "Onsemi")</f>
        <v>Onsemi</v>
      </c>
      <c r="C769" s="6">
        <v>6000</v>
      </c>
      <c r="D769" s="7">
        <v>0.23</v>
      </c>
    </row>
    <row r="770" spans="1:5" x14ac:dyDescent="0.25">
      <c r="A770" t="str">
        <f>HYPERLINK("https://www.773grp.com/globalSearch/SZBZX84C6V8LT3/page-1", "SZBZX84C6V8LT3")</f>
        <v>SZBZX84C6V8LT3</v>
      </c>
      <c r="B770" s="3" t="str">
        <f>HYPERLINK("https://www.773grp.com/manufacturer/onsemi?pageNo=769", "Onsemi")</f>
        <v>Onsemi</v>
      </c>
      <c r="C770" s="6">
        <v>80000</v>
      </c>
      <c r="D770" s="7">
        <v>0.23</v>
      </c>
      <c r="E770" t="s">
        <v>77</v>
      </c>
    </row>
    <row r="771" spans="1:5" x14ac:dyDescent="0.25">
      <c r="A771" t="str">
        <f>HYPERLINK("https://www.773grp.com/globalSearch/SZBZX84C9V1LT3/page-1", "SZBZX84C9V1LT3")</f>
        <v>SZBZX84C9V1LT3</v>
      </c>
      <c r="B771" s="3" t="str">
        <f>HYPERLINK("https://www.773grp.com/manufacturer/onsemi?pageNo=770", "Onsemi")</f>
        <v>Onsemi</v>
      </c>
      <c r="C771" s="6">
        <v>30000</v>
      </c>
      <c r="D771" s="7">
        <v>0.23</v>
      </c>
      <c r="E771" t="s">
        <v>77</v>
      </c>
    </row>
    <row r="772" spans="1:5" x14ac:dyDescent="0.25">
      <c r="A772" t="str">
        <f>HYPERLINK("https://www.773grp.com/globalSearch/SZMM3Z27VST1G/page-1", "SZMM3Z27VST1G")</f>
        <v>SZMM3Z27VST1G</v>
      </c>
      <c r="B772" s="3" t="str">
        <f>HYPERLINK("https://www.773grp.com/manufacturer/onsemi?pageNo=771", "Onsemi")</f>
        <v>Onsemi</v>
      </c>
      <c r="C772" s="6">
        <v>15000</v>
      </c>
      <c r="D772" s="7">
        <v>0.23</v>
      </c>
    </row>
    <row r="773" spans="1:5" x14ac:dyDescent="0.25">
      <c r="A773" t="str">
        <f>HYPERLINK("https://www.773grp.com/globalSearch/SZMMBZ15VDLT1G/page-1", "SZMMBZ15VDLT1G")</f>
        <v>SZMMBZ15VDLT1G</v>
      </c>
      <c r="B773" s="3" t="str">
        <f>HYPERLINK("https://www.773grp.com/manufacturer/onsemi?pageNo=772", "Onsemi")</f>
        <v>Onsemi</v>
      </c>
      <c r="C773" s="6">
        <v>2700</v>
      </c>
      <c r="D773" s="7">
        <v>0.23</v>
      </c>
    </row>
    <row r="774" spans="1:5" x14ac:dyDescent="0.25">
      <c r="A774" t="str">
        <f>HYPERLINK("https://www.773grp.com/globalSearch/SZMMBZ27VALT1G/page-1", "SZMMBZ27VALT1G")</f>
        <v>SZMMBZ27VALT1G</v>
      </c>
      <c r="B774" s="3" t="str">
        <f>HYPERLINK("https://www.773grp.com/manufacturer/onsemi?pageNo=773", "Onsemi")</f>
        <v>Onsemi</v>
      </c>
      <c r="C774" s="6">
        <v>324500</v>
      </c>
      <c r="D774" s="7">
        <v>0.23</v>
      </c>
    </row>
    <row r="775" spans="1:5" x14ac:dyDescent="0.25">
      <c r="A775" t="str">
        <f>HYPERLINK("https://www.773grp.com/globalSearch/SZMMBZ33VALT1G/page-1", "SZMMBZ33VALT1G")</f>
        <v>SZMMBZ33VALT1G</v>
      </c>
      <c r="B775" s="3" t="str">
        <f>HYPERLINK("https://www.773grp.com/manufacturer/onsemi?pageNo=774", "Onsemi")</f>
        <v>Onsemi</v>
      </c>
      <c r="C775" s="6">
        <v>2875</v>
      </c>
      <c r="D775" s="7">
        <v>0.23</v>
      </c>
    </row>
    <row r="776" spans="1:5" x14ac:dyDescent="0.25">
      <c r="A776" t="str">
        <f>HYPERLINK("https://www.773grp.com/globalSearch/SZMMBZ33VALT3G/page-1", "SZMMBZ33VALT3G")</f>
        <v>SZMMBZ33VALT3G</v>
      </c>
      <c r="B776" s="3" t="str">
        <f>HYPERLINK("https://www.773grp.com/manufacturer/onsemi?pageNo=775", "Onsemi")</f>
        <v>Onsemi</v>
      </c>
      <c r="C776" s="6">
        <v>9900</v>
      </c>
      <c r="D776" s="7">
        <v>0.23</v>
      </c>
    </row>
    <row r="777" spans="1:5" x14ac:dyDescent="0.25">
      <c r="A777" t="str">
        <f>HYPERLINK("https://www.773grp.com/globalSearch/SZMMBZ5V6ALT1G/page-1", "SZMMBZ5V6ALT1G")</f>
        <v>SZMMBZ5V6ALT1G</v>
      </c>
      <c r="B777" s="3" t="str">
        <f>HYPERLINK("https://www.773grp.com/manufacturer/onsemi?pageNo=776", "Onsemi")</f>
        <v>Onsemi</v>
      </c>
      <c r="C777" s="6">
        <v>174000</v>
      </c>
      <c r="D777" s="7">
        <v>0.23</v>
      </c>
    </row>
    <row r="778" spans="1:5" x14ac:dyDescent="0.25">
      <c r="A778" t="str">
        <f>HYPERLINK("https://www.773grp.com/globalSearch/SZMMBZ6V2ALT1/page-1", "SZMMBZ6V2ALT1")</f>
        <v>SZMMBZ6V2ALT1</v>
      </c>
      <c r="B778" s="3" t="str">
        <f>HYPERLINK("https://www.773grp.com/manufacturer/onsemi?pageNo=777", "Onsemi")</f>
        <v>Onsemi</v>
      </c>
      <c r="C778" s="6">
        <v>27000</v>
      </c>
      <c r="D778" s="7">
        <v>0.23</v>
      </c>
    </row>
    <row r="779" spans="1:5" x14ac:dyDescent="0.25">
      <c r="A779" t="str">
        <f>HYPERLINK("https://www.773grp.com/globalSearch/SZMMBZ6V2ALT1G/page-1", "SZMMBZ6V2ALT1G")</f>
        <v>SZMMBZ6V2ALT1G</v>
      </c>
      <c r="B779" s="3" t="str">
        <f>HYPERLINK("https://www.773grp.com/manufacturer/onsemi?pageNo=778", "Onsemi")</f>
        <v>Onsemi</v>
      </c>
      <c r="C779" s="6">
        <v>27000</v>
      </c>
      <c r="D779" s="7">
        <v>0.23</v>
      </c>
    </row>
    <row r="780" spans="1:5" x14ac:dyDescent="0.25">
      <c r="A780" t="str">
        <f>HYPERLINK("https://www.773grp.com/globalSearch/SZMMSZ5261BT1G/page-1", "SZMMSZ5261BT1G")</f>
        <v>SZMMSZ5261BT1G</v>
      </c>
      <c r="B780" s="3" t="str">
        <f>HYPERLINK("https://www.773grp.com/manufacturer/onsemi?pageNo=779", "Onsemi")</f>
        <v>Onsemi</v>
      </c>
      <c r="C780" s="6">
        <v>33000</v>
      </c>
      <c r="D780" s="7">
        <v>0.23</v>
      </c>
    </row>
    <row r="781" spans="1:5" x14ac:dyDescent="0.25">
      <c r="A781" t="str">
        <f>HYPERLINK("https://www.773grp.com/globalSearch/SZP35099RL/page-1", "SZP35099RL")</f>
        <v>SZP35099RL</v>
      </c>
      <c r="B781" s="3" t="str">
        <f>HYPERLINK("https://www.773grp.com/manufacturer/onsemi?pageNo=780", "Onsemi")</f>
        <v>Onsemi</v>
      </c>
      <c r="C781" s="6">
        <v>12000</v>
      </c>
      <c r="D781" s="7">
        <v>0.23</v>
      </c>
    </row>
    <row r="782" spans="1:5" x14ac:dyDescent="0.25">
      <c r="A782" t="str">
        <f>HYPERLINK("https://www.773grp.com/globalSearch/SZP35126-55RL/page-1", "SZP35126-55RL")</f>
        <v>SZP35126-55RL</v>
      </c>
      <c r="B782" s="3" t="str">
        <f>HYPERLINK("https://www.773grp.com/manufacturer/onsemi?pageNo=781", "Onsemi")</f>
        <v>Onsemi</v>
      </c>
      <c r="C782" s="6">
        <v>20000</v>
      </c>
      <c r="D782" s="7">
        <v>0.23</v>
      </c>
    </row>
    <row r="783" spans="1:5" x14ac:dyDescent="0.25">
      <c r="A783" t="str">
        <f>HYPERLINK("https://www.773grp.com/globalSearch/SZP35126-68RL/page-1", "SZP35126-68RL")</f>
        <v>SZP35126-68RL</v>
      </c>
      <c r="B783" s="3" t="str">
        <f>HYPERLINK("https://www.773grp.com/manufacturer/onsemi?pageNo=782", "Onsemi")</f>
        <v>Onsemi</v>
      </c>
      <c r="C783" s="6">
        <v>12000</v>
      </c>
      <c r="D783" s="7">
        <v>0.23</v>
      </c>
    </row>
    <row r="784" spans="1:5" x14ac:dyDescent="0.25">
      <c r="A784" t="str">
        <f>HYPERLINK("https://www.773grp.com/globalSearch/TF202THC-3-TL-H/page-1", "TF202THC-3-TL-H")</f>
        <v>TF202THC-3-TL-H</v>
      </c>
      <c r="B784" s="3" t="str">
        <f>HYPERLINK("https://www.773grp.com/manufacturer/onsemi?pageNo=783", "Onsemi")</f>
        <v>Onsemi</v>
      </c>
      <c r="C784" s="6">
        <v>440000</v>
      </c>
      <c r="D784" s="7">
        <v>0.23</v>
      </c>
    </row>
    <row r="785" spans="1:5" x14ac:dyDescent="0.25">
      <c r="A785" t="str">
        <f>HYPERLINK("https://www.773grp.com/globalSearch/UMC3NT1/page-1", "UMC3NT1")</f>
        <v>UMC3NT1</v>
      </c>
      <c r="B785" s="3" t="str">
        <f>HYPERLINK("https://www.773grp.com/manufacturer/onsemi?pageNo=784", "Onsemi")</f>
        <v>Onsemi</v>
      </c>
      <c r="C785" s="6">
        <v>536810</v>
      </c>
      <c r="D785" s="7">
        <v>0.23</v>
      </c>
      <c r="E785" t="s">
        <v>57</v>
      </c>
    </row>
    <row r="786" spans="1:5" x14ac:dyDescent="0.25">
      <c r="A786" t="str">
        <f>HYPERLINK("https://www.773grp.com/globalSearch/UMC5NT1/page-1", "UMC5NT1")</f>
        <v>UMC5NT1</v>
      </c>
      <c r="B786" s="3" t="str">
        <f>HYPERLINK("https://www.773grp.com/manufacturer/onsemi?pageNo=785", "Onsemi")</f>
        <v>Onsemi</v>
      </c>
      <c r="C786" s="6">
        <v>5950</v>
      </c>
      <c r="D786" s="7">
        <v>0.23</v>
      </c>
      <c r="E786" t="s">
        <v>57</v>
      </c>
    </row>
    <row r="787" spans="1:5" x14ac:dyDescent="0.25">
      <c r="A787" t="str">
        <f>HYPERLINK("https://www.773grp.com/globalSearch/UMC5NT2/page-1", "UMC5NT2")</f>
        <v>UMC5NT2</v>
      </c>
      <c r="B787" s="3" t="str">
        <f>HYPERLINK("https://www.773grp.com/manufacturer/onsemi?pageNo=786", "Onsemi")</f>
        <v>Onsemi</v>
      </c>
      <c r="C787" s="6">
        <v>72000</v>
      </c>
      <c r="D787" s="7">
        <v>0.23</v>
      </c>
    </row>
    <row r="788" spans="1:5" x14ac:dyDescent="0.25">
      <c r="A788" t="str">
        <f>HYPERLINK("https://www.773grp.com/globalSearch/UMZ1NT1G/page-1", "UMZ1NT1G")</f>
        <v>UMZ1NT1G</v>
      </c>
      <c r="B788" s="3" t="str">
        <f>HYPERLINK("https://www.773grp.com/manufacturer/onsemi?pageNo=787", "Onsemi")</f>
        <v>Onsemi</v>
      </c>
      <c r="C788" s="6">
        <v>179868</v>
      </c>
      <c r="D788" s="7">
        <v>0.23</v>
      </c>
      <c r="E788" t="s">
        <v>57</v>
      </c>
    </row>
    <row r="789" spans="1:5" x14ac:dyDescent="0.25">
      <c r="A789" t="str">
        <f>HYPERLINK("https://www.773grp.com/globalSearch/MBR360G/page-1", "MBR360G")</f>
        <v>MBR360G</v>
      </c>
      <c r="B789" s="3" t="str">
        <f>HYPERLINK("https://www.773grp.com/manufacturer/onsemi?pageNo=788", "Onsemi")</f>
        <v>Onsemi</v>
      </c>
      <c r="C789" s="6">
        <v>700</v>
      </c>
      <c r="D789" s="7">
        <v>0.28000000000000003</v>
      </c>
      <c r="E789" t="s">
        <v>82</v>
      </c>
    </row>
    <row r="790" spans="1:5" x14ac:dyDescent="0.25">
      <c r="A790" t="str">
        <f>HYPERLINK("https://www.773grp.com/globalSearch/1N4742CRL/page-1", "1N4742CRL")</f>
        <v>1N4742CRL</v>
      </c>
      <c r="B790" s="3" t="str">
        <f>HYPERLINK("https://www.773grp.com/manufacturer/onsemi?pageNo=789", "Onsemi")</f>
        <v>Onsemi</v>
      </c>
      <c r="C790" s="6">
        <v>6000</v>
      </c>
      <c r="D790" s="7">
        <v>0.28000000000000003</v>
      </c>
      <c r="E790" t="s">
        <v>77</v>
      </c>
    </row>
    <row r="791" spans="1:5" x14ac:dyDescent="0.25">
      <c r="A791" t="str">
        <f>HYPERLINK("https://www.773grp.com/globalSearch/1N4745CRL/page-1", "1N4745CRL")</f>
        <v>1N4745CRL</v>
      </c>
      <c r="B791" s="3" t="str">
        <f>HYPERLINK("https://www.773grp.com/manufacturer/onsemi?pageNo=790", "Onsemi")</f>
        <v>Onsemi</v>
      </c>
      <c r="C791" s="6">
        <v>155500</v>
      </c>
      <c r="D791" s="7">
        <v>0.28000000000000003</v>
      </c>
      <c r="E791" t="s">
        <v>77</v>
      </c>
    </row>
    <row r="792" spans="1:5" x14ac:dyDescent="0.25">
      <c r="A792" t="str">
        <f>HYPERLINK("https://www.773grp.com/globalSearch/1N5248DRL/page-1", "1N5248DRL")</f>
        <v>1N5248DRL</v>
      </c>
      <c r="B792" s="3" t="str">
        <f>HYPERLINK("https://www.773grp.com/manufacturer/onsemi?pageNo=791", "Onsemi")</f>
        <v>Onsemi</v>
      </c>
      <c r="C792" s="6">
        <v>4975</v>
      </c>
      <c r="D792" s="7">
        <v>0.28000000000000003</v>
      </c>
      <c r="E792" t="s">
        <v>77</v>
      </c>
    </row>
    <row r="793" spans="1:5" x14ac:dyDescent="0.25">
      <c r="A793" t="str">
        <f>HYPERLINK("https://www.773grp.com/globalSearch/2N6426RLRA/page-1", "2N6426RLRA")</f>
        <v>2N6426RLRA</v>
      </c>
      <c r="B793" s="3" t="str">
        <f>HYPERLINK("https://www.773grp.com/manufacturer/onsemi?pageNo=792", "Onsemi")</f>
        <v>Onsemi</v>
      </c>
      <c r="C793" s="6">
        <v>1578000</v>
      </c>
      <c r="D793" s="7">
        <v>0.28000000000000003</v>
      </c>
      <c r="E793" t="s">
        <v>57</v>
      </c>
    </row>
    <row r="794" spans="1:5" x14ac:dyDescent="0.25">
      <c r="A794" t="str">
        <f>HYPERLINK("https://www.773grp.com/globalSearch/2N6427RLRA/page-1", "2N6427RLRA")</f>
        <v>2N6427RLRA</v>
      </c>
      <c r="B794" s="3" t="str">
        <f>HYPERLINK("https://www.773grp.com/manufacturer/onsemi?pageNo=793", "Onsemi")</f>
        <v>Onsemi</v>
      </c>
      <c r="C794" s="6">
        <v>4000</v>
      </c>
      <c r="D794" s="7">
        <v>0.28000000000000003</v>
      </c>
      <c r="E794" t="s">
        <v>57</v>
      </c>
    </row>
    <row r="795" spans="1:5" x14ac:dyDescent="0.25">
      <c r="A795" t="str">
        <f>HYPERLINK("https://www.773grp.com/globalSearch/2N7000G/page-1", "2N7000G")</f>
        <v>2N7000G</v>
      </c>
      <c r="B795" s="3" t="str">
        <f>HYPERLINK("https://www.773grp.com/manufacturer/onsemi?pageNo=794", "Onsemi")</f>
        <v>Onsemi</v>
      </c>
      <c r="C795" s="6">
        <v>12000</v>
      </c>
      <c r="D795" s="7">
        <v>0.28000000000000003</v>
      </c>
    </row>
    <row r="796" spans="1:5" x14ac:dyDescent="0.25">
      <c r="A796" t="str">
        <f>HYPERLINK("https://www.773grp.com/globalSearch/2N7000RLRAG/page-1", "2N7000RLRAG")</f>
        <v>2N7000RLRAG</v>
      </c>
      <c r="B796" s="3" t="str">
        <f>HYPERLINK("https://www.773grp.com/manufacturer/onsemi?pageNo=795", "Onsemi")</f>
        <v>Onsemi</v>
      </c>
      <c r="C796" s="6">
        <v>208605</v>
      </c>
      <c r="D796" s="7">
        <v>0.28000000000000003</v>
      </c>
      <c r="E796" t="s">
        <v>85</v>
      </c>
    </row>
    <row r="797" spans="1:5" x14ac:dyDescent="0.25">
      <c r="A797" t="str">
        <f>HYPERLINK("https://www.773grp.com/globalSearch/2SA1344-TB-E/page-1", "2SA1344-TB-E")</f>
        <v>2SA1344-TB-E</v>
      </c>
      <c r="B797" s="3" t="str">
        <f>HYPERLINK("https://www.773grp.com/manufacturer/onsemi?pageNo=796", "Onsemi")</f>
        <v>Onsemi</v>
      </c>
      <c r="C797" s="6">
        <v>45000</v>
      </c>
      <c r="D797" s="7">
        <v>0.28000000000000003</v>
      </c>
    </row>
    <row r="798" spans="1:5" x14ac:dyDescent="0.25">
      <c r="A798" t="str">
        <f>HYPERLINK("https://www.773grp.com/globalSearch/3LN01SS-TL-E/page-1", "3LN01SS-TL-E")</f>
        <v>3LN01SS-TL-E</v>
      </c>
      <c r="B798" s="3" t="str">
        <f>HYPERLINK("https://www.773grp.com/manufacturer/onsemi?pageNo=797", "Onsemi")</f>
        <v>Onsemi</v>
      </c>
      <c r="C798" s="6">
        <v>7900</v>
      </c>
      <c r="D798" s="7">
        <v>0.28000000000000003</v>
      </c>
    </row>
    <row r="799" spans="1:5" x14ac:dyDescent="0.25">
      <c r="A799" t="str">
        <f>HYPERLINK("https://www.773grp.com/globalSearch/3LN01S-TL-E/page-1", "3LN01S-TL-E")</f>
        <v>3LN01S-TL-E</v>
      </c>
      <c r="B799" s="3" t="str">
        <f>HYPERLINK("https://www.773grp.com/manufacturer/onsemi?pageNo=798", "Onsemi")</f>
        <v>Onsemi</v>
      </c>
      <c r="C799" s="6">
        <v>6000</v>
      </c>
      <c r="D799" s="7">
        <v>0.28000000000000003</v>
      </c>
    </row>
    <row r="800" spans="1:5" x14ac:dyDescent="0.25">
      <c r="A800" t="str">
        <f>HYPERLINK("https://www.773grp.com/globalSearch/3LP01M-TL-E/page-1", "3LP01M-TL-E")</f>
        <v>3LP01M-TL-E</v>
      </c>
      <c r="B800" s="3" t="str">
        <f>HYPERLINK("https://www.773grp.com/manufacturer/onsemi?pageNo=799", "Onsemi")</f>
        <v>Onsemi</v>
      </c>
      <c r="C800" s="6">
        <v>3000</v>
      </c>
      <c r="D800" s="7">
        <v>0.28000000000000003</v>
      </c>
    </row>
    <row r="801" spans="1:5" x14ac:dyDescent="0.25">
      <c r="A801" t="str">
        <f>HYPERLINK("https://www.773grp.com/globalSearch/3LP01SS-TL-E/page-1", "3LP01SS-TL-E")</f>
        <v>3LP01SS-TL-E</v>
      </c>
      <c r="B801" s="3" t="str">
        <f>HYPERLINK("https://www.773grp.com/manufacturer/onsemi?pageNo=800", "Onsemi")</f>
        <v>Onsemi</v>
      </c>
      <c r="C801" s="6">
        <v>6085</v>
      </c>
      <c r="D801" s="7">
        <v>0.28000000000000003</v>
      </c>
    </row>
    <row r="802" spans="1:5" x14ac:dyDescent="0.25">
      <c r="A802" t="str">
        <f>HYPERLINK("https://www.773grp.com/globalSearch/BAS116LT1G/page-1", "BAS116LT1G")</f>
        <v>BAS116LT1G</v>
      </c>
      <c r="B802" s="3" t="str">
        <f>HYPERLINK("https://www.773grp.com/manufacturer/onsemi?pageNo=801", "Onsemi")</f>
        <v>Onsemi</v>
      </c>
      <c r="C802" s="6">
        <v>84000</v>
      </c>
      <c r="D802" s="7">
        <v>0.28000000000000003</v>
      </c>
      <c r="E802" t="s">
        <v>73</v>
      </c>
    </row>
    <row r="803" spans="1:5" x14ac:dyDescent="0.25">
      <c r="A803" t="str">
        <f>HYPERLINK("https://www.773grp.com/globalSearch/BAS116LT3G/page-1", "BAS116LT3G")</f>
        <v>BAS116LT3G</v>
      </c>
      <c r="B803" s="3" t="str">
        <f>HYPERLINK("https://www.773grp.com/manufacturer/onsemi?pageNo=802", "Onsemi")</f>
        <v>Onsemi</v>
      </c>
      <c r="C803" s="6">
        <v>200000</v>
      </c>
      <c r="D803" s="7">
        <v>0.28000000000000003</v>
      </c>
      <c r="E803" t="s">
        <v>73</v>
      </c>
    </row>
    <row r="804" spans="1:5" x14ac:dyDescent="0.25">
      <c r="A804" t="str">
        <f>HYPERLINK("https://www.773grp.com/globalSearch/BAS21AHT1G/page-1", "BAS21AHT1G")</f>
        <v>BAS21AHT1G</v>
      </c>
      <c r="B804" s="3" t="str">
        <f>HYPERLINK("https://www.773grp.com/manufacturer/onsemi?pageNo=803", "Onsemi")</f>
        <v>Onsemi</v>
      </c>
      <c r="C804" s="6">
        <v>128751</v>
      </c>
      <c r="D804" s="7">
        <v>0.28000000000000003</v>
      </c>
      <c r="E804" t="s">
        <v>73</v>
      </c>
    </row>
    <row r="805" spans="1:5" x14ac:dyDescent="0.25">
      <c r="A805" t="str">
        <f>HYPERLINK("https://www.773grp.com/globalSearch/BAS21DW5T1G/page-1", "BAS21DW5T1G")</f>
        <v>BAS21DW5T1G</v>
      </c>
      <c r="B805" s="3" t="str">
        <f>HYPERLINK("https://www.773grp.com/manufacturer/onsemi?pageNo=804", "Onsemi")</f>
        <v>Onsemi</v>
      </c>
      <c r="C805" s="6">
        <v>6000</v>
      </c>
      <c r="D805" s="7">
        <v>0.28000000000000003</v>
      </c>
      <c r="E805" t="s">
        <v>73</v>
      </c>
    </row>
    <row r="806" spans="1:5" x14ac:dyDescent="0.25">
      <c r="A806" t="str">
        <f>HYPERLINK("https://www.773grp.com/globalSearch/BAS40-06LT1/page-1", "BAS40-06LT1")</f>
        <v>BAS40-06LT1</v>
      </c>
      <c r="B806" s="3" t="str">
        <f>HYPERLINK("https://www.773grp.com/manufacturer/onsemi?pageNo=805", "Onsemi")</f>
        <v>Onsemi</v>
      </c>
      <c r="C806" s="6">
        <v>42000</v>
      </c>
      <c r="D806" s="7">
        <v>0.28000000000000003</v>
      </c>
      <c r="E806" t="s">
        <v>73</v>
      </c>
    </row>
    <row r="807" spans="1:5" x14ac:dyDescent="0.25">
      <c r="A807" t="str">
        <f>HYPERLINK("https://www.773grp.com/globalSearch/BAT54ALT1/page-1", "BAT54ALT1")</f>
        <v>BAT54ALT1</v>
      </c>
      <c r="B807" s="3" t="str">
        <f>HYPERLINK("https://www.773grp.com/manufacturer/onsemi?pageNo=806", "Onsemi")</f>
        <v>Onsemi</v>
      </c>
      <c r="C807" s="6">
        <v>50320</v>
      </c>
      <c r="D807" s="7">
        <v>0.28000000000000003</v>
      </c>
      <c r="E807" t="s">
        <v>73</v>
      </c>
    </row>
    <row r="808" spans="1:5" x14ac:dyDescent="0.25">
      <c r="A808" t="str">
        <f>HYPERLINK("https://www.773grp.com/globalSearch/BAT54ALT3G/page-1", "BAT54ALT3G")</f>
        <v>BAT54ALT3G</v>
      </c>
      <c r="B808" s="3" t="str">
        <f>HYPERLINK("https://www.773grp.com/manufacturer/onsemi?pageNo=807", "Onsemi")</f>
        <v>Onsemi</v>
      </c>
      <c r="C808" s="6">
        <v>60000</v>
      </c>
      <c r="D808" s="7">
        <v>0.28000000000000003</v>
      </c>
      <c r="E808" t="s">
        <v>73</v>
      </c>
    </row>
    <row r="809" spans="1:5" x14ac:dyDescent="0.25">
      <c r="A809" t="str">
        <f>HYPERLINK("https://www.773grp.com/globalSearch/BAT54AWT1/page-1", "BAT54AWT1")</f>
        <v>BAT54AWT1</v>
      </c>
      <c r="B809" s="3" t="str">
        <f>HYPERLINK("https://www.773grp.com/manufacturer/onsemi?pageNo=808", "Onsemi")</f>
        <v>Onsemi</v>
      </c>
      <c r="C809" s="6">
        <v>50560</v>
      </c>
      <c r="D809" s="7">
        <v>0.28000000000000003</v>
      </c>
      <c r="E809" t="s">
        <v>73</v>
      </c>
    </row>
    <row r="810" spans="1:5" x14ac:dyDescent="0.25">
      <c r="A810" t="str">
        <f>HYPERLINK("https://www.773grp.com/globalSearch/BAT54AWT1G/page-1", "BAT54AWT1G")</f>
        <v>BAT54AWT1G</v>
      </c>
      <c r="B810" s="3" t="str">
        <f>HYPERLINK("https://www.773grp.com/manufacturer/onsemi?pageNo=809", "Onsemi")</f>
        <v>Onsemi</v>
      </c>
      <c r="C810" s="6">
        <v>1094161</v>
      </c>
      <c r="D810" s="7">
        <v>0.28000000000000003</v>
      </c>
      <c r="E810" t="s">
        <v>73</v>
      </c>
    </row>
    <row r="811" spans="1:5" x14ac:dyDescent="0.25">
      <c r="A811" t="str">
        <f>HYPERLINK("https://www.773grp.com/globalSearch/BAT54AWT3/page-1", "BAT54AWT3")</f>
        <v>BAT54AWT3</v>
      </c>
      <c r="B811" s="3" t="str">
        <f>HYPERLINK("https://www.773grp.com/manufacturer/onsemi?pageNo=810", "Onsemi")</f>
        <v>Onsemi</v>
      </c>
      <c r="C811" s="6">
        <v>100000</v>
      </c>
      <c r="D811" s="7">
        <v>0.28000000000000003</v>
      </c>
      <c r="E811" t="s">
        <v>73</v>
      </c>
    </row>
    <row r="812" spans="1:5" x14ac:dyDescent="0.25">
      <c r="A812" t="str">
        <f>HYPERLINK("https://www.773grp.com/globalSearch/BAT54CLT1/page-1", "BAT54CLT1")</f>
        <v>BAT54CLT1</v>
      </c>
      <c r="B812" s="3" t="str">
        <f>HYPERLINK("https://www.773grp.com/manufacturer/onsemi?pageNo=811", "Onsemi")</f>
        <v>Onsemi</v>
      </c>
      <c r="C812" s="6">
        <v>356430</v>
      </c>
      <c r="D812" s="7">
        <v>0.28000000000000003</v>
      </c>
      <c r="E812" t="s">
        <v>73</v>
      </c>
    </row>
    <row r="813" spans="1:5" x14ac:dyDescent="0.25">
      <c r="A813" t="str">
        <f>HYPERLINK("https://www.773grp.com/globalSearch/BAT54CWT1/page-1", "BAT54CWT1")</f>
        <v>BAT54CWT1</v>
      </c>
      <c r="B813" s="3" t="str">
        <f>HYPERLINK("https://www.773grp.com/manufacturer/onsemi?pageNo=812", "Onsemi")</f>
        <v>Onsemi</v>
      </c>
      <c r="C813" s="6">
        <v>27000</v>
      </c>
      <c r="D813" s="7">
        <v>0.28000000000000003</v>
      </c>
      <c r="E813" t="s">
        <v>73</v>
      </c>
    </row>
    <row r="814" spans="1:5" x14ac:dyDescent="0.25">
      <c r="A814" t="str">
        <f>HYPERLINK("https://www.773grp.com/globalSearch/BAT54CWT1G/page-1", "BAT54CWT1G")</f>
        <v>BAT54CWT1G</v>
      </c>
      <c r="B814" s="3" t="str">
        <f>HYPERLINK("https://www.773grp.com/manufacturer/onsemi?pageNo=813", "Onsemi")</f>
        <v>Onsemi</v>
      </c>
      <c r="C814" s="6">
        <v>99000</v>
      </c>
      <c r="D814" s="7">
        <v>0.28000000000000003</v>
      </c>
      <c r="E814" t="s">
        <v>73</v>
      </c>
    </row>
    <row r="815" spans="1:5" x14ac:dyDescent="0.25">
      <c r="A815" t="str">
        <f>HYPERLINK("https://www.773grp.com/globalSearch/BAT54HT1/page-1", "BAT54HT1")</f>
        <v>BAT54HT1</v>
      </c>
      <c r="B815" s="3" t="str">
        <f>HYPERLINK("https://www.773grp.com/manufacturer/onsemi?pageNo=814", "Onsemi")</f>
        <v>Onsemi</v>
      </c>
      <c r="C815" s="6">
        <v>87578</v>
      </c>
      <c r="D815" s="7">
        <v>0.28000000000000003</v>
      </c>
      <c r="E815" t="s">
        <v>73</v>
      </c>
    </row>
    <row r="816" spans="1:5" x14ac:dyDescent="0.25">
      <c r="A816" t="str">
        <f>HYPERLINK("https://www.773grp.com/globalSearch/BAT54HT1G/page-1", "BAT54HT1G")</f>
        <v>BAT54HT1G</v>
      </c>
      <c r="B816" s="3" t="str">
        <f>HYPERLINK("https://www.773grp.com/manufacturer/onsemi?pageNo=815", "Onsemi")</f>
        <v>Onsemi</v>
      </c>
      <c r="C816" s="6">
        <v>680377</v>
      </c>
      <c r="D816" s="7">
        <v>0.28000000000000003</v>
      </c>
      <c r="E816" t="s">
        <v>73</v>
      </c>
    </row>
    <row r="817" spans="1:5" x14ac:dyDescent="0.25">
      <c r="A817" t="str">
        <f>HYPERLINK("https://www.773grp.com/globalSearch/BAT54LT1/page-1", "BAT54LT1")</f>
        <v>BAT54LT1</v>
      </c>
      <c r="B817" s="3" t="str">
        <f>HYPERLINK("https://www.773grp.com/manufacturer/onsemi?pageNo=816", "Onsemi")</f>
        <v>Onsemi</v>
      </c>
      <c r="C817" s="6">
        <v>99800</v>
      </c>
      <c r="D817" s="7">
        <v>0.28000000000000003</v>
      </c>
      <c r="E817" t="s">
        <v>73</v>
      </c>
    </row>
    <row r="818" spans="1:5" x14ac:dyDescent="0.25">
      <c r="A818" t="str">
        <f>HYPERLINK("https://www.773grp.com/globalSearch/BAT54SWT1/page-1", "BAT54SWT1")</f>
        <v>BAT54SWT1</v>
      </c>
      <c r="B818" s="3" t="str">
        <f>HYPERLINK("https://www.773grp.com/manufacturer/onsemi?pageNo=817", "Onsemi")</f>
        <v>Onsemi</v>
      </c>
      <c r="C818" s="6">
        <v>47721</v>
      </c>
      <c r="D818" s="7">
        <v>0.28000000000000003</v>
      </c>
      <c r="E818" t="s">
        <v>73</v>
      </c>
    </row>
    <row r="819" spans="1:5" x14ac:dyDescent="0.25">
      <c r="A819" t="str">
        <f>HYPERLINK("https://www.773grp.com/globalSearch/BAT54SWT1G/page-1", "BAT54SWT1G")</f>
        <v>BAT54SWT1G</v>
      </c>
      <c r="B819" s="3" t="str">
        <f>HYPERLINK("https://www.773grp.com/manufacturer/onsemi?pageNo=818", "Onsemi")</f>
        <v>Onsemi</v>
      </c>
      <c r="C819" s="6">
        <v>554700</v>
      </c>
      <c r="D819" s="7">
        <v>0.28000000000000003</v>
      </c>
      <c r="E819" t="s">
        <v>73</v>
      </c>
    </row>
    <row r="820" spans="1:5" x14ac:dyDescent="0.25">
      <c r="A820" t="str">
        <f>HYPERLINK("https://www.773grp.com/globalSearch/BAT54WT1G/page-1", "BAT54WT1G")</f>
        <v>BAT54WT1G</v>
      </c>
      <c r="B820" s="3" t="str">
        <f>HYPERLINK("https://www.773grp.com/manufacturer/onsemi?pageNo=819", "Onsemi")</f>
        <v>Onsemi</v>
      </c>
      <c r="C820" s="6">
        <v>1802990</v>
      </c>
      <c r="D820" s="7">
        <v>0.28000000000000003</v>
      </c>
      <c r="E820" t="s">
        <v>73</v>
      </c>
    </row>
    <row r="821" spans="1:5" x14ac:dyDescent="0.25">
      <c r="A821" t="str">
        <f>HYPERLINK("https://www.773grp.com/globalSearch/BAV199LT1/page-1", "BAV199LT1")</f>
        <v>BAV199LT1</v>
      </c>
      <c r="B821" s="3" t="str">
        <f>HYPERLINK("https://www.773grp.com/manufacturer/onsemi?pageNo=820", "Onsemi")</f>
        <v>Onsemi</v>
      </c>
      <c r="C821" s="6">
        <v>84000</v>
      </c>
      <c r="D821" s="7">
        <v>0.28000000000000003</v>
      </c>
    </row>
    <row r="822" spans="1:5" x14ac:dyDescent="0.25">
      <c r="A822" t="str">
        <f>HYPERLINK("https://www.773grp.com/globalSearch/BAV199LT1G/page-1", "BAV199LT1G")</f>
        <v>BAV199LT1G</v>
      </c>
      <c r="B822" s="3" t="str">
        <f>HYPERLINK("https://www.773grp.com/manufacturer/onsemi?pageNo=821", "Onsemi")</f>
        <v>Onsemi</v>
      </c>
      <c r="C822" s="6">
        <v>171000</v>
      </c>
      <c r="D822" s="7">
        <v>0.28000000000000003</v>
      </c>
      <c r="E822" t="s">
        <v>73</v>
      </c>
    </row>
    <row r="823" spans="1:5" x14ac:dyDescent="0.25">
      <c r="A823" t="str">
        <f>HYPERLINK("https://www.773grp.com/globalSearch/BC369/page-1", "BC369")</f>
        <v>BC369</v>
      </c>
      <c r="B823" s="3" t="str">
        <f>HYPERLINK("https://www.773grp.com/manufacturer/onsemi?pageNo=822", "Onsemi")</f>
        <v>Onsemi</v>
      </c>
      <c r="C823" s="6">
        <v>125000</v>
      </c>
      <c r="D823" s="7">
        <v>0.28000000000000003</v>
      </c>
      <c r="E823" t="s">
        <v>57</v>
      </c>
    </row>
    <row r="824" spans="1:5" x14ac:dyDescent="0.25">
      <c r="A824" t="str">
        <f>HYPERLINK("https://www.773grp.com/globalSearch/BC369G/page-1", "BC369G")</f>
        <v>BC369G</v>
      </c>
      <c r="B824" s="3" t="str">
        <f>HYPERLINK("https://www.773grp.com/manufacturer/onsemi?pageNo=823", "Onsemi")</f>
        <v>Onsemi</v>
      </c>
      <c r="C824" s="6">
        <v>4800</v>
      </c>
      <c r="D824" s="7">
        <v>0.28000000000000003</v>
      </c>
      <c r="E824" t="s">
        <v>57</v>
      </c>
    </row>
    <row r="825" spans="1:5" x14ac:dyDescent="0.25">
      <c r="A825" t="str">
        <f>HYPERLINK("https://www.773grp.com/globalSearch/BC372G/page-1", "BC372G")</f>
        <v>BC372G</v>
      </c>
      <c r="B825" s="3" t="str">
        <f>HYPERLINK("https://www.773grp.com/manufacturer/onsemi?pageNo=824", "Onsemi")</f>
        <v>Onsemi</v>
      </c>
      <c r="C825" s="6">
        <v>5000</v>
      </c>
      <c r="D825" s="7">
        <v>0.28000000000000003</v>
      </c>
      <c r="E825" t="s">
        <v>57</v>
      </c>
    </row>
    <row r="826" spans="1:5" x14ac:dyDescent="0.25">
      <c r="A826" t="str">
        <f>HYPERLINK("https://www.773grp.com/globalSearch/BC447/page-1", "BC447")</f>
        <v>BC447</v>
      </c>
      <c r="B826" s="3" t="str">
        <f>HYPERLINK("https://www.773grp.com/manufacturer/onsemi?pageNo=825", "Onsemi")</f>
        <v>Onsemi</v>
      </c>
      <c r="C826" s="6">
        <v>10000</v>
      </c>
      <c r="D826" s="7">
        <v>0.28000000000000003</v>
      </c>
      <c r="E826" t="s">
        <v>57</v>
      </c>
    </row>
    <row r="827" spans="1:5" x14ac:dyDescent="0.25">
      <c r="A827" t="str">
        <f>HYPERLINK("https://www.773grp.com/globalSearch/BC447G/page-1", "BC447G")</f>
        <v>BC447G</v>
      </c>
      <c r="B827" s="3" t="str">
        <f>HYPERLINK("https://www.773grp.com/manufacturer/onsemi?pageNo=826", "Onsemi")</f>
        <v>Onsemi</v>
      </c>
      <c r="C827" s="6">
        <v>5000</v>
      </c>
      <c r="D827" s="7">
        <v>0.28000000000000003</v>
      </c>
      <c r="E827" t="s">
        <v>57</v>
      </c>
    </row>
    <row r="828" spans="1:5" x14ac:dyDescent="0.25">
      <c r="A828" t="str">
        <f>HYPERLINK("https://www.773grp.com/globalSearch/BC449/page-1", "BC449")</f>
        <v>BC449</v>
      </c>
      <c r="B828" s="3" t="str">
        <f>HYPERLINK("https://www.773grp.com/manufacturer/onsemi?pageNo=827", "Onsemi")</f>
        <v>Onsemi</v>
      </c>
      <c r="C828" s="6">
        <v>2000</v>
      </c>
      <c r="D828" s="7">
        <v>0.28000000000000003</v>
      </c>
      <c r="E828" t="s">
        <v>57</v>
      </c>
    </row>
    <row r="829" spans="1:5" x14ac:dyDescent="0.25">
      <c r="A829" t="str">
        <f>HYPERLINK("https://www.773grp.com/globalSearch/BC487/page-1", "BC487")</f>
        <v>BC487</v>
      </c>
      <c r="B829" s="3" t="str">
        <f>HYPERLINK("https://www.773grp.com/manufacturer/onsemi?pageNo=828", "Onsemi")</f>
        <v>Onsemi</v>
      </c>
      <c r="C829" s="6">
        <v>10000</v>
      </c>
      <c r="D829" s="7">
        <v>0.28000000000000003</v>
      </c>
      <c r="E829" t="s">
        <v>57</v>
      </c>
    </row>
    <row r="830" spans="1:5" x14ac:dyDescent="0.25">
      <c r="A830" t="str">
        <f>HYPERLINK("https://www.773grp.com/globalSearch/BC487BRL1/page-1", "BC487BRL1")</f>
        <v>BC487BRL1</v>
      </c>
      <c r="B830" s="3" t="str">
        <f>HYPERLINK("https://www.773grp.com/manufacturer/onsemi?pageNo=829", "Onsemi")</f>
        <v>Onsemi</v>
      </c>
      <c r="C830" s="6">
        <v>4000</v>
      </c>
      <c r="D830" s="7">
        <v>0.28000000000000003</v>
      </c>
      <c r="E830" t="s">
        <v>57</v>
      </c>
    </row>
    <row r="831" spans="1:5" x14ac:dyDescent="0.25">
      <c r="A831" t="str">
        <f>HYPERLINK("https://www.773grp.com/globalSearch/BC487G/page-1", "BC487G")</f>
        <v>BC487G</v>
      </c>
      <c r="B831" s="3" t="str">
        <f>HYPERLINK("https://www.773grp.com/manufacturer/onsemi?pageNo=830", "Onsemi")</f>
        <v>Onsemi</v>
      </c>
      <c r="C831" s="6">
        <v>5000</v>
      </c>
      <c r="D831" s="7">
        <v>0.28000000000000003</v>
      </c>
      <c r="E831" t="s">
        <v>57</v>
      </c>
    </row>
    <row r="832" spans="1:5" x14ac:dyDescent="0.25">
      <c r="A832" t="str">
        <f>HYPERLINK("https://www.773grp.com/globalSearch/BC488BRL1G/page-1", "BC488BRL1G")</f>
        <v>BC488BRL1G</v>
      </c>
      <c r="B832" s="3" t="str">
        <f>HYPERLINK("https://www.773grp.com/manufacturer/onsemi?pageNo=831", "Onsemi")</f>
        <v>Onsemi</v>
      </c>
      <c r="C832" s="6">
        <v>7166</v>
      </c>
      <c r="D832" s="7">
        <v>0.28000000000000003</v>
      </c>
      <c r="E832" t="s">
        <v>57</v>
      </c>
    </row>
    <row r="833" spans="1:5" x14ac:dyDescent="0.25">
      <c r="A833" t="str">
        <f>HYPERLINK("https://www.773grp.com/globalSearch/BC489RL1/page-1", "BC489RL1")</f>
        <v>BC489RL1</v>
      </c>
      <c r="B833" s="3" t="str">
        <f>HYPERLINK("https://www.773grp.com/manufacturer/onsemi?pageNo=832", "Onsemi")</f>
        <v>Onsemi</v>
      </c>
      <c r="C833" s="6">
        <v>8000</v>
      </c>
      <c r="D833" s="7">
        <v>0.28000000000000003</v>
      </c>
      <c r="E833" t="s">
        <v>57</v>
      </c>
    </row>
    <row r="834" spans="1:5" x14ac:dyDescent="0.25">
      <c r="A834" t="str">
        <f>HYPERLINK("https://www.773grp.com/globalSearch/BC490AZL1G/page-1", "BC490AZL1G")</f>
        <v>BC490AZL1G</v>
      </c>
      <c r="B834" s="3" t="str">
        <f>HYPERLINK("https://www.773grp.com/manufacturer/onsemi?pageNo=833", "Onsemi")</f>
        <v>Onsemi</v>
      </c>
      <c r="C834" s="6">
        <v>2000</v>
      </c>
      <c r="D834" s="7">
        <v>0.28000000000000003</v>
      </c>
      <c r="E834" t="s">
        <v>57</v>
      </c>
    </row>
    <row r="835" spans="1:5" x14ac:dyDescent="0.25">
      <c r="A835" t="str">
        <f>HYPERLINK("https://www.773grp.com/globalSearch/BC635ZL1/page-1", "BC635ZL1")</f>
        <v>BC635ZL1</v>
      </c>
      <c r="B835" s="3" t="str">
        <f>HYPERLINK("https://www.773grp.com/manufacturer/onsemi?pageNo=834", "Onsemi")</f>
        <v>Onsemi</v>
      </c>
      <c r="C835" s="6">
        <v>14000</v>
      </c>
      <c r="D835" s="7">
        <v>0.28000000000000003</v>
      </c>
      <c r="E835" t="s">
        <v>57</v>
      </c>
    </row>
    <row r="836" spans="1:5" x14ac:dyDescent="0.25">
      <c r="A836" t="str">
        <f>HYPERLINK("https://www.773grp.com/globalSearch/BC637/page-1", "BC637")</f>
        <v>BC637</v>
      </c>
      <c r="B836" s="3" t="str">
        <f>HYPERLINK("https://www.773grp.com/manufacturer/onsemi?pageNo=835", "Onsemi")</f>
        <v>Onsemi</v>
      </c>
      <c r="C836" s="6">
        <v>10000</v>
      </c>
      <c r="D836" s="7">
        <v>0.28000000000000003</v>
      </c>
      <c r="E836" t="s">
        <v>57</v>
      </c>
    </row>
    <row r="837" spans="1:5" x14ac:dyDescent="0.25">
      <c r="A837" t="str">
        <f>HYPERLINK("https://www.773grp.com/globalSearch/BC638/page-1", "BC638")</f>
        <v>BC638</v>
      </c>
      <c r="B837" s="3" t="str">
        <f>HYPERLINK("https://www.773grp.com/manufacturer/onsemi?pageNo=836", "Onsemi")</f>
        <v>Onsemi</v>
      </c>
      <c r="C837" s="6">
        <v>15000</v>
      </c>
      <c r="D837" s="7">
        <v>0.28000000000000003</v>
      </c>
      <c r="E837" t="s">
        <v>57</v>
      </c>
    </row>
    <row r="838" spans="1:5" x14ac:dyDescent="0.25">
      <c r="A838" t="str">
        <f>HYPERLINK("https://www.773grp.com/globalSearch/BC638G/page-1", "BC638G")</f>
        <v>BC638G</v>
      </c>
      <c r="B838" s="3" t="str">
        <f>HYPERLINK("https://www.773grp.com/manufacturer/onsemi?pageNo=837", "Onsemi")</f>
        <v>Onsemi</v>
      </c>
      <c r="C838" s="6">
        <v>14500</v>
      </c>
      <c r="D838" s="7">
        <v>0.28000000000000003</v>
      </c>
      <c r="E838" t="s">
        <v>57</v>
      </c>
    </row>
    <row r="839" spans="1:5" x14ac:dyDescent="0.25">
      <c r="A839" t="str">
        <f>HYPERLINK("https://www.773grp.com/globalSearch/BC638ZL1G/page-1", "BC638ZL1G")</f>
        <v>BC638ZL1G</v>
      </c>
      <c r="B839" s="3" t="str">
        <f>HYPERLINK("https://www.773grp.com/manufacturer/onsemi?pageNo=838", "Onsemi")</f>
        <v>Onsemi</v>
      </c>
      <c r="C839" s="6">
        <v>10000</v>
      </c>
      <c r="D839" s="7">
        <v>0.28000000000000003</v>
      </c>
      <c r="E839" t="s">
        <v>57</v>
      </c>
    </row>
    <row r="840" spans="1:5" x14ac:dyDescent="0.25">
      <c r="A840" t="str">
        <f>HYPERLINK("https://www.773grp.com/globalSearch/BC639ZL1/page-1", "BC639ZL1")</f>
        <v>BC639ZL1</v>
      </c>
      <c r="B840" s="3" t="str">
        <f>HYPERLINK("https://www.773grp.com/manufacturer/onsemi?pageNo=839", "Onsemi")</f>
        <v>Onsemi</v>
      </c>
      <c r="C840" s="6">
        <v>48000</v>
      </c>
      <c r="D840" s="7">
        <v>0.28000000000000003</v>
      </c>
      <c r="E840" t="s">
        <v>57</v>
      </c>
    </row>
    <row r="841" spans="1:5" x14ac:dyDescent="0.25">
      <c r="A841" t="str">
        <f>HYPERLINK("https://www.773grp.com/globalSearch/BC640/page-1", "BC640")</f>
        <v>BC640</v>
      </c>
      <c r="B841" s="3" t="str">
        <f>HYPERLINK("https://www.773grp.com/manufacturer/onsemi?pageNo=840", "Onsemi")</f>
        <v>Onsemi</v>
      </c>
      <c r="C841" s="6">
        <v>6570</v>
      </c>
      <c r="D841" s="7">
        <v>0.28000000000000003</v>
      </c>
      <c r="E841" t="s">
        <v>57</v>
      </c>
    </row>
    <row r="842" spans="1:5" x14ac:dyDescent="0.25">
      <c r="A842" t="str">
        <f>HYPERLINK("https://www.773grp.com/globalSearch/BC817-25LT3H/page-1", "BC817-25LT3H")</f>
        <v>BC817-25LT3H</v>
      </c>
      <c r="B842" s="3" t="str">
        <f>HYPERLINK("https://www.773grp.com/manufacturer/onsemi?pageNo=841", "Onsemi")</f>
        <v>Onsemi</v>
      </c>
      <c r="C842" s="6">
        <v>50000</v>
      </c>
      <c r="D842" s="7">
        <v>0.28000000000000003</v>
      </c>
    </row>
    <row r="843" spans="1:5" x14ac:dyDescent="0.25">
      <c r="A843" t="str">
        <f>HYPERLINK("https://www.773grp.com/globalSearch/BC850CLT1/page-1", "BC850CLT1")</f>
        <v>BC850CLT1</v>
      </c>
      <c r="B843" s="3" t="str">
        <f>HYPERLINK("https://www.773grp.com/manufacturer/onsemi?pageNo=842", "Onsemi")</f>
        <v>Onsemi</v>
      </c>
      <c r="C843" s="6">
        <v>174000</v>
      </c>
      <c r="D843" s="7">
        <v>0.28000000000000003</v>
      </c>
      <c r="E843" t="s">
        <v>57</v>
      </c>
    </row>
    <row r="844" spans="1:5" x14ac:dyDescent="0.25">
      <c r="A844" t="str">
        <f>HYPERLINK("https://www.773grp.com/globalSearch/BCX70JLT1/page-1", "BCX70JLT1")</f>
        <v>BCX70JLT1</v>
      </c>
      <c r="B844" s="3" t="str">
        <f>HYPERLINK("https://www.773grp.com/manufacturer/onsemi?pageNo=843", "Onsemi")</f>
        <v>Onsemi</v>
      </c>
      <c r="C844" s="6">
        <v>35750</v>
      </c>
      <c r="D844" s="7">
        <v>0.28000000000000003</v>
      </c>
      <c r="E844" t="s">
        <v>57</v>
      </c>
    </row>
    <row r="845" spans="1:5" x14ac:dyDescent="0.25">
      <c r="A845" t="str">
        <f>HYPERLINK("https://www.773grp.com/globalSearch/BCX71KLT1/page-1", "BCX71KLT1")</f>
        <v>BCX71KLT1</v>
      </c>
      <c r="B845" s="3" t="str">
        <f>HYPERLINK("https://www.773grp.com/manufacturer/onsemi?pageNo=844", "Onsemi")</f>
        <v>Onsemi</v>
      </c>
      <c r="C845" s="6">
        <v>9000</v>
      </c>
      <c r="D845" s="7">
        <v>0.28000000000000003</v>
      </c>
    </row>
    <row r="846" spans="1:5" x14ac:dyDescent="0.25">
      <c r="A846" t="str">
        <f>HYPERLINK("https://www.773grp.com/globalSearch/BF493S/page-1", "BF493S")</f>
        <v>BF493S</v>
      </c>
      <c r="B846" s="3" t="str">
        <f>HYPERLINK("https://www.773grp.com/manufacturer/onsemi?pageNo=845", "Onsemi")</f>
        <v>Onsemi</v>
      </c>
      <c r="C846" s="6">
        <v>8000</v>
      </c>
      <c r="D846" s="7">
        <v>0.28000000000000003</v>
      </c>
      <c r="E846" t="s">
        <v>57</v>
      </c>
    </row>
    <row r="847" spans="1:5" x14ac:dyDescent="0.25">
      <c r="A847" t="str">
        <f>HYPERLINK("https://www.773grp.com/globalSearch/BF959G/page-1", "BF959G")</f>
        <v>BF959G</v>
      </c>
      <c r="B847" s="3" t="str">
        <f>HYPERLINK("https://www.773grp.com/manufacturer/onsemi?pageNo=846", "Onsemi")</f>
        <v>Onsemi</v>
      </c>
      <c r="C847" s="6">
        <v>12166</v>
      </c>
      <c r="D847" s="7">
        <v>0.28000000000000003</v>
      </c>
      <c r="E847" t="s">
        <v>49</v>
      </c>
    </row>
    <row r="848" spans="1:5" x14ac:dyDescent="0.25">
      <c r="A848" t="str">
        <f>HYPERLINK("https://www.773grp.com/globalSearch/BF959RL1G/page-1", "BF959RL1G")</f>
        <v>BF959RL1G</v>
      </c>
      <c r="B848" s="3" t="str">
        <f>HYPERLINK("https://www.773grp.com/manufacturer/onsemi?pageNo=847", "Onsemi")</f>
        <v>Onsemi</v>
      </c>
      <c r="C848" s="6">
        <v>16000</v>
      </c>
      <c r="D848" s="7">
        <v>0.28000000000000003</v>
      </c>
      <c r="E848" t="s">
        <v>49</v>
      </c>
    </row>
    <row r="849" spans="1:5" x14ac:dyDescent="0.25">
      <c r="A849" t="str">
        <f>HYPERLINK("https://www.773grp.com/globalSearch/BS170G/page-1", "BS170G")</f>
        <v>BS170G</v>
      </c>
      <c r="B849" s="3" t="str">
        <f>HYPERLINK("https://www.773grp.com/manufacturer/onsemi?pageNo=848", "Onsemi")</f>
        <v>Onsemi</v>
      </c>
      <c r="C849" s="6">
        <v>14000</v>
      </c>
      <c r="D849" s="7">
        <v>0.28000000000000003</v>
      </c>
      <c r="E849" t="s">
        <v>85</v>
      </c>
    </row>
    <row r="850" spans="1:5" x14ac:dyDescent="0.25">
      <c r="A850" t="str">
        <f>HYPERLINK("https://www.773grp.com/globalSearch/BS170RLRAG/page-1", "BS170RLRAG")</f>
        <v>BS170RLRAG</v>
      </c>
      <c r="B850" s="3" t="str">
        <f>HYPERLINK("https://www.773grp.com/manufacturer/onsemi?pageNo=849", "Onsemi")</f>
        <v>Onsemi</v>
      </c>
      <c r="C850" s="6">
        <v>9840</v>
      </c>
      <c r="D850" s="7">
        <v>0.28000000000000003</v>
      </c>
      <c r="E850" t="s">
        <v>85</v>
      </c>
    </row>
    <row r="851" spans="1:5" x14ac:dyDescent="0.25">
      <c r="A851" t="str">
        <f>HYPERLINK("https://www.773grp.com/globalSearch/BZX84C5V6ET3G/page-1", "BZX84C5V6ET3G")</f>
        <v>BZX84C5V6ET3G</v>
      </c>
      <c r="B851" s="3" t="str">
        <f>HYPERLINK("https://www.773grp.com/manufacturer/onsemi?pageNo=850", "Onsemi")</f>
        <v>Onsemi</v>
      </c>
      <c r="C851" s="6">
        <v>20000</v>
      </c>
      <c r="D851" s="7">
        <v>0.28000000000000003</v>
      </c>
    </row>
    <row r="852" spans="1:5" x14ac:dyDescent="0.25">
      <c r="A852" t="str">
        <f>HYPERLINK("https://www.773grp.com/globalSearch/BZX84C6V2ET1G/page-1", "BZX84C6V2ET1G")</f>
        <v>BZX84C6V2ET1G</v>
      </c>
      <c r="B852" s="3" t="str">
        <f>HYPERLINK("https://www.773grp.com/manufacturer/onsemi?pageNo=851", "Onsemi")</f>
        <v>Onsemi</v>
      </c>
      <c r="C852" s="6">
        <v>62895</v>
      </c>
      <c r="D852" s="7">
        <v>0.28000000000000003</v>
      </c>
      <c r="E852" t="s">
        <v>77</v>
      </c>
    </row>
    <row r="853" spans="1:5" x14ac:dyDescent="0.25">
      <c r="A853" t="str">
        <f>HYPERLINK("https://www.773grp.com/globalSearch/BZX84C9V1ET3G/page-1", "BZX84C9V1ET3G")</f>
        <v>BZX84C9V1ET3G</v>
      </c>
      <c r="B853" s="3" t="str">
        <f>HYPERLINK("https://www.773grp.com/manufacturer/onsemi?pageNo=852", "Onsemi")</f>
        <v>Onsemi</v>
      </c>
      <c r="C853" s="6">
        <v>10000</v>
      </c>
      <c r="D853" s="7">
        <v>0.28000000000000003</v>
      </c>
      <c r="E853" t="s">
        <v>77</v>
      </c>
    </row>
    <row r="854" spans="1:5" x14ac:dyDescent="0.25">
      <c r="A854" t="str">
        <f>HYPERLINK("https://www.773grp.com/globalSearch/CM1242-07CP/page-1", "CM1242-07CP")</f>
        <v>CM1242-07CP</v>
      </c>
      <c r="B854" s="3" t="str">
        <f>HYPERLINK("https://www.773grp.com/manufacturer/onsemi?pageNo=853", "Onsemi")</f>
        <v>Onsemi</v>
      </c>
      <c r="C854" s="6">
        <v>8995000</v>
      </c>
      <c r="D854" s="7">
        <v>0.28000000000000003</v>
      </c>
    </row>
    <row r="855" spans="1:5" x14ac:dyDescent="0.25">
      <c r="A855" t="str">
        <f>HYPERLINK("https://www.773grp.com/globalSearch/DF3A6.8FUT1G/page-1", "DF3A6.8FUT1G")</f>
        <v>DF3A6.8FUT1G</v>
      </c>
      <c r="B855" s="3" t="str">
        <f>HYPERLINK("https://www.773grp.com/manufacturer/onsemi?pageNo=854", "Onsemi")</f>
        <v>Onsemi</v>
      </c>
      <c r="C855" s="6">
        <v>266495</v>
      </c>
      <c r="D855" s="7">
        <v>0.28000000000000003</v>
      </c>
      <c r="E855" t="s">
        <v>75</v>
      </c>
    </row>
    <row r="856" spans="1:5" x14ac:dyDescent="0.25">
      <c r="A856" t="str">
        <f>HYPERLINK("https://www.773grp.com/globalSearch/EMC2DXV5T1G/page-1", "EMC2DXV5T1G")</f>
        <v>EMC2DXV5T1G</v>
      </c>
      <c r="B856" s="3" t="str">
        <f>HYPERLINK("https://www.773grp.com/manufacturer/onsemi?pageNo=855", "Onsemi")</f>
        <v>Onsemi</v>
      </c>
      <c r="C856" s="6">
        <v>251079</v>
      </c>
      <c r="D856" s="7">
        <v>0.28000000000000003</v>
      </c>
      <c r="E856" t="s">
        <v>57</v>
      </c>
    </row>
    <row r="857" spans="1:5" x14ac:dyDescent="0.25">
      <c r="A857" t="str">
        <f>HYPERLINK("https://www.773grp.com/globalSearch/EMC3DXV5T1G/page-1", "EMC3DXV5T1G")</f>
        <v>EMC3DXV5T1G</v>
      </c>
      <c r="B857" s="3" t="str">
        <f>HYPERLINK("https://www.773grp.com/manufacturer/onsemi?pageNo=856", "Onsemi")</f>
        <v>Onsemi</v>
      </c>
      <c r="C857" s="6">
        <v>222725</v>
      </c>
      <c r="D857" s="7">
        <v>0.28000000000000003</v>
      </c>
      <c r="E857" t="s">
        <v>57</v>
      </c>
    </row>
    <row r="858" spans="1:5" x14ac:dyDescent="0.25">
      <c r="A858" t="str">
        <f>HYPERLINK("https://www.773grp.com/globalSearch/EMC5DXV5T1G/page-1", "EMC5DXV5T1G")</f>
        <v>EMC5DXV5T1G</v>
      </c>
      <c r="B858" s="3" t="str">
        <f>HYPERLINK("https://www.773grp.com/manufacturer/onsemi?pageNo=857", "Onsemi")</f>
        <v>Onsemi</v>
      </c>
      <c r="C858" s="6">
        <v>8000</v>
      </c>
      <c r="D858" s="7">
        <v>0.28000000000000003</v>
      </c>
      <c r="E858" t="s">
        <v>57</v>
      </c>
    </row>
    <row r="859" spans="1:5" x14ac:dyDescent="0.25">
      <c r="A859" t="str">
        <f>HYPERLINK("https://www.773grp.com/globalSearch/EMG2DXV5T5G/page-1", "EMG2DXV5T5G")</f>
        <v>EMG2DXV5T5G</v>
      </c>
      <c r="B859" s="3" t="str">
        <f>HYPERLINK("https://www.773grp.com/manufacturer/onsemi?pageNo=858", "Onsemi")</f>
        <v>Onsemi</v>
      </c>
      <c r="C859" s="6">
        <v>72000</v>
      </c>
      <c r="D859" s="7">
        <v>0.28000000000000003</v>
      </c>
      <c r="E859" t="s">
        <v>57</v>
      </c>
    </row>
    <row r="860" spans="1:5" x14ac:dyDescent="0.25">
      <c r="A860" t="str">
        <f>HYPERLINK("https://www.773grp.com/globalSearch/ESD11B5.0ST5G/page-1", "ESD11B5.0ST5G")</f>
        <v>ESD11B5.0ST5G</v>
      </c>
      <c r="B860" s="3" t="str">
        <f>HYPERLINK("https://www.773grp.com/manufacturer/onsemi?pageNo=859", "Onsemi")</f>
        <v>Onsemi</v>
      </c>
      <c r="C860" s="6">
        <v>520000</v>
      </c>
      <c r="D860" s="7">
        <v>0.28000000000000003</v>
      </c>
      <c r="E860" t="s">
        <v>75</v>
      </c>
    </row>
    <row r="861" spans="1:5" x14ac:dyDescent="0.25">
      <c r="A861" t="str">
        <f>HYPERLINK("https://www.773grp.com/globalSearch/ESD5B5.0ST1G/page-1", "ESD5B5.0ST1G")</f>
        <v>ESD5B5.0ST1G</v>
      </c>
      <c r="B861" s="3" t="str">
        <f>HYPERLINK("https://www.773grp.com/manufacturer/onsemi?pageNo=860", "Onsemi")</f>
        <v>Onsemi</v>
      </c>
      <c r="C861" s="6">
        <v>315000</v>
      </c>
      <c r="D861" s="7">
        <v>0.28000000000000003</v>
      </c>
      <c r="E861" t="s">
        <v>75</v>
      </c>
    </row>
    <row r="862" spans="1:5" x14ac:dyDescent="0.25">
      <c r="A862" t="str">
        <f>HYPERLINK("https://www.773grp.com/globalSearch/HN2D02FUTW1T1G/page-1", "HN2D02FUTW1T1G")</f>
        <v>HN2D02FUTW1T1G</v>
      </c>
      <c r="B862" s="3" t="str">
        <f>HYPERLINK("https://www.773grp.com/manufacturer/onsemi?pageNo=861", "Onsemi")</f>
        <v>Onsemi</v>
      </c>
      <c r="C862" s="6">
        <v>636000</v>
      </c>
      <c r="D862" s="7">
        <v>0.28000000000000003</v>
      </c>
      <c r="E862" t="s">
        <v>73</v>
      </c>
    </row>
    <row r="863" spans="1:5" x14ac:dyDescent="0.25">
      <c r="A863" t="str">
        <f>HYPERLINK("https://www.773grp.com/globalSearch/MAC97-008/page-1", "MAC97-008")</f>
        <v>MAC97-008</v>
      </c>
      <c r="B863" s="3" t="str">
        <f>HYPERLINK("https://www.773grp.com/manufacturer/onsemi?pageNo=862", "Onsemi")</f>
        <v>Onsemi</v>
      </c>
      <c r="C863" s="6">
        <v>14000</v>
      </c>
      <c r="D863" s="7">
        <v>0.28000000000000003</v>
      </c>
    </row>
    <row r="864" spans="1:5" x14ac:dyDescent="0.25">
      <c r="A864" t="str">
        <f>HYPERLINK("https://www.773grp.com/globalSearch/MBRA210ET3/page-1", "MBRA210ET3")</f>
        <v>MBRA210ET3</v>
      </c>
      <c r="B864" s="3" t="str">
        <f>HYPERLINK("https://www.773grp.com/manufacturer/onsemi?pageNo=863", "Onsemi")</f>
        <v>Onsemi</v>
      </c>
      <c r="C864" s="6">
        <v>4780</v>
      </c>
      <c r="D864" s="7">
        <v>0.28000000000000003</v>
      </c>
      <c r="E864" t="s">
        <v>82</v>
      </c>
    </row>
    <row r="865" spans="1:5" x14ac:dyDescent="0.25">
      <c r="A865" t="str">
        <f>HYPERLINK("https://www.773grp.com/globalSearch/MC74HC1G04DTT1/page-1", "MC74HC1G04DTT1")</f>
        <v>MC74HC1G04DTT1</v>
      </c>
      <c r="B865" s="3" t="str">
        <f>HYPERLINK("https://www.773grp.com/manufacturer/onsemi?pageNo=864", "Onsemi")</f>
        <v>Onsemi</v>
      </c>
      <c r="C865" s="6">
        <v>21000</v>
      </c>
      <c r="D865" s="7">
        <v>0.28000000000000003</v>
      </c>
      <c r="E865" t="s">
        <v>27</v>
      </c>
    </row>
    <row r="866" spans="1:5" x14ac:dyDescent="0.25">
      <c r="A866" t="str">
        <f>HYPERLINK("https://www.773grp.com/globalSearch/MC74VHC1G07DTT/page-1", "MC74VHC1G07DTT")</f>
        <v>MC74VHC1G07DTT</v>
      </c>
      <c r="B866" s="3" t="str">
        <f>HYPERLINK("https://www.773grp.com/manufacturer/onsemi?pageNo=865", "Onsemi")</f>
        <v>Onsemi</v>
      </c>
      <c r="C866" s="6">
        <v>6000</v>
      </c>
      <c r="D866" s="7">
        <v>0.28000000000000003</v>
      </c>
    </row>
    <row r="867" spans="1:5" x14ac:dyDescent="0.25">
      <c r="A867" t="str">
        <f>HYPERLINK("https://www.773grp.com/globalSearch/MC74VHC1G09DFT2/page-1", "MC74VHC1G09DFT2")</f>
        <v>MC74VHC1G09DFT2</v>
      </c>
      <c r="B867" s="3" t="str">
        <f>HYPERLINK("https://www.773grp.com/manufacturer/onsemi?pageNo=866", "Onsemi")</f>
        <v>Onsemi</v>
      </c>
      <c r="C867" s="6">
        <v>120000</v>
      </c>
      <c r="D867" s="7">
        <v>0.28000000000000003</v>
      </c>
      <c r="E867" t="s">
        <v>27</v>
      </c>
    </row>
    <row r="868" spans="1:5" x14ac:dyDescent="0.25">
      <c r="A868" t="str">
        <f>HYPERLINK("https://www.773grp.com/globalSearch/MC74VHC1G125DF1G/page-1", "MC74VHC1G125DF1G")</f>
        <v>MC74VHC1G125DF1G</v>
      </c>
      <c r="B868" s="3" t="str">
        <f>HYPERLINK("https://www.773grp.com/manufacturer/onsemi?pageNo=867", "Onsemi")</f>
        <v>Onsemi</v>
      </c>
      <c r="C868" s="6">
        <v>115800</v>
      </c>
      <c r="D868" s="7">
        <v>0.28000000000000003</v>
      </c>
      <c r="E868" t="s">
        <v>11</v>
      </c>
    </row>
    <row r="869" spans="1:5" x14ac:dyDescent="0.25">
      <c r="A869" t="str">
        <f>HYPERLINK("https://www.773grp.com/globalSearch/MC74VHC1G125DF2G/page-1", "MC74VHC1G125DF2G")</f>
        <v>MC74VHC1G125DF2G</v>
      </c>
      <c r="B869" s="3" t="str">
        <f>HYPERLINK("https://www.773grp.com/manufacturer/onsemi?pageNo=868", "Onsemi")</f>
        <v>Onsemi</v>
      </c>
      <c r="C869" s="6">
        <v>12000</v>
      </c>
      <c r="D869" s="7">
        <v>0.28000000000000003</v>
      </c>
      <c r="E869" t="s">
        <v>11</v>
      </c>
    </row>
    <row r="870" spans="1:5" x14ac:dyDescent="0.25">
      <c r="A870" t="str">
        <f>HYPERLINK("https://www.773grp.com/globalSearch/MC74VHC1G125DFT1/page-1", "MC74VHC1G125DFT1")</f>
        <v>MC74VHC1G125DFT1</v>
      </c>
      <c r="B870" s="3" t="str">
        <f>HYPERLINK("https://www.773grp.com/manufacturer/onsemi?pageNo=869", "Onsemi")</f>
        <v>Onsemi</v>
      </c>
      <c r="C870" s="6">
        <v>158000</v>
      </c>
      <c r="D870" s="7">
        <v>0.28000000000000003</v>
      </c>
      <c r="E870" t="s">
        <v>11</v>
      </c>
    </row>
    <row r="871" spans="1:5" x14ac:dyDescent="0.25">
      <c r="A871" t="str">
        <f>HYPERLINK("https://www.773grp.com/globalSearch/MC74VHC1G125DFT2/page-1", "MC74VHC1G125DFT2")</f>
        <v>MC74VHC1G125DFT2</v>
      </c>
      <c r="B871" s="3" t="str">
        <f>HYPERLINK("https://www.773grp.com/manufacturer/onsemi?pageNo=870", "Onsemi")</f>
        <v>Onsemi</v>
      </c>
      <c r="C871" s="6">
        <v>9000</v>
      </c>
      <c r="D871" s="7">
        <v>0.28000000000000003</v>
      </c>
      <c r="E871" t="s">
        <v>11</v>
      </c>
    </row>
    <row r="872" spans="1:5" x14ac:dyDescent="0.25">
      <c r="A872" t="str">
        <f>HYPERLINK("https://www.773grp.com/globalSearch/MC74VHC1G125DT1G/page-1", "MC74VHC1G125DT1G")</f>
        <v>MC74VHC1G125DT1G</v>
      </c>
      <c r="B872" s="3" t="str">
        <f>HYPERLINK("https://www.773grp.com/manufacturer/onsemi?pageNo=871", "Onsemi")</f>
        <v>Onsemi</v>
      </c>
      <c r="C872" s="6">
        <v>165000</v>
      </c>
      <c r="D872" s="7">
        <v>0.28000000000000003</v>
      </c>
      <c r="E872" t="s">
        <v>11</v>
      </c>
    </row>
    <row r="873" spans="1:5" x14ac:dyDescent="0.25">
      <c r="A873" t="str">
        <f>HYPERLINK("https://www.773grp.com/globalSearch/MC74VHC1G125DTT1/page-1", "MC74VHC1G125DTT1")</f>
        <v>MC74VHC1G125DTT1</v>
      </c>
      <c r="B873" s="3" t="str">
        <f>HYPERLINK("https://www.773grp.com/manufacturer/onsemi?pageNo=872", "Onsemi")</f>
        <v>Onsemi</v>
      </c>
      <c r="C873" s="6">
        <v>98275</v>
      </c>
      <c r="D873" s="7">
        <v>0.28000000000000003</v>
      </c>
      <c r="E873" t="s">
        <v>11</v>
      </c>
    </row>
    <row r="874" spans="1:5" x14ac:dyDescent="0.25">
      <c r="A874" t="str">
        <f>HYPERLINK("https://www.773grp.com/globalSearch/MC74VHC1G126DFT1/page-1", "MC74VHC1G126DFT1")</f>
        <v>MC74VHC1G126DFT1</v>
      </c>
      <c r="B874" s="3" t="str">
        <f>HYPERLINK("https://www.773grp.com/manufacturer/onsemi?pageNo=873", "Onsemi")</f>
        <v>Onsemi</v>
      </c>
      <c r="C874" s="6">
        <v>55000</v>
      </c>
      <c r="D874" s="7">
        <v>0.28000000000000003</v>
      </c>
      <c r="E874" t="s">
        <v>11</v>
      </c>
    </row>
    <row r="875" spans="1:5" x14ac:dyDescent="0.25">
      <c r="A875" t="str">
        <f>HYPERLINK("https://www.773grp.com/globalSearch/MC74VHC1G126DFT2/page-1", "MC74VHC1G126DFT2")</f>
        <v>MC74VHC1G126DFT2</v>
      </c>
      <c r="B875" s="3" t="str">
        <f>HYPERLINK("https://www.773grp.com/manufacturer/onsemi?pageNo=874", "Onsemi")</f>
        <v>Onsemi</v>
      </c>
      <c r="C875" s="6">
        <v>9000</v>
      </c>
      <c r="D875" s="7">
        <v>0.28000000000000003</v>
      </c>
      <c r="E875" t="s">
        <v>11</v>
      </c>
    </row>
    <row r="876" spans="1:5" x14ac:dyDescent="0.25">
      <c r="A876" t="str">
        <f>HYPERLINK("https://www.773grp.com/globalSearch/MC74VHC1G126DTT1/page-1", "MC74VHC1G126DTT1")</f>
        <v>MC74VHC1G126DTT1</v>
      </c>
      <c r="B876" s="3" t="str">
        <f>HYPERLINK("https://www.773grp.com/manufacturer/onsemi?pageNo=875", "Onsemi")</f>
        <v>Onsemi</v>
      </c>
      <c r="C876" s="6">
        <v>92665</v>
      </c>
      <c r="D876" s="7">
        <v>0.28000000000000003</v>
      </c>
      <c r="E876" t="s">
        <v>11</v>
      </c>
    </row>
    <row r="877" spans="1:5" x14ac:dyDescent="0.25">
      <c r="A877" t="str">
        <f>HYPERLINK("https://www.773grp.com/globalSearch/MC74VHC1G132DF1G/page-1", "MC74VHC1G132DF1G")</f>
        <v>MC74VHC1G132DF1G</v>
      </c>
      <c r="B877" s="3" t="str">
        <f>HYPERLINK("https://www.773grp.com/manufacturer/onsemi?pageNo=876", "Onsemi")</f>
        <v>Onsemi</v>
      </c>
      <c r="C877" s="6">
        <v>20990</v>
      </c>
      <c r="D877" s="7">
        <v>0.28000000000000003</v>
      </c>
      <c r="E877" t="s">
        <v>27</v>
      </c>
    </row>
    <row r="878" spans="1:5" x14ac:dyDescent="0.25">
      <c r="A878" t="str">
        <f>HYPERLINK("https://www.773grp.com/globalSearch/MC74VHC1G135DF1G/page-1", "MC74VHC1G135DF1G")</f>
        <v>MC74VHC1G135DF1G</v>
      </c>
      <c r="B878" s="3" t="str">
        <f>HYPERLINK("https://www.773grp.com/manufacturer/onsemi?pageNo=877", "Onsemi")</f>
        <v>Onsemi</v>
      </c>
      <c r="C878" s="6">
        <v>2935</v>
      </c>
      <c r="D878" s="7">
        <v>0.28000000000000003</v>
      </c>
    </row>
    <row r="879" spans="1:5" x14ac:dyDescent="0.25">
      <c r="A879" t="str">
        <f>HYPERLINK("https://www.773grp.com/globalSearch/MC74VHC1G66DFT2/page-1", "MC74VHC1G66DFT2")</f>
        <v>MC74VHC1G66DFT2</v>
      </c>
      <c r="B879" s="3" t="str">
        <f>HYPERLINK("https://www.773grp.com/manufacturer/onsemi?pageNo=878", "Onsemi")</f>
        <v>Onsemi</v>
      </c>
      <c r="C879" s="6">
        <v>18000</v>
      </c>
      <c r="D879" s="7">
        <v>0.28000000000000003</v>
      </c>
      <c r="E879" t="s">
        <v>46</v>
      </c>
    </row>
    <row r="880" spans="1:5" x14ac:dyDescent="0.25">
      <c r="A880" t="str">
        <f>HYPERLINK("https://www.773grp.com/globalSearch/MC74VHC1G86DFT2/page-1", "MC74VHC1G86DFT2")</f>
        <v>MC74VHC1G86DFT2</v>
      </c>
      <c r="B880" s="3" t="str">
        <f>HYPERLINK("https://www.773grp.com/manufacturer/onsemi?pageNo=879", "Onsemi")</f>
        <v>Onsemi</v>
      </c>
      <c r="C880" s="6">
        <v>15000</v>
      </c>
      <c r="D880" s="7">
        <v>0.28000000000000003</v>
      </c>
      <c r="E880" t="s">
        <v>27</v>
      </c>
    </row>
    <row r="881" spans="1:5" x14ac:dyDescent="0.25">
      <c r="A881" t="str">
        <f>HYPERLINK("https://www.773grp.com/globalSearch/MC74VHC1GT00DF2G/page-1", "MC74VHC1GT00DF2G")</f>
        <v>MC74VHC1GT00DF2G</v>
      </c>
      <c r="B881" s="3" t="str">
        <f>HYPERLINK("https://www.773grp.com/manufacturer/onsemi?pageNo=880", "Onsemi")</f>
        <v>Onsemi</v>
      </c>
      <c r="C881" s="6">
        <v>126000</v>
      </c>
      <c r="D881" s="7">
        <v>0.28000000000000003</v>
      </c>
    </row>
    <row r="882" spans="1:5" x14ac:dyDescent="0.25">
      <c r="A882" t="str">
        <f>HYPERLINK("https://www.773grp.com/globalSearch/MC74VHC1GT02DT1G/page-1", "MC74VHC1GT02DT1G")</f>
        <v>MC74VHC1GT02DT1G</v>
      </c>
      <c r="B882" s="3" t="str">
        <f>HYPERLINK("https://www.773grp.com/manufacturer/onsemi?pageNo=881", "Onsemi")</f>
        <v>Onsemi</v>
      </c>
      <c r="C882" s="6">
        <v>9000</v>
      </c>
      <c r="D882" s="7">
        <v>0.28000000000000003</v>
      </c>
    </row>
    <row r="883" spans="1:5" x14ac:dyDescent="0.25">
      <c r="A883" t="str">
        <f>HYPERLINK("https://www.773grp.com/globalSearch/MC74VHC1GT04DF2G/page-1", "MC74VHC1GT04DF2G")</f>
        <v>MC74VHC1GT04DF2G</v>
      </c>
      <c r="B883" s="3" t="str">
        <f>HYPERLINK("https://www.773grp.com/manufacturer/onsemi?pageNo=882", "Onsemi")</f>
        <v>Onsemi</v>
      </c>
      <c r="C883" s="6">
        <v>24990</v>
      </c>
      <c r="D883" s="7">
        <v>0.28000000000000003</v>
      </c>
      <c r="E883" t="s">
        <v>27</v>
      </c>
    </row>
    <row r="884" spans="1:5" x14ac:dyDescent="0.25">
      <c r="A884" t="str">
        <f>HYPERLINK("https://www.773grp.com/globalSearch/MC74VHC1GT04DT1G/page-1", "MC74VHC1GT04DT1G")</f>
        <v>MC74VHC1GT04DT1G</v>
      </c>
      <c r="B884" s="3" t="str">
        <f>HYPERLINK("https://www.773grp.com/manufacturer/onsemi?pageNo=883", "Onsemi")</f>
        <v>Onsemi</v>
      </c>
      <c r="C884" s="6">
        <v>39000</v>
      </c>
      <c r="D884" s="7">
        <v>0.28000000000000003</v>
      </c>
      <c r="E884" t="s">
        <v>27</v>
      </c>
    </row>
    <row r="885" spans="1:5" x14ac:dyDescent="0.25">
      <c r="A885" t="str">
        <f>HYPERLINK("https://www.773grp.com/globalSearch/MC74VHC1GT08DF2G/page-1", "MC74VHC1GT08DF2G")</f>
        <v>MC74VHC1GT08DF2G</v>
      </c>
      <c r="B885" s="3" t="str">
        <f>HYPERLINK("https://www.773grp.com/manufacturer/onsemi?pageNo=884", "Onsemi")</f>
        <v>Onsemi</v>
      </c>
      <c r="C885" s="6">
        <v>24000</v>
      </c>
      <c r="D885" s="7">
        <v>0.28000000000000003</v>
      </c>
      <c r="E885" t="s">
        <v>27</v>
      </c>
    </row>
    <row r="886" spans="1:5" x14ac:dyDescent="0.25">
      <c r="A886" t="str">
        <f>HYPERLINK("https://www.773grp.com/globalSearch/MC74VHC1GT08DT1G/page-1", "MC74VHC1GT08DT1G")</f>
        <v>MC74VHC1GT08DT1G</v>
      </c>
      <c r="B886" s="3" t="str">
        <f>HYPERLINK("https://www.773grp.com/manufacturer/onsemi?pageNo=885", "Onsemi")</f>
        <v>Onsemi</v>
      </c>
      <c r="C886" s="6">
        <v>21000</v>
      </c>
      <c r="D886" s="7">
        <v>0.28000000000000003</v>
      </c>
      <c r="E886" t="s">
        <v>27</v>
      </c>
    </row>
    <row r="887" spans="1:5" x14ac:dyDescent="0.25">
      <c r="A887" t="str">
        <f>HYPERLINK("https://www.773grp.com/globalSearch/MC74VHC1GT125D1G/page-1", "MC74VHC1GT125D1G")</f>
        <v>MC74VHC1GT125D1G</v>
      </c>
      <c r="B887" s="3" t="str">
        <f>HYPERLINK("https://www.773grp.com/manufacturer/onsemi?pageNo=886", "Onsemi")</f>
        <v>Onsemi</v>
      </c>
      <c r="C887" s="6">
        <v>15000</v>
      </c>
      <c r="D887" s="7">
        <v>0.28000000000000003</v>
      </c>
      <c r="E887" t="s">
        <v>11</v>
      </c>
    </row>
    <row r="888" spans="1:5" x14ac:dyDescent="0.25">
      <c r="A888" t="str">
        <f>HYPERLINK("https://www.773grp.com/globalSearch/MC74VHC1GT125DF1/page-1", "MC74VHC1GT125DF1")</f>
        <v>MC74VHC1GT125DF1</v>
      </c>
      <c r="B888" s="3" t="str">
        <f>HYPERLINK("https://www.773grp.com/manufacturer/onsemi?pageNo=887", "Onsemi")</f>
        <v>Onsemi</v>
      </c>
      <c r="C888" s="6">
        <v>72000</v>
      </c>
      <c r="D888" s="7">
        <v>0.28000000000000003</v>
      </c>
      <c r="E888" t="s">
        <v>11</v>
      </c>
    </row>
    <row r="889" spans="1:5" x14ac:dyDescent="0.25">
      <c r="A889" t="str">
        <f>HYPERLINK("https://www.773grp.com/globalSearch/MC74VHC1GT126DF1/page-1", "MC74VHC1GT126DF1")</f>
        <v>MC74VHC1GT126DF1</v>
      </c>
      <c r="B889" s="3" t="str">
        <f>HYPERLINK("https://www.773grp.com/manufacturer/onsemi?pageNo=888", "Onsemi")</f>
        <v>Onsemi</v>
      </c>
      <c r="C889" s="6">
        <v>132000</v>
      </c>
      <c r="D889" s="7">
        <v>0.28000000000000003</v>
      </c>
      <c r="E889" t="s">
        <v>11</v>
      </c>
    </row>
    <row r="890" spans="1:5" x14ac:dyDescent="0.25">
      <c r="A890" t="str">
        <f>HYPERLINK("https://www.773grp.com/globalSearch/MC74VHC1GT126DF2/page-1", "MC74VHC1GT126DF2")</f>
        <v>MC74VHC1GT126DF2</v>
      </c>
      <c r="B890" s="3" t="str">
        <f>HYPERLINK("https://www.773grp.com/manufacturer/onsemi?pageNo=889", "Onsemi")</f>
        <v>Onsemi</v>
      </c>
      <c r="C890" s="6">
        <v>47000</v>
      </c>
      <c r="D890" s="7">
        <v>0.28000000000000003</v>
      </c>
      <c r="E890" t="s">
        <v>11</v>
      </c>
    </row>
    <row r="891" spans="1:5" x14ac:dyDescent="0.25">
      <c r="A891" t="str">
        <f>HYPERLINK("https://www.773grp.com/globalSearch/MC74VHC1GT126DT1/page-1", "MC74VHC1GT126DT1")</f>
        <v>MC74VHC1GT126DT1</v>
      </c>
      <c r="B891" s="3" t="str">
        <f>HYPERLINK("https://www.773grp.com/manufacturer/onsemi?pageNo=890", "Onsemi")</f>
        <v>Onsemi</v>
      </c>
      <c r="C891" s="6">
        <v>43000</v>
      </c>
      <c r="D891" s="7">
        <v>0.28000000000000003</v>
      </c>
      <c r="E891" t="s">
        <v>11</v>
      </c>
    </row>
    <row r="892" spans="1:5" x14ac:dyDescent="0.25">
      <c r="A892" t="str">
        <f>HYPERLINK("https://www.773grp.com/globalSearch/MC74VHC1GT32DF2G/page-1", "MC74VHC1GT32DF2G")</f>
        <v>MC74VHC1GT32DF2G</v>
      </c>
      <c r="B892" s="3" t="str">
        <f>HYPERLINK("https://www.773grp.com/manufacturer/onsemi?pageNo=891", "Onsemi")</f>
        <v>Onsemi</v>
      </c>
      <c r="C892" s="6">
        <v>30000</v>
      </c>
      <c r="D892" s="7">
        <v>0.28000000000000003</v>
      </c>
      <c r="E892" t="s">
        <v>27</v>
      </c>
    </row>
    <row r="893" spans="1:5" x14ac:dyDescent="0.25">
      <c r="A893" t="str">
        <f>HYPERLINK("https://www.773grp.com/globalSearch/MC74VHC1GT32DFT2/page-1", "MC74VHC1GT32DFT2")</f>
        <v>MC74VHC1GT32DFT2</v>
      </c>
      <c r="B893" s="3" t="str">
        <f>HYPERLINK("https://www.773grp.com/manufacturer/onsemi?pageNo=892", "Onsemi")</f>
        <v>Onsemi</v>
      </c>
      <c r="C893" s="6">
        <v>54000</v>
      </c>
      <c r="D893" s="7">
        <v>0.28000000000000003</v>
      </c>
      <c r="E893" t="s">
        <v>27</v>
      </c>
    </row>
    <row r="894" spans="1:5" x14ac:dyDescent="0.25">
      <c r="A894" t="str">
        <f>HYPERLINK("https://www.773grp.com/globalSearch/MC74VHC1GT32DTTG/page-1", "MC74VHC1GT32DTTG")</f>
        <v>MC74VHC1GT32DTTG</v>
      </c>
      <c r="B894" s="3" t="str">
        <f>HYPERLINK("https://www.773grp.com/manufacturer/onsemi?pageNo=893", "Onsemi")</f>
        <v>Onsemi</v>
      </c>
      <c r="C894" s="6">
        <v>28000</v>
      </c>
      <c r="D894" s="7">
        <v>0.28000000000000003</v>
      </c>
      <c r="E894" t="s">
        <v>27</v>
      </c>
    </row>
    <row r="895" spans="1:5" x14ac:dyDescent="0.25">
      <c r="A895" t="str">
        <f>HYPERLINK("https://www.773grp.com/globalSearch/MC74VHC1GT50DF1G/page-1", "MC74VHC1GT50DF1G")</f>
        <v>MC74VHC1GT50DF1G</v>
      </c>
      <c r="B895" s="3" t="str">
        <f>HYPERLINK("https://www.773grp.com/manufacturer/onsemi?pageNo=894", "Onsemi")</f>
        <v>Onsemi</v>
      </c>
      <c r="C895" s="6">
        <v>6000</v>
      </c>
      <c r="D895" s="7">
        <v>0.28000000000000003</v>
      </c>
    </row>
    <row r="896" spans="1:5" x14ac:dyDescent="0.25">
      <c r="A896" t="str">
        <f>HYPERLINK("https://www.773grp.com/globalSearch/MC74VHC1GT50DF2G/page-1", "MC74VHC1GT50DF2G")</f>
        <v>MC74VHC1GT50DF2G</v>
      </c>
      <c r="B896" s="3" t="str">
        <f>HYPERLINK("https://www.773grp.com/manufacturer/onsemi?pageNo=895", "Onsemi")</f>
        <v>Onsemi</v>
      </c>
      <c r="C896" s="6">
        <v>5695</v>
      </c>
      <c r="D896" s="7">
        <v>0.28000000000000003</v>
      </c>
    </row>
    <row r="897" spans="1:5" x14ac:dyDescent="0.25">
      <c r="A897" t="str">
        <f>HYPERLINK("https://www.773grp.com/globalSearch/MC74VHC1GT50DT1G/page-1", "MC74VHC1GT50DT1G")</f>
        <v>MC74VHC1GT50DT1G</v>
      </c>
      <c r="B897" s="3" t="str">
        <f>HYPERLINK("https://www.773grp.com/manufacturer/onsemi?pageNo=896", "Onsemi")</f>
        <v>Onsemi</v>
      </c>
      <c r="C897" s="6">
        <v>20614</v>
      </c>
      <c r="D897" s="7">
        <v>0.28000000000000003</v>
      </c>
    </row>
    <row r="898" spans="1:5" x14ac:dyDescent="0.25">
      <c r="A898" t="str">
        <f>HYPERLINK("https://www.773grp.com/globalSearch/MC74VHC1GT66DF1G/page-1", "MC74VHC1GT66DF1G")</f>
        <v>MC74VHC1GT66DF1G</v>
      </c>
      <c r="B898" s="3" t="str">
        <f>HYPERLINK("https://www.773grp.com/manufacturer/onsemi?pageNo=897", "Onsemi")</f>
        <v>Onsemi</v>
      </c>
      <c r="C898" s="6">
        <v>63000</v>
      </c>
      <c r="D898" s="7">
        <v>0.28000000000000003</v>
      </c>
    </row>
    <row r="899" spans="1:5" x14ac:dyDescent="0.25">
      <c r="A899" t="str">
        <f>HYPERLINK("https://www.773grp.com/globalSearch/MC74VHC1GT66DT1G/page-1", "MC74VHC1GT66DT1G")</f>
        <v>MC74VHC1GT66DT1G</v>
      </c>
      <c r="B899" s="3" t="str">
        <f>HYPERLINK("https://www.773grp.com/manufacturer/onsemi?pageNo=898", "Onsemi")</f>
        <v>Onsemi</v>
      </c>
      <c r="C899" s="6">
        <v>9000</v>
      </c>
      <c r="D899" s="7">
        <v>0.28000000000000003</v>
      </c>
    </row>
    <row r="900" spans="1:5" x14ac:dyDescent="0.25">
      <c r="A900" t="str">
        <f>HYPERLINK("https://www.773grp.com/globalSearch/MC74VHC1GT86DF1G/page-1", "MC74VHC1GT86DF1G")</f>
        <v>MC74VHC1GT86DF1G</v>
      </c>
      <c r="B900" s="3" t="str">
        <f>HYPERLINK("https://www.773grp.com/manufacturer/onsemi?pageNo=899", "Onsemi")</f>
        <v>Onsemi</v>
      </c>
      <c r="C900" s="6">
        <v>21000</v>
      </c>
      <c r="D900" s="7">
        <v>0.28000000000000003</v>
      </c>
      <c r="E900" t="s">
        <v>27</v>
      </c>
    </row>
    <row r="901" spans="1:5" x14ac:dyDescent="0.25">
      <c r="A901" t="str">
        <f>HYPERLINK("https://www.773grp.com/globalSearch/MC74VHC1GT86DFT1/page-1", "MC74VHC1GT86DFT1")</f>
        <v>MC74VHC1GT86DFT1</v>
      </c>
      <c r="B901" s="3" t="str">
        <f>HYPERLINK("https://www.773grp.com/manufacturer/onsemi?pageNo=900", "Onsemi")</f>
        <v>Onsemi</v>
      </c>
      <c r="C901" s="6">
        <v>96000</v>
      </c>
      <c r="D901" s="7">
        <v>0.28000000000000003</v>
      </c>
      <c r="E901" t="s">
        <v>27</v>
      </c>
    </row>
    <row r="902" spans="1:5" x14ac:dyDescent="0.25">
      <c r="A902" t="str">
        <f>HYPERLINK("https://www.773grp.com/globalSearch/MC74VHC1GU04DF2G/page-1", "MC74VHC1GU04DF2G")</f>
        <v>MC74VHC1GU04DF2G</v>
      </c>
      <c r="B902" s="3" t="str">
        <f>HYPERLINK("https://www.773grp.com/manufacturer/onsemi?pageNo=901", "Onsemi")</f>
        <v>Onsemi</v>
      </c>
      <c r="C902" s="6">
        <v>6600</v>
      </c>
      <c r="D902" s="7">
        <v>0.28000000000000003</v>
      </c>
    </row>
    <row r="903" spans="1:5" x14ac:dyDescent="0.25">
      <c r="A903" t="str">
        <f>HYPERLINK("https://www.773grp.com/globalSearch/MM5Z10VT1G/page-1", "MM5Z10VT1G")</f>
        <v>MM5Z10VT1G</v>
      </c>
      <c r="B903" s="3" t="str">
        <f>HYPERLINK("https://www.773grp.com/manufacturer/onsemi?pageNo=902", "Onsemi")</f>
        <v>Onsemi</v>
      </c>
      <c r="C903" s="6">
        <v>53670</v>
      </c>
      <c r="D903" s="7">
        <v>0.28000000000000003</v>
      </c>
      <c r="E903" t="s">
        <v>77</v>
      </c>
    </row>
    <row r="904" spans="1:5" x14ac:dyDescent="0.25">
      <c r="A904" t="str">
        <f>HYPERLINK("https://www.773grp.com/globalSearch/MM5Z12VT1G/page-1", "MM5Z12VT1G")</f>
        <v>MM5Z12VT1G</v>
      </c>
      <c r="B904" s="3" t="str">
        <f>HYPERLINK("https://www.773grp.com/manufacturer/onsemi?pageNo=903", "Onsemi")</f>
        <v>Onsemi</v>
      </c>
      <c r="C904" s="6">
        <v>804000</v>
      </c>
      <c r="D904" s="7">
        <v>0.28000000000000003</v>
      </c>
      <c r="E904" t="s">
        <v>77</v>
      </c>
    </row>
    <row r="905" spans="1:5" x14ac:dyDescent="0.25">
      <c r="A905" t="str">
        <f>HYPERLINK("https://www.773grp.com/globalSearch/MM5Z15VT1G/page-1", "MM5Z15VT1G")</f>
        <v>MM5Z15VT1G</v>
      </c>
      <c r="B905" s="3" t="str">
        <f>HYPERLINK("https://www.773grp.com/manufacturer/onsemi?pageNo=904", "Onsemi")</f>
        <v>Onsemi</v>
      </c>
      <c r="C905" s="6">
        <v>90763</v>
      </c>
      <c r="D905" s="7">
        <v>0.28000000000000003</v>
      </c>
      <c r="E905" t="s">
        <v>77</v>
      </c>
    </row>
    <row r="906" spans="1:5" x14ac:dyDescent="0.25">
      <c r="A906" t="str">
        <f>HYPERLINK("https://www.773grp.com/globalSearch/MM5Z16VT1G/page-1", "MM5Z16VT1G")</f>
        <v>MM5Z16VT1G</v>
      </c>
      <c r="B906" s="3" t="str">
        <f>HYPERLINK("https://www.773grp.com/manufacturer/onsemi?pageNo=905", "Onsemi")</f>
        <v>Onsemi</v>
      </c>
      <c r="C906" s="6">
        <v>174000</v>
      </c>
      <c r="D906" s="7">
        <v>0.28000000000000003</v>
      </c>
      <c r="E906" t="s">
        <v>77</v>
      </c>
    </row>
    <row r="907" spans="1:5" x14ac:dyDescent="0.25">
      <c r="A907" t="str">
        <f>HYPERLINK("https://www.773grp.com/globalSearch/MM5Z18VT1G/page-1", "MM5Z18VT1G")</f>
        <v>MM5Z18VT1G</v>
      </c>
      <c r="B907" s="3" t="str">
        <f>HYPERLINK("https://www.773grp.com/manufacturer/onsemi?pageNo=906", "Onsemi")</f>
        <v>Onsemi</v>
      </c>
      <c r="C907" s="6">
        <v>95347</v>
      </c>
      <c r="D907" s="7">
        <v>0.28000000000000003</v>
      </c>
      <c r="E907" t="s">
        <v>77</v>
      </c>
    </row>
    <row r="908" spans="1:5" x14ac:dyDescent="0.25">
      <c r="A908" t="str">
        <f>HYPERLINK("https://www.773grp.com/globalSearch/MM5Z20VT1G/page-1", "MM5Z20VT1G")</f>
        <v>MM5Z20VT1G</v>
      </c>
      <c r="B908" s="3" t="str">
        <f>HYPERLINK("https://www.773grp.com/manufacturer/onsemi?pageNo=907", "Onsemi")</f>
        <v>Onsemi</v>
      </c>
      <c r="C908" s="6">
        <v>241720</v>
      </c>
      <c r="D908" s="7">
        <v>0.28000000000000003</v>
      </c>
      <c r="E908" t="s">
        <v>77</v>
      </c>
    </row>
    <row r="909" spans="1:5" x14ac:dyDescent="0.25">
      <c r="A909" t="str">
        <f>HYPERLINK("https://www.773grp.com/globalSearch/MM5Z24VT1G/page-1", "MM5Z24VT1G")</f>
        <v>MM5Z24VT1G</v>
      </c>
      <c r="B909" s="3" t="str">
        <f>HYPERLINK("https://www.773grp.com/manufacturer/onsemi?pageNo=908", "Onsemi")</f>
        <v>Onsemi</v>
      </c>
      <c r="C909" s="6">
        <v>167930</v>
      </c>
      <c r="D909" s="7">
        <v>0.28000000000000003</v>
      </c>
      <c r="E909" t="s">
        <v>77</v>
      </c>
    </row>
    <row r="910" spans="1:5" x14ac:dyDescent="0.25">
      <c r="A910" t="str">
        <f>HYPERLINK("https://www.773grp.com/globalSearch/MM5Z27VT1G/page-1", "MM5Z27VT1G")</f>
        <v>MM5Z27VT1G</v>
      </c>
      <c r="B910" s="3" t="str">
        <f>HYPERLINK("https://www.773grp.com/manufacturer/onsemi?pageNo=909", "Onsemi")</f>
        <v>Onsemi</v>
      </c>
      <c r="C910" s="6">
        <v>40780</v>
      </c>
      <c r="D910" s="7">
        <v>0.28000000000000003</v>
      </c>
      <c r="E910" t="s">
        <v>77</v>
      </c>
    </row>
    <row r="911" spans="1:5" x14ac:dyDescent="0.25">
      <c r="A911" t="str">
        <f>HYPERLINK("https://www.773grp.com/globalSearch/MM5Z2V4ST1G/page-1", "MM5Z2V4ST1G")</f>
        <v>MM5Z2V4ST1G</v>
      </c>
      <c r="B911" s="3" t="str">
        <f>HYPERLINK("https://www.773grp.com/manufacturer/onsemi?pageNo=910", "Onsemi")</f>
        <v>Onsemi</v>
      </c>
      <c r="C911" s="6">
        <v>375656</v>
      </c>
      <c r="D911" s="7">
        <v>0.28000000000000003</v>
      </c>
      <c r="E911" t="s">
        <v>77</v>
      </c>
    </row>
    <row r="912" spans="1:5" x14ac:dyDescent="0.25">
      <c r="A912" t="str">
        <f>HYPERLINK("https://www.773grp.com/globalSearch/MM5Z2V4T1G/page-1", "MM5Z2V4T1G")</f>
        <v>MM5Z2V4T1G</v>
      </c>
      <c r="B912" s="3" t="str">
        <f>HYPERLINK("https://www.773grp.com/manufacturer/onsemi?pageNo=911", "Onsemi")</f>
        <v>Onsemi</v>
      </c>
      <c r="C912" s="6">
        <v>3313404</v>
      </c>
      <c r="D912" s="7">
        <v>0.28000000000000003</v>
      </c>
      <c r="E912" t="s">
        <v>77</v>
      </c>
    </row>
    <row r="913" spans="1:5" x14ac:dyDescent="0.25">
      <c r="A913" t="str">
        <f>HYPERLINK("https://www.773grp.com/globalSearch/MM5Z2V7T1G/page-1", "MM5Z2V7T1G")</f>
        <v>MM5Z2V7T1G</v>
      </c>
      <c r="B913" s="3" t="str">
        <f>HYPERLINK("https://www.773grp.com/manufacturer/onsemi?pageNo=912", "Onsemi")</f>
        <v>Onsemi</v>
      </c>
      <c r="C913" s="6">
        <v>2950</v>
      </c>
      <c r="D913" s="7">
        <v>0.28000000000000003</v>
      </c>
      <c r="E913" t="s">
        <v>77</v>
      </c>
    </row>
    <row r="914" spans="1:5" x14ac:dyDescent="0.25">
      <c r="A914" t="str">
        <f>HYPERLINK("https://www.773grp.com/globalSearch/MM5Z2V7T1G/page-1", "MM5Z2V7T1G")</f>
        <v>MM5Z2V7T1G</v>
      </c>
      <c r="B914" s="3" t="str">
        <f>HYPERLINK("https://www.773grp.com/manufacturer/onsemi?pageNo=913", "Onsemi")</f>
        <v>Onsemi</v>
      </c>
      <c r="C914" s="6">
        <v>174000</v>
      </c>
      <c r="D914" s="7">
        <v>0.28000000000000003</v>
      </c>
      <c r="E914" t="s">
        <v>77</v>
      </c>
    </row>
    <row r="915" spans="1:5" x14ac:dyDescent="0.25">
      <c r="A915" t="str">
        <f>HYPERLINK("https://www.773grp.com/globalSearch/MM5Z33VT1G/page-1", "MM5Z33VT1G")</f>
        <v>MM5Z33VT1G</v>
      </c>
      <c r="B915" s="3" t="str">
        <f>HYPERLINK("https://www.773grp.com/manufacturer/onsemi?pageNo=914", "Onsemi")</f>
        <v>Onsemi</v>
      </c>
      <c r="C915" s="6">
        <v>25998</v>
      </c>
      <c r="D915" s="7">
        <v>0.28000000000000003</v>
      </c>
      <c r="E915" t="s">
        <v>77</v>
      </c>
    </row>
    <row r="916" spans="1:5" x14ac:dyDescent="0.25">
      <c r="A916" t="str">
        <f>HYPERLINK("https://www.773grp.com/globalSearch/MM5Z36VT1G/page-1", "MM5Z36VT1G")</f>
        <v>MM5Z36VT1G</v>
      </c>
      <c r="B916" s="3" t="str">
        <f>HYPERLINK("https://www.773grp.com/manufacturer/onsemi?pageNo=915", "Onsemi")</f>
        <v>Onsemi</v>
      </c>
      <c r="C916" s="6">
        <v>12619</v>
      </c>
      <c r="D916" s="7">
        <v>0.28000000000000003</v>
      </c>
      <c r="E916" t="s">
        <v>77</v>
      </c>
    </row>
    <row r="917" spans="1:5" x14ac:dyDescent="0.25">
      <c r="A917" t="str">
        <f>HYPERLINK("https://www.773grp.com/globalSearch/MM5Z3V0T1G/page-1", "MM5Z3V0T1G")</f>
        <v>MM5Z3V0T1G</v>
      </c>
      <c r="B917" s="3" t="str">
        <f>HYPERLINK("https://www.773grp.com/manufacturer/onsemi?pageNo=916", "Onsemi")</f>
        <v>Onsemi</v>
      </c>
      <c r="C917" s="6">
        <v>906297</v>
      </c>
      <c r="D917" s="7">
        <v>0.28000000000000003</v>
      </c>
      <c r="E917" t="s">
        <v>77</v>
      </c>
    </row>
    <row r="918" spans="1:5" x14ac:dyDescent="0.25">
      <c r="A918" t="str">
        <f>HYPERLINK("https://www.773grp.com/globalSearch/MM5Z3V3T1G/page-1", "MM5Z3V3T1G")</f>
        <v>MM5Z3V3T1G</v>
      </c>
      <c r="B918" s="3" t="str">
        <f>HYPERLINK("https://www.773grp.com/manufacturer/onsemi?pageNo=917", "Onsemi")</f>
        <v>Onsemi</v>
      </c>
      <c r="C918" s="6">
        <v>173280</v>
      </c>
      <c r="D918" s="7">
        <v>0.28000000000000003</v>
      </c>
      <c r="E918" t="s">
        <v>77</v>
      </c>
    </row>
    <row r="919" spans="1:5" x14ac:dyDescent="0.25">
      <c r="A919" t="str">
        <f>HYPERLINK("https://www.773grp.com/globalSearch/MM5Z3V6T1G/page-1", "MM5Z3V6T1G")</f>
        <v>MM5Z3V6T1G</v>
      </c>
      <c r="B919" s="3" t="str">
        <f>HYPERLINK("https://www.773grp.com/manufacturer/onsemi?pageNo=918", "Onsemi")</f>
        <v>Onsemi</v>
      </c>
      <c r="C919" s="6">
        <v>26820</v>
      </c>
      <c r="D919" s="7">
        <v>0.28000000000000003</v>
      </c>
      <c r="E919" t="s">
        <v>77</v>
      </c>
    </row>
    <row r="920" spans="1:5" x14ac:dyDescent="0.25">
      <c r="A920" t="str">
        <f>HYPERLINK("https://www.773grp.com/globalSearch/MM5Z47VT1G/page-1", "MM5Z47VT1G")</f>
        <v>MM5Z47VT1G</v>
      </c>
      <c r="B920" s="3" t="str">
        <f>HYPERLINK("https://www.773grp.com/manufacturer/onsemi?pageNo=919", "Onsemi")</f>
        <v>Onsemi</v>
      </c>
      <c r="C920" s="6">
        <v>41924</v>
      </c>
      <c r="D920" s="7">
        <v>0.28000000000000003</v>
      </c>
      <c r="E920" t="s">
        <v>77</v>
      </c>
    </row>
    <row r="921" spans="1:5" x14ac:dyDescent="0.25">
      <c r="A921" t="str">
        <f>HYPERLINK("https://www.773grp.com/globalSearch/MM5Z4V7ST1G/page-1", "MM5Z4V7ST1G")</f>
        <v>MM5Z4V7ST1G</v>
      </c>
      <c r="B921" s="3" t="str">
        <f>HYPERLINK("https://www.773grp.com/manufacturer/onsemi?pageNo=920", "Onsemi")</f>
        <v>Onsemi</v>
      </c>
      <c r="C921" s="6">
        <v>54000</v>
      </c>
      <c r="D921" s="7">
        <v>0.28000000000000003</v>
      </c>
      <c r="E921" t="s">
        <v>77</v>
      </c>
    </row>
    <row r="922" spans="1:5" x14ac:dyDescent="0.25">
      <c r="A922" t="str">
        <f>HYPERLINK("https://www.773grp.com/globalSearch/MM5Z4V7ST5G/page-1", "MM5Z4V7ST5G")</f>
        <v>MM5Z4V7ST5G</v>
      </c>
      <c r="B922" s="3" t="str">
        <f>HYPERLINK("https://www.773grp.com/manufacturer/onsemi?pageNo=921", "Onsemi")</f>
        <v>Onsemi</v>
      </c>
      <c r="C922" s="6">
        <v>16000</v>
      </c>
      <c r="D922" s="7">
        <v>0.28000000000000003</v>
      </c>
    </row>
    <row r="923" spans="1:5" x14ac:dyDescent="0.25">
      <c r="A923" t="str">
        <f>HYPERLINK("https://www.773grp.com/globalSearch/MM5Z4V7T1G/page-1", "MM5Z4V7T1G")</f>
        <v>MM5Z4V7T1G</v>
      </c>
      <c r="B923" s="3" t="str">
        <f>HYPERLINK("https://www.773grp.com/manufacturer/onsemi?pageNo=922", "Onsemi")</f>
        <v>Onsemi</v>
      </c>
      <c r="C923" s="6">
        <v>233303</v>
      </c>
      <c r="D923" s="7">
        <v>0.28000000000000003</v>
      </c>
      <c r="E923" t="s">
        <v>77</v>
      </c>
    </row>
    <row r="924" spans="1:5" x14ac:dyDescent="0.25">
      <c r="A924" t="str">
        <f>HYPERLINK("https://www.773grp.com/globalSearch/MM5Z5V1ST1G/page-1", "MM5Z5V1ST1G")</f>
        <v>MM5Z5V1ST1G</v>
      </c>
      <c r="B924" s="3" t="str">
        <f>HYPERLINK("https://www.773grp.com/manufacturer/onsemi?pageNo=923", "Onsemi")</f>
        <v>Onsemi</v>
      </c>
      <c r="C924" s="6">
        <v>1583158</v>
      </c>
      <c r="D924" s="7">
        <v>0.28000000000000003</v>
      </c>
      <c r="E924" t="s">
        <v>77</v>
      </c>
    </row>
    <row r="925" spans="1:5" x14ac:dyDescent="0.25">
      <c r="A925" t="str">
        <f>HYPERLINK("https://www.773grp.com/globalSearch/MM5Z5V1T1G/page-1", "MM5Z5V1T1G")</f>
        <v>MM5Z5V1T1G</v>
      </c>
      <c r="B925" s="3" t="str">
        <f>HYPERLINK("https://www.773grp.com/manufacturer/onsemi?pageNo=924", "Onsemi")</f>
        <v>Onsemi</v>
      </c>
      <c r="C925" s="6">
        <v>2000950</v>
      </c>
      <c r="D925" s="7">
        <v>0.28000000000000003</v>
      </c>
      <c r="E925" t="s">
        <v>77</v>
      </c>
    </row>
    <row r="926" spans="1:5" x14ac:dyDescent="0.25">
      <c r="A926" t="str">
        <f>HYPERLINK("https://www.773grp.com/globalSearch/MM5Z5V6ST1G/page-1", "MM5Z5V6ST1G")</f>
        <v>MM5Z5V6ST1G</v>
      </c>
      <c r="B926" s="3" t="str">
        <f>HYPERLINK("https://www.773grp.com/manufacturer/onsemi?pageNo=925", "Onsemi")</f>
        <v>Onsemi</v>
      </c>
      <c r="C926" s="6">
        <v>233756</v>
      </c>
      <c r="D926" s="7">
        <v>0.28000000000000003</v>
      </c>
      <c r="E926" t="s">
        <v>77</v>
      </c>
    </row>
    <row r="927" spans="1:5" x14ac:dyDescent="0.25">
      <c r="A927" t="str">
        <f>HYPERLINK("https://www.773grp.com/globalSearch/MM5Z5V6T1G/page-1", "MM5Z5V6T1G")</f>
        <v>MM5Z5V6T1G</v>
      </c>
      <c r="B927" s="3" t="str">
        <f>HYPERLINK("https://www.773grp.com/manufacturer/onsemi?pageNo=926", "Onsemi")</f>
        <v>Onsemi</v>
      </c>
      <c r="C927" s="6">
        <v>258949</v>
      </c>
      <c r="D927" s="7">
        <v>0.28000000000000003</v>
      </c>
      <c r="E927" t="s">
        <v>77</v>
      </c>
    </row>
    <row r="928" spans="1:5" x14ac:dyDescent="0.25">
      <c r="A928" t="str">
        <f>HYPERLINK("https://www.773grp.com/globalSearch/MM5Z6V8ST1G/page-1", "MM5Z6V8ST1G")</f>
        <v>MM5Z6V8ST1G</v>
      </c>
      <c r="B928" s="3" t="str">
        <f>HYPERLINK("https://www.773grp.com/manufacturer/onsemi?pageNo=927", "Onsemi")</f>
        <v>Onsemi</v>
      </c>
      <c r="C928" s="6">
        <v>182088</v>
      </c>
      <c r="D928" s="7">
        <v>0.28000000000000003</v>
      </c>
      <c r="E928" t="s">
        <v>77</v>
      </c>
    </row>
    <row r="929" spans="1:5" x14ac:dyDescent="0.25">
      <c r="A929" t="str">
        <f>HYPERLINK("https://www.773grp.com/globalSearch/MM5Z6V8T1G/page-1", "MM5Z6V8T1G")</f>
        <v>MM5Z6V8T1G</v>
      </c>
      <c r="B929" s="3" t="str">
        <f>HYPERLINK("https://www.773grp.com/manufacturer/onsemi?pageNo=928", "Onsemi")</f>
        <v>Onsemi</v>
      </c>
      <c r="C929" s="6">
        <v>1787609</v>
      </c>
      <c r="D929" s="7">
        <v>0.28000000000000003</v>
      </c>
      <c r="E929" t="s">
        <v>77</v>
      </c>
    </row>
    <row r="930" spans="1:5" x14ac:dyDescent="0.25">
      <c r="A930" t="str">
        <f>HYPERLINK("https://www.773grp.com/globalSearch/MM5Z7V5T1G/page-1", "MM5Z7V5T1G")</f>
        <v>MM5Z7V5T1G</v>
      </c>
      <c r="B930" s="3" t="str">
        <f>HYPERLINK("https://www.773grp.com/manufacturer/onsemi?pageNo=929", "Onsemi")</f>
        <v>Onsemi</v>
      </c>
      <c r="C930" s="6">
        <v>84000</v>
      </c>
      <c r="D930" s="7">
        <v>0.28000000000000003</v>
      </c>
      <c r="E930" t="s">
        <v>77</v>
      </c>
    </row>
    <row r="931" spans="1:5" x14ac:dyDescent="0.25">
      <c r="A931" t="str">
        <f>HYPERLINK("https://www.773grp.com/globalSearch/MM5Z8V2ST1G/page-1", "MM5Z8V2ST1G")</f>
        <v>MM5Z8V2ST1G</v>
      </c>
      <c r="B931" s="3" t="str">
        <f>HYPERLINK("https://www.773grp.com/manufacturer/onsemi?pageNo=930", "Onsemi")</f>
        <v>Onsemi</v>
      </c>
      <c r="C931" s="6">
        <v>233330</v>
      </c>
      <c r="D931" s="7">
        <v>0.28000000000000003</v>
      </c>
      <c r="E931" t="s">
        <v>77</v>
      </c>
    </row>
    <row r="932" spans="1:5" x14ac:dyDescent="0.25">
      <c r="A932" t="str">
        <f>HYPERLINK("https://www.773grp.com/globalSearch/MM5Z8V2T1G/page-1", "MM5Z8V2T1G")</f>
        <v>MM5Z8V2T1G</v>
      </c>
      <c r="B932" s="3" t="str">
        <f>HYPERLINK("https://www.773grp.com/manufacturer/onsemi?pageNo=931", "Onsemi")</f>
        <v>Onsemi</v>
      </c>
      <c r="C932" s="6">
        <v>107342</v>
      </c>
      <c r="D932" s="7">
        <v>0.28000000000000003</v>
      </c>
      <c r="E932" t="s">
        <v>77</v>
      </c>
    </row>
    <row r="933" spans="1:5" x14ac:dyDescent="0.25">
      <c r="A933" t="str">
        <f>HYPERLINK("https://www.773grp.com/globalSearch/MM5Z9V1ST1G/page-1", "MM5Z9V1ST1G")</f>
        <v>MM5Z9V1ST1G</v>
      </c>
      <c r="B933" s="3" t="str">
        <f>HYPERLINK("https://www.773grp.com/manufacturer/onsemi?pageNo=932", "Onsemi")</f>
        <v>Onsemi</v>
      </c>
      <c r="C933" s="6">
        <v>585939</v>
      </c>
      <c r="D933" s="7">
        <v>0.28000000000000003</v>
      </c>
      <c r="E933" t="s">
        <v>77</v>
      </c>
    </row>
    <row r="934" spans="1:5" x14ac:dyDescent="0.25">
      <c r="A934" t="str">
        <f>HYPERLINK("https://www.773grp.com/globalSearch/MM5Z9V1T1G/page-1", "MM5Z9V1T1G")</f>
        <v>MM5Z9V1T1G</v>
      </c>
      <c r="B934" s="3" t="str">
        <f>HYPERLINK("https://www.773grp.com/manufacturer/onsemi?pageNo=933", "Onsemi")</f>
        <v>Onsemi</v>
      </c>
      <c r="C934" s="6">
        <v>2405980</v>
      </c>
      <c r="D934" s="7">
        <v>0.28000000000000003</v>
      </c>
      <c r="E934" t="s">
        <v>77</v>
      </c>
    </row>
    <row r="935" spans="1:5" x14ac:dyDescent="0.25">
      <c r="A935" t="str">
        <f>HYPERLINK("https://www.773grp.com/globalSearch/MMBD301LT1/page-1", "MMBD301LT1")</f>
        <v>MMBD301LT1</v>
      </c>
      <c r="B935" s="3" t="str">
        <f>HYPERLINK("https://www.773grp.com/manufacturer/onsemi?pageNo=934", "Onsemi")</f>
        <v>Onsemi</v>
      </c>
      <c r="C935" s="6">
        <v>37000</v>
      </c>
      <c r="D935" s="7">
        <v>0.28000000000000003</v>
      </c>
      <c r="E935" t="s">
        <v>87</v>
      </c>
    </row>
    <row r="936" spans="1:5" x14ac:dyDescent="0.25">
      <c r="A936" t="str">
        <f>HYPERLINK("https://www.773grp.com/globalSearch/MMBD301LT1G/page-1", "MMBD301LT1G")</f>
        <v>MMBD301LT1G</v>
      </c>
      <c r="B936" s="3" t="str">
        <f>HYPERLINK("https://www.773grp.com/manufacturer/onsemi?pageNo=935", "Onsemi")</f>
        <v>Onsemi</v>
      </c>
      <c r="C936" s="6">
        <v>116673</v>
      </c>
      <c r="D936" s="7">
        <v>0.28000000000000003</v>
      </c>
      <c r="E936" t="s">
        <v>87</v>
      </c>
    </row>
    <row r="937" spans="1:5" x14ac:dyDescent="0.25">
      <c r="A937" t="str">
        <f>HYPERLINK("https://www.773grp.com/globalSearch/MMBD301LT3G/page-1", "MMBD301LT3G")</f>
        <v>MMBD301LT3G</v>
      </c>
      <c r="B937" s="3" t="str">
        <f>HYPERLINK("https://www.773grp.com/manufacturer/onsemi?pageNo=936", "Onsemi")</f>
        <v>Onsemi</v>
      </c>
      <c r="C937" s="6">
        <v>20000</v>
      </c>
      <c r="D937" s="7">
        <v>0.28000000000000003</v>
      </c>
    </row>
    <row r="938" spans="1:5" x14ac:dyDescent="0.25">
      <c r="A938" t="str">
        <f>HYPERLINK("https://www.773grp.com/globalSearch/MMBD352WT1/page-1", "MMBD352WT1")</f>
        <v>MMBD352WT1</v>
      </c>
      <c r="B938" s="3" t="str">
        <f>HYPERLINK("https://www.773grp.com/manufacturer/onsemi?pageNo=937", "Onsemi")</f>
        <v>Onsemi</v>
      </c>
      <c r="C938" s="6">
        <v>21000</v>
      </c>
      <c r="D938" s="7">
        <v>0.28000000000000003</v>
      </c>
      <c r="E938" t="s">
        <v>87</v>
      </c>
    </row>
    <row r="939" spans="1:5" x14ac:dyDescent="0.25">
      <c r="A939" t="str">
        <f>HYPERLINK("https://www.773grp.com/globalSearch/MMBD717LT1/page-1", "MMBD717LT1")</f>
        <v>MMBD717LT1</v>
      </c>
      <c r="B939" s="3" t="str">
        <f>HYPERLINK("https://www.773grp.com/manufacturer/onsemi?pageNo=938", "Onsemi")</f>
        <v>Onsemi</v>
      </c>
      <c r="C939" s="6">
        <v>5388</v>
      </c>
      <c r="D939" s="7">
        <v>0.28000000000000003</v>
      </c>
      <c r="E939" t="s">
        <v>73</v>
      </c>
    </row>
    <row r="940" spans="1:5" x14ac:dyDescent="0.25">
      <c r="A940" t="str">
        <f>HYPERLINK("https://www.773grp.com/globalSearch/MMBD717LT1G/page-1", "MMBD717LT1G")</f>
        <v>MMBD717LT1G</v>
      </c>
      <c r="B940" s="3" t="str">
        <f>HYPERLINK("https://www.773grp.com/manufacturer/onsemi?pageNo=939", "Onsemi")</f>
        <v>Onsemi</v>
      </c>
      <c r="C940" s="6">
        <v>152600</v>
      </c>
      <c r="D940" s="7">
        <v>0.28000000000000003</v>
      </c>
      <c r="E940" t="s">
        <v>73</v>
      </c>
    </row>
    <row r="941" spans="1:5" x14ac:dyDescent="0.25">
      <c r="A941" t="str">
        <f>HYPERLINK("https://www.773grp.com/globalSearch/MMBT4125LT1/page-1", "MMBT4125LT1")</f>
        <v>MMBT4125LT1</v>
      </c>
      <c r="B941" s="3" t="str">
        <f>HYPERLINK("https://www.773grp.com/manufacturer/onsemi?pageNo=940", "Onsemi")</f>
        <v>Onsemi</v>
      </c>
      <c r="C941" s="6">
        <v>24600</v>
      </c>
      <c r="D941" s="7">
        <v>0.28000000000000003</v>
      </c>
    </row>
    <row r="942" spans="1:5" x14ac:dyDescent="0.25">
      <c r="A942" t="str">
        <f>HYPERLINK("https://www.773grp.com/globalSearch/MMBT6520LT3G/page-1", "MMBT6520LT3G")</f>
        <v>MMBT6520LT3G</v>
      </c>
      <c r="B942" s="3" t="str">
        <f>HYPERLINK("https://www.773grp.com/manufacturer/onsemi?pageNo=941", "Onsemi")</f>
        <v>Onsemi</v>
      </c>
      <c r="C942" s="6">
        <v>30000</v>
      </c>
      <c r="D942" s="7">
        <v>0.28000000000000003</v>
      </c>
      <c r="E942" t="s">
        <v>57</v>
      </c>
    </row>
    <row r="943" spans="1:5" x14ac:dyDescent="0.25">
      <c r="A943" t="str">
        <f>HYPERLINK("https://www.773grp.com/globalSearch/MMBTH10-4LT1G/page-1", "MMBTH10-4LT1G")</f>
        <v>MMBTH10-4LT1G</v>
      </c>
      <c r="B943" s="3" t="str">
        <f>HYPERLINK("https://www.773grp.com/manufacturer/onsemi?pageNo=942", "Onsemi")</f>
        <v>Onsemi</v>
      </c>
      <c r="C943" s="6">
        <v>118888</v>
      </c>
      <c r="D943" s="7">
        <v>0.28000000000000003</v>
      </c>
      <c r="E943" t="s">
        <v>49</v>
      </c>
    </row>
    <row r="944" spans="1:5" x14ac:dyDescent="0.25">
      <c r="A944" t="str">
        <f>HYPERLINK("https://www.773grp.com/globalSearch/MMBZ27VAWT1G/page-1", "MMBZ27VAWT1G")</f>
        <v>MMBZ27VAWT1G</v>
      </c>
      <c r="B944" s="3" t="str">
        <f>HYPERLINK("https://www.773grp.com/manufacturer/onsemi?pageNo=943", "Onsemi")</f>
        <v>Onsemi</v>
      </c>
      <c r="C944" s="6">
        <v>12000</v>
      </c>
      <c r="D944" s="7">
        <v>0.28000000000000003</v>
      </c>
    </row>
    <row r="945" spans="1:5" x14ac:dyDescent="0.25">
      <c r="A945" t="str">
        <f>HYPERLINK("https://www.773grp.com/globalSearch/MMBZ27VCWT1G/page-1", "MMBZ27VCWT1G")</f>
        <v>MMBZ27VCWT1G</v>
      </c>
      <c r="B945" s="3" t="str">
        <f>HYPERLINK("https://www.773grp.com/manufacturer/onsemi?pageNo=944", "Onsemi")</f>
        <v>Onsemi</v>
      </c>
      <c r="C945" s="6">
        <v>33000</v>
      </c>
      <c r="D945" s="7">
        <v>0.28000000000000003</v>
      </c>
      <c r="E945" t="s">
        <v>75</v>
      </c>
    </row>
    <row r="946" spans="1:5" x14ac:dyDescent="0.25">
      <c r="A946" t="str">
        <f>HYPERLINK("https://www.773grp.com/globalSearch/MMBZ33VALT1/page-1", "MMBZ33VALT1")</f>
        <v>MMBZ33VALT1</v>
      </c>
      <c r="B946" s="3" t="str">
        <f>HYPERLINK("https://www.773grp.com/manufacturer/onsemi?pageNo=945", "Onsemi")</f>
        <v>Onsemi</v>
      </c>
      <c r="C946" s="6">
        <v>18000</v>
      </c>
      <c r="D946" s="7">
        <v>0.28000000000000003</v>
      </c>
    </row>
    <row r="947" spans="1:5" x14ac:dyDescent="0.25">
      <c r="A947" t="str">
        <f>HYPERLINK("https://www.773grp.com/globalSearch/MMBZ5231ELT1G/page-1", "MMBZ5231ELT1G")</f>
        <v>MMBZ5231ELT1G</v>
      </c>
      <c r="B947" s="3" t="str">
        <f>HYPERLINK("https://www.773grp.com/manufacturer/onsemi?pageNo=946", "Onsemi")</f>
        <v>Onsemi</v>
      </c>
      <c r="C947" s="6">
        <v>323880</v>
      </c>
      <c r="D947" s="7">
        <v>0.28000000000000003</v>
      </c>
      <c r="E947" t="s">
        <v>77</v>
      </c>
    </row>
    <row r="948" spans="1:5" x14ac:dyDescent="0.25">
      <c r="A948" t="str">
        <f>HYPERLINK("https://www.773grp.com/globalSearch/MMBZ5232ELT1G/page-1", "MMBZ5232ELT1G")</f>
        <v>MMBZ5232ELT1G</v>
      </c>
      <c r="B948" s="3" t="str">
        <f>HYPERLINK("https://www.773grp.com/manufacturer/onsemi?pageNo=947", "Onsemi")</f>
        <v>Onsemi</v>
      </c>
      <c r="C948" s="6">
        <v>42000</v>
      </c>
      <c r="D948" s="7">
        <v>0.28000000000000003</v>
      </c>
      <c r="E948" t="s">
        <v>77</v>
      </c>
    </row>
    <row r="949" spans="1:5" x14ac:dyDescent="0.25">
      <c r="A949" t="str">
        <f>HYPERLINK("https://www.773grp.com/globalSearch/MMBZ5242ELT1G/page-1", "MMBZ5242ELT1G")</f>
        <v>MMBZ5242ELT1G</v>
      </c>
      <c r="B949" s="3" t="str">
        <f>HYPERLINK("https://www.773grp.com/manufacturer/onsemi?pageNo=948", "Onsemi")</f>
        <v>Onsemi</v>
      </c>
      <c r="C949" s="6">
        <v>96000</v>
      </c>
      <c r="D949" s="7">
        <v>0.28000000000000003</v>
      </c>
      <c r="E949" t="s">
        <v>77</v>
      </c>
    </row>
    <row r="950" spans="1:5" x14ac:dyDescent="0.25">
      <c r="A950" t="str">
        <f>HYPERLINK("https://www.773grp.com/globalSearch/MMBZ5245ELT1G/page-1", "MMBZ5245ELT1G")</f>
        <v>MMBZ5245ELT1G</v>
      </c>
      <c r="B950" s="3" t="str">
        <f>HYPERLINK("https://www.773grp.com/manufacturer/onsemi?pageNo=949", "Onsemi")</f>
        <v>Onsemi</v>
      </c>
      <c r="C950" s="6">
        <v>143040</v>
      </c>
      <c r="D950" s="7">
        <v>0.28000000000000003</v>
      </c>
      <c r="E950" t="s">
        <v>77</v>
      </c>
    </row>
    <row r="951" spans="1:5" x14ac:dyDescent="0.25">
      <c r="A951" t="str">
        <f>HYPERLINK("https://www.773grp.com/globalSearch/MMBZ5246ELT1G/page-1", "MMBZ5246ELT1G")</f>
        <v>MMBZ5246ELT1G</v>
      </c>
      <c r="B951" s="3" t="str">
        <f>HYPERLINK("https://www.773grp.com/manufacturer/onsemi?pageNo=950", "Onsemi")</f>
        <v>Onsemi</v>
      </c>
      <c r="C951" s="6">
        <v>147000</v>
      </c>
      <c r="D951" s="7">
        <v>0.28000000000000003</v>
      </c>
      <c r="E951" t="s">
        <v>77</v>
      </c>
    </row>
    <row r="952" spans="1:5" x14ac:dyDescent="0.25">
      <c r="A952" t="str">
        <f>HYPERLINK("https://www.773grp.com/globalSearch/MMBZ5248ELT1G/page-1", "MMBZ5248ELT1G")</f>
        <v>MMBZ5248ELT1G</v>
      </c>
      <c r="B952" s="3" t="str">
        <f>HYPERLINK("https://www.773grp.com/manufacturer/onsemi?pageNo=951", "Onsemi")</f>
        <v>Onsemi</v>
      </c>
      <c r="C952" s="6">
        <v>6000</v>
      </c>
      <c r="D952" s="7">
        <v>0.28000000000000003</v>
      </c>
      <c r="E952" t="s">
        <v>77</v>
      </c>
    </row>
    <row r="953" spans="1:5" x14ac:dyDescent="0.25">
      <c r="A953" t="str">
        <f>HYPERLINK("https://www.773grp.com/globalSearch/MMBZ5253ELT1G/page-1", "MMBZ5253ELT1G")</f>
        <v>MMBZ5253ELT1G</v>
      </c>
      <c r="B953" s="3" t="str">
        <f>HYPERLINK("https://www.773grp.com/manufacturer/onsemi?pageNo=952", "Onsemi")</f>
        <v>Onsemi</v>
      </c>
      <c r="C953" s="6">
        <v>27000</v>
      </c>
      <c r="D953" s="7">
        <v>0.28000000000000003</v>
      </c>
    </row>
    <row r="954" spans="1:5" x14ac:dyDescent="0.25">
      <c r="A954" t="str">
        <f>HYPERLINK("https://www.773grp.com/globalSearch/MMSZ4689ET1G/page-1", "MMSZ4689ET1G")</f>
        <v>MMSZ4689ET1G</v>
      </c>
      <c r="B954" s="3" t="str">
        <f>HYPERLINK("https://www.773grp.com/manufacturer/onsemi?pageNo=953", "Onsemi")</f>
        <v>Onsemi</v>
      </c>
      <c r="C954" s="6">
        <v>58333</v>
      </c>
      <c r="D954" s="7">
        <v>0.28000000000000003</v>
      </c>
    </row>
    <row r="955" spans="1:5" x14ac:dyDescent="0.25">
      <c r="A955" t="str">
        <f>HYPERLINK("https://www.773grp.com/globalSearch/MMSZ4701ET1G/page-1", "MMSZ4701ET1G")</f>
        <v>MMSZ4701ET1G</v>
      </c>
      <c r="B955" s="3" t="str">
        <f>HYPERLINK("https://www.773grp.com/manufacturer/onsemi?pageNo=954", "Onsemi")</f>
        <v>Onsemi</v>
      </c>
      <c r="C955" s="6">
        <v>26882</v>
      </c>
      <c r="D955" s="7">
        <v>0.28000000000000003</v>
      </c>
      <c r="E955" t="s">
        <v>77</v>
      </c>
    </row>
    <row r="956" spans="1:5" x14ac:dyDescent="0.25">
      <c r="A956" t="str">
        <f>HYPERLINK("https://www.773grp.com/globalSearch/MMSZ5223ET1G/page-1", "MMSZ5223ET1G")</f>
        <v>MMSZ5223ET1G</v>
      </c>
      <c r="B956" s="3" t="str">
        <f>HYPERLINK("https://www.773grp.com/manufacturer/onsemi?pageNo=955", "Onsemi")</f>
        <v>Onsemi</v>
      </c>
      <c r="C956" s="6">
        <v>39000</v>
      </c>
      <c r="D956" s="7">
        <v>0.28000000000000003</v>
      </c>
      <c r="E956" t="s">
        <v>77</v>
      </c>
    </row>
    <row r="957" spans="1:5" x14ac:dyDescent="0.25">
      <c r="A957" t="str">
        <f>HYPERLINK("https://www.773grp.com/globalSearch/MMSZ5235ET1G/page-1", "MMSZ5235ET1G")</f>
        <v>MMSZ5235ET1G</v>
      </c>
      <c r="B957" s="3" t="str">
        <f>HYPERLINK("https://www.773grp.com/manufacturer/onsemi?pageNo=956", "Onsemi")</f>
        <v>Onsemi</v>
      </c>
      <c r="C957" s="6">
        <v>6000</v>
      </c>
      <c r="D957" s="7">
        <v>0.28000000000000003</v>
      </c>
      <c r="E957" t="s">
        <v>77</v>
      </c>
    </row>
    <row r="958" spans="1:5" x14ac:dyDescent="0.25">
      <c r="A958" t="str">
        <f>HYPERLINK("https://www.773grp.com/globalSearch/MMSZ5240ET1G/page-1", "MMSZ5240ET1G")</f>
        <v>MMSZ5240ET1G</v>
      </c>
      <c r="B958" s="3" t="str">
        <f>HYPERLINK("https://www.773grp.com/manufacturer/onsemi?pageNo=957", "Onsemi")</f>
        <v>Onsemi</v>
      </c>
      <c r="C958" s="6">
        <v>179950</v>
      </c>
      <c r="D958" s="7">
        <v>0.28000000000000003</v>
      </c>
      <c r="E958" t="s">
        <v>77</v>
      </c>
    </row>
    <row r="959" spans="1:5" x14ac:dyDescent="0.25">
      <c r="A959" t="str">
        <f>HYPERLINK("https://www.773grp.com/globalSearch/MMSZ5242ET1G/page-1", "MMSZ5242ET1G")</f>
        <v>MMSZ5242ET1G</v>
      </c>
      <c r="B959" s="3" t="str">
        <f>HYPERLINK("https://www.773grp.com/manufacturer/onsemi?pageNo=958", "Onsemi")</f>
        <v>Onsemi</v>
      </c>
      <c r="C959" s="6">
        <v>90000</v>
      </c>
      <c r="D959" s="7">
        <v>0.28000000000000003</v>
      </c>
      <c r="E959" t="s">
        <v>77</v>
      </c>
    </row>
    <row r="960" spans="1:5" x14ac:dyDescent="0.25">
      <c r="A960" t="str">
        <f>HYPERLINK("https://www.773grp.com/globalSearch/MMSZ5244ET1G/page-1", "MMSZ5244ET1G")</f>
        <v>MMSZ5244ET1G</v>
      </c>
      <c r="B960" s="3" t="str">
        <f>HYPERLINK("https://www.773grp.com/manufacturer/onsemi?pageNo=959", "Onsemi")</f>
        <v>Onsemi</v>
      </c>
      <c r="C960" s="6">
        <v>15000</v>
      </c>
      <c r="D960" s="7">
        <v>0.28000000000000003</v>
      </c>
      <c r="E960" t="s">
        <v>77</v>
      </c>
    </row>
    <row r="961" spans="1:5" x14ac:dyDescent="0.25">
      <c r="A961" t="str">
        <f>HYPERLINK("https://www.773grp.com/globalSearch/MMSZ5245ET1G/page-1", "MMSZ5245ET1G")</f>
        <v>MMSZ5245ET1G</v>
      </c>
      <c r="B961" s="3" t="str">
        <f>HYPERLINK("https://www.773grp.com/manufacturer/onsemi?pageNo=960", "Onsemi")</f>
        <v>Onsemi</v>
      </c>
      <c r="C961" s="6">
        <v>27000</v>
      </c>
      <c r="D961" s="7">
        <v>0.28000000000000003</v>
      </c>
      <c r="E961" t="s">
        <v>77</v>
      </c>
    </row>
    <row r="962" spans="1:5" x14ac:dyDescent="0.25">
      <c r="A962" t="str">
        <f>HYPERLINK("https://www.773grp.com/globalSearch/MMSZ5246ET1G/page-1", "MMSZ5246ET1G")</f>
        <v>MMSZ5246ET1G</v>
      </c>
      <c r="B962" s="3" t="str">
        <f>HYPERLINK("https://www.773grp.com/manufacturer/onsemi?pageNo=961", "Onsemi")</f>
        <v>Onsemi</v>
      </c>
      <c r="C962" s="6">
        <v>6000</v>
      </c>
      <c r="D962" s="7">
        <v>0.28000000000000003</v>
      </c>
      <c r="E962" t="s">
        <v>77</v>
      </c>
    </row>
    <row r="963" spans="1:5" x14ac:dyDescent="0.25">
      <c r="A963" t="str">
        <f>HYPERLINK("https://www.773grp.com/globalSearch/MMSZ5250ET1/page-1", "MMSZ5250ET1")</f>
        <v>MMSZ5250ET1</v>
      </c>
      <c r="B963" s="3" t="str">
        <f>HYPERLINK("https://www.773grp.com/manufacturer/onsemi?pageNo=962", "Onsemi")</f>
        <v>Onsemi</v>
      </c>
      <c r="C963" s="6">
        <v>36000</v>
      </c>
      <c r="D963" s="7">
        <v>0.28000000000000003</v>
      </c>
    </row>
    <row r="964" spans="1:5" x14ac:dyDescent="0.25">
      <c r="A964" t="str">
        <f>HYPERLINK("https://www.773grp.com/globalSearch/MMSZ5252ET1G/page-1", "MMSZ5252ET1G")</f>
        <v>MMSZ5252ET1G</v>
      </c>
      <c r="B964" s="3" t="str">
        <f>HYPERLINK("https://www.773grp.com/manufacturer/onsemi?pageNo=963", "Onsemi")</f>
        <v>Onsemi</v>
      </c>
      <c r="C964" s="6">
        <v>2950</v>
      </c>
      <c r="D964" s="7">
        <v>0.28000000000000003</v>
      </c>
      <c r="E964" t="s">
        <v>77</v>
      </c>
    </row>
    <row r="965" spans="1:5" x14ac:dyDescent="0.25">
      <c r="A965" t="str">
        <f>HYPERLINK("https://www.773grp.com/globalSearch/MMSZ5254BT1/page-1", "MMSZ5254BT1")</f>
        <v>MMSZ5254BT1</v>
      </c>
      <c r="B965" s="3" t="str">
        <f>HYPERLINK("https://www.773grp.com/manufacturer/onsemi?pageNo=964", "Onsemi")</f>
        <v>Onsemi</v>
      </c>
      <c r="C965" s="6">
        <v>444000</v>
      </c>
      <c r="D965" s="7">
        <v>0.28000000000000003</v>
      </c>
      <c r="E965" t="s">
        <v>77</v>
      </c>
    </row>
    <row r="966" spans="1:5" x14ac:dyDescent="0.25">
      <c r="A966" t="str">
        <f>HYPERLINK("https://www.773grp.com/globalSearch/MMSZ5256ET1G/page-1", "MMSZ5256ET1G")</f>
        <v>MMSZ5256ET1G</v>
      </c>
      <c r="B966" s="3" t="str">
        <f>HYPERLINK("https://www.773grp.com/manufacturer/onsemi?pageNo=965", "Onsemi")</f>
        <v>Onsemi</v>
      </c>
      <c r="C966" s="6">
        <v>4974</v>
      </c>
      <c r="D966" s="7">
        <v>0.28000000000000003</v>
      </c>
      <c r="E966" t="s">
        <v>77</v>
      </c>
    </row>
    <row r="967" spans="1:5" x14ac:dyDescent="0.25">
      <c r="A967" t="str">
        <f>HYPERLINK("https://www.773grp.com/globalSearch/MMSZ5259ET1G/page-1", "MMSZ5259ET1G")</f>
        <v>MMSZ5259ET1G</v>
      </c>
      <c r="B967" s="3" t="str">
        <f>HYPERLINK("https://www.773grp.com/manufacturer/onsemi?pageNo=966", "Onsemi")</f>
        <v>Onsemi</v>
      </c>
      <c r="C967" s="6">
        <v>21000</v>
      </c>
      <c r="D967" s="7">
        <v>0.28000000000000003</v>
      </c>
      <c r="E967" t="s">
        <v>77</v>
      </c>
    </row>
    <row r="968" spans="1:5" x14ac:dyDescent="0.25">
      <c r="A968" t="str">
        <f>HYPERLINK("https://www.773grp.com/globalSearch/MMUN2233LT1/page-1", "MMUN2233LT1")</f>
        <v>MMUN2233LT1</v>
      </c>
      <c r="B968" s="3" t="str">
        <f>HYPERLINK("https://www.773grp.com/manufacturer/onsemi?pageNo=967", "Onsemi")</f>
        <v>Onsemi</v>
      </c>
      <c r="C968" s="6">
        <v>9000</v>
      </c>
      <c r="D968" s="7">
        <v>0.28000000000000003</v>
      </c>
      <c r="E968" t="s">
        <v>57</v>
      </c>
    </row>
    <row r="969" spans="1:5" x14ac:dyDescent="0.25">
      <c r="A969" t="str">
        <f>HYPERLINK("https://www.773grp.com/globalSearch/MMUN2234LT1/page-1", "MMUN2234LT1")</f>
        <v>MMUN2234LT1</v>
      </c>
      <c r="B969" s="3" t="str">
        <f>HYPERLINK("https://www.773grp.com/manufacturer/onsemi?pageNo=968", "Onsemi")</f>
        <v>Onsemi</v>
      </c>
      <c r="C969" s="6">
        <v>78000</v>
      </c>
      <c r="D969" s="7">
        <v>0.28000000000000003</v>
      </c>
      <c r="E969" t="s">
        <v>57</v>
      </c>
    </row>
    <row r="970" spans="1:5" x14ac:dyDescent="0.25">
      <c r="A970" t="str">
        <f>HYPERLINK("https://www.773grp.com/globalSearch/MMVL3401T1G/page-1", "MMVL3401T1G")</f>
        <v>MMVL3401T1G</v>
      </c>
      <c r="B970" s="3" t="str">
        <f>HYPERLINK("https://www.773grp.com/manufacturer/onsemi?pageNo=969", "Onsemi")</f>
        <v>Onsemi</v>
      </c>
      <c r="C970" s="6">
        <v>926665</v>
      </c>
      <c r="D970" s="7">
        <v>0.28000000000000003</v>
      </c>
      <c r="E970" t="s">
        <v>89</v>
      </c>
    </row>
    <row r="971" spans="1:5" x14ac:dyDescent="0.25">
      <c r="A971" t="str">
        <f>HYPERLINK("https://www.773grp.com/globalSearch/MPN3404RLRA/page-1", "MPN3404RLRA")</f>
        <v>MPN3404RLRA</v>
      </c>
      <c r="B971" s="3" t="str">
        <f>HYPERLINK("https://www.773grp.com/manufacturer/onsemi?pageNo=970", "Onsemi")</f>
        <v>Onsemi</v>
      </c>
      <c r="C971" s="6">
        <v>36000</v>
      </c>
      <c r="D971" s="7">
        <v>0.28000000000000003</v>
      </c>
      <c r="E971" t="s">
        <v>89</v>
      </c>
    </row>
    <row r="972" spans="1:5" x14ac:dyDescent="0.25">
      <c r="A972" t="str">
        <f>HYPERLINK("https://www.773grp.com/globalSearch/MPS2907AG/page-1", "MPS2907AG")</f>
        <v>MPS2907AG</v>
      </c>
      <c r="B972" s="3" t="str">
        <f>HYPERLINK("https://www.773grp.com/manufacturer/onsemi?pageNo=971", "Onsemi")</f>
        <v>Onsemi</v>
      </c>
      <c r="C972" s="6">
        <v>50207</v>
      </c>
      <c r="D972" s="7">
        <v>0.28000000000000003</v>
      </c>
      <c r="E972" t="s">
        <v>57</v>
      </c>
    </row>
    <row r="973" spans="1:5" x14ac:dyDescent="0.25">
      <c r="A973" t="str">
        <f>HYPERLINK("https://www.773grp.com/globalSearch/MPS2907ARLG/page-1", "MPS2907ARLG")</f>
        <v>MPS2907ARLG</v>
      </c>
      <c r="B973" s="3" t="str">
        <f>HYPERLINK("https://www.773grp.com/manufacturer/onsemi?pageNo=972", "Onsemi")</f>
        <v>Onsemi</v>
      </c>
      <c r="C973" s="6">
        <v>32000</v>
      </c>
      <c r="D973" s="7">
        <v>0.28000000000000003</v>
      </c>
      <c r="E973" t="s">
        <v>57</v>
      </c>
    </row>
    <row r="974" spans="1:5" x14ac:dyDescent="0.25">
      <c r="A974" t="str">
        <f>HYPERLINK("https://www.773grp.com/globalSearch/MPS2907ARLRAG/page-1", "MPS2907ARLRAG")</f>
        <v>MPS2907ARLRAG</v>
      </c>
      <c r="B974" s="3" t="str">
        <f>HYPERLINK("https://www.773grp.com/manufacturer/onsemi?pageNo=973", "Onsemi")</f>
        <v>Onsemi</v>
      </c>
      <c r="C974" s="6">
        <v>166000</v>
      </c>
      <c r="D974" s="7">
        <v>0.28000000000000003</v>
      </c>
      <c r="E974" t="s">
        <v>57</v>
      </c>
    </row>
    <row r="975" spans="1:5" x14ac:dyDescent="0.25">
      <c r="A975" t="str">
        <f>HYPERLINK("https://www.773grp.com/globalSearch/MPS6521RLRA/page-1", "MPS6521RLRA")</f>
        <v>MPS6521RLRA</v>
      </c>
      <c r="B975" s="3" t="str">
        <f>HYPERLINK("https://www.773grp.com/manufacturer/onsemi?pageNo=974", "Onsemi")</f>
        <v>Onsemi</v>
      </c>
      <c r="C975" s="6">
        <v>14000</v>
      </c>
      <c r="D975" s="7">
        <v>0.28000000000000003</v>
      </c>
      <c r="E975" t="s">
        <v>57</v>
      </c>
    </row>
    <row r="976" spans="1:5" x14ac:dyDescent="0.25">
      <c r="A976" t="str">
        <f>HYPERLINK("https://www.773grp.com/globalSearch/MPS6521RLRAG/page-1", "MPS6521RLRAG")</f>
        <v>MPS6521RLRAG</v>
      </c>
      <c r="B976" s="3" t="str">
        <f>HYPERLINK("https://www.773grp.com/manufacturer/onsemi?pageNo=975", "Onsemi")</f>
        <v>Onsemi</v>
      </c>
      <c r="C976" s="6">
        <v>76000</v>
      </c>
      <c r="D976" s="7">
        <v>0.28000000000000003</v>
      </c>
      <c r="E976" t="s">
        <v>57</v>
      </c>
    </row>
    <row r="977" spans="1:5" x14ac:dyDescent="0.25">
      <c r="A977" t="str">
        <f>HYPERLINK("https://www.773grp.com/globalSearch/MPS6560G/page-1", "MPS6560G")</f>
        <v>MPS6560G</v>
      </c>
      <c r="B977" s="3" t="str">
        <f>HYPERLINK("https://www.773grp.com/manufacturer/onsemi?pageNo=976", "Onsemi")</f>
        <v>Onsemi</v>
      </c>
      <c r="C977" s="6">
        <v>2470</v>
      </c>
      <c r="D977" s="7">
        <v>0.28000000000000003</v>
      </c>
      <c r="E977" t="s">
        <v>57</v>
      </c>
    </row>
    <row r="978" spans="1:5" x14ac:dyDescent="0.25">
      <c r="A978" t="str">
        <f>HYPERLINK("https://www.773grp.com/globalSearch/MPS6601G/page-1", "MPS6601G")</f>
        <v>MPS6601G</v>
      </c>
      <c r="B978" s="3" t="str">
        <f>HYPERLINK("https://www.773grp.com/manufacturer/onsemi?pageNo=977", "Onsemi")</f>
        <v>Onsemi</v>
      </c>
      <c r="C978" s="6">
        <v>44804</v>
      </c>
      <c r="D978" s="7">
        <v>0.28000000000000003</v>
      </c>
      <c r="E978" t="s">
        <v>57</v>
      </c>
    </row>
    <row r="979" spans="1:5" x14ac:dyDescent="0.25">
      <c r="A979" t="str">
        <f>HYPERLINK("https://www.773grp.com/globalSearch/MPS6602RLRA/page-1", "MPS6602RLRA")</f>
        <v>MPS6602RLRA</v>
      </c>
      <c r="B979" s="3" t="str">
        <f>HYPERLINK("https://www.773grp.com/manufacturer/onsemi?pageNo=978", "Onsemi")</f>
        <v>Onsemi</v>
      </c>
      <c r="C979" s="6">
        <v>2000</v>
      </c>
      <c r="D979" s="7">
        <v>0.28000000000000003</v>
      </c>
      <c r="E979" t="s">
        <v>57</v>
      </c>
    </row>
    <row r="980" spans="1:5" x14ac:dyDescent="0.25">
      <c r="A980" t="str">
        <f>HYPERLINK("https://www.773grp.com/globalSearch/MPS6602RLRAG/page-1", "MPS6602RLRAG")</f>
        <v>MPS6602RLRAG</v>
      </c>
      <c r="B980" s="3" t="str">
        <f>HYPERLINK("https://www.773grp.com/manufacturer/onsemi?pageNo=979", "Onsemi")</f>
        <v>Onsemi</v>
      </c>
      <c r="C980" s="6">
        <v>13160</v>
      </c>
      <c r="D980" s="7">
        <v>0.28000000000000003</v>
      </c>
      <c r="E980" t="s">
        <v>57</v>
      </c>
    </row>
    <row r="981" spans="1:5" x14ac:dyDescent="0.25">
      <c r="A981" t="str">
        <f>HYPERLINK("https://www.773grp.com/globalSearch/MPS6651G/page-1", "MPS6651G")</f>
        <v>MPS6651G</v>
      </c>
      <c r="B981" s="3" t="str">
        <f>HYPERLINK("https://www.773grp.com/manufacturer/onsemi?pageNo=980", "Onsemi")</f>
        <v>Onsemi</v>
      </c>
      <c r="C981" s="6">
        <v>32854</v>
      </c>
      <c r="D981" s="7">
        <v>0.28000000000000003</v>
      </c>
      <c r="E981" t="s">
        <v>57</v>
      </c>
    </row>
    <row r="982" spans="1:5" x14ac:dyDescent="0.25">
      <c r="A982" t="str">
        <f>HYPERLINK("https://www.773grp.com/globalSearch/MPS6652RLRA/page-1", "MPS6652RLRA")</f>
        <v>MPS6652RLRA</v>
      </c>
      <c r="B982" s="3" t="str">
        <f>HYPERLINK("https://www.773grp.com/manufacturer/onsemi?pageNo=981", "Onsemi")</f>
        <v>Onsemi</v>
      </c>
      <c r="C982" s="6">
        <v>4000</v>
      </c>
      <c r="D982" s="7">
        <v>0.28000000000000003</v>
      </c>
      <c r="E982" t="s">
        <v>57</v>
      </c>
    </row>
    <row r="983" spans="1:5" x14ac:dyDescent="0.25">
      <c r="A983" t="str">
        <f>HYPERLINK("https://www.773grp.com/globalSearch/MPS8098G/page-1", "MPS8098G")</f>
        <v>MPS8098G</v>
      </c>
      <c r="B983" s="3" t="str">
        <f>HYPERLINK("https://www.773grp.com/manufacturer/onsemi?pageNo=982", "Onsemi")</f>
        <v>Onsemi</v>
      </c>
      <c r="C983" s="6">
        <v>4800</v>
      </c>
      <c r="D983" s="7">
        <v>0.28000000000000003</v>
      </c>
      <c r="E983" t="s">
        <v>57</v>
      </c>
    </row>
    <row r="984" spans="1:5" x14ac:dyDescent="0.25">
      <c r="A984" t="str">
        <f>HYPERLINK("https://www.773grp.com/globalSearch/MPS8098RLRA/page-1", "MPS8098RLRA")</f>
        <v>MPS8098RLRA</v>
      </c>
      <c r="B984" s="3" t="str">
        <f>HYPERLINK("https://www.773grp.com/manufacturer/onsemi?pageNo=983", "Onsemi")</f>
        <v>Onsemi</v>
      </c>
      <c r="C984" s="6">
        <v>6000</v>
      </c>
      <c r="D984" s="7">
        <v>0.28000000000000003</v>
      </c>
      <c r="E984" t="s">
        <v>57</v>
      </c>
    </row>
    <row r="985" spans="1:5" x14ac:dyDescent="0.25">
      <c r="A985" t="str">
        <f>HYPERLINK("https://www.773grp.com/globalSearch/MPS8099/page-1", "MPS8099")</f>
        <v>MPS8099</v>
      </c>
      <c r="B985" s="3" t="str">
        <f>HYPERLINK("https://www.773grp.com/manufacturer/onsemi?pageNo=984", "Onsemi")</f>
        <v>Onsemi</v>
      </c>
      <c r="C985" s="6">
        <v>551</v>
      </c>
      <c r="D985" s="7">
        <v>0.28000000000000003</v>
      </c>
      <c r="E985" t="s">
        <v>57</v>
      </c>
    </row>
    <row r="986" spans="1:5" x14ac:dyDescent="0.25">
      <c r="A986" t="str">
        <f>HYPERLINK("https://www.773grp.com/globalSearch/MPS8099RLRMG/page-1", "MPS8099RLRMG")</f>
        <v>MPS8099RLRMG</v>
      </c>
      <c r="B986" s="3" t="str">
        <f>HYPERLINK("https://www.773grp.com/manufacturer/onsemi?pageNo=985", "Onsemi")</f>
        <v>Onsemi</v>
      </c>
      <c r="C986" s="6">
        <v>10000</v>
      </c>
      <c r="D986" s="7">
        <v>0.28000000000000003</v>
      </c>
      <c r="E986" t="s">
        <v>57</v>
      </c>
    </row>
    <row r="987" spans="1:5" x14ac:dyDescent="0.25">
      <c r="A987" t="str">
        <f>HYPERLINK("https://www.773grp.com/globalSearch/MPS8598RLRA/page-1", "MPS8598RLRA")</f>
        <v>MPS8598RLRA</v>
      </c>
      <c r="B987" s="3" t="str">
        <f>HYPERLINK("https://www.773grp.com/manufacturer/onsemi?pageNo=986", "Onsemi")</f>
        <v>Onsemi</v>
      </c>
      <c r="C987" s="6">
        <v>18000</v>
      </c>
      <c r="D987" s="7">
        <v>0.28000000000000003</v>
      </c>
      <c r="E987" t="s">
        <v>57</v>
      </c>
    </row>
    <row r="988" spans="1:5" x14ac:dyDescent="0.25">
      <c r="A988" t="str">
        <f>HYPERLINK("https://www.773grp.com/globalSearch/MPS8598RLRAG/page-1", "MPS8598RLRAG")</f>
        <v>MPS8598RLRAG</v>
      </c>
      <c r="B988" s="3" t="str">
        <f>HYPERLINK("https://www.773grp.com/manufacturer/onsemi?pageNo=987", "Onsemi")</f>
        <v>Onsemi</v>
      </c>
      <c r="C988" s="6">
        <v>14000</v>
      </c>
      <c r="D988" s="7">
        <v>0.28000000000000003</v>
      </c>
      <c r="E988" t="s">
        <v>57</v>
      </c>
    </row>
    <row r="989" spans="1:5" x14ac:dyDescent="0.25">
      <c r="A989" t="str">
        <f>HYPERLINK("https://www.773grp.com/globalSearch/MPSA42G/page-1", "MPSA42G")</f>
        <v>MPSA42G</v>
      </c>
      <c r="B989" s="3" t="str">
        <f>HYPERLINK("https://www.773grp.com/manufacturer/onsemi?pageNo=988", "Onsemi")</f>
        <v>Onsemi</v>
      </c>
      <c r="C989" s="6">
        <v>10000</v>
      </c>
      <c r="D989" s="7">
        <v>0.28000000000000003</v>
      </c>
      <c r="E989" t="s">
        <v>57</v>
      </c>
    </row>
    <row r="990" spans="1:5" x14ac:dyDescent="0.25">
      <c r="A990" t="str">
        <f>HYPERLINK("https://www.773grp.com/globalSearch/MPSA42RL1G/page-1", "MPSA42RL1G")</f>
        <v>MPSA42RL1G</v>
      </c>
      <c r="B990" s="3" t="str">
        <f>HYPERLINK("https://www.773grp.com/manufacturer/onsemi?pageNo=989", "Onsemi")</f>
        <v>Onsemi</v>
      </c>
      <c r="C990" s="6">
        <v>148000</v>
      </c>
      <c r="D990" s="7">
        <v>0.28000000000000003</v>
      </c>
      <c r="E990" t="s">
        <v>57</v>
      </c>
    </row>
    <row r="991" spans="1:5" x14ac:dyDescent="0.25">
      <c r="A991" t="str">
        <f>HYPERLINK("https://www.773grp.com/globalSearch/MPSA42RLRAG/page-1", "MPSA42RLRAG")</f>
        <v>MPSA42RLRAG</v>
      </c>
      <c r="B991" s="3" t="str">
        <f>HYPERLINK("https://www.773grp.com/manufacturer/onsemi?pageNo=990", "Onsemi")</f>
        <v>Onsemi</v>
      </c>
      <c r="C991" s="6">
        <v>34549</v>
      </c>
      <c r="D991" s="7">
        <v>0.28000000000000003</v>
      </c>
      <c r="E991" t="s">
        <v>57</v>
      </c>
    </row>
    <row r="992" spans="1:5" x14ac:dyDescent="0.25">
      <c r="A992" t="str">
        <f>HYPERLINK("https://www.773grp.com/globalSearch/MPSA42RLRPG/page-1", "MPSA42RLRPG")</f>
        <v>MPSA42RLRPG</v>
      </c>
      <c r="B992" s="3" t="str">
        <f>HYPERLINK("https://www.773grp.com/manufacturer/onsemi?pageNo=991", "Onsemi")</f>
        <v>Onsemi</v>
      </c>
      <c r="C992" s="6">
        <v>52000</v>
      </c>
      <c r="D992" s="7">
        <v>0.28000000000000003</v>
      </c>
      <c r="E992" t="s">
        <v>57</v>
      </c>
    </row>
    <row r="993" spans="1:5" x14ac:dyDescent="0.25">
      <c r="A993" t="str">
        <f>HYPERLINK("https://www.773grp.com/globalSearch/MPSA92G/page-1", "MPSA92G")</f>
        <v>MPSA92G</v>
      </c>
      <c r="B993" s="3" t="str">
        <f>HYPERLINK("https://www.773grp.com/manufacturer/onsemi?pageNo=992", "Onsemi")</f>
        <v>Onsemi</v>
      </c>
      <c r="C993" s="6">
        <v>83700</v>
      </c>
      <c r="D993" s="7">
        <v>0.28000000000000003</v>
      </c>
      <c r="E993" t="s">
        <v>57</v>
      </c>
    </row>
    <row r="994" spans="1:5" x14ac:dyDescent="0.25">
      <c r="A994" t="str">
        <f>HYPERLINK("https://www.773grp.com/globalSearch/MPSA92RL1G/page-1", "MPSA92RL1G")</f>
        <v>MPSA92RL1G</v>
      </c>
      <c r="B994" s="3" t="str">
        <f>HYPERLINK("https://www.773grp.com/manufacturer/onsemi?pageNo=993", "Onsemi")</f>
        <v>Onsemi</v>
      </c>
      <c r="C994" s="6">
        <v>2000</v>
      </c>
      <c r="D994" s="7">
        <v>0.28000000000000003</v>
      </c>
      <c r="E994" t="s">
        <v>57</v>
      </c>
    </row>
    <row r="995" spans="1:5" x14ac:dyDescent="0.25">
      <c r="A995" t="str">
        <f>HYPERLINK("https://www.773grp.com/globalSearch/MPSA92RLRAG/page-1", "MPSA92RLRAG")</f>
        <v>MPSA92RLRAG</v>
      </c>
      <c r="B995" s="3" t="str">
        <f>HYPERLINK("https://www.773grp.com/manufacturer/onsemi?pageNo=994", "Onsemi")</f>
        <v>Onsemi</v>
      </c>
      <c r="C995" s="6">
        <v>20000</v>
      </c>
      <c r="D995" s="7">
        <v>0.28000000000000003</v>
      </c>
      <c r="E995" t="s">
        <v>57</v>
      </c>
    </row>
    <row r="996" spans="1:5" x14ac:dyDescent="0.25">
      <c r="A996" t="str">
        <f>HYPERLINK("https://www.773grp.com/globalSearch/MPSA92RLRPG/page-1", "MPSA92RLRPG")</f>
        <v>MPSA92RLRPG</v>
      </c>
      <c r="B996" s="3" t="str">
        <f>HYPERLINK("https://www.773grp.com/manufacturer/onsemi?pageNo=995", "Onsemi")</f>
        <v>Onsemi</v>
      </c>
      <c r="C996" s="6">
        <v>19960</v>
      </c>
      <c r="D996" s="7">
        <v>0.28000000000000003</v>
      </c>
      <c r="E996" t="s">
        <v>57</v>
      </c>
    </row>
    <row r="997" spans="1:5" x14ac:dyDescent="0.25">
      <c r="A997" t="str">
        <f>HYPERLINK("https://www.773grp.com/globalSearch/MSB92ASWT1G/page-1", "MSB92ASWT1G")</f>
        <v>MSB92ASWT1G</v>
      </c>
      <c r="B997" s="3" t="str">
        <f>HYPERLINK("https://www.773grp.com/manufacturer/onsemi?pageNo=996", "Onsemi")</f>
        <v>Onsemi</v>
      </c>
      <c r="C997" s="6">
        <v>118769</v>
      </c>
      <c r="D997" s="7">
        <v>0.28000000000000003</v>
      </c>
      <c r="E997" t="s">
        <v>57</v>
      </c>
    </row>
    <row r="998" spans="1:5" x14ac:dyDescent="0.25">
      <c r="A998" t="str">
        <f>HYPERLINK("https://www.773grp.com/globalSearch/MSB92AWT1G/page-1", "MSB92AWT1G")</f>
        <v>MSB92AWT1G</v>
      </c>
      <c r="B998" s="3" t="str">
        <f>HYPERLINK("https://www.773grp.com/manufacturer/onsemi?pageNo=997", "Onsemi")</f>
        <v>Onsemi</v>
      </c>
      <c r="C998" s="6">
        <v>117000</v>
      </c>
      <c r="D998" s="7">
        <v>0.28000000000000003</v>
      </c>
      <c r="E998" t="s">
        <v>57</v>
      </c>
    </row>
    <row r="999" spans="1:5" x14ac:dyDescent="0.25">
      <c r="A999" t="str">
        <f>HYPERLINK("https://www.773grp.com/globalSearch/MSB92T1G/page-1", "MSB92T1G")</f>
        <v>MSB92T1G</v>
      </c>
      <c r="B999" s="3" t="str">
        <f>HYPERLINK("https://www.773grp.com/manufacturer/onsemi?pageNo=998", "Onsemi")</f>
        <v>Onsemi</v>
      </c>
      <c r="C999" s="6">
        <v>165000</v>
      </c>
      <c r="D999" s="7">
        <v>0.28000000000000003</v>
      </c>
      <c r="E999" t="s">
        <v>57</v>
      </c>
    </row>
    <row r="1000" spans="1:5" x14ac:dyDescent="0.25">
      <c r="A1000" t="str">
        <f>HYPERLINK("https://www.773grp.com/globalSearch/MSB92WT1G/page-1", "MSB92WT1G")</f>
        <v>MSB92WT1G</v>
      </c>
      <c r="B1000" s="3" t="str">
        <f>HYPERLINK("https://www.773grp.com/manufacturer/onsemi?pageNo=999", "Onsemi")</f>
        <v>Onsemi</v>
      </c>
      <c r="C1000" s="6">
        <v>22967</v>
      </c>
      <c r="D1000" s="7">
        <v>0.28000000000000003</v>
      </c>
      <c r="E1000" t="s">
        <v>57</v>
      </c>
    </row>
    <row r="1001" spans="1:5" x14ac:dyDescent="0.25">
      <c r="A1001" t="str">
        <f>HYPERLINK("https://www.773grp.com/globalSearch/MSD42SWT1G/page-1", "MSD42SWT1G")</f>
        <v>MSD42SWT1G</v>
      </c>
      <c r="B1001" s="3" t="str">
        <f>HYPERLINK("https://www.773grp.com/manufacturer/onsemi?pageNo=1000", "Onsemi")</f>
        <v>Onsemi</v>
      </c>
      <c r="C1001" s="6">
        <v>153000</v>
      </c>
      <c r="D1001" s="7">
        <v>0.28000000000000003</v>
      </c>
      <c r="E1001" t="s">
        <v>57</v>
      </c>
    </row>
    <row r="1002" spans="1:5" x14ac:dyDescent="0.25">
      <c r="A1002" t="str">
        <f>HYPERLINK("https://www.773grp.com/globalSearch/MSD42T1G/page-1", "MSD42T1G")</f>
        <v>MSD42T1G</v>
      </c>
      <c r="B1002" s="3" t="str">
        <f>HYPERLINK("https://www.773grp.com/manufacturer/onsemi?pageNo=1001", "Onsemi")</f>
        <v>Onsemi</v>
      </c>
      <c r="C1002" s="6">
        <v>1728000</v>
      </c>
      <c r="D1002" s="7">
        <v>0.28000000000000003</v>
      </c>
      <c r="E1002" t="s">
        <v>57</v>
      </c>
    </row>
    <row r="1003" spans="1:5" x14ac:dyDescent="0.25">
      <c r="A1003" t="str">
        <f>HYPERLINK("https://www.773grp.com/globalSearch/MSD42WT1G/page-1", "MSD42WT1G")</f>
        <v>MSD42WT1G</v>
      </c>
      <c r="B1003" s="3" t="str">
        <f>HYPERLINK("https://www.773grp.com/manufacturer/onsemi?pageNo=1002", "Onsemi")</f>
        <v>Onsemi</v>
      </c>
      <c r="C1003" s="6">
        <v>18340</v>
      </c>
      <c r="D1003" s="7">
        <v>0.28000000000000003</v>
      </c>
      <c r="E1003" t="s">
        <v>57</v>
      </c>
    </row>
    <row r="1004" spans="1:5" x14ac:dyDescent="0.25">
      <c r="A1004" t="str">
        <f>HYPERLINK("https://www.773grp.com/globalSearch/MSQA6V1W5T2G/page-1", "MSQA6V1W5T2G")</f>
        <v>MSQA6V1W5T2G</v>
      </c>
      <c r="B1004" s="3" t="str">
        <f>HYPERLINK("https://www.773grp.com/manufacturer/onsemi?pageNo=1003", "Onsemi")</f>
        <v>Onsemi</v>
      </c>
      <c r="C1004" s="6">
        <v>1209447</v>
      </c>
      <c r="D1004" s="7">
        <v>0.28000000000000003</v>
      </c>
      <c r="E1004" t="s">
        <v>75</v>
      </c>
    </row>
    <row r="1005" spans="1:5" x14ac:dyDescent="0.25">
      <c r="A1005" t="str">
        <f>HYPERLINK("https://www.773grp.com/globalSearch/MUN5112DW1T1G/page-1", "MUN5112DW1T1G")</f>
        <v>MUN5112DW1T1G</v>
      </c>
      <c r="B1005" s="3" t="str">
        <f>HYPERLINK("https://www.773grp.com/manufacturer/onsemi?pageNo=1004", "Onsemi")</f>
        <v>Onsemi</v>
      </c>
      <c r="C1005" s="6">
        <v>51000</v>
      </c>
      <c r="D1005" s="7">
        <v>0.28000000000000003</v>
      </c>
      <c r="E1005" t="s">
        <v>57</v>
      </c>
    </row>
    <row r="1006" spans="1:5" x14ac:dyDescent="0.25">
      <c r="A1006" t="str">
        <f>HYPERLINK("https://www.773grp.com/globalSearch/MUN5113DW1T1G/page-1", "MUN5113DW1T1G")</f>
        <v>MUN5113DW1T1G</v>
      </c>
      <c r="B1006" s="3" t="str">
        <f>HYPERLINK("https://www.773grp.com/manufacturer/onsemi?pageNo=1005", "Onsemi")</f>
        <v>Onsemi</v>
      </c>
      <c r="C1006" s="6">
        <v>9000</v>
      </c>
      <c r="D1006" s="7">
        <v>0.28000000000000003</v>
      </c>
    </row>
    <row r="1007" spans="1:5" x14ac:dyDescent="0.25">
      <c r="A1007" t="str">
        <f>HYPERLINK("https://www.773grp.com/globalSearch/MUN5114DW1T1G/page-1", "MUN5114DW1T1G")</f>
        <v>MUN5114DW1T1G</v>
      </c>
      <c r="B1007" s="3" t="str">
        <f>HYPERLINK("https://www.773grp.com/manufacturer/onsemi?pageNo=1006", "Onsemi")</f>
        <v>Onsemi</v>
      </c>
      <c r="C1007" s="6">
        <v>296900</v>
      </c>
      <c r="D1007" s="7">
        <v>0.28000000000000003</v>
      </c>
      <c r="E1007" t="s">
        <v>57</v>
      </c>
    </row>
    <row r="1008" spans="1:5" x14ac:dyDescent="0.25">
      <c r="A1008" t="str">
        <f>HYPERLINK("https://www.773grp.com/globalSearch/MUN5115DW1T1G/page-1", "MUN5115DW1T1G")</f>
        <v>MUN5115DW1T1G</v>
      </c>
      <c r="B1008" s="3" t="str">
        <f>HYPERLINK("https://www.773grp.com/manufacturer/onsemi?pageNo=1007", "Onsemi")</f>
        <v>Onsemi</v>
      </c>
      <c r="C1008" s="6">
        <v>273000</v>
      </c>
      <c r="D1008" s="7">
        <v>0.28000000000000003</v>
      </c>
      <c r="E1008" t="s">
        <v>57</v>
      </c>
    </row>
    <row r="1009" spans="1:5" x14ac:dyDescent="0.25">
      <c r="A1009" t="str">
        <f>HYPERLINK("https://www.773grp.com/globalSearch/MUN5116DW1T1G/page-1", "MUN5116DW1T1G")</f>
        <v>MUN5116DW1T1G</v>
      </c>
      <c r="B1009" s="3" t="str">
        <f>HYPERLINK("https://www.773grp.com/manufacturer/onsemi?pageNo=1008", "Onsemi")</f>
        <v>Onsemi</v>
      </c>
      <c r="C1009" s="6">
        <v>45000</v>
      </c>
      <c r="D1009" s="7">
        <v>0.28000000000000003</v>
      </c>
      <c r="E1009" t="s">
        <v>57</v>
      </c>
    </row>
    <row r="1010" spans="1:5" x14ac:dyDescent="0.25">
      <c r="A1010" t="str">
        <f>HYPERLINK("https://www.773grp.com/globalSearch/MUN5130DW1T1G/page-1", "MUN5130DW1T1G")</f>
        <v>MUN5130DW1T1G</v>
      </c>
      <c r="B1010" s="3" t="str">
        <f>HYPERLINK("https://www.773grp.com/manufacturer/onsemi?pageNo=1009", "Onsemi")</f>
        <v>Onsemi</v>
      </c>
      <c r="C1010" s="6">
        <v>51000</v>
      </c>
      <c r="D1010" s="7">
        <v>0.28000000000000003</v>
      </c>
      <c r="E1010" t="s">
        <v>57</v>
      </c>
    </row>
    <row r="1011" spans="1:5" x14ac:dyDescent="0.25">
      <c r="A1011" t="str">
        <f>HYPERLINK("https://www.773grp.com/globalSearch/MUN5131DW1T1G/page-1", "MUN5131DW1T1G")</f>
        <v>MUN5131DW1T1G</v>
      </c>
      <c r="B1011" s="3" t="str">
        <f>HYPERLINK("https://www.773grp.com/manufacturer/onsemi?pageNo=1010", "Onsemi")</f>
        <v>Onsemi</v>
      </c>
      <c r="C1011" s="6">
        <v>45000</v>
      </c>
      <c r="D1011" s="7">
        <v>0.28000000000000003</v>
      </c>
      <c r="E1011" t="s">
        <v>57</v>
      </c>
    </row>
    <row r="1012" spans="1:5" x14ac:dyDescent="0.25">
      <c r="A1012" t="str">
        <f>HYPERLINK("https://www.773grp.com/globalSearch/MUN5133DW1T1G/page-1", "MUN5133DW1T1G")</f>
        <v>MUN5133DW1T1G</v>
      </c>
      <c r="B1012" s="3" t="str">
        <f>HYPERLINK("https://www.773grp.com/manufacturer/onsemi?pageNo=1011", "Onsemi")</f>
        <v>Onsemi</v>
      </c>
      <c r="C1012" s="6">
        <v>132000</v>
      </c>
      <c r="D1012" s="7">
        <v>0.28000000000000003</v>
      </c>
      <c r="E1012" t="s">
        <v>57</v>
      </c>
    </row>
    <row r="1013" spans="1:5" x14ac:dyDescent="0.25">
      <c r="A1013" t="str">
        <f>HYPERLINK("https://www.773grp.com/globalSearch/MUN5134DW1T1G/page-1", "MUN5134DW1T1G")</f>
        <v>MUN5134DW1T1G</v>
      </c>
      <c r="B1013" s="3" t="str">
        <f>HYPERLINK("https://www.773grp.com/manufacturer/onsemi?pageNo=1012", "Onsemi")</f>
        <v>Onsemi</v>
      </c>
      <c r="C1013" s="6">
        <v>84500</v>
      </c>
      <c r="D1013" s="7">
        <v>0.28000000000000003</v>
      </c>
      <c r="E1013" t="s">
        <v>57</v>
      </c>
    </row>
    <row r="1014" spans="1:5" x14ac:dyDescent="0.25">
      <c r="A1014" t="str">
        <f>HYPERLINK("https://www.773grp.com/globalSearch/MUN5135DW1T1G/page-1", "MUN5135DW1T1G")</f>
        <v>MUN5135DW1T1G</v>
      </c>
      <c r="B1014" s="3" t="str">
        <f>HYPERLINK("https://www.773grp.com/manufacturer/onsemi?pageNo=1013", "Onsemi")</f>
        <v>Onsemi</v>
      </c>
      <c r="C1014" s="6">
        <v>57000</v>
      </c>
      <c r="D1014" s="7">
        <v>0.28000000000000003</v>
      </c>
      <c r="E1014" t="s">
        <v>57</v>
      </c>
    </row>
    <row r="1015" spans="1:5" x14ac:dyDescent="0.25">
      <c r="A1015" t="str">
        <f>HYPERLINK("https://www.773grp.com/globalSearch/MUN5211DW1T1G/page-1", "MUN5211DW1T1G")</f>
        <v>MUN5211DW1T1G</v>
      </c>
      <c r="B1015" s="3" t="str">
        <f>HYPERLINK("https://www.773grp.com/manufacturer/onsemi?pageNo=1014", "Onsemi")</f>
        <v>Onsemi</v>
      </c>
      <c r="C1015" s="6">
        <v>114000</v>
      </c>
      <c r="D1015" s="7">
        <v>0.28000000000000003</v>
      </c>
      <c r="E1015" t="s">
        <v>57</v>
      </c>
    </row>
    <row r="1016" spans="1:5" x14ac:dyDescent="0.25">
      <c r="A1016" t="str">
        <f>HYPERLINK("https://www.773grp.com/globalSearch/MUN5212DW1T1G/page-1", "MUN5212DW1T1G")</f>
        <v>MUN5212DW1T1G</v>
      </c>
      <c r="B1016" s="3" t="str">
        <f>HYPERLINK("https://www.773grp.com/manufacturer/onsemi?pageNo=1015", "Onsemi")</f>
        <v>Onsemi</v>
      </c>
      <c r="C1016" s="6">
        <v>60000</v>
      </c>
      <c r="D1016" s="7">
        <v>0.28000000000000003</v>
      </c>
      <c r="E1016" t="s">
        <v>57</v>
      </c>
    </row>
    <row r="1017" spans="1:5" x14ac:dyDescent="0.25">
      <c r="A1017" t="str">
        <f>HYPERLINK("https://www.773grp.com/globalSearch/MUN5213DW1T3G/page-1", "MUN5213DW1T3G")</f>
        <v>MUN5213DW1T3G</v>
      </c>
      <c r="B1017" s="3" t="str">
        <f>HYPERLINK("https://www.773grp.com/manufacturer/onsemi?pageNo=1016", "Onsemi")</f>
        <v>Onsemi</v>
      </c>
      <c r="C1017" s="6">
        <v>30000</v>
      </c>
      <c r="D1017" s="7">
        <v>0.28000000000000003</v>
      </c>
    </row>
    <row r="1018" spans="1:5" x14ac:dyDescent="0.25">
      <c r="A1018" t="str">
        <f>HYPERLINK("https://www.773grp.com/globalSearch/MUN5214DW1T1G/page-1", "MUN5214DW1T1G")</f>
        <v>MUN5214DW1T1G</v>
      </c>
      <c r="B1018" s="3" t="str">
        <f>HYPERLINK("https://www.773grp.com/manufacturer/onsemi?pageNo=1017", "Onsemi")</f>
        <v>Onsemi</v>
      </c>
      <c r="C1018" s="6">
        <v>44895</v>
      </c>
      <c r="D1018" s="7">
        <v>0.28000000000000003</v>
      </c>
      <c r="E1018" t="s">
        <v>57</v>
      </c>
    </row>
    <row r="1019" spans="1:5" x14ac:dyDescent="0.25">
      <c r="A1019" t="str">
        <f>HYPERLINK("https://www.773grp.com/globalSearch/MUN5215DW1T1G/page-1", "MUN5215DW1T1G")</f>
        <v>MUN5215DW1T1G</v>
      </c>
      <c r="B1019" s="3" t="str">
        <f>HYPERLINK("https://www.773grp.com/manufacturer/onsemi?pageNo=1018", "Onsemi")</f>
        <v>Onsemi</v>
      </c>
      <c r="C1019" s="6">
        <v>271700</v>
      </c>
      <c r="D1019" s="7">
        <v>0.28000000000000003</v>
      </c>
      <c r="E1019" t="s">
        <v>57</v>
      </c>
    </row>
    <row r="1020" spans="1:5" x14ac:dyDescent="0.25">
      <c r="A1020" t="str">
        <f>HYPERLINK("https://www.773grp.com/globalSearch/MUN5216DW1T1G/page-1", "MUN5216DW1T1G")</f>
        <v>MUN5216DW1T1G</v>
      </c>
      <c r="B1020" s="3" t="str">
        <f>HYPERLINK("https://www.773grp.com/manufacturer/onsemi?pageNo=1019", "Onsemi")</f>
        <v>Onsemi</v>
      </c>
      <c r="C1020" s="6">
        <v>39000</v>
      </c>
      <c r="D1020" s="7">
        <v>0.28000000000000003</v>
      </c>
      <c r="E1020" t="s">
        <v>57</v>
      </c>
    </row>
    <row r="1021" spans="1:5" x14ac:dyDescent="0.25">
      <c r="A1021" t="str">
        <f>HYPERLINK("https://www.773grp.com/globalSearch/MUN5230DW1T1G/page-1", "MUN5230DW1T1G")</f>
        <v>MUN5230DW1T1G</v>
      </c>
      <c r="B1021" s="3" t="str">
        <f>HYPERLINK("https://www.773grp.com/manufacturer/onsemi?pageNo=1020", "Onsemi")</f>
        <v>Onsemi</v>
      </c>
      <c r="C1021" s="6">
        <v>29035</v>
      </c>
      <c r="D1021" s="7">
        <v>0.28000000000000003</v>
      </c>
      <c r="E1021" t="s">
        <v>57</v>
      </c>
    </row>
    <row r="1022" spans="1:5" x14ac:dyDescent="0.25">
      <c r="A1022" t="str">
        <f>HYPERLINK("https://www.773grp.com/globalSearch/MUN5232DW1T1G/page-1", "MUN5232DW1T1G")</f>
        <v>MUN5232DW1T1G</v>
      </c>
      <c r="B1022" s="3" t="str">
        <f>HYPERLINK("https://www.773grp.com/manufacturer/onsemi?pageNo=1021", "Onsemi")</f>
        <v>Onsemi</v>
      </c>
      <c r="C1022" s="6">
        <v>54000</v>
      </c>
      <c r="D1022" s="7">
        <v>0.28000000000000003</v>
      </c>
      <c r="E1022" t="s">
        <v>57</v>
      </c>
    </row>
    <row r="1023" spans="1:5" x14ac:dyDescent="0.25">
      <c r="A1023" t="str">
        <f>HYPERLINK("https://www.773grp.com/globalSearch/MUN5233DW1T1G/page-1", "MUN5233DW1T1G")</f>
        <v>MUN5233DW1T1G</v>
      </c>
      <c r="B1023" s="3" t="str">
        <f>HYPERLINK("https://www.773grp.com/manufacturer/onsemi?pageNo=1022", "Onsemi")</f>
        <v>Onsemi</v>
      </c>
      <c r="C1023" s="6">
        <v>156000</v>
      </c>
      <c r="D1023" s="7">
        <v>0.28000000000000003</v>
      </c>
      <c r="E1023" t="s">
        <v>57</v>
      </c>
    </row>
    <row r="1024" spans="1:5" x14ac:dyDescent="0.25">
      <c r="A1024" t="str">
        <f>HYPERLINK("https://www.773grp.com/globalSearch/MUN5235DW1T1G/page-1", "MUN5235DW1T1G")</f>
        <v>MUN5235DW1T1G</v>
      </c>
      <c r="B1024" s="3" t="str">
        <f>HYPERLINK("https://www.773grp.com/manufacturer/onsemi?pageNo=1023", "Onsemi")</f>
        <v>Onsemi</v>
      </c>
      <c r="C1024" s="6">
        <v>464195</v>
      </c>
      <c r="D1024" s="7">
        <v>0.28000000000000003</v>
      </c>
      <c r="E1024" t="s">
        <v>57</v>
      </c>
    </row>
    <row r="1025" spans="1:5" x14ac:dyDescent="0.25">
      <c r="A1025" t="str">
        <f>HYPERLINK("https://www.773grp.com/globalSearch/MUN5236DW1T1G/page-1", "MUN5236DW1T1G")</f>
        <v>MUN5236DW1T1G</v>
      </c>
      <c r="B1025" s="3" t="str">
        <f>HYPERLINK("https://www.773grp.com/manufacturer/onsemi?pageNo=1024", "Onsemi")</f>
        <v>Onsemi</v>
      </c>
      <c r="C1025" s="6">
        <v>33000</v>
      </c>
      <c r="D1025" s="7">
        <v>0.28000000000000003</v>
      </c>
      <c r="E1025" t="s">
        <v>57</v>
      </c>
    </row>
    <row r="1026" spans="1:5" x14ac:dyDescent="0.25">
      <c r="A1026" t="str">
        <f>HYPERLINK("https://www.773grp.com/globalSearch/MUN5311DW1T1G/page-1", "MUN5311DW1T1G")</f>
        <v>MUN5311DW1T1G</v>
      </c>
      <c r="B1026" s="3" t="str">
        <f>HYPERLINK("https://www.773grp.com/manufacturer/onsemi?pageNo=1025", "Onsemi")</f>
        <v>Onsemi</v>
      </c>
      <c r="C1026" s="6">
        <v>39000</v>
      </c>
      <c r="D1026" s="7">
        <v>0.28000000000000003</v>
      </c>
      <c r="E1026" t="s">
        <v>57</v>
      </c>
    </row>
    <row r="1027" spans="1:5" x14ac:dyDescent="0.25">
      <c r="A1027" t="str">
        <f>HYPERLINK("https://www.773grp.com/globalSearch/MUN5311DW1T2G/page-1", "MUN5311DW1T2G")</f>
        <v>MUN5311DW1T2G</v>
      </c>
      <c r="B1027" s="3" t="str">
        <f>HYPERLINK("https://www.773grp.com/manufacturer/onsemi?pageNo=1026", "Onsemi")</f>
        <v>Onsemi</v>
      </c>
      <c r="C1027" s="6">
        <v>105000</v>
      </c>
      <c r="D1027" s="7">
        <v>0.28000000000000003</v>
      </c>
    </row>
    <row r="1028" spans="1:5" x14ac:dyDescent="0.25">
      <c r="A1028" t="str">
        <f>HYPERLINK("https://www.773grp.com/globalSearch/MUN5312DW1T1G/page-1", "MUN5312DW1T1G")</f>
        <v>MUN5312DW1T1G</v>
      </c>
      <c r="B1028" s="3" t="str">
        <f>HYPERLINK("https://www.773grp.com/manufacturer/onsemi?pageNo=1027", "Onsemi")</f>
        <v>Onsemi</v>
      </c>
      <c r="C1028" s="6">
        <v>36000</v>
      </c>
      <c r="D1028" s="7">
        <v>0.28000000000000003</v>
      </c>
      <c r="E1028" t="s">
        <v>57</v>
      </c>
    </row>
    <row r="1029" spans="1:5" x14ac:dyDescent="0.25">
      <c r="A1029" t="str">
        <f>HYPERLINK("https://www.773grp.com/globalSearch/MUN5312DW1T2G/page-1", "MUN5312DW1T2G")</f>
        <v>MUN5312DW1T2G</v>
      </c>
      <c r="B1029" s="3" t="str">
        <f>HYPERLINK("https://www.773grp.com/manufacturer/onsemi?pageNo=1028", "Onsemi")</f>
        <v>Onsemi</v>
      </c>
      <c r="C1029" s="6">
        <v>9000</v>
      </c>
      <c r="D1029" s="7">
        <v>0.28000000000000003</v>
      </c>
      <c r="E1029" t="s">
        <v>57</v>
      </c>
    </row>
    <row r="1030" spans="1:5" x14ac:dyDescent="0.25">
      <c r="A1030" t="str">
        <f>HYPERLINK("https://www.773grp.com/globalSearch/MUN5314DW1T1G/page-1", "MUN5314DW1T1G")</f>
        <v>MUN5314DW1T1G</v>
      </c>
      <c r="B1030" s="3" t="str">
        <f>HYPERLINK("https://www.773grp.com/manufacturer/onsemi?pageNo=1029", "Onsemi")</f>
        <v>Onsemi</v>
      </c>
      <c r="C1030" s="6">
        <v>20097</v>
      </c>
      <c r="D1030" s="7">
        <v>0.28000000000000003</v>
      </c>
      <c r="E1030" t="s">
        <v>57</v>
      </c>
    </row>
    <row r="1031" spans="1:5" x14ac:dyDescent="0.25">
      <c r="A1031" t="str">
        <f>HYPERLINK("https://www.773grp.com/globalSearch/MUN5315DW1T1G/page-1", "MUN5315DW1T1G")</f>
        <v>MUN5315DW1T1G</v>
      </c>
      <c r="B1031" s="3" t="str">
        <f>HYPERLINK("https://www.773grp.com/manufacturer/onsemi?pageNo=1030", "Onsemi")</f>
        <v>Onsemi</v>
      </c>
      <c r="C1031" s="6">
        <v>119990</v>
      </c>
      <c r="D1031" s="7">
        <v>0.28000000000000003</v>
      </c>
      <c r="E1031" t="s">
        <v>57</v>
      </c>
    </row>
    <row r="1032" spans="1:5" x14ac:dyDescent="0.25">
      <c r="A1032" t="str">
        <f>HYPERLINK("https://www.773grp.com/globalSearch/MUN5316DW1T1G/page-1", "MUN5316DW1T1G")</f>
        <v>MUN5316DW1T1G</v>
      </c>
      <c r="B1032" s="3" t="str">
        <f>HYPERLINK("https://www.773grp.com/manufacturer/onsemi?pageNo=1031", "Onsemi")</f>
        <v>Onsemi</v>
      </c>
      <c r="C1032" s="6">
        <v>746725</v>
      </c>
      <c r="D1032" s="7">
        <v>0.28000000000000003</v>
      </c>
      <c r="E1032" t="s">
        <v>57</v>
      </c>
    </row>
    <row r="1033" spans="1:5" x14ac:dyDescent="0.25">
      <c r="A1033" t="str">
        <f>HYPERLINK("https://www.773grp.com/globalSearch/MUN5330DW1T1G/page-1", "MUN5330DW1T1G")</f>
        <v>MUN5330DW1T1G</v>
      </c>
      <c r="B1033" s="3" t="str">
        <f>HYPERLINK("https://www.773grp.com/manufacturer/onsemi?pageNo=1032", "Onsemi")</f>
        <v>Onsemi</v>
      </c>
      <c r="C1033" s="6">
        <v>552000</v>
      </c>
      <c r="D1033" s="7">
        <v>0.28000000000000003</v>
      </c>
      <c r="E1033" t="s">
        <v>57</v>
      </c>
    </row>
    <row r="1034" spans="1:5" x14ac:dyDescent="0.25">
      <c r="A1034" t="str">
        <f>HYPERLINK("https://www.773grp.com/globalSearch/MUN5332DW1T1G/page-1", "MUN5332DW1T1G")</f>
        <v>MUN5332DW1T1G</v>
      </c>
      <c r="B1034" s="3" t="str">
        <f>HYPERLINK("https://www.773grp.com/manufacturer/onsemi?pageNo=1033", "Onsemi")</f>
        <v>Onsemi</v>
      </c>
      <c r="C1034" s="6">
        <v>21000</v>
      </c>
      <c r="D1034" s="7">
        <v>0.28000000000000003</v>
      </c>
      <c r="E1034" t="s">
        <v>57</v>
      </c>
    </row>
    <row r="1035" spans="1:5" x14ac:dyDescent="0.25">
      <c r="A1035" t="str">
        <f>HYPERLINK("https://www.773grp.com/globalSearch/MUN5335DW1T1G/page-1", "MUN5335DW1T1G")</f>
        <v>MUN5335DW1T1G</v>
      </c>
      <c r="B1035" s="3" t="str">
        <f>HYPERLINK("https://www.773grp.com/manufacturer/onsemi?pageNo=1034", "Onsemi")</f>
        <v>Onsemi</v>
      </c>
      <c r="C1035" s="6">
        <v>327879</v>
      </c>
      <c r="D1035" s="7">
        <v>0.28000000000000003</v>
      </c>
      <c r="E1035" t="s">
        <v>57</v>
      </c>
    </row>
    <row r="1036" spans="1:5" x14ac:dyDescent="0.25">
      <c r="A1036" t="str">
        <f>HYPERLINK("https://www.773grp.com/globalSearch/NL17SZ126DFT2/page-1", "NL17SZ126DFT2")</f>
        <v>NL17SZ126DFT2</v>
      </c>
      <c r="B1036" s="3" t="str">
        <f>HYPERLINK("https://www.773grp.com/manufacturer/onsemi?pageNo=1035", "Onsemi")</f>
        <v>Onsemi</v>
      </c>
      <c r="C1036" s="6">
        <v>329821</v>
      </c>
      <c r="D1036" s="7">
        <v>0.28000000000000003</v>
      </c>
      <c r="E1036" t="s">
        <v>11</v>
      </c>
    </row>
    <row r="1037" spans="1:5" x14ac:dyDescent="0.25">
      <c r="A1037" t="str">
        <f>HYPERLINK("https://www.773grp.com/globalSearch/NLAS4599DFT2/page-1", "NLAS4599DFT2")</f>
        <v>NLAS4599DFT2</v>
      </c>
      <c r="B1037" s="3" t="str">
        <f>HYPERLINK("https://www.773grp.com/manufacturer/onsemi?pageNo=1036", "Onsemi")</f>
        <v>Onsemi</v>
      </c>
      <c r="C1037" s="6">
        <v>2538892</v>
      </c>
      <c r="D1037" s="7">
        <v>0.28000000000000003</v>
      </c>
      <c r="E1037" t="s">
        <v>46</v>
      </c>
    </row>
    <row r="1038" spans="1:5" x14ac:dyDescent="0.25">
      <c r="A1038" t="str">
        <f>HYPERLINK("https://www.773grp.com/globalSearch/NLVHC1G66MUR2G/page-1", "NLVHC1G66MUR2G")</f>
        <v>NLVHC1G66MUR2G</v>
      </c>
      <c r="B1038" s="3" t="str">
        <f>HYPERLINK("https://www.773grp.com/manufacturer/onsemi?pageNo=1037", "Onsemi")</f>
        <v>Onsemi</v>
      </c>
      <c r="C1038" s="6">
        <v>87000</v>
      </c>
      <c r="D1038" s="7">
        <v>0.28000000000000003</v>
      </c>
      <c r="E1038" t="s">
        <v>46</v>
      </c>
    </row>
    <row r="1039" spans="1:5" x14ac:dyDescent="0.25">
      <c r="A1039" t="str">
        <f>HYPERLINK("https://www.773grp.com/globalSearch/NSBA114EDXV6T1/page-1", "NSBA114EDXV6T1")</f>
        <v>NSBA114EDXV6T1</v>
      </c>
      <c r="B1039" s="3" t="str">
        <f>HYPERLINK("https://www.773grp.com/manufacturer/onsemi?pageNo=1038", "Onsemi")</f>
        <v>Onsemi</v>
      </c>
      <c r="C1039" s="6">
        <v>24000</v>
      </c>
      <c r="D1039" s="7">
        <v>0.28000000000000003</v>
      </c>
      <c r="E1039" t="s">
        <v>57</v>
      </c>
    </row>
    <row r="1040" spans="1:5" x14ac:dyDescent="0.25">
      <c r="A1040" t="str">
        <f>HYPERLINK("https://www.773grp.com/globalSearch/NSBC114EDXV6T5/page-1", "NSBC114EDXV6T5")</f>
        <v>NSBC114EDXV6T5</v>
      </c>
      <c r="B1040" s="3" t="str">
        <f>HYPERLINK("https://www.773grp.com/manufacturer/onsemi?pageNo=1039", "Onsemi")</f>
        <v>Onsemi</v>
      </c>
      <c r="C1040" s="6">
        <v>896000</v>
      </c>
      <c r="D1040" s="7">
        <v>0.28000000000000003</v>
      </c>
      <c r="E1040" t="s">
        <v>57</v>
      </c>
    </row>
    <row r="1041" spans="1:5" x14ac:dyDescent="0.25">
      <c r="A1041" t="str">
        <f>HYPERLINK("https://www.773grp.com/globalSearch/NSBC114EPDXV6T5/page-1", "NSBC114EPDXV6T5")</f>
        <v>NSBC114EPDXV6T5</v>
      </c>
      <c r="B1041" s="3" t="str">
        <f>HYPERLINK("https://www.773grp.com/manufacturer/onsemi?pageNo=1040", "Onsemi")</f>
        <v>Onsemi</v>
      </c>
      <c r="C1041" s="6">
        <v>712000</v>
      </c>
      <c r="D1041" s="7">
        <v>0.28000000000000003</v>
      </c>
      <c r="E1041" t="s">
        <v>57</v>
      </c>
    </row>
    <row r="1042" spans="1:5" x14ac:dyDescent="0.25">
      <c r="A1042" t="str">
        <f>HYPERLINK("https://www.773grp.com/globalSearch/NSBC114YDXV6T1/page-1", "NSBC114YDXV6T1")</f>
        <v>NSBC114YDXV6T1</v>
      </c>
      <c r="B1042" s="3" t="str">
        <f>HYPERLINK("https://www.773grp.com/manufacturer/onsemi?pageNo=1041", "Onsemi")</f>
        <v>Onsemi</v>
      </c>
      <c r="C1042" s="6">
        <v>23960</v>
      </c>
      <c r="D1042" s="7">
        <v>0.28000000000000003</v>
      </c>
      <c r="E1042" t="s">
        <v>57</v>
      </c>
    </row>
    <row r="1043" spans="1:5" x14ac:dyDescent="0.25">
      <c r="A1043" t="str">
        <f>HYPERLINK("https://www.773grp.com/globalSearch/NSBC114YPDXV6T5/page-1", "NSBC114YPDXV6T5")</f>
        <v>NSBC114YPDXV6T5</v>
      </c>
      <c r="B1043" s="3" t="str">
        <f>HYPERLINK("https://www.773grp.com/manufacturer/onsemi?pageNo=1042", "Onsemi")</f>
        <v>Onsemi</v>
      </c>
      <c r="C1043" s="6">
        <v>200000</v>
      </c>
      <c r="D1043" s="7">
        <v>0.28000000000000003</v>
      </c>
      <c r="E1043" t="s">
        <v>57</v>
      </c>
    </row>
    <row r="1044" spans="1:5" x14ac:dyDescent="0.25">
      <c r="A1044" t="str">
        <f>HYPERLINK("https://www.773grp.com/globalSearch/NSBC123JDXV6T5/page-1", "NSBC123JDXV6T5")</f>
        <v>NSBC123JDXV6T5</v>
      </c>
      <c r="B1044" s="3" t="str">
        <f>HYPERLINK("https://www.773grp.com/manufacturer/onsemi?pageNo=1043", "Onsemi")</f>
        <v>Onsemi</v>
      </c>
      <c r="C1044" s="6">
        <v>183831</v>
      </c>
      <c r="D1044" s="7">
        <v>0.28000000000000003</v>
      </c>
      <c r="E1044" t="s">
        <v>57</v>
      </c>
    </row>
    <row r="1045" spans="1:5" x14ac:dyDescent="0.25">
      <c r="A1045" t="str">
        <f>HYPERLINK("https://www.773grp.com/globalSearch/NSBC124EDXV6T5/page-1", "NSBC124EDXV6T5")</f>
        <v>NSBC124EDXV6T5</v>
      </c>
      <c r="B1045" s="3" t="str">
        <f>HYPERLINK("https://www.773grp.com/manufacturer/onsemi?pageNo=1044", "Onsemi")</f>
        <v>Onsemi</v>
      </c>
      <c r="C1045" s="6">
        <v>24000</v>
      </c>
      <c r="D1045" s="7">
        <v>0.28000000000000003</v>
      </c>
      <c r="E1045" t="s">
        <v>57</v>
      </c>
    </row>
    <row r="1046" spans="1:5" x14ac:dyDescent="0.25">
      <c r="A1046" t="str">
        <f>HYPERLINK("https://www.773grp.com/globalSearch/NSBC124EPDXV6T5/page-1", "NSBC124EPDXV6T5")</f>
        <v>NSBC124EPDXV6T5</v>
      </c>
      <c r="B1046" s="3" t="str">
        <f>HYPERLINK("https://www.773grp.com/manufacturer/onsemi?pageNo=1045", "Onsemi")</f>
        <v>Onsemi</v>
      </c>
      <c r="C1046" s="6">
        <v>976000</v>
      </c>
      <c r="D1046" s="7">
        <v>0.28000000000000003</v>
      </c>
      <c r="E1046" t="s">
        <v>57</v>
      </c>
    </row>
    <row r="1047" spans="1:5" x14ac:dyDescent="0.25">
      <c r="A1047" t="str">
        <f>HYPERLINK("https://www.773grp.com/globalSearch/NSBC143TPDXV6T1/page-1", "NSBC143TPDXV6T1")</f>
        <v>NSBC143TPDXV6T1</v>
      </c>
      <c r="B1047" s="3" t="str">
        <f>HYPERLINK("https://www.773grp.com/manufacturer/onsemi?pageNo=1046", "Onsemi")</f>
        <v>Onsemi</v>
      </c>
      <c r="C1047" s="6">
        <v>620000</v>
      </c>
      <c r="D1047" s="7">
        <v>0.28000000000000003</v>
      </c>
      <c r="E1047" t="s">
        <v>57</v>
      </c>
    </row>
    <row r="1048" spans="1:5" x14ac:dyDescent="0.25">
      <c r="A1048" t="str">
        <f>HYPERLINK("https://www.773grp.com/globalSearch/NSBC143ZPDXV6T1/page-1", "NSBC143ZPDXV6T1")</f>
        <v>NSBC143ZPDXV6T1</v>
      </c>
      <c r="B1048" s="3" t="str">
        <f>HYPERLINK("https://www.773grp.com/manufacturer/onsemi?pageNo=1047", "Onsemi")</f>
        <v>Onsemi</v>
      </c>
      <c r="C1048" s="6">
        <v>92000</v>
      </c>
      <c r="D1048" s="7">
        <v>0.28000000000000003</v>
      </c>
      <c r="E1048" t="s">
        <v>57</v>
      </c>
    </row>
    <row r="1049" spans="1:5" x14ac:dyDescent="0.25">
      <c r="A1049" t="str">
        <f>HYPERLINK("https://www.773grp.com/globalSearch/NSBC144EDXV6T1/page-1", "NSBC144EDXV6T1")</f>
        <v>NSBC144EDXV6T1</v>
      </c>
      <c r="B1049" s="3" t="str">
        <f>HYPERLINK("https://www.773grp.com/manufacturer/onsemi?pageNo=1048", "Onsemi")</f>
        <v>Onsemi</v>
      </c>
      <c r="C1049" s="6">
        <v>268000</v>
      </c>
      <c r="D1049" s="7">
        <v>0.28000000000000003</v>
      </c>
      <c r="E1049" t="s">
        <v>57</v>
      </c>
    </row>
    <row r="1050" spans="1:5" x14ac:dyDescent="0.25">
      <c r="A1050" t="str">
        <f>HYPERLINK("https://www.773grp.com/globalSearch/NSR01F30NXT5G/page-1", "NSR01F30NXT5G")</f>
        <v>NSR01F30NXT5G</v>
      </c>
      <c r="B1050" s="3" t="str">
        <f>HYPERLINK("https://www.773grp.com/manufacturer/onsemi?pageNo=1049", "Onsemi")</f>
        <v>Onsemi</v>
      </c>
      <c r="C1050" s="6">
        <v>5000</v>
      </c>
      <c r="D1050" s="7">
        <v>0.28000000000000003</v>
      </c>
    </row>
    <row r="1051" spans="1:5" x14ac:dyDescent="0.25">
      <c r="A1051" t="str">
        <f>HYPERLINK("https://www.773grp.com/globalSearch/NSR01L30NXT5G/page-1", "NSR01L30NXT5G")</f>
        <v>NSR01L30NXT5G</v>
      </c>
      <c r="B1051" s="3" t="str">
        <f>HYPERLINK("https://www.773grp.com/manufacturer/onsemi?pageNo=1050", "Onsemi")</f>
        <v>Onsemi</v>
      </c>
      <c r="C1051" s="6">
        <v>85000</v>
      </c>
      <c r="D1051" s="7">
        <v>0.28000000000000003</v>
      </c>
      <c r="E1051" t="s">
        <v>73</v>
      </c>
    </row>
    <row r="1052" spans="1:5" x14ac:dyDescent="0.25">
      <c r="A1052" t="str">
        <f>HYPERLINK("https://www.773grp.com/globalSearch/NSR0230M2T5G/page-1", "NSR0230M2T5G")</f>
        <v>NSR0230M2T5G</v>
      </c>
      <c r="B1052" s="3" t="str">
        <f>HYPERLINK("https://www.773grp.com/manufacturer/onsemi?pageNo=1051", "Onsemi")</f>
        <v>Onsemi</v>
      </c>
      <c r="C1052" s="6">
        <v>1183370</v>
      </c>
      <c r="D1052" s="7">
        <v>0.28000000000000003</v>
      </c>
      <c r="E1052" t="s">
        <v>73</v>
      </c>
    </row>
    <row r="1053" spans="1:5" x14ac:dyDescent="0.25">
      <c r="A1053" t="str">
        <f>HYPERLINK("https://www.773grp.com/globalSearch/NSSB1001LT1/page-1", "NSSB1001LT1")</f>
        <v>NSSB1001LT1</v>
      </c>
      <c r="B1053" s="3" t="str">
        <f>HYPERLINK("https://www.773grp.com/manufacturer/onsemi?pageNo=1052", "Onsemi")</f>
        <v>Onsemi</v>
      </c>
      <c r="C1053" s="6">
        <v>408000</v>
      </c>
      <c r="D1053" s="7">
        <v>0.28000000000000003</v>
      </c>
    </row>
    <row r="1054" spans="1:5" x14ac:dyDescent="0.25">
      <c r="A1054" t="str">
        <f>HYPERLINK("https://www.773grp.com/globalSearch/NSVR0240V2T1G/page-1", "NSVR0240V2T1G")</f>
        <v>NSVR0240V2T1G</v>
      </c>
      <c r="B1054" s="3" t="str">
        <f>HYPERLINK("https://www.773grp.com/manufacturer/onsemi?pageNo=1053", "Onsemi")</f>
        <v>Onsemi</v>
      </c>
      <c r="C1054" s="6">
        <v>177000</v>
      </c>
      <c r="D1054" s="7">
        <v>0.28000000000000003</v>
      </c>
    </row>
    <row r="1055" spans="1:5" x14ac:dyDescent="0.25">
      <c r="A1055" t="str">
        <f>HYPERLINK("https://www.773grp.com/globalSearch/NTA4151PT1G/page-1", "NTA4151PT1G")</f>
        <v>NTA4151PT1G</v>
      </c>
      <c r="B1055" s="3" t="str">
        <f>HYPERLINK("https://www.773grp.com/manufacturer/onsemi?pageNo=1054", "Onsemi")</f>
        <v>Onsemi</v>
      </c>
      <c r="C1055" s="6">
        <v>199000</v>
      </c>
      <c r="D1055" s="7">
        <v>0.28000000000000003</v>
      </c>
      <c r="E1055" t="s">
        <v>85</v>
      </c>
    </row>
    <row r="1056" spans="1:5" x14ac:dyDescent="0.25">
      <c r="A1056" t="str">
        <f>HYPERLINK("https://www.773grp.com/globalSearch/NTA4151PT1H/page-1", "NTA4151PT1H")</f>
        <v>NTA4151PT1H</v>
      </c>
      <c r="B1056" s="3" t="str">
        <f>HYPERLINK("https://www.773grp.com/manufacturer/onsemi?pageNo=1055", "Onsemi")</f>
        <v>Onsemi</v>
      </c>
      <c r="C1056" s="6">
        <v>54000</v>
      </c>
      <c r="D1056" s="7">
        <v>0.28000000000000003</v>
      </c>
    </row>
    <row r="1057" spans="1:5" x14ac:dyDescent="0.25">
      <c r="A1057" t="str">
        <f>HYPERLINK("https://www.773grp.com/globalSearch/NTJD4001NT2G/page-1", "NTJD4001NT2G")</f>
        <v>NTJD4001NT2G</v>
      </c>
      <c r="B1057" s="3" t="str">
        <f>HYPERLINK("https://www.773grp.com/manufacturer/onsemi?pageNo=1056", "Onsemi")</f>
        <v>Onsemi</v>
      </c>
      <c r="C1057" s="6">
        <v>135000</v>
      </c>
      <c r="D1057" s="7">
        <v>0.28000000000000003</v>
      </c>
    </row>
    <row r="1058" spans="1:5" x14ac:dyDescent="0.25">
      <c r="A1058" t="str">
        <f>HYPERLINK("https://www.773grp.com/globalSearch/NTJS4405NT1/page-1", "NTJS4405NT1")</f>
        <v>NTJS4405NT1</v>
      </c>
      <c r="B1058" s="3" t="str">
        <f>HYPERLINK("https://www.773grp.com/manufacturer/onsemi?pageNo=1057", "Onsemi")</f>
        <v>Onsemi</v>
      </c>
      <c r="C1058" s="6">
        <v>2896</v>
      </c>
      <c r="D1058" s="7">
        <v>0.28000000000000003</v>
      </c>
      <c r="E1058" t="s">
        <v>85</v>
      </c>
    </row>
    <row r="1059" spans="1:5" x14ac:dyDescent="0.25">
      <c r="A1059" t="str">
        <f>HYPERLINK("https://www.773grp.com/globalSearch/NTJS4405NT1G/page-1", "NTJS4405NT1G")</f>
        <v>NTJS4405NT1G</v>
      </c>
      <c r="B1059" s="3" t="str">
        <f>HYPERLINK("https://www.773grp.com/manufacturer/onsemi?pageNo=1058", "Onsemi")</f>
        <v>Onsemi</v>
      </c>
      <c r="C1059" s="6">
        <v>530950</v>
      </c>
      <c r="D1059" s="7">
        <v>0.28000000000000003</v>
      </c>
      <c r="E1059" t="s">
        <v>85</v>
      </c>
    </row>
    <row r="1060" spans="1:5" x14ac:dyDescent="0.25">
      <c r="A1060" t="str">
        <f>HYPERLINK("https://www.773grp.com/globalSearch/NTR4503NT1/page-1", "NTR4503NT1")</f>
        <v>NTR4503NT1</v>
      </c>
      <c r="B1060" s="3" t="str">
        <f>HYPERLINK("https://www.773grp.com/manufacturer/onsemi?pageNo=1059", "Onsemi")</f>
        <v>Onsemi</v>
      </c>
      <c r="C1060" s="6">
        <v>4</v>
      </c>
      <c r="D1060" s="7">
        <v>0.28000000000000003</v>
      </c>
      <c r="E1060" t="s">
        <v>85</v>
      </c>
    </row>
    <row r="1061" spans="1:5" x14ac:dyDescent="0.25">
      <c r="A1061" t="str">
        <f>HYPERLINK("https://www.773grp.com/globalSearch/NTS4101PT1/page-1", "NTS4101PT1")</f>
        <v>NTS4101PT1</v>
      </c>
      <c r="B1061" s="3" t="str">
        <f>HYPERLINK("https://www.773grp.com/manufacturer/onsemi?pageNo=1060", "Onsemi")</f>
        <v>Onsemi</v>
      </c>
      <c r="C1061" s="6">
        <v>9000</v>
      </c>
      <c r="D1061" s="7">
        <v>0.28000000000000003</v>
      </c>
      <c r="E1061" t="s">
        <v>85</v>
      </c>
    </row>
    <row r="1062" spans="1:5" x14ac:dyDescent="0.25">
      <c r="A1062" t="str">
        <f>HYPERLINK("https://www.773grp.com/globalSearch/NTZD5110NT1G/page-1", "NTZD5110NT1G")</f>
        <v>NTZD5110NT1G</v>
      </c>
      <c r="B1062" s="3" t="str">
        <f>HYPERLINK("https://www.773grp.com/manufacturer/onsemi?pageNo=1061", "Onsemi")</f>
        <v>Onsemi</v>
      </c>
      <c r="C1062" s="6">
        <v>324000</v>
      </c>
      <c r="D1062" s="7">
        <v>0.28000000000000003</v>
      </c>
      <c r="E1062" t="s">
        <v>85</v>
      </c>
    </row>
    <row r="1063" spans="1:5" x14ac:dyDescent="0.25">
      <c r="A1063" t="str">
        <f>HYPERLINK("https://www.773grp.com/globalSearch/NUP4104X6T1/page-1", "NUP4104X6T1")</f>
        <v>NUP4104X6T1</v>
      </c>
      <c r="B1063" s="3" t="str">
        <f>HYPERLINK("https://www.773grp.com/manufacturer/onsemi?pageNo=1062", "Onsemi")</f>
        <v>Onsemi</v>
      </c>
      <c r="C1063" s="6">
        <v>44000</v>
      </c>
      <c r="D1063" s="7">
        <v>0.28000000000000003</v>
      </c>
      <c r="E1063" t="s">
        <v>75</v>
      </c>
    </row>
    <row r="1064" spans="1:5" x14ac:dyDescent="0.25">
      <c r="A1064" t="str">
        <f>HYPERLINK("https://www.773grp.com/globalSearch/NZQA6V8AXV5T1G/page-1", "NZQA6V8AXV5T1G")</f>
        <v>NZQA6V8AXV5T1G</v>
      </c>
      <c r="B1064" s="3" t="str">
        <f>HYPERLINK("https://www.773grp.com/manufacturer/onsemi?pageNo=1063", "Onsemi")</f>
        <v>Onsemi</v>
      </c>
      <c r="C1064" s="6">
        <v>271032</v>
      </c>
      <c r="D1064" s="7">
        <v>0.28000000000000003</v>
      </c>
      <c r="E1064" t="s">
        <v>75</v>
      </c>
    </row>
    <row r="1065" spans="1:5" x14ac:dyDescent="0.25">
      <c r="A1065" t="str">
        <f>HYPERLINK("https://www.773grp.com/globalSearch/NZQA6V8AXV5T2G/page-1", "NZQA6V8AXV5T2G")</f>
        <v>NZQA6V8AXV5T2G</v>
      </c>
      <c r="B1065" s="3" t="str">
        <f>HYPERLINK("https://www.773grp.com/manufacturer/onsemi?pageNo=1064", "Onsemi")</f>
        <v>Onsemi</v>
      </c>
      <c r="C1065" s="6">
        <v>980000</v>
      </c>
      <c r="D1065" s="7">
        <v>0.28000000000000003</v>
      </c>
    </row>
    <row r="1066" spans="1:5" x14ac:dyDescent="0.25">
      <c r="A1066" t="str">
        <f>HYPERLINK("https://www.773grp.com/globalSearch/NZQA6V8AXV5T3G/page-1", "NZQA6V8AXV5T3G")</f>
        <v>NZQA6V8AXV5T3G</v>
      </c>
      <c r="B1066" s="3" t="str">
        <f>HYPERLINK("https://www.773grp.com/manufacturer/onsemi?pageNo=1065", "Onsemi")</f>
        <v>Onsemi</v>
      </c>
      <c r="C1066" s="6">
        <v>3823575</v>
      </c>
      <c r="D1066" s="7">
        <v>0.28000000000000003</v>
      </c>
      <c r="E1066" t="s">
        <v>75</v>
      </c>
    </row>
    <row r="1067" spans="1:5" x14ac:dyDescent="0.25">
      <c r="A1067" t="str">
        <f>HYPERLINK("https://www.773grp.com/globalSearch/SBAS40-06LT1/page-1", "SBAS40-06LT1")</f>
        <v>SBAS40-06LT1</v>
      </c>
      <c r="B1067" s="3" t="str">
        <f>HYPERLINK("https://www.773grp.com/manufacturer/onsemi?pageNo=1066", "Onsemi")</f>
        <v>Onsemi</v>
      </c>
      <c r="C1067" s="6">
        <v>36000</v>
      </c>
      <c r="D1067" s="7">
        <v>0.28000000000000003</v>
      </c>
    </row>
    <row r="1068" spans="1:5" x14ac:dyDescent="0.25">
      <c r="A1068" t="str">
        <f>HYPERLINK("https://www.773grp.com/globalSearch/SBAT54ALT1/page-1", "SBAT54ALT1")</f>
        <v>SBAT54ALT1</v>
      </c>
      <c r="B1068" s="3" t="str">
        <f>HYPERLINK("https://www.773grp.com/manufacturer/onsemi?pageNo=1067", "Onsemi")</f>
        <v>Onsemi</v>
      </c>
      <c r="C1068" s="6">
        <v>27000</v>
      </c>
      <c r="D1068" s="7">
        <v>0.28000000000000003</v>
      </c>
    </row>
    <row r="1069" spans="1:5" x14ac:dyDescent="0.25">
      <c r="A1069" t="str">
        <f>HYPERLINK("https://www.773grp.com/globalSearch/SBAT54XV2T1G/page-1", "SBAT54XV2T1G")</f>
        <v>SBAT54XV2T1G</v>
      </c>
      <c r="B1069" s="3" t="str">
        <f>HYPERLINK("https://www.773grp.com/manufacturer/onsemi?pageNo=1068", "Onsemi")</f>
        <v>Onsemi</v>
      </c>
      <c r="C1069" s="6">
        <v>33000</v>
      </c>
      <c r="D1069" s="7">
        <v>0.28000000000000003</v>
      </c>
    </row>
    <row r="1070" spans="1:5" x14ac:dyDescent="0.25">
      <c r="A1070" t="str">
        <f>HYPERLINK("https://www.773grp.com/globalSearch/SBAV199LT1G/page-1", "SBAV199LT1G")</f>
        <v>SBAV199LT1G</v>
      </c>
      <c r="B1070" s="3" t="str">
        <f>HYPERLINK("https://www.773grp.com/manufacturer/onsemi?pageNo=1069", "Onsemi")</f>
        <v>Onsemi</v>
      </c>
      <c r="C1070" s="6">
        <v>3000</v>
      </c>
      <c r="D1070" s="7">
        <v>0.28000000000000003</v>
      </c>
    </row>
    <row r="1071" spans="1:5" x14ac:dyDescent="0.25">
      <c r="A1071" t="str">
        <f>HYPERLINK("https://www.773grp.com/globalSearch/SBRA301LT3/page-1", "SBRA301LT3")</f>
        <v>SBRA301LT3</v>
      </c>
      <c r="B1071" s="3" t="str">
        <f>HYPERLINK("https://www.773grp.com/manufacturer/onsemi?pageNo=1070", "Onsemi")</f>
        <v>Onsemi</v>
      </c>
      <c r="C1071" s="6">
        <v>35000</v>
      </c>
      <c r="D1071" s="7">
        <v>0.28000000000000003</v>
      </c>
    </row>
    <row r="1072" spans="1:5" x14ac:dyDescent="0.25">
      <c r="A1072" t="str">
        <f>HYPERLINK("https://www.773grp.com/globalSearch/SBRB106CTT4/page-1", "SBRB106CTT4")</f>
        <v>SBRB106CTT4</v>
      </c>
      <c r="B1072" s="3" t="str">
        <f>HYPERLINK("https://www.773grp.com/manufacturer/onsemi?pageNo=1071", "Onsemi")</f>
        <v>Onsemi</v>
      </c>
      <c r="C1072" s="6">
        <v>64800</v>
      </c>
      <c r="D1072" s="7">
        <v>0.28000000000000003</v>
      </c>
    </row>
    <row r="1073" spans="1:5" x14ac:dyDescent="0.25">
      <c r="A1073" t="str">
        <f>HYPERLINK("https://www.773grp.com/globalSearch/SC27975PK74/page-1", "SC27975PK74")</f>
        <v>SC27975PK74</v>
      </c>
      <c r="B1073" s="3" t="str">
        <f>HYPERLINK("https://www.773grp.com/manufacturer/onsemi?pageNo=1072", "Onsemi")</f>
        <v>Onsemi</v>
      </c>
      <c r="C1073" s="6">
        <v>25</v>
      </c>
      <c r="D1073" s="7">
        <v>0.28000000000000003</v>
      </c>
    </row>
    <row r="1074" spans="1:5" x14ac:dyDescent="0.25">
      <c r="A1074" t="str">
        <f>HYPERLINK("https://www.773grp.com/globalSearch/SD05T1G/page-1", "SD05T1G")</f>
        <v>SD05T1G</v>
      </c>
      <c r="B1074" s="3" t="str">
        <f>HYPERLINK("https://www.773grp.com/manufacturer/onsemi?pageNo=1073", "Onsemi")</f>
        <v>Onsemi</v>
      </c>
      <c r="C1074" s="6">
        <v>48000</v>
      </c>
      <c r="D1074" s="7">
        <v>0.28000000000000003</v>
      </c>
      <c r="E1074" t="s">
        <v>75</v>
      </c>
    </row>
    <row r="1075" spans="1:5" x14ac:dyDescent="0.25">
      <c r="A1075" t="str">
        <f>HYPERLINK("https://www.773grp.com/globalSearch/SD12T1G/page-1", "SD12T1G")</f>
        <v>SD12T1G</v>
      </c>
      <c r="B1075" s="3" t="str">
        <f>HYPERLINK("https://www.773grp.com/manufacturer/onsemi?pageNo=1074", "Onsemi")</f>
        <v>Onsemi</v>
      </c>
      <c r="C1075" s="6">
        <v>35950</v>
      </c>
      <c r="D1075" s="7">
        <v>0.28000000000000003</v>
      </c>
      <c r="E1075" t="s">
        <v>75</v>
      </c>
    </row>
    <row r="1076" spans="1:5" x14ac:dyDescent="0.25">
      <c r="A1076" t="str">
        <f>HYPERLINK("https://www.773grp.com/globalSearch/SL05T1/page-1", "SL05T1")</f>
        <v>SL05T1</v>
      </c>
      <c r="B1076" s="3" t="str">
        <f>HYPERLINK("https://www.773grp.com/manufacturer/onsemi?pageNo=1075", "Onsemi")</f>
        <v>Onsemi</v>
      </c>
      <c r="C1076" s="6">
        <v>1832</v>
      </c>
      <c r="D1076" s="7">
        <v>0.28000000000000003</v>
      </c>
      <c r="E1076" t="s">
        <v>75</v>
      </c>
    </row>
    <row r="1077" spans="1:5" x14ac:dyDescent="0.25">
      <c r="A1077" t="str">
        <f>HYPERLINK("https://www.773grp.com/globalSearch/SL15T1/page-1", "SL15T1")</f>
        <v>SL15T1</v>
      </c>
      <c r="B1077" s="3" t="str">
        <f>HYPERLINK("https://www.773grp.com/manufacturer/onsemi?pageNo=1076", "Onsemi")</f>
        <v>Onsemi</v>
      </c>
      <c r="C1077" s="6">
        <v>9000</v>
      </c>
      <c r="D1077" s="7">
        <v>0.28000000000000003</v>
      </c>
      <c r="E1077" t="s">
        <v>75</v>
      </c>
    </row>
    <row r="1078" spans="1:5" x14ac:dyDescent="0.25">
      <c r="A1078" t="str">
        <f>HYPERLINK("https://www.773grp.com/globalSearch/SMBT1553LT1/page-1", "SMBT1553LT1")</f>
        <v>SMBT1553LT1</v>
      </c>
      <c r="B1078" s="3" t="str">
        <f>HYPERLINK("https://www.773grp.com/manufacturer/onsemi?pageNo=1077", "Onsemi")</f>
        <v>Onsemi</v>
      </c>
      <c r="C1078" s="6">
        <v>30000</v>
      </c>
      <c r="D1078" s="7">
        <v>0.28000000000000003</v>
      </c>
    </row>
    <row r="1079" spans="1:5" x14ac:dyDescent="0.25">
      <c r="A1079" t="str">
        <f>HYPERLINK("https://www.773grp.com/globalSearch/SMBT1565LT1/page-1", "SMBT1565LT1")</f>
        <v>SMBT1565LT1</v>
      </c>
      <c r="B1079" s="3" t="str">
        <f>HYPERLINK("https://www.773grp.com/manufacturer/onsemi?pageNo=1078", "Onsemi")</f>
        <v>Onsemi</v>
      </c>
      <c r="C1079" s="6">
        <v>39000</v>
      </c>
      <c r="D1079" s="7">
        <v>0.28000000000000003</v>
      </c>
    </row>
    <row r="1080" spans="1:5" x14ac:dyDescent="0.25">
      <c r="A1080" t="str">
        <f>HYPERLINK("https://www.773grp.com/globalSearch/SMF18AT1/page-1", "SMF18AT1")</f>
        <v>SMF18AT1</v>
      </c>
      <c r="B1080" s="3" t="str">
        <f>HYPERLINK("https://www.773grp.com/manufacturer/onsemi?pageNo=1079", "Onsemi")</f>
        <v>Onsemi</v>
      </c>
      <c r="C1080" s="6">
        <v>5102</v>
      </c>
      <c r="D1080" s="7">
        <v>0.28000000000000003</v>
      </c>
      <c r="E1080" t="s">
        <v>75</v>
      </c>
    </row>
    <row r="1081" spans="1:5" x14ac:dyDescent="0.25">
      <c r="A1081" t="str">
        <f>HYPERLINK("https://www.773grp.com/globalSearch/SMF6.5AT1/page-1", "SMF6.5AT1")</f>
        <v>SMF6.5AT1</v>
      </c>
      <c r="B1081" s="3" t="str">
        <f>HYPERLINK("https://www.773grp.com/manufacturer/onsemi?pageNo=1080", "Onsemi")</f>
        <v>Onsemi</v>
      </c>
      <c r="C1081" s="6">
        <v>14930</v>
      </c>
      <c r="D1081" s="7">
        <v>0.28000000000000003</v>
      </c>
      <c r="E1081" t="s">
        <v>75</v>
      </c>
    </row>
    <row r="1082" spans="1:5" x14ac:dyDescent="0.25">
      <c r="A1082" t="str">
        <f>HYPERLINK("https://www.773grp.com/globalSearch/SMF70AT1/page-1", "SMF70AT1")</f>
        <v>SMF70AT1</v>
      </c>
      <c r="B1082" s="3" t="str">
        <f>HYPERLINK("https://www.773grp.com/manufacturer/onsemi?pageNo=1081", "Onsemi")</f>
        <v>Onsemi</v>
      </c>
      <c r="C1082" s="6">
        <v>3000</v>
      </c>
      <c r="D1082" s="7">
        <v>0.28000000000000003</v>
      </c>
      <c r="E1082" t="s">
        <v>75</v>
      </c>
    </row>
    <row r="1083" spans="1:5" x14ac:dyDescent="0.25">
      <c r="A1083" t="str">
        <f>HYPERLINK("https://www.773grp.com/globalSearch/SMMBT6517LT1/page-1", "SMMBT6517LT1")</f>
        <v>SMMBT6517LT1</v>
      </c>
      <c r="B1083" s="3" t="str">
        <f>HYPERLINK("https://www.773grp.com/manufacturer/onsemi?pageNo=1082", "Onsemi")</f>
        <v>Onsemi</v>
      </c>
      <c r="C1083" s="6">
        <v>3000</v>
      </c>
      <c r="D1083" s="7">
        <v>0.28000000000000003</v>
      </c>
    </row>
    <row r="1084" spans="1:5" x14ac:dyDescent="0.25">
      <c r="A1084" t="str">
        <f>HYPERLINK("https://www.773grp.com/globalSearch/SMMBT6520LT1/page-1", "SMMBT6520LT1")</f>
        <v>SMMBT6520LT1</v>
      </c>
      <c r="B1084" s="3" t="str">
        <f>HYPERLINK("https://www.773grp.com/manufacturer/onsemi?pageNo=1083", "Onsemi")</f>
        <v>Onsemi</v>
      </c>
      <c r="C1084" s="6">
        <v>6000</v>
      </c>
      <c r="D1084" s="7">
        <v>0.28000000000000003</v>
      </c>
    </row>
    <row r="1085" spans="1:5" x14ac:dyDescent="0.25">
      <c r="A1085" t="str">
        <f>HYPERLINK("https://www.773grp.com/globalSearch/SMMDL914T1G/page-1", "SMMDL914T1G")</f>
        <v>SMMDL914T1G</v>
      </c>
      <c r="B1085" s="3" t="str">
        <f>HYPERLINK("https://www.773grp.com/manufacturer/onsemi?pageNo=1084", "Onsemi")</f>
        <v>Onsemi</v>
      </c>
      <c r="C1085" s="6">
        <v>126000</v>
      </c>
      <c r="D1085" s="7">
        <v>0.28000000000000003</v>
      </c>
    </row>
    <row r="1086" spans="1:5" x14ac:dyDescent="0.25">
      <c r="A1086" t="str">
        <f>HYPERLINK("https://www.773grp.com/globalSearch/SPS9370/page-1", "SPS9370")</f>
        <v>SPS9370</v>
      </c>
      <c r="B1086" s="3" t="str">
        <f>HYPERLINK("https://www.773grp.com/manufacturer/onsemi?pageNo=1085", "Onsemi")</f>
        <v>Onsemi</v>
      </c>
      <c r="C1086" s="6">
        <v>165000</v>
      </c>
      <c r="D1086" s="7">
        <v>0.28000000000000003</v>
      </c>
    </row>
    <row r="1087" spans="1:5" x14ac:dyDescent="0.25">
      <c r="A1087" t="str">
        <f>HYPERLINK("https://www.773grp.com/globalSearch/SURS5650T3/page-1", "SURS5650T3")</f>
        <v>SURS5650T3</v>
      </c>
      <c r="B1087" s="3" t="str">
        <f>HYPERLINK("https://www.773grp.com/manufacturer/onsemi?pageNo=1086", "Onsemi")</f>
        <v>Onsemi</v>
      </c>
      <c r="C1087" s="6">
        <v>12500</v>
      </c>
      <c r="D1087" s="7">
        <v>0.28000000000000003</v>
      </c>
    </row>
    <row r="1088" spans="1:5" x14ac:dyDescent="0.25">
      <c r="A1088" t="str">
        <f>HYPERLINK("https://www.773grp.com/globalSearch/SURS5667T3/page-1", "SURS5667T3")</f>
        <v>SURS5667T3</v>
      </c>
      <c r="B1088" s="3" t="str">
        <f>HYPERLINK("https://www.773grp.com/manufacturer/onsemi?pageNo=1087", "Onsemi")</f>
        <v>Onsemi</v>
      </c>
      <c r="C1088" s="6">
        <v>5000</v>
      </c>
      <c r="D1088" s="7">
        <v>0.28000000000000003</v>
      </c>
    </row>
    <row r="1089" spans="1:5" x14ac:dyDescent="0.25">
      <c r="A1089" t="str">
        <f>HYPERLINK("https://www.773grp.com/globalSearch/SZMM5Z16VT1G/page-1", "SZMM5Z16VT1G")</f>
        <v>SZMM5Z16VT1G</v>
      </c>
      <c r="B1089" s="3" t="str">
        <f>HYPERLINK("https://www.773grp.com/manufacturer/onsemi?pageNo=1088", "Onsemi")</f>
        <v>Onsemi</v>
      </c>
      <c r="C1089" s="6">
        <v>3000</v>
      </c>
      <c r="D1089" s="7">
        <v>0.28000000000000003</v>
      </c>
    </row>
    <row r="1090" spans="1:5" x14ac:dyDescent="0.25">
      <c r="A1090" t="str">
        <f>HYPERLINK("https://www.773grp.com/globalSearch/SZMM5Z36VT1G/page-1", "SZMM5Z36VT1G")</f>
        <v>SZMM5Z36VT1G</v>
      </c>
      <c r="B1090" s="3" t="str">
        <f>HYPERLINK("https://www.773grp.com/manufacturer/onsemi?pageNo=1089", "Onsemi")</f>
        <v>Onsemi</v>
      </c>
      <c r="C1090" s="6">
        <v>3000</v>
      </c>
      <c r="D1090" s="7">
        <v>0.28000000000000003</v>
      </c>
    </row>
    <row r="1091" spans="1:5" x14ac:dyDescent="0.25">
      <c r="A1091" t="str">
        <f>HYPERLINK("https://www.773grp.com/globalSearch/SZMM5Z3V3T1G/page-1", "SZMM5Z3V3T1G")</f>
        <v>SZMM5Z3V3T1G</v>
      </c>
      <c r="B1091" s="3" t="str">
        <f>HYPERLINK("https://www.773grp.com/manufacturer/onsemi?pageNo=1090", "Onsemi")</f>
        <v>Onsemi</v>
      </c>
      <c r="C1091" s="6">
        <v>3000</v>
      </c>
      <c r="D1091" s="7">
        <v>0.28000000000000003</v>
      </c>
    </row>
    <row r="1092" spans="1:5" x14ac:dyDescent="0.25">
      <c r="A1092" t="str">
        <f>HYPERLINK("https://www.773grp.com/globalSearch/SZMM5Z5V1T1G/page-1", "SZMM5Z5V1T1G")</f>
        <v>SZMM5Z5V1T1G</v>
      </c>
      <c r="B1092" s="3" t="str">
        <f>HYPERLINK("https://www.773grp.com/manufacturer/onsemi?pageNo=1091", "Onsemi")</f>
        <v>Onsemi</v>
      </c>
      <c r="C1092" s="6">
        <v>3000</v>
      </c>
      <c r="D1092" s="7">
        <v>0.28000000000000003</v>
      </c>
    </row>
    <row r="1093" spans="1:5" x14ac:dyDescent="0.25">
      <c r="A1093" t="str">
        <f>HYPERLINK("https://www.773grp.com/globalSearch/SZMM5Z7V5T1G/page-1", "SZMM5Z7V5T1G")</f>
        <v>SZMM5Z7V5T1G</v>
      </c>
      <c r="B1093" s="3" t="str">
        <f>HYPERLINK("https://www.773grp.com/manufacturer/onsemi?pageNo=1092", "Onsemi")</f>
        <v>Onsemi</v>
      </c>
      <c r="C1093" s="6">
        <v>3000</v>
      </c>
      <c r="D1093" s="7">
        <v>0.28000000000000003</v>
      </c>
    </row>
    <row r="1094" spans="1:5" x14ac:dyDescent="0.25">
      <c r="A1094" t="str">
        <f>HYPERLINK("https://www.773grp.com/globalSearch/SZMM5Z8V2T1G/page-1", "SZMM5Z8V2T1G")</f>
        <v>SZMM5Z8V2T1G</v>
      </c>
      <c r="B1094" s="3" t="str">
        <f>HYPERLINK("https://www.773grp.com/manufacturer/onsemi?pageNo=1093", "Onsemi")</f>
        <v>Onsemi</v>
      </c>
      <c r="C1094" s="6">
        <v>3000</v>
      </c>
      <c r="D1094" s="7">
        <v>0.28000000000000003</v>
      </c>
    </row>
    <row r="1095" spans="1:5" x14ac:dyDescent="0.25">
      <c r="A1095" t="str">
        <f>HYPERLINK("https://www.773grp.com/globalSearch/SZMM5Z9V1T1G/page-1", "SZMM5Z9V1T1G")</f>
        <v>SZMM5Z9V1T1G</v>
      </c>
      <c r="B1095" s="3" t="str">
        <f>HYPERLINK("https://www.773grp.com/manufacturer/onsemi?pageNo=1094", "Onsemi")</f>
        <v>Onsemi</v>
      </c>
      <c r="C1095" s="6">
        <v>6000</v>
      </c>
      <c r="D1095" s="7">
        <v>0.28000000000000003</v>
      </c>
    </row>
    <row r="1096" spans="1:5" x14ac:dyDescent="0.25">
      <c r="A1096" t="str">
        <f>HYPERLINK("https://www.773grp.com/globalSearch/SZMMBZ5241BLT1/page-1", "SZMMBZ5241BLT1")</f>
        <v>SZMMBZ5241BLT1</v>
      </c>
      <c r="B1096" s="3" t="str">
        <f>HYPERLINK("https://www.773grp.com/manufacturer/onsemi?pageNo=1095", "Onsemi")</f>
        <v>Onsemi</v>
      </c>
      <c r="C1096" s="6">
        <v>42000</v>
      </c>
      <c r="D1096" s="7">
        <v>0.28000000000000003</v>
      </c>
    </row>
    <row r="1097" spans="1:5" x14ac:dyDescent="0.25">
      <c r="A1097" t="str">
        <f>HYPERLINK("https://www.773grp.com/globalSearch/SZMMBZ5242BLT1/page-1", "SZMMBZ5242BLT1")</f>
        <v>SZMMBZ5242BLT1</v>
      </c>
      <c r="B1097" s="3" t="str">
        <f>HYPERLINK("https://www.773grp.com/manufacturer/onsemi?pageNo=1096", "Onsemi")</f>
        <v>Onsemi</v>
      </c>
      <c r="C1097" s="6">
        <v>18000</v>
      </c>
      <c r="D1097" s="7">
        <v>0.28000000000000003</v>
      </c>
    </row>
    <row r="1098" spans="1:5" x14ac:dyDescent="0.25">
      <c r="A1098" t="str">
        <f>HYPERLINK("https://www.773grp.com/globalSearch/TF252-4-TL-H/page-1", "TF252-4-TL-H")</f>
        <v>TF252-4-TL-H</v>
      </c>
      <c r="B1098" s="3" t="str">
        <f>HYPERLINK("https://www.773grp.com/manufacturer/onsemi?pageNo=1097", "Onsemi")</f>
        <v>Onsemi</v>
      </c>
      <c r="C1098" s="6">
        <v>60000</v>
      </c>
      <c r="D1098" s="7">
        <v>0.28000000000000003</v>
      </c>
    </row>
    <row r="1099" spans="1:5" x14ac:dyDescent="0.25">
      <c r="A1099" t="str">
        <f>HYPERLINK("https://www.773grp.com/globalSearch/TF252-5-TL-H/page-1", "TF252-5-TL-H")</f>
        <v>TF252-5-TL-H</v>
      </c>
      <c r="B1099" s="3" t="str">
        <f>HYPERLINK("https://www.773grp.com/manufacturer/onsemi?pageNo=1098", "Onsemi")</f>
        <v>Onsemi</v>
      </c>
      <c r="C1099" s="6">
        <v>110000</v>
      </c>
      <c r="D1099" s="7">
        <v>0.28000000000000003</v>
      </c>
    </row>
    <row r="1100" spans="1:5" x14ac:dyDescent="0.25">
      <c r="A1100" t="str">
        <f>HYPERLINK("https://www.773grp.com/globalSearch/UESD12ST5G/page-1", "UESD12ST5G")</f>
        <v>UESD12ST5G</v>
      </c>
      <c r="B1100" s="3" t="str">
        <f>HYPERLINK("https://www.773grp.com/manufacturer/onsemi?pageNo=1099", "Onsemi")</f>
        <v>Onsemi</v>
      </c>
      <c r="C1100" s="6">
        <v>8000</v>
      </c>
      <c r="D1100" s="7">
        <v>0.28000000000000003</v>
      </c>
      <c r="E1100" t="s">
        <v>75</v>
      </c>
    </row>
    <row r="1101" spans="1:5" x14ac:dyDescent="0.25">
      <c r="A1101" t="str">
        <f>HYPERLINK("https://www.773grp.com/globalSearch/UESD3.3DT5G/page-1", "UESD3.3DT5G")</f>
        <v>UESD3.3DT5G</v>
      </c>
      <c r="B1101" s="3" t="str">
        <f>HYPERLINK("https://www.773grp.com/manufacturer/onsemi?pageNo=1100", "Onsemi")</f>
        <v>Onsemi</v>
      </c>
      <c r="C1101" s="6">
        <v>16033</v>
      </c>
      <c r="D1101" s="7">
        <v>0.28000000000000003</v>
      </c>
      <c r="E1101" t="s">
        <v>75</v>
      </c>
    </row>
    <row r="1102" spans="1:5" x14ac:dyDescent="0.25">
      <c r="A1102" t="str">
        <f>HYPERLINK("https://www.773grp.com/globalSearch/UESD5.0DT5G/page-1", "UESD5.0DT5G")</f>
        <v>UESD5.0DT5G</v>
      </c>
      <c r="B1102" s="3" t="str">
        <f>HYPERLINK("https://www.773grp.com/manufacturer/onsemi?pageNo=1101", "Onsemi")</f>
        <v>Onsemi</v>
      </c>
      <c r="C1102" s="6">
        <v>130522</v>
      </c>
      <c r="D1102" s="7">
        <v>0.28000000000000003</v>
      </c>
      <c r="E1102" t="s">
        <v>75</v>
      </c>
    </row>
    <row r="1103" spans="1:5" x14ac:dyDescent="0.25">
      <c r="A1103" t="str">
        <f>HYPERLINK("https://www.773grp.com/globalSearch/UESD5.0ST5G/page-1", "UESD5.0ST5G")</f>
        <v>UESD5.0ST5G</v>
      </c>
      <c r="B1103" s="3" t="str">
        <f>HYPERLINK("https://www.773grp.com/manufacturer/onsemi?pageNo=1102", "Onsemi")</f>
        <v>Onsemi</v>
      </c>
      <c r="C1103" s="6">
        <v>505628</v>
      </c>
      <c r="D1103" s="7">
        <v>0.28000000000000003</v>
      </c>
      <c r="E1103" t="s">
        <v>75</v>
      </c>
    </row>
    <row r="1104" spans="1:5" x14ac:dyDescent="0.25">
      <c r="A1104" t="str">
        <f>HYPERLINK("https://www.773grp.com/globalSearch/UESD6.0DT5G/page-1", "UESD6.0DT5G")</f>
        <v>UESD6.0DT5G</v>
      </c>
      <c r="B1104" s="3" t="str">
        <f>HYPERLINK("https://www.773grp.com/manufacturer/onsemi?pageNo=1103", "Onsemi")</f>
        <v>Onsemi</v>
      </c>
      <c r="C1104" s="6">
        <v>106000</v>
      </c>
      <c r="D1104" s="7">
        <v>0.28000000000000003</v>
      </c>
      <c r="E1104" t="s">
        <v>75</v>
      </c>
    </row>
    <row r="1105" spans="1:5" x14ac:dyDescent="0.25">
      <c r="A1105" t="str">
        <f>HYPERLINK("https://www.773grp.com/globalSearch/VN2222LLG/page-1", "VN2222LLG")</f>
        <v>VN2222LLG</v>
      </c>
      <c r="B1105" s="3" t="str">
        <f>HYPERLINK("https://www.773grp.com/manufacturer/onsemi?pageNo=1104", "Onsemi")</f>
        <v>Onsemi</v>
      </c>
      <c r="C1105" s="6">
        <v>17500</v>
      </c>
      <c r="D1105" s="7">
        <v>0.28000000000000003</v>
      </c>
      <c r="E1105" t="s">
        <v>85</v>
      </c>
    </row>
    <row r="1106" spans="1:5" x14ac:dyDescent="0.25">
      <c r="A1106" t="str">
        <f>HYPERLINK("https://www.773grp.com/globalSearch/1N4740A/page-1", "1N4740A")</f>
        <v>1N4740A</v>
      </c>
      <c r="B1106" s="3" t="str">
        <f>HYPERLINK("https://www.773grp.com/manufacturer/onsemi?pageNo=1105", "Onsemi")</f>
        <v>Onsemi</v>
      </c>
      <c r="C1106" s="6">
        <v>92196</v>
      </c>
      <c r="D1106" s="7">
        <v>0.33</v>
      </c>
      <c r="E1106" t="s">
        <v>77</v>
      </c>
    </row>
    <row r="1107" spans="1:5" x14ac:dyDescent="0.25">
      <c r="A1107" t="str">
        <f>HYPERLINK("https://www.773grp.com/globalSearch/1N4741A/page-1", "1N4741A")</f>
        <v>1N4741A</v>
      </c>
      <c r="B1107" s="3" t="str">
        <f>HYPERLINK("https://www.773grp.com/manufacturer/onsemi?pageNo=1106", "Onsemi")</f>
        <v>Onsemi</v>
      </c>
      <c r="C1107" s="6">
        <v>6415</v>
      </c>
      <c r="D1107" s="7">
        <v>0.33</v>
      </c>
      <c r="E1107" t="s">
        <v>77</v>
      </c>
    </row>
    <row r="1108" spans="1:5" x14ac:dyDescent="0.25">
      <c r="A1108" t="str">
        <f>HYPERLINK("https://www.773grp.com/globalSearch/1N4748A/page-1", "1N4748A")</f>
        <v>1N4748A</v>
      </c>
      <c r="B1108" s="3" t="str">
        <f>HYPERLINK("https://www.773grp.com/manufacturer/onsemi?pageNo=1107", "Onsemi")</f>
        <v>Onsemi</v>
      </c>
      <c r="C1108" s="6">
        <v>780</v>
      </c>
      <c r="D1108" s="7">
        <v>0.33</v>
      </c>
      <c r="E1108" t="s">
        <v>77</v>
      </c>
    </row>
    <row r="1109" spans="1:5" x14ac:dyDescent="0.25">
      <c r="A1109" t="str">
        <f>HYPERLINK("https://www.773grp.com/globalSearch/1N5817G/page-1", "1N5817G")</f>
        <v>1N5817G</v>
      </c>
      <c r="B1109" s="3" t="str">
        <f>HYPERLINK("https://www.773grp.com/manufacturer/onsemi?pageNo=1108", "Onsemi")</f>
        <v>Onsemi</v>
      </c>
      <c r="C1109" s="6">
        <v>43685</v>
      </c>
      <c r="D1109" s="7">
        <v>0.33</v>
      </c>
      <c r="E1109" t="s">
        <v>73</v>
      </c>
    </row>
    <row r="1110" spans="1:5" x14ac:dyDescent="0.25">
      <c r="A1110" t="str">
        <f>HYPERLINK("https://www.773grp.com/globalSearch/1N5817RLG/page-1", "1N5817RLG")</f>
        <v>1N5817RLG</v>
      </c>
      <c r="B1110" s="3" t="str">
        <f>HYPERLINK("https://www.773grp.com/manufacturer/onsemi?pageNo=1109", "Onsemi")</f>
        <v>Onsemi</v>
      </c>
      <c r="C1110" s="6">
        <v>121557</v>
      </c>
      <c r="D1110" s="7">
        <v>0.33</v>
      </c>
      <c r="E1110" t="s">
        <v>73</v>
      </c>
    </row>
    <row r="1111" spans="1:5" x14ac:dyDescent="0.25">
      <c r="A1111" t="str">
        <f>HYPERLINK("https://www.773grp.com/globalSearch/1N5818G/page-1", "1N5818G")</f>
        <v>1N5818G</v>
      </c>
      <c r="B1111" s="3" t="str">
        <f>HYPERLINK("https://www.773grp.com/manufacturer/onsemi?pageNo=1110", "Onsemi")</f>
        <v>Onsemi</v>
      </c>
      <c r="C1111" s="6">
        <v>77215</v>
      </c>
      <c r="D1111" s="7">
        <v>0.33</v>
      </c>
      <c r="E1111" t="s">
        <v>73</v>
      </c>
    </row>
    <row r="1112" spans="1:5" x14ac:dyDescent="0.25">
      <c r="A1112" t="str">
        <f>HYPERLINK("https://www.773grp.com/globalSearch/1N5818RLG/page-1", "1N5818RLG")</f>
        <v>1N5818RLG</v>
      </c>
      <c r="B1112" s="3" t="str">
        <f>HYPERLINK("https://www.773grp.com/manufacturer/onsemi?pageNo=1111", "Onsemi")</f>
        <v>Onsemi</v>
      </c>
      <c r="C1112" s="6">
        <v>594371</v>
      </c>
      <c r="D1112" s="7">
        <v>0.33</v>
      </c>
      <c r="E1112" t="s">
        <v>73</v>
      </c>
    </row>
    <row r="1113" spans="1:5" x14ac:dyDescent="0.25">
      <c r="A1113" t="str">
        <f>HYPERLINK("https://www.773grp.com/globalSearch/1N5819G/page-1", "1N5819G")</f>
        <v>1N5819G</v>
      </c>
      <c r="B1113" s="3" t="str">
        <f>HYPERLINK("https://www.773grp.com/manufacturer/onsemi?pageNo=1112", "Onsemi")</f>
        <v>Onsemi</v>
      </c>
      <c r="C1113" s="6">
        <v>48730</v>
      </c>
      <c r="D1113" s="7">
        <v>0.33</v>
      </c>
      <c r="E1113" t="s">
        <v>73</v>
      </c>
    </row>
    <row r="1114" spans="1:5" x14ac:dyDescent="0.25">
      <c r="A1114" t="str">
        <f>HYPERLINK("https://www.773grp.com/globalSearch/1N5819RLG/page-1", "1N5819RLG")</f>
        <v>1N5819RLG</v>
      </c>
      <c r="B1114" s="3" t="str">
        <f>HYPERLINK("https://www.773grp.com/manufacturer/onsemi?pageNo=1113", "Onsemi")</f>
        <v>Onsemi</v>
      </c>
      <c r="C1114" s="6">
        <v>57758</v>
      </c>
      <c r="D1114" s="7">
        <v>0.33</v>
      </c>
      <c r="E1114" t="s">
        <v>73</v>
      </c>
    </row>
    <row r="1115" spans="1:5" x14ac:dyDescent="0.25">
      <c r="A1115" t="str">
        <f>HYPERLINK("https://www.773grp.com/globalSearch/1N5913BRLG/page-1", "1N5913BRLG")</f>
        <v>1N5913BRLG</v>
      </c>
      <c r="B1115" s="3" t="str">
        <f>HYPERLINK("https://www.773grp.com/manufacturer/onsemi?pageNo=1114", "Onsemi")</f>
        <v>Onsemi</v>
      </c>
      <c r="C1115" s="6">
        <v>2165</v>
      </c>
      <c r="D1115" s="7">
        <v>0.33</v>
      </c>
      <c r="E1115" t="s">
        <v>77</v>
      </c>
    </row>
    <row r="1116" spans="1:5" x14ac:dyDescent="0.25">
      <c r="A1116" t="str">
        <f>HYPERLINK("https://www.773grp.com/globalSearch/1N5924BRLG/page-1", "1N5924BRLG")</f>
        <v>1N5924BRLG</v>
      </c>
      <c r="B1116" s="3" t="str">
        <f>HYPERLINK("https://www.773grp.com/manufacturer/onsemi?pageNo=1115", "Onsemi")</f>
        <v>Onsemi</v>
      </c>
      <c r="C1116" s="6">
        <v>12000</v>
      </c>
      <c r="D1116" s="7">
        <v>0.33</v>
      </c>
      <c r="E1116" t="s">
        <v>77</v>
      </c>
    </row>
    <row r="1117" spans="1:5" x14ac:dyDescent="0.25">
      <c r="A1117" t="str">
        <f>HYPERLINK("https://www.773grp.com/globalSearch/1N5940BRLG/page-1", "1N5940BRLG")</f>
        <v>1N5940BRLG</v>
      </c>
      <c r="B1117" s="3" t="str">
        <f>HYPERLINK("https://www.773grp.com/manufacturer/onsemi?pageNo=1116", "Onsemi")</f>
        <v>Onsemi</v>
      </c>
      <c r="C1117" s="6">
        <v>78000</v>
      </c>
      <c r="D1117" s="7">
        <v>0.33</v>
      </c>
      <c r="E1117" t="s">
        <v>77</v>
      </c>
    </row>
    <row r="1118" spans="1:5" x14ac:dyDescent="0.25">
      <c r="A1118" t="str">
        <f>HYPERLINK("https://www.773grp.com/globalSearch/1N5941BRLG/page-1", "1N5941BRLG")</f>
        <v>1N5941BRLG</v>
      </c>
      <c r="B1118" s="3" t="str">
        <f>HYPERLINK("https://www.773grp.com/manufacturer/onsemi?pageNo=1117", "Onsemi")</f>
        <v>Onsemi</v>
      </c>
      <c r="C1118" s="6">
        <v>78699</v>
      </c>
      <c r="D1118" s="7">
        <v>0.33</v>
      </c>
      <c r="E1118" t="s">
        <v>77</v>
      </c>
    </row>
    <row r="1119" spans="1:5" x14ac:dyDescent="0.25">
      <c r="A1119" t="str">
        <f>HYPERLINK("https://www.773grp.com/globalSearch/1N5948B/page-1", "1N5948B")</f>
        <v>1N5948B</v>
      </c>
      <c r="B1119" s="3" t="str">
        <f>HYPERLINK("https://www.773grp.com/manufacturer/onsemi?pageNo=1118", "Onsemi")</f>
        <v>Onsemi</v>
      </c>
      <c r="C1119" s="6">
        <v>2920</v>
      </c>
      <c r="D1119" s="7">
        <v>0.33</v>
      </c>
      <c r="E1119" t="s">
        <v>77</v>
      </c>
    </row>
    <row r="1120" spans="1:5" x14ac:dyDescent="0.25">
      <c r="A1120" t="str">
        <f>HYPERLINK("https://www.773grp.com/globalSearch/1N5950B/page-1", "1N5950B")</f>
        <v>1N5950B</v>
      </c>
      <c r="B1120" s="3" t="str">
        <f>HYPERLINK("https://www.773grp.com/manufacturer/onsemi?pageNo=1119", "Onsemi")</f>
        <v>Onsemi</v>
      </c>
      <c r="C1120" s="6">
        <v>2500</v>
      </c>
      <c r="D1120" s="7">
        <v>0.33</v>
      </c>
      <c r="E1120" t="s">
        <v>77</v>
      </c>
    </row>
    <row r="1121" spans="1:5" x14ac:dyDescent="0.25">
      <c r="A1121" t="str">
        <f>HYPERLINK("https://www.773grp.com/globalSearch/1N5956BG/page-1", "1N5956BG")</f>
        <v>1N5956BG</v>
      </c>
      <c r="B1121" s="3" t="str">
        <f>HYPERLINK("https://www.773grp.com/manufacturer/onsemi?pageNo=1120", "Onsemi")</f>
        <v>Onsemi</v>
      </c>
      <c r="C1121" s="6">
        <v>11915</v>
      </c>
      <c r="D1121" s="7">
        <v>0.33</v>
      </c>
      <c r="E1121" t="s">
        <v>77</v>
      </c>
    </row>
    <row r="1122" spans="1:5" x14ac:dyDescent="0.25">
      <c r="A1122" t="str">
        <f>HYPERLINK("https://www.773grp.com/globalSearch/2N4401G/page-1", "2N4401G")</f>
        <v>2N4401G</v>
      </c>
      <c r="B1122" s="3" t="str">
        <f>HYPERLINK("https://www.773grp.com/manufacturer/onsemi?pageNo=1121", "Onsemi")</f>
        <v>Onsemi</v>
      </c>
      <c r="C1122" s="6">
        <v>75196</v>
      </c>
      <c r="D1122" s="7">
        <v>0.33</v>
      </c>
      <c r="E1122" t="s">
        <v>57</v>
      </c>
    </row>
    <row r="1123" spans="1:5" x14ac:dyDescent="0.25">
      <c r="A1123" t="str">
        <f>HYPERLINK("https://www.773grp.com/globalSearch/2N4401RLRAG/page-1", "2N4401RLRAG")</f>
        <v>2N4401RLRAG</v>
      </c>
      <c r="B1123" s="3" t="str">
        <f>HYPERLINK("https://www.773grp.com/manufacturer/onsemi?pageNo=1122", "Onsemi")</f>
        <v>Onsemi</v>
      </c>
      <c r="C1123" s="6">
        <v>194682</v>
      </c>
      <c r="D1123" s="7">
        <v>0.33</v>
      </c>
      <c r="E1123" t="s">
        <v>57</v>
      </c>
    </row>
    <row r="1124" spans="1:5" x14ac:dyDescent="0.25">
      <c r="A1124" t="str">
        <f>HYPERLINK("https://www.773grp.com/globalSearch/2N5060RL1/page-1", "2N5060RL1")</f>
        <v>2N5060RL1</v>
      </c>
      <c r="B1124" s="3" t="str">
        <f>HYPERLINK("https://www.773grp.com/manufacturer/onsemi?pageNo=1123", "Onsemi")</f>
        <v>Onsemi</v>
      </c>
      <c r="C1124" s="6">
        <v>16000</v>
      </c>
      <c r="D1124" s="7">
        <v>0.33</v>
      </c>
      <c r="E1124" t="s">
        <v>76</v>
      </c>
    </row>
    <row r="1125" spans="1:5" x14ac:dyDescent="0.25">
      <c r="A1125" t="str">
        <f>HYPERLINK("https://www.773grp.com/globalSearch/2N5401G/page-1", "2N5401G")</f>
        <v>2N5401G</v>
      </c>
      <c r="B1125" s="3" t="str">
        <f>HYPERLINK("https://www.773grp.com/manufacturer/onsemi?pageNo=1124", "Onsemi")</f>
        <v>Onsemi</v>
      </c>
      <c r="C1125" s="6">
        <v>53274</v>
      </c>
      <c r="D1125" s="7">
        <v>0.33</v>
      </c>
      <c r="E1125" t="s">
        <v>57</v>
      </c>
    </row>
    <row r="1126" spans="1:5" x14ac:dyDescent="0.25">
      <c r="A1126" t="str">
        <f>HYPERLINK("https://www.773grp.com/globalSearch/2N5401RLRAG/page-1", "2N5401RLRAG")</f>
        <v>2N5401RLRAG</v>
      </c>
      <c r="B1126" s="3" t="str">
        <f>HYPERLINK("https://www.773grp.com/manufacturer/onsemi?pageNo=1125", "Onsemi")</f>
        <v>Onsemi</v>
      </c>
      <c r="C1126" s="6">
        <v>57880</v>
      </c>
      <c r="D1126" s="7">
        <v>0.33</v>
      </c>
      <c r="E1126" t="s">
        <v>57</v>
      </c>
    </row>
    <row r="1127" spans="1:5" x14ac:dyDescent="0.25">
      <c r="A1127" t="str">
        <f>HYPERLINK("https://www.773grp.com/globalSearch/2N5550G/page-1", "2N5550G")</f>
        <v>2N5550G</v>
      </c>
      <c r="B1127" s="3" t="str">
        <f>HYPERLINK("https://www.773grp.com/manufacturer/onsemi?pageNo=1126", "Onsemi")</f>
        <v>Onsemi</v>
      </c>
      <c r="C1127" s="6">
        <v>52986</v>
      </c>
      <c r="D1127" s="7">
        <v>0.33</v>
      </c>
      <c r="E1127" t="s">
        <v>57</v>
      </c>
    </row>
    <row r="1128" spans="1:5" x14ac:dyDescent="0.25">
      <c r="A1128" t="str">
        <f>HYPERLINK("https://www.773grp.com/globalSearch/2N5550RLRPG/page-1", "2N5550RLRPG")</f>
        <v>2N5550RLRPG</v>
      </c>
      <c r="B1128" s="3" t="str">
        <f>HYPERLINK("https://www.773grp.com/manufacturer/onsemi?pageNo=1127", "Onsemi")</f>
        <v>Onsemi</v>
      </c>
      <c r="C1128" s="6">
        <v>34000</v>
      </c>
      <c r="D1128" s="7">
        <v>0.33</v>
      </c>
      <c r="E1128" t="s">
        <v>57</v>
      </c>
    </row>
    <row r="1129" spans="1:5" x14ac:dyDescent="0.25">
      <c r="A1129" t="str">
        <f>HYPERLINK("https://www.773grp.com/globalSearch/2N5551G/page-1", "2N5551G")</f>
        <v>2N5551G</v>
      </c>
      <c r="B1129" s="3" t="str">
        <f>HYPERLINK("https://www.773grp.com/manufacturer/onsemi?pageNo=1128", "Onsemi")</f>
        <v>Onsemi</v>
      </c>
      <c r="C1129" s="6">
        <v>263750</v>
      </c>
      <c r="D1129" s="7">
        <v>0.33</v>
      </c>
      <c r="E1129" t="s">
        <v>57</v>
      </c>
    </row>
    <row r="1130" spans="1:5" x14ac:dyDescent="0.25">
      <c r="A1130" t="str">
        <f>HYPERLINK("https://www.773grp.com/globalSearch/2N5551RL1G/page-1", "2N5551RL1G")</f>
        <v>2N5551RL1G</v>
      </c>
      <c r="B1130" s="3" t="str">
        <f>HYPERLINK("https://www.773grp.com/manufacturer/onsemi?pageNo=1129", "Onsemi")</f>
        <v>Onsemi</v>
      </c>
      <c r="C1130" s="6">
        <v>152574</v>
      </c>
      <c r="D1130" s="7">
        <v>0.33</v>
      </c>
      <c r="E1130" t="s">
        <v>57</v>
      </c>
    </row>
    <row r="1131" spans="1:5" x14ac:dyDescent="0.25">
      <c r="A1131" t="str">
        <f>HYPERLINK("https://www.773grp.com/globalSearch/2N5551RLRAG/page-1", "2N5551RLRAG")</f>
        <v>2N5551RLRAG</v>
      </c>
      <c r="B1131" s="3" t="str">
        <f>HYPERLINK("https://www.773grp.com/manufacturer/onsemi?pageNo=1130", "Onsemi")</f>
        <v>Onsemi</v>
      </c>
      <c r="C1131" s="6">
        <v>188000</v>
      </c>
      <c r="D1131" s="7">
        <v>0.33</v>
      </c>
      <c r="E1131" t="s">
        <v>57</v>
      </c>
    </row>
    <row r="1132" spans="1:5" x14ac:dyDescent="0.25">
      <c r="A1132" t="str">
        <f>HYPERLINK("https://www.773grp.com/globalSearch/2N5551RLRPG/page-1", "2N5551RLRPG")</f>
        <v>2N5551RLRPG</v>
      </c>
      <c r="B1132" s="3" t="str">
        <f>HYPERLINK("https://www.773grp.com/manufacturer/onsemi?pageNo=1131", "Onsemi")</f>
        <v>Onsemi</v>
      </c>
      <c r="C1132" s="6">
        <v>40513</v>
      </c>
      <c r="D1132" s="7">
        <v>0.33</v>
      </c>
      <c r="E1132" t="s">
        <v>57</v>
      </c>
    </row>
    <row r="1133" spans="1:5" x14ac:dyDescent="0.25">
      <c r="A1133" t="str">
        <f>HYPERLINK("https://www.773grp.com/globalSearch/2N5551ZL1G/page-1", "2N5551ZL1G")</f>
        <v>2N5551ZL1G</v>
      </c>
      <c r="B1133" s="3" t="str">
        <f>HYPERLINK("https://www.773grp.com/manufacturer/onsemi?pageNo=1132", "Onsemi")</f>
        <v>Onsemi</v>
      </c>
      <c r="C1133" s="6">
        <v>40000</v>
      </c>
      <c r="D1133" s="7">
        <v>0.33</v>
      </c>
      <c r="E1133" t="s">
        <v>57</v>
      </c>
    </row>
    <row r="1134" spans="1:5" x14ac:dyDescent="0.25">
      <c r="A1134" t="str">
        <f>HYPERLINK("https://www.773grp.com/globalSearch/2SA1020RLRA/page-1", "2SA1020RLRA")</f>
        <v>2SA1020RLRA</v>
      </c>
      <c r="B1134" s="3" t="str">
        <f>HYPERLINK("https://www.773grp.com/manufacturer/onsemi?pageNo=1133", "Onsemi")</f>
        <v>Onsemi</v>
      </c>
      <c r="C1134" s="6">
        <v>312000</v>
      </c>
      <c r="D1134" s="7">
        <v>0.33</v>
      </c>
      <c r="E1134" t="s">
        <v>57</v>
      </c>
    </row>
    <row r="1135" spans="1:5" x14ac:dyDescent="0.25">
      <c r="A1135" t="str">
        <f>HYPERLINK("https://www.773grp.com/globalSearch/2SC4453-3-TB-E/page-1", "2SC4453-3-TB-E")</f>
        <v>2SC4453-3-TB-E</v>
      </c>
      <c r="B1135" s="3" t="str">
        <f>HYPERLINK("https://www.773grp.com/manufacturer/onsemi?pageNo=1134", "Onsemi")</f>
        <v>Onsemi</v>
      </c>
      <c r="C1135" s="6">
        <v>12000</v>
      </c>
      <c r="D1135" s="7">
        <v>0.33</v>
      </c>
    </row>
    <row r="1136" spans="1:5" x14ac:dyDescent="0.25">
      <c r="A1136" t="str">
        <f>HYPERLINK("https://www.773grp.com/globalSearch/2SK3666-3-TB-E/page-1", "2SK3666-3-TB-E")</f>
        <v>2SK3666-3-TB-E</v>
      </c>
      <c r="B1136" s="3" t="str">
        <f>HYPERLINK("https://www.773grp.com/manufacturer/onsemi?pageNo=1135", "Onsemi")</f>
        <v>Onsemi</v>
      </c>
      <c r="C1136" s="6">
        <v>3000</v>
      </c>
      <c r="D1136" s="7">
        <v>0.33</v>
      </c>
    </row>
    <row r="1137" spans="1:5" x14ac:dyDescent="0.25">
      <c r="A1137" t="str">
        <f>HYPERLINK("https://www.773grp.com/globalSearch/3EZ24D5/page-1", "3EZ24D5")</f>
        <v>3EZ24D5</v>
      </c>
      <c r="B1137" s="3" t="str">
        <f>HYPERLINK("https://www.773grp.com/manufacturer/onsemi?pageNo=1136", "Onsemi")</f>
        <v>Onsemi</v>
      </c>
      <c r="C1137" s="6">
        <v>90776</v>
      </c>
      <c r="D1137" s="7">
        <v>0.33</v>
      </c>
      <c r="E1137" t="s">
        <v>77</v>
      </c>
    </row>
    <row r="1138" spans="1:5" x14ac:dyDescent="0.25">
      <c r="A1138" t="str">
        <f>HYPERLINK("https://www.773grp.com/globalSearch/3EZ4.3D5RL/page-1", "3EZ4.3D5RL")</f>
        <v>3EZ4.3D5RL</v>
      </c>
      <c r="B1138" s="3" t="str">
        <f>HYPERLINK("https://www.773grp.com/manufacturer/onsemi?pageNo=1137", "Onsemi")</f>
        <v>Onsemi</v>
      </c>
      <c r="C1138" s="6">
        <v>84000</v>
      </c>
      <c r="D1138" s="7">
        <v>0.33</v>
      </c>
      <c r="E1138" t="s">
        <v>77</v>
      </c>
    </row>
    <row r="1139" spans="1:5" x14ac:dyDescent="0.25">
      <c r="A1139" t="str">
        <f>HYPERLINK("https://www.773grp.com/globalSearch/3LN01C-TB-H/page-1", "3LN01C-TB-H")</f>
        <v>3LN01C-TB-H</v>
      </c>
      <c r="B1139" s="3" t="str">
        <f>HYPERLINK("https://www.773grp.com/manufacturer/onsemi?pageNo=1138", "Onsemi")</f>
        <v>Onsemi</v>
      </c>
      <c r="C1139" s="6">
        <v>23960</v>
      </c>
      <c r="D1139" s="7">
        <v>0.33</v>
      </c>
    </row>
    <row r="1140" spans="1:5" x14ac:dyDescent="0.25">
      <c r="A1140" t="str">
        <f>HYPERLINK("https://www.773grp.com/globalSearch/74HC00DR2G/page-1", "74HC00DR2G")</f>
        <v>74HC00DR2G</v>
      </c>
      <c r="B1140" s="3" t="str">
        <f>HYPERLINK("https://www.773grp.com/manufacturer/onsemi?pageNo=1139", "Onsemi")</f>
        <v>Onsemi</v>
      </c>
      <c r="C1140" s="6">
        <v>110907</v>
      </c>
      <c r="D1140" s="7">
        <v>0.33</v>
      </c>
      <c r="E1140" t="s">
        <v>27</v>
      </c>
    </row>
    <row r="1141" spans="1:5" x14ac:dyDescent="0.25">
      <c r="A1141" t="str">
        <f>HYPERLINK("https://www.773grp.com/globalSearch/74HC00DTR2G/page-1", "74HC00DTR2G")</f>
        <v>74HC00DTR2G</v>
      </c>
      <c r="B1141" s="3" t="str">
        <f>HYPERLINK("https://www.773grp.com/manufacturer/onsemi?pageNo=1140", "Onsemi")</f>
        <v>Onsemi</v>
      </c>
      <c r="C1141" s="6">
        <v>64115</v>
      </c>
      <c r="D1141" s="7">
        <v>0.33</v>
      </c>
      <c r="E1141" t="s">
        <v>27</v>
      </c>
    </row>
    <row r="1142" spans="1:5" x14ac:dyDescent="0.25">
      <c r="A1142" t="str">
        <f>HYPERLINK("https://www.773grp.com/globalSearch/74HC02DR2G/page-1", "74HC02DR2G")</f>
        <v>74HC02DR2G</v>
      </c>
      <c r="B1142" s="3" t="str">
        <f>HYPERLINK("https://www.773grp.com/manufacturer/onsemi?pageNo=1141", "Onsemi")</f>
        <v>Onsemi</v>
      </c>
      <c r="C1142" s="6">
        <v>213258</v>
      </c>
      <c r="D1142" s="7">
        <v>0.33</v>
      </c>
      <c r="E1142" t="s">
        <v>27</v>
      </c>
    </row>
    <row r="1143" spans="1:5" x14ac:dyDescent="0.25">
      <c r="A1143" t="str">
        <f>HYPERLINK("https://www.773grp.com/globalSearch/74HC02DTR2G/page-1", "74HC02DTR2G")</f>
        <v>74HC02DTR2G</v>
      </c>
      <c r="B1143" s="3" t="str">
        <f>HYPERLINK("https://www.773grp.com/manufacturer/onsemi?pageNo=1142", "Onsemi")</f>
        <v>Onsemi</v>
      </c>
      <c r="C1143" s="6">
        <v>20000</v>
      </c>
      <c r="D1143" s="7">
        <v>0.33</v>
      </c>
      <c r="E1143" t="s">
        <v>27</v>
      </c>
    </row>
    <row r="1144" spans="1:5" x14ac:dyDescent="0.25">
      <c r="A1144" t="str">
        <f>HYPERLINK("https://www.773grp.com/globalSearch/74HC04DR2G/page-1", "74HC04DR2G")</f>
        <v>74HC04DR2G</v>
      </c>
      <c r="B1144" s="3" t="str">
        <f>HYPERLINK("https://www.773grp.com/manufacturer/onsemi?pageNo=1143", "Onsemi")</f>
        <v>Onsemi</v>
      </c>
      <c r="C1144" s="6">
        <v>162767</v>
      </c>
      <c r="D1144" s="7">
        <v>0.33</v>
      </c>
      <c r="E1144" t="s">
        <v>27</v>
      </c>
    </row>
    <row r="1145" spans="1:5" x14ac:dyDescent="0.25">
      <c r="A1145" t="str">
        <f>HYPERLINK("https://www.773grp.com/globalSearch/74HC04DTR2G/page-1", "74HC04DTR2G")</f>
        <v>74HC04DTR2G</v>
      </c>
      <c r="B1145" s="3" t="str">
        <f>HYPERLINK("https://www.773grp.com/manufacturer/onsemi?pageNo=1144", "Onsemi")</f>
        <v>Onsemi</v>
      </c>
      <c r="C1145" s="6">
        <v>85155</v>
      </c>
      <c r="D1145" s="7">
        <v>0.33</v>
      </c>
      <c r="E1145" t="s">
        <v>27</v>
      </c>
    </row>
    <row r="1146" spans="1:5" x14ac:dyDescent="0.25">
      <c r="A1146" t="str">
        <f>HYPERLINK("https://www.773grp.com/globalSearch/74HC08DR2G/page-1", "74HC08DR2G")</f>
        <v>74HC08DR2G</v>
      </c>
      <c r="B1146" s="3" t="str">
        <f>HYPERLINK("https://www.773grp.com/manufacturer/onsemi?pageNo=1145", "Onsemi")</f>
        <v>Onsemi</v>
      </c>
      <c r="C1146" s="6">
        <v>198797</v>
      </c>
      <c r="D1146" s="7">
        <v>0.33</v>
      </c>
      <c r="E1146" t="s">
        <v>27</v>
      </c>
    </row>
    <row r="1147" spans="1:5" x14ac:dyDescent="0.25">
      <c r="A1147" t="str">
        <f>HYPERLINK("https://www.773grp.com/globalSearch/74HC32DR2G/page-1", "74HC32DR2G")</f>
        <v>74HC32DR2G</v>
      </c>
      <c r="B1147" s="3" t="str">
        <f>HYPERLINK("https://www.773grp.com/manufacturer/onsemi?pageNo=1146", "Onsemi")</f>
        <v>Onsemi</v>
      </c>
      <c r="C1147" s="6">
        <v>107375</v>
      </c>
      <c r="D1147" s="7">
        <v>0.33</v>
      </c>
      <c r="E1147" t="s">
        <v>27</v>
      </c>
    </row>
    <row r="1148" spans="1:5" x14ac:dyDescent="0.25">
      <c r="A1148" t="str">
        <f>HYPERLINK("https://www.773grp.com/globalSearch/BAS16DXV6T1G/page-1", "BAS16DXV6T1G")</f>
        <v>BAS16DXV6T1G</v>
      </c>
      <c r="B1148" s="3" t="str">
        <f>HYPERLINK("https://www.773grp.com/manufacturer/onsemi?pageNo=1147", "Onsemi")</f>
        <v>Onsemi</v>
      </c>
      <c r="C1148" s="6">
        <v>103985</v>
      </c>
      <c r="D1148" s="7">
        <v>0.33</v>
      </c>
      <c r="E1148" t="s">
        <v>73</v>
      </c>
    </row>
    <row r="1149" spans="1:5" x14ac:dyDescent="0.25">
      <c r="A1149" t="str">
        <f>HYPERLINK("https://www.773grp.com/globalSearch/BAS40-04LT1G/page-1", "BAS40-04LT1G")</f>
        <v>BAS40-04LT1G</v>
      </c>
      <c r="B1149" s="3" t="str">
        <f>HYPERLINK("https://www.773grp.com/manufacturer/onsemi?pageNo=1148", "Onsemi")</f>
        <v>Onsemi</v>
      </c>
      <c r="C1149" s="6">
        <v>128619</v>
      </c>
      <c r="D1149" s="7">
        <v>0.33</v>
      </c>
      <c r="E1149" t="s">
        <v>73</v>
      </c>
    </row>
    <row r="1150" spans="1:5" x14ac:dyDescent="0.25">
      <c r="A1150" t="str">
        <f>HYPERLINK("https://www.773grp.com/globalSearch/BAS40-06LT1G/page-1", "BAS40-06LT1G")</f>
        <v>BAS40-06LT1G</v>
      </c>
      <c r="B1150" s="3" t="str">
        <f>HYPERLINK("https://www.773grp.com/manufacturer/onsemi?pageNo=1149", "Onsemi")</f>
        <v>Onsemi</v>
      </c>
      <c r="C1150" s="6">
        <v>38992</v>
      </c>
      <c r="D1150" s="7">
        <v>0.33</v>
      </c>
      <c r="E1150" t="s">
        <v>73</v>
      </c>
    </row>
    <row r="1151" spans="1:5" x14ac:dyDescent="0.25">
      <c r="A1151" t="str">
        <f>HYPERLINK("https://www.773grp.com/globalSearch/BAS40LT1G/page-1", "BAS40LT1G")</f>
        <v>BAS40LT1G</v>
      </c>
      <c r="B1151" s="3" t="str">
        <f>HYPERLINK("https://www.773grp.com/manufacturer/onsemi?pageNo=1150", "Onsemi")</f>
        <v>Onsemi</v>
      </c>
      <c r="C1151" s="6">
        <v>129976</v>
      </c>
      <c r="D1151" s="7">
        <v>0.33</v>
      </c>
      <c r="E1151" t="s">
        <v>73</v>
      </c>
    </row>
    <row r="1152" spans="1:5" x14ac:dyDescent="0.25">
      <c r="A1152" t="str">
        <f>HYPERLINK("https://www.773grp.com/globalSearch/BAS70-04LT1G/page-1", "BAS70-04LT1G")</f>
        <v>BAS70-04LT1G</v>
      </c>
      <c r="B1152" s="3" t="str">
        <f>HYPERLINK("https://www.773grp.com/manufacturer/onsemi?pageNo=1151", "Onsemi")</f>
        <v>Onsemi</v>
      </c>
      <c r="C1152" s="6">
        <v>17320</v>
      </c>
      <c r="D1152" s="7">
        <v>0.33</v>
      </c>
      <c r="E1152" t="s">
        <v>73</v>
      </c>
    </row>
    <row r="1153" spans="1:5" x14ac:dyDescent="0.25">
      <c r="A1153" t="str">
        <f>HYPERLINK("https://www.773grp.com/globalSearch/BAS70LT1G/page-1", "BAS70LT1G")</f>
        <v>BAS70LT1G</v>
      </c>
      <c r="B1153" s="3" t="str">
        <f>HYPERLINK("https://www.773grp.com/manufacturer/onsemi?pageNo=1152", "Onsemi")</f>
        <v>Onsemi</v>
      </c>
      <c r="C1153" s="6">
        <v>178901</v>
      </c>
      <c r="D1153" s="7">
        <v>0.33</v>
      </c>
      <c r="E1153" t="s">
        <v>73</v>
      </c>
    </row>
    <row r="1154" spans="1:5" x14ac:dyDescent="0.25">
      <c r="A1154" t="str">
        <f>HYPERLINK("https://www.773grp.com/globalSearch/BAT54CTT1G/page-1", "BAT54CTT1G")</f>
        <v>BAT54CTT1G</v>
      </c>
      <c r="B1154" s="3" t="str">
        <f>HYPERLINK("https://www.773grp.com/manufacturer/onsemi?pageNo=1153", "Onsemi")</f>
        <v>Onsemi</v>
      </c>
      <c r="C1154" s="6">
        <v>279040</v>
      </c>
      <c r="D1154" s="7">
        <v>0.33</v>
      </c>
      <c r="E1154" t="s">
        <v>73</v>
      </c>
    </row>
    <row r="1155" spans="1:5" x14ac:dyDescent="0.25">
      <c r="A1155" t="str">
        <f>HYPERLINK("https://www.773grp.com/globalSearch/BAV70DXV6T5G/page-1", "BAV70DXV6T5G")</f>
        <v>BAV70DXV6T5G</v>
      </c>
      <c r="B1155" s="3" t="str">
        <f>HYPERLINK("https://www.773grp.com/manufacturer/onsemi?pageNo=1154", "Onsemi")</f>
        <v>Onsemi</v>
      </c>
      <c r="C1155" s="6">
        <v>5500</v>
      </c>
      <c r="D1155" s="7">
        <v>0.33</v>
      </c>
    </row>
    <row r="1156" spans="1:5" x14ac:dyDescent="0.25">
      <c r="A1156" t="str">
        <f>HYPERLINK("https://www.773grp.com/globalSearch/BC337-025G/page-1", "BC337-025G")</f>
        <v>BC337-025G</v>
      </c>
      <c r="B1156" s="3" t="str">
        <f>HYPERLINK("https://www.773grp.com/manufacturer/onsemi?pageNo=1155", "Onsemi")</f>
        <v>Onsemi</v>
      </c>
      <c r="C1156" s="6">
        <v>47327</v>
      </c>
      <c r="D1156" s="7">
        <v>0.33</v>
      </c>
    </row>
    <row r="1157" spans="1:5" x14ac:dyDescent="0.25">
      <c r="A1157" t="str">
        <f>HYPERLINK("https://www.773grp.com/globalSearch/BC337-040G/page-1", "BC337-040G")</f>
        <v>BC337-040G</v>
      </c>
      <c r="B1157" s="3" t="str">
        <f>HYPERLINK("https://www.773grp.com/manufacturer/onsemi?pageNo=1156", "Onsemi")</f>
        <v>Onsemi</v>
      </c>
      <c r="C1157" s="6">
        <v>49441</v>
      </c>
      <c r="D1157" s="7">
        <v>0.33</v>
      </c>
      <c r="E1157" t="s">
        <v>57</v>
      </c>
    </row>
    <row r="1158" spans="1:5" x14ac:dyDescent="0.25">
      <c r="A1158" t="str">
        <f>HYPERLINK("https://www.773grp.com/globalSearch/BC337-25RL1G/page-1", "BC337-25RL1G")</f>
        <v>BC337-25RL1G</v>
      </c>
      <c r="B1158" s="3" t="str">
        <f>HYPERLINK("https://www.773grp.com/manufacturer/onsemi?pageNo=1157", "Onsemi")</f>
        <v>Onsemi</v>
      </c>
      <c r="C1158" s="6">
        <v>182000</v>
      </c>
      <c r="D1158" s="7">
        <v>0.33</v>
      </c>
      <c r="E1158" t="s">
        <v>57</v>
      </c>
    </row>
    <row r="1159" spans="1:5" x14ac:dyDescent="0.25">
      <c r="A1159" t="str">
        <f>HYPERLINK("https://www.773grp.com/globalSearch/BC337-25ZL1G/page-1", "BC337-25ZL1G")</f>
        <v>BC337-25ZL1G</v>
      </c>
      <c r="B1159" s="3" t="str">
        <f>HYPERLINK("https://www.773grp.com/manufacturer/onsemi?pageNo=1158", "Onsemi")</f>
        <v>Onsemi</v>
      </c>
      <c r="C1159" s="6">
        <v>171000</v>
      </c>
      <c r="D1159" s="7">
        <v>0.33</v>
      </c>
      <c r="E1159" t="s">
        <v>57</v>
      </c>
    </row>
    <row r="1160" spans="1:5" x14ac:dyDescent="0.25">
      <c r="A1160" t="str">
        <f>HYPERLINK("https://www.773grp.com/globalSearch/BC337-40RL1G/page-1", "BC337-40RL1G")</f>
        <v>BC337-40RL1G</v>
      </c>
      <c r="B1160" s="3" t="str">
        <f>HYPERLINK("https://www.773grp.com/manufacturer/onsemi?pageNo=1159", "Onsemi")</f>
        <v>Onsemi</v>
      </c>
      <c r="C1160" s="6">
        <v>34000</v>
      </c>
      <c r="D1160" s="7">
        <v>0.33</v>
      </c>
      <c r="E1160" t="s">
        <v>57</v>
      </c>
    </row>
    <row r="1161" spans="1:5" x14ac:dyDescent="0.25">
      <c r="A1161" t="str">
        <f>HYPERLINK("https://www.773grp.com/globalSearch/BC337-40ZL1G/page-1", "BC337-40ZL1G")</f>
        <v>BC337-40ZL1G</v>
      </c>
      <c r="B1161" s="3" t="str">
        <f>HYPERLINK("https://www.773grp.com/manufacturer/onsemi?pageNo=1160", "Onsemi")</f>
        <v>Onsemi</v>
      </c>
      <c r="C1161" s="6">
        <v>520000</v>
      </c>
      <c r="D1161" s="7">
        <v>0.33</v>
      </c>
      <c r="E1161" t="s">
        <v>57</v>
      </c>
    </row>
    <row r="1162" spans="1:5" x14ac:dyDescent="0.25">
      <c r="A1162" t="str">
        <f>HYPERLINK("https://www.773grp.com/globalSearch/BC337G/page-1", "BC337G")</f>
        <v>BC337G</v>
      </c>
      <c r="B1162" s="3" t="str">
        <f>HYPERLINK("https://www.773grp.com/manufacturer/onsemi?pageNo=1161", "Onsemi")</f>
        <v>Onsemi</v>
      </c>
      <c r="C1162" s="6">
        <v>39376</v>
      </c>
      <c r="D1162" s="7">
        <v>0.33</v>
      </c>
      <c r="E1162" t="s">
        <v>57</v>
      </c>
    </row>
    <row r="1163" spans="1:5" x14ac:dyDescent="0.25">
      <c r="A1163" t="str">
        <f>HYPERLINK("https://www.773grp.com/globalSearch/BC337RL1G/page-1", "BC337RL1G")</f>
        <v>BC337RL1G</v>
      </c>
      <c r="B1163" s="3" t="str">
        <f>HYPERLINK("https://www.773grp.com/manufacturer/onsemi?pageNo=1162", "Onsemi")</f>
        <v>Onsemi</v>
      </c>
      <c r="C1163" s="6">
        <v>15000</v>
      </c>
      <c r="D1163" s="7">
        <v>0.33</v>
      </c>
      <c r="E1163" t="s">
        <v>57</v>
      </c>
    </row>
    <row r="1164" spans="1:5" x14ac:dyDescent="0.25">
      <c r="A1164" t="str">
        <f>HYPERLINK("https://www.773grp.com/globalSearch/BC847BPDXV6T1/page-1", "BC847BPDXV6T1")</f>
        <v>BC847BPDXV6T1</v>
      </c>
      <c r="B1164" s="3" t="str">
        <f>HYPERLINK("https://www.773grp.com/manufacturer/onsemi?pageNo=1163", "Onsemi")</f>
        <v>Onsemi</v>
      </c>
      <c r="C1164" s="6">
        <v>3060</v>
      </c>
      <c r="D1164" s="7">
        <v>0.33</v>
      </c>
      <c r="E1164" t="s">
        <v>57</v>
      </c>
    </row>
    <row r="1165" spans="1:5" x14ac:dyDescent="0.25">
      <c r="A1165" t="str">
        <f>HYPERLINK("https://www.773grp.com/globalSearch/BC847BPDXV6T1G/page-1", "BC847BPDXV6T1G")</f>
        <v>BC847BPDXV6T1G</v>
      </c>
      <c r="B1165" s="3" t="str">
        <f>HYPERLINK("https://www.773grp.com/manufacturer/onsemi?pageNo=1164", "Onsemi")</f>
        <v>Onsemi</v>
      </c>
      <c r="C1165" s="6">
        <v>136000</v>
      </c>
      <c r="D1165" s="7">
        <v>0.33</v>
      </c>
      <c r="E1165" t="s">
        <v>57</v>
      </c>
    </row>
    <row r="1166" spans="1:5" x14ac:dyDescent="0.25">
      <c r="A1166" t="str">
        <f>HYPERLINK("https://www.773grp.com/globalSearch/BC847CDXV6T1G/page-1", "BC847CDXV6T1G")</f>
        <v>BC847CDXV6T1G</v>
      </c>
      <c r="B1166" s="3" t="str">
        <f>HYPERLINK("https://www.773grp.com/manufacturer/onsemi?pageNo=1165", "Onsemi")</f>
        <v>Onsemi</v>
      </c>
      <c r="C1166" s="6">
        <v>20000</v>
      </c>
      <c r="D1166" s="7">
        <v>0.33</v>
      </c>
      <c r="E1166" t="s">
        <v>57</v>
      </c>
    </row>
    <row r="1167" spans="1:5" x14ac:dyDescent="0.25">
      <c r="A1167" t="str">
        <f>HYPERLINK("https://www.773grp.com/globalSearch/BC847CDXV6T5/page-1", "BC847CDXV6T5")</f>
        <v>BC847CDXV6T5</v>
      </c>
      <c r="B1167" s="3" t="str">
        <f>HYPERLINK("https://www.773grp.com/manufacturer/onsemi?pageNo=1166", "Onsemi")</f>
        <v>Onsemi</v>
      </c>
      <c r="C1167" s="6">
        <v>7755</v>
      </c>
      <c r="D1167" s="7">
        <v>0.33</v>
      </c>
      <c r="E1167" t="s">
        <v>57</v>
      </c>
    </row>
    <row r="1168" spans="1:5" x14ac:dyDescent="0.25">
      <c r="A1168" t="str">
        <f>HYPERLINK("https://www.773grp.com/globalSearch/BC848CDXV6T5/page-1", "BC848CDXV6T5")</f>
        <v>BC848CDXV6T5</v>
      </c>
      <c r="B1168" s="3" t="str">
        <f>HYPERLINK("https://www.773grp.com/manufacturer/onsemi?pageNo=1167", "Onsemi")</f>
        <v>Onsemi</v>
      </c>
      <c r="C1168" s="6">
        <v>7953</v>
      </c>
      <c r="D1168" s="7">
        <v>0.33</v>
      </c>
      <c r="E1168" t="s">
        <v>57</v>
      </c>
    </row>
    <row r="1169" spans="1:5" x14ac:dyDescent="0.25">
      <c r="A1169" t="str">
        <f>HYPERLINK("https://www.773grp.com/globalSearch/BDC01DRL1/page-1", "BDC01DRL1")</f>
        <v>BDC01DRL1</v>
      </c>
      <c r="B1169" s="3" t="str">
        <f>HYPERLINK("https://www.773grp.com/manufacturer/onsemi?pageNo=1168", "Onsemi")</f>
        <v>Onsemi</v>
      </c>
      <c r="C1169" s="6">
        <v>12000</v>
      </c>
      <c r="D1169" s="7">
        <v>0.33</v>
      </c>
      <c r="E1169" t="s">
        <v>57</v>
      </c>
    </row>
    <row r="1170" spans="1:5" x14ac:dyDescent="0.25">
      <c r="A1170" t="str">
        <f>HYPERLINK("https://www.773grp.com/globalSearch/BDC01DRL1G/page-1", "BDC01DRL1G")</f>
        <v>BDC01DRL1G</v>
      </c>
      <c r="B1170" s="3" t="str">
        <f>HYPERLINK("https://www.773grp.com/manufacturer/onsemi?pageNo=1169", "Onsemi")</f>
        <v>Onsemi</v>
      </c>
      <c r="C1170" s="6">
        <v>6000</v>
      </c>
      <c r="D1170" s="7">
        <v>0.33</v>
      </c>
      <c r="E1170" t="s">
        <v>57</v>
      </c>
    </row>
    <row r="1171" spans="1:5" x14ac:dyDescent="0.25">
      <c r="A1171" t="str">
        <f>HYPERLINK("https://www.773grp.com/globalSearch/BS107RLRA/page-1", "BS107RLRA")</f>
        <v>BS107RLRA</v>
      </c>
      <c r="B1171" s="3" t="str">
        <f>HYPERLINK("https://www.773grp.com/manufacturer/onsemi?pageNo=1170", "Onsemi")</f>
        <v>Onsemi</v>
      </c>
      <c r="C1171" s="6">
        <v>1500</v>
      </c>
      <c r="D1171" s="7">
        <v>0.33</v>
      </c>
      <c r="E1171" t="s">
        <v>85</v>
      </c>
    </row>
    <row r="1172" spans="1:5" x14ac:dyDescent="0.25">
      <c r="A1172" t="str">
        <f>HYPERLINK("https://www.773grp.com/globalSearch/CM1242-33CP/page-1", "CM1242-33CP")</f>
        <v>CM1242-33CP</v>
      </c>
      <c r="B1172" s="3" t="str">
        <f>HYPERLINK("https://www.773grp.com/manufacturer/onsemi?pageNo=1171", "Onsemi")</f>
        <v>Onsemi</v>
      </c>
      <c r="C1172" s="6">
        <v>1855000</v>
      </c>
      <c r="D1172" s="7">
        <v>0.33</v>
      </c>
    </row>
    <row r="1173" spans="1:5" x14ac:dyDescent="0.25">
      <c r="A1173" t="str">
        <f>HYPERLINK("https://www.773grp.com/globalSearch/DCB010-TB-E/page-1", "DCB010-TB-E")</f>
        <v>DCB010-TB-E</v>
      </c>
      <c r="B1173" s="3" t="str">
        <f>HYPERLINK("https://www.773grp.com/manufacturer/onsemi?pageNo=1172", "Onsemi")</f>
        <v>Onsemi</v>
      </c>
      <c r="C1173" s="6">
        <v>3000</v>
      </c>
      <c r="D1173" s="7">
        <v>0.33</v>
      </c>
    </row>
    <row r="1174" spans="1:5" x14ac:dyDescent="0.25">
      <c r="A1174" t="str">
        <f>HYPERLINK("https://www.773grp.com/globalSearch/DF6A6.8FUT1G/page-1", "DF6A6.8FUT1G")</f>
        <v>DF6A6.8FUT1G</v>
      </c>
      <c r="B1174" s="3" t="str">
        <f>HYPERLINK("https://www.773grp.com/manufacturer/onsemi?pageNo=1173", "Onsemi")</f>
        <v>Onsemi</v>
      </c>
      <c r="C1174" s="6">
        <v>31120</v>
      </c>
      <c r="D1174" s="7">
        <v>0.33</v>
      </c>
      <c r="E1174" t="s">
        <v>75</v>
      </c>
    </row>
    <row r="1175" spans="1:5" x14ac:dyDescent="0.25">
      <c r="A1175" t="str">
        <f>HYPERLINK("https://www.773grp.com/globalSearch/DSK10B/page-1", "DSK10B")</f>
        <v>DSK10B</v>
      </c>
      <c r="B1175" s="3" t="str">
        <f>HYPERLINK("https://www.773grp.com/manufacturer/onsemi?pageNo=1174", "Onsemi")</f>
        <v>Onsemi</v>
      </c>
      <c r="C1175" s="6">
        <v>3000</v>
      </c>
      <c r="D1175" s="7">
        <v>0.33</v>
      </c>
    </row>
    <row r="1176" spans="1:5" x14ac:dyDescent="0.25">
      <c r="A1176" t="str">
        <f>HYPERLINK("https://www.773grp.com/globalSearch/DSK10C/page-1", "DSK10C")</f>
        <v>DSK10C</v>
      </c>
      <c r="B1176" s="3" t="str">
        <f>HYPERLINK("https://www.773grp.com/manufacturer/onsemi?pageNo=1175", "Onsemi")</f>
        <v>Onsemi</v>
      </c>
      <c r="C1176" s="6">
        <v>5000</v>
      </c>
      <c r="D1176" s="7">
        <v>0.33</v>
      </c>
    </row>
    <row r="1177" spans="1:5" x14ac:dyDescent="0.25">
      <c r="A1177" t="str">
        <f>HYPERLINK("https://www.773grp.com/globalSearch/DSK10E/page-1", "DSK10E")</f>
        <v>DSK10E</v>
      </c>
      <c r="B1177" s="3" t="str">
        <f>HYPERLINK("https://www.773grp.com/manufacturer/onsemi?pageNo=1176", "Onsemi")</f>
        <v>Onsemi</v>
      </c>
      <c r="C1177" s="6">
        <v>3500</v>
      </c>
      <c r="D1177" s="7">
        <v>0.33</v>
      </c>
    </row>
    <row r="1178" spans="1:5" x14ac:dyDescent="0.25">
      <c r="A1178" t="str">
        <f>HYPERLINK("https://www.773grp.com/globalSearch/DTC144EET1H/page-1", "DTC144EET1H")</f>
        <v>DTC144EET1H</v>
      </c>
      <c r="B1178" s="3" t="str">
        <f>HYPERLINK("https://www.773grp.com/manufacturer/onsemi?pageNo=1177", "Onsemi")</f>
        <v>Onsemi</v>
      </c>
      <c r="C1178" s="6">
        <v>1116000</v>
      </c>
      <c r="D1178" s="7">
        <v>0.33</v>
      </c>
    </row>
    <row r="1179" spans="1:5" x14ac:dyDescent="0.25">
      <c r="A1179" t="str">
        <f>HYPERLINK("https://www.773grp.com/globalSearch/EMC4DXV5T1/page-1", "EMC4DXV5T1")</f>
        <v>EMC4DXV5T1</v>
      </c>
      <c r="B1179" s="3" t="str">
        <f>HYPERLINK("https://www.773grp.com/manufacturer/onsemi?pageNo=1178", "Onsemi")</f>
        <v>Onsemi</v>
      </c>
      <c r="C1179" s="6">
        <v>311980</v>
      </c>
      <c r="D1179" s="7">
        <v>0.33</v>
      </c>
      <c r="E1179" t="s">
        <v>57</v>
      </c>
    </row>
    <row r="1180" spans="1:5" x14ac:dyDescent="0.25">
      <c r="A1180" t="str">
        <f>HYPERLINK("https://www.773grp.com/globalSearch/EMD4DXV6T1G/page-1", "EMD4DXV6T1G")</f>
        <v>EMD4DXV6T1G</v>
      </c>
      <c r="B1180" s="3" t="str">
        <f>HYPERLINK("https://www.773grp.com/manufacturer/onsemi?pageNo=1179", "Onsemi")</f>
        <v>Onsemi</v>
      </c>
      <c r="C1180" s="6">
        <v>492000</v>
      </c>
      <c r="D1180" s="7">
        <v>0.33</v>
      </c>
      <c r="E1180" t="s">
        <v>57</v>
      </c>
    </row>
    <row r="1181" spans="1:5" x14ac:dyDescent="0.25">
      <c r="A1181" t="str">
        <f>HYPERLINK("https://www.773grp.com/globalSearch/EMD5DXV6T5G/page-1", "EMD5DXV6T5G")</f>
        <v>EMD5DXV6T5G</v>
      </c>
      <c r="B1181" s="3" t="str">
        <f>HYPERLINK("https://www.773grp.com/manufacturer/onsemi?pageNo=1180", "Onsemi")</f>
        <v>Onsemi</v>
      </c>
      <c r="C1181" s="6">
        <v>1424000</v>
      </c>
      <c r="D1181" s="7">
        <v>0.33</v>
      </c>
      <c r="E1181" t="s">
        <v>57</v>
      </c>
    </row>
    <row r="1182" spans="1:5" x14ac:dyDescent="0.25">
      <c r="A1182" t="str">
        <f>HYPERLINK("https://www.773grp.com/globalSearch/EMT1DXV6T1G/page-1", "EMT1DXV6T1G")</f>
        <v>EMT1DXV6T1G</v>
      </c>
      <c r="B1182" s="3" t="str">
        <f>HYPERLINK("https://www.773grp.com/manufacturer/onsemi?pageNo=1181", "Onsemi")</f>
        <v>Onsemi</v>
      </c>
      <c r="C1182" s="6">
        <v>136000</v>
      </c>
      <c r="D1182" s="7">
        <v>0.33</v>
      </c>
      <c r="E1182" t="s">
        <v>57</v>
      </c>
    </row>
    <row r="1183" spans="1:5" x14ac:dyDescent="0.25">
      <c r="A1183" t="str">
        <f>HYPERLINK("https://www.773grp.com/globalSearch/EMT1DXV6T5G/page-1", "EMT1DXV6T5G")</f>
        <v>EMT1DXV6T5G</v>
      </c>
      <c r="B1183" s="3" t="str">
        <f>HYPERLINK("https://www.773grp.com/manufacturer/onsemi?pageNo=1182", "Onsemi")</f>
        <v>Onsemi</v>
      </c>
      <c r="C1183" s="6">
        <v>3319765</v>
      </c>
      <c r="D1183" s="7">
        <v>0.33</v>
      </c>
      <c r="E1183" t="s">
        <v>57</v>
      </c>
    </row>
    <row r="1184" spans="1:5" x14ac:dyDescent="0.25">
      <c r="A1184" t="str">
        <f>HYPERLINK("https://www.773grp.com/globalSearch/EMX1DXV6T1G/page-1", "EMX1DXV6T1G")</f>
        <v>EMX1DXV6T1G</v>
      </c>
      <c r="B1184" s="3" t="str">
        <f>HYPERLINK("https://www.773grp.com/manufacturer/onsemi?pageNo=1183", "Onsemi")</f>
        <v>Onsemi</v>
      </c>
      <c r="C1184" s="6">
        <v>136000</v>
      </c>
      <c r="D1184" s="7">
        <v>0.33</v>
      </c>
      <c r="E1184" t="s">
        <v>57</v>
      </c>
    </row>
    <row r="1185" spans="1:5" x14ac:dyDescent="0.25">
      <c r="A1185" t="str">
        <f>HYPERLINK("https://www.773grp.com/globalSearch/EMX2DXV6T5G/page-1", "EMX2DXV6T5G")</f>
        <v>EMX2DXV6T5G</v>
      </c>
      <c r="B1185" s="3" t="str">
        <f>HYPERLINK("https://www.773grp.com/manufacturer/onsemi?pageNo=1184", "Onsemi")</f>
        <v>Onsemi</v>
      </c>
      <c r="C1185" s="6">
        <v>111800</v>
      </c>
      <c r="D1185" s="7">
        <v>0.33</v>
      </c>
      <c r="E1185" t="s">
        <v>57</v>
      </c>
    </row>
    <row r="1186" spans="1:5" x14ac:dyDescent="0.25">
      <c r="A1186" t="str">
        <f>HYPERLINK("https://www.773grp.com/globalSearch/EMZ1DXV6T5G/page-1", "EMZ1DXV6T5G")</f>
        <v>EMZ1DXV6T5G</v>
      </c>
      <c r="B1186" s="3" t="str">
        <f>HYPERLINK("https://www.773grp.com/manufacturer/onsemi?pageNo=1185", "Onsemi")</f>
        <v>Onsemi</v>
      </c>
      <c r="C1186" s="6">
        <v>183903</v>
      </c>
      <c r="D1186" s="7">
        <v>0.33</v>
      </c>
      <c r="E1186" t="s">
        <v>57</v>
      </c>
    </row>
    <row r="1187" spans="1:5" x14ac:dyDescent="0.25">
      <c r="A1187" t="str">
        <f>HYPERLINK("https://www.773grp.com/globalSearch/ESD11A3.3DT5G/page-1", "ESD11A3.3DT5G")</f>
        <v>ESD11A3.3DT5G</v>
      </c>
      <c r="B1187" s="3" t="str">
        <f>HYPERLINK("https://www.773grp.com/manufacturer/onsemi?pageNo=1186", "Onsemi")</f>
        <v>Onsemi</v>
      </c>
      <c r="C1187" s="6">
        <v>96000</v>
      </c>
      <c r="D1187" s="7">
        <v>0.33</v>
      </c>
    </row>
    <row r="1188" spans="1:5" x14ac:dyDescent="0.25">
      <c r="A1188" t="str">
        <f>HYPERLINK("https://www.773grp.com/globalSearch/ESD9C3.3ST5G/page-1", "ESD9C3.3ST5G")</f>
        <v>ESD9C3.3ST5G</v>
      </c>
      <c r="B1188" s="3" t="str">
        <f>HYPERLINK("https://www.773grp.com/manufacturer/onsemi?pageNo=1187", "Onsemi")</f>
        <v>Onsemi</v>
      </c>
      <c r="C1188" s="6">
        <v>14301</v>
      </c>
      <c r="D1188" s="7">
        <v>0.33</v>
      </c>
      <c r="E1188" t="s">
        <v>75</v>
      </c>
    </row>
    <row r="1189" spans="1:5" x14ac:dyDescent="0.25">
      <c r="A1189" t="str">
        <f>HYPERLINK("https://www.773grp.com/globalSearch/ESD9C5.0ST5G/page-1", "ESD9C5.0ST5G")</f>
        <v>ESD9C5.0ST5G</v>
      </c>
      <c r="B1189" s="3" t="str">
        <f>HYPERLINK("https://www.773grp.com/manufacturer/onsemi?pageNo=1188", "Onsemi")</f>
        <v>Onsemi</v>
      </c>
      <c r="C1189" s="6">
        <v>528000</v>
      </c>
      <c r="D1189" s="7">
        <v>0.33</v>
      </c>
      <c r="E1189" t="s">
        <v>75</v>
      </c>
    </row>
    <row r="1190" spans="1:5" x14ac:dyDescent="0.25">
      <c r="A1190" t="str">
        <f>HYPERLINK("https://www.773grp.com/globalSearch/ESD9X12ST5G/page-1", "ESD9X12ST5G")</f>
        <v>ESD9X12ST5G</v>
      </c>
      <c r="B1190" s="3" t="str">
        <f>HYPERLINK("https://www.773grp.com/manufacturer/onsemi?pageNo=1189", "Onsemi")</f>
        <v>Onsemi</v>
      </c>
      <c r="C1190" s="6">
        <v>1342593</v>
      </c>
      <c r="D1190" s="7">
        <v>0.33</v>
      </c>
      <c r="E1190" t="s">
        <v>75</v>
      </c>
    </row>
    <row r="1191" spans="1:5" x14ac:dyDescent="0.25">
      <c r="A1191" t="str">
        <f>HYPERLINK("https://www.773grp.com/globalSearch/IMH20TR1G/page-1", "IMH20TR1G")</f>
        <v>IMH20TR1G</v>
      </c>
      <c r="B1191" s="3" t="str">
        <f>HYPERLINK("https://www.773grp.com/manufacturer/onsemi?pageNo=1190", "Onsemi")</f>
        <v>Onsemi</v>
      </c>
      <c r="C1191" s="6">
        <v>179925</v>
      </c>
      <c r="D1191" s="7">
        <v>0.33</v>
      </c>
      <c r="E1191" t="s">
        <v>57</v>
      </c>
    </row>
    <row r="1192" spans="1:5" x14ac:dyDescent="0.25">
      <c r="A1192" t="str">
        <f>HYPERLINK("https://www.773grp.com/globalSearch/LM324D/page-1", "LM324D")</f>
        <v>LM324D</v>
      </c>
      <c r="B1192" s="3" t="str">
        <f>HYPERLINK("https://www.773grp.com/manufacturer/onsemi?pageNo=1191", "Onsemi")</f>
        <v>Onsemi</v>
      </c>
      <c r="C1192" s="6">
        <v>4241</v>
      </c>
      <c r="D1192" s="7">
        <v>0.33</v>
      </c>
      <c r="E1192" t="s">
        <v>10</v>
      </c>
    </row>
    <row r="1193" spans="1:5" x14ac:dyDescent="0.25">
      <c r="A1193" t="str">
        <f>HYPERLINK("https://www.773grp.com/globalSearch/LM324DR2/page-1", "LM324DR2")</f>
        <v>LM324DR2</v>
      </c>
      <c r="B1193" s="3" t="str">
        <f>HYPERLINK("https://www.773grp.com/manufacturer/onsemi?pageNo=1192", "Onsemi")</f>
        <v>Onsemi</v>
      </c>
      <c r="C1193" s="6">
        <v>48393</v>
      </c>
      <c r="D1193" s="7">
        <v>0.33</v>
      </c>
      <c r="E1193" t="s">
        <v>10</v>
      </c>
    </row>
    <row r="1194" spans="1:5" x14ac:dyDescent="0.25">
      <c r="A1194" t="str">
        <f>HYPERLINK("https://www.773grp.com/globalSearch/LM339D/page-1", "LM339D")</f>
        <v>LM339D</v>
      </c>
      <c r="B1194" s="3" t="str">
        <f>HYPERLINK("https://www.773grp.com/manufacturer/onsemi?pageNo=1193", "Onsemi")</f>
        <v>Onsemi</v>
      </c>
      <c r="C1194" s="6">
        <v>26717</v>
      </c>
      <c r="D1194" s="7">
        <v>0.33</v>
      </c>
      <c r="E1194" t="s">
        <v>6</v>
      </c>
    </row>
    <row r="1195" spans="1:5" x14ac:dyDescent="0.25">
      <c r="A1195" t="str">
        <f>HYPERLINK("https://www.773grp.com/globalSearch/LM339DR2/page-1", "LM339DR2")</f>
        <v>LM339DR2</v>
      </c>
      <c r="B1195" s="3" t="str">
        <f>HYPERLINK("https://www.773grp.com/manufacturer/onsemi?pageNo=1194", "Onsemi")</f>
        <v>Onsemi</v>
      </c>
      <c r="C1195" s="6">
        <v>19612</v>
      </c>
      <c r="D1195" s="7">
        <v>0.33</v>
      </c>
      <c r="E1195" t="s">
        <v>6</v>
      </c>
    </row>
    <row r="1196" spans="1:5" x14ac:dyDescent="0.25">
      <c r="A1196" t="str">
        <f>HYPERLINK("https://www.773grp.com/globalSearch/LM393DR2/page-1", "LM393DR2")</f>
        <v>LM393DR2</v>
      </c>
      <c r="B1196" s="3" t="str">
        <f>HYPERLINK("https://www.773grp.com/manufacturer/onsemi?pageNo=1195", "Onsemi")</f>
        <v>Onsemi</v>
      </c>
      <c r="C1196" s="6">
        <v>2426</v>
      </c>
      <c r="D1196" s="7">
        <v>0.33</v>
      </c>
      <c r="E1196" t="s">
        <v>6</v>
      </c>
    </row>
    <row r="1197" spans="1:5" x14ac:dyDescent="0.25">
      <c r="A1197" t="str">
        <f>HYPERLINK("https://www.773grp.com/globalSearch/LSMBV1000LT1/page-1", "LSMBV1000LT1")</f>
        <v>LSMBV1000LT1</v>
      </c>
      <c r="B1197" s="3" t="str">
        <f>HYPERLINK("https://www.773grp.com/manufacturer/onsemi?pageNo=1196", "Onsemi")</f>
        <v>Onsemi</v>
      </c>
      <c r="C1197" s="6">
        <v>6000</v>
      </c>
      <c r="D1197" s="7">
        <v>0.33</v>
      </c>
    </row>
    <row r="1198" spans="1:5" x14ac:dyDescent="0.25">
      <c r="A1198" t="str">
        <f>HYPERLINK("https://www.773grp.com/globalSearch/M74VHC1GT00DFT1G/page-1", "M74VHC1GT00DFT1G")</f>
        <v>M74VHC1GT00DFT1G</v>
      </c>
      <c r="B1198" s="3" t="str">
        <f>HYPERLINK("https://www.773grp.com/manufacturer/onsemi?pageNo=1197", "Onsemi")</f>
        <v>Onsemi</v>
      </c>
      <c r="C1198" s="6">
        <v>323458</v>
      </c>
      <c r="D1198" s="7">
        <v>0.33</v>
      </c>
      <c r="E1198" t="s">
        <v>27</v>
      </c>
    </row>
    <row r="1199" spans="1:5" x14ac:dyDescent="0.25">
      <c r="A1199" t="str">
        <f>HYPERLINK("https://www.773grp.com/globalSearch/M74VHC1GT00DFT2G/page-1", "M74VHC1GT00DFT2G")</f>
        <v>M74VHC1GT00DFT2G</v>
      </c>
      <c r="B1199" s="3" t="str">
        <f>HYPERLINK("https://www.773grp.com/manufacturer/onsemi?pageNo=1198", "Onsemi")</f>
        <v>Onsemi</v>
      </c>
      <c r="C1199" s="6">
        <v>126000</v>
      </c>
      <c r="D1199" s="7">
        <v>0.33</v>
      </c>
      <c r="E1199" t="s">
        <v>27</v>
      </c>
    </row>
    <row r="1200" spans="1:5" x14ac:dyDescent="0.25">
      <c r="A1200" t="str">
        <f>HYPERLINK("https://www.773grp.com/globalSearch/M74VHC1GT02DFT1G/page-1", "M74VHC1GT02DFT1G")</f>
        <v>M74VHC1GT02DFT1G</v>
      </c>
      <c r="B1200" s="3" t="str">
        <f>HYPERLINK("https://www.773grp.com/manufacturer/onsemi?pageNo=1199", "Onsemi")</f>
        <v>Onsemi</v>
      </c>
      <c r="C1200" s="6">
        <v>60000</v>
      </c>
      <c r="D1200" s="7">
        <v>0.33</v>
      </c>
      <c r="E1200" t="s">
        <v>27</v>
      </c>
    </row>
    <row r="1201" spans="1:5" x14ac:dyDescent="0.25">
      <c r="A1201" t="str">
        <f>HYPERLINK("https://www.773grp.com/globalSearch/M74VHC1GT02DFT2G/page-1", "M74VHC1GT02DFT2G")</f>
        <v>M74VHC1GT02DFT2G</v>
      </c>
      <c r="B1201" s="3" t="str">
        <f>HYPERLINK("https://www.773grp.com/manufacturer/onsemi?pageNo=1200", "Onsemi")</f>
        <v>Onsemi</v>
      </c>
      <c r="C1201" s="6">
        <v>66000</v>
      </c>
      <c r="D1201" s="7">
        <v>0.33</v>
      </c>
      <c r="E1201" t="s">
        <v>27</v>
      </c>
    </row>
    <row r="1202" spans="1:5" x14ac:dyDescent="0.25">
      <c r="A1202" t="str">
        <f>HYPERLINK("https://www.773grp.com/globalSearch/M74VHC1GT04DFT1G/page-1", "M74VHC1GT04DFT1G")</f>
        <v>M74VHC1GT04DFT1G</v>
      </c>
      <c r="B1202" s="3" t="str">
        <f>HYPERLINK("https://www.773grp.com/manufacturer/onsemi?pageNo=1201", "Onsemi")</f>
        <v>Onsemi</v>
      </c>
      <c r="C1202" s="6">
        <v>507000</v>
      </c>
      <c r="D1202" s="7">
        <v>0.33</v>
      </c>
      <c r="E1202" t="s">
        <v>27</v>
      </c>
    </row>
    <row r="1203" spans="1:5" x14ac:dyDescent="0.25">
      <c r="A1203" t="str">
        <f>HYPERLINK("https://www.773grp.com/globalSearch/M74VHC1GT04DFT2G/page-1", "M74VHC1GT04DFT2G")</f>
        <v>M74VHC1GT04DFT2G</v>
      </c>
      <c r="B1203" s="3" t="str">
        <f>HYPERLINK("https://www.773grp.com/manufacturer/onsemi?pageNo=1202", "Onsemi")</f>
        <v>Onsemi</v>
      </c>
      <c r="C1203" s="6">
        <v>813000</v>
      </c>
      <c r="D1203" s="7">
        <v>0.33</v>
      </c>
      <c r="E1203" t="s">
        <v>27</v>
      </c>
    </row>
    <row r="1204" spans="1:5" x14ac:dyDescent="0.25">
      <c r="A1204" t="str">
        <f>HYPERLINK("https://www.773grp.com/globalSearch/M74VHC1GT08DFT1G/page-1", "M74VHC1GT08DFT1G")</f>
        <v>M74VHC1GT08DFT1G</v>
      </c>
      <c r="B1204" s="3" t="str">
        <f>HYPERLINK("https://www.773grp.com/manufacturer/onsemi?pageNo=1203", "Onsemi")</f>
        <v>Onsemi</v>
      </c>
      <c r="C1204" s="6">
        <v>12000</v>
      </c>
      <c r="D1204" s="7">
        <v>0.33</v>
      </c>
      <c r="E1204" t="s">
        <v>27</v>
      </c>
    </row>
    <row r="1205" spans="1:5" x14ac:dyDescent="0.25">
      <c r="A1205" t="str">
        <f>HYPERLINK("https://www.773grp.com/globalSearch/M74VHC1GT08DFT2G/page-1", "M74VHC1GT08DFT2G")</f>
        <v>M74VHC1GT08DFT2G</v>
      </c>
      <c r="B1205" s="3" t="str">
        <f>HYPERLINK("https://www.773grp.com/manufacturer/onsemi?pageNo=1204", "Onsemi")</f>
        <v>Onsemi</v>
      </c>
      <c r="C1205" s="6">
        <v>612102</v>
      </c>
      <c r="D1205" s="7">
        <v>0.33</v>
      </c>
      <c r="E1205" t="s">
        <v>27</v>
      </c>
    </row>
    <row r="1206" spans="1:5" x14ac:dyDescent="0.25">
      <c r="A1206" t="str">
        <f>HYPERLINK("https://www.773grp.com/globalSearch/M74VHC1GT14DFT1G/page-1", "M74VHC1GT14DFT1G")</f>
        <v>M74VHC1GT14DFT1G</v>
      </c>
      <c r="B1206" s="3" t="str">
        <f>HYPERLINK("https://www.773grp.com/manufacturer/onsemi?pageNo=1205", "Onsemi")</f>
        <v>Onsemi</v>
      </c>
      <c r="C1206" s="6">
        <v>24000</v>
      </c>
      <c r="D1206" s="7">
        <v>0.33</v>
      </c>
      <c r="E1206" t="s">
        <v>27</v>
      </c>
    </row>
    <row r="1207" spans="1:5" x14ac:dyDescent="0.25">
      <c r="A1207" t="str">
        <f>HYPERLINK("https://www.773grp.com/globalSearch/M74VHC1GT14DFT2G/page-1", "M74VHC1GT14DFT2G")</f>
        <v>M74VHC1GT14DFT2G</v>
      </c>
      <c r="B1207" s="3" t="str">
        <f>HYPERLINK("https://www.773grp.com/manufacturer/onsemi?pageNo=1206", "Onsemi")</f>
        <v>Onsemi</v>
      </c>
      <c r="C1207" s="6">
        <v>60000</v>
      </c>
      <c r="D1207" s="7">
        <v>0.33</v>
      </c>
      <c r="E1207" t="s">
        <v>27</v>
      </c>
    </row>
    <row r="1208" spans="1:5" x14ac:dyDescent="0.25">
      <c r="A1208" t="str">
        <f>HYPERLINK("https://www.773grp.com/globalSearch/M74VHC1GT32DFT1G/page-1", "M74VHC1GT32DFT1G")</f>
        <v>M74VHC1GT32DFT1G</v>
      </c>
      <c r="B1208" s="3" t="str">
        <f>HYPERLINK("https://www.773grp.com/manufacturer/onsemi?pageNo=1207", "Onsemi")</f>
        <v>Onsemi</v>
      </c>
      <c r="C1208" s="6">
        <v>558496</v>
      </c>
      <c r="D1208" s="7">
        <v>0.33</v>
      </c>
      <c r="E1208" t="s">
        <v>27</v>
      </c>
    </row>
    <row r="1209" spans="1:5" x14ac:dyDescent="0.25">
      <c r="A1209" t="str">
        <f>HYPERLINK("https://www.773grp.com/globalSearch/M74VHC1GT32DFT2G/page-1", "M74VHC1GT32DFT2G")</f>
        <v>M74VHC1GT32DFT2G</v>
      </c>
      <c r="B1209" s="3" t="str">
        <f>HYPERLINK("https://www.773grp.com/manufacturer/onsemi?pageNo=1208", "Onsemi")</f>
        <v>Onsemi</v>
      </c>
      <c r="C1209" s="6">
        <v>237448</v>
      </c>
      <c r="D1209" s="7">
        <v>0.33</v>
      </c>
      <c r="E1209" t="s">
        <v>27</v>
      </c>
    </row>
    <row r="1210" spans="1:5" x14ac:dyDescent="0.25">
      <c r="A1210" t="str">
        <f>HYPERLINK("https://www.773grp.com/globalSearch/M74VHC1GU04DFT2G/page-1", "M74VHC1GU04DFT2G")</f>
        <v>M74VHC1GU04DFT2G</v>
      </c>
      <c r="B1210" s="3" t="str">
        <f>HYPERLINK("https://www.773grp.com/manufacturer/onsemi?pageNo=1209", "Onsemi")</f>
        <v>Onsemi</v>
      </c>
      <c r="C1210" s="6">
        <v>501000</v>
      </c>
      <c r="D1210" s="7">
        <v>0.33</v>
      </c>
      <c r="E1210" t="s">
        <v>27</v>
      </c>
    </row>
    <row r="1211" spans="1:5" x14ac:dyDescent="0.25">
      <c r="A1211" t="str">
        <f>HYPERLINK("https://www.773grp.com/globalSearch/MA3075WALT1G/page-1", "MA3075WALT1G")</f>
        <v>MA3075WALT1G</v>
      </c>
      <c r="B1211" s="3" t="str">
        <f>HYPERLINK("https://www.773grp.com/manufacturer/onsemi?pageNo=1210", "Onsemi")</f>
        <v>Onsemi</v>
      </c>
      <c r="C1211" s="6">
        <v>12000</v>
      </c>
      <c r="D1211" s="7">
        <v>0.33</v>
      </c>
      <c r="E1211" t="s">
        <v>75</v>
      </c>
    </row>
    <row r="1212" spans="1:5" x14ac:dyDescent="0.25">
      <c r="A1212" t="str">
        <f>HYPERLINK("https://www.773grp.com/globalSearch/MAC97A6RL1/page-1", "MAC97A6RL1")</f>
        <v>MAC97A6RL1</v>
      </c>
      <c r="B1212" s="3" t="str">
        <f>HYPERLINK("https://www.773grp.com/manufacturer/onsemi?pageNo=1211", "Onsemi")</f>
        <v>Onsemi</v>
      </c>
      <c r="C1212" s="6">
        <v>60000</v>
      </c>
      <c r="D1212" s="7">
        <v>0.33</v>
      </c>
      <c r="E1212" t="s">
        <v>81</v>
      </c>
    </row>
    <row r="1213" spans="1:5" x14ac:dyDescent="0.25">
      <c r="A1213" t="str">
        <f>HYPERLINK("https://www.773grp.com/globalSearch/MBD110DWT1G/page-1", "MBD110DWT1G")</f>
        <v>MBD110DWT1G</v>
      </c>
      <c r="B1213" s="3" t="str">
        <f>HYPERLINK("https://www.773grp.com/manufacturer/onsemi?pageNo=1212", "Onsemi")</f>
        <v>Onsemi</v>
      </c>
      <c r="C1213" s="6">
        <v>42000</v>
      </c>
      <c r="D1213" s="7">
        <v>0.33</v>
      </c>
      <c r="E1213" t="s">
        <v>87</v>
      </c>
    </row>
    <row r="1214" spans="1:5" x14ac:dyDescent="0.25">
      <c r="A1214" t="str">
        <f>HYPERLINK("https://www.773grp.com/globalSearch/MBD54DWT1/page-1", "MBD54DWT1")</f>
        <v>MBD54DWT1</v>
      </c>
      <c r="B1214" s="3" t="str">
        <f>HYPERLINK("https://www.773grp.com/manufacturer/onsemi?pageNo=1213", "Onsemi")</f>
        <v>Onsemi</v>
      </c>
      <c r="C1214" s="6">
        <v>45000</v>
      </c>
      <c r="D1214" s="7">
        <v>0.33</v>
      </c>
      <c r="E1214" t="s">
        <v>73</v>
      </c>
    </row>
    <row r="1215" spans="1:5" x14ac:dyDescent="0.25">
      <c r="A1215" t="str">
        <f>HYPERLINK("https://www.773grp.com/globalSearch/MBR0520LT1G/page-1", "MBR0520LT1G")</f>
        <v>MBR0520LT1G</v>
      </c>
      <c r="B1215" s="3" t="str">
        <f>HYPERLINK("https://www.773grp.com/manufacturer/onsemi?pageNo=1214", "Onsemi")</f>
        <v>Onsemi</v>
      </c>
      <c r="C1215" s="6">
        <v>234330</v>
      </c>
      <c r="D1215" s="7">
        <v>0.33</v>
      </c>
      <c r="E1215" t="s">
        <v>73</v>
      </c>
    </row>
    <row r="1216" spans="1:5" x14ac:dyDescent="0.25">
      <c r="A1216" t="str">
        <f>HYPERLINK("https://www.773grp.com/globalSearch/MBR0520LT3G/page-1", "MBR0520LT3G")</f>
        <v>MBR0520LT3G</v>
      </c>
      <c r="B1216" s="3" t="str">
        <f>HYPERLINK("https://www.773grp.com/manufacturer/onsemi?pageNo=1215", "Onsemi")</f>
        <v>Onsemi</v>
      </c>
      <c r="C1216" s="6">
        <v>10000</v>
      </c>
      <c r="D1216" s="7">
        <v>0.33</v>
      </c>
    </row>
    <row r="1217" spans="1:5" x14ac:dyDescent="0.25">
      <c r="A1217" t="str">
        <f>HYPERLINK("https://www.773grp.com/globalSearch/MBR0530T1G/page-1", "MBR0530T1G")</f>
        <v>MBR0530T1G</v>
      </c>
      <c r="B1217" s="3" t="str">
        <f>HYPERLINK("https://www.773grp.com/manufacturer/onsemi?pageNo=1216", "Onsemi")</f>
        <v>Onsemi</v>
      </c>
      <c r="C1217" s="6">
        <v>41994</v>
      </c>
      <c r="D1217" s="7">
        <v>0.33</v>
      </c>
      <c r="E1217" t="s">
        <v>73</v>
      </c>
    </row>
    <row r="1218" spans="1:5" x14ac:dyDescent="0.25">
      <c r="A1218" t="str">
        <f>HYPERLINK("https://www.773grp.com/globalSearch/MBR0530T3G/page-1", "MBR0530T3G")</f>
        <v>MBR0530T3G</v>
      </c>
      <c r="B1218" s="3" t="str">
        <f>HYPERLINK("https://www.773grp.com/manufacturer/onsemi?pageNo=1217", "Onsemi")</f>
        <v>Onsemi</v>
      </c>
      <c r="C1218" s="6">
        <v>120000</v>
      </c>
      <c r="D1218" s="7">
        <v>0.33</v>
      </c>
      <c r="E1218" t="s">
        <v>73</v>
      </c>
    </row>
    <row r="1219" spans="1:5" x14ac:dyDescent="0.25">
      <c r="A1219" t="str">
        <f>HYPERLINK("https://www.773grp.com/globalSearch/MBR0540T1G/page-1", "MBR0540T1G")</f>
        <v>MBR0540T1G</v>
      </c>
      <c r="B1219" s="3" t="str">
        <f>HYPERLINK("https://www.773grp.com/manufacturer/onsemi?pageNo=1218", "Onsemi")</f>
        <v>Onsemi</v>
      </c>
      <c r="C1219" s="6">
        <v>75604</v>
      </c>
      <c r="D1219" s="7">
        <v>0.33</v>
      </c>
      <c r="E1219" t="s">
        <v>73</v>
      </c>
    </row>
    <row r="1220" spans="1:5" x14ac:dyDescent="0.25">
      <c r="A1220" t="str">
        <f>HYPERLINK("https://www.773grp.com/globalSearch/MBR0540T3G/page-1", "MBR0540T3G")</f>
        <v>MBR0540T3G</v>
      </c>
      <c r="B1220" s="3" t="str">
        <f>HYPERLINK("https://www.773grp.com/manufacturer/onsemi?pageNo=1219", "Onsemi")</f>
        <v>Onsemi</v>
      </c>
      <c r="C1220" s="6">
        <v>10000</v>
      </c>
      <c r="D1220" s="7">
        <v>0.33</v>
      </c>
      <c r="E1220" t="s">
        <v>73</v>
      </c>
    </row>
    <row r="1221" spans="1:5" x14ac:dyDescent="0.25">
      <c r="A1221" t="str">
        <f>HYPERLINK("https://www.773grp.com/globalSearch/MBRS260T3/page-1", "MBRS260T3")</f>
        <v>MBRS260T3</v>
      </c>
      <c r="B1221" s="3" t="str">
        <f>HYPERLINK("https://www.773grp.com/manufacturer/onsemi?pageNo=1220", "Onsemi")</f>
        <v>Onsemi</v>
      </c>
      <c r="C1221" s="6">
        <v>90</v>
      </c>
      <c r="D1221" s="7">
        <v>0.33</v>
      </c>
      <c r="E1221" t="s">
        <v>82</v>
      </c>
    </row>
    <row r="1222" spans="1:5" x14ac:dyDescent="0.25">
      <c r="A1222" t="str">
        <f>HYPERLINK("https://www.773grp.com/globalSearch/MC14093BF/page-1", "MC14093BF")</f>
        <v>MC14093BF</v>
      </c>
      <c r="B1222" s="3" t="str">
        <f>HYPERLINK("https://www.773grp.com/manufacturer/onsemi?pageNo=1221", "Onsemi")</f>
        <v>Onsemi</v>
      </c>
      <c r="C1222" s="6">
        <v>9</v>
      </c>
      <c r="D1222" s="7">
        <v>0.33</v>
      </c>
      <c r="E1222" t="s">
        <v>27</v>
      </c>
    </row>
    <row r="1223" spans="1:5" x14ac:dyDescent="0.25">
      <c r="A1223" t="str">
        <f>HYPERLINK("https://www.773grp.com/globalSearch/MC74ACT10D/page-1", "MC74ACT10D")</f>
        <v>MC74ACT10D</v>
      </c>
      <c r="B1223" s="3" t="str">
        <f>HYPERLINK("https://www.773grp.com/manufacturer/onsemi?pageNo=1222", "Onsemi")</f>
        <v>Onsemi</v>
      </c>
      <c r="C1223" s="6">
        <v>5610</v>
      </c>
      <c r="D1223" s="7">
        <v>0.33</v>
      </c>
      <c r="E1223" t="s">
        <v>27</v>
      </c>
    </row>
    <row r="1224" spans="1:5" x14ac:dyDescent="0.25">
      <c r="A1224" t="str">
        <f>HYPERLINK("https://www.773grp.com/globalSearch/MC74ACT11D/page-1", "MC74ACT11D")</f>
        <v>MC74ACT11D</v>
      </c>
      <c r="B1224" s="3" t="str">
        <f>HYPERLINK("https://www.773grp.com/manufacturer/onsemi?pageNo=1223", "Onsemi")</f>
        <v>Onsemi</v>
      </c>
      <c r="C1224" s="6">
        <v>19887</v>
      </c>
      <c r="D1224" s="7">
        <v>0.33</v>
      </c>
      <c r="E1224" t="s">
        <v>27</v>
      </c>
    </row>
    <row r="1225" spans="1:5" x14ac:dyDescent="0.25">
      <c r="A1225" t="str">
        <f>HYPERLINK("https://www.773grp.com/globalSearch/MC74HC00AD/page-1", "MC74HC00AD")</f>
        <v>MC74HC00AD</v>
      </c>
      <c r="B1225" s="3" t="str">
        <f>HYPERLINK("https://www.773grp.com/manufacturer/onsemi?pageNo=1224", "Onsemi")</f>
        <v>Onsemi</v>
      </c>
      <c r="C1225" s="6">
        <v>20192</v>
      </c>
      <c r="D1225" s="7">
        <v>0.33</v>
      </c>
      <c r="E1225" t="s">
        <v>27</v>
      </c>
    </row>
    <row r="1226" spans="1:5" x14ac:dyDescent="0.25">
      <c r="A1226" t="str">
        <f>HYPERLINK("https://www.773grp.com/globalSearch/MC74HC00ADR2/page-1", "MC74HC00ADR2")</f>
        <v>MC74HC00ADR2</v>
      </c>
      <c r="B1226" s="3" t="str">
        <f>HYPERLINK("https://www.773grp.com/manufacturer/onsemi?pageNo=1225", "Onsemi")</f>
        <v>Onsemi</v>
      </c>
      <c r="C1226" s="6">
        <v>71130</v>
      </c>
      <c r="D1226" s="7">
        <v>0.33</v>
      </c>
      <c r="E1226" t="s">
        <v>27</v>
      </c>
    </row>
    <row r="1227" spans="1:5" x14ac:dyDescent="0.25">
      <c r="A1227" t="str">
        <f>HYPERLINK("https://www.773grp.com/globalSearch/MC74HC00ADT/page-1", "MC74HC00ADT")</f>
        <v>MC74HC00ADT</v>
      </c>
      <c r="B1227" s="3" t="str">
        <f>HYPERLINK("https://www.773grp.com/manufacturer/onsemi?pageNo=1226", "Onsemi")</f>
        <v>Onsemi</v>
      </c>
      <c r="C1227" s="6">
        <v>1973</v>
      </c>
      <c r="D1227" s="7">
        <v>0.33</v>
      </c>
      <c r="E1227" t="s">
        <v>27</v>
      </c>
    </row>
    <row r="1228" spans="1:5" x14ac:dyDescent="0.25">
      <c r="A1228" t="str">
        <f>HYPERLINK("https://www.773grp.com/globalSearch/MC74HC02AD/page-1", "MC74HC02AD")</f>
        <v>MC74HC02AD</v>
      </c>
      <c r="B1228" s="3" t="str">
        <f>HYPERLINK("https://www.773grp.com/manufacturer/onsemi?pageNo=1227", "Onsemi")</f>
        <v>Onsemi</v>
      </c>
      <c r="C1228" s="6">
        <v>10526</v>
      </c>
      <c r="D1228" s="7">
        <v>0.33</v>
      </c>
      <c r="E1228" t="s">
        <v>27</v>
      </c>
    </row>
    <row r="1229" spans="1:5" x14ac:dyDescent="0.25">
      <c r="A1229" t="str">
        <f>HYPERLINK("https://www.773grp.com/globalSearch/MC74HC02ADR2/page-1", "MC74HC02ADR2")</f>
        <v>MC74HC02ADR2</v>
      </c>
      <c r="B1229" s="3" t="str">
        <f>HYPERLINK("https://www.773grp.com/manufacturer/onsemi?pageNo=1228", "Onsemi")</f>
        <v>Onsemi</v>
      </c>
      <c r="C1229" s="6">
        <v>86860</v>
      </c>
      <c r="D1229" s="7">
        <v>0.33</v>
      </c>
      <c r="E1229" t="s">
        <v>27</v>
      </c>
    </row>
    <row r="1230" spans="1:5" x14ac:dyDescent="0.25">
      <c r="A1230" t="str">
        <f>HYPERLINK("https://www.773grp.com/globalSearch/MC74HC02ADT/page-1", "MC74HC02ADT")</f>
        <v>MC74HC02ADT</v>
      </c>
      <c r="B1230" s="3" t="str">
        <f>HYPERLINK("https://www.773grp.com/manufacturer/onsemi?pageNo=1229", "Onsemi")</f>
        <v>Onsemi</v>
      </c>
      <c r="C1230" s="6">
        <v>1778</v>
      </c>
      <c r="D1230" s="7">
        <v>0.33</v>
      </c>
      <c r="E1230" t="s">
        <v>27</v>
      </c>
    </row>
    <row r="1231" spans="1:5" x14ac:dyDescent="0.25">
      <c r="A1231" t="str">
        <f>HYPERLINK("https://www.773grp.com/globalSearch/MC74HC03AD/page-1", "MC74HC03AD")</f>
        <v>MC74HC03AD</v>
      </c>
      <c r="B1231" s="3" t="str">
        <f>HYPERLINK("https://www.773grp.com/manufacturer/onsemi?pageNo=1230", "Onsemi")</f>
        <v>Onsemi</v>
      </c>
      <c r="C1231" s="6">
        <v>3250</v>
      </c>
      <c r="D1231" s="7">
        <v>0.33</v>
      </c>
      <c r="E1231" t="s">
        <v>27</v>
      </c>
    </row>
    <row r="1232" spans="1:5" x14ac:dyDescent="0.25">
      <c r="A1232" t="str">
        <f>HYPERLINK("https://www.773grp.com/globalSearch/MC74HC03ADR2/page-1", "MC74HC03ADR2")</f>
        <v>MC74HC03ADR2</v>
      </c>
      <c r="B1232" s="3" t="str">
        <f>HYPERLINK("https://www.773grp.com/manufacturer/onsemi?pageNo=1231", "Onsemi")</f>
        <v>Onsemi</v>
      </c>
      <c r="C1232" s="6">
        <v>5000</v>
      </c>
      <c r="D1232" s="7">
        <v>0.33</v>
      </c>
      <c r="E1232" t="s">
        <v>27</v>
      </c>
    </row>
    <row r="1233" spans="1:5" x14ac:dyDescent="0.25">
      <c r="A1233" t="str">
        <f>HYPERLINK("https://www.773grp.com/globalSearch/MC74HC03ADT/page-1", "MC74HC03ADT")</f>
        <v>MC74HC03ADT</v>
      </c>
      <c r="B1233" s="3" t="str">
        <f>HYPERLINK("https://www.773grp.com/manufacturer/onsemi?pageNo=1232", "Onsemi")</f>
        <v>Onsemi</v>
      </c>
      <c r="C1233" s="6">
        <v>2886</v>
      </c>
      <c r="D1233" s="7">
        <v>0.33</v>
      </c>
      <c r="E1233" t="s">
        <v>27</v>
      </c>
    </row>
    <row r="1234" spans="1:5" x14ac:dyDescent="0.25">
      <c r="A1234" t="str">
        <f>HYPERLINK("https://www.773grp.com/globalSearch/MC74HC08ADT/page-1", "MC74HC08ADT")</f>
        <v>MC74HC08ADT</v>
      </c>
      <c r="B1234" s="3" t="str">
        <f>HYPERLINK("https://www.773grp.com/manufacturer/onsemi?pageNo=1233", "Onsemi")</f>
        <v>Onsemi</v>
      </c>
      <c r="C1234" s="6">
        <v>3936</v>
      </c>
      <c r="D1234" s="7">
        <v>0.33</v>
      </c>
      <c r="E1234" t="s">
        <v>27</v>
      </c>
    </row>
    <row r="1235" spans="1:5" x14ac:dyDescent="0.25">
      <c r="A1235" t="str">
        <f>HYPERLINK("https://www.773grp.com/globalSearch/MC74HC08ADTR2/page-1", "MC74HC08ADTR2")</f>
        <v>MC74HC08ADTR2</v>
      </c>
      <c r="B1235" s="3" t="str">
        <f>HYPERLINK("https://www.773grp.com/manufacturer/onsemi?pageNo=1234", "Onsemi")</f>
        <v>Onsemi</v>
      </c>
      <c r="C1235" s="6">
        <v>7500</v>
      </c>
      <c r="D1235" s="7">
        <v>0.33</v>
      </c>
      <c r="E1235" t="s">
        <v>27</v>
      </c>
    </row>
    <row r="1236" spans="1:5" x14ac:dyDescent="0.25">
      <c r="A1236" t="str">
        <f>HYPERLINK("https://www.773grp.com/globalSearch/MC74HC11FL1/page-1", "MC74HC11FL1")</f>
        <v>MC74HC11FL1</v>
      </c>
      <c r="B1236" s="3" t="str">
        <f>HYPERLINK("https://www.773grp.com/manufacturer/onsemi?pageNo=1235", "Onsemi")</f>
        <v>Onsemi</v>
      </c>
      <c r="C1236" s="6">
        <v>4000</v>
      </c>
      <c r="D1236" s="7">
        <v>0.33</v>
      </c>
    </row>
    <row r="1237" spans="1:5" x14ac:dyDescent="0.25">
      <c r="A1237" t="str">
        <f>HYPERLINK("https://www.773grp.com/globalSearch/MC74HC1G00DFT1G/page-1", "MC74HC1G00DFT1G")</f>
        <v>MC74HC1G00DFT1G</v>
      </c>
      <c r="B1237" s="3" t="str">
        <f>HYPERLINK("https://www.773grp.com/manufacturer/onsemi?pageNo=1236", "Onsemi")</f>
        <v>Onsemi</v>
      </c>
      <c r="C1237" s="6">
        <v>333000</v>
      </c>
      <c r="D1237" s="7">
        <v>0.33</v>
      </c>
      <c r="E1237" t="s">
        <v>27</v>
      </c>
    </row>
    <row r="1238" spans="1:5" x14ac:dyDescent="0.25">
      <c r="A1238" t="str">
        <f>HYPERLINK("https://www.773grp.com/globalSearch/MC74HC1G00DFT2G/page-1", "MC74HC1G00DFT2G")</f>
        <v>MC74HC1G00DFT2G</v>
      </c>
      <c r="B1238" s="3" t="str">
        <f>HYPERLINK("https://www.773grp.com/manufacturer/onsemi?pageNo=1237", "Onsemi")</f>
        <v>Onsemi</v>
      </c>
      <c r="C1238" s="6">
        <v>197814</v>
      </c>
      <c r="D1238" s="7">
        <v>0.33</v>
      </c>
      <c r="E1238" t="s">
        <v>27</v>
      </c>
    </row>
    <row r="1239" spans="1:5" x14ac:dyDescent="0.25">
      <c r="A1239" t="str">
        <f>HYPERLINK("https://www.773grp.com/globalSearch/MC74HC1G02DFT2G/page-1", "MC74HC1G02DFT2G")</f>
        <v>MC74HC1G02DFT2G</v>
      </c>
      <c r="B1239" s="3" t="str">
        <f>HYPERLINK("https://www.773grp.com/manufacturer/onsemi?pageNo=1238", "Onsemi")</f>
        <v>Onsemi</v>
      </c>
      <c r="C1239" s="6">
        <v>201000</v>
      </c>
      <c r="D1239" s="7">
        <v>0.33</v>
      </c>
      <c r="E1239" t="s">
        <v>27</v>
      </c>
    </row>
    <row r="1240" spans="1:5" x14ac:dyDescent="0.25">
      <c r="A1240" t="str">
        <f>HYPERLINK("https://www.773grp.com/globalSearch/MC74HC1G04DFT1G/page-1", "MC74HC1G04DFT1G")</f>
        <v>MC74HC1G04DFT1G</v>
      </c>
      <c r="B1240" s="3" t="str">
        <f>HYPERLINK("https://www.773grp.com/manufacturer/onsemi?pageNo=1239", "Onsemi")</f>
        <v>Onsemi</v>
      </c>
      <c r="C1240" s="6">
        <v>350138</v>
      </c>
      <c r="D1240" s="7">
        <v>0.33</v>
      </c>
      <c r="E1240" t="s">
        <v>27</v>
      </c>
    </row>
    <row r="1241" spans="1:5" x14ac:dyDescent="0.25">
      <c r="A1241" t="str">
        <f>HYPERLINK("https://www.773grp.com/globalSearch/MC74HC1G04DFT2G/page-1", "MC74HC1G04DFT2G")</f>
        <v>MC74HC1G04DFT2G</v>
      </c>
      <c r="B1241" s="3" t="str">
        <f>HYPERLINK("https://www.773grp.com/manufacturer/onsemi?pageNo=1240", "Onsemi")</f>
        <v>Onsemi</v>
      </c>
      <c r="C1241" s="6">
        <v>75000</v>
      </c>
      <c r="D1241" s="7">
        <v>0.33</v>
      </c>
      <c r="E1241" t="s">
        <v>27</v>
      </c>
    </row>
    <row r="1242" spans="1:5" x14ac:dyDescent="0.25">
      <c r="A1242" t="str">
        <f>HYPERLINK("https://www.773grp.com/globalSearch/MC74HC1G08DFT1G/page-1", "MC74HC1G08DFT1G")</f>
        <v>MC74HC1G08DFT1G</v>
      </c>
      <c r="B1242" s="3" t="str">
        <f>HYPERLINK("https://www.773grp.com/manufacturer/onsemi?pageNo=1241", "Onsemi")</f>
        <v>Onsemi</v>
      </c>
      <c r="C1242" s="6">
        <v>56933</v>
      </c>
      <c r="D1242" s="7">
        <v>0.33</v>
      </c>
      <c r="E1242" t="s">
        <v>27</v>
      </c>
    </row>
    <row r="1243" spans="1:5" x14ac:dyDescent="0.25">
      <c r="A1243" t="str">
        <f>HYPERLINK("https://www.773grp.com/globalSearch/MC74HC1G08DFT2G/page-1", "MC74HC1G08DFT2G")</f>
        <v>MC74HC1G08DFT2G</v>
      </c>
      <c r="B1243" s="3" t="str">
        <f>HYPERLINK("https://www.773grp.com/manufacturer/onsemi?pageNo=1242", "Onsemi")</f>
        <v>Onsemi</v>
      </c>
      <c r="C1243" s="6">
        <v>1898315</v>
      </c>
      <c r="D1243" s="7">
        <v>0.33</v>
      </c>
      <c r="E1243" t="s">
        <v>27</v>
      </c>
    </row>
    <row r="1244" spans="1:5" x14ac:dyDescent="0.25">
      <c r="A1244" t="str">
        <f>HYPERLINK("https://www.773grp.com/globalSearch/MC74HC1G14DFT1G/page-1", "MC74HC1G14DFT1G")</f>
        <v>MC74HC1G14DFT1G</v>
      </c>
      <c r="B1244" s="3" t="str">
        <f>HYPERLINK("https://www.773grp.com/manufacturer/onsemi?pageNo=1243", "Onsemi")</f>
        <v>Onsemi</v>
      </c>
      <c r="C1244" s="6">
        <v>33000</v>
      </c>
      <c r="D1244" s="7">
        <v>0.33</v>
      </c>
      <c r="E1244" t="s">
        <v>27</v>
      </c>
    </row>
    <row r="1245" spans="1:5" x14ac:dyDescent="0.25">
      <c r="A1245" t="str">
        <f>HYPERLINK("https://www.773grp.com/globalSearch/MC74HC1G14DFT2G/page-1", "MC74HC1G14DFT2G")</f>
        <v>MC74HC1G14DFT2G</v>
      </c>
      <c r="B1245" s="3" t="str">
        <f>HYPERLINK("https://www.773grp.com/manufacturer/onsemi?pageNo=1244", "Onsemi")</f>
        <v>Onsemi</v>
      </c>
      <c r="C1245" s="6">
        <v>885217</v>
      </c>
      <c r="D1245" s="7">
        <v>0.33</v>
      </c>
      <c r="E1245" t="s">
        <v>27</v>
      </c>
    </row>
    <row r="1246" spans="1:5" x14ac:dyDescent="0.25">
      <c r="A1246" t="str">
        <f>HYPERLINK("https://www.773grp.com/globalSearch/MC74HC1G32DFT1G/page-1", "MC74HC1G32DFT1G")</f>
        <v>MC74HC1G32DFT1G</v>
      </c>
      <c r="B1246" s="3" t="str">
        <f>HYPERLINK("https://www.773grp.com/manufacturer/onsemi?pageNo=1245", "Onsemi")</f>
        <v>Onsemi</v>
      </c>
      <c r="C1246" s="6">
        <v>123000</v>
      </c>
      <c r="D1246" s="7">
        <v>0.33</v>
      </c>
      <c r="E1246" t="s">
        <v>27</v>
      </c>
    </row>
    <row r="1247" spans="1:5" x14ac:dyDescent="0.25">
      <c r="A1247" t="str">
        <f>HYPERLINK("https://www.773grp.com/globalSearch/MC74HC1G32DFT2G/page-1", "MC74HC1G32DFT2G")</f>
        <v>MC74HC1G32DFT2G</v>
      </c>
      <c r="B1247" s="3" t="str">
        <f>HYPERLINK("https://www.773grp.com/manufacturer/onsemi?pageNo=1246", "Onsemi")</f>
        <v>Onsemi</v>
      </c>
      <c r="C1247" s="6">
        <v>387944</v>
      </c>
      <c r="D1247" s="7">
        <v>0.33</v>
      </c>
      <c r="E1247" t="s">
        <v>27</v>
      </c>
    </row>
    <row r="1248" spans="1:5" x14ac:dyDescent="0.25">
      <c r="A1248" t="str">
        <f>HYPERLINK("https://www.773grp.com/globalSearch/MC74HC1GU04DFT1G/page-1", "MC74HC1GU04DFT1G")</f>
        <v>MC74HC1GU04DFT1G</v>
      </c>
      <c r="B1248" s="3" t="str">
        <f>HYPERLINK("https://www.773grp.com/manufacturer/onsemi?pageNo=1247", "Onsemi")</f>
        <v>Onsemi</v>
      </c>
      <c r="C1248" s="6">
        <v>57000</v>
      </c>
      <c r="D1248" s="7">
        <v>0.33</v>
      </c>
      <c r="E1248" t="s">
        <v>27</v>
      </c>
    </row>
    <row r="1249" spans="1:5" x14ac:dyDescent="0.25">
      <c r="A1249" t="str">
        <f>HYPERLINK("https://www.773grp.com/globalSearch/MC74HC1GU04DFT2G/page-1", "MC74HC1GU04DFT2G")</f>
        <v>MC74HC1GU04DFT2G</v>
      </c>
      <c r="B1249" s="3" t="str">
        <f>HYPERLINK("https://www.773grp.com/manufacturer/onsemi?pageNo=1248", "Onsemi")</f>
        <v>Onsemi</v>
      </c>
      <c r="C1249" s="6">
        <v>17830</v>
      </c>
      <c r="D1249" s="7">
        <v>0.33</v>
      </c>
      <c r="E1249" t="s">
        <v>27</v>
      </c>
    </row>
    <row r="1250" spans="1:5" x14ac:dyDescent="0.25">
      <c r="A1250" t="str">
        <f>HYPERLINK("https://www.773grp.com/globalSearch/MC74HC86AD/page-1", "MC74HC86AD")</f>
        <v>MC74HC86AD</v>
      </c>
      <c r="B1250" s="3" t="str">
        <f>HYPERLINK("https://www.773grp.com/manufacturer/onsemi?pageNo=1249", "Onsemi")</f>
        <v>Onsemi</v>
      </c>
      <c r="C1250" s="6">
        <v>3169</v>
      </c>
      <c r="D1250" s="7">
        <v>0.33</v>
      </c>
      <c r="E1250" t="s">
        <v>27</v>
      </c>
    </row>
    <row r="1251" spans="1:5" x14ac:dyDescent="0.25">
      <c r="A1251" t="str">
        <f>HYPERLINK("https://www.773grp.com/globalSearch/MC74HC86ADR2/page-1", "MC74HC86ADR2")</f>
        <v>MC74HC86ADR2</v>
      </c>
      <c r="B1251" s="3" t="str">
        <f>HYPERLINK("https://www.773grp.com/manufacturer/onsemi?pageNo=1250", "Onsemi")</f>
        <v>Onsemi</v>
      </c>
      <c r="C1251" s="6">
        <v>7390</v>
      </c>
      <c r="D1251" s="7">
        <v>0.33</v>
      </c>
      <c r="E1251" t="s">
        <v>27</v>
      </c>
    </row>
    <row r="1252" spans="1:5" x14ac:dyDescent="0.25">
      <c r="A1252" t="str">
        <f>HYPERLINK("https://www.773grp.com/globalSearch/MC74HC86ADT/page-1", "MC74HC86ADT")</f>
        <v>MC74HC86ADT</v>
      </c>
      <c r="B1252" s="3" t="str">
        <f>HYPERLINK("https://www.773grp.com/manufacturer/onsemi?pageNo=1251", "Onsemi")</f>
        <v>Onsemi</v>
      </c>
      <c r="C1252" s="6">
        <v>7213</v>
      </c>
      <c r="D1252" s="7">
        <v>0.33</v>
      </c>
      <c r="E1252" t="s">
        <v>27</v>
      </c>
    </row>
    <row r="1253" spans="1:5" x14ac:dyDescent="0.25">
      <c r="A1253" t="str">
        <f>HYPERLINK("https://www.773grp.com/globalSearch/MC74HCT04AD/page-1", "MC74HCT04AD")</f>
        <v>MC74HCT04AD</v>
      </c>
      <c r="B1253" s="3" t="str">
        <f>HYPERLINK("https://www.773grp.com/manufacturer/onsemi?pageNo=1252", "Onsemi")</f>
        <v>Onsemi</v>
      </c>
      <c r="C1253" s="6">
        <v>2950</v>
      </c>
      <c r="D1253" s="7">
        <v>0.33</v>
      </c>
      <c r="E1253" t="s">
        <v>27</v>
      </c>
    </row>
    <row r="1254" spans="1:5" x14ac:dyDescent="0.25">
      <c r="A1254" t="str">
        <f>HYPERLINK("https://www.773grp.com/globalSearch/MC74HCT04ADT/page-1", "MC74HCT04ADT")</f>
        <v>MC74HCT04ADT</v>
      </c>
      <c r="B1254" s="3" t="str">
        <f>HYPERLINK("https://www.773grp.com/manufacturer/onsemi?pageNo=1253", "Onsemi")</f>
        <v>Onsemi</v>
      </c>
      <c r="C1254" s="6">
        <v>2016</v>
      </c>
      <c r="D1254" s="7">
        <v>0.33</v>
      </c>
      <c r="E1254" t="s">
        <v>27</v>
      </c>
    </row>
    <row r="1255" spans="1:5" x14ac:dyDescent="0.25">
      <c r="A1255" t="str">
        <f>HYPERLINK("https://www.773grp.com/globalSearch/MC74HCT04ADTR2/page-1", "MC74HCT04ADTR2")</f>
        <v>MC74HCT04ADTR2</v>
      </c>
      <c r="B1255" s="3" t="str">
        <f>HYPERLINK("https://www.773grp.com/manufacturer/onsemi?pageNo=1254", "Onsemi")</f>
        <v>Onsemi</v>
      </c>
      <c r="C1255" s="6">
        <v>25000</v>
      </c>
      <c r="D1255" s="7">
        <v>0.33</v>
      </c>
      <c r="E1255" t="s">
        <v>27</v>
      </c>
    </row>
    <row r="1256" spans="1:5" x14ac:dyDescent="0.25">
      <c r="A1256" t="str">
        <f>HYPERLINK("https://www.773grp.com/globalSearch/MC74HCT14AF/page-1", "MC74HCT14AF")</f>
        <v>MC74HCT14AF</v>
      </c>
      <c r="B1256" s="3" t="str">
        <f>HYPERLINK("https://www.773grp.com/manufacturer/onsemi?pageNo=1255", "Onsemi")</f>
        <v>Onsemi</v>
      </c>
      <c r="C1256" s="6">
        <v>2625</v>
      </c>
      <c r="D1256" s="7">
        <v>0.33</v>
      </c>
    </row>
    <row r="1257" spans="1:5" x14ac:dyDescent="0.25">
      <c r="A1257" t="str">
        <f>HYPERLINK("https://www.773grp.com/globalSearch/MC74HCT32AD/page-1", "MC74HCT32AD")</f>
        <v>MC74HCT32AD</v>
      </c>
      <c r="B1257" s="3" t="str">
        <f>HYPERLINK("https://www.773grp.com/manufacturer/onsemi?pageNo=1256", "Onsemi")</f>
        <v>Onsemi</v>
      </c>
      <c r="C1257" s="6">
        <v>2501</v>
      </c>
      <c r="D1257" s="7">
        <v>0.33</v>
      </c>
      <c r="E1257" t="s">
        <v>27</v>
      </c>
    </row>
    <row r="1258" spans="1:5" x14ac:dyDescent="0.25">
      <c r="A1258" t="str">
        <f>HYPERLINK("https://www.773grp.com/globalSearch/MC74HCT32ADR2/page-1", "MC74HCT32ADR2")</f>
        <v>MC74HCT32ADR2</v>
      </c>
      <c r="B1258" s="3" t="str">
        <f>HYPERLINK("https://www.773grp.com/manufacturer/onsemi?pageNo=1257", "Onsemi")</f>
        <v>Onsemi</v>
      </c>
      <c r="C1258" s="6">
        <v>50000</v>
      </c>
      <c r="D1258" s="7">
        <v>0.33</v>
      </c>
      <c r="E1258" t="s">
        <v>27</v>
      </c>
    </row>
    <row r="1259" spans="1:5" x14ac:dyDescent="0.25">
      <c r="A1259" t="str">
        <f>HYPERLINK("https://www.773grp.com/globalSearch/MC74HCT32ADT/page-1", "MC74HCT32ADT")</f>
        <v>MC74HCT32ADT</v>
      </c>
      <c r="B1259" s="3" t="str">
        <f>HYPERLINK("https://www.773grp.com/manufacturer/onsemi?pageNo=1258", "Onsemi")</f>
        <v>Onsemi</v>
      </c>
      <c r="C1259" s="6">
        <v>1920</v>
      </c>
      <c r="D1259" s="7">
        <v>0.33</v>
      </c>
    </row>
    <row r="1260" spans="1:5" x14ac:dyDescent="0.25">
      <c r="A1260" t="str">
        <f>HYPERLINK("https://www.773grp.com/globalSearch/MC74HCT32ADTR2/page-1", "MC74HCT32ADTR2")</f>
        <v>MC74HCT32ADTR2</v>
      </c>
      <c r="B1260" s="3" t="str">
        <f>HYPERLINK("https://www.773grp.com/manufacturer/onsemi?pageNo=1259", "Onsemi")</f>
        <v>Onsemi</v>
      </c>
      <c r="C1260" s="6">
        <v>5000</v>
      </c>
      <c r="D1260" s="7">
        <v>0.33</v>
      </c>
    </row>
    <row r="1261" spans="1:5" x14ac:dyDescent="0.25">
      <c r="A1261" t="str">
        <f>HYPERLINK("https://www.773grp.com/globalSearch/MC74HCT32ADTR2/page-1", "MC74HCT32ADTR2")</f>
        <v>MC74HCT32ADTR2</v>
      </c>
      <c r="B1261" s="3" t="str">
        <f>HYPERLINK("https://www.773grp.com/manufacturer/onsemi?pageNo=1260", "Onsemi")</f>
        <v>Onsemi</v>
      </c>
      <c r="C1261" s="6">
        <v>2500</v>
      </c>
      <c r="D1261" s="7">
        <v>0.33</v>
      </c>
    </row>
    <row r="1262" spans="1:5" x14ac:dyDescent="0.25">
      <c r="A1262" t="str">
        <f>HYPERLINK("https://www.773grp.com/globalSearch/MC74HCU04AD/page-1", "MC74HCU04AD")</f>
        <v>MC74HCU04AD</v>
      </c>
      <c r="B1262" s="3" t="str">
        <f>HYPERLINK("https://www.773grp.com/manufacturer/onsemi?pageNo=1261", "Onsemi")</f>
        <v>Onsemi</v>
      </c>
      <c r="C1262" s="6">
        <v>5610</v>
      </c>
      <c r="D1262" s="7">
        <v>0.33</v>
      </c>
      <c r="E1262" t="s">
        <v>27</v>
      </c>
    </row>
    <row r="1263" spans="1:5" x14ac:dyDescent="0.25">
      <c r="A1263" t="str">
        <f>HYPERLINK("https://www.773grp.com/globalSearch/MC74HCU04ADR2/page-1", "MC74HCU04ADR2")</f>
        <v>MC74HCU04ADR2</v>
      </c>
      <c r="B1263" s="3" t="str">
        <f>HYPERLINK("https://www.773grp.com/manufacturer/onsemi?pageNo=1262", "Onsemi")</f>
        <v>Onsemi</v>
      </c>
      <c r="C1263" s="6">
        <v>2500</v>
      </c>
      <c r="D1263" s="7">
        <v>0.33</v>
      </c>
      <c r="E1263" t="s">
        <v>27</v>
      </c>
    </row>
    <row r="1264" spans="1:5" x14ac:dyDescent="0.25">
      <c r="A1264" t="str">
        <f>HYPERLINK("https://www.773grp.com/globalSearch/MC74LVX00D/page-1", "MC74LVX00D")</f>
        <v>MC74LVX00D</v>
      </c>
      <c r="B1264" s="3" t="str">
        <f>HYPERLINK("https://www.773grp.com/manufacturer/onsemi?pageNo=1263", "Onsemi")</f>
        <v>Onsemi</v>
      </c>
      <c r="C1264" s="6">
        <v>32930</v>
      </c>
      <c r="D1264" s="7">
        <v>0.33</v>
      </c>
      <c r="E1264" t="s">
        <v>27</v>
      </c>
    </row>
    <row r="1265" spans="1:5" x14ac:dyDescent="0.25">
      <c r="A1265" t="str">
        <f>HYPERLINK("https://www.773grp.com/globalSearch/MC74LVX00DT/page-1", "MC74LVX00DT")</f>
        <v>MC74LVX00DT</v>
      </c>
      <c r="B1265" s="3" t="str">
        <f>HYPERLINK("https://www.773grp.com/manufacturer/onsemi?pageNo=1264", "Onsemi")</f>
        <v>Onsemi</v>
      </c>
      <c r="C1265" s="6">
        <v>16416</v>
      </c>
      <c r="D1265" s="7">
        <v>0.33</v>
      </c>
      <c r="E1265" t="s">
        <v>27</v>
      </c>
    </row>
    <row r="1266" spans="1:5" x14ac:dyDescent="0.25">
      <c r="A1266" t="str">
        <f>HYPERLINK("https://www.773grp.com/globalSearch/MC74LVX00DTR2/page-1", "MC74LVX00DTR2")</f>
        <v>MC74LVX00DTR2</v>
      </c>
      <c r="B1266" s="3" t="str">
        <f>HYPERLINK("https://www.773grp.com/manufacturer/onsemi?pageNo=1265", "Onsemi")</f>
        <v>Onsemi</v>
      </c>
      <c r="C1266" s="6">
        <v>17500</v>
      </c>
      <c r="D1266" s="7">
        <v>0.33</v>
      </c>
      <c r="E1266" t="s">
        <v>27</v>
      </c>
    </row>
    <row r="1267" spans="1:5" x14ac:dyDescent="0.25">
      <c r="A1267" t="str">
        <f>HYPERLINK("https://www.773grp.com/globalSearch/MC74LVX02D/page-1", "MC74LVX02D")</f>
        <v>MC74LVX02D</v>
      </c>
      <c r="B1267" s="3" t="str">
        <f>HYPERLINK("https://www.773grp.com/manufacturer/onsemi?pageNo=1266", "Onsemi")</f>
        <v>Onsemi</v>
      </c>
      <c r="C1267" s="6">
        <v>55</v>
      </c>
      <c r="D1267" s="7">
        <v>0.33</v>
      </c>
      <c r="E1267" t="s">
        <v>27</v>
      </c>
    </row>
    <row r="1268" spans="1:5" x14ac:dyDescent="0.25">
      <c r="A1268" t="str">
        <f>HYPERLINK("https://www.773grp.com/globalSearch/MC74LVX02DR2/page-1", "MC74LVX02DR2")</f>
        <v>MC74LVX02DR2</v>
      </c>
      <c r="B1268" s="3" t="str">
        <f>HYPERLINK("https://www.773grp.com/manufacturer/onsemi?pageNo=1267", "Onsemi")</f>
        <v>Onsemi</v>
      </c>
      <c r="C1268" s="6">
        <v>10000</v>
      </c>
      <c r="D1268" s="7">
        <v>0.33</v>
      </c>
      <c r="E1268" t="s">
        <v>27</v>
      </c>
    </row>
    <row r="1269" spans="1:5" x14ac:dyDescent="0.25">
      <c r="A1269" t="str">
        <f>HYPERLINK("https://www.773grp.com/globalSearch/MC74LVX04D/page-1", "MC74LVX04D")</f>
        <v>MC74LVX04D</v>
      </c>
      <c r="B1269" s="3" t="str">
        <f>HYPERLINK("https://www.773grp.com/manufacturer/onsemi?pageNo=1268", "Onsemi")</f>
        <v>Onsemi</v>
      </c>
      <c r="C1269" s="6">
        <v>2101</v>
      </c>
      <c r="D1269" s="7">
        <v>0.33</v>
      </c>
      <c r="E1269" t="s">
        <v>27</v>
      </c>
    </row>
    <row r="1270" spans="1:5" x14ac:dyDescent="0.25">
      <c r="A1270" t="str">
        <f>HYPERLINK("https://www.773grp.com/globalSearch/MC74LVX04DR2/page-1", "MC74LVX04DR2")</f>
        <v>MC74LVX04DR2</v>
      </c>
      <c r="B1270" s="3" t="str">
        <f>HYPERLINK("https://www.773grp.com/manufacturer/onsemi?pageNo=1269", "Onsemi")</f>
        <v>Onsemi</v>
      </c>
      <c r="C1270" s="6">
        <v>5000</v>
      </c>
      <c r="D1270" s="7">
        <v>0.33</v>
      </c>
      <c r="E1270" t="s">
        <v>27</v>
      </c>
    </row>
    <row r="1271" spans="1:5" x14ac:dyDescent="0.25">
      <c r="A1271" t="str">
        <f>HYPERLINK("https://www.773grp.com/globalSearch/MC74LVX08D/page-1", "MC74LVX08D")</f>
        <v>MC74LVX08D</v>
      </c>
      <c r="B1271" s="3" t="str">
        <f>HYPERLINK("https://www.773grp.com/manufacturer/onsemi?pageNo=1270", "Onsemi")</f>
        <v>Onsemi</v>
      </c>
      <c r="C1271" s="6">
        <v>57465</v>
      </c>
      <c r="D1271" s="7">
        <v>0.33</v>
      </c>
      <c r="E1271" t="s">
        <v>27</v>
      </c>
    </row>
    <row r="1272" spans="1:5" x14ac:dyDescent="0.25">
      <c r="A1272" t="str">
        <f>HYPERLINK("https://www.773grp.com/globalSearch/MC74LVX08DR2/page-1", "MC74LVX08DR2")</f>
        <v>MC74LVX08DR2</v>
      </c>
      <c r="B1272" s="3" t="str">
        <f>HYPERLINK("https://www.773grp.com/manufacturer/onsemi?pageNo=1271", "Onsemi")</f>
        <v>Onsemi</v>
      </c>
      <c r="C1272" s="6">
        <v>40000</v>
      </c>
      <c r="D1272" s="7">
        <v>0.33</v>
      </c>
      <c r="E1272" t="s">
        <v>27</v>
      </c>
    </row>
    <row r="1273" spans="1:5" x14ac:dyDescent="0.25">
      <c r="A1273" t="str">
        <f>HYPERLINK("https://www.773grp.com/globalSearch/MC74LVX32D/page-1", "MC74LVX32D")</f>
        <v>MC74LVX32D</v>
      </c>
      <c r="B1273" s="3" t="str">
        <f>HYPERLINK("https://www.773grp.com/manufacturer/onsemi?pageNo=1272", "Onsemi")</f>
        <v>Onsemi</v>
      </c>
      <c r="C1273" s="6">
        <v>11640</v>
      </c>
      <c r="D1273" s="7">
        <v>0.33</v>
      </c>
      <c r="E1273" t="s">
        <v>27</v>
      </c>
    </row>
    <row r="1274" spans="1:5" x14ac:dyDescent="0.25">
      <c r="A1274" t="str">
        <f>HYPERLINK("https://www.773grp.com/globalSearch/MC74LVX32DR2/page-1", "MC74LVX32DR2")</f>
        <v>MC74LVX32DR2</v>
      </c>
      <c r="B1274" s="3" t="str">
        <f>HYPERLINK("https://www.773grp.com/manufacturer/onsemi?pageNo=1273", "Onsemi")</f>
        <v>Onsemi</v>
      </c>
      <c r="C1274" s="6">
        <v>32500</v>
      </c>
      <c r="D1274" s="7">
        <v>0.33</v>
      </c>
      <c r="E1274" t="s">
        <v>27</v>
      </c>
    </row>
    <row r="1275" spans="1:5" x14ac:dyDescent="0.25">
      <c r="A1275" t="str">
        <f>HYPERLINK("https://www.773grp.com/globalSearch/MC74LVX50DR2/page-1", "MC74LVX50DR2")</f>
        <v>MC74LVX50DR2</v>
      </c>
      <c r="B1275" s="3" t="str">
        <f>HYPERLINK("https://www.773grp.com/manufacturer/onsemi?pageNo=1274", "Onsemi")</f>
        <v>Onsemi</v>
      </c>
      <c r="C1275" s="6">
        <v>7365</v>
      </c>
      <c r="D1275" s="7">
        <v>0.33</v>
      </c>
      <c r="E1275" t="s">
        <v>27</v>
      </c>
    </row>
    <row r="1276" spans="1:5" x14ac:dyDescent="0.25">
      <c r="A1276" t="str">
        <f>HYPERLINK("https://www.773grp.com/globalSearch/MC74LVX50DT/page-1", "MC74LVX50DT")</f>
        <v>MC74LVX50DT</v>
      </c>
      <c r="B1276" s="3" t="str">
        <f>HYPERLINK("https://www.773grp.com/manufacturer/onsemi?pageNo=1275", "Onsemi")</f>
        <v>Onsemi</v>
      </c>
      <c r="C1276" s="6">
        <v>864</v>
      </c>
      <c r="D1276" s="7">
        <v>0.33</v>
      </c>
      <c r="E1276" t="s">
        <v>27</v>
      </c>
    </row>
    <row r="1277" spans="1:5" x14ac:dyDescent="0.25">
      <c r="A1277" t="str">
        <f>HYPERLINK("https://www.773grp.com/globalSearch/MC74LVX50DTR2/page-1", "MC74LVX50DTR2")</f>
        <v>MC74LVX50DTR2</v>
      </c>
      <c r="B1277" s="3" t="str">
        <f>HYPERLINK("https://www.773grp.com/manufacturer/onsemi?pageNo=1276", "Onsemi")</f>
        <v>Onsemi</v>
      </c>
      <c r="C1277" s="6">
        <v>18564</v>
      </c>
      <c r="D1277" s="7">
        <v>0.33</v>
      </c>
      <c r="E1277" t="s">
        <v>27</v>
      </c>
    </row>
    <row r="1278" spans="1:5" x14ac:dyDescent="0.25">
      <c r="A1278" t="str">
        <f>HYPERLINK("https://www.773grp.com/globalSearch/MC74LVX74DT/page-1", "MC74LVX74DT")</f>
        <v>MC74LVX74DT</v>
      </c>
      <c r="B1278" s="3" t="str">
        <f>HYPERLINK("https://www.773grp.com/manufacturer/onsemi?pageNo=1277", "Onsemi")</f>
        <v>Onsemi</v>
      </c>
      <c r="C1278" s="6">
        <v>2304</v>
      </c>
      <c r="D1278" s="7">
        <v>0.33</v>
      </c>
      <c r="E1278" t="s">
        <v>31</v>
      </c>
    </row>
    <row r="1279" spans="1:5" x14ac:dyDescent="0.25">
      <c r="A1279" t="str">
        <f>HYPERLINK("https://www.773grp.com/globalSearch/MC74LVX74DTR2/page-1", "MC74LVX74DTR2")</f>
        <v>MC74LVX74DTR2</v>
      </c>
      <c r="B1279" s="3" t="str">
        <f>HYPERLINK("https://www.773grp.com/manufacturer/onsemi?pageNo=1278", "Onsemi")</f>
        <v>Onsemi</v>
      </c>
      <c r="C1279" s="6">
        <v>62500</v>
      </c>
      <c r="D1279" s="7">
        <v>0.33</v>
      </c>
      <c r="E1279" t="s">
        <v>31</v>
      </c>
    </row>
    <row r="1280" spans="1:5" x14ac:dyDescent="0.25">
      <c r="A1280" t="str">
        <f>HYPERLINK("https://www.773grp.com/globalSearch/MC74LVX86DR2/page-1", "MC74LVX86DR2")</f>
        <v>MC74LVX86DR2</v>
      </c>
      <c r="B1280" s="3" t="str">
        <f>HYPERLINK("https://www.773grp.com/manufacturer/onsemi?pageNo=1279", "Onsemi")</f>
        <v>Onsemi</v>
      </c>
      <c r="C1280" s="6">
        <v>7500</v>
      </c>
      <c r="D1280" s="7">
        <v>0.33</v>
      </c>
      <c r="E1280" t="s">
        <v>27</v>
      </c>
    </row>
    <row r="1281" spans="1:5" x14ac:dyDescent="0.25">
      <c r="A1281" t="str">
        <f>HYPERLINK("https://www.773grp.com/globalSearch/MC74LVXU04D/page-1", "MC74LVXU04D")</f>
        <v>MC74LVXU04D</v>
      </c>
      <c r="B1281" s="3" t="str">
        <f>HYPERLINK("https://www.773grp.com/manufacturer/onsemi?pageNo=1280", "Onsemi")</f>
        <v>Onsemi</v>
      </c>
      <c r="C1281" s="6">
        <v>990</v>
      </c>
      <c r="D1281" s="7">
        <v>0.33</v>
      </c>
      <c r="E1281" t="s">
        <v>27</v>
      </c>
    </row>
    <row r="1282" spans="1:5" x14ac:dyDescent="0.25">
      <c r="A1282" t="str">
        <f>HYPERLINK("https://www.773grp.com/globalSearch/MC74LVXU04DR2/page-1", "MC74LVXU04DR2")</f>
        <v>MC74LVXU04DR2</v>
      </c>
      <c r="B1282" s="3" t="str">
        <f>HYPERLINK("https://www.773grp.com/manufacturer/onsemi?pageNo=1281", "Onsemi")</f>
        <v>Onsemi</v>
      </c>
      <c r="C1282" s="6">
        <v>2500</v>
      </c>
      <c r="D1282" s="7">
        <v>0.33</v>
      </c>
      <c r="E1282" t="s">
        <v>27</v>
      </c>
    </row>
    <row r="1283" spans="1:5" x14ac:dyDescent="0.25">
      <c r="A1283" t="str">
        <f>HYPERLINK("https://www.773grp.com/globalSearch/MC74LVXU04DTR2/page-1", "MC74LVXU04DTR2")</f>
        <v>MC74LVXU04DTR2</v>
      </c>
      <c r="B1283" s="3" t="str">
        <f>HYPERLINK("https://www.773grp.com/manufacturer/onsemi?pageNo=1282", "Onsemi")</f>
        <v>Onsemi</v>
      </c>
      <c r="C1283" s="6">
        <v>2475</v>
      </c>
      <c r="D1283" s="7">
        <v>0.33</v>
      </c>
      <c r="E1283" t="s">
        <v>27</v>
      </c>
    </row>
    <row r="1284" spans="1:5" x14ac:dyDescent="0.25">
      <c r="A1284" t="str">
        <f>HYPERLINK("https://www.773grp.com/globalSearch/MC74VHC00D/page-1", "MC74VHC00D")</f>
        <v>MC74VHC00D</v>
      </c>
      <c r="B1284" s="3" t="str">
        <f>HYPERLINK("https://www.773grp.com/manufacturer/onsemi?pageNo=1283", "Onsemi")</f>
        <v>Onsemi</v>
      </c>
      <c r="C1284" s="6">
        <v>56245</v>
      </c>
      <c r="D1284" s="7">
        <v>0.33</v>
      </c>
      <c r="E1284" t="s">
        <v>27</v>
      </c>
    </row>
    <row r="1285" spans="1:5" x14ac:dyDescent="0.25">
      <c r="A1285" t="str">
        <f>HYPERLINK("https://www.773grp.com/globalSearch/MC74VHC00DT/page-1", "MC74VHC00DT")</f>
        <v>MC74VHC00DT</v>
      </c>
      <c r="B1285" s="3" t="str">
        <f>HYPERLINK("https://www.773grp.com/manufacturer/onsemi?pageNo=1284", "Onsemi")</f>
        <v>Onsemi</v>
      </c>
      <c r="C1285" s="6">
        <v>1143</v>
      </c>
      <c r="D1285" s="7">
        <v>0.33</v>
      </c>
      <c r="E1285" t="s">
        <v>27</v>
      </c>
    </row>
    <row r="1286" spans="1:5" x14ac:dyDescent="0.25">
      <c r="A1286" t="str">
        <f>HYPERLINK("https://www.773grp.com/globalSearch/MC74VHC00DTR2/page-1", "MC74VHC00DTR2")</f>
        <v>MC74VHC00DTR2</v>
      </c>
      <c r="B1286" s="3" t="str">
        <f>HYPERLINK("https://www.773grp.com/manufacturer/onsemi?pageNo=1285", "Onsemi")</f>
        <v>Onsemi</v>
      </c>
      <c r="C1286" s="6">
        <v>72500</v>
      </c>
      <c r="D1286" s="7">
        <v>0.33</v>
      </c>
      <c r="E1286" t="s">
        <v>27</v>
      </c>
    </row>
    <row r="1287" spans="1:5" x14ac:dyDescent="0.25">
      <c r="A1287" t="str">
        <f>HYPERLINK("https://www.773grp.com/globalSearch/MC74VHC02D/page-1", "MC74VHC02D")</f>
        <v>MC74VHC02D</v>
      </c>
      <c r="B1287" s="3" t="str">
        <f>HYPERLINK("https://www.773grp.com/manufacturer/onsemi?pageNo=1286", "Onsemi")</f>
        <v>Onsemi</v>
      </c>
      <c r="C1287" s="6">
        <v>7745</v>
      </c>
      <c r="D1287" s="7">
        <v>0.33</v>
      </c>
      <c r="E1287" t="s">
        <v>27</v>
      </c>
    </row>
    <row r="1288" spans="1:5" x14ac:dyDescent="0.25">
      <c r="A1288" t="str">
        <f>HYPERLINK("https://www.773grp.com/globalSearch/MC74VHC02DR2/page-1", "MC74VHC02DR2")</f>
        <v>MC74VHC02DR2</v>
      </c>
      <c r="B1288" s="3" t="str">
        <f>HYPERLINK("https://www.773grp.com/manufacturer/onsemi?pageNo=1287", "Onsemi")</f>
        <v>Onsemi</v>
      </c>
      <c r="C1288" s="6">
        <v>2500</v>
      </c>
      <c r="D1288" s="7">
        <v>0.33</v>
      </c>
      <c r="E1288" t="s">
        <v>27</v>
      </c>
    </row>
    <row r="1289" spans="1:5" x14ac:dyDescent="0.25">
      <c r="A1289" t="str">
        <f>HYPERLINK("https://www.773grp.com/globalSearch/MC74VHC02DT/page-1", "MC74VHC02DT")</f>
        <v>MC74VHC02DT</v>
      </c>
      <c r="B1289" s="3" t="str">
        <f>HYPERLINK("https://www.773grp.com/manufacturer/onsemi?pageNo=1288", "Onsemi")</f>
        <v>Onsemi</v>
      </c>
      <c r="C1289" s="6">
        <v>1771</v>
      </c>
      <c r="D1289" s="7">
        <v>0.33</v>
      </c>
      <c r="E1289" t="s">
        <v>27</v>
      </c>
    </row>
    <row r="1290" spans="1:5" x14ac:dyDescent="0.25">
      <c r="A1290" t="str">
        <f>HYPERLINK("https://www.773grp.com/globalSearch/MC74VHC02DTR2/page-1", "MC74VHC02DTR2")</f>
        <v>MC74VHC02DTR2</v>
      </c>
      <c r="B1290" s="3" t="str">
        <f>HYPERLINK("https://www.773grp.com/manufacturer/onsemi?pageNo=1289", "Onsemi")</f>
        <v>Onsemi</v>
      </c>
      <c r="C1290" s="6">
        <v>7500</v>
      </c>
      <c r="D1290" s="7">
        <v>0.33</v>
      </c>
      <c r="E1290" t="s">
        <v>27</v>
      </c>
    </row>
    <row r="1291" spans="1:5" x14ac:dyDescent="0.25">
      <c r="A1291" t="str">
        <f>HYPERLINK("https://www.773grp.com/globalSearch/MC74VHC04D/page-1", "MC74VHC04D")</f>
        <v>MC74VHC04D</v>
      </c>
      <c r="B1291" s="3" t="str">
        <f>HYPERLINK("https://www.773grp.com/manufacturer/onsemi?pageNo=1290", "Onsemi")</f>
        <v>Onsemi</v>
      </c>
      <c r="C1291" s="6">
        <v>13360</v>
      </c>
      <c r="D1291" s="7">
        <v>0.33</v>
      </c>
      <c r="E1291" t="s">
        <v>27</v>
      </c>
    </row>
    <row r="1292" spans="1:5" x14ac:dyDescent="0.25">
      <c r="A1292" t="str">
        <f>HYPERLINK("https://www.773grp.com/globalSearch/MC74VHC04DR2/page-1", "MC74VHC04DR2")</f>
        <v>MC74VHC04DR2</v>
      </c>
      <c r="B1292" s="3" t="str">
        <f>HYPERLINK("https://www.773grp.com/manufacturer/onsemi?pageNo=1291", "Onsemi")</f>
        <v>Onsemi</v>
      </c>
      <c r="C1292" s="6">
        <v>2500</v>
      </c>
      <c r="D1292" s="7">
        <v>0.33</v>
      </c>
      <c r="E1292" t="s">
        <v>27</v>
      </c>
    </row>
    <row r="1293" spans="1:5" x14ac:dyDescent="0.25">
      <c r="A1293" t="str">
        <f>HYPERLINK("https://www.773grp.com/globalSearch/MC74VHC04DT/page-1", "MC74VHC04DT")</f>
        <v>MC74VHC04DT</v>
      </c>
      <c r="B1293" s="3" t="str">
        <f>HYPERLINK("https://www.773grp.com/manufacturer/onsemi?pageNo=1292", "Onsemi")</f>
        <v>Onsemi</v>
      </c>
      <c r="C1293" s="6">
        <v>4384</v>
      </c>
      <c r="D1293" s="7">
        <v>0.33</v>
      </c>
      <c r="E1293" t="s">
        <v>27</v>
      </c>
    </row>
    <row r="1294" spans="1:5" x14ac:dyDescent="0.25">
      <c r="A1294" t="str">
        <f>HYPERLINK("https://www.773grp.com/globalSearch/MC74VHC04DTR2/page-1", "MC74VHC04DTR2")</f>
        <v>MC74VHC04DTR2</v>
      </c>
      <c r="B1294" s="3" t="str">
        <f>HYPERLINK("https://www.773grp.com/manufacturer/onsemi?pageNo=1293", "Onsemi")</f>
        <v>Onsemi</v>
      </c>
      <c r="C1294" s="6">
        <v>20000</v>
      </c>
      <c r="D1294" s="7">
        <v>0.33</v>
      </c>
      <c r="E1294" t="s">
        <v>27</v>
      </c>
    </row>
    <row r="1295" spans="1:5" x14ac:dyDescent="0.25">
      <c r="A1295" t="str">
        <f>HYPERLINK("https://www.773grp.com/globalSearch/MC74VHC08D/page-1", "MC74VHC08D")</f>
        <v>MC74VHC08D</v>
      </c>
      <c r="B1295" s="3" t="str">
        <f>HYPERLINK("https://www.773grp.com/manufacturer/onsemi?pageNo=1294", "Onsemi")</f>
        <v>Onsemi</v>
      </c>
      <c r="C1295" s="6">
        <v>9555</v>
      </c>
      <c r="D1295" s="7">
        <v>0.33</v>
      </c>
      <c r="E1295" t="s">
        <v>27</v>
      </c>
    </row>
    <row r="1296" spans="1:5" x14ac:dyDescent="0.25">
      <c r="A1296" t="str">
        <f>HYPERLINK("https://www.773grp.com/globalSearch/MC74VHC08DR2/page-1", "MC74VHC08DR2")</f>
        <v>MC74VHC08DR2</v>
      </c>
      <c r="B1296" s="3" t="str">
        <f>HYPERLINK("https://www.773grp.com/manufacturer/onsemi?pageNo=1295", "Onsemi")</f>
        <v>Onsemi</v>
      </c>
      <c r="C1296" s="6">
        <v>158892</v>
      </c>
      <c r="D1296" s="7">
        <v>0.33</v>
      </c>
      <c r="E1296" t="s">
        <v>27</v>
      </c>
    </row>
    <row r="1297" spans="1:5" x14ac:dyDescent="0.25">
      <c r="A1297" t="str">
        <f>HYPERLINK("https://www.773grp.com/globalSearch/MC74VHC08DTR2/page-1", "MC74VHC08DTR2")</f>
        <v>MC74VHC08DTR2</v>
      </c>
      <c r="B1297" s="3" t="str">
        <f>HYPERLINK("https://www.773grp.com/manufacturer/onsemi?pageNo=1296", "Onsemi")</f>
        <v>Onsemi</v>
      </c>
      <c r="C1297" s="6">
        <v>60000</v>
      </c>
      <c r="D1297" s="7">
        <v>0.33</v>
      </c>
      <c r="E1297" t="s">
        <v>27</v>
      </c>
    </row>
    <row r="1298" spans="1:5" x14ac:dyDescent="0.25">
      <c r="A1298" t="str">
        <f>HYPERLINK("https://www.773grp.com/globalSearch/MC74VHC14DTR2/page-1", "MC74VHC14DTR2")</f>
        <v>MC74VHC14DTR2</v>
      </c>
      <c r="B1298" s="3" t="str">
        <f>HYPERLINK("https://www.773grp.com/manufacturer/onsemi?pageNo=1297", "Onsemi")</f>
        <v>Onsemi</v>
      </c>
      <c r="C1298" s="6">
        <v>10000</v>
      </c>
      <c r="D1298" s="7">
        <v>0.33</v>
      </c>
      <c r="E1298" t="s">
        <v>27</v>
      </c>
    </row>
    <row r="1299" spans="1:5" x14ac:dyDescent="0.25">
      <c r="A1299" t="str">
        <f>HYPERLINK("https://www.773grp.com/globalSearch/MC74VHC1G00DFT1G/page-1", "MC74VHC1G00DFT1G")</f>
        <v>MC74VHC1G00DFT1G</v>
      </c>
      <c r="B1299" s="3" t="str">
        <f>HYPERLINK("https://www.773grp.com/manufacturer/onsemi?pageNo=1298", "Onsemi")</f>
        <v>Onsemi</v>
      </c>
      <c r="C1299" s="6">
        <v>36000</v>
      </c>
      <c r="D1299" s="7">
        <v>0.33</v>
      </c>
      <c r="E1299" t="s">
        <v>27</v>
      </c>
    </row>
    <row r="1300" spans="1:5" x14ac:dyDescent="0.25">
      <c r="A1300" t="str">
        <f>HYPERLINK("https://www.773grp.com/globalSearch/MC74VHC1G00DFT2G/page-1", "MC74VHC1G00DFT2G")</f>
        <v>MC74VHC1G00DFT2G</v>
      </c>
      <c r="B1300" s="3" t="str">
        <f>HYPERLINK("https://www.773grp.com/manufacturer/onsemi?pageNo=1299", "Onsemi")</f>
        <v>Onsemi</v>
      </c>
      <c r="C1300" s="6">
        <v>249000</v>
      </c>
      <c r="D1300" s="7">
        <v>0.33</v>
      </c>
      <c r="E1300" t="s">
        <v>27</v>
      </c>
    </row>
    <row r="1301" spans="1:5" x14ac:dyDescent="0.25">
      <c r="A1301" t="str">
        <f>HYPERLINK("https://www.773grp.com/globalSearch/MC74VHC1G02DFT1G/page-1", "MC74VHC1G02DFT1G")</f>
        <v>MC74VHC1G02DFT1G</v>
      </c>
      <c r="B1301" s="3" t="str">
        <f>HYPERLINK("https://www.773grp.com/manufacturer/onsemi?pageNo=1300", "Onsemi")</f>
        <v>Onsemi</v>
      </c>
      <c r="C1301" s="6">
        <v>741500</v>
      </c>
      <c r="D1301" s="7">
        <v>0.33</v>
      </c>
      <c r="E1301" t="s">
        <v>27</v>
      </c>
    </row>
    <row r="1302" spans="1:5" x14ac:dyDescent="0.25">
      <c r="A1302" t="str">
        <f>HYPERLINK("https://www.773grp.com/globalSearch/MC74VHC1G02DFT2G/page-1", "MC74VHC1G02DFT2G")</f>
        <v>MC74VHC1G02DFT2G</v>
      </c>
      <c r="B1302" s="3" t="str">
        <f>HYPERLINK("https://www.773grp.com/manufacturer/onsemi?pageNo=1301", "Onsemi")</f>
        <v>Onsemi</v>
      </c>
      <c r="C1302" s="6">
        <v>107310</v>
      </c>
      <c r="D1302" s="7">
        <v>0.33</v>
      </c>
      <c r="E1302" t="s">
        <v>27</v>
      </c>
    </row>
    <row r="1303" spans="1:5" x14ac:dyDescent="0.25">
      <c r="A1303" t="str">
        <f>HYPERLINK("https://www.773grp.com/globalSearch/MC74VHC1G04DFT1G/page-1", "MC74VHC1G04DFT1G")</f>
        <v>MC74VHC1G04DFT1G</v>
      </c>
      <c r="B1303" s="3" t="str">
        <f>HYPERLINK("https://www.773grp.com/manufacturer/onsemi?pageNo=1302", "Onsemi")</f>
        <v>Onsemi</v>
      </c>
      <c r="C1303" s="6">
        <v>255000</v>
      </c>
      <c r="D1303" s="7">
        <v>0.33</v>
      </c>
      <c r="E1303" t="s">
        <v>27</v>
      </c>
    </row>
    <row r="1304" spans="1:5" x14ac:dyDescent="0.25">
      <c r="A1304" t="str">
        <f>HYPERLINK("https://www.773grp.com/globalSearch/MC74VHC1G04DFT2G/page-1", "MC74VHC1G04DFT2G")</f>
        <v>MC74VHC1G04DFT2G</v>
      </c>
      <c r="B1304" s="3" t="str">
        <f>HYPERLINK("https://www.773grp.com/manufacturer/onsemi?pageNo=1303", "Onsemi")</f>
        <v>Onsemi</v>
      </c>
      <c r="C1304" s="6">
        <v>977225</v>
      </c>
      <c r="D1304" s="7">
        <v>0.33</v>
      </c>
      <c r="E1304" t="s">
        <v>27</v>
      </c>
    </row>
    <row r="1305" spans="1:5" x14ac:dyDescent="0.25">
      <c r="A1305" t="str">
        <f>HYPERLINK("https://www.773grp.com/globalSearch/MC74VHC1G05DFT1G/page-1", "MC74VHC1G05DFT1G")</f>
        <v>MC74VHC1G05DFT1G</v>
      </c>
      <c r="B1305" s="3" t="str">
        <f>HYPERLINK("https://www.773grp.com/manufacturer/onsemi?pageNo=1304", "Onsemi")</f>
        <v>Onsemi</v>
      </c>
      <c r="C1305" s="6">
        <v>165000</v>
      </c>
      <c r="D1305" s="7">
        <v>0.33</v>
      </c>
      <c r="E1305" t="s">
        <v>27</v>
      </c>
    </row>
    <row r="1306" spans="1:5" x14ac:dyDescent="0.25">
      <c r="A1306" t="str">
        <f>HYPERLINK("https://www.773grp.com/globalSearch/MC74VHC1G05DFT2G/page-1", "MC74VHC1G05DFT2G")</f>
        <v>MC74VHC1G05DFT2G</v>
      </c>
      <c r="B1306" s="3" t="str">
        <f>HYPERLINK("https://www.773grp.com/manufacturer/onsemi?pageNo=1305", "Onsemi")</f>
        <v>Onsemi</v>
      </c>
      <c r="C1306" s="6">
        <v>12000</v>
      </c>
      <c r="D1306" s="7">
        <v>0.33</v>
      </c>
      <c r="E1306" t="s">
        <v>27</v>
      </c>
    </row>
    <row r="1307" spans="1:5" x14ac:dyDescent="0.25">
      <c r="A1307" t="str">
        <f>HYPERLINK("https://www.773grp.com/globalSearch/MC74VHC1G07DFT1G/page-1", "MC74VHC1G07DFT1G")</f>
        <v>MC74VHC1G07DFT1G</v>
      </c>
      <c r="B1307" s="3" t="str">
        <f>HYPERLINK("https://www.773grp.com/manufacturer/onsemi?pageNo=1306", "Onsemi")</f>
        <v>Onsemi</v>
      </c>
      <c r="C1307" s="6">
        <v>151487</v>
      </c>
      <c r="D1307" s="7">
        <v>0.33</v>
      </c>
      <c r="E1307" t="s">
        <v>27</v>
      </c>
    </row>
    <row r="1308" spans="1:5" x14ac:dyDescent="0.25">
      <c r="A1308" t="str">
        <f>HYPERLINK("https://www.773grp.com/globalSearch/MC74VHC1G07DFT2G/page-1", "MC74VHC1G07DFT2G")</f>
        <v>MC74VHC1G07DFT2G</v>
      </c>
      <c r="B1308" s="3" t="str">
        <f>HYPERLINK("https://www.773grp.com/manufacturer/onsemi?pageNo=1307", "Onsemi")</f>
        <v>Onsemi</v>
      </c>
      <c r="C1308" s="6">
        <v>18000</v>
      </c>
      <c r="D1308" s="7">
        <v>0.33</v>
      </c>
      <c r="E1308" t="s">
        <v>27</v>
      </c>
    </row>
    <row r="1309" spans="1:5" x14ac:dyDescent="0.25">
      <c r="A1309" t="str">
        <f>HYPERLINK("https://www.773grp.com/globalSearch/MC74VHC1G08DFT1G/page-1", "MC74VHC1G08DFT1G")</f>
        <v>MC74VHC1G08DFT1G</v>
      </c>
      <c r="B1309" s="3" t="str">
        <f>HYPERLINK("https://www.773grp.com/manufacturer/onsemi?pageNo=1308", "Onsemi")</f>
        <v>Onsemi</v>
      </c>
      <c r="C1309" s="6">
        <v>21000</v>
      </c>
      <c r="D1309" s="7">
        <v>0.33</v>
      </c>
      <c r="E1309" t="s">
        <v>27</v>
      </c>
    </row>
    <row r="1310" spans="1:5" x14ac:dyDescent="0.25">
      <c r="A1310" t="str">
        <f>HYPERLINK("https://www.773grp.com/globalSearch/MC74VHC1G08DFT2G/page-1", "MC74VHC1G08DFT2G")</f>
        <v>MC74VHC1G08DFT2G</v>
      </c>
      <c r="B1310" s="3" t="str">
        <f>HYPERLINK("https://www.773grp.com/manufacturer/onsemi?pageNo=1309", "Onsemi")</f>
        <v>Onsemi</v>
      </c>
      <c r="C1310" s="6">
        <v>493238</v>
      </c>
      <c r="D1310" s="7">
        <v>0.33</v>
      </c>
      <c r="E1310" t="s">
        <v>27</v>
      </c>
    </row>
    <row r="1311" spans="1:5" x14ac:dyDescent="0.25">
      <c r="A1311" t="str">
        <f>HYPERLINK("https://www.773grp.com/globalSearch/MC74VHC1G14DFT2G/page-1", "MC74VHC1G14DFT2G")</f>
        <v>MC74VHC1G14DFT2G</v>
      </c>
      <c r="B1311" s="3" t="str">
        <f>HYPERLINK("https://www.773grp.com/manufacturer/onsemi?pageNo=1310", "Onsemi")</f>
        <v>Onsemi</v>
      </c>
      <c r="C1311" s="6">
        <v>8273</v>
      </c>
      <c r="D1311" s="7">
        <v>0.33</v>
      </c>
      <c r="E1311" t="s">
        <v>27</v>
      </c>
    </row>
    <row r="1312" spans="1:5" x14ac:dyDescent="0.25">
      <c r="A1312" t="str">
        <f>HYPERLINK("https://www.773grp.com/globalSearch/MC74VHC1G32DFT1G/page-1", "MC74VHC1G32DFT1G")</f>
        <v>MC74VHC1G32DFT1G</v>
      </c>
      <c r="B1312" s="3" t="str">
        <f>HYPERLINK("https://www.773grp.com/manufacturer/onsemi?pageNo=1311", "Onsemi")</f>
        <v>Onsemi</v>
      </c>
      <c r="C1312" s="6">
        <v>301800</v>
      </c>
      <c r="D1312" s="7">
        <v>0.33</v>
      </c>
      <c r="E1312" t="s">
        <v>27</v>
      </c>
    </row>
    <row r="1313" spans="1:5" x14ac:dyDescent="0.25">
      <c r="A1313" t="str">
        <f>HYPERLINK("https://www.773grp.com/globalSearch/MC74VHC1G32DFT2G/page-1", "MC74VHC1G32DFT2G")</f>
        <v>MC74VHC1G32DFT2G</v>
      </c>
      <c r="B1313" s="3" t="str">
        <f>HYPERLINK("https://www.773grp.com/manufacturer/onsemi?pageNo=1312", "Onsemi")</f>
        <v>Onsemi</v>
      </c>
      <c r="C1313" s="6">
        <v>95170</v>
      </c>
      <c r="D1313" s="7">
        <v>0.33</v>
      </c>
      <c r="E1313" t="s">
        <v>27</v>
      </c>
    </row>
    <row r="1314" spans="1:5" x14ac:dyDescent="0.25">
      <c r="A1314" t="str">
        <f>HYPERLINK("https://www.773grp.com/globalSearch/MC74VHC1G66DFT1G/page-1", "MC74VHC1G66DFT1G")</f>
        <v>MC74VHC1G66DFT1G</v>
      </c>
      <c r="B1314" s="3" t="str">
        <f>HYPERLINK("https://www.773grp.com/manufacturer/onsemi?pageNo=1313", "Onsemi")</f>
        <v>Onsemi</v>
      </c>
      <c r="C1314" s="6">
        <v>12000</v>
      </c>
      <c r="D1314" s="7">
        <v>0.33</v>
      </c>
      <c r="E1314" t="s">
        <v>46</v>
      </c>
    </row>
    <row r="1315" spans="1:5" x14ac:dyDescent="0.25">
      <c r="A1315" t="str">
        <f>HYPERLINK("https://www.773grp.com/globalSearch/MC74VHC1G66DFT2G/page-1", "MC74VHC1G66DFT2G")</f>
        <v>MC74VHC1G66DFT2G</v>
      </c>
      <c r="B1315" s="3" t="str">
        <f>HYPERLINK("https://www.773grp.com/manufacturer/onsemi?pageNo=1314", "Onsemi")</f>
        <v>Onsemi</v>
      </c>
      <c r="C1315" s="6">
        <v>704730</v>
      </c>
      <c r="D1315" s="7">
        <v>0.33</v>
      </c>
      <c r="E1315" t="s">
        <v>46</v>
      </c>
    </row>
    <row r="1316" spans="1:5" x14ac:dyDescent="0.25">
      <c r="A1316" t="str">
        <f>HYPERLINK("https://www.773grp.com/globalSearch/MC74VHC1G86DFT1G/page-1", "MC74VHC1G86DFT1G")</f>
        <v>MC74VHC1G86DFT1G</v>
      </c>
      <c r="B1316" s="3" t="str">
        <f>HYPERLINK("https://www.773grp.com/manufacturer/onsemi?pageNo=1315", "Onsemi")</f>
        <v>Onsemi</v>
      </c>
      <c r="C1316" s="6">
        <v>12000</v>
      </c>
      <c r="D1316" s="7">
        <v>0.33</v>
      </c>
      <c r="E1316" t="s">
        <v>27</v>
      </c>
    </row>
    <row r="1317" spans="1:5" x14ac:dyDescent="0.25">
      <c r="A1317" t="str">
        <f>HYPERLINK("https://www.773grp.com/globalSearch/MC74VHC1G86DFT2G/page-1", "MC74VHC1G86DFT2G")</f>
        <v>MC74VHC1G86DFT2G</v>
      </c>
      <c r="B1317" s="3" t="str">
        <f>HYPERLINK("https://www.773grp.com/manufacturer/onsemi?pageNo=1316", "Onsemi")</f>
        <v>Onsemi</v>
      </c>
      <c r="C1317" s="6">
        <v>45000</v>
      </c>
      <c r="D1317" s="7">
        <v>0.33</v>
      </c>
      <c r="E1317" t="s">
        <v>27</v>
      </c>
    </row>
    <row r="1318" spans="1:5" x14ac:dyDescent="0.25">
      <c r="A1318" t="str">
        <f>HYPERLINK("https://www.773grp.com/globalSearch/MC74VHC1GU04DF1G/page-1", "MC74VHC1GU04DF1G")</f>
        <v>MC74VHC1GU04DF1G</v>
      </c>
      <c r="B1318" s="3" t="str">
        <f>HYPERLINK("https://www.773grp.com/manufacturer/onsemi?pageNo=1317", "Onsemi")</f>
        <v>Onsemi</v>
      </c>
      <c r="C1318" s="6">
        <v>42000</v>
      </c>
      <c r="D1318" s="7">
        <v>0.33</v>
      </c>
    </row>
    <row r="1319" spans="1:5" x14ac:dyDescent="0.25">
      <c r="A1319" t="str">
        <f>HYPERLINK("https://www.773grp.com/globalSearch/MC74VHC32D/page-1", "MC74VHC32D")</f>
        <v>MC74VHC32D</v>
      </c>
      <c r="B1319" s="3" t="str">
        <f>HYPERLINK("https://www.773grp.com/manufacturer/onsemi?pageNo=1318", "Onsemi")</f>
        <v>Onsemi</v>
      </c>
      <c r="C1319" s="6">
        <v>16055</v>
      </c>
      <c r="D1319" s="7">
        <v>0.33</v>
      </c>
      <c r="E1319" t="s">
        <v>27</v>
      </c>
    </row>
    <row r="1320" spans="1:5" x14ac:dyDescent="0.25">
      <c r="A1320" t="str">
        <f>HYPERLINK("https://www.773grp.com/globalSearch/MC74VHC32DR2/page-1", "MC74VHC32DR2")</f>
        <v>MC74VHC32DR2</v>
      </c>
      <c r="B1320" s="3" t="str">
        <f>HYPERLINK("https://www.773grp.com/manufacturer/onsemi?pageNo=1319", "Onsemi")</f>
        <v>Onsemi</v>
      </c>
      <c r="C1320" s="6">
        <v>152500</v>
      </c>
      <c r="D1320" s="7">
        <v>0.33</v>
      </c>
      <c r="E1320" t="s">
        <v>27</v>
      </c>
    </row>
    <row r="1321" spans="1:5" x14ac:dyDescent="0.25">
      <c r="A1321" t="str">
        <f>HYPERLINK("https://www.773grp.com/globalSearch/MC74VHC32DT/page-1", "MC74VHC32DT")</f>
        <v>MC74VHC32DT</v>
      </c>
      <c r="B1321" s="3" t="str">
        <f>HYPERLINK("https://www.773grp.com/manufacturer/onsemi?pageNo=1320", "Onsemi")</f>
        <v>Onsemi</v>
      </c>
      <c r="C1321" s="6">
        <v>19236</v>
      </c>
      <c r="D1321" s="7">
        <v>0.33</v>
      </c>
      <c r="E1321" t="s">
        <v>27</v>
      </c>
    </row>
    <row r="1322" spans="1:5" x14ac:dyDescent="0.25">
      <c r="A1322" t="str">
        <f>HYPERLINK("https://www.773grp.com/globalSearch/MC74VHC50D/page-1", "MC74VHC50D")</f>
        <v>MC74VHC50D</v>
      </c>
      <c r="B1322" s="3" t="str">
        <f>HYPERLINK("https://www.773grp.com/manufacturer/onsemi?pageNo=1321", "Onsemi")</f>
        <v>Onsemi</v>
      </c>
      <c r="C1322" s="6">
        <v>715</v>
      </c>
      <c r="D1322" s="7">
        <v>0.33</v>
      </c>
      <c r="E1322" t="s">
        <v>27</v>
      </c>
    </row>
    <row r="1323" spans="1:5" x14ac:dyDescent="0.25">
      <c r="A1323" t="str">
        <f>HYPERLINK("https://www.773grp.com/globalSearch/MC74VHC74DR2/page-1", "MC74VHC74DR2")</f>
        <v>MC74VHC74DR2</v>
      </c>
      <c r="B1323" s="3" t="str">
        <f>HYPERLINK("https://www.773grp.com/manufacturer/onsemi?pageNo=1322", "Onsemi")</f>
        <v>Onsemi</v>
      </c>
      <c r="C1323" s="6">
        <v>47500</v>
      </c>
      <c r="D1323" s="7">
        <v>0.33</v>
      </c>
      <c r="E1323" t="s">
        <v>31</v>
      </c>
    </row>
    <row r="1324" spans="1:5" x14ac:dyDescent="0.25">
      <c r="A1324" t="str">
        <f>HYPERLINK("https://www.773grp.com/globalSearch/MC74VHC74DT/page-1", "MC74VHC74DT")</f>
        <v>MC74VHC74DT</v>
      </c>
      <c r="B1324" s="3" t="str">
        <f>HYPERLINK("https://www.773grp.com/manufacturer/onsemi?pageNo=1323", "Onsemi")</f>
        <v>Onsemi</v>
      </c>
      <c r="C1324" s="6">
        <v>167</v>
      </c>
      <c r="D1324" s="7">
        <v>0.33</v>
      </c>
      <c r="E1324" t="s">
        <v>31</v>
      </c>
    </row>
    <row r="1325" spans="1:5" x14ac:dyDescent="0.25">
      <c r="A1325" t="str">
        <f>HYPERLINK("https://www.773grp.com/globalSearch/MC74VHC74DTR2/page-1", "MC74VHC74DTR2")</f>
        <v>MC74VHC74DTR2</v>
      </c>
      <c r="B1325" s="3" t="str">
        <f>HYPERLINK("https://www.773grp.com/manufacturer/onsemi?pageNo=1324", "Onsemi")</f>
        <v>Onsemi</v>
      </c>
      <c r="C1325" s="6">
        <v>8000</v>
      </c>
      <c r="D1325" s="7">
        <v>0.33</v>
      </c>
      <c r="E1325" t="s">
        <v>31</v>
      </c>
    </row>
    <row r="1326" spans="1:5" x14ac:dyDescent="0.25">
      <c r="A1326" t="str">
        <f>HYPERLINK("https://www.773grp.com/globalSearch/MC74VHC74M/page-1", "MC74VHC74M")</f>
        <v>MC74VHC74M</v>
      </c>
      <c r="B1326" s="3" t="str">
        <f>HYPERLINK("https://www.773grp.com/manufacturer/onsemi?pageNo=1325", "Onsemi")</f>
        <v>Onsemi</v>
      </c>
      <c r="C1326" s="6">
        <v>42</v>
      </c>
      <c r="D1326" s="7">
        <v>0.33</v>
      </c>
      <c r="E1326" t="s">
        <v>31</v>
      </c>
    </row>
    <row r="1327" spans="1:5" x14ac:dyDescent="0.25">
      <c r="A1327" t="str">
        <f>HYPERLINK("https://www.773grp.com/globalSearch/MC74VHC86DR2/page-1", "MC74VHC86DR2")</f>
        <v>MC74VHC86DR2</v>
      </c>
      <c r="B1327" s="3" t="str">
        <f>HYPERLINK("https://www.773grp.com/manufacturer/onsemi?pageNo=1326", "Onsemi")</f>
        <v>Onsemi</v>
      </c>
      <c r="C1327" s="6">
        <v>5000</v>
      </c>
      <c r="D1327" s="7">
        <v>0.33</v>
      </c>
      <c r="E1327" t="s">
        <v>27</v>
      </c>
    </row>
    <row r="1328" spans="1:5" x14ac:dyDescent="0.25">
      <c r="A1328" t="str">
        <f>HYPERLINK("https://www.773grp.com/globalSearch/MC74VHCT00AD/page-1", "MC74VHCT00AD")</f>
        <v>MC74VHCT00AD</v>
      </c>
      <c r="B1328" s="3" t="str">
        <f>HYPERLINK("https://www.773grp.com/manufacturer/onsemi?pageNo=1327", "Onsemi")</f>
        <v>Onsemi</v>
      </c>
      <c r="C1328" s="6">
        <v>27530</v>
      </c>
      <c r="D1328" s="7">
        <v>0.33</v>
      </c>
      <c r="E1328" t="s">
        <v>27</v>
      </c>
    </row>
    <row r="1329" spans="1:5" x14ac:dyDescent="0.25">
      <c r="A1329" t="str">
        <f>HYPERLINK("https://www.773grp.com/globalSearch/MC74VHCT00ADR2/page-1", "MC74VHCT00ADR2")</f>
        <v>MC74VHCT00ADR2</v>
      </c>
      <c r="B1329" s="3" t="str">
        <f>HYPERLINK("https://www.773grp.com/manufacturer/onsemi?pageNo=1328", "Onsemi")</f>
        <v>Onsemi</v>
      </c>
      <c r="C1329" s="6">
        <v>15000</v>
      </c>
      <c r="D1329" s="7">
        <v>0.33</v>
      </c>
      <c r="E1329" t="s">
        <v>27</v>
      </c>
    </row>
    <row r="1330" spans="1:5" x14ac:dyDescent="0.25">
      <c r="A1330" t="str">
        <f>HYPERLINK("https://www.773grp.com/globalSearch/MC74VHCT02AD/page-1", "MC74VHCT02AD")</f>
        <v>MC74VHCT02AD</v>
      </c>
      <c r="B1330" s="3" t="str">
        <f>HYPERLINK("https://www.773grp.com/manufacturer/onsemi?pageNo=1329", "Onsemi")</f>
        <v>Onsemi</v>
      </c>
      <c r="C1330" s="6">
        <v>11910</v>
      </c>
      <c r="D1330" s="7">
        <v>0.33</v>
      </c>
      <c r="E1330" t="s">
        <v>27</v>
      </c>
    </row>
    <row r="1331" spans="1:5" x14ac:dyDescent="0.25">
      <c r="A1331" t="str">
        <f>HYPERLINK("https://www.773grp.com/globalSearch/MC74VHCT02ADR2/page-1", "MC74VHCT02ADR2")</f>
        <v>MC74VHCT02ADR2</v>
      </c>
      <c r="B1331" s="3" t="str">
        <f>HYPERLINK("https://www.773grp.com/manufacturer/onsemi?pageNo=1330", "Onsemi")</f>
        <v>Onsemi</v>
      </c>
      <c r="C1331" s="6">
        <v>5000</v>
      </c>
      <c r="D1331" s="7">
        <v>0.33</v>
      </c>
      <c r="E1331" t="s">
        <v>27</v>
      </c>
    </row>
    <row r="1332" spans="1:5" x14ac:dyDescent="0.25">
      <c r="A1332" t="str">
        <f>HYPERLINK("https://www.773grp.com/globalSearch/MC74VHCT04AD/page-1", "MC74VHCT04AD")</f>
        <v>MC74VHCT04AD</v>
      </c>
      <c r="B1332" s="3" t="str">
        <f>HYPERLINK("https://www.773grp.com/manufacturer/onsemi?pageNo=1331", "Onsemi")</f>
        <v>Onsemi</v>
      </c>
      <c r="C1332" s="6">
        <v>19905</v>
      </c>
      <c r="D1332" s="7">
        <v>0.33</v>
      </c>
      <c r="E1332" t="s">
        <v>27</v>
      </c>
    </row>
    <row r="1333" spans="1:5" x14ac:dyDescent="0.25">
      <c r="A1333" t="str">
        <f>HYPERLINK("https://www.773grp.com/globalSearch/MC74VHCT04ADR2/page-1", "MC74VHCT04ADR2")</f>
        <v>MC74VHCT04ADR2</v>
      </c>
      <c r="B1333" s="3" t="str">
        <f>HYPERLINK("https://www.773grp.com/manufacturer/onsemi?pageNo=1332", "Onsemi")</f>
        <v>Onsemi</v>
      </c>
      <c r="C1333" s="6">
        <v>5000</v>
      </c>
      <c r="D1333" s="7">
        <v>0.33</v>
      </c>
      <c r="E1333" t="s">
        <v>27</v>
      </c>
    </row>
    <row r="1334" spans="1:5" x14ac:dyDescent="0.25">
      <c r="A1334" t="str">
        <f>HYPERLINK("https://www.773grp.com/globalSearch/MC74VHCT04ADT/page-1", "MC74VHCT04ADT")</f>
        <v>MC74VHCT04ADT</v>
      </c>
      <c r="B1334" s="3" t="str">
        <f>HYPERLINK("https://www.773grp.com/manufacturer/onsemi?pageNo=1333", "Onsemi")</f>
        <v>Onsemi</v>
      </c>
      <c r="C1334" s="6">
        <v>9024</v>
      </c>
      <c r="D1334" s="7">
        <v>0.33</v>
      </c>
      <c r="E1334" t="s">
        <v>27</v>
      </c>
    </row>
    <row r="1335" spans="1:5" x14ac:dyDescent="0.25">
      <c r="A1335" t="str">
        <f>HYPERLINK("https://www.773grp.com/globalSearch/MC74VHCT04ADTR2/page-1", "MC74VHCT04ADTR2")</f>
        <v>MC74VHCT04ADTR2</v>
      </c>
      <c r="B1335" s="3" t="str">
        <f>HYPERLINK("https://www.773grp.com/manufacturer/onsemi?pageNo=1334", "Onsemi")</f>
        <v>Onsemi</v>
      </c>
      <c r="C1335" s="6">
        <v>5000</v>
      </c>
      <c r="D1335" s="7">
        <v>0.33</v>
      </c>
      <c r="E1335" t="s">
        <v>27</v>
      </c>
    </row>
    <row r="1336" spans="1:5" x14ac:dyDescent="0.25">
      <c r="A1336" t="str">
        <f>HYPERLINK("https://www.773grp.com/globalSearch/MC74VHCT08AD/page-1", "MC74VHCT08AD")</f>
        <v>MC74VHCT08AD</v>
      </c>
      <c r="B1336" s="3" t="str">
        <f>HYPERLINK("https://www.773grp.com/manufacturer/onsemi?pageNo=1335", "Onsemi")</f>
        <v>Onsemi</v>
      </c>
      <c r="C1336" s="6">
        <v>22825</v>
      </c>
      <c r="D1336" s="7">
        <v>0.33</v>
      </c>
      <c r="E1336" t="s">
        <v>27</v>
      </c>
    </row>
    <row r="1337" spans="1:5" x14ac:dyDescent="0.25">
      <c r="A1337" t="str">
        <f>HYPERLINK("https://www.773grp.com/globalSearch/MC74VHCT08ADR2/page-1", "MC74VHCT08ADR2")</f>
        <v>MC74VHCT08ADR2</v>
      </c>
      <c r="B1337" s="3" t="str">
        <f>HYPERLINK("https://www.773grp.com/manufacturer/onsemi?pageNo=1336", "Onsemi")</f>
        <v>Onsemi</v>
      </c>
      <c r="C1337" s="6">
        <v>5000</v>
      </c>
      <c r="D1337" s="7">
        <v>0.33</v>
      </c>
      <c r="E1337" t="s">
        <v>27</v>
      </c>
    </row>
    <row r="1338" spans="1:5" x14ac:dyDescent="0.25">
      <c r="A1338" t="str">
        <f>HYPERLINK("https://www.773grp.com/globalSearch/MC74VHCT08ADTR2/page-1", "MC74VHCT08ADTR2")</f>
        <v>MC74VHCT08ADTR2</v>
      </c>
      <c r="B1338" s="3" t="str">
        <f>HYPERLINK("https://www.773grp.com/manufacturer/onsemi?pageNo=1337", "Onsemi")</f>
        <v>Onsemi</v>
      </c>
      <c r="C1338" s="6">
        <v>7500</v>
      </c>
      <c r="D1338" s="7">
        <v>0.33</v>
      </c>
      <c r="E1338" t="s">
        <v>27</v>
      </c>
    </row>
    <row r="1339" spans="1:5" x14ac:dyDescent="0.25">
      <c r="A1339" t="str">
        <f>HYPERLINK("https://www.773grp.com/globalSearch/MC74VHCT14ADR2/page-1", "MC74VHCT14ADR2")</f>
        <v>MC74VHCT14ADR2</v>
      </c>
      <c r="B1339" s="3" t="str">
        <f>HYPERLINK("https://www.773grp.com/manufacturer/onsemi?pageNo=1338", "Onsemi")</f>
        <v>Onsemi</v>
      </c>
      <c r="C1339" s="6">
        <v>12471</v>
      </c>
      <c r="D1339" s="7">
        <v>0.33</v>
      </c>
      <c r="E1339" t="s">
        <v>27</v>
      </c>
    </row>
    <row r="1340" spans="1:5" x14ac:dyDescent="0.25">
      <c r="A1340" t="str">
        <f>HYPERLINK("https://www.773grp.com/globalSearch/MC74VHCT32AD/page-1", "MC74VHCT32AD")</f>
        <v>MC74VHCT32AD</v>
      </c>
      <c r="B1340" s="3" t="str">
        <f>HYPERLINK("https://www.773grp.com/manufacturer/onsemi?pageNo=1339", "Onsemi")</f>
        <v>Onsemi</v>
      </c>
      <c r="C1340" s="6">
        <v>41525</v>
      </c>
      <c r="D1340" s="7">
        <v>0.33</v>
      </c>
      <c r="E1340" t="s">
        <v>27</v>
      </c>
    </row>
    <row r="1341" spans="1:5" x14ac:dyDescent="0.25">
      <c r="A1341" t="str">
        <f>HYPERLINK("https://www.773grp.com/globalSearch/MC74VHCT50ADR2/page-1", "MC74VHCT50ADR2")</f>
        <v>MC74VHCT50ADR2</v>
      </c>
      <c r="B1341" s="3" t="str">
        <f>HYPERLINK("https://www.773grp.com/manufacturer/onsemi?pageNo=1340", "Onsemi")</f>
        <v>Onsemi</v>
      </c>
      <c r="C1341" s="6">
        <v>25000</v>
      </c>
      <c r="D1341" s="7">
        <v>0.33</v>
      </c>
      <c r="E1341" t="s">
        <v>27</v>
      </c>
    </row>
    <row r="1342" spans="1:5" x14ac:dyDescent="0.25">
      <c r="A1342" t="str">
        <f>HYPERLINK("https://www.773grp.com/globalSearch/MC74VHCT74ADTR2/page-1", "MC74VHCT74ADTR2")</f>
        <v>MC74VHCT74ADTR2</v>
      </c>
      <c r="B1342" s="3" t="str">
        <f>HYPERLINK("https://www.773grp.com/manufacturer/onsemi?pageNo=1341", "Onsemi")</f>
        <v>Onsemi</v>
      </c>
      <c r="C1342" s="6">
        <v>2500</v>
      </c>
      <c r="D1342" s="7">
        <v>0.33</v>
      </c>
      <c r="E1342" t="s">
        <v>31</v>
      </c>
    </row>
    <row r="1343" spans="1:5" x14ac:dyDescent="0.25">
      <c r="A1343" t="str">
        <f>HYPERLINK("https://www.773grp.com/globalSearch/MC74VHCT86ADR2/page-1", "MC74VHCT86ADR2")</f>
        <v>MC74VHCT86ADR2</v>
      </c>
      <c r="B1343" s="3" t="str">
        <f>HYPERLINK("https://www.773grp.com/manufacturer/onsemi?pageNo=1342", "Onsemi")</f>
        <v>Onsemi</v>
      </c>
      <c r="C1343" s="6">
        <v>20000</v>
      </c>
      <c r="D1343" s="7">
        <v>0.33</v>
      </c>
      <c r="E1343" t="s">
        <v>27</v>
      </c>
    </row>
    <row r="1344" spans="1:5" x14ac:dyDescent="0.25">
      <c r="A1344" t="str">
        <f>HYPERLINK("https://www.773grp.com/globalSearch/MC74VHCU04D/page-1", "MC74VHCU04D")</f>
        <v>MC74VHCU04D</v>
      </c>
      <c r="B1344" s="3" t="str">
        <f>HYPERLINK("https://www.773grp.com/manufacturer/onsemi?pageNo=1343", "Onsemi")</f>
        <v>Onsemi</v>
      </c>
      <c r="C1344" s="6">
        <v>6260</v>
      </c>
      <c r="D1344" s="7">
        <v>0.33</v>
      </c>
      <c r="E1344" t="s">
        <v>27</v>
      </c>
    </row>
    <row r="1345" spans="1:5" x14ac:dyDescent="0.25">
      <c r="A1345" t="str">
        <f>HYPERLINK("https://www.773grp.com/globalSearch/MC74VHCU04DR2/page-1", "MC74VHCU04DR2")</f>
        <v>MC74VHCU04DR2</v>
      </c>
      <c r="B1345" s="3" t="str">
        <f>HYPERLINK("https://www.773grp.com/manufacturer/onsemi?pageNo=1344", "Onsemi")</f>
        <v>Onsemi</v>
      </c>
      <c r="C1345" s="6">
        <v>7500</v>
      </c>
      <c r="D1345" s="7">
        <v>0.33</v>
      </c>
      <c r="E1345" t="s">
        <v>27</v>
      </c>
    </row>
    <row r="1346" spans="1:5" x14ac:dyDescent="0.25">
      <c r="A1346" t="str">
        <f>HYPERLINK("https://www.773grp.com/globalSearch/MC74VHCU04DTR2/page-1", "MC74VHCU04DTR2")</f>
        <v>MC74VHCU04DTR2</v>
      </c>
      <c r="B1346" s="3" t="str">
        <f>HYPERLINK("https://www.773grp.com/manufacturer/onsemi?pageNo=1345", "Onsemi")</f>
        <v>Onsemi</v>
      </c>
      <c r="C1346" s="6">
        <v>10000</v>
      </c>
      <c r="D1346" s="7">
        <v>0.33</v>
      </c>
      <c r="E1346" t="s">
        <v>27</v>
      </c>
    </row>
    <row r="1347" spans="1:5" x14ac:dyDescent="0.25">
      <c r="A1347" t="str">
        <f>HYPERLINK("https://www.773grp.com/globalSearch/MC79L05ACP/page-1", "MC79L05ACP")</f>
        <v>MC79L05ACP</v>
      </c>
      <c r="B1347" s="3" t="str">
        <f>HYPERLINK("https://www.773grp.com/manufacturer/onsemi?pageNo=1346", "Onsemi")</f>
        <v>Onsemi</v>
      </c>
      <c r="C1347" s="6">
        <v>59574</v>
      </c>
      <c r="D1347" s="7">
        <v>0.33</v>
      </c>
      <c r="E1347" t="s">
        <v>53</v>
      </c>
    </row>
    <row r="1348" spans="1:5" x14ac:dyDescent="0.25">
      <c r="A1348" t="str">
        <f>HYPERLINK("https://www.773grp.com/globalSearch/MDC3105LT1/page-1", "MDC3105LT1")</f>
        <v>MDC3105LT1</v>
      </c>
      <c r="B1348" s="3" t="str">
        <f>HYPERLINK("https://www.773grp.com/manufacturer/onsemi?pageNo=1347", "Onsemi")</f>
        <v>Onsemi</v>
      </c>
      <c r="C1348" s="6">
        <v>975</v>
      </c>
      <c r="D1348" s="7">
        <v>0.33</v>
      </c>
      <c r="E1348" t="s">
        <v>8</v>
      </c>
    </row>
    <row r="1349" spans="1:5" x14ac:dyDescent="0.25">
      <c r="A1349" t="str">
        <f>HYPERLINK("https://www.773grp.com/globalSearch/MMBF2201NT1/page-1", "MMBF2201NT1")</f>
        <v>MMBF2201NT1</v>
      </c>
      <c r="B1349" s="3" t="str">
        <f>HYPERLINK("https://www.773grp.com/manufacturer/onsemi?pageNo=1348", "Onsemi")</f>
        <v>Onsemi</v>
      </c>
      <c r="C1349" s="6">
        <v>12000</v>
      </c>
      <c r="D1349" s="7">
        <v>0.33</v>
      </c>
      <c r="E1349" t="s">
        <v>85</v>
      </c>
    </row>
    <row r="1350" spans="1:5" x14ac:dyDescent="0.25">
      <c r="A1350" t="str">
        <f>HYPERLINK("https://www.773grp.com/globalSearch/MMBF2201NT1G/page-1", "MMBF2201NT1G")</f>
        <v>MMBF2201NT1G</v>
      </c>
      <c r="B1350" s="3" t="str">
        <f>HYPERLINK("https://www.773grp.com/manufacturer/onsemi?pageNo=1", "Onsemi")</f>
        <v>Onsemi</v>
      </c>
      <c r="C1350" s="6">
        <v>116746</v>
      </c>
      <c r="D1350" s="7">
        <v>0.33</v>
      </c>
      <c r="E1350" t="s">
        <v>85</v>
      </c>
    </row>
    <row r="1351" spans="1:5" x14ac:dyDescent="0.25">
      <c r="A1351" t="str">
        <f>HYPERLINK("https://www.773grp.com/globalSearch/MMBF2202PT1G/page-1", "MMBF2202PT1G")</f>
        <v>MMBF2202PT1G</v>
      </c>
      <c r="B1351" s="3" t="str">
        <f>HYPERLINK("https://www.773grp.com/manufacturer/onsemi?pageNo=2", "Onsemi")</f>
        <v>Onsemi</v>
      </c>
      <c r="C1351" s="6">
        <v>499498</v>
      </c>
      <c r="D1351" s="7">
        <v>0.33</v>
      </c>
      <c r="E1351" t="s">
        <v>85</v>
      </c>
    </row>
    <row r="1352" spans="1:5" x14ac:dyDescent="0.25">
      <c r="A1352" t="str">
        <f>HYPERLINK("https://www.773grp.com/globalSearch/MMBT2132T3/page-1", "MMBT2132T3")</f>
        <v>MMBT2132T3</v>
      </c>
      <c r="B1352" s="3" t="str">
        <f>HYPERLINK("https://www.773grp.com/manufacturer/onsemi?pageNo=3", "Onsemi")</f>
        <v>Onsemi</v>
      </c>
      <c r="C1352" s="6">
        <v>39870</v>
      </c>
      <c r="D1352" s="7">
        <v>0.33</v>
      </c>
      <c r="E1352" t="s">
        <v>57</v>
      </c>
    </row>
    <row r="1353" spans="1:5" x14ac:dyDescent="0.25">
      <c r="A1353" t="str">
        <f>HYPERLINK("https://www.773grp.com/globalSearch/MMBT2132T3G/page-1", "MMBT2132T3G")</f>
        <v>MMBT2132T3G</v>
      </c>
      <c r="B1353" s="3" t="str">
        <f>HYPERLINK("https://www.773grp.com/manufacturer/onsemi?pageNo=4", "Onsemi")</f>
        <v>Onsemi</v>
      </c>
      <c r="C1353" s="6">
        <v>10000</v>
      </c>
      <c r="D1353" s="7">
        <v>0.33</v>
      </c>
      <c r="E1353" t="s">
        <v>57</v>
      </c>
    </row>
    <row r="1354" spans="1:5" x14ac:dyDescent="0.25">
      <c r="A1354" t="str">
        <f>HYPERLINK("https://www.773grp.com/globalSearch/MMQA12VT1G/page-1", "MMQA12VT1G")</f>
        <v>MMQA12VT1G</v>
      </c>
      <c r="B1354" s="3" t="str">
        <f>HYPERLINK("https://www.773grp.com/manufacturer/onsemi?pageNo=5", "Onsemi")</f>
        <v>Onsemi</v>
      </c>
      <c r="C1354" s="6">
        <v>93000</v>
      </c>
      <c r="D1354" s="7">
        <v>0.33</v>
      </c>
      <c r="E1354" t="s">
        <v>75</v>
      </c>
    </row>
    <row r="1355" spans="1:5" x14ac:dyDescent="0.25">
      <c r="A1355" t="str">
        <f>HYPERLINK("https://www.773grp.com/globalSearch/MMQA15VT1G/page-1", "MMQA15VT1G")</f>
        <v>MMQA15VT1G</v>
      </c>
      <c r="B1355" s="3" t="str">
        <f>HYPERLINK("https://www.773grp.com/manufacturer/onsemi?pageNo=6", "Onsemi")</f>
        <v>Onsemi</v>
      </c>
      <c r="C1355" s="6">
        <v>6000</v>
      </c>
      <c r="D1355" s="7">
        <v>0.33</v>
      </c>
    </row>
    <row r="1356" spans="1:5" x14ac:dyDescent="0.25">
      <c r="A1356" t="str">
        <f>HYPERLINK("https://www.773grp.com/globalSearch/MMQA18VT1G/page-1", "MMQA18VT1G")</f>
        <v>MMQA18VT1G</v>
      </c>
      <c r="B1356" s="3" t="str">
        <f>HYPERLINK("https://www.773grp.com/manufacturer/onsemi?pageNo=7", "Onsemi")</f>
        <v>Onsemi</v>
      </c>
      <c r="C1356" s="6">
        <v>6000</v>
      </c>
      <c r="D1356" s="7">
        <v>0.33</v>
      </c>
    </row>
    <row r="1357" spans="1:5" x14ac:dyDescent="0.25">
      <c r="A1357" t="str">
        <f>HYPERLINK("https://www.773grp.com/globalSearch/MMQA20VT1G/page-1", "MMQA20VT1G")</f>
        <v>MMQA20VT1G</v>
      </c>
      <c r="B1357" s="3" t="str">
        <f>HYPERLINK("https://www.773grp.com/manufacturer/onsemi?pageNo=8", "Onsemi")</f>
        <v>Onsemi</v>
      </c>
      <c r="C1357" s="6">
        <v>9000</v>
      </c>
      <c r="D1357" s="7">
        <v>0.33</v>
      </c>
    </row>
    <row r="1358" spans="1:5" x14ac:dyDescent="0.25">
      <c r="A1358" t="str">
        <f>HYPERLINK("https://www.773grp.com/globalSearch/MMQA22VT1G/page-1", "MMQA22VT1G")</f>
        <v>MMQA22VT1G</v>
      </c>
      <c r="B1358" s="3" t="str">
        <f>HYPERLINK("https://www.773grp.com/manufacturer/onsemi?pageNo=9", "Onsemi")</f>
        <v>Onsemi</v>
      </c>
      <c r="C1358" s="6">
        <v>3000</v>
      </c>
      <c r="D1358" s="7">
        <v>0.33</v>
      </c>
    </row>
    <row r="1359" spans="1:5" x14ac:dyDescent="0.25">
      <c r="A1359" t="str">
        <f>HYPERLINK("https://www.773grp.com/globalSearch/MMQA24VT1G/page-1", "MMQA24VT1G")</f>
        <v>MMQA24VT1G</v>
      </c>
      <c r="B1359" s="3" t="str">
        <f>HYPERLINK("https://www.773grp.com/manufacturer/onsemi?pageNo=10", "Onsemi")</f>
        <v>Onsemi</v>
      </c>
      <c r="C1359" s="6">
        <v>2972</v>
      </c>
      <c r="D1359" s="7">
        <v>0.33</v>
      </c>
      <c r="E1359" t="s">
        <v>75</v>
      </c>
    </row>
    <row r="1360" spans="1:5" x14ac:dyDescent="0.25">
      <c r="A1360" t="str">
        <f>HYPERLINK("https://www.773grp.com/globalSearch/MMQA27VT1/page-1", "MMQA27VT1")</f>
        <v>MMQA27VT1</v>
      </c>
      <c r="B1360" s="3" t="str">
        <f>HYPERLINK("https://www.773grp.com/manufacturer/onsemi?pageNo=11", "Onsemi")</f>
        <v>Onsemi</v>
      </c>
      <c r="C1360" s="6">
        <v>5614</v>
      </c>
      <c r="D1360" s="7">
        <v>0.33</v>
      </c>
      <c r="E1360" t="s">
        <v>75</v>
      </c>
    </row>
    <row r="1361" spans="1:5" x14ac:dyDescent="0.25">
      <c r="A1361" t="str">
        <f>HYPERLINK("https://www.773grp.com/globalSearch/MMQA27VT1G/page-1", "MMQA27VT1G")</f>
        <v>MMQA27VT1G</v>
      </c>
      <c r="B1361" s="3" t="str">
        <f>HYPERLINK("https://www.773grp.com/manufacturer/onsemi?pageNo=12", "Onsemi")</f>
        <v>Onsemi</v>
      </c>
      <c r="C1361" s="6">
        <v>14398</v>
      </c>
      <c r="D1361" s="7">
        <v>0.33</v>
      </c>
      <c r="E1361" t="s">
        <v>75</v>
      </c>
    </row>
    <row r="1362" spans="1:5" x14ac:dyDescent="0.25">
      <c r="A1362" t="str">
        <f>HYPERLINK("https://www.773grp.com/globalSearch/MMQA33VT1G/page-1", "MMQA33VT1G")</f>
        <v>MMQA33VT1G</v>
      </c>
      <c r="B1362" s="3" t="str">
        <f>HYPERLINK("https://www.773grp.com/manufacturer/onsemi?pageNo=13", "Onsemi")</f>
        <v>Onsemi</v>
      </c>
      <c r="C1362" s="6">
        <v>33000</v>
      </c>
      <c r="D1362" s="7">
        <v>0.33</v>
      </c>
      <c r="E1362" t="s">
        <v>75</v>
      </c>
    </row>
    <row r="1363" spans="1:5" x14ac:dyDescent="0.25">
      <c r="A1363" t="str">
        <f>HYPERLINK("https://www.773grp.com/globalSearch/MMQA5V6T1G/page-1", "MMQA5V6T1G")</f>
        <v>MMQA5V6T1G</v>
      </c>
      <c r="B1363" s="3" t="str">
        <f>HYPERLINK("https://www.773grp.com/manufacturer/onsemi?pageNo=14", "Onsemi")</f>
        <v>Onsemi</v>
      </c>
      <c r="C1363" s="6">
        <v>11375</v>
      </c>
      <c r="D1363" s="7">
        <v>0.33</v>
      </c>
      <c r="E1363" t="s">
        <v>75</v>
      </c>
    </row>
    <row r="1364" spans="1:5" x14ac:dyDescent="0.25">
      <c r="A1364" t="str">
        <f>HYPERLINK("https://www.773grp.com/globalSearch/MMQA6V2T1G/page-1", "MMQA6V2T1G")</f>
        <v>MMQA6V2T1G</v>
      </c>
      <c r="B1364" s="3" t="str">
        <f>HYPERLINK("https://www.773grp.com/manufacturer/onsemi?pageNo=15", "Onsemi")</f>
        <v>Onsemi</v>
      </c>
      <c r="C1364" s="6">
        <v>72000</v>
      </c>
      <c r="D1364" s="7">
        <v>0.33</v>
      </c>
      <c r="E1364" t="s">
        <v>75</v>
      </c>
    </row>
    <row r="1365" spans="1:5" x14ac:dyDescent="0.25">
      <c r="A1365" t="str">
        <f>HYPERLINK("https://www.773grp.com/globalSearch/MMQA6V8T1G/page-1", "MMQA6V8T1G")</f>
        <v>MMQA6V8T1G</v>
      </c>
      <c r="B1365" s="3" t="str">
        <f>HYPERLINK("https://www.773grp.com/manufacturer/onsemi?pageNo=16", "Onsemi")</f>
        <v>Onsemi</v>
      </c>
      <c r="C1365" s="6">
        <v>147000</v>
      </c>
      <c r="D1365" s="7">
        <v>0.33</v>
      </c>
      <c r="E1365" t="s">
        <v>75</v>
      </c>
    </row>
    <row r="1366" spans="1:5" x14ac:dyDescent="0.25">
      <c r="A1366" t="str">
        <f>HYPERLINK("https://www.773grp.com/globalSearch/MPF4393RLRPG/page-1", "MPF4393RLRPG")</f>
        <v>MPF4393RLRPG</v>
      </c>
      <c r="B1366" s="3" t="str">
        <f>HYPERLINK("https://www.773grp.com/manufacturer/onsemi?pageNo=17", "Onsemi")</f>
        <v>Onsemi</v>
      </c>
      <c r="C1366" s="6">
        <v>8000</v>
      </c>
      <c r="D1366" s="7">
        <v>0.33</v>
      </c>
      <c r="E1366" t="s">
        <v>85</v>
      </c>
    </row>
    <row r="1367" spans="1:5" x14ac:dyDescent="0.25">
      <c r="A1367" t="str">
        <f>HYPERLINK("https://www.773grp.com/globalSearch/MPS3563RLRAG/page-1", "MPS3563RLRAG")</f>
        <v>MPS3563RLRAG</v>
      </c>
      <c r="B1367" s="3" t="str">
        <f>HYPERLINK("https://www.773grp.com/manufacturer/onsemi?pageNo=18", "Onsemi")</f>
        <v>Onsemi</v>
      </c>
      <c r="C1367" s="6">
        <v>6000</v>
      </c>
      <c r="D1367" s="7">
        <v>0.33</v>
      </c>
      <c r="E1367" t="s">
        <v>49</v>
      </c>
    </row>
    <row r="1368" spans="1:5" x14ac:dyDescent="0.25">
      <c r="A1368" t="str">
        <f>HYPERLINK("https://www.773grp.com/globalSearch/MPS4124RLRAG/page-1", "MPS4124RLRAG")</f>
        <v>MPS4124RLRAG</v>
      </c>
      <c r="B1368" s="3" t="str">
        <f>HYPERLINK("https://www.773grp.com/manufacturer/onsemi?pageNo=19", "Onsemi")</f>
        <v>Onsemi</v>
      </c>
      <c r="C1368" s="6">
        <v>82000</v>
      </c>
      <c r="D1368" s="7">
        <v>0.33</v>
      </c>
      <c r="E1368" t="s">
        <v>57</v>
      </c>
    </row>
    <row r="1369" spans="1:5" x14ac:dyDescent="0.25">
      <c r="A1369" t="str">
        <f>HYPERLINK("https://www.773grp.com/globalSearch/MPS4356RLRA/page-1", "MPS4356RLRA")</f>
        <v>MPS4356RLRA</v>
      </c>
      <c r="B1369" s="3" t="str">
        <f>HYPERLINK("https://www.773grp.com/manufacturer/onsemi?pageNo=20", "Onsemi")</f>
        <v>Onsemi</v>
      </c>
      <c r="C1369" s="6">
        <v>14000</v>
      </c>
      <c r="D1369" s="7">
        <v>0.33</v>
      </c>
    </row>
    <row r="1370" spans="1:5" x14ac:dyDescent="0.25">
      <c r="A1370" t="str">
        <f>HYPERLINK("https://www.773grp.com/globalSearch/MPS4356RLRAG/page-1", "MPS4356RLRAG")</f>
        <v>MPS4356RLRAG</v>
      </c>
      <c r="B1370" s="3" t="str">
        <f>HYPERLINK("https://www.773grp.com/manufacturer/onsemi?pageNo=21", "Onsemi")</f>
        <v>Onsemi</v>
      </c>
      <c r="C1370" s="6">
        <v>10000</v>
      </c>
      <c r="D1370" s="7">
        <v>0.33</v>
      </c>
    </row>
    <row r="1371" spans="1:5" x14ac:dyDescent="0.25">
      <c r="A1371" t="str">
        <f>HYPERLINK("https://www.773grp.com/globalSearch/MPS6724G/page-1", "MPS6724G")</f>
        <v>MPS6724G</v>
      </c>
      <c r="B1371" s="3" t="str">
        <f>HYPERLINK("https://www.773grp.com/manufacturer/onsemi?pageNo=22", "Onsemi")</f>
        <v>Onsemi</v>
      </c>
      <c r="C1371" s="6">
        <v>3000</v>
      </c>
      <c r="D1371" s="7">
        <v>0.33</v>
      </c>
      <c r="E1371" t="s">
        <v>57</v>
      </c>
    </row>
    <row r="1372" spans="1:5" x14ac:dyDescent="0.25">
      <c r="A1372" t="str">
        <f>HYPERLINK("https://www.773grp.com/globalSearch/MPS6724RLRA/page-1", "MPS6724RLRA")</f>
        <v>MPS6724RLRA</v>
      </c>
      <c r="B1372" s="3" t="str">
        <f>HYPERLINK("https://www.773grp.com/manufacturer/onsemi?pageNo=23", "Onsemi")</f>
        <v>Onsemi</v>
      </c>
      <c r="C1372" s="6">
        <v>9506</v>
      </c>
      <c r="D1372" s="7">
        <v>0.33</v>
      </c>
      <c r="E1372" t="s">
        <v>57</v>
      </c>
    </row>
    <row r="1373" spans="1:5" x14ac:dyDescent="0.25">
      <c r="A1373" t="str">
        <f>HYPERLINK("https://www.773grp.com/globalSearch/MPS6724RLRAG/page-1", "MPS6724RLRAG")</f>
        <v>MPS6724RLRAG</v>
      </c>
      <c r="B1373" s="3" t="str">
        <f>HYPERLINK("https://www.773grp.com/manufacturer/onsemi?pageNo=24", "Onsemi")</f>
        <v>Onsemi</v>
      </c>
      <c r="C1373" s="6">
        <v>4000</v>
      </c>
      <c r="D1373" s="7">
        <v>0.33</v>
      </c>
      <c r="E1373" t="s">
        <v>57</v>
      </c>
    </row>
    <row r="1374" spans="1:5" x14ac:dyDescent="0.25">
      <c r="A1374" t="str">
        <f>HYPERLINK("https://www.773grp.com/globalSearch/MPS6726/page-1", "MPS6726")</f>
        <v>MPS6726</v>
      </c>
      <c r="B1374" s="3" t="str">
        <f>HYPERLINK("https://www.773grp.com/manufacturer/onsemi?pageNo=25", "Onsemi")</f>
        <v>Onsemi</v>
      </c>
      <c r="C1374" s="6">
        <v>10026</v>
      </c>
      <c r="D1374" s="7">
        <v>0.33</v>
      </c>
      <c r="E1374" t="s">
        <v>57</v>
      </c>
    </row>
    <row r="1375" spans="1:5" x14ac:dyDescent="0.25">
      <c r="A1375" t="str">
        <f>HYPERLINK("https://www.773grp.com/globalSearch/MPS6727/page-1", "MPS6727")</f>
        <v>MPS6727</v>
      </c>
      <c r="B1375" s="3" t="str">
        <f>HYPERLINK("https://www.773grp.com/manufacturer/onsemi?pageNo=26", "Onsemi")</f>
        <v>Onsemi</v>
      </c>
      <c r="C1375" s="6">
        <v>3968</v>
      </c>
      <c r="D1375" s="7">
        <v>0.33</v>
      </c>
      <c r="E1375" t="s">
        <v>57</v>
      </c>
    </row>
    <row r="1376" spans="1:5" x14ac:dyDescent="0.25">
      <c r="A1376" t="str">
        <f>HYPERLINK("https://www.773grp.com/globalSearch/MPSA05G/page-1", "MPSA05G")</f>
        <v>MPSA05G</v>
      </c>
      <c r="B1376" s="3" t="str">
        <f>HYPERLINK("https://www.773grp.com/manufacturer/onsemi?pageNo=27", "Onsemi")</f>
        <v>Onsemi</v>
      </c>
      <c r="C1376" s="6">
        <v>50000</v>
      </c>
      <c r="D1376" s="7">
        <v>0.33</v>
      </c>
      <c r="E1376" t="s">
        <v>57</v>
      </c>
    </row>
    <row r="1377" spans="1:5" x14ac:dyDescent="0.25">
      <c r="A1377" t="str">
        <f>HYPERLINK("https://www.773grp.com/globalSearch/MPSA05RLRAG/page-1", "MPSA05RLRAG")</f>
        <v>MPSA05RLRAG</v>
      </c>
      <c r="B1377" s="3" t="str">
        <f>HYPERLINK("https://www.773grp.com/manufacturer/onsemi?pageNo=28", "Onsemi")</f>
        <v>Onsemi</v>
      </c>
      <c r="C1377" s="6">
        <v>180000</v>
      </c>
      <c r="D1377" s="7">
        <v>0.33</v>
      </c>
      <c r="E1377" t="s">
        <v>57</v>
      </c>
    </row>
    <row r="1378" spans="1:5" x14ac:dyDescent="0.25">
      <c r="A1378" t="str">
        <f>HYPERLINK("https://www.773grp.com/globalSearch/MPSA05RLRMG/page-1", "MPSA05RLRMG")</f>
        <v>MPSA05RLRMG</v>
      </c>
      <c r="B1378" s="3" t="str">
        <f>HYPERLINK("https://www.773grp.com/manufacturer/onsemi?pageNo=29", "Onsemi")</f>
        <v>Onsemi</v>
      </c>
      <c r="C1378" s="6">
        <v>8000</v>
      </c>
      <c r="D1378" s="7">
        <v>0.33</v>
      </c>
    </row>
    <row r="1379" spans="1:5" x14ac:dyDescent="0.25">
      <c r="A1379" t="str">
        <f>HYPERLINK("https://www.773grp.com/globalSearch/MPSA06G/page-1", "MPSA06G")</f>
        <v>MPSA06G</v>
      </c>
      <c r="B1379" s="3" t="str">
        <f>HYPERLINK("https://www.773grp.com/manufacturer/onsemi?pageNo=30", "Onsemi")</f>
        <v>Onsemi</v>
      </c>
      <c r="C1379" s="6">
        <v>25000</v>
      </c>
      <c r="D1379" s="7">
        <v>0.33</v>
      </c>
      <c r="E1379" t="s">
        <v>57</v>
      </c>
    </row>
    <row r="1380" spans="1:5" x14ac:dyDescent="0.25">
      <c r="A1380" t="str">
        <f>HYPERLINK("https://www.773grp.com/globalSearch/MPSA06RL1G/page-1", "MPSA06RL1G")</f>
        <v>MPSA06RL1G</v>
      </c>
      <c r="B1380" s="3" t="str">
        <f>HYPERLINK("https://www.773grp.com/manufacturer/onsemi?pageNo=31", "Onsemi")</f>
        <v>Onsemi</v>
      </c>
      <c r="C1380" s="6">
        <v>42000</v>
      </c>
      <c r="D1380" s="7">
        <v>0.33</v>
      </c>
      <c r="E1380" t="s">
        <v>57</v>
      </c>
    </row>
    <row r="1381" spans="1:5" x14ac:dyDescent="0.25">
      <c r="A1381" t="str">
        <f>HYPERLINK("https://www.773grp.com/globalSearch/MPSA06RLG/page-1", "MPSA06RLG")</f>
        <v>MPSA06RLG</v>
      </c>
      <c r="B1381" s="3" t="str">
        <f>HYPERLINK("https://www.773grp.com/manufacturer/onsemi?pageNo=32", "Onsemi")</f>
        <v>Onsemi</v>
      </c>
      <c r="C1381" s="6">
        <v>6000</v>
      </c>
      <c r="D1381" s="7">
        <v>0.33</v>
      </c>
    </row>
    <row r="1382" spans="1:5" x14ac:dyDescent="0.25">
      <c r="A1382" t="str">
        <f>HYPERLINK("https://www.773grp.com/globalSearch/MPSA06RLRAG/page-1", "MPSA06RLRAG")</f>
        <v>MPSA06RLRAG</v>
      </c>
      <c r="B1382" s="3" t="str">
        <f>HYPERLINK("https://www.773grp.com/manufacturer/onsemi?pageNo=33", "Onsemi")</f>
        <v>Onsemi</v>
      </c>
      <c r="C1382" s="6">
        <v>3656000</v>
      </c>
      <c r="D1382" s="7">
        <v>0.33</v>
      </c>
      <c r="E1382" t="s">
        <v>57</v>
      </c>
    </row>
    <row r="1383" spans="1:5" x14ac:dyDescent="0.25">
      <c r="A1383" t="str">
        <f>HYPERLINK("https://www.773grp.com/globalSearch/MPSA06RLRMG/page-1", "MPSA06RLRMG")</f>
        <v>MPSA06RLRMG</v>
      </c>
      <c r="B1383" s="3" t="str">
        <f>HYPERLINK("https://www.773grp.com/manufacturer/onsemi?pageNo=34", "Onsemi")</f>
        <v>Onsemi</v>
      </c>
      <c r="C1383" s="6">
        <v>1490</v>
      </c>
      <c r="D1383" s="7">
        <v>0.33</v>
      </c>
      <c r="E1383" t="s">
        <v>57</v>
      </c>
    </row>
    <row r="1384" spans="1:5" x14ac:dyDescent="0.25">
      <c r="A1384" t="str">
        <f>HYPERLINK("https://www.773grp.com/globalSearch/MPSA06RLRPG/page-1", "MPSA06RLRPG")</f>
        <v>MPSA06RLRPG</v>
      </c>
      <c r="B1384" s="3" t="str">
        <f>HYPERLINK("https://www.773grp.com/manufacturer/onsemi?pageNo=35", "Onsemi")</f>
        <v>Onsemi</v>
      </c>
      <c r="C1384" s="6">
        <v>290000</v>
      </c>
      <c r="D1384" s="7">
        <v>0.33</v>
      </c>
      <c r="E1384" t="s">
        <v>57</v>
      </c>
    </row>
    <row r="1385" spans="1:5" x14ac:dyDescent="0.25">
      <c r="A1385" t="str">
        <f>HYPERLINK("https://www.773grp.com/globalSearch/MPSA18RLRAG/page-1", "MPSA18RLRAG")</f>
        <v>MPSA18RLRAG</v>
      </c>
      <c r="B1385" s="3" t="str">
        <f>HYPERLINK("https://www.773grp.com/manufacturer/onsemi?pageNo=36", "Onsemi")</f>
        <v>Onsemi</v>
      </c>
      <c r="C1385" s="6">
        <v>229187</v>
      </c>
      <c r="D1385" s="7">
        <v>0.33</v>
      </c>
      <c r="E1385" t="s">
        <v>57</v>
      </c>
    </row>
    <row r="1386" spans="1:5" x14ac:dyDescent="0.25">
      <c r="A1386" t="str">
        <f>HYPERLINK("https://www.773grp.com/globalSearch/MPSA18RLRMG/page-1", "MPSA18RLRMG")</f>
        <v>MPSA18RLRMG</v>
      </c>
      <c r="B1386" s="3" t="str">
        <f>HYPERLINK("https://www.773grp.com/manufacturer/onsemi?pageNo=37", "Onsemi")</f>
        <v>Onsemi</v>
      </c>
      <c r="C1386" s="6">
        <v>49000</v>
      </c>
      <c r="D1386" s="7">
        <v>0.33</v>
      </c>
      <c r="E1386" t="s">
        <v>57</v>
      </c>
    </row>
    <row r="1387" spans="1:5" x14ac:dyDescent="0.25">
      <c r="A1387" t="str">
        <f>HYPERLINK("https://www.773grp.com/globalSearch/MPSA28RLRPG/page-1", "MPSA28RLRPG")</f>
        <v>MPSA28RLRPG</v>
      </c>
      <c r="B1387" s="3" t="str">
        <f>HYPERLINK("https://www.773grp.com/manufacturer/onsemi?pageNo=38", "Onsemi")</f>
        <v>Onsemi</v>
      </c>
      <c r="C1387" s="6">
        <v>30000</v>
      </c>
      <c r="D1387" s="7">
        <v>0.33</v>
      </c>
      <c r="E1387" t="s">
        <v>57</v>
      </c>
    </row>
    <row r="1388" spans="1:5" x14ac:dyDescent="0.25">
      <c r="A1388" t="str">
        <f>HYPERLINK("https://www.773grp.com/globalSearch/MPSA55G/page-1", "MPSA55G")</f>
        <v>MPSA55G</v>
      </c>
      <c r="B1388" s="3" t="str">
        <f>HYPERLINK("https://www.773grp.com/manufacturer/onsemi?pageNo=39", "Onsemi")</f>
        <v>Onsemi</v>
      </c>
      <c r="C1388" s="6">
        <v>20000</v>
      </c>
      <c r="D1388" s="7">
        <v>0.33</v>
      </c>
      <c r="E1388" t="s">
        <v>57</v>
      </c>
    </row>
    <row r="1389" spans="1:5" x14ac:dyDescent="0.25">
      <c r="A1389" t="str">
        <f>HYPERLINK("https://www.773grp.com/globalSearch/MPSA56G/page-1", "MPSA56G")</f>
        <v>MPSA56G</v>
      </c>
      <c r="B1389" s="3" t="str">
        <f>HYPERLINK("https://www.773grp.com/manufacturer/onsemi?pageNo=40", "Onsemi")</f>
        <v>Onsemi</v>
      </c>
      <c r="C1389" s="6">
        <v>50</v>
      </c>
      <c r="D1389" s="7">
        <v>0.33</v>
      </c>
      <c r="E1389" t="s">
        <v>57</v>
      </c>
    </row>
    <row r="1390" spans="1:5" x14ac:dyDescent="0.25">
      <c r="A1390" t="str">
        <f>HYPERLINK("https://www.773grp.com/globalSearch/MPSA56RLRAG/page-1", "MPSA56RLRAG")</f>
        <v>MPSA56RLRAG</v>
      </c>
      <c r="B1390" s="3" t="str">
        <f>HYPERLINK("https://www.773grp.com/manufacturer/onsemi?pageNo=41", "Onsemi")</f>
        <v>Onsemi</v>
      </c>
      <c r="C1390" s="6">
        <v>1336</v>
      </c>
      <c r="D1390" s="7">
        <v>0.33</v>
      </c>
      <c r="E1390" t="s">
        <v>57</v>
      </c>
    </row>
    <row r="1391" spans="1:5" x14ac:dyDescent="0.25">
      <c r="A1391" t="str">
        <f>HYPERLINK("https://www.773grp.com/globalSearch/MPSA56RLRPG/page-1", "MPSA56RLRPG")</f>
        <v>MPSA56RLRPG</v>
      </c>
      <c r="B1391" s="3" t="str">
        <f>HYPERLINK("https://www.773grp.com/manufacturer/onsemi?pageNo=42", "Onsemi")</f>
        <v>Onsemi</v>
      </c>
      <c r="C1391" s="6">
        <v>11027</v>
      </c>
      <c r="D1391" s="7">
        <v>0.33</v>
      </c>
      <c r="E1391" t="s">
        <v>57</v>
      </c>
    </row>
    <row r="1392" spans="1:5" x14ac:dyDescent="0.25">
      <c r="A1392" t="str">
        <f>HYPERLINK("https://www.773grp.com/globalSearch/MPSH10G/page-1", "MPSH10G")</f>
        <v>MPSH10G</v>
      </c>
      <c r="B1392" s="3" t="str">
        <f>HYPERLINK("https://www.773grp.com/manufacturer/onsemi?pageNo=43", "Onsemi")</f>
        <v>Onsemi</v>
      </c>
      <c r="C1392" s="6">
        <v>15191</v>
      </c>
      <c r="D1392" s="7">
        <v>0.33</v>
      </c>
      <c r="E1392" t="s">
        <v>49</v>
      </c>
    </row>
    <row r="1393" spans="1:5" x14ac:dyDescent="0.25">
      <c r="A1393" t="str">
        <f>HYPERLINK("https://www.773grp.com/globalSearch/MPSW01/page-1", "MPSW01")</f>
        <v>MPSW01</v>
      </c>
      <c r="B1393" s="3" t="str">
        <f>HYPERLINK("https://www.773grp.com/manufacturer/onsemi?pageNo=44", "Onsemi")</f>
        <v>Onsemi</v>
      </c>
      <c r="C1393" s="6">
        <v>20000</v>
      </c>
      <c r="D1393" s="7">
        <v>0.33</v>
      </c>
      <c r="E1393" t="s">
        <v>57</v>
      </c>
    </row>
    <row r="1394" spans="1:5" x14ac:dyDescent="0.25">
      <c r="A1394" t="str">
        <f>HYPERLINK("https://www.773grp.com/globalSearch/MPSW06/page-1", "MPSW06")</f>
        <v>MPSW06</v>
      </c>
      <c r="B1394" s="3" t="str">
        <f>HYPERLINK("https://www.773grp.com/manufacturer/onsemi?pageNo=45", "Onsemi")</f>
        <v>Onsemi</v>
      </c>
      <c r="C1394" s="6">
        <v>44000</v>
      </c>
      <c r="D1394" s="7">
        <v>0.33</v>
      </c>
      <c r="E1394" t="s">
        <v>57</v>
      </c>
    </row>
    <row r="1395" spans="1:5" x14ac:dyDescent="0.25">
      <c r="A1395" t="str">
        <f>HYPERLINK("https://www.773grp.com/globalSearch/MPSW42/page-1", "MPSW42")</f>
        <v>MPSW42</v>
      </c>
      <c r="B1395" s="3" t="str">
        <f>HYPERLINK("https://www.773grp.com/manufacturer/onsemi?pageNo=46", "Onsemi")</f>
        <v>Onsemi</v>
      </c>
      <c r="C1395" s="6">
        <v>275</v>
      </c>
      <c r="D1395" s="7">
        <v>0.33</v>
      </c>
      <c r="E1395" t="s">
        <v>57</v>
      </c>
    </row>
    <row r="1396" spans="1:5" x14ac:dyDescent="0.25">
      <c r="A1396" t="str">
        <f>HYPERLINK("https://www.773grp.com/globalSearch/MPSW45/page-1", "MPSW45")</f>
        <v>MPSW45</v>
      </c>
      <c r="B1396" s="3" t="str">
        <f>HYPERLINK("https://www.773grp.com/manufacturer/onsemi?pageNo=47", "Onsemi")</f>
        <v>Onsemi</v>
      </c>
      <c r="C1396" s="6">
        <v>1285</v>
      </c>
      <c r="D1396" s="7">
        <v>0.33</v>
      </c>
      <c r="E1396" t="s">
        <v>57</v>
      </c>
    </row>
    <row r="1397" spans="1:5" x14ac:dyDescent="0.25">
      <c r="A1397" t="str">
        <f>HYPERLINK("https://www.773grp.com/globalSearch/MPSW45A/page-1", "MPSW45A")</f>
        <v>MPSW45A</v>
      </c>
      <c r="B1397" s="3" t="str">
        <f>HYPERLINK("https://www.773grp.com/manufacturer/onsemi?pageNo=48", "Onsemi")</f>
        <v>Onsemi</v>
      </c>
      <c r="C1397" s="6">
        <v>237</v>
      </c>
      <c r="D1397" s="7">
        <v>0.33</v>
      </c>
      <c r="E1397" t="s">
        <v>57</v>
      </c>
    </row>
    <row r="1398" spans="1:5" x14ac:dyDescent="0.25">
      <c r="A1398" t="str">
        <f>HYPERLINK("https://www.773grp.com/globalSearch/MPSW45AZL1/page-1", "MPSW45AZL1")</f>
        <v>MPSW45AZL1</v>
      </c>
      <c r="B1398" s="3" t="str">
        <f>HYPERLINK("https://www.773grp.com/manufacturer/onsemi?pageNo=49", "Onsemi")</f>
        <v>Onsemi</v>
      </c>
      <c r="C1398" s="6">
        <v>18000</v>
      </c>
      <c r="D1398" s="7">
        <v>0.33</v>
      </c>
      <c r="E1398" t="s">
        <v>57</v>
      </c>
    </row>
    <row r="1399" spans="1:5" x14ac:dyDescent="0.25">
      <c r="A1399" t="str">
        <f>HYPERLINK("https://www.773grp.com/globalSearch/MPSW45RLRE/page-1", "MPSW45RLRE")</f>
        <v>MPSW45RLRE</v>
      </c>
      <c r="B1399" s="3" t="str">
        <f>HYPERLINK("https://www.773grp.com/manufacturer/onsemi?pageNo=50", "Onsemi")</f>
        <v>Onsemi</v>
      </c>
      <c r="C1399" s="6">
        <v>4000</v>
      </c>
      <c r="D1399" s="7">
        <v>0.33</v>
      </c>
      <c r="E1399" t="s">
        <v>57</v>
      </c>
    </row>
    <row r="1400" spans="1:5" x14ac:dyDescent="0.25">
      <c r="A1400" t="str">
        <f>HYPERLINK("https://www.773grp.com/globalSearch/MPSW51/page-1", "MPSW51")</f>
        <v>MPSW51</v>
      </c>
      <c r="B1400" s="3" t="str">
        <f>HYPERLINK("https://www.773grp.com/manufacturer/onsemi?pageNo=51", "Onsemi")</f>
        <v>Onsemi</v>
      </c>
      <c r="C1400" s="6">
        <v>82500</v>
      </c>
      <c r="D1400" s="7">
        <v>0.33</v>
      </c>
      <c r="E1400" t="s">
        <v>57</v>
      </c>
    </row>
    <row r="1401" spans="1:5" x14ac:dyDescent="0.25">
      <c r="A1401" t="str">
        <f>HYPERLINK("https://www.773grp.com/globalSearch/MPSW55RLRAG/page-1", "MPSW55RLRAG")</f>
        <v>MPSW55RLRAG</v>
      </c>
      <c r="B1401" s="3" t="str">
        <f>HYPERLINK("https://www.773grp.com/manufacturer/onsemi?pageNo=52", "Onsemi")</f>
        <v>Onsemi</v>
      </c>
      <c r="C1401" s="6">
        <v>26000</v>
      </c>
      <c r="D1401" s="7">
        <v>0.33</v>
      </c>
      <c r="E1401" t="s">
        <v>57</v>
      </c>
    </row>
    <row r="1402" spans="1:5" x14ac:dyDescent="0.25">
      <c r="A1402" t="str">
        <f>HYPERLINK("https://www.773grp.com/globalSearch/MPSW56RLRP/page-1", "MPSW56RLRP")</f>
        <v>MPSW56RLRP</v>
      </c>
      <c r="B1402" s="3" t="str">
        <f>HYPERLINK("https://www.773grp.com/manufacturer/onsemi?pageNo=53", "Onsemi")</f>
        <v>Onsemi</v>
      </c>
      <c r="C1402" s="6">
        <v>292000</v>
      </c>
      <c r="D1402" s="7">
        <v>0.33</v>
      </c>
      <c r="E1402" t="s">
        <v>57</v>
      </c>
    </row>
    <row r="1403" spans="1:5" x14ac:dyDescent="0.25">
      <c r="A1403" t="str">
        <f>HYPERLINK("https://www.773grp.com/globalSearch/MPSW63/page-1", "MPSW63")</f>
        <v>MPSW63</v>
      </c>
      <c r="B1403" s="3" t="str">
        <f>HYPERLINK("https://www.773grp.com/manufacturer/onsemi?pageNo=54", "Onsemi")</f>
        <v>Onsemi</v>
      </c>
      <c r="C1403" s="6">
        <v>3385</v>
      </c>
      <c r="D1403" s="7">
        <v>0.33</v>
      </c>
      <c r="E1403" t="s">
        <v>57</v>
      </c>
    </row>
    <row r="1404" spans="1:5" x14ac:dyDescent="0.25">
      <c r="A1404" t="str">
        <f>HYPERLINK("https://www.773grp.com/globalSearch/MPSW63G/page-1", "MPSW63G")</f>
        <v>MPSW63G</v>
      </c>
      <c r="B1404" s="3" t="str">
        <f>HYPERLINK("https://www.773grp.com/manufacturer/onsemi?pageNo=55", "Onsemi")</f>
        <v>Onsemi</v>
      </c>
      <c r="C1404" s="6">
        <v>4477</v>
      </c>
      <c r="D1404" s="7">
        <v>0.33</v>
      </c>
      <c r="E1404" t="s">
        <v>57</v>
      </c>
    </row>
    <row r="1405" spans="1:5" x14ac:dyDescent="0.25">
      <c r="A1405" t="str">
        <f>HYPERLINK("https://www.773grp.com/globalSearch/MPSW63RLRA/page-1", "MPSW63RLRA")</f>
        <v>MPSW63RLRA</v>
      </c>
      <c r="B1405" s="3" t="str">
        <f>HYPERLINK("https://www.773grp.com/manufacturer/onsemi?pageNo=56", "Onsemi")</f>
        <v>Onsemi</v>
      </c>
      <c r="C1405" s="6">
        <v>6000</v>
      </c>
      <c r="D1405" s="7">
        <v>0.33</v>
      </c>
      <c r="E1405" t="s">
        <v>57</v>
      </c>
    </row>
    <row r="1406" spans="1:5" x14ac:dyDescent="0.25">
      <c r="A1406" t="str">
        <f>HYPERLINK("https://www.773grp.com/globalSearch/MPSW92/page-1", "MPSW92")</f>
        <v>MPSW92</v>
      </c>
      <c r="B1406" s="3" t="str">
        <f>HYPERLINK("https://www.773grp.com/manufacturer/onsemi?pageNo=57", "Onsemi")</f>
        <v>Onsemi</v>
      </c>
      <c r="C1406" s="6">
        <v>39900</v>
      </c>
      <c r="D1406" s="7">
        <v>0.33</v>
      </c>
      <c r="E1406" t="s">
        <v>57</v>
      </c>
    </row>
    <row r="1407" spans="1:5" x14ac:dyDescent="0.25">
      <c r="A1407" t="str">
        <f>HYPERLINK("https://www.773grp.com/globalSearch/MPSW92G/page-1", "MPSW92G")</f>
        <v>MPSW92G</v>
      </c>
      <c r="B1407" s="3" t="str">
        <f>HYPERLINK("https://www.773grp.com/manufacturer/onsemi?pageNo=58", "Onsemi")</f>
        <v>Onsemi</v>
      </c>
      <c r="C1407" s="6">
        <v>16944</v>
      </c>
      <c r="D1407" s="7">
        <v>0.33</v>
      </c>
      <c r="E1407" t="s">
        <v>57</v>
      </c>
    </row>
    <row r="1408" spans="1:5" x14ac:dyDescent="0.25">
      <c r="A1408" t="str">
        <f>HYPERLINK("https://www.773grp.com/globalSearch/MPSW92RLRA/page-1", "MPSW92RLRA")</f>
        <v>MPSW92RLRA</v>
      </c>
      <c r="B1408" s="3" t="str">
        <f>HYPERLINK("https://www.773grp.com/manufacturer/onsemi?pageNo=59", "Onsemi")</f>
        <v>Onsemi</v>
      </c>
      <c r="C1408" s="6">
        <v>32000</v>
      </c>
      <c r="D1408" s="7">
        <v>0.33</v>
      </c>
      <c r="E1408" t="s">
        <v>57</v>
      </c>
    </row>
    <row r="1409" spans="1:5" x14ac:dyDescent="0.25">
      <c r="A1409" t="str">
        <f>HYPERLINK("https://www.773grp.com/globalSearch/MR851G/page-1", "MR851G")</f>
        <v>MR851G</v>
      </c>
      <c r="B1409" s="3" t="str">
        <f>HYPERLINK("https://www.773grp.com/manufacturer/onsemi?pageNo=60", "Onsemi")</f>
        <v>Onsemi</v>
      </c>
      <c r="C1409" s="6">
        <v>7500</v>
      </c>
      <c r="D1409" s="7">
        <v>0.33</v>
      </c>
      <c r="E1409" t="s">
        <v>82</v>
      </c>
    </row>
    <row r="1410" spans="1:5" x14ac:dyDescent="0.25">
      <c r="A1410" t="str">
        <f>HYPERLINK("https://www.773grp.com/globalSearch/MR851RLG/page-1", "MR851RLG")</f>
        <v>MR851RLG</v>
      </c>
      <c r="B1410" s="3" t="str">
        <f>HYPERLINK("https://www.773grp.com/manufacturer/onsemi?pageNo=61", "Onsemi")</f>
        <v>Onsemi</v>
      </c>
      <c r="C1410" s="6">
        <v>15600</v>
      </c>
      <c r="D1410" s="7">
        <v>0.33</v>
      </c>
      <c r="E1410" t="s">
        <v>82</v>
      </c>
    </row>
    <row r="1411" spans="1:5" x14ac:dyDescent="0.25">
      <c r="A1411" t="str">
        <f>HYPERLINK("https://www.773grp.com/globalSearch/MR852G/page-1", "MR852G")</f>
        <v>MR852G</v>
      </c>
      <c r="B1411" s="3" t="str">
        <f>HYPERLINK("https://www.773grp.com/manufacturer/onsemi?pageNo=62", "Onsemi")</f>
        <v>Onsemi</v>
      </c>
      <c r="C1411" s="6">
        <v>31072</v>
      </c>
      <c r="D1411" s="7">
        <v>0.33</v>
      </c>
      <c r="E1411" t="s">
        <v>82</v>
      </c>
    </row>
    <row r="1412" spans="1:5" x14ac:dyDescent="0.25">
      <c r="A1412" t="str">
        <f>HYPERLINK("https://www.773grp.com/globalSearch/MR852RLG/page-1", "MR852RLG")</f>
        <v>MR852RLG</v>
      </c>
      <c r="B1412" s="3" t="str">
        <f>HYPERLINK("https://www.773grp.com/manufacturer/onsemi?pageNo=63", "Onsemi")</f>
        <v>Onsemi</v>
      </c>
      <c r="C1412" s="6">
        <v>203200</v>
      </c>
      <c r="D1412" s="7">
        <v>0.33</v>
      </c>
      <c r="E1412" t="s">
        <v>82</v>
      </c>
    </row>
    <row r="1413" spans="1:5" x14ac:dyDescent="0.25">
      <c r="A1413" t="str">
        <f>HYPERLINK("https://www.773grp.com/globalSearch/MR854G/page-1", "MR854G")</f>
        <v>MR854G</v>
      </c>
      <c r="B1413" s="3" t="str">
        <f>HYPERLINK("https://www.773grp.com/manufacturer/onsemi?pageNo=64", "Onsemi")</f>
        <v>Onsemi</v>
      </c>
      <c r="C1413" s="6">
        <v>12000</v>
      </c>
      <c r="D1413" s="7">
        <v>0.33</v>
      </c>
      <c r="E1413" t="s">
        <v>82</v>
      </c>
    </row>
    <row r="1414" spans="1:5" x14ac:dyDescent="0.25">
      <c r="A1414" t="str">
        <f>HYPERLINK("https://www.773grp.com/globalSearch/MR854RLG/page-1", "MR854RLG")</f>
        <v>MR854RLG</v>
      </c>
      <c r="B1414" s="3" t="str">
        <f>HYPERLINK("https://www.773grp.com/manufacturer/onsemi?pageNo=65", "Onsemi")</f>
        <v>Onsemi</v>
      </c>
      <c r="C1414" s="6">
        <v>2951</v>
      </c>
      <c r="D1414" s="7">
        <v>0.33</v>
      </c>
      <c r="E1414" t="s">
        <v>82</v>
      </c>
    </row>
    <row r="1415" spans="1:5" x14ac:dyDescent="0.25">
      <c r="A1415" t="str">
        <f>HYPERLINK("https://www.773grp.com/globalSearch/MR856G/page-1", "MR856G")</f>
        <v>MR856G</v>
      </c>
      <c r="B1415" s="3" t="str">
        <f>HYPERLINK("https://www.773grp.com/manufacturer/onsemi?pageNo=66", "Onsemi")</f>
        <v>Onsemi</v>
      </c>
      <c r="C1415" s="6">
        <v>201878</v>
      </c>
      <c r="D1415" s="7">
        <v>0.33</v>
      </c>
      <c r="E1415" t="s">
        <v>82</v>
      </c>
    </row>
    <row r="1416" spans="1:5" x14ac:dyDescent="0.25">
      <c r="A1416" t="str">
        <f>HYPERLINK("https://www.773grp.com/globalSearch/MR856RLG/page-1", "MR856RLG")</f>
        <v>MR856RLG</v>
      </c>
      <c r="B1416" s="3" t="str">
        <f>HYPERLINK("https://www.773grp.com/manufacturer/onsemi?pageNo=67", "Onsemi")</f>
        <v>Onsemi</v>
      </c>
      <c r="C1416" s="6">
        <v>43446</v>
      </c>
      <c r="D1416" s="7">
        <v>0.33</v>
      </c>
      <c r="E1416" t="s">
        <v>82</v>
      </c>
    </row>
    <row r="1417" spans="1:5" x14ac:dyDescent="0.25">
      <c r="A1417" t="str">
        <f>HYPERLINK("https://www.773grp.com/globalSearch/MRA4003T3G/page-1", "MRA4003T3G")</f>
        <v>MRA4003T3G</v>
      </c>
      <c r="B1417" s="3" t="str">
        <f>HYPERLINK("https://www.773grp.com/manufacturer/onsemi?pageNo=68", "Onsemi")</f>
        <v>Onsemi</v>
      </c>
      <c r="C1417" s="6">
        <v>74702</v>
      </c>
      <c r="D1417" s="7">
        <v>0.33</v>
      </c>
      <c r="E1417" t="s">
        <v>73</v>
      </c>
    </row>
    <row r="1418" spans="1:5" x14ac:dyDescent="0.25">
      <c r="A1418" t="str">
        <f>HYPERLINK("https://www.773grp.com/globalSearch/MRA4004T3G/page-1", "MRA4004T3G")</f>
        <v>MRA4004T3G</v>
      </c>
      <c r="B1418" s="3" t="str">
        <f>HYPERLINK("https://www.773grp.com/manufacturer/onsemi?pageNo=69", "Onsemi")</f>
        <v>Onsemi</v>
      </c>
      <c r="C1418" s="6">
        <v>134124</v>
      </c>
      <c r="D1418" s="7">
        <v>0.33</v>
      </c>
      <c r="E1418" t="s">
        <v>73</v>
      </c>
    </row>
    <row r="1419" spans="1:5" x14ac:dyDescent="0.25">
      <c r="A1419" t="str">
        <f>HYPERLINK("https://www.773grp.com/globalSearch/MRA4005T1G/page-1", "MRA4005T1G")</f>
        <v>MRA4005T1G</v>
      </c>
      <c r="B1419" s="3" t="str">
        <f>HYPERLINK("https://www.773grp.com/manufacturer/onsemi?pageNo=70", "Onsemi")</f>
        <v>Onsemi</v>
      </c>
      <c r="C1419" s="6">
        <v>149000</v>
      </c>
      <c r="D1419" s="7">
        <v>0.33</v>
      </c>
      <c r="E1419" t="s">
        <v>73</v>
      </c>
    </row>
    <row r="1420" spans="1:5" x14ac:dyDescent="0.25">
      <c r="A1420" t="str">
        <f>HYPERLINK("https://www.773grp.com/globalSearch/MRA4005T3G/page-1", "MRA4005T3G")</f>
        <v>MRA4005T3G</v>
      </c>
      <c r="B1420" s="3" t="str">
        <f>HYPERLINK("https://www.773grp.com/manufacturer/onsemi?pageNo=71", "Onsemi")</f>
        <v>Onsemi</v>
      </c>
      <c r="C1420" s="6">
        <v>67637</v>
      </c>
      <c r="D1420" s="7">
        <v>0.33</v>
      </c>
      <c r="E1420" t="s">
        <v>73</v>
      </c>
    </row>
    <row r="1421" spans="1:5" x14ac:dyDescent="0.25">
      <c r="A1421" t="str">
        <f>HYPERLINK("https://www.773grp.com/globalSearch/MRA4006T3G/page-1", "MRA4006T3G")</f>
        <v>MRA4006T3G</v>
      </c>
      <c r="B1421" s="3" t="str">
        <f>HYPERLINK("https://www.773grp.com/manufacturer/onsemi?pageNo=72", "Onsemi")</f>
        <v>Onsemi</v>
      </c>
      <c r="C1421" s="6">
        <v>40000</v>
      </c>
      <c r="D1421" s="7">
        <v>0.33</v>
      </c>
      <c r="E1421" t="s">
        <v>73</v>
      </c>
    </row>
    <row r="1422" spans="1:5" x14ac:dyDescent="0.25">
      <c r="A1422" t="str">
        <f>HYPERLINK("https://www.773grp.com/globalSearch/MRA4007T3G/page-1", "MRA4007T3G")</f>
        <v>MRA4007T3G</v>
      </c>
      <c r="B1422" s="3" t="str">
        <f>HYPERLINK("https://www.773grp.com/manufacturer/onsemi?pageNo=73", "Onsemi")</f>
        <v>Onsemi</v>
      </c>
      <c r="C1422" s="6">
        <v>30000</v>
      </c>
      <c r="D1422" s="7">
        <v>0.33</v>
      </c>
      <c r="E1422" t="s">
        <v>73</v>
      </c>
    </row>
    <row r="1423" spans="1:5" x14ac:dyDescent="0.25">
      <c r="A1423" t="str">
        <f>HYPERLINK("https://www.773grp.com/globalSearch/MUN5131TIG/page-1", "MUN5131TIG")</f>
        <v>MUN5131TIG</v>
      </c>
      <c r="B1423" s="3" t="str">
        <f>HYPERLINK("https://www.773grp.com/manufacturer/onsemi?pageNo=74", "Onsemi")</f>
        <v>Onsemi</v>
      </c>
      <c r="C1423" s="6">
        <v>3000</v>
      </c>
      <c r="D1423" s="7">
        <v>0.33</v>
      </c>
    </row>
    <row r="1424" spans="1:5" x14ac:dyDescent="0.25">
      <c r="A1424" t="str">
        <f>HYPERLINK("https://www.773grp.com/globalSearch/MUR105/page-1", "MUR105")</f>
        <v>MUR105</v>
      </c>
      <c r="B1424" s="3" t="str">
        <f>HYPERLINK("https://www.773grp.com/manufacturer/onsemi?pageNo=75", "Onsemi")</f>
        <v>Onsemi</v>
      </c>
      <c r="C1424" s="6">
        <v>5285</v>
      </c>
      <c r="D1424" s="7">
        <v>0.33</v>
      </c>
      <c r="E1424" t="s">
        <v>73</v>
      </c>
    </row>
    <row r="1425" spans="1:5" x14ac:dyDescent="0.25">
      <c r="A1425" t="str">
        <f>HYPERLINK("https://www.773grp.com/globalSearch/MUR105RL/page-1", "MUR105RL")</f>
        <v>MUR105RL</v>
      </c>
      <c r="B1425" s="3" t="str">
        <f>HYPERLINK("https://www.773grp.com/manufacturer/onsemi?pageNo=76", "Onsemi")</f>
        <v>Onsemi</v>
      </c>
      <c r="C1425" s="6">
        <v>10000</v>
      </c>
      <c r="D1425" s="7">
        <v>0.33</v>
      </c>
      <c r="E1425" t="s">
        <v>73</v>
      </c>
    </row>
    <row r="1426" spans="1:5" x14ac:dyDescent="0.25">
      <c r="A1426" t="str">
        <f>HYPERLINK("https://www.773grp.com/globalSearch/MUR110/page-1", "MUR110")</f>
        <v>MUR110</v>
      </c>
      <c r="B1426" s="3" t="str">
        <f>HYPERLINK("https://www.773grp.com/manufacturer/onsemi?pageNo=77", "Onsemi")</f>
        <v>Onsemi</v>
      </c>
      <c r="C1426" s="6">
        <v>5</v>
      </c>
      <c r="D1426" s="7">
        <v>0.33</v>
      </c>
      <c r="E1426" t="s">
        <v>73</v>
      </c>
    </row>
    <row r="1427" spans="1:5" x14ac:dyDescent="0.25">
      <c r="A1427" t="str">
        <f>HYPERLINK("https://www.773grp.com/globalSearch/MUR110RL/page-1", "MUR110RL")</f>
        <v>MUR110RL</v>
      </c>
      <c r="B1427" s="3" t="str">
        <f>HYPERLINK("https://www.773grp.com/manufacturer/onsemi?pageNo=78", "Onsemi")</f>
        <v>Onsemi</v>
      </c>
      <c r="C1427" s="6">
        <v>5000</v>
      </c>
      <c r="D1427" s="7">
        <v>0.33</v>
      </c>
      <c r="E1427" t="s">
        <v>73</v>
      </c>
    </row>
    <row r="1428" spans="1:5" x14ac:dyDescent="0.25">
      <c r="A1428" t="str">
        <f>HYPERLINK("https://www.773grp.com/globalSearch/MUR120/page-1", "MUR120")</f>
        <v>MUR120</v>
      </c>
      <c r="B1428" s="3" t="str">
        <f>HYPERLINK("https://www.773grp.com/manufacturer/onsemi?pageNo=79", "Onsemi")</f>
        <v>Onsemi</v>
      </c>
      <c r="C1428" s="6">
        <v>45364</v>
      </c>
      <c r="D1428" s="7">
        <v>0.33</v>
      </c>
      <c r="E1428" t="s">
        <v>73</v>
      </c>
    </row>
    <row r="1429" spans="1:5" x14ac:dyDescent="0.25">
      <c r="A1429" t="str">
        <f>HYPERLINK("https://www.773grp.com/globalSearch/MUR140/page-1", "MUR140")</f>
        <v>MUR140</v>
      </c>
      <c r="B1429" s="3" t="str">
        <f>HYPERLINK("https://www.773grp.com/manufacturer/onsemi?pageNo=80", "Onsemi")</f>
        <v>Onsemi</v>
      </c>
      <c r="C1429" s="6">
        <v>7179</v>
      </c>
      <c r="D1429" s="7">
        <v>0.33</v>
      </c>
      <c r="E1429" t="s">
        <v>73</v>
      </c>
    </row>
    <row r="1430" spans="1:5" x14ac:dyDescent="0.25">
      <c r="A1430" t="str">
        <f>HYPERLINK("https://www.773grp.com/globalSearch/MUR140RL/page-1", "MUR140RL")</f>
        <v>MUR140RL</v>
      </c>
      <c r="B1430" s="3" t="str">
        <f>HYPERLINK("https://www.773grp.com/manufacturer/onsemi?pageNo=81", "Onsemi")</f>
        <v>Onsemi</v>
      </c>
      <c r="C1430" s="6">
        <v>25000</v>
      </c>
      <c r="D1430" s="7">
        <v>0.33</v>
      </c>
      <c r="E1430" t="s">
        <v>73</v>
      </c>
    </row>
    <row r="1431" spans="1:5" x14ac:dyDescent="0.25">
      <c r="A1431" t="str">
        <f>HYPERLINK("https://www.773grp.com/globalSearch/MUR210/page-1", "MUR210")</f>
        <v>MUR210</v>
      </c>
      <c r="B1431" s="3" t="str">
        <f>HYPERLINK("https://www.773grp.com/manufacturer/onsemi?pageNo=82", "Onsemi")</f>
        <v>Onsemi</v>
      </c>
      <c r="C1431" s="6">
        <v>5000</v>
      </c>
      <c r="D1431" s="7">
        <v>0.33</v>
      </c>
      <c r="E1431" t="s">
        <v>82</v>
      </c>
    </row>
    <row r="1432" spans="1:5" x14ac:dyDescent="0.25">
      <c r="A1432" t="str">
        <f>HYPERLINK("https://www.773grp.com/globalSearch/MZP4741A/page-1", "MZP4741A")</f>
        <v>MZP4741A</v>
      </c>
      <c r="B1432" s="3" t="str">
        <f>HYPERLINK("https://www.773grp.com/manufacturer/onsemi?pageNo=83", "Onsemi")</f>
        <v>Onsemi</v>
      </c>
      <c r="C1432" s="6">
        <v>4000</v>
      </c>
      <c r="D1432" s="7">
        <v>0.33</v>
      </c>
      <c r="E1432" t="s">
        <v>77</v>
      </c>
    </row>
    <row r="1433" spans="1:5" x14ac:dyDescent="0.25">
      <c r="A1433" t="str">
        <f>HYPERLINK("https://www.773grp.com/globalSearch/NL17SV00XV5T2/page-1", "NL17SV00XV5T2")</f>
        <v>NL17SV00XV5T2</v>
      </c>
      <c r="B1433" s="3" t="str">
        <f>HYPERLINK("https://www.773grp.com/manufacturer/onsemi?pageNo=84", "Onsemi")</f>
        <v>Onsemi</v>
      </c>
      <c r="C1433" s="6">
        <v>2834</v>
      </c>
      <c r="D1433" s="7">
        <v>0.33</v>
      </c>
      <c r="E1433" t="s">
        <v>27</v>
      </c>
    </row>
    <row r="1434" spans="1:5" x14ac:dyDescent="0.25">
      <c r="A1434" t="str">
        <f>HYPERLINK("https://www.773grp.com/globalSearch/NL17SV02XV5T2/page-1", "NL17SV02XV5T2")</f>
        <v>NL17SV02XV5T2</v>
      </c>
      <c r="B1434" s="3" t="str">
        <f>HYPERLINK("https://www.773grp.com/manufacturer/onsemi?pageNo=85", "Onsemi")</f>
        <v>Onsemi</v>
      </c>
      <c r="C1434" s="6">
        <v>3997</v>
      </c>
      <c r="D1434" s="7">
        <v>0.33</v>
      </c>
      <c r="E1434" t="s">
        <v>27</v>
      </c>
    </row>
    <row r="1435" spans="1:5" x14ac:dyDescent="0.25">
      <c r="A1435" t="str">
        <f>HYPERLINK("https://www.773grp.com/globalSearch/NL17SV04XV5T2/page-1", "NL17SV04XV5T2")</f>
        <v>NL17SV04XV5T2</v>
      </c>
      <c r="B1435" s="3" t="str">
        <f>HYPERLINK("https://www.773grp.com/manufacturer/onsemi?pageNo=86", "Onsemi")</f>
        <v>Onsemi</v>
      </c>
      <c r="C1435" s="6">
        <v>55865</v>
      </c>
      <c r="D1435" s="7">
        <v>0.33</v>
      </c>
      <c r="E1435" t="s">
        <v>27</v>
      </c>
    </row>
    <row r="1436" spans="1:5" x14ac:dyDescent="0.25">
      <c r="A1436" t="str">
        <f>HYPERLINK("https://www.773grp.com/globalSearch/NL17SV08XV5T2/page-1", "NL17SV08XV5T2")</f>
        <v>NL17SV08XV5T2</v>
      </c>
      <c r="B1436" s="3" t="str">
        <f>HYPERLINK("https://www.773grp.com/manufacturer/onsemi?pageNo=87", "Onsemi")</f>
        <v>Onsemi</v>
      </c>
      <c r="C1436" s="6">
        <v>6955</v>
      </c>
      <c r="D1436" s="7">
        <v>0.33</v>
      </c>
      <c r="E1436" t="s">
        <v>27</v>
      </c>
    </row>
    <row r="1437" spans="1:5" x14ac:dyDescent="0.25">
      <c r="A1437" t="str">
        <f>HYPERLINK("https://www.773grp.com/globalSearch/NL17SV16XV5T2/page-1", "NL17SV16XV5T2")</f>
        <v>NL17SV16XV5T2</v>
      </c>
      <c r="B1437" s="3" t="str">
        <f>HYPERLINK("https://www.773grp.com/manufacturer/onsemi?pageNo=88", "Onsemi")</f>
        <v>Onsemi</v>
      </c>
      <c r="C1437" s="6">
        <v>31880</v>
      </c>
      <c r="D1437" s="7">
        <v>0.33</v>
      </c>
      <c r="E1437" t="s">
        <v>27</v>
      </c>
    </row>
    <row r="1438" spans="1:5" x14ac:dyDescent="0.25">
      <c r="A1438" t="str">
        <f>HYPERLINK("https://www.773grp.com/globalSearch/NL17SV32XV5T2/page-1", "NL17SV32XV5T2")</f>
        <v>NL17SV32XV5T2</v>
      </c>
      <c r="B1438" s="3" t="str">
        <f>HYPERLINK("https://www.773grp.com/manufacturer/onsemi?pageNo=89", "Onsemi")</f>
        <v>Onsemi</v>
      </c>
      <c r="C1438" s="6">
        <v>615</v>
      </c>
      <c r="D1438" s="7">
        <v>0.33</v>
      </c>
      <c r="E1438" t="s">
        <v>27</v>
      </c>
    </row>
    <row r="1439" spans="1:5" x14ac:dyDescent="0.25">
      <c r="A1439" t="str">
        <f>HYPERLINK("https://www.773grp.com/globalSearch/NLU1G00AMX1TCG/page-1", "NLU1G00AMX1TCG")</f>
        <v>NLU1G00AMX1TCG</v>
      </c>
      <c r="B1439" s="3" t="str">
        <f>HYPERLINK("https://www.773grp.com/manufacturer/onsemi?pageNo=90", "Onsemi")</f>
        <v>Onsemi</v>
      </c>
      <c r="C1439" s="6">
        <v>188972</v>
      </c>
      <c r="D1439" s="7">
        <v>0.33</v>
      </c>
      <c r="E1439" t="s">
        <v>27</v>
      </c>
    </row>
    <row r="1440" spans="1:5" x14ac:dyDescent="0.25">
      <c r="A1440" t="str">
        <f>HYPERLINK("https://www.773grp.com/globalSearch/NLU1G04AMX1TCG/page-1", "NLU1G04AMX1TCG")</f>
        <v>NLU1G04AMX1TCG</v>
      </c>
      <c r="B1440" s="3" t="str">
        <f>HYPERLINK("https://www.773grp.com/manufacturer/onsemi?pageNo=91", "Onsemi")</f>
        <v>Onsemi</v>
      </c>
      <c r="C1440" s="6">
        <v>956725</v>
      </c>
      <c r="D1440" s="7">
        <v>0.33</v>
      </c>
      <c r="E1440" t="s">
        <v>27</v>
      </c>
    </row>
    <row r="1441" spans="1:5" x14ac:dyDescent="0.25">
      <c r="A1441" t="str">
        <f>HYPERLINK("https://www.773grp.com/globalSearch/NLU1G04BMX1TCG/page-1", "NLU1G04BMX1TCG")</f>
        <v>NLU1G04BMX1TCG</v>
      </c>
      <c r="B1441" s="3" t="str">
        <f>HYPERLINK("https://www.773grp.com/manufacturer/onsemi?pageNo=92", "Onsemi")</f>
        <v>Onsemi</v>
      </c>
      <c r="C1441" s="6">
        <v>63000</v>
      </c>
      <c r="D1441" s="7">
        <v>0.33</v>
      </c>
      <c r="E1441" t="s">
        <v>27</v>
      </c>
    </row>
    <row r="1442" spans="1:5" x14ac:dyDescent="0.25">
      <c r="A1442" t="str">
        <f>HYPERLINK("https://www.773grp.com/globalSearch/NLU1G07AMX1TCG/page-1", "NLU1G07AMX1TCG")</f>
        <v>NLU1G07AMX1TCG</v>
      </c>
      <c r="B1442" s="3" t="str">
        <f>HYPERLINK("https://www.773grp.com/manufacturer/onsemi?pageNo=93", "Onsemi")</f>
        <v>Onsemi</v>
      </c>
      <c r="C1442" s="6">
        <v>131890</v>
      </c>
      <c r="D1442" s="7">
        <v>0.33</v>
      </c>
      <c r="E1442" t="s">
        <v>27</v>
      </c>
    </row>
    <row r="1443" spans="1:5" x14ac:dyDescent="0.25">
      <c r="A1443" t="str">
        <f>HYPERLINK("https://www.773grp.com/globalSearch/NLU1G07BMX1TCG/page-1", "NLU1G07BMX1TCG")</f>
        <v>NLU1G07BMX1TCG</v>
      </c>
      <c r="B1443" s="3" t="str">
        <f>HYPERLINK("https://www.773grp.com/manufacturer/onsemi?pageNo=94", "Onsemi")</f>
        <v>Onsemi</v>
      </c>
      <c r="C1443" s="6">
        <v>72000</v>
      </c>
      <c r="D1443" s="7">
        <v>0.33</v>
      </c>
      <c r="E1443" t="s">
        <v>27</v>
      </c>
    </row>
    <row r="1444" spans="1:5" x14ac:dyDescent="0.25">
      <c r="A1444" t="str">
        <f>HYPERLINK("https://www.773grp.com/globalSearch/NLU1G08AMX1TCG/page-1", "NLU1G08AMX1TCG")</f>
        <v>NLU1G08AMX1TCG</v>
      </c>
      <c r="B1444" s="3" t="str">
        <f>HYPERLINK("https://www.773grp.com/manufacturer/onsemi?pageNo=95", "Onsemi")</f>
        <v>Onsemi</v>
      </c>
      <c r="C1444" s="6">
        <v>141000</v>
      </c>
      <c r="D1444" s="7">
        <v>0.33</v>
      </c>
      <c r="E1444" t="s">
        <v>27</v>
      </c>
    </row>
    <row r="1445" spans="1:5" x14ac:dyDescent="0.25">
      <c r="A1445" t="str">
        <f>HYPERLINK("https://www.773grp.com/globalSearch/NLU1G08BMX1TCG/page-1", "NLU1G08BMX1TCG")</f>
        <v>NLU1G08BMX1TCG</v>
      </c>
      <c r="B1445" s="3" t="str">
        <f>HYPERLINK("https://www.773grp.com/manufacturer/onsemi?pageNo=96", "Onsemi")</f>
        <v>Onsemi</v>
      </c>
      <c r="C1445" s="6">
        <v>465000</v>
      </c>
      <c r="D1445" s="7">
        <v>0.33</v>
      </c>
      <c r="E1445" t="s">
        <v>27</v>
      </c>
    </row>
    <row r="1446" spans="1:5" x14ac:dyDescent="0.25">
      <c r="A1446" t="str">
        <f>HYPERLINK("https://www.773grp.com/globalSearch/NLU1G14AMX1TCG/page-1", "NLU1G14AMX1TCG")</f>
        <v>NLU1G14AMX1TCG</v>
      </c>
      <c r="B1446" s="3" t="str">
        <f>HYPERLINK("https://www.773grp.com/manufacturer/onsemi?pageNo=97", "Onsemi")</f>
        <v>Onsemi</v>
      </c>
      <c r="C1446" s="6">
        <v>123000</v>
      </c>
      <c r="D1446" s="7">
        <v>0.33</v>
      </c>
      <c r="E1446" t="s">
        <v>27</v>
      </c>
    </row>
    <row r="1447" spans="1:5" x14ac:dyDescent="0.25">
      <c r="A1447" t="str">
        <f>HYPERLINK("https://www.773grp.com/globalSearch/NLU1G14BMX1TCG/page-1", "NLU1G14BMX1TCG")</f>
        <v>NLU1G14BMX1TCG</v>
      </c>
      <c r="B1447" s="3" t="str">
        <f>HYPERLINK("https://www.773grp.com/manufacturer/onsemi?pageNo=98", "Onsemi")</f>
        <v>Onsemi</v>
      </c>
      <c r="C1447" s="6">
        <v>68845</v>
      </c>
      <c r="D1447" s="7">
        <v>0.33</v>
      </c>
      <c r="E1447" t="s">
        <v>27</v>
      </c>
    </row>
    <row r="1448" spans="1:5" x14ac:dyDescent="0.25">
      <c r="A1448" t="str">
        <f>HYPERLINK("https://www.773grp.com/globalSearch/NLU1G32AMX1TCG/page-1", "NLU1G32AMX1TCG")</f>
        <v>NLU1G32AMX1TCG</v>
      </c>
      <c r="B1448" s="3" t="str">
        <f>HYPERLINK("https://www.773grp.com/manufacturer/onsemi?pageNo=99", "Onsemi")</f>
        <v>Onsemi</v>
      </c>
      <c r="C1448" s="6">
        <v>156000</v>
      </c>
      <c r="D1448" s="7">
        <v>0.33</v>
      </c>
      <c r="E1448" t="s">
        <v>27</v>
      </c>
    </row>
    <row r="1449" spans="1:5" x14ac:dyDescent="0.25">
      <c r="A1449" t="str">
        <f>HYPERLINK("https://www.773grp.com/globalSearch/NLU1G32BMX1TCG/page-1", "NLU1G32BMX1TCG")</f>
        <v>NLU1G32BMX1TCG</v>
      </c>
      <c r="B1449" s="3" t="str">
        <f>HYPERLINK("https://www.773grp.com/manufacturer/onsemi?pageNo=100", "Onsemi")</f>
        <v>Onsemi</v>
      </c>
      <c r="C1449" s="6">
        <v>963000</v>
      </c>
      <c r="D1449" s="7">
        <v>0.33</v>
      </c>
      <c r="E1449" t="s">
        <v>27</v>
      </c>
    </row>
    <row r="1450" spans="1:5" x14ac:dyDescent="0.25">
      <c r="A1450" t="str">
        <f>HYPERLINK("https://www.773grp.com/globalSearch/NLU1G86AMX1TCG/page-1", "NLU1G86AMX1TCG")</f>
        <v>NLU1G86AMX1TCG</v>
      </c>
      <c r="B1450" s="3" t="str">
        <f>HYPERLINK("https://www.773grp.com/manufacturer/onsemi?pageNo=101", "Onsemi")</f>
        <v>Onsemi</v>
      </c>
      <c r="C1450" s="6">
        <v>1623880</v>
      </c>
      <c r="D1450" s="7">
        <v>0.33</v>
      </c>
      <c r="E1450" t="s">
        <v>27</v>
      </c>
    </row>
    <row r="1451" spans="1:5" x14ac:dyDescent="0.25">
      <c r="A1451" t="str">
        <f>HYPERLINK("https://www.773grp.com/globalSearch/NLU1G86BMX1TCG/page-1", "NLU1G86BMX1TCG")</f>
        <v>NLU1G86BMX1TCG</v>
      </c>
      <c r="B1451" s="3" t="str">
        <f>HYPERLINK("https://www.773grp.com/manufacturer/onsemi?pageNo=102", "Onsemi")</f>
        <v>Onsemi</v>
      </c>
      <c r="C1451" s="6">
        <v>147000</v>
      </c>
      <c r="D1451" s="7">
        <v>0.33</v>
      </c>
      <c r="E1451" t="s">
        <v>27</v>
      </c>
    </row>
    <row r="1452" spans="1:5" x14ac:dyDescent="0.25">
      <c r="A1452" t="str">
        <f>HYPERLINK("https://www.773grp.com/globalSearch/NLU1GT04AMX1TCG/page-1", "NLU1GT04AMX1TCG")</f>
        <v>NLU1GT04AMX1TCG</v>
      </c>
      <c r="B1452" s="3" t="str">
        <f>HYPERLINK("https://www.773grp.com/manufacturer/onsemi?pageNo=103", "Onsemi")</f>
        <v>Onsemi</v>
      </c>
      <c r="C1452" s="6">
        <v>104615</v>
      </c>
      <c r="D1452" s="7">
        <v>0.33</v>
      </c>
      <c r="E1452" t="s">
        <v>27</v>
      </c>
    </row>
    <row r="1453" spans="1:5" x14ac:dyDescent="0.25">
      <c r="A1453" t="str">
        <f>HYPERLINK("https://www.773grp.com/globalSearch/NLU1GT04BMX1TCG/page-1", "NLU1GT04BMX1TCG")</f>
        <v>NLU1GT04BMX1TCG</v>
      </c>
      <c r="B1453" s="3" t="str">
        <f>HYPERLINK("https://www.773grp.com/manufacturer/onsemi?pageNo=104", "Onsemi")</f>
        <v>Onsemi</v>
      </c>
      <c r="C1453" s="6">
        <v>66000</v>
      </c>
      <c r="D1453" s="7">
        <v>0.33</v>
      </c>
      <c r="E1453" t="s">
        <v>27</v>
      </c>
    </row>
    <row r="1454" spans="1:5" x14ac:dyDescent="0.25">
      <c r="A1454" t="str">
        <f>HYPERLINK("https://www.773grp.com/globalSearch/NLU1GT125AMX1TCG/page-1", "NLU1GT125AMX1TCG")</f>
        <v>NLU1GT125AMX1TCG</v>
      </c>
      <c r="B1454" s="3" t="str">
        <f>HYPERLINK("https://www.773grp.com/manufacturer/onsemi?pageNo=105", "Onsemi")</f>
        <v>Onsemi</v>
      </c>
      <c r="C1454" s="6">
        <v>26965</v>
      </c>
      <c r="D1454" s="7">
        <v>0.33</v>
      </c>
      <c r="E1454" t="s">
        <v>27</v>
      </c>
    </row>
    <row r="1455" spans="1:5" x14ac:dyDescent="0.25">
      <c r="A1455" t="str">
        <f>HYPERLINK("https://www.773grp.com/globalSearch/NLU1GT125BMX1TCG/page-1", "NLU1GT125BMX1TCG")</f>
        <v>NLU1GT125BMX1TCG</v>
      </c>
      <c r="B1455" s="3" t="str">
        <f>HYPERLINK("https://www.773grp.com/manufacturer/onsemi?pageNo=106", "Onsemi")</f>
        <v>Onsemi</v>
      </c>
      <c r="C1455" s="6">
        <v>66000</v>
      </c>
      <c r="D1455" s="7">
        <v>0.33</v>
      </c>
      <c r="E1455" t="s">
        <v>27</v>
      </c>
    </row>
    <row r="1456" spans="1:5" x14ac:dyDescent="0.25">
      <c r="A1456" t="str">
        <f>HYPERLINK("https://www.773grp.com/globalSearch/NLU1GT126BMX1TCG/page-1", "NLU1GT126BMX1TCG")</f>
        <v>NLU1GT126BMX1TCG</v>
      </c>
      <c r="B1456" s="3" t="str">
        <f>HYPERLINK("https://www.773grp.com/manufacturer/onsemi?pageNo=107", "Onsemi")</f>
        <v>Onsemi</v>
      </c>
      <c r="C1456" s="6">
        <v>75000</v>
      </c>
      <c r="D1456" s="7">
        <v>0.33</v>
      </c>
      <c r="E1456" t="s">
        <v>27</v>
      </c>
    </row>
    <row r="1457" spans="1:5" x14ac:dyDescent="0.25">
      <c r="A1457" t="str">
        <f>HYPERLINK("https://www.773grp.com/globalSearch/NLU1GT14AMX1TCG/page-1", "NLU1GT14AMX1TCG")</f>
        <v>NLU1GT14AMX1TCG</v>
      </c>
      <c r="B1457" s="3" t="str">
        <f>HYPERLINK("https://www.773grp.com/manufacturer/onsemi?pageNo=108", "Onsemi")</f>
        <v>Onsemi</v>
      </c>
      <c r="C1457" s="6">
        <v>114000</v>
      </c>
      <c r="D1457" s="7">
        <v>0.33</v>
      </c>
      <c r="E1457" t="s">
        <v>27</v>
      </c>
    </row>
    <row r="1458" spans="1:5" x14ac:dyDescent="0.25">
      <c r="A1458" t="str">
        <f>HYPERLINK("https://www.773grp.com/globalSearch/NLU1GT14BMX1TCG/page-1", "NLU1GT14BMX1TCG")</f>
        <v>NLU1GT14BMX1TCG</v>
      </c>
      <c r="B1458" s="3" t="str">
        <f>HYPERLINK("https://www.773grp.com/manufacturer/onsemi?pageNo=109", "Onsemi")</f>
        <v>Onsemi</v>
      </c>
      <c r="C1458" s="6">
        <v>72000</v>
      </c>
      <c r="D1458" s="7">
        <v>0.33</v>
      </c>
      <c r="E1458" t="s">
        <v>27</v>
      </c>
    </row>
    <row r="1459" spans="1:5" x14ac:dyDescent="0.25">
      <c r="A1459" t="str">
        <f>HYPERLINK("https://www.773grp.com/globalSearch/NLU1GT32AMX1TCG/page-1", "NLU1GT32AMX1TCG")</f>
        <v>NLU1GT32AMX1TCG</v>
      </c>
      <c r="B1459" s="3" t="str">
        <f>HYPERLINK("https://www.773grp.com/manufacturer/onsemi?pageNo=110", "Onsemi")</f>
        <v>Onsemi</v>
      </c>
      <c r="C1459" s="6">
        <v>177000</v>
      </c>
      <c r="D1459" s="7">
        <v>0.33</v>
      </c>
      <c r="E1459" t="s">
        <v>27</v>
      </c>
    </row>
    <row r="1460" spans="1:5" x14ac:dyDescent="0.25">
      <c r="A1460" t="str">
        <f>HYPERLINK("https://www.773grp.com/globalSearch/NLU1GT32BMX1TCG/page-1", "NLU1GT32BMX1TCG")</f>
        <v>NLU1GT32BMX1TCG</v>
      </c>
      <c r="B1460" s="3" t="str">
        <f>HYPERLINK("https://www.773grp.com/manufacturer/onsemi?pageNo=111", "Onsemi")</f>
        <v>Onsemi</v>
      </c>
      <c r="C1460" s="6">
        <v>69000</v>
      </c>
      <c r="D1460" s="7">
        <v>0.33</v>
      </c>
      <c r="E1460" t="s">
        <v>27</v>
      </c>
    </row>
    <row r="1461" spans="1:5" x14ac:dyDescent="0.25">
      <c r="A1461" t="str">
        <f>HYPERLINK("https://www.773grp.com/globalSearch/NLU1GT50BMX1TCG/page-1", "NLU1GT50BMX1TCG")</f>
        <v>NLU1GT50BMX1TCG</v>
      </c>
      <c r="B1461" s="3" t="str">
        <f>HYPERLINK("https://www.773grp.com/manufacturer/onsemi?pageNo=112", "Onsemi")</f>
        <v>Onsemi</v>
      </c>
      <c r="C1461" s="6">
        <v>150000</v>
      </c>
      <c r="D1461" s="7">
        <v>0.33</v>
      </c>
      <c r="E1461" t="s">
        <v>27</v>
      </c>
    </row>
    <row r="1462" spans="1:5" x14ac:dyDescent="0.25">
      <c r="A1462" t="str">
        <f>HYPERLINK("https://www.773grp.com/globalSearch/NLU1GT86AMX1TCG/page-1", "NLU1GT86AMX1TCG")</f>
        <v>NLU1GT86AMX1TCG</v>
      </c>
      <c r="B1462" s="3" t="str">
        <f>HYPERLINK("https://www.773grp.com/manufacturer/onsemi?pageNo=113", "Onsemi")</f>
        <v>Onsemi</v>
      </c>
      <c r="C1462" s="6">
        <v>66000</v>
      </c>
      <c r="D1462" s="7">
        <v>0.33</v>
      </c>
      <c r="E1462" t="s">
        <v>27</v>
      </c>
    </row>
    <row r="1463" spans="1:5" x14ac:dyDescent="0.25">
      <c r="A1463" t="str">
        <f>HYPERLINK("https://www.773grp.com/globalSearch/NLU1GT86BMX1TCG/page-1", "NLU1GT86BMX1TCG")</f>
        <v>NLU1GT86BMX1TCG</v>
      </c>
      <c r="B1463" s="3" t="str">
        <f>HYPERLINK("https://www.773grp.com/manufacturer/onsemi?pageNo=114", "Onsemi")</f>
        <v>Onsemi</v>
      </c>
      <c r="C1463" s="6">
        <v>159000</v>
      </c>
      <c r="D1463" s="7">
        <v>0.33</v>
      </c>
      <c r="E1463" t="s">
        <v>27</v>
      </c>
    </row>
    <row r="1464" spans="1:5" x14ac:dyDescent="0.25">
      <c r="A1464" t="str">
        <f>HYPERLINK("https://www.773grp.com/globalSearch/NLU1GU04AMX1TCG/page-1", "NLU1GU04AMX1TCG")</f>
        <v>NLU1GU04AMX1TCG</v>
      </c>
      <c r="B1464" s="3" t="str">
        <f>HYPERLINK("https://www.773grp.com/manufacturer/onsemi?pageNo=115", "Onsemi")</f>
        <v>Onsemi</v>
      </c>
      <c r="C1464" s="6">
        <v>9000</v>
      </c>
      <c r="D1464" s="7">
        <v>0.33</v>
      </c>
      <c r="E1464" t="s">
        <v>27</v>
      </c>
    </row>
    <row r="1465" spans="1:5" x14ac:dyDescent="0.25">
      <c r="A1465" t="str">
        <f>HYPERLINK("https://www.773grp.com/globalSearch/NLU1GU04BMX1TCG/page-1", "NLU1GU04BMX1TCG")</f>
        <v>NLU1GU04BMX1TCG</v>
      </c>
      <c r="B1465" s="3" t="str">
        <f>HYPERLINK("https://www.773grp.com/manufacturer/onsemi?pageNo=116", "Onsemi")</f>
        <v>Onsemi</v>
      </c>
      <c r="C1465" s="6">
        <v>69000</v>
      </c>
      <c r="D1465" s="7">
        <v>0.33</v>
      </c>
      <c r="E1465" t="s">
        <v>27</v>
      </c>
    </row>
    <row r="1466" spans="1:5" x14ac:dyDescent="0.25">
      <c r="A1466" t="str">
        <f>HYPERLINK("https://www.773grp.com/globalSearch/NLU2G04AMX1TCG/page-1", "NLU2G04AMX1TCG")</f>
        <v>NLU2G04AMX1TCG</v>
      </c>
      <c r="B1466" s="3" t="str">
        <f>HYPERLINK("https://www.773grp.com/manufacturer/onsemi?pageNo=117", "Onsemi")</f>
        <v>Onsemi</v>
      </c>
      <c r="C1466" s="6">
        <v>251765</v>
      </c>
      <c r="D1466" s="7">
        <v>0.33</v>
      </c>
      <c r="E1466" t="s">
        <v>27</v>
      </c>
    </row>
    <row r="1467" spans="1:5" x14ac:dyDescent="0.25">
      <c r="A1467" t="str">
        <f>HYPERLINK("https://www.773grp.com/globalSearch/NLU2G06AMX1TCG/page-1", "NLU2G06AMX1TCG")</f>
        <v>NLU2G06AMX1TCG</v>
      </c>
      <c r="B1467" s="3" t="str">
        <f>HYPERLINK("https://www.773grp.com/manufacturer/onsemi?pageNo=118", "Onsemi")</f>
        <v>Onsemi</v>
      </c>
      <c r="C1467" s="6">
        <v>87000</v>
      </c>
      <c r="D1467" s="7">
        <v>0.33</v>
      </c>
      <c r="E1467" t="s">
        <v>27</v>
      </c>
    </row>
    <row r="1468" spans="1:5" x14ac:dyDescent="0.25">
      <c r="A1468" t="str">
        <f>HYPERLINK("https://www.773grp.com/globalSearch/NLU2G07AMX1TCG/page-1", "NLU2G07AMX1TCG")</f>
        <v>NLU2G07AMX1TCG</v>
      </c>
      <c r="B1468" s="3" t="str">
        <f>HYPERLINK("https://www.773grp.com/manufacturer/onsemi?pageNo=119", "Onsemi")</f>
        <v>Onsemi</v>
      </c>
      <c r="C1468" s="6">
        <v>71434</v>
      </c>
      <c r="D1468" s="7">
        <v>0.33</v>
      </c>
      <c r="E1468" t="s">
        <v>27</v>
      </c>
    </row>
    <row r="1469" spans="1:5" x14ac:dyDescent="0.25">
      <c r="A1469" t="str">
        <f>HYPERLINK("https://www.773grp.com/globalSearch/NLU2G14AMX1TCG/page-1", "NLU2G14AMX1TCG")</f>
        <v>NLU2G14AMX1TCG</v>
      </c>
      <c r="B1469" s="3" t="str">
        <f>HYPERLINK("https://www.773grp.com/manufacturer/onsemi?pageNo=120", "Onsemi")</f>
        <v>Onsemi</v>
      </c>
      <c r="C1469" s="6">
        <v>32750</v>
      </c>
      <c r="D1469" s="7">
        <v>0.33</v>
      </c>
      <c r="E1469" t="s">
        <v>27</v>
      </c>
    </row>
    <row r="1470" spans="1:5" x14ac:dyDescent="0.25">
      <c r="A1470" t="str">
        <f>HYPERLINK("https://www.773grp.com/globalSearch/NLU2G16AMX1TCG/page-1", "NLU2G16AMX1TCG")</f>
        <v>NLU2G16AMX1TCG</v>
      </c>
      <c r="B1470" s="3" t="str">
        <f>HYPERLINK("https://www.773grp.com/manufacturer/onsemi?pageNo=121", "Onsemi")</f>
        <v>Onsemi</v>
      </c>
      <c r="C1470" s="6">
        <v>236460</v>
      </c>
      <c r="D1470" s="7">
        <v>0.33</v>
      </c>
      <c r="E1470" t="s">
        <v>27</v>
      </c>
    </row>
    <row r="1471" spans="1:5" x14ac:dyDescent="0.25">
      <c r="A1471" t="str">
        <f>HYPERLINK("https://www.773grp.com/globalSearch/NLU2G17AMX1TCG/page-1", "NLU2G17AMX1TCG")</f>
        <v>NLU2G17AMX1TCG</v>
      </c>
      <c r="B1471" s="3" t="str">
        <f>HYPERLINK("https://www.773grp.com/manufacturer/onsemi?pageNo=122", "Onsemi")</f>
        <v>Onsemi</v>
      </c>
      <c r="C1471" s="6">
        <v>33000</v>
      </c>
      <c r="D1471" s="7">
        <v>0.33</v>
      </c>
    </row>
    <row r="1472" spans="1:5" x14ac:dyDescent="0.25">
      <c r="A1472" t="str">
        <f>HYPERLINK("https://www.773grp.com/globalSearch/NLU2GU04AMX1TCG/page-1", "NLU2GU04AMX1TCG")</f>
        <v>NLU2GU04AMX1TCG</v>
      </c>
      <c r="B1472" s="3" t="str">
        <f>HYPERLINK("https://www.773grp.com/manufacturer/onsemi?pageNo=123", "Onsemi")</f>
        <v>Onsemi</v>
      </c>
      <c r="C1472" s="6">
        <v>94358</v>
      </c>
      <c r="D1472" s="7">
        <v>0.33</v>
      </c>
      <c r="E1472" t="s">
        <v>27</v>
      </c>
    </row>
    <row r="1473" spans="1:5" x14ac:dyDescent="0.25">
      <c r="A1473" t="str">
        <f>HYPERLINK("https://www.773grp.com/globalSearch/NLX1G10AMX1TCG/page-1", "NLX1G10AMX1TCG")</f>
        <v>NLX1G10AMX1TCG</v>
      </c>
      <c r="B1473" s="3" t="str">
        <f>HYPERLINK("https://www.773grp.com/manufacturer/onsemi?pageNo=124", "Onsemi")</f>
        <v>Onsemi</v>
      </c>
      <c r="C1473" s="6">
        <v>42000</v>
      </c>
      <c r="D1473" s="7">
        <v>0.33</v>
      </c>
    </row>
    <row r="1474" spans="1:5" x14ac:dyDescent="0.25">
      <c r="A1474" t="str">
        <f>HYPERLINK("https://www.773grp.com/globalSearch/NLX1G11AMX1TCG/page-1", "NLX1G11AMX1TCG")</f>
        <v>NLX1G11AMX1TCG</v>
      </c>
      <c r="B1474" s="3" t="str">
        <f>HYPERLINK("https://www.773grp.com/manufacturer/onsemi?pageNo=125", "Onsemi")</f>
        <v>Onsemi</v>
      </c>
      <c r="C1474" s="6">
        <v>53620</v>
      </c>
      <c r="D1474" s="7">
        <v>0.33</v>
      </c>
    </row>
    <row r="1475" spans="1:5" x14ac:dyDescent="0.25">
      <c r="A1475" t="str">
        <f>HYPERLINK("https://www.773grp.com/globalSearch/NLX1G57AMX1TCG/page-1", "NLX1G57AMX1TCG")</f>
        <v>NLX1G57AMX1TCG</v>
      </c>
      <c r="B1475" s="3" t="str">
        <f>HYPERLINK("https://www.773grp.com/manufacturer/onsemi?pageNo=126", "Onsemi")</f>
        <v>Onsemi</v>
      </c>
      <c r="C1475" s="6">
        <v>255000</v>
      </c>
      <c r="D1475" s="7">
        <v>0.33</v>
      </c>
      <c r="E1475" t="s">
        <v>68</v>
      </c>
    </row>
    <row r="1476" spans="1:5" x14ac:dyDescent="0.25">
      <c r="A1476" t="str">
        <f>HYPERLINK("https://www.773grp.com/globalSearch/NLX1G57BMX1TCG/page-1", "NLX1G57BMX1TCG")</f>
        <v>NLX1G57BMX1TCG</v>
      </c>
      <c r="B1476" s="3" t="str">
        <f>HYPERLINK("https://www.773grp.com/manufacturer/onsemi?pageNo=127", "Onsemi")</f>
        <v>Onsemi</v>
      </c>
      <c r="C1476" s="6">
        <v>104917</v>
      </c>
      <c r="D1476" s="7">
        <v>0.33</v>
      </c>
      <c r="E1476" t="s">
        <v>68</v>
      </c>
    </row>
    <row r="1477" spans="1:5" x14ac:dyDescent="0.25">
      <c r="A1477" t="str">
        <f>HYPERLINK("https://www.773grp.com/globalSearch/NLX1G58AMX1TCG/page-1", "NLX1G58AMX1TCG")</f>
        <v>NLX1G58AMX1TCG</v>
      </c>
      <c r="B1477" s="3" t="str">
        <f>HYPERLINK("https://www.773grp.com/manufacturer/onsemi?pageNo=128", "Onsemi")</f>
        <v>Onsemi</v>
      </c>
      <c r="C1477" s="6">
        <v>357000</v>
      </c>
      <c r="D1477" s="7">
        <v>0.33</v>
      </c>
      <c r="E1477" t="s">
        <v>68</v>
      </c>
    </row>
    <row r="1478" spans="1:5" x14ac:dyDescent="0.25">
      <c r="A1478" t="str">
        <f>HYPERLINK("https://www.773grp.com/globalSearch/NLX1G58BMX1TCG/page-1", "NLX1G58BMX1TCG")</f>
        <v>NLX1G58BMX1TCG</v>
      </c>
      <c r="B1478" s="3" t="str">
        <f>HYPERLINK("https://www.773grp.com/manufacturer/onsemi?pageNo=129", "Onsemi")</f>
        <v>Onsemi</v>
      </c>
      <c r="C1478" s="6">
        <v>159000</v>
      </c>
      <c r="D1478" s="7">
        <v>0.33</v>
      </c>
      <c r="E1478" t="s">
        <v>68</v>
      </c>
    </row>
    <row r="1479" spans="1:5" x14ac:dyDescent="0.25">
      <c r="A1479" t="str">
        <f>HYPERLINK("https://www.773grp.com/globalSearch/NLX1G97AMX1TCG/page-1", "NLX1G97AMX1TCG")</f>
        <v>NLX1G97AMX1TCG</v>
      </c>
      <c r="B1479" s="3" t="str">
        <f>HYPERLINK("https://www.773grp.com/manufacturer/onsemi?pageNo=130", "Onsemi")</f>
        <v>Onsemi</v>
      </c>
      <c r="C1479" s="6">
        <v>72000</v>
      </c>
      <c r="D1479" s="7">
        <v>0.33</v>
      </c>
      <c r="E1479" t="s">
        <v>68</v>
      </c>
    </row>
    <row r="1480" spans="1:5" x14ac:dyDescent="0.25">
      <c r="A1480" t="str">
        <f>HYPERLINK("https://www.773grp.com/globalSearch/NLX1G97BMX1TCG/page-1", "NLX1G97BMX1TCG")</f>
        <v>NLX1G97BMX1TCG</v>
      </c>
      <c r="B1480" s="3" t="str">
        <f>HYPERLINK("https://www.773grp.com/manufacturer/onsemi?pageNo=131", "Onsemi")</f>
        <v>Onsemi</v>
      </c>
      <c r="C1480" s="6">
        <v>43800</v>
      </c>
      <c r="D1480" s="7">
        <v>0.33</v>
      </c>
      <c r="E1480" t="s">
        <v>68</v>
      </c>
    </row>
    <row r="1481" spans="1:5" x14ac:dyDescent="0.25">
      <c r="A1481" t="str">
        <f>HYPERLINK("https://www.773grp.com/globalSearch/NLX1G98AMX1TCG/page-1", "NLX1G98AMX1TCG")</f>
        <v>NLX1G98AMX1TCG</v>
      </c>
      <c r="B1481" s="3" t="str">
        <f>HYPERLINK("https://www.773grp.com/manufacturer/onsemi?pageNo=132", "Onsemi")</f>
        <v>Onsemi</v>
      </c>
      <c r="C1481" s="6">
        <v>45000</v>
      </c>
      <c r="D1481" s="7">
        <v>0.33</v>
      </c>
      <c r="E1481" t="s">
        <v>68</v>
      </c>
    </row>
    <row r="1482" spans="1:5" x14ac:dyDescent="0.25">
      <c r="A1482" t="str">
        <f>HYPERLINK("https://www.773grp.com/globalSearch/NLX1G98BMX1TCG/page-1", "NLX1G98BMX1TCG")</f>
        <v>NLX1G98BMX1TCG</v>
      </c>
      <c r="B1482" s="3" t="str">
        <f>HYPERLINK("https://www.773grp.com/manufacturer/onsemi?pageNo=133", "Onsemi")</f>
        <v>Onsemi</v>
      </c>
      <c r="C1482" s="6">
        <v>48000</v>
      </c>
      <c r="D1482" s="7">
        <v>0.33</v>
      </c>
      <c r="E1482" t="s">
        <v>68</v>
      </c>
    </row>
    <row r="1483" spans="1:5" x14ac:dyDescent="0.25">
      <c r="A1483" t="str">
        <f>HYPERLINK("https://www.773grp.com/globalSearch/NLX2G00AMX1TCG/page-1", "NLX2G00AMX1TCG")</f>
        <v>NLX2G00AMX1TCG</v>
      </c>
      <c r="B1483" s="3" t="str">
        <f>HYPERLINK("https://www.773grp.com/manufacturer/onsemi?pageNo=134", "Onsemi")</f>
        <v>Onsemi</v>
      </c>
      <c r="C1483" s="6">
        <v>3000</v>
      </c>
      <c r="D1483" s="7">
        <v>0.33</v>
      </c>
      <c r="E1483" t="s">
        <v>27</v>
      </c>
    </row>
    <row r="1484" spans="1:5" x14ac:dyDescent="0.25">
      <c r="A1484" t="str">
        <f>HYPERLINK("https://www.773grp.com/globalSearch/NLX2G04AMX1TCG/page-1", "NLX2G04AMX1TCG")</f>
        <v>NLX2G04AMX1TCG</v>
      </c>
      <c r="B1484" s="3" t="str">
        <f>HYPERLINK("https://www.773grp.com/manufacturer/onsemi?pageNo=135", "Onsemi")</f>
        <v>Onsemi</v>
      </c>
      <c r="C1484" s="6">
        <v>70570</v>
      </c>
      <c r="D1484" s="7">
        <v>0.33</v>
      </c>
      <c r="E1484" t="s">
        <v>27</v>
      </c>
    </row>
    <row r="1485" spans="1:5" x14ac:dyDescent="0.25">
      <c r="A1485" t="str">
        <f>HYPERLINK("https://www.773grp.com/globalSearch/NLX2G06AMX1TCG/page-1", "NLX2G06AMX1TCG")</f>
        <v>NLX2G06AMX1TCG</v>
      </c>
      <c r="B1485" s="3" t="str">
        <f>HYPERLINK("https://www.773grp.com/manufacturer/onsemi?pageNo=136", "Onsemi")</f>
        <v>Onsemi</v>
      </c>
      <c r="C1485" s="6">
        <v>171000</v>
      </c>
      <c r="D1485" s="7">
        <v>0.33</v>
      </c>
      <c r="E1485" t="s">
        <v>27</v>
      </c>
    </row>
    <row r="1486" spans="1:5" x14ac:dyDescent="0.25">
      <c r="A1486" t="str">
        <f>HYPERLINK("https://www.773grp.com/globalSearch/NLX2G07AMX1TCG/page-1", "NLX2G07AMX1TCG")</f>
        <v>NLX2G07AMX1TCG</v>
      </c>
      <c r="B1486" s="3" t="str">
        <f>HYPERLINK("https://www.773grp.com/manufacturer/onsemi?pageNo=137", "Onsemi")</f>
        <v>Onsemi</v>
      </c>
      <c r="C1486" s="6">
        <v>162000</v>
      </c>
      <c r="D1486" s="7">
        <v>0.33</v>
      </c>
      <c r="E1486" t="s">
        <v>27</v>
      </c>
    </row>
    <row r="1487" spans="1:5" x14ac:dyDescent="0.25">
      <c r="A1487" t="str">
        <f>HYPERLINK("https://www.773grp.com/globalSearch/NLX2G08AMX1TCG/page-1", "NLX2G08AMX1TCG")</f>
        <v>NLX2G08AMX1TCG</v>
      </c>
      <c r="B1487" s="3" t="str">
        <f>HYPERLINK("https://www.773grp.com/manufacturer/onsemi?pageNo=138", "Onsemi")</f>
        <v>Onsemi</v>
      </c>
      <c r="C1487" s="6">
        <v>5970</v>
      </c>
      <c r="D1487" s="7">
        <v>0.33</v>
      </c>
    </row>
    <row r="1488" spans="1:5" x14ac:dyDescent="0.25">
      <c r="A1488" t="str">
        <f>HYPERLINK("https://www.773grp.com/globalSearch/NLX2G14AMX1TCG/page-1", "NLX2G14AMX1TCG")</f>
        <v>NLX2G14AMX1TCG</v>
      </c>
      <c r="B1488" s="3" t="str">
        <f>HYPERLINK("https://www.773grp.com/manufacturer/onsemi?pageNo=139", "Onsemi")</f>
        <v>Onsemi</v>
      </c>
      <c r="C1488" s="6">
        <v>241474</v>
      </c>
      <c r="D1488" s="7">
        <v>0.33</v>
      </c>
      <c r="E1488" t="s">
        <v>27</v>
      </c>
    </row>
    <row r="1489" spans="1:5" x14ac:dyDescent="0.25">
      <c r="A1489" t="str">
        <f>HYPERLINK("https://www.773grp.com/globalSearch/NLX2G16AMUTCG/page-1", "NLX2G16AMUTCG")</f>
        <v>NLX2G16AMUTCG</v>
      </c>
      <c r="B1489" s="3" t="str">
        <f>HYPERLINK("https://www.773grp.com/manufacturer/onsemi?pageNo=140", "Onsemi")</f>
        <v>Onsemi</v>
      </c>
      <c r="C1489" s="6">
        <v>21000</v>
      </c>
      <c r="D1489" s="7">
        <v>0.33</v>
      </c>
    </row>
    <row r="1490" spans="1:5" x14ac:dyDescent="0.25">
      <c r="A1490" t="str">
        <f>HYPERLINK("https://www.773grp.com/globalSearch/NLX2G16AMX1TCG/page-1", "NLX2G16AMX1TCG")</f>
        <v>NLX2G16AMX1TCG</v>
      </c>
      <c r="B1490" s="3" t="str">
        <f>HYPERLINK("https://www.773grp.com/manufacturer/onsemi?pageNo=141", "Onsemi")</f>
        <v>Onsemi</v>
      </c>
      <c r="C1490" s="6">
        <v>6000</v>
      </c>
      <c r="D1490" s="7">
        <v>0.33</v>
      </c>
    </row>
    <row r="1491" spans="1:5" x14ac:dyDescent="0.25">
      <c r="A1491" t="str">
        <f>HYPERLINK("https://www.773grp.com/globalSearch/NLX2G32AMX1TCG/page-1", "NLX2G32AMX1TCG")</f>
        <v>NLX2G32AMX1TCG</v>
      </c>
      <c r="B1491" s="3" t="str">
        <f>HYPERLINK("https://www.773grp.com/manufacturer/onsemi?pageNo=142", "Onsemi")</f>
        <v>Onsemi</v>
      </c>
      <c r="C1491" s="6">
        <v>4000</v>
      </c>
      <c r="D1491" s="7">
        <v>0.33</v>
      </c>
      <c r="E1491" t="s">
        <v>27</v>
      </c>
    </row>
    <row r="1492" spans="1:5" x14ac:dyDescent="0.25">
      <c r="A1492" t="str">
        <f>HYPERLINK("https://www.773grp.com/globalSearch/NLX2GU04AMX1TCG/page-1", "NLX2GU04AMX1TCG")</f>
        <v>NLX2GU04AMX1TCG</v>
      </c>
      <c r="B1492" s="3" t="str">
        <f>HYPERLINK("https://www.773grp.com/manufacturer/onsemi?pageNo=143", "Onsemi")</f>
        <v>Onsemi</v>
      </c>
      <c r="C1492" s="6">
        <v>150000</v>
      </c>
      <c r="D1492" s="7">
        <v>0.33</v>
      </c>
      <c r="E1492" t="s">
        <v>27</v>
      </c>
    </row>
    <row r="1493" spans="1:5" x14ac:dyDescent="0.25">
      <c r="A1493" t="str">
        <f>HYPERLINK("https://www.773grp.com/globalSearch/NSB4904DW1T1G/page-1", "NSB4904DW1T1G")</f>
        <v>NSB4904DW1T1G</v>
      </c>
      <c r="B1493" s="3" t="str">
        <f>HYPERLINK("https://www.773grp.com/manufacturer/onsemi?pageNo=144", "Onsemi")</f>
        <v>Onsemi</v>
      </c>
      <c r="C1493" s="6">
        <v>618000</v>
      </c>
      <c r="D1493" s="7">
        <v>0.33</v>
      </c>
      <c r="E1493" t="s">
        <v>57</v>
      </c>
    </row>
    <row r="1494" spans="1:5" x14ac:dyDescent="0.25">
      <c r="A1494" t="str">
        <f>HYPERLINK("https://www.773grp.com/globalSearch/NSBA114EDP6T5G/page-1", "NSBA114EDP6T5G")</f>
        <v>NSBA114EDP6T5G</v>
      </c>
      <c r="B1494" s="3" t="str">
        <f>HYPERLINK("https://www.773grp.com/manufacturer/onsemi?pageNo=145", "Onsemi")</f>
        <v>Onsemi</v>
      </c>
      <c r="C1494" s="6">
        <v>32000</v>
      </c>
      <c r="D1494" s="7">
        <v>0.33</v>
      </c>
      <c r="E1494" t="s">
        <v>57</v>
      </c>
    </row>
    <row r="1495" spans="1:5" x14ac:dyDescent="0.25">
      <c r="A1495" t="str">
        <f>HYPERLINK("https://www.773grp.com/globalSearch/NSBA114EDXV6T1G/page-1", "NSBA114EDXV6T1G")</f>
        <v>NSBA114EDXV6T1G</v>
      </c>
      <c r="B1495" s="3" t="str">
        <f>HYPERLINK("https://www.773grp.com/manufacturer/onsemi?pageNo=146", "Onsemi")</f>
        <v>Onsemi</v>
      </c>
      <c r="C1495" s="6">
        <v>107250</v>
      </c>
      <c r="D1495" s="7">
        <v>0.33</v>
      </c>
      <c r="E1495" t="s">
        <v>57</v>
      </c>
    </row>
    <row r="1496" spans="1:5" x14ac:dyDescent="0.25">
      <c r="A1496" t="str">
        <f>HYPERLINK("https://www.773grp.com/globalSearch/NSBA114EF3T5G/page-1", "NSBA114EF3T5G")</f>
        <v>NSBA114EF3T5G</v>
      </c>
      <c r="B1496" s="3" t="str">
        <f>HYPERLINK("https://www.773grp.com/manufacturer/onsemi?pageNo=147", "Onsemi")</f>
        <v>Onsemi</v>
      </c>
      <c r="C1496" s="6">
        <v>96000</v>
      </c>
      <c r="D1496" s="7">
        <v>0.33</v>
      </c>
      <c r="E1496" t="s">
        <v>57</v>
      </c>
    </row>
    <row r="1497" spans="1:5" x14ac:dyDescent="0.25">
      <c r="A1497" t="str">
        <f>HYPERLINK("https://www.773grp.com/globalSearch/NSBA114TDXV6T1G/page-1", "NSBA114TDXV6T1G")</f>
        <v>NSBA114TDXV6T1G</v>
      </c>
      <c r="B1497" s="3" t="str">
        <f>HYPERLINK("https://www.773grp.com/manufacturer/onsemi?pageNo=148", "Onsemi")</f>
        <v>Onsemi</v>
      </c>
      <c r="C1497" s="6">
        <v>96000</v>
      </c>
      <c r="D1497" s="7">
        <v>0.33</v>
      </c>
      <c r="E1497" t="s">
        <v>57</v>
      </c>
    </row>
    <row r="1498" spans="1:5" x14ac:dyDescent="0.25">
      <c r="A1498" t="str">
        <f>HYPERLINK("https://www.773grp.com/globalSearch/NSBA114TDXV6T5G/page-1", "NSBA114TDXV6T5G")</f>
        <v>NSBA114TDXV6T5G</v>
      </c>
      <c r="B1498" s="3" t="str">
        <f>HYPERLINK("https://www.773grp.com/manufacturer/onsemi?pageNo=149", "Onsemi")</f>
        <v>Onsemi</v>
      </c>
      <c r="C1498" s="6">
        <v>48000</v>
      </c>
      <c r="D1498" s="7">
        <v>0.33</v>
      </c>
      <c r="E1498" t="s">
        <v>57</v>
      </c>
    </row>
    <row r="1499" spans="1:5" x14ac:dyDescent="0.25">
      <c r="A1499" t="str">
        <f>HYPERLINK("https://www.773grp.com/globalSearch/NSBA114TF3T5G/page-1", "NSBA114TF3T5G")</f>
        <v>NSBA114TF3T5G</v>
      </c>
      <c r="B1499" s="3" t="str">
        <f>HYPERLINK("https://www.773grp.com/manufacturer/onsemi?pageNo=150", "Onsemi")</f>
        <v>Onsemi</v>
      </c>
      <c r="C1499" s="6">
        <v>152000</v>
      </c>
      <c r="D1499" s="7">
        <v>0.33</v>
      </c>
    </row>
    <row r="1500" spans="1:5" x14ac:dyDescent="0.25">
      <c r="A1500" t="str">
        <f>HYPERLINK("https://www.773grp.com/globalSearch/NSBA114YDP6T5G/page-1", "NSBA114YDP6T5G")</f>
        <v>NSBA114YDP6T5G</v>
      </c>
      <c r="B1500" s="3" t="str">
        <f>HYPERLINK("https://www.773grp.com/manufacturer/onsemi?pageNo=151", "Onsemi")</f>
        <v>Onsemi</v>
      </c>
      <c r="C1500" s="6">
        <v>296000</v>
      </c>
      <c r="D1500" s="7">
        <v>0.33</v>
      </c>
      <c r="E1500" t="s">
        <v>57</v>
      </c>
    </row>
    <row r="1501" spans="1:5" x14ac:dyDescent="0.25">
      <c r="A1501" t="str">
        <f>HYPERLINK("https://www.773grp.com/globalSearch/NSBA114YDXV6T1G/page-1", "NSBA114YDXV6T1G")</f>
        <v>NSBA114YDXV6T1G</v>
      </c>
      <c r="B1501" s="3" t="str">
        <f>HYPERLINK("https://www.773grp.com/manufacturer/onsemi?pageNo=152", "Onsemi")</f>
        <v>Onsemi</v>
      </c>
      <c r="C1501" s="6">
        <v>139650</v>
      </c>
      <c r="D1501" s="7">
        <v>0.33</v>
      </c>
      <c r="E1501" t="s">
        <v>57</v>
      </c>
    </row>
    <row r="1502" spans="1:5" x14ac:dyDescent="0.25">
      <c r="A1502" t="str">
        <f>HYPERLINK("https://www.773grp.com/globalSearch/NSBA114YF3T5G/page-1", "NSBA114YF3T5G")</f>
        <v>NSBA114YF3T5G</v>
      </c>
      <c r="B1502" s="3" t="str">
        <f>HYPERLINK("https://www.773grp.com/manufacturer/onsemi?pageNo=153", "Onsemi")</f>
        <v>Onsemi</v>
      </c>
      <c r="C1502" s="6">
        <v>152000</v>
      </c>
      <c r="D1502" s="7">
        <v>0.33</v>
      </c>
    </row>
    <row r="1503" spans="1:5" x14ac:dyDescent="0.25">
      <c r="A1503" t="str">
        <f>HYPERLINK("https://www.773grp.com/globalSearch/NSBA115EDXV6T1G/page-1", "NSBA115EDXV6T1G")</f>
        <v>NSBA115EDXV6T1G</v>
      </c>
      <c r="B1503" s="3" t="str">
        <f>HYPERLINK("https://www.773grp.com/manufacturer/onsemi?pageNo=154", "Onsemi")</f>
        <v>Onsemi</v>
      </c>
      <c r="C1503" s="6">
        <v>143950</v>
      </c>
      <c r="D1503" s="7">
        <v>0.33</v>
      </c>
      <c r="E1503" t="s">
        <v>57</v>
      </c>
    </row>
    <row r="1504" spans="1:5" x14ac:dyDescent="0.25">
      <c r="A1504" t="str">
        <f>HYPERLINK("https://www.773grp.com/globalSearch/NSBA123JDXV6T5G/page-1", "NSBA123JDXV6T5G")</f>
        <v>NSBA123JDXV6T5G</v>
      </c>
      <c r="B1504" s="3" t="str">
        <f>HYPERLINK("https://www.773grp.com/manufacturer/onsemi?pageNo=155", "Onsemi")</f>
        <v>Onsemi</v>
      </c>
      <c r="C1504" s="6">
        <v>51400</v>
      </c>
      <c r="D1504" s="7">
        <v>0.33</v>
      </c>
      <c r="E1504" t="s">
        <v>57</v>
      </c>
    </row>
    <row r="1505" spans="1:5" x14ac:dyDescent="0.25">
      <c r="A1505" t="str">
        <f>HYPERLINK("https://www.773grp.com/globalSearch/NSBA123JF3T5G/page-1", "NSBA123JF3T5G")</f>
        <v>NSBA123JF3T5G</v>
      </c>
      <c r="B1505" s="3" t="str">
        <f>HYPERLINK("https://www.773grp.com/manufacturer/onsemi?pageNo=156", "Onsemi")</f>
        <v>Onsemi</v>
      </c>
      <c r="C1505" s="6">
        <v>16000</v>
      </c>
      <c r="D1505" s="7">
        <v>0.33</v>
      </c>
    </row>
    <row r="1506" spans="1:5" x14ac:dyDescent="0.25">
      <c r="A1506" t="str">
        <f>HYPERLINK("https://www.773grp.com/globalSearch/NSBA124EDP6T5G/page-1", "NSBA124EDP6T5G")</f>
        <v>NSBA124EDP6T5G</v>
      </c>
      <c r="B1506" s="3" t="str">
        <f>HYPERLINK("https://www.773grp.com/manufacturer/onsemi?pageNo=157", "Onsemi")</f>
        <v>Onsemi</v>
      </c>
      <c r="C1506" s="6">
        <v>8000</v>
      </c>
      <c r="D1506" s="7">
        <v>0.33</v>
      </c>
      <c r="E1506" t="s">
        <v>57</v>
      </c>
    </row>
    <row r="1507" spans="1:5" x14ac:dyDescent="0.25">
      <c r="A1507" t="str">
        <f>HYPERLINK("https://www.773grp.com/globalSearch/NSBA143TDXV6T1G/page-1", "NSBA143TDXV6T1G")</f>
        <v>NSBA143TDXV6T1G</v>
      </c>
      <c r="B1507" s="3" t="str">
        <f>HYPERLINK("https://www.773grp.com/manufacturer/onsemi?pageNo=158", "Onsemi")</f>
        <v>Onsemi</v>
      </c>
      <c r="C1507" s="6">
        <v>8000</v>
      </c>
      <c r="D1507" s="7">
        <v>0.33</v>
      </c>
      <c r="E1507" t="s">
        <v>57</v>
      </c>
    </row>
    <row r="1508" spans="1:5" x14ac:dyDescent="0.25">
      <c r="A1508" t="str">
        <f>HYPERLINK("https://www.773grp.com/globalSearch/NSBA143TDXV6T5G/page-1", "NSBA143TDXV6T5G")</f>
        <v>NSBA143TDXV6T5G</v>
      </c>
      <c r="B1508" s="3" t="str">
        <f>HYPERLINK("https://www.773grp.com/manufacturer/onsemi?pageNo=159", "Onsemi")</f>
        <v>Onsemi</v>
      </c>
      <c r="C1508" s="6">
        <v>96000</v>
      </c>
      <c r="D1508" s="7">
        <v>0.33</v>
      </c>
      <c r="E1508" t="s">
        <v>57</v>
      </c>
    </row>
    <row r="1509" spans="1:5" x14ac:dyDescent="0.25">
      <c r="A1509" t="str">
        <f>HYPERLINK("https://www.773grp.com/globalSearch/NSBA143ZDXV6T1G/page-1", "NSBA143ZDXV6T1G")</f>
        <v>NSBA143ZDXV6T1G</v>
      </c>
      <c r="B1509" s="3" t="str">
        <f>HYPERLINK("https://www.773grp.com/manufacturer/onsemi?pageNo=160", "Onsemi")</f>
        <v>Onsemi</v>
      </c>
      <c r="C1509" s="6">
        <v>124000</v>
      </c>
      <c r="D1509" s="7">
        <v>0.33</v>
      </c>
      <c r="E1509" t="s">
        <v>57</v>
      </c>
    </row>
    <row r="1510" spans="1:5" x14ac:dyDescent="0.25">
      <c r="A1510" t="str">
        <f>HYPERLINK("https://www.773grp.com/globalSearch/NSBA144EDP6T5G/page-1", "NSBA144EDP6T5G")</f>
        <v>NSBA144EDP6T5G</v>
      </c>
      <c r="B1510" s="3" t="str">
        <f>HYPERLINK("https://www.773grp.com/manufacturer/onsemi?pageNo=161", "Onsemi")</f>
        <v>Onsemi</v>
      </c>
      <c r="C1510" s="6">
        <v>164875</v>
      </c>
      <c r="D1510" s="7">
        <v>0.33</v>
      </c>
      <c r="E1510" t="s">
        <v>57</v>
      </c>
    </row>
    <row r="1511" spans="1:5" x14ac:dyDescent="0.25">
      <c r="A1511" t="str">
        <f>HYPERLINK("https://www.773grp.com/globalSearch/NSBA144EDXV6T1G/page-1", "NSBA144EDXV6T1G")</f>
        <v>NSBA144EDXV6T1G</v>
      </c>
      <c r="B1511" s="3" t="str">
        <f>HYPERLINK("https://www.773grp.com/manufacturer/onsemi?pageNo=162", "Onsemi")</f>
        <v>Onsemi</v>
      </c>
      <c r="C1511" s="6">
        <v>2700</v>
      </c>
      <c r="D1511" s="7">
        <v>0.33</v>
      </c>
      <c r="E1511" t="s">
        <v>57</v>
      </c>
    </row>
    <row r="1512" spans="1:5" x14ac:dyDescent="0.25">
      <c r="A1512" t="str">
        <f>HYPERLINK("https://www.773grp.com/globalSearch/NSBA144EDXV6T5G/page-1", "NSBA144EDXV6T5G")</f>
        <v>NSBA144EDXV6T5G</v>
      </c>
      <c r="B1512" s="3" t="str">
        <f>HYPERLINK("https://www.773grp.com/manufacturer/onsemi?pageNo=163", "Onsemi")</f>
        <v>Onsemi</v>
      </c>
      <c r="C1512" s="6">
        <v>128000</v>
      </c>
      <c r="D1512" s="7">
        <v>0.33</v>
      </c>
      <c r="E1512" t="s">
        <v>57</v>
      </c>
    </row>
    <row r="1513" spans="1:5" x14ac:dyDescent="0.25">
      <c r="A1513" t="str">
        <f>HYPERLINK("https://www.773grp.com/globalSearch/NSBA144EF3T5G/page-1", "NSBA144EF3T5G")</f>
        <v>NSBA144EF3T5G</v>
      </c>
      <c r="B1513" s="3" t="str">
        <f>HYPERLINK("https://www.773grp.com/manufacturer/onsemi?pageNo=164", "Onsemi")</f>
        <v>Onsemi</v>
      </c>
      <c r="C1513" s="6">
        <v>75833</v>
      </c>
      <c r="D1513" s="7">
        <v>0.33</v>
      </c>
      <c r="E1513" t="s">
        <v>57</v>
      </c>
    </row>
    <row r="1514" spans="1:5" x14ac:dyDescent="0.25">
      <c r="A1514" t="str">
        <f>HYPERLINK("https://www.773grp.com/globalSearch/NSBC114EDP6T5G/page-1", "NSBC114EDP6T5G")</f>
        <v>NSBC114EDP6T5G</v>
      </c>
      <c r="B1514" s="3" t="str">
        <f>HYPERLINK("https://www.773grp.com/manufacturer/onsemi?pageNo=165", "Onsemi")</f>
        <v>Onsemi</v>
      </c>
      <c r="C1514" s="6">
        <v>175891</v>
      </c>
      <c r="D1514" s="7">
        <v>0.33</v>
      </c>
      <c r="E1514" t="s">
        <v>57</v>
      </c>
    </row>
    <row r="1515" spans="1:5" x14ac:dyDescent="0.25">
      <c r="A1515" t="str">
        <f>HYPERLINK("https://www.773grp.com/globalSearch/NSBC114EF3T5G/page-1", "NSBC114EF3T5G")</f>
        <v>NSBC114EF3T5G</v>
      </c>
      <c r="B1515" s="3" t="str">
        <f>HYPERLINK("https://www.773grp.com/manufacturer/onsemi?pageNo=166", "Onsemi")</f>
        <v>Onsemi</v>
      </c>
      <c r="C1515" s="6">
        <v>320000</v>
      </c>
      <c r="D1515" s="7">
        <v>0.33</v>
      </c>
      <c r="E1515" t="s">
        <v>57</v>
      </c>
    </row>
    <row r="1516" spans="1:5" x14ac:dyDescent="0.25">
      <c r="A1516" t="str">
        <f>HYPERLINK("https://www.773grp.com/globalSearch/NSBC114EPDP6T5G/page-1", "NSBC114EPDP6T5G")</f>
        <v>NSBC114EPDP6T5G</v>
      </c>
      <c r="B1516" s="3" t="str">
        <f>HYPERLINK("https://www.773grp.com/manufacturer/onsemi?pageNo=167", "Onsemi")</f>
        <v>Onsemi</v>
      </c>
      <c r="C1516" s="6">
        <v>160000</v>
      </c>
      <c r="D1516" s="7">
        <v>0.33</v>
      </c>
      <c r="E1516" t="s">
        <v>57</v>
      </c>
    </row>
    <row r="1517" spans="1:5" x14ac:dyDescent="0.25">
      <c r="A1517" t="str">
        <f>HYPERLINK("https://www.773grp.com/globalSearch/NSBC114EPDXV6T1G/page-1", "NSBC114EPDXV6T1G")</f>
        <v>NSBC114EPDXV6T1G</v>
      </c>
      <c r="B1517" s="3" t="str">
        <f>HYPERLINK("https://www.773grp.com/manufacturer/onsemi?pageNo=168", "Onsemi")</f>
        <v>Onsemi</v>
      </c>
      <c r="C1517" s="6">
        <v>175475</v>
      </c>
      <c r="D1517" s="7">
        <v>0.33</v>
      </c>
      <c r="E1517" t="s">
        <v>57</v>
      </c>
    </row>
    <row r="1518" spans="1:5" x14ac:dyDescent="0.25">
      <c r="A1518" t="str">
        <f>HYPERLINK("https://www.773grp.com/globalSearch/NSBC114EPDXV6T5G/page-1", "NSBC114EPDXV6T5G")</f>
        <v>NSBC114EPDXV6T5G</v>
      </c>
      <c r="B1518" s="3" t="str">
        <f>HYPERLINK("https://www.773grp.com/manufacturer/onsemi?pageNo=169", "Onsemi")</f>
        <v>Onsemi</v>
      </c>
      <c r="C1518" s="6">
        <v>96000</v>
      </c>
      <c r="D1518" s="7">
        <v>0.33</v>
      </c>
      <c r="E1518" t="s">
        <v>57</v>
      </c>
    </row>
    <row r="1519" spans="1:5" x14ac:dyDescent="0.25">
      <c r="A1519" t="str">
        <f>HYPERLINK("https://www.773grp.com/globalSearch/NSBC114TDP6T5G/page-1", "NSBC114TDP6T5G")</f>
        <v>NSBC114TDP6T5G</v>
      </c>
      <c r="B1519" s="3" t="str">
        <f>HYPERLINK("https://www.773grp.com/manufacturer/onsemi?pageNo=170", "Onsemi")</f>
        <v>Onsemi</v>
      </c>
      <c r="C1519" s="6">
        <v>72000</v>
      </c>
      <c r="D1519" s="7">
        <v>0.33</v>
      </c>
    </row>
    <row r="1520" spans="1:5" x14ac:dyDescent="0.25">
      <c r="A1520" t="str">
        <f>HYPERLINK("https://www.773grp.com/globalSearch/NSBC114TDXV6T1G/page-1", "NSBC114TDXV6T1G")</f>
        <v>NSBC114TDXV6T1G</v>
      </c>
      <c r="B1520" s="3" t="str">
        <f>HYPERLINK("https://www.773grp.com/manufacturer/onsemi?pageNo=171", "Onsemi")</f>
        <v>Onsemi</v>
      </c>
      <c r="C1520" s="6">
        <v>11875</v>
      </c>
      <c r="D1520" s="7">
        <v>0.33</v>
      </c>
      <c r="E1520" t="s">
        <v>57</v>
      </c>
    </row>
    <row r="1521" spans="1:5" x14ac:dyDescent="0.25">
      <c r="A1521" t="str">
        <f>HYPERLINK("https://www.773grp.com/globalSearch/NSBC114TDXV6T5G/page-1", "NSBC114TDXV6T5G")</f>
        <v>NSBC114TDXV6T5G</v>
      </c>
      <c r="B1521" s="3" t="str">
        <f>HYPERLINK("https://www.773grp.com/manufacturer/onsemi?pageNo=172", "Onsemi")</f>
        <v>Onsemi</v>
      </c>
      <c r="C1521" s="6">
        <v>40000</v>
      </c>
      <c r="D1521" s="7">
        <v>0.33</v>
      </c>
      <c r="E1521" t="s">
        <v>57</v>
      </c>
    </row>
    <row r="1522" spans="1:5" x14ac:dyDescent="0.25">
      <c r="A1522" t="str">
        <f>HYPERLINK("https://www.773grp.com/globalSearch/NSBC114TF3T5G/page-1", "NSBC114TF3T5G")</f>
        <v>NSBC114TF3T5G</v>
      </c>
      <c r="B1522" s="3" t="str">
        <f>HYPERLINK("https://www.773grp.com/manufacturer/onsemi?pageNo=173", "Onsemi")</f>
        <v>Onsemi</v>
      </c>
      <c r="C1522" s="6">
        <v>152000</v>
      </c>
      <c r="D1522" s="7">
        <v>0.33</v>
      </c>
    </row>
    <row r="1523" spans="1:5" x14ac:dyDescent="0.25">
      <c r="A1523" t="str">
        <f>HYPERLINK("https://www.773grp.com/globalSearch/NSBC114TPDXV6T1G/page-1", "NSBC114TPDXV6T1G")</f>
        <v>NSBC114TPDXV6T1G</v>
      </c>
      <c r="B1523" s="3" t="str">
        <f>HYPERLINK("https://www.773grp.com/manufacturer/onsemi?pageNo=174", "Onsemi")</f>
        <v>Onsemi</v>
      </c>
      <c r="C1523" s="6">
        <v>92000</v>
      </c>
      <c r="D1523" s="7">
        <v>0.33</v>
      </c>
      <c r="E1523" t="s">
        <v>57</v>
      </c>
    </row>
    <row r="1524" spans="1:5" x14ac:dyDescent="0.25">
      <c r="A1524" t="str">
        <f>HYPERLINK("https://www.773grp.com/globalSearch/NSBC114YDP6T5G/page-1", "NSBC114YDP6T5G")</f>
        <v>NSBC114YDP6T5G</v>
      </c>
      <c r="B1524" s="3" t="str">
        <f>HYPERLINK("https://www.773grp.com/manufacturer/onsemi?pageNo=175", "Onsemi")</f>
        <v>Onsemi</v>
      </c>
      <c r="C1524" s="6">
        <v>128000</v>
      </c>
      <c r="D1524" s="7">
        <v>0.33</v>
      </c>
      <c r="E1524" t="s">
        <v>57</v>
      </c>
    </row>
    <row r="1525" spans="1:5" x14ac:dyDescent="0.25">
      <c r="A1525" t="str">
        <f>HYPERLINK("https://www.773grp.com/globalSearch/NSBC114YDXV6T1G/page-1", "NSBC114YDXV6T1G")</f>
        <v>NSBC114YDXV6T1G</v>
      </c>
      <c r="B1525" s="3" t="str">
        <f>HYPERLINK("https://www.773grp.com/manufacturer/onsemi?pageNo=176", "Onsemi")</f>
        <v>Onsemi</v>
      </c>
      <c r="C1525" s="6">
        <v>991452</v>
      </c>
      <c r="D1525" s="7">
        <v>0.33</v>
      </c>
      <c r="E1525" t="s">
        <v>57</v>
      </c>
    </row>
    <row r="1526" spans="1:5" x14ac:dyDescent="0.25">
      <c r="A1526" t="str">
        <f>HYPERLINK("https://www.773grp.com/globalSearch/NSBC114YDXV6T5G/page-1", "NSBC114YDXV6T5G")</f>
        <v>NSBC114YDXV6T5G</v>
      </c>
      <c r="B1526" s="3" t="str">
        <f>HYPERLINK("https://www.773grp.com/manufacturer/onsemi?pageNo=177", "Onsemi")</f>
        <v>Onsemi</v>
      </c>
      <c r="C1526" s="6">
        <v>88000</v>
      </c>
      <c r="D1526" s="7">
        <v>0.33</v>
      </c>
      <c r="E1526" t="s">
        <v>57</v>
      </c>
    </row>
    <row r="1527" spans="1:5" x14ac:dyDescent="0.25">
      <c r="A1527" t="str">
        <f>HYPERLINK("https://www.773grp.com/globalSearch/NSBC114YF3T5G/page-1", "NSBC114YF3T5G")</f>
        <v>NSBC114YF3T5G</v>
      </c>
      <c r="B1527" s="3" t="str">
        <f>HYPERLINK("https://www.773grp.com/manufacturer/onsemi?pageNo=178", "Onsemi")</f>
        <v>Onsemi</v>
      </c>
      <c r="C1527" s="6">
        <v>280000</v>
      </c>
      <c r="D1527" s="7">
        <v>0.33</v>
      </c>
      <c r="E1527" t="s">
        <v>57</v>
      </c>
    </row>
    <row r="1528" spans="1:5" x14ac:dyDescent="0.25">
      <c r="A1528" t="str">
        <f>HYPERLINK("https://www.773grp.com/globalSearch/NSBC114YPDP6T5G/page-1", "NSBC114YPDP6T5G")</f>
        <v>NSBC114YPDP6T5G</v>
      </c>
      <c r="B1528" s="3" t="str">
        <f>HYPERLINK("https://www.773grp.com/manufacturer/onsemi?pageNo=179", "Onsemi")</f>
        <v>Onsemi</v>
      </c>
      <c r="C1528" s="6">
        <v>1736000</v>
      </c>
      <c r="D1528" s="7">
        <v>0.33</v>
      </c>
      <c r="E1528" t="s">
        <v>57</v>
      </c>
    </row>
    <row r="1529" spans="1:5" x14ac:dyDescent="0.25">
      <c r="A1529" t="str">
        <f>HYPERLINK("https://www.773grp.com/globalSearch/NSBC114YPDXV6T1G/page-1", "NSBC114YPDXV6T1G")</f>
        <v>NSBC114YPDXV6T1G</v>
      </c>
      <c r="B1529" s="3" t="str">
        <f>HYPERLINK("https://www.773grp.com/manufacturer/onsemi?pageNo=180", "Onsemi")</f>
        <v>Onsemi</v>
      </c>
      <c r="C1529" s="6">
        <v>15580</v>
      </c>
      <c r="D1529" s="7">
        <v>0.33</v>
      </c>
      <c r="E1529" t="s">
        <v>57</v>
      </c>
    </row>
    <row r="1530" spans="1:5" x14ac:dyDescent="0.25">
      <c r="A1530" t="str">
        <f>HYPERLINK("https://www.773grp.com/globalSearch/NSBC114YPDXV6T5G/page-1", "NSBC114YPDXV6T5G")</f>
        <v>NSBC114YPDXV6T5G</v>
      </c>
      <c r="B1530" s="3" t="str">
        <f>HYPERLINK("https://www.773grp.com/manufacturer/onsemi?pageNo=181", "Onsemi")</f>
        <v>Onsemi</v>
      </c>
      <c r="C1530" s="6">
        <v>104000</v>
      </c>
      <c r="D1530" s="7">
        <v>0.33</v>
      </c>
      <c r="E1530" t="s">
        <v>57</v>
      </c>
    </row>
    <row r="1531" spans="1:5" x14ac:dyDescent="0.25">
      <c r="A1531" t="str">
        <f>HYPERLINK("https://www.773grp.com/globalSearch/NSBC115EDXV6T1G/page-1", "NSBC115EDXV6T1G")</f>
        <v>NSBC115EDXV6T1G</v>
      </c>
      <c r="B1531" s="3" t="str">
        <f>HYPERLINK("https://www.773grp.com/manufacturer/onsemi?pageNo=182", "Onsemi")</f>
        <v>Onsemi</v>
      </c>
      <c r="C1531" s="6">
        <v>155990</v>
      </c>
      <c r="D1531" s="7">
        <v>0.33</v>
      </c>
      <c r="E1531" t="s">
        <v>57</v>
      </c>
    </row>
    <row r="1532" spans="1:5" x14ac:dyDescent="0.25">
      <c r="A1532" t="str">
        <f>HYPERLINK("https://www.773grp.com/globalSearch/NSBC115TPDP6T5G/page-1", "NSBC115TPDP6T5G")</f>
        <v>NSBC115TPDP6T5G</v>
      </c>
      <c r="B1532" s="3" t="str">
        <f>HYPERLINK("https://www.773grp.com/manufacturer/onsemi?pageNo=183", "Onsemi")</f>
        <v>Onsemi</v>
      </c>
      <c r="C1532" s="6">
        <v>275833</v>
      </c>
      <c r="D1532" s="7">
        <v>0.33</v>
      </c>
      <c r="E1532" t="s">
        <v>57</v>
      </c>
    </row>
    <row r="1533" spans="1:5" x14ac:dyDescent="0.25">
      <c r="A1533" t="str">
        <f>HYPERLINK("https://www.773grp.com/globalSearch/NSBC123JDP6T5G/page-1", "NSBC123JDP6T5G")</f>
        <v>NSBC123JDP6T5G</v>
      </c>
      <c r="B1533" s="3" t="str">
        <f>HYPERLINK("https://www.773grp.com/manufacturer/onsemi?pageNo=184", "Onsemi")</f>
        <v>Onsemi</v>
      </c>
      <c r="C1533" s="6">
        <v>136000</v>
      </c>
      <c r="D1533" s="7">
        <v>0.33</v>
      </c>
    </row>
    <row r="1534" spans="1:5" x14ac:dyDescent="0.25">
      <c r="A1534" t="str">
        <f>HYPERLINK("https://www.773grp.com/globalSearch/NSBC123JDXV6T1G/page-1", "NSBC123JDXV6T1G")</f>
        <v>NSBC123JDXV6T1G</v>
      </c>
      <c r="B1534" s="3" t="str">
        <f>HYPERLINK("https://www.773grp.com/manufacturer/onsemi?pageNo=185", "Onsemi")</f>
        <v>Onsemi</v>
      </c>
      <c r="C1534" s="6">
        <v>19938</v>
      </c>
      <c r="D1534" s="7">
        <v>0.33</v>
      </c>
      <c r="E1534" t="s">
        <v>57</v>
      </c>
    </row>
    <row r="1535" spans="1:5" x14ac:dyDescent="0.25">
      <c r="A1535" t="str">
        <f>HYPERLINK("https://www.773grp.com/globalSearch/NSBC123JDXV6T5G/page-1", "NSBC123JDXV6T5G")</f>
        <v>NSBC123JDXV6T5G</v>
      </c>
      <c r="B1535" s="3" t="str">
        <f>HYPERLINK("https://www.773grp.com/manufacturer/onsemi?pageNo=186", "Onsemi")</f>
        <v>Onsemi</v>
      </c>
      <c r="C1535" s="6">
        <v>40000</v>
      </c>
      <c r="D1535" s="7">
        <v>0.33</v>
      </c>
      <c r="E1535" t="s">
        <v>57</v>
      </c>
    </row>
    <row r="1536" spans="1:5" x14ac:dyDescent="0.25">
      <c r="A1536" t="str">
        <f>HYPERLINK("https://www.773grp.com/globalSearch/NSBC123JF3T5G/page-1", "NSBC123JF3T5G")</f>
        <v>NSBC123JF3T5G</v>
      </c>
      <c r="B1536" s="3" t="str">
        <f>HYPERLINK("https://www.773grp.com/manufacturer/onsemi?pageNo=187", "Onsemi")</f>
        <v>Onsemi</v>
      </c>
      <c r="C1536" s="6">
        <v>119285</v>
      </c>
      <c r="D1536" s="7">
        <v>0.33</v>
      </c>
    </row>
    <row r="1537" spans="1:5" x14ac:dyDescent="0.25">
      <c r="A1537" t="str">
        <f>HYPERLINK("https://www.773grp.com/globalSearch/NSBC123JPDXV6T1G/page-1", "NSBC123JPDXV6T1G")</f>
        <v>NSBC123JPDXV6T1G</v>
      </c>
      <c r="B1537" s="3" t="str">
        <f>HYPERLINK("https://www.773grp.com/manufacturer/onsemi?pageNo=188", "Onsemi")</f>
        <v>Onsemi</v>
      </c>
      <c r="C1537" s="6">
        <v>1503000</v>
      </c>
      <c r="D1537" s="7">
        <v>0.33</v>
      </c>
      <c r="E1537" t="s">
        <v>57</v>
      </c>
    </row>
    <row r="1538" spans="1:5" x14ac:dyDescent="0.25">
      <c r="A1538" t="str">
        <f>HYPERLINK("https://www.773grp.com/globalSearch/NSBC123JPDXV6T5G/page-1", "NSBC123JPDXV6T5G")</f>
        <v>NSBC123JPDXV6T5G</v>
      </c>
      <c r="B1538" s="3" t="str">
        <f>HYPERLINK("https://www.773grp.com/manufacturer/onsemi?pageNo=189", "Onsemi")</f>
        <v>Onsemi</v>
      </c>
      <c r="C1538" s="6">
        <v>223912</v>
      </c>
      <c r="D1538" s="7">
        <v>0.33</v>
      </c>
      <c r="E1538" t="s">
        <v>57</v>
      </c>
    </row>
    <row r="1539" spans="1:5" x14ac:dyDescent="0.25">
      <c r="A1539" t="str">
        <f>HYPERLINK("https://www.773grp.com/globalSearch/NSBC124EDP6T5G/page-1", "NSBC124EDP6T5G")</f>
        <v>NSBC124EDP6T5G</v>
      </c>
      <c r="B1539" s="3" t="str">
        <f>HYPERLINK("https://www.773grp.com/manufacturer/onsemi?pageNo=190", "Onsemi")</f>
        <v>Onsemi</v>
      </c>
      <c r="C1539" s="6">
        <v>128000</v>
      </c>
      <c r="D1539" s="7">
        <v>0.33</v>
      </c>
    </row>
    <row r="1540" spans="1:5" x14ac:dyDescent="0.25">
      <c r="A1540" t="str">
        <f>HYPERLINK("https://www.773grp.com/globalSearch/NSBC124EDXV6T1G/page-1", "NSBC124EDXV6T1G")</f>
        <v>NSBC124EDXV6T1G</v>
      </c>
      <c r="B1540" s="3" t="str">
        <f>HYPERLINK("https://www.773grp.com/manufacturer/onsemi?pageNo=191", "Onsemi")</f>
        <v>Onsemi</v>
      </c>
      <c r="C1540" s="6">
        <v>82874</v>
      </c>
      <c r="D1540" s="7">
        <v>0.33</v>
      </c>
      <c r="E1540" t="s">
        <v>57</v>
      </c>
    </row>
    <row r="1541" spans="1:5" x14ac:dyDescent="0.25">
      <c r="A1541" t="str">
        <f>HYPERLINK("https://www.773grp.com/globalSearch/NSBC124EDXV6T5G/page-1", "NSBC124EDXV6T5G")</f>
        <v>NSBC124EDXV6T5G</v>
      </c>
      <c r="B1541" s="3" t="str">
        <f>HYPERLINK("https://www.773grp.com/manufacturer/onsemi?pageNo=192", "Onsemi")</f>
        <v>Onsemi</v>
      </c>
      <c r="C1541" s="6">
        <v>40000</v>
      </c>
      <c r="D1541" s="7">
        <v>0.33</v>
      </c>
      <c r="E1541" t="s">
        <v>57</v>
      </c>
    </row>
    <row r="1542" spans="1:5" x14ac:dyDescent="0.25">
      <c r="A1542" t="str">
        <f>HYPERLINK("https://www.773grp.com/globalSearch/NSBC124EPDXV6T1G/page-1", "NSBC124EPDXV6T1G")</f>
        <v>NSBC124EPDXV6T1G</v>
      </c>
      <c r="B1542" s="3" t="str">
        <f>HYPERLINK("https://www.773grp.com/manufacturer/onsemi?pageNo=193", "Onsemi")</f>
        <v>Onsemi</v>
      </c>
      <c r="C1542" s="6">
        <v>2314097</v>
      </c>
      <c r="D1542" s="7">
        <v>0.33</v>
      </c>
      <c r="E1542" t="s">
        <v>57</v>
      </c>
    </row>
    <row r="1543" spans="1:5" x14ac:dyDescent="0.25">
      <c r="A1543" t="str">
        <f>HYPERLINK("https://www.773grp.com/globalSearch/NSBC124EPDXV6T5G/page-1", "NSBC124EPDXV6T5G")</f>
        <v>NSBC124EPDXV6T5G</v>
      </c>
      <c r="B1543" s="3" t="str">
        <f>HYPERLINK("https://www.773grp.com/manufacturer/onsemi?pageNo=194", "Onsemi")</f>
        <v>Onsemi</v>
      </c>
      <c r="C1543" s="6">
        <v>80000</v>
      </c>
      <c r="D1543" s="7">
        <v>0.33</v>
      </c>
      <c r="E1543" t="s">
        <v>57</v>
      </c>
    </row>
    <row r="1544" spans="1:5" x14ac:dyDescent="0.25">
      <c r="A1544" t="str">
        <f>HYPERLINK("https://www.773grp.com/globalSearch/NSBC124XDXV6T1G/page-1", "NSBC124XDXV6T1G")</f>
        <v>NSBC124XDXV6T1G</v>
      </c>
      <c r="B1544" s="3" t="str">
        <f>HYPERLINK("https://www.773grp.com/manufacturer/onsemi?pageNo=195", "Onsemi")</f>
        <v>Onsemi</v>
      </c>
      <c r="C1544" s="6">
        <v>25750</v>
      </c>
      <c r="D1544" s="7">
        <v>0.33</v>
      </c>
      <c r="E1544" t="s">
        <v>57</v>
      </c>
    </row>
    <row r="1545" spans="1:5" x14ac:dyDescent="0.25">
      <c r="A1545" t="str">
        <f>HYPERLINK("https://www.773grp.com/globalSearch/NSBC143EDXV6T1G/page-1", "NSBC143EDXV6T1G")</f>
        <v>NSBC143EDXV6T1G</v>
      </c>
      <c r="B1545" s="3" t="str">
        <f>HYPERLINK("https://www.773grp.com/manufacturer/onsemi?pageNo=196", "Onsemi")</f>
        <v>Onsemi</v>
      </c>
      <c r="C1545" s="6">
        <v>100000</v>
      </c>
      <c r="D1545" s="7">
        <v>0.33</v>
      </c>
      <c r="E1545" t="s">
        <v>57</v>
      </c>
    </row>
    <row r="1546" spans="1:5" x14ac:dyDescent="0.25">
      <c r="A1546" t="str">
        <f>HYPERLINK("https://www.773grp.com/globalSearch/NSBC143EPDXV6T1G/page-1", "NSBC143EPDXV6T1G")</f>
        <v>NSBC143EPDXV6T1G</v>
      </c>
      <c r="B1546" s="3" t="str">
        <f>HYPERLINK("https://www.773grp.com/manufacturer/onsemi?pageNo=197", "Onsemi")</f>
        <v>Onsemi</v>
      </c>
      <c r="C1546" s="6">
        <v>204000</v>
      </c>
      <c r="D1546" s="7">
        <v>0.33</v>
      </c>
      <c r="E1546" t="s">
        <v>57</v>
      </c>
    </row>
    <row r="1547" spans="1:5" x14ac:dyDescent="0.25">
      <c r="A1547" t="str">
        <f>HYPERLINK("https://www.773grp.com/globalSearch/NSBC143TDXV6T5G/page-1", "NSBC143TDXV6T5G")</f>
        <v>NSBC143TDXV6T5G</v>
      </c>
      <c r="B1547" s="3" t="str">
        <f>HYPERLINK("https://www.773grp.com/manufacturer/onsemi?pageNo=198", "Onsemi")</f>
        <v>Onsemi</v>
      </c>
      <c r="C1547" s="6">
        <v>48000</v>
      </c>
      <c r="D1547" s="7">
        <v>0.33</v>
      </c>
      <c r="E1547" t="s">
        <v>57</v>
      </c>
    </row>
    <row r="1548" spans="1:5" x14ac:dyDescent="0.25">
      <c r="A1548" t="str">
        <f>HYPERLINK("https://www.773grp.com/globalSearch/NSBC143TPDXV6T1G/page-1", "NSBC143TPDXV6T1G")</f>
        <v>NSBC143TPDXV6T1G</v>
      </c>
      <c r="B1548" s="3" t="str">
        <f>HYPERLINK("https://www.773grp.com/manufacturer/onsemi?pageNo=199", "Onsemi")</f>
        <v>Onsemi</v>
      </c>
      <c r="C1548" s="6">
        <v>4543174</v>
      </c>
      <c r="D1548" s="7">
        <v>0.33</v>
      </c>
      <c r="E1548" t="s">
        <v>57</v>
      </c>
    </row>
    <row r="1549" spans="1:5" x14ac:dyDescent="0.25">
      <c r="A1549" t="str">
        <f>HYPERLINK("https://www.773grp.com/globalSearch/NSBC143ZDP6T5G/page-1", "NSBC143ZDP6T5G")</f>
        <v>NSBC143ZDP6T5G</v>
      </c>
      <c r="B1549" s="3" t="str">
        <f>HYPERLINK("https://www.773grp.com/manufacturer/onsemi?pageNo=200", "Onsemi")</f>
        <v>Onsemi</v>
      </c>
      <c r="C1549" s="6">
        <v>10000</v>
      </c>
      <c r="D1549" s="7">
        <v>0.33</v>
      </c>
      <c r="E1549" t="s">
        <v>57</v>
      </c>
    </row>
    <row r="1550" spans="1:5" x14ac:dyDescent="0.25">
      <c r="A1550" t="str">
        <f>HYPERLINK("https://www.773grp.com/globalSearch/NSBC143ZDXV6T1G/page-1", "NSBC143ZDXV6T1G")</f>
        <v>NSBC143ZDXV6T1G</v>
      </c>
      <c r="B1550" s="3" t="str">
        <f>HYPERLINK("https://www.773grp.com/manufacturer/onsemi?pageNo=201", "Onsemi")</f>
        <v>Onsemi</v>
      </c>
      <c r="C1550" s="6">
        <v>23533</v>
      </c>
      <c r="D1550" s="7">
        <v>0.33</v>
      </c>
      <c r="E1550" t="s">
        <v>57</v>
      </c>
    </row>
    <row r="1551" spans="1:5" x14ac:dyDescent="0.25">
      <c r="A1551" t="str">
        <f>HYPERLINK("https://www.773grp.com/globalSearch/NSBC143ZPDXV6T1G/page-1", "NSBC143ZPDXV6T1G")</f>
        <v>NSBC143ZPDXV6T1G</v>
      </c>
      <c r="B1551" s="3" t="str">
        <f>HYPERLINK("https://www.773grp.com/manufacturer/onsemi?pageNo=202", "Onsemi")</f>
        <v>Onsemi</v>
      </c>
      <c r="C1551" s="6">
        <v>176000</v>
      </c>
      <c r="D1551" s="7">
        <v>0.33</v>
      </c>
      <c r="E1551" t="s">
        <v>57</v>
      </c>
    </row>
    <row r="1552" spans="1:5" x14ac:dyDescent="0.25">
      <c r="A1552" t="str">
        <f>HYPERLINK("https://www.773grp.com/globalSearch/NSBC144EDP6T5G/page-1", "NSBC144EDP6T5G")</f>
        <v>NSBC144EDP6T5G</v>
      </c>
      <c r="B1552" s="3" t="str">
        <f>HYPERLINK("https://www.773grp.com/manufacturer/onsemi?pageNo=203", "Onsemi")</f>
        <v>Onsemi</v>
      </c>
      <c r="C1552" s="6">
        <v>144000</v>
      </c>
      <c r="D1552" s="7">
        <v>0.33</v>
      </c>
      <c r="E1552" t="s">
        <v>57</v>
      </c>
    </row>
    <row r="1553" spans="1:5" x14ac:dyDescent="0.25">
      <c r="A1553" t="str">
        <f>HYPERLINK("https://www.773grp.com/globalSearch/NSBC144EDXV6T1G/page-1", "NSBC144EDXV6T1G")</f>
        <v>NSBC144EDXV6T1G</v>
      </c>
      <c r="B1553" s="3" t="str">
        <f>HYPERLINK("https://www.773grp.com/manufacturer/onsemi?pageNo=204", "Onsemi")</f>
        <v>Onsemi</v>
      </c>
      <c r="C1553" s="6">
        <v>781150</v>
      </c>
      <c r="D1553" s="7">
        <v>0.33</v>
      </c>
      <c r="E1553" t="s">
        <v>57</v>
      </c>
    </row>
    <row r="1554" spans="1:5" x14ac:dyDescent="0.25">
      <c r="A1554" t="str">
        <f>HYPERLINK("https://www.773grp.com/globalSearch/NSBC144EDXV6T5G/page-1", "NSBC144EDXV6T5G")</f>
        <v>NSBC144EDXV6T5G</v>
      </c>
      <c r="B1554" s="3" t="str">
        <f>HYPERLINK("https://www.773grp.com/manufacturer/onsemi?pageNo=205", "Onsemi")</f>
        <v>Onsemi</v>
      </c>
      <c r="C1554" s="6">
        <v>204070</v>
      </c>
      <c r="D1554" s="7">
        <v>0.33</v>
      </c>
      <c r="E1554" t="s">
        <v>57</v>
      </c>
    </row>
    <row r="1555" spans="1:5" x14ac:dyDescent="0.25">
      <c r="A1555" t="str">
        <f>HYPERLINK("https://www.773grp.com/globalSearch/NSBC144EF3T5G/page-1", "NSBC144EF3T5G")</f>
        <v>NSBC144EF3T5G</v>
      </c>
      <c r="B1555" s="3" t="str">
        <f>HYPERLINK("https://www.773grp.com/manufacturer/onsemi?pageNo=206", "Onsemi")</f>
        <v>Onsemi</v>
      </c>
      <c r="C1555" s="6">
        <v>144000</v>
      </c>
      <c r="D1555" s="7">
        <v>0.33</v>
      </c>
      <c r="E1555" t="s">
        <v>57</v>
      </c>
    </row>
    <row r="1556" spans="1:5" x14ac:dyDescent="0.25">
      <c r="A1556" t="str">
        <f>HYPERLINK("https://www.773grp.com/globalSearch/NSBC144EPDP6T5G/page-1", "NSBC144EPDP6T5G")</f>
        <v>NSBC144EPDP6T5G</v>
      </c>
      <c r="B1556" s="3" t="str">
        <f>HYPERLINK("https://www.773grp.com/manufacturer/onsemi?pageNo=207", "Onsemi")</f>
        <v>Onsemi</v>
      </c>
      <c r="C1556" s="6">
        <v>136000</v>
      </c>
      <c r="D1556" s="7">
        <v>0.33</v>
      </c>
      <c r="E1556" t="s">
        <v>57</v>
      </c>
    </row>
    <row r="1557" spans="1:5" x14ac:dyDescent="0.25">
      <c r="A1557" t="str">
        <f>HYPERLINK("https://www.773grp.com/globalSearch/NSBC144EPDXV6T1G/page-1", "NSBC144EPDXV6T1G")</f>
        <v>NSBC144EPDXV6T1G</v>
      </c>
      <c r="B1557" s="3" t="str">
        <f>HYPERLINK("https://www.773grp.com/manufacturer/onsemi?pageNo=208", "Onsemi")</f>
        <v>Onsemi</v>
      </c>
      <c r="C1557" s="6">
        <v>203539</v>
      </c>
      <c r="D1557" s="7">
        <v>0.33</v>
      </c>
      <c r="E1557" t="s">
        <v>57</v>
      </c>
    </row>
    <row r="1558" spans="1:5" x14ac:dyDescent="0.25">
      <c r="A1558" t="str">
        <f>HYPERLINK("https://www.773grp.com/globalSearch/NSBC144EPDXV6T5G/page-1", "NSBC144EPDXV6T5G")</f>
        <v>NSBC144EPDXV6T5G</v>
      </c>
      <c r="B1558" s="3" t="str">
        <f>HYPERLINK("https://www.773grp.com/manufacturer/onsemi?pageNo=209", "Onsemi")</f>
        <v>Onsemi</v>
      </c>
      <c r="C1558" s="6">
        <v>48000</v>
      </c>
      <c r="D1558" s="7">
        <v>0.33</v>
      </c>
    </row>
    <row r="1559" spans="1:5" x14ac:dyDescent="0.25">
      <c r="A1559" t="str">
        <f>HYPERLINK("https://www.773grp.com/globalSearch/NSBC144WDXV6T1G/page-1", "NSBC144WDXV6T1G")</f>
        <v>NSBC144WDXV6T1G</v>
      </c>
      <c r="B1559" s="3" t="str">
        <f>HYPERLINK("https://www.773grp.com/manufacturer/onsemi?pageNo=210", "Onsemi")</f>
        <v>Onsemi</v>
      </c>
      <c r="C1559" s="6">
        <v>48000</v>
      </c>
      <c r="D1559" s="7">
        <v>0.33</v>
      </c>
      <c r="E1559" t="s">
        <v>57</v>
      </c>
    </row>
    <row r="1560" spans="1:5" x14ac:dyDescent="0.25">
      <c r="A1560" t="str">
        <f>HYPERLINK("https://www.773grp.com/globalSearch/NSDEMN11XV6T5/page-1", "NSDEMN11XV6T5")</f>
        <v>NSDEMN11XV6T5</v>
      </c>
      <c r="B1560" s="3" t="str">
        <f>HYPERLINK("https://www.773grp.com/manufacturer/onsemi?pageNo=211", "Onsemi")</f>
        <v>Onsemi</v>
      </c>
      <c r="C1560" s="6">
        <v>5974</v>
      </c>
      <c r="D1560" s="7">
        <v>0.33</v>
      </c>
      <c r="E1560" t="s">
        <v>73</v>
      </c>
    </row>
    <row r="1561" spans="1:5" x14ac:dyDescent="0.25">
      <c r="A1561" t="str">
        <f>HYPERLINK("https://www.773grp.com/globalSearch/NSDEMP11XV6T1G/page-1", "NSDEMP11XV6T1G")</f>
        <v>NSDEMP11XV6T1G</v>
      </c>
      <c r="B1561" s="3" t="str">
        <f>HYPERLINK("https://www.773grp.com/manufacturer/onsemi?pageNo=212", "Onsemi")</f>
        <v>Onsemi</v>
      </c>
      <c r="C1561" s="6">
        <v>111105</v>
      </c>
      <c r="D1561" s="7">
        <v>0.33</v>
      </c>
      <c r="E1561" t="s">
        <v>73</v>
      </c>
    </row>
    <row r="1562" spans="1:5" x14ac:dyDescent="0.25">
      <c r="A1562" t="str">
        <f>HYPERLINK("https://www.773grp.com/globalSearch/NSDEMP11XV6T5G/page-1", "NSDEMP11XV6T5G")</f>
        <v>NSDEMP11XV6T5G</v>
      </c>
      <c r="B1562" s="3" t="str">
        <f>HYPERLINK("https://www.773grp.com/manufacturer/onsemi?pageNo=213", "Onsemi")</f>
        <v>Onsemi</v>
      </c>
      <c r="C1562" s="6">
        <v>176000</v>
      </c>
      <c r="D1562" s="7">
        <v>0.33</v>
      </c>
      <c r="E1562" t="s">
        <v>73</v>
      </c>
    </row>
    <row r="1563" spans="1:5" x14ac:dyDescent="0.25">
      <c r="A1563" t="str">
        <f>HYPERLINK("https://www.773grp.com/globalSearch/NSQA12VAW5T2/page-1", "NSQA12VAW5T2")</f>
        <v>NSQA12VAW5T2</v>
      </c>
      <c r="B1563" s="3" t="str">
        <f>HYPERLINK("https://www.773grp.com/manufacturer/onsemi?pageNo=214", "Onsemi")</f>
        <v>Onsemi</v>
      </c>
      <c r="C1563" s="6">
        <v>99000</v>
      </c>
      <c r="D1563" s="7">
        <v>0.33</v>
      </c>
      <c r="E1563" t="s">
        <v>75</v>
      </c>
    </row>
    <row r="1564" spans="1:5" x14ac:dyDescent="0.25">
      <c r="A1564" t="str">
        <f>HYPERLINK("https://www.773grp.com/globalSearch/NSQA12VAW5T2G/page-1", "NSQA12VAW5T2G")</f>
        <v>NSQA12VAW5T2G</v>
      </c>
      <c r="B1564" s="3" t="str">
        <f>HYPERLINK("https://www.773grp.com/manufacturer/onsemi?pageNo=215", "Onsemi")</f>
        <v>Onsemi</v>
      </c>
      <c r="C1564" s="6">
        <v>14769</v>
      </c>
      <c r="D1564" s="7">
        <v>0.33</v>
      </c>
      <c r="E1564" t="s">
        <v>75</v>
      </c>
    </row>
    <row r="1565" spans="1:5" x14ac:dyDescent="0.25">
      <c r="A1565" t="str">
        <f>HYPERLINK("https://www.773grp.com/globalSearch/NSQA6V8AW5T2/page-1", "NSQA6V8AW5T2")</f>
        <v>NSQA6V8AW5T2</v>
      </c>
      <c r="B1565" s="3" t="str">
        <f>HYPERLINK("https://www.773grp.com/manufacturer/onsemi?pageNo=216", "Onsemi")</f>
        <v>Onsemi</v>
      </c>
      <c r="C1565" s="6">
        <v>500672</v>
      </c>
      <c r="D1565" s="7">
        <v>0.33</v>
      </c>
      <c r="E1565" t="s">
        <v>75</v>
      </c>
    </row>
    <row r="1566" spans="1:5" x14ac:dyDescent="0.25">
      <c r="A1566" t="str">
        <f>HYPERLINK("https://www.773grp.com/globalSearch/NSQA6V8AW5T2G/page-1", "NSQA6V8AW5T2G")</f>
        <v>NSQA6V8AW5T2G</v>
      </c>
      <c r="B1566" s="3" t="str">
        <f>HYPERLINK("https://www.773grp.com/manufacturer/onsemi?pageNo=217", "Onsemi")</f>
        <v>Onsemi</v>
      </c>
      <c r="C1566" s="6">
        <v>152520</v>
      </c>
      <c r="D1566" s="7">
        <v>0.33</v>
      </c>
      <c r="E1566" t="s">
        <v>75</v>
      </c>
    </row>
    <row r="1567" spans="1:5" x14ac:dyDescent="0.25">
      <c r="A1567" t="str">
        <f>HYPERLINK("https://www.773grp.com/globalSearch/NSR0130P2T5G/page-1", "NSR0130P2T5G")</f>
        <v>NSR0130P2T5G</v>
      </c>
      <c r="B1567" s="3" t="str">
        <f>HYPERLINK("https://www.773grp.com/manufacturer/onsemi?pageNo=218", "Onsemi")</f>
        <v>Onsemi</v>
      </c>
      <c r="C1567" s="6">
        <v>1333700</v>
      </c>
      <c r="D1567" s="7">
        <v>0.33</v>
      </c>
      <c r="E1567" t="s">
        <v>73</v>
      </c>
    </row>
    <row r="1568" spans="1:5" x14ac:dyDescent="0.25">
      <c r="A1568" t="str">
        <f>HYPERLINK("https://www.773grp.com/globalSearch/NSR0140P2T5G/page-1", "NSR0140P2T5G")</f>
        <v>NSR0140P2T5G</v>
      </c>
      <c r="B1568" s="3" t="str">
        <f>HYPERLINK("https://www.773grp.com/manufacturer/onsemi?pageNo=219", "Onsemi")</f>
        <v>Onsemi</v>
      </c>
      <c r="C1568" s="6">
        <v>1108880</v>
      </c>
      <c r="D1568" s="7">
        <v>0.33</v>
      </c>
      <c r="E1568" t="s">
        <v>73</v>
      </c>
    </row>
    <row r="1569" spans="1:5" x14ac:dyDescent="0.25">
      <c r="A1569" t="str">
        <f>HYPERLINK("https://www.773grp.com/globalSearch/NSR0230P2T5G/page-1", "NSR0230P2T5G")</f>
        <v>NSR0230P2T5G</v>
      </c>
      <c r="B1569" s="3" t="str">
        <f>HYPERLINK("https://www.773grp.com/manufacturer/onsemi?pageNo=220", "Onsemi")</f>
        <v>Onsemi</v>
      </c>
      <c r="C1569" s="6">
        <v>470370</v>
      </c>
      <c r="D1569" s="7">
        <v>0.33</v>
      </c>
      <c r="E1569" t="s">
        <v>73</v>
      </c>
    </row>
    <row r="1570" spans="1:5" x14ac:dyDescent="0.25">
      <c r="A1570" t="str">
        <f>HYPERLINK("https://www.773grp.com/globalSearch/NSR0230P2T5H/page-1", "NSR0230P2T5H")</f>
        <v>NSR0230P2T5H</v>
      </c>
      <c r="B1570" s="3" t="str">
        <f>HYPERLINK("https://www.773grp.com/manufacturer/onsemi?pageNo=221", "Onsemi")</f>
        <v>Onsemi</v>
      </c>
      <c r="C1570" s="6">
        <v>12500</v>
      </c>
      <c r="D1570" s="7">
        <v>0.33</v>
      </c>
    </row>
    <row r="1571" spans="1:5" x14ac:dyDescent="0.25">
      <c r="A1571" t="str">
        <f>HYPERLINK("https://www.773grp.com/globalSearch/NSR0240P2T5G/page-1", "NSR0240P2T5G")</f>
        <v>NSR0240P2T5G</v>
      </c>
      <c r="B1571" s="3" t="str">
        <f>HYPERLINK("https://www.773grp.com/manufacturer/onsemi?pageNo=222", "Onsemi")</f>
        <v>Onsemi</v>
      </c>
      <c r="C1571" s="6">
        <v>160000</v>
      </c>
      <c r="D1571" s="7">
        <v>0.33</v>
      </c>
      <c r="E1571" t="s">
        <v>73</v>
      </c>
    </row>
    <row r="1572" spans="1:5" x14ac:dyDescent="0.25">
      <c r="A1572" t="str">
        <f>HYPERLINK("https://www.773grp.com/globalSearch/NSR02F30NXT5G/page-1", "NSR02F30NXT5G")</f>
        <v>NSR02F30NXT5G</v>
      </c>
      <c r="B1572" s="3" t="str">
        <f>HYPERLINK("https://www.773grp.com/manufacturer/onsemi?pageNo=223", "Onsemi")</f>
        <v>Onsemi</v>
      </c>
      <c r="C1572" s="6">
        <v>135000</v>
      </c>
      <c r="D1572" s="7">
        <v>0.33</v>
      </c>
      <c r="E1572" t="s">
        <v>73</v>
      </c>
    </row>
    <row r="1573" spans="1:5" x14ac:dyDescent="0.25">
      <c r="A1573" t="str">
        <f>HYPERLINK("https://www.773grp.com/globalSearch/NSR02L30NXT5G/page-1", "NSR02L30NXT5G")</f>
        <v>NSR02L30NXT5G</v>
      </c>
      <c r="B1573" s="3" t="str">
        <f>HYPERLINK("https://www.773grp.com/manufacturer/onsemi?pageNo=224", "Onsemi")</f>
        <v>Onsemi</v>
      </c>
      <c r="C1573" s="6">
        <v>4570000</v>
      </c>
      <c r="D1573" s="7">
        <v>0.33</v>
      </c>
    </row>
    <row r="1574" spans="1:5" x14ac:dyDescent="0.25">
      <c r="A1574" t="str">
        <f>HYPERLINK("https://www.773grp.com/globalSearch/NSR0340P2T5G/page-1", "NSR0340P2T5G")</f>
        <v>NSR0340P2T5G</v>
      </c>
      <c r="B1574" s="3" t="str">
        <f>HYPERLINK("https://www.773grp.com/manufacturer/onsemi?pageNo=225", "Onsemi")</f>
        <v>Onsemi</v>
      </c>
      <c r="C1574" s="6">
        <v>16000</v>
      </c>
      <c r="D1574" s="7">
        <v>0.33</v>
      </c>
      <c r="E1574" t="s">
        <v>73</v>
      </c>
    </row>
    <row r="1575" spans="1:5" x14ac:dyDescent="0.25">
      <c r="A1575" t="str">
        <f>HYPERLINK("https://www.773grp.com/globalSearch/NSR0530P2T5G/page-1", "NSR0530P2T5G")</f>
        <v>NSR0530P2T5G</v>
      </c>
      <c r="B1575" s="3" t="str">
        <f>HYPERLINK("https://www.773grp.com/manufacturer/onsemi?pageNo=226", "Onsemi")</f>
        <v>Onsemi</v>
      </c>
      <c r="C1575" s="6">
        <v>439650</v>
      </c>
      <c r="D1575" s="7">
        <v>0.33</v>
      </c>
      <c r="E1575" t="s">
        <v>73</v>
      </c>
    </row>
    <row r="1576" spans="1:5" x14ac:dyDescent="0.25">
      <c r="A1576" t="str">
        <f>HYPERLINK("https://www.773grp.com/globalSearch/NSR0620P2T5G/page-1", "NSR0620P2T5G")</f>
        <v>NSR0620P2T5G</v>
      </c>
      <c r="B1576" s="3" t="str">
        <f>HYPERLINK("https://www.773grp.com/manufacturer/onsemi?pageNo=227", "Onsemi")</f>
        <v>Onsemi</v>
      </c>
      <c r="C1576" s="6">
        <v>232000</v>
      </c>
      <c r="D1576" s="7">
        <v>0.33</v>
      </c>
      <c r="E1576" t="s">
        <v>73</v>
      </c>
    </row>
    <row r="1577" spans="1:5" x14ac:dyDescent="0.25">
      <c r="A1577" t="str">
        <f>HYPERLINK("https://www.773grp.com/globalSearch/NSR15ADXV6T5/page-1", "NSR15ADXV6T5")</f>
        <v>NSR15ADXV6T5</v>
      </c>
      <c r="B1577" s="3" t="str">
        <f>HYPERLINK("https://www.773grp.com/manufacturer/onsemi?pageNo=228", "Onsemi")</f>
        <v>Onsemi</v>
      </c>
      <c r="C1577" s="6">
        <v>24000</v>
      </c>
      <c r="D1577" s="7">
        <v>0.33</v>
      </c>
      <c r="E1577" t="s">
        <v>87</v>
      </c>
    </row>
    <row r="1578" spans="1:5" x14ac:dyDescent="0.25">
      <c r="A1578" t="str">
        <f>HYPERLINK("https://www.773grp.com/globalSearch/NST3904DXV6T1G/page-1", "NST3904DXV6T1G")</f>
        <v>NST3904DXV6T1G</v>
      </c>
      <c r="B1578" s="3" t="str">
        <f>HYPERLINK("https://www.773grp.com/manufacturer/onsemi?pageNo=229", "Onsemi")</f>
        <v>Onsemi</v>
      </c>
      <c r="C1578" s="6">
        <v>66120</v>
      </c>
      <c r="D1578" s="7">
        <v>0.33</v>
      </c>
      <c r="E1578" t="s">
        <v>57</v>
      </c>
    </row>
    <row r="1579" spans="1:5" x14ac:dyDescent="0.25">
      <c r="A1579" t="str">
        <f>HYPERLINK("https://www.773grp.com/globalSearch/NST3904DXV6T5G/page-1", "NST3904DXV6T5G")</f>
        <v>NST3904DXV6T5G</v>
      </c>
      <c r="B1579" s="3" t="str">
        <f>HYPERLINK("https://www.773grp.com/manufacturer/onsemi?pageNo=230", "Onsemi")</f>
        <v>Onsemi</v>
      </c>
      <c r="C1579" s="6">
        <v>38832</v>
      </c>
      <c r="D1579" s="7">
        <v>0.33</v>
      </c>
      <c r="E1579" t="s">
        <v>57</v>
      </c>
    </row>
    <row r="1580" spans="1:5" x14ac:dyDescent="0.25">
      <c r="A1580" t="str">
        <f>HYPERLINK("https://www.773grp.com/globalSearch/NST3946DXV6T1G/page-1", "NST3946DXV6T1G")</f>
        <v>NST3946DXV6T1G</v>
      </c>
      <c r="B1580" s="3" t="str">
        <f>HYPERLINK("https://www.773grp.com/manufacturer/onsemi?pageNo=231", "Onsemi")</f>
        <v>Onsemi</v>
      </c>
      <c r="C1580" s="6">
        <v>60890</v>
      </c>
      <c r="D1580" s="7">
        <v>0.33</v>
      </c>
      <c r="E1580" t="s">
        <v>57</v>
      </c>
    </row>
    <row r="1581" spans="1:5" x14ac:dyDescent="0.25">
      <c r="A1581" t="str">
        <f>HYPERLINK("https://www.773grp.com/globalSearch/NST3946DXV6T5G/page-1", "NST3946DXV6T5G")</f>
        <v>NST3946DXV6T5G</v>
      </c>
      <c r="B1581" s="3" t="str">
        <f>HYPERLINK("https://www.773grp.com/manufacturer/onsemi?pageNo=232", "Onsemi")</f>
        <v>Onsemi</v>
      </c>
      <c r="C1581" s="6">
        <v>7863</v>
      </c>
      <c r="D1581" s="7">
        <v>0.33</v>
      </c>
      <c r="E1581" t="s">
        <v>57</v>
      </c>
    </row>
    <row r="1582" spans="1:5" x14ac:dyDescent="0.25">
      <c r="A1582" t="str">
        <f>HYPERLINK("https://www.773grp.com/globalSearch/NSTB60BDW1T1G/page-1", "NSTB60BDW1T1G")</f>
        <v>NSTB60BDW1T1G</v>
      </c>
      <c r="B1582" s="3" t="str">
        <f>HYPERLINK("https://www.773grp.com/manufacturer/onsemi?pageNo=233", "Onsemi")</f>
        <v>Onsemi</v>
      </c>
      <c r="C1582" s="6">
        <v>5960</v>
      </c>
      <c r="D1582" s="7">
        <v>0.33</v>
      </c>
      <c r="E1582" t="s">
        <v>57</v>
      </c>
    </row>
    <row r="1583" spans="1:5" x14ac:dyDescent="0.25">
      <c r="A1583" t="str">
        <f>HYPERLINK("https://www.773grp.com/globalSearch/NSVBAT54HT1G/page-1", "NSVBAT54HT1G")</f>
        <v>NSVBAT54HT1G</v>
      </c>
      <c r="B1583" s="3" t="str">
        <f>HYPERLINK("https://www.773grp.com/manufacturer/onsemi?pageNo=234", "Onsemi")</f>
        <v>Onsemi</v>
      </c>
      <c r="C1583" s="6">
        <v>123000</v>
      </c>
      <c r="D1583" s="7">
        <v>0.33</v>
      </c>
    </row>
    <row r="1584" spans="1:5" x14ac:dyDescent="0.25">
      <c r="A1584" t="str">
        <f>HYPERLINK("https://www.773grp.com/globalSearch/NSVBAT54SWT1G/page-1", "NSVBAT54SWT1G")</f>
        <v>NSVBAT54SWT1G</v>
      </c>
      <c r="B1584" s="3" t="str">
        <f>HYPERLINK("https://www.773grp.com/manufacturer/onsemi?pageNo=235", "Onsemi")</f>
        <v>Onsemi</v>
      </c>
      <c r="C1584" s="6">
        <v>99000</v>
      </c>
      <c r="D1584" s="7">
        <v>0.33</v>
      </c>
    </row>
    <row r="1585" spans="1:5" x14ac:dyDescent="0.25">
      <c r="A1585" t="str">
        <f>HYPERLINK("https://www.773grp.com/globalSearch/NSVMUN5137DW1T1G/page-1", "NSVMUN5137DW1T1G")</f>
        <v>NSVMUN5137DW1T1G</v>
      </c>
      <c r="B1585" s="3" t="str">
        <f>HYPERLINK("https://www.773grp.com/manufacturer/onsemi?pageNo=236", "Onsemi")</f>
        <v>Onsemi</v>
      </c>
      <c r="C1585" s="6">
        <v>15000</v>
      </c>
      <c r="D1585" s="7">
        <v>0.33</v>
      </c>
    </row>
    <row r="1586" spans="1:5" x14ac:dyDescent="0.25">
      <c r="A1586" t="str">
        <f>HYPERLINK("https://www.773grp.com/globalSearch/NTD4815NHT4G/page-1", "NTD4815NHT4G")</f>
        <v>NTD4815NHT4G</v>
      </c>
      <c r="B1586" s="3" t="str">
        <f>HYPERLINK("https://www.773grp.com/manufacturer/onsemi?pageNo=237", "Onsemi")</f>
        <v>Onsemi</v>
      </c>
      <c r="C1586" s="6">
        <v>828021</v>
      </c>
      <c r="D1586" s="7">
        <v>0.33</v>
      </c>
      <c r="E1586" t="s">
        <v>84</v>
      </c>
    </row>
    <row r="1587" spans="1:5" x14ac:dyDescent="0.25">
      <c r="A1587" t="str">
        <f>HYPERLINK("https://www.773grp.com/globalSearch/NTJD2152PT1/page-1", "NTJD2152PT1")</f>
        <v>NTJD2152PT1</v>
      </c>
      <c r="B1587" s="3" t="str">
        <f>HYPERLINK("https://www.773grp.com/manufacturer/onsemi?pageNo=238", "Onsemi")</f>
        <v>Onsemi</v>
      </c>
      <c r="C1587" s="6">
        <v>12000</v>
      </c>
      <c r="D1587" s="7">
        <v>0.33</v>
      </c>
      <c r="E1587" t="s">
        <v>85</v>
      </c>
    </row>
    <row r="1588" spans="1:5" x14ac:dyDescent="0.25">
      <c r="A1588" t="str">
        <f>HYPERLINK("https://www.773grp.com/globalSearch/NTJD2152PT2G/page-1", "NTJD2152PT2G")</f>
        <v>NTJD2152PT2G</v>
      </c>
      <c r="B1588" s="3" t="str">
        <f>HYPERLINK("https://www.773grp.com/manufacturer/onsemi?pageNo=239", "Onsemi")</f>
        <v>Onsemi</v>
      </c>
      <c r="C1588" s="6">
        <v>45000</v>
      </c>
      <c r="D1588" s="7">
        <v>0.33</v>
      </c>
      <c r="E1588" t="s">
        <v>85</v>
      </c>
    </row>
    <row r="1589" spans="1:5" x14ac:dyDescent="0.25">
      <c r="A1589" t="str">
        <f>HYPERLINK("https://www.773grp.com/globalSearch/NTJD4401NT1/page-1", "NTJD4401NT1")</f>
        <v>NTJD4401NT1</v>
      </c>
      <c r="B1589" s="3" t="str">
        <f>HYPERLINK("https://www.773grp.com/manufacturer/onsemi?pageNo=240", "Onsemi")</f>
        <v>Onsemi</v>
      </c>
      <c r="C1589" s="6">
        <v>8838</v>
      </c>
      <c r="D1589" s="7">
        <v>0.33</v>
      </c>
      <c r="E1589" t="s">
        <v>85</v>
      </c>
    </row>
    <row r="1590" spans="1:5" x14ac:dyDescent="0.25">
      <c r="A1590" t="str">
        <f>HYPERLINK("https://www.773grp.com/globalSearch/NTJD4401NT2/page-1", "NTJD4401NT2")</f>
        <v>NTJD4401NT2</v>
      </c>
      <c r="B1590" s="3" t="str">
        <f>HYPERLINK("https://www.773grp.com/manufacturer/onsemi?pageNo=241", "Onsemi")</f>
        <v>Onsemi</v>
      </c>
      <c r="C1590" s="6">
        <v>12000</v>
      </c>
      <c r="D1590" s="7">
        <v>0.33</v>
      </c>
      <c r="E1590" t="s">
        <v>85</v>
      </c>
    </row>
    <row r="1591" spans="1:5" x14ac:dyDescent="0.25">
      <c r="A1591" t="str">
        <f>HYPERLINK("https://www.773grp.com/globalSearch/NTJS3157NT2G/page-1", "NTJS3157NT2G")</f>
        <v>NTJS3157NT2G</v>
      </c>
      <c r="B1591" s="3" t="str">
        <f>HYPERLINK("https://www.773grp.com/manufacturer/onsemi?pageNo=242", "Onsemi")</f>
        <v>Onsemi</v>
      </c>
      <c r="C1591" s="6">
        <v>2</v>
      </c>
      <c r="D1591" s="7">
        <v>0.33</v>
      </c>
      <c r="E1591" t="s">
        <v>85</v>
      </c>
    </row>
    <row r="1592" spans="1:5" x14ac:dyDescent="0.25">
      <c r="A1592" t="str">
        <f>HYPERLINK("https://www.773grp.com/globalSearch/NTJS4160NT1G/page-1", "NTJS4160NT1G")</f>
        <v>NTJS4160NT1G</v>
      </c>
      <c r="B1592" s="3" t="str">
        <f>HYPERLINK("https://www.773grp.com/manufacturer/onsemi?pageNo=243", "Onsemi")</f>
        <v>Onsemi</v>
      </c>
      <c r="C1592" s="6">
        <v>635883</v>
      </c>
      <c r="D1592" s="7">
        <v>0.33</v>
      </c>
      <c r="E1592" t="s">
        <v>85</v>
      </c>
    </row>
    <row r="1593" spans="1:5" x14ac:dyDescent="0.25">
      <c r="A1593" t="str">
        <f>HYPERLINK("https://www.773grp.com/globalSearch/NTK3043NT1G/page-1", "NTK3043NT1G")</f>
        <v>NTK3043NT1G</v>
      </c>
      <c r="B1593" s="3" t="str">
        <f>HYPERLINK("https://www.773grp.com/manufacturer/onsemi?pageNo=244", "Onsemi")</f>
        <v>Onsemi</v>
      </c>
      <c r="C1593" s="6">
        <v>96946</v>
      </c>
      <c r="D1593" s="7">
        <v>0.33</v>
      </c>
      <c r="E1593" t="s">
        <v>85</v>
      </c>
    </row>
    <row r="1594" spans="1:5" x14ac:dyDescent="0.25">
      <c r="A1594" t="str">
        <f>HYPERLINK("https://www.773grp.com/globalSearch/NTK3043NT1H/page-1", "NTK3043NT1H")</f>
        <v>NTK3043NT1H</v>
      </c>
      <c r="B1594" s="3" t="str">
        <f>HYPERLINK("https://www.773grp.com/manufacturer/onsemi?pageNo=245", "Onsemi")</f>
        <v>Onsemi</v>
      </c>
      <c r="C1594" s="6">
        <v>132000</v>
      </c>
      <c r="D1594" s="7">
        <v>0.33</v>
      </c>
    </row>
    <row r="1595" spans="1:5" x14ac:dyDescent="0.25">
      <c r="A1595" t="str">
        <f>HYPERLINK("https://www.773grp.com/globalSearch/NTK3043NT5G/page-1", "NTK3043NT5G")</f>
        <v>NTK3043NT5G</v>
      </c>
      <c r="B1595" s="3" t="str">
        <f>HYPERLINK("https://www.773grp.com/manufacturer/onsemi?pageNo=246", "Onsemi")</f>
        <v>Onsemi</v>
      </c>
      <c r="C1595" s="6">
        <v>28000</v>
      </c>
      <c r="D1595" s="7">
        <v>0.33</v>
      </c>
      <c r="E1595" t="s">
        <v>85</v>
      </c>
    </row>
    <row r="1596" spans="1:5" x14ac:dyDescent="0.25">
      <c r="A1596" t="str">
        <f>HYPERLINK("https://www.773grp.com/globalSearch/NTK3134NT5G/page-1", "NTK3134NT5G")</f>
        <v>NTK3134NT5G</v>
      </c>
      <c r="B1596" s="3" t="str">
        <f>HYPERLINK("https://www.773grp.com/manufacturer/onsemi?pageNo=247", "Onsemi")</f>
        <v>Onsemi</v>
      </c>
      <c r="C1596" s="6">
        <v>16000</v>
      </c>
      <c r="D1596" s="7">
        <v>0.33</v>
      </c>
      <c r="E1596" t="s">
        <v>85</v>
      </c>
    </row>
    <row r="1597" spans="1:5" x14ac:dyDescent="0.25">
      <c r="A1597" t="str">
        <f>HYPERLINK("https://www.773grp.com/globalSearch/NTR0202PLT1/page-1", "NTR0202PLT1")</f>
        <v>NTR0202PLT1</v>
      </c>
      <c r="B1597" s="3" t="str">
        <f>HYPERLINK("https://www.773grp.com/manufacturer/onsemi?pageNo=248", "Onsemi")</f>
        <v>Onsemi</v>
      </c>
      <c r="C1597" s="6">
        <v>4310</v>
      </c>
      <c r="D1597" s="7">
        <v>0.33</v>
      </c>
      <c r="E1597" t="s">
        <v>85</v>
      </c>
    </row>
    <row r="1598" spans="1:5" x14ac:dyDescent="0.25">
      <c r="A1598" t="str">
        <f>HYPERLINK("https://www.773grp.com/globalSearch/NTR4502PT1/page-1", "NTR4502PT1")</f>
        <v>NTR4502PT1</v>
      </c>
      <c r="B1598" s="3" t="str">
        <f>HYPERLINK("https://www.773grp.com/manufacturer/onsemi?pageNo=249", "Onsemi")</f>
        <v>Onsemi</v>
      </c>
      <c r="C1598" s="6">
        <v>60962</v>
      </c>
      <c r="D1598" s="7">
        <v>0.33</v>
      </c>
      <c r="E1598" t="s">
        <v>85</v>
      </c>
    </row>
    <row r="1599" spans="1:5" x14ac:dyDescent="0.25">
      <c r="A1599" t="str">
        <f>HYPERLINK("https://www.773grp.com/globalSearch/NTS2101PT1G/page-1", "NTS2101PT1G")</f>
        <v>NTS2101PT1G</v>
      </c>
      <c r="B1599" s="3" t="str">
        <f>HYPERLINK("https://www.773grp.com/manufacturer/onsemi?pageNo=250", "Onsemi")</f>
        <v>Onsemi</v>
      </c>
      <c r="C1599" s="6">
        <v>7000</v>
      </c>
      <c r="D1599" s="7">
        <v>0.33</v>
      </c>
      <c r="E1599" t="s">
        <v>85</v>
      </c>
    </row>
    <row r="1600" spans="1:5" x14ac:dyDescent="0.25">
      <c r="A1600" t="str">
        <f>HYPERLINK("https://www.773grp.com/globalSearch/NTS4409NT1G/page-1", "NTS4409NT1G")</f>
        <v>NTS4409NT1G</v>
      </c>
      <c r="B1600" s="3" t="str">
        <f>HYPERLINK("https://www.773grp.com/manufacturer/onsemi?pageNo=251", "Onsemi")</f>
        <v>Onsemi</v>
      </c>
      <c r="C1600" s="6">
        <v>18488</v>
      </c>
      <c r="D1600" s="7">
        <v>0.33</v>
      </c>
      <c r="E1600" t="s">
        <v>85</v>
      </c>
    </row>
    <row r="1601" spans="1:5" x14ac:dyDescent="0.25">
      <c r="A1601" t="str">
        <f>HYPERLINK("https://www.773grp.com/globalSearch/NTZD3152PT1G/page-1", "NTZD3152PT1G")</f>
        <v>NTZD3152PT1G</v>
      </c>
      <c r="B1601" s="3" t="str">
        <f>HYPERLINK("https://www.773grp.com/manufacturer/onsemi?pageNo=252", "Onsemi")</f>
        <v>Onsemi</v>
      </c>
      <c r="C1601" s="6">
        <v>464901</v>
      </c>
      <c r="D1601" s="7">
        <v>0.33</v>
      </c>
      <c r="E1601" t="s">
        <v>85</v>
      </c>
    </row>
    <row r="1602" spans="1:5" x14ac:dyDescent="0.25">
      <c r="A1602" t="str">
        <f>HYPERLINK("https://www.773grp.com/globalSearch/NTZD3152PT1H/page-1", "NTZD3152PT1H")</f>
        <v>NTZD3152PT1H</v>
      </c>
      <c r="B1602" s="3" t="str">
        <f>HYPERLINK("https://www.773grp.com/manufacturer/onsemi?pageNo=253", "Onsemi")</f>
        <v>Onsemi</v>
      </c>
      <c r="C1602" s="6">
        <v>266400</v>
      </c>
      <c r="D1602" s="7">
        <v>0.33</v>
      </c>
    </row>
    <row r="1603" spans="1:5" x14ac:dyDescent="0.25">
      <c r="A1603" t="str">
        <f>HYPERLINK("https://www.773grp.com/globalSearch/NTZD3154NT1G/page-1", "NTZD3154NT1G")</f>
        <v>NTZD3154NT1G</v>
      </c>
      <c r="B1603" s="3" t="str">
        <f>HYPERLINK("https://www.773grp.com/manufacturer/onsemi?pageNo=254", "Onsemi")</f>
        <v>Onsemi</v>
      </c>
      <c r="C1603" s="6">
        <v>673</v>
      </c>
      <c r="D1603" s="7">
        <v>0.33</v>
      </c>
      <c r="E1603" t="s">
        <v>85</v>
      </c>
    </row>
    <row r="1604" spans="1:5" x14ac:dyDescent="0.25">
      <c r="A1604" t="str">
        <f>HYPERLINK("https://www.773grp.com/globalSearch/NTZD3154NT1H/page-1", "NTZD3154NT1H")</f>
        <v>NTZD3154NT1H</v>
      </c>
      <c r="B1604" s="3" t="str">
        <f>HYPERLINK("https://www.773grp.com/manufacturer/onsemi?pageNo=255", "Onsemi")</f>
        <v>Onsemi</v>
      </c>
      <c r="C1604" s="6">
        <v>4000</v>
      </c>
      <c r="D1604" s="7">
        <v>0.33</v>
      </c>
    </row>
    <row r="1605" spans="1:5" x14ac:dyDescent="0.25">
      <c r="A1605" t="str">
        <f>HYPERLINK("https://www.773grp.com/globalSearch/NTZD3154NT2G/page-1", "NTZD3154NT2G")</f>
        <v>NTZD3154NT2G</v>
      </c>
      <c r="B1605" s="3" t="str">
        <f>HYPERLINK("https://www.773grp.com/manufacturer/onsemi?pageNo=256", "Onsemi")</f>
        <v>Onsemi</v>
      </c>
      <c r="C1605" s="6">
        <v>15000</v>
      </c>
      <c r="D1605" s="7">
        <v>0.33</v>
      </c>
      <c r="E1605" t="s">
        <v>85</v>
      </c>
    </row>
    <row r="1606" spans="1:5" x14ac:dyDescent="0.25">
      <c r="A1606" t="str">
        <f>HYPERLINK("https://www.773grp.com/globalSearch/NTZD3154NT5G/page-1", "NTZD3154NT5G")</f>
        <v>NTZD3154NT5G</v>
      </c>
      <c r="B1606" s="3" t="str">
        <f>HYPERLINK("https://www.773grp.com/manufacturer/onsemi?pageNo=257", "Onsemi")</f>
        <v>Onsemi</v>
      </c>
      <c r="C1606" s="6">
        <v>56000</v>
      </c>
      <c r="D1606" s="7">
        <v>0.33</v>
      </c>
      <c r="E1606" t="s">
        <v>85</v>
      </c>
    </row>
    <row r="1607" spans="1:5" x14ac:dyDescent="0.25">
      <c r="A1607" t="str">
        <f>HYPERLINK("https://www.773grp.com/globalSearch/NTZD3155CT1H/page-1", "NTZD3155CT1H")</f>
        <v>NTZD3155CT1H</v>
      </c>
      <c r="B1607" s="3" t="str">
        <f>HYPERLINK("https://www.773grp.com/manufacturer/onsemi?pageNo=258", "Onsemi")</f>
        <v>Onsemi</v>
      </c>
      <c r="C1607" s="6">
        <v>76000</v>
      </c>
      <c r="D1607" s="7">
        <v>0.33</v>
      </c>
    </row>
    <row r="1608" spans="1:5" x14ac:dyDescent="0.25">
      <c r="A1608" t="str">
        <f>HYPERLINK("https://www.773grp.com/globalSearch/NTZD3155CT5G/page-1", "NTZD3155CT5G")</f>
        <v>NTZD3155CT5G</v>
      </c>
      <c r="B1608" s="3" t="str">
        <f>HYPERLINK("https://www.773grp.com/manufacturer/onsemi?pageNo=259", "Onsemi")</f>
        <v>Onsemi</v>
      </c>
      <c r="C1608" s="6">
        <v>5000</v>
      </c>
      <c r="D1608" s="7">
        <v>0.33</v>
      </c>
    </row>
    <row r="1609" spans="1:5" x14ac:dyDescent="0.25">
      <c r="A1609" t="str">
        <f>HYPERLINK("https://www.773grp.com/globalSearch/NTZS3151PT1H/page-1", "NTZS3151PT1H")</f>
        <v>NTZS3151PT1H</v>
      </c>
      <c r="B1609" s="3" t="str">
        <f>HYPERLINK("https://www.773grp.com/manufacturer/onsemi?pageNo=260", "Onsemi")</f>
        <v>Onsemi</v>
      </c>
      <c r="C1609" s="6">
        <v>184000</v>
      </c>
      <c r="D1609" s="7">
        <v>0.33</v>
      </c>
    </row>
    <row r="1610" spans="1:5" x14ac:dyDescent="0.25">
      <c r="A1610" t="str">
        <f>HYPERLINK("https://www.773grp.com/globalSearch/NUP1105LT1G/page-1", "NUP1105LT1G")</f>
        <v>NUP1105LT1G</v>
      </c>
      <c r="B1610" s="3" t="str">
        <f>HYPERLINK("https://www.773grp.com/manufacturer/onsemi?pageNo=261", "Onsemi")</f>
        <v>Onsemi</v>
      </c>
      <c r="C1610" s="6">
        <v>198000</v>
      </c>
      <c r="D1610" s="7">
        <v>0.33</v>
      </c>
      <c r="E1610" t="s">
        <v>75</v>
      </c>
    </row>
    <row r="1611" spans="1:5" x14ac:dyDescent="0.25">
      <c r="A1611" t="str">
        <f>HYPERLINK("https://www.773grp.com/globalSearch/NUP412VP5T5G/page-1", "NUP412VP5T5G")</f>
        <v>NUP412VP5T5G</v>
      </c>
      <c r="B1611" s="3" t="str">
        <f>HYPERLINK("https://www.773grp.com/manufacturer/onsemi?pageNo=262", "Onsemi")</f>
        <v>Onsemi</v>
      </c>
      <c r="C1611" s="6">
        <v>351389</v>
      </c>
      <c r="D1611" s="7">
        <v>0.33</v>
      </c>
      <c r="E1611" t="s">
        <v>75</v>
      </c>
    </row>
    <row r="1612" spans="1:5" x14ac:dyDescent="0.25">
      <c r="A1612" t="str">
        <f>HYPERLINK("https://www.773grp.com/globalSearch/NZQA5V6AXV5T1/page-1", "NZQA5V6AXV5T1")</f>
        <v>NZQA5V6AXV5T1</v>
      </c>
      <c r="B1612" s="3" t="str">
        <f>HYPERLINK("https://www.773grp.com/manufacturer/onsemi?pageNo=263", "Onsemi")</f>
        <v>Onsemi</v>
      </c>
      <c r="C1612" s="6">
        <v>95180</v>
      </c>
      <c r="D1612" s="7">
        <v>0.33</v>
      </c>
      <c r="E1612" t="s">
        <v>75</v>
      </c>
    </row>
    <row r="1613" spans="1:5" x14ac:dyDescent="0.25">
      <c r="A1613" t="str">
        <f>HYPERLINK("https://www.773grp.com/globalSearch/NZQA5V6XV5T1/page-1", "NZQA5V6XV5T1")</f>
        <v>NZQA5V6XV5T1</v>
      </c>
      <c r="B1613" s="3" t="str">
        <f>HYPERLINK("https://www.773grp.com/manufacturer/onsemi?pageNo=264", "Onsemi")</f>
        <v>Onsemi</v>
      </c>
      <c r="C1613" s="6">
        <v>231540</v>
      </c>
      <c r="D1613" s="7">
        <v>0.33</v>
      </c>
      <c r="E1613" t="s">
        <v>75</v>
      </c>
    </row>
    <row r="1614" spans="1:5" x14ac:dyDescent="0.25">
      <c r="A1614" t="str">
        <f>HYPERLINK("https://www.773grp.com/globalSearch/NZQA5V6XV5T1G/page-1", "NZQA5V6XV5T1G")</f>
        <v>NZQA5V6XV5T1G</v>
      </c>
      <c r="B1614" s="3" t="str">
        <f>HYPERLINK("https://www.773grp.com/manufacturer/onsemi?pageNo=265", "Onsemi")</f>
        <v>Onsemi</v>
      </c>
      <c r="C1614" s="6">
        <v>686640</v>
      </c>
      <c r="D1614" s="7">
        <v>0.33</v>
      </c>
      <c r="E1614" t="s">
        <v>75</v>
      </c>
    </row>
    <row r="1615" spans="1:5" x14ac:dyDescent="0.25">
      <c r="A1615" t="str">
        <f>HYPERLINK("https://www.773grp.com/globalSearch/NZQA6V8AXV5T1/page-1", "NZQA6V8AXV5T1")</f>
        <v>NZQA6V8AXV5T1</v>
      </c>
      <c r="B1615" s="3" t="str">
        <f>HYPERLINK("https://www.773grp.com/manufacturer/onsemi?pageNo=266", "Onsemi")</f>
        <v>Onsemi</v>
      </c>
      <c r="C1615" s="6">
        <v>131148</v>
      </c>
      <c r="D1615" s="7">
        <v>0.33</v>
      </c>
      <c r="E1615" t="s">
        <v>75</v>
      </c>
    </row>
    <row r="1616" spans="1:5" x14ac:dyDescent="0.25">
      <c r="A1616" t="str">
        <f>HYPERLINK("https://www.773grp.com/globalSearch/NZQA6V8AXV5T2/page-1", "NZQA6V8AXV5T2")</f>
        <v>NZQA6V8AXV5T2</v>
      </c>
      <c r="B1616" s="3" t="str">
        <f>HYPERLINK("https://www.773grp.com/manufacturer/onsemi?pageNo=267", "Onsemi")</f>
        <v>Onsemi</v>
      </c>
      <c r="C1616" s="6">
        <v>12000</v>
      </c>
      <c r="D1616" s="7">
        <v>0.33</v>
      </c>
      <c r="E1616" t="s">
        <v>75</v>
      </c>
    </row>
    <row r="1617" spans="1:5" x14ac:dyDescent="0.25">
      <c r="A1617" t="str">
        <f>HYPERLINK("https://www.773grp.com/globalSearch/NZQA6V8XV5T1G/page-1", "NZQA6V8XV5T1G")</f>
        <v>NZQA6V8XV5T1G</v>
      </c>
      <c r="B1617" s="3" t="str">
        <f>HYPERLINK("https://www.773grp.com/manufacturer/onsemi?pageNo=268", "Onsemi")</f>
        <v>Onsemi</v>
      </c>
      <c r="C1617" s="6">
        <v>503997</v>
      </c>
      <c r="D1617" s="7">
        <v>0.33</v>
      </c>
      <c r="E1617" t="s">
        <v>75</v>
      </c>
    </row>
    <row r="1618" spans="1:5" x14ac:dyDescent="0.25">
      <c r="A1618" t="str">
        <f>HYPERLINK("https://www.773grp.com/globalSearch/NZQA6V8XV5T2/page-1", "NZQA6V8XV5T2")</f>
        <v>NZQA6V8XV5T2</v>
      </c>
      <c r="B1618" s="3" t="str">
        <f>HYPERLINK("https://www.773grp.com/manufacturer/onsemi?pageNo=269", "Onsemi")</f>
        <v>Onsemi</v>
      </c>
      <c r="C1618" s="6">
        <v>36000</v>
      </c>
      <c r="D1618" s="7">
        <v>0.33</v>
      </c>
      <c r="E1618" t="s">
        <v>75</v>
      </c>
    </row>
    <row r="1619" spans="1:5" x14ac:dyDescent="0.25">
      <c r="A1619" t="str">
        <f>HYPERLINK("https://www.773grp.com/globalSearch/P2N2222AG/page-1", "P2N2222AG")</f>
        <v>P2N2222AG</v>
      </c>
      <c r="B1619" s="3" t="str">
        <f>HYPERLINK("https://www.773grp.com/manufacturer/onsemi?pageNo=270", "Onsemi")</f>
        <v>Onsemi</v>
      </c>
      <c r="C1619" s="6">
        <v>58000</v>
      </c>
      <c r="D1619" s="7">
        <v>0.33</v>
      </c>
      <c r="E1619" t="s">
        <v>57</v>
      </c>
    </row>
    <row r="1620" spans="1:5" x14ac:dyDescent="0.25">
      <c r="A1620" t="str">
        <f>HYPERLINK("https://www.773grp.com/globalSearch/P6KE82A/page-1", "P6KE82A")</f>
        <v>P6KE82A</v>
      </c>
      <c r="B1620" s="3" t="str">
        <f>HYPERLINK("https://www.773grp.com/manufacturer/onsemi?pageNo=271", "Onsemi")</f>
        <v>Onsemi</v>
      </c>
      <c r="C1620" s="6">
        <v>2687</v>
      </c>
      <c r="D1620" s="7">
        <v>0.33</v>
      </c>
      <c r="E1620" t="s">
        <v>75</v>
      </c>
    </row>
    <row r="1621" spans="1:5" x14ac:dyDescent="0.25">
      <c r="A1621" t="str">
        <f>HYPERLINK("https://www.773grp.com/globalSearch/SBAT54ALT3G/page-1", "SBAT54ALT3G")</f>
        <v>SBAT54ALT3G</v>
      </c>
      <c r="B1621" s="3" t="str">
        <f>HYPERLINK("https://www.773grp.com/manufacturer/onsemi?pageNo=272", "Onsemi")</f>
        <v>Onsemi</v>
      </c>
      <c r="C1621" s="6">
        <v>30000</v>
      </c>
      <c r="D1621" s="7">
        <v>0.33</v>
      </c>
    </row>
    <row r="1622" spans="1:5" x14ac:dyDescent="0.25">
      <c r="A1622" t="str">
        <f>HYPERLINK("https://www.773grp.com/globalSearch/SBAT54SLT1/page-1", "SBAT54SLT1")</f>
        <v>SBAT54SLT1</v>
      </c>
      <c r="B1622" s="3" t="str">
        <f>HYPERLINK("https://www.773grp.com/manufacturer/onsemi?pageNo=273", "Onsemi")</f>
        <v>Onsemi</v>
      </c>
      <c r="C1622" s="6">
        <v>6000</v>
      </c>
      <c r="D1622" s="7">
        <v>0.33</v>
      </c>
    </row>
    <row r="1623" spans="1:5" x14ac:dyDescent="0.25">
      <c r="A1623" t="str">
        <f>HYPERLINK("https://www.773grp.com/globalSearch/SC65896D74R2/page-1", "SC65896D74R2")</f>
        <v>SC65896D74R2</v>
      </c>
      <c r="B1623" s="3" t="str">
        <f>HYPERLINK("https://www.773grp.com/manufacturer/onsemi?pageNo=274", "Onsemi")</f>
        <v>Onsemi</v>
      </c>
      <c r="C1623" s="6">
        <v>60385</v>
      </c>
      <c r="D1623" s="7">
        <v>0.33</v>
      </c>
    </row>
    <row r="1624" spans="1:5" x14ac:dyDescent="0.25">
      <c r="A1624" t="str">
        <f>HYPERLINK("https://www.773grp.com/globalSearch/SM05T1/page-1", "SM05T1")</f>
        <v>SM05T1</v>
      </c>
      <c r="B1624" s="3" t="str">
        <f>HYPERLINK("https://www.773grp.com/manufacturer/onsemi?pageNo=275", "Onsemi")</f>
        <v>Onsemi</v>
      </c>
      <c r="C1624" s="6">
        <v>24000</v>
      </c>
      <c r="D1624" s="7">
        <v>0.33</v>
      </c>
      <c r="E1624" t="s">
        <v>75</v>
      </c>
    </row>
    <row r="1625" spans="1:5" x14ac:dyDescent="0.25">
      <c r="A1625" t="str">
        <f>HYPERLINK("https://www.773grp.com/globalSearch/SMUN5111T1/page-1", "SMUN5111T1")</f>
        <v>SMUN5111T1</v>
      </c>
      <c r="B1625" s="3" t="str">
        <f>HYPERLINK("https://www.773grp.com/manufacturer/onsemi?pageNo=276", "Onsemi")</f>
        <v>Onsemi</v>
      </c>
      <c r="C1625" s="6">
        <v>102000</v>
      </c>
      <c r="D1625" s="7">
        <v>0.33</v>
      </c>
    </row>
    <row r="1626" spans="1:5" x14ac:dyDescent="0.25">
      <c r="A1626" t="str">
        <f>HYPERLINK("https://www.773grp.com/globalSearch/SMUN5116T1/page-1", "SMUN5116T1")</f>
        <v>SMUN5116T1</v>
      </c>
      <c r="B1626" s="3" t="str">
        <f>HYPERLINK("https://www.773grp.com/manufacturer/onsemi?pageNo=277", "Onsemi")</f>
        <v>Onsemi</v>
      </c>
      <c r="C1626" s="6">
        <v>66000</v>
      </c>
      <c r="D1626" s="7">
        <v>0.33</v>
      </c>
    </row>
    <row r="1627" spans="1:5" x14ac:dyDescent="0.25">
      <c r="A1627" t="str">
        <f>HYPERLINK("https://www.773grp.com/globalSearch/SMUN5214DW1T1G/page-1", "SMUN5214DW1T1G")</f>
        <v>SMUN5214DW1T1G</v>
      </c>
      <c r="B1627" s="3" t="str">
        <f>HYPERLINK("https://www.773grp.com/manufacturer/onsemi?pageNo=278", "Onsemi")</f>
        <v>Onsemi</v>
      </c>
      <c r="C1627" s="6">
        <v>120000</v>
      </c>
      <c r="D1627" s="7">
        <v>0.33</v>
      </c>
    </row>
    <row r="1628" spans="1:5" x14ac:dyDescent="0.25">
      <c r="A1628" t="str">
        <f>HYPERLINK("https://www.773grp.com/globalSearch/SS12T3/page-1", "SS12T3")</f>
        <v>SS12T3</v>
      </c>
      <c r="B1628" s="3" t="str">
        <f>HYPERLINK("https://www.773grp.com/manufacturer/onsemi?pageNo=279", "Onsemi")</f>
        <v>Onsemi</v>
      </c>
      <c r="C1628" s="6">
        <v>64785</v>
      </c>
      <c r="D1628" s="7">
        <v>0.33</v>
      </c>
      <c r="E1628" t="s">
        <v>73</v>
      </c>
    </row>
    <row r="1629" spans="1:5" x14ac:dyDescent="0.25">
      <c r="A1629" t="str">
        <f>HYPERLINK("https://www.773grp.com/globalSearch/SS14T3/page-1", "SS14T3")</f>
        <v>SS14T3</v>
      </c>
      <c r="B1629" s="3" t="str">
        <f>HYPERLINK("https://www.773grp.com/manufacturer/onsemi?pageNo=280", "Onsemi")</f>
        <v>Onsemi</v>
      </c>
      <c r="C1629" s="6">
        <v>6101</v>
      </c>
      <c r="D1629" s="7">
        <v>0.33</v>
      </c>
      <c r="E1629" t="s">
        <v>73</v>
      </c>
    </row>
    <row r="1630" spans="1:5" x14ac:dyDescent="0.25">
      <c r="A1630" t="str">
        <f>HYPERLINK("https://www.773grp.com/globalSearch/SS14T3G/page-1", "SS14T3G")</f>
        <v>SS14T3G</v>
      </c>
      <c r="B1630" s="3" t="str">
        <f>HYPERLINK("https://www.773grp.com/manufacturer/onsemi?pageNo=281", "Onsemi")</f>
        <v>Onsemi</v>
      </c>
      <c r="C1630" s="6">
        <v>18000</v>
      </c>
      <c r="D1630" s="7">
        <v>0.33</v>
      </c>
      <c r="E1630" t="s">
        <v>73</v>
      </c>
    </row>
    <row r="1631" spans="1:5" x14ac:dyDescent="0.25">
      <c r="A1631" t="str">
        <f>HYPERLINK("https://www.773grp.com/globalSearch/SS16T3/page-1", "SS16T3")</f>
        <v>SS16T3</v>
      </c>
      <c r="B1631" s="3" t="str">
        <f>HYPERLINK("https://www.773grp.com/manufacturer/onsemi?pageNo=282", "Onsemi")</f>
        <v>Onsemi</v>
      </c>
      <c r="C1631" s="6">
        <v>460000</v>
      </c>
      <c r="D1631" s="7">
        <v>0.33</v>
      </c>
      <c r="E1631" t="s">
        <v>73</v>
      </c>
    </row>
    <row r="1632" spans="1:5" x14ac:dyDescent="0.25">
      <c r="A1632" t="str">
        <f>HYPERLINK("https://www.773grp.com/globalSearch/SS22T3/page-1", "SS22T3")</f>
        <v>SS22T3</v>
      </c>
      <c r="B1632" s="3" t="str">
        <f>HYPERLINK("https://www.773grp.com/manufacturer/onsemi?pageNo=283", "Onsemi")</f>
        <v>Onsemi</v>
      </c>
      <c r="C1632" s="6">
        <v>301500</v>
      </c>
      <c r="D1632" s="7">
        <v>0.33</v>
      </c>
      <c r="E1632" t="s">
        <v>82</v>
      </c>
    </row>
    <row r="1633" spans="1:5" x14ac:dyDescent="0.25">
      <c r="A1633" t="str">
        <f>HYPERLINK("https://www.773grp.com/globalSearch/SS24T3/page-1", "SS24T3")</f>
        <v>SS24T3</v>
      </c>
      <c r="B1633" s="3" t="str">
        <f>HYPERLINK("https://www.773grp.com/manufacturer/onsemi?pageNo=284", "Onsemi")</f>
        <v>Onsemi</v>
      </c>
      <c r="C1633" s="6">
        <v>436270</v>
      </c>
      <c r="D1633" s="7">
        <v>0.33</v>
      </c>
      <c r="E1633" t="s">
        <v>82</v>
      </c>
    </row>
    <row r="1634" spans="1:5" x14ac:dyDescent="0.25">
      <c r="A1634" t="str">
        <f>HYPERLINK("https://www.773grp.com/globalSearch/SS26T3/page-1", "SS26T3")</f>
        <v>SS26T3</v>
      </c>
      <c r="B1634" s="3" t="str">
        <f>HYPERLINK("https://www.773grp.com/manufacturer/onsemi?pageNo=285", "Onsemi")</f>
        <v>Onsemi</v>
      </c>
      <c r="C1634" s="6">
        <v>10855</v>
      </c>
      <c r="D1634" s="7">
        <v>0.33</v>
      </c>
      <c r="E1634" t="s">
        <v>82</v>
      </c>
    </row>
    <row r="1635" spans="1:5" x14ac:dyDescent="0.25">
      <c r="A1635" t="str">
        <f>HYPERLINK("https://www.773grp.com/globalSearch/SURS5630-2T3/page-1", "SURS5630-2T3")</f>
        <v>SURS5630-2T3</v>
      </c>
      <c r="B1635" s="3" t="str">
        <f>HYPERLINK("https://www.773grp.com/manufacturer/onsemi?pageNo=286", "Onsemi")</f>
        <v>Onsemi</v>
      </c>
      <c r="C1635" s="6">
        <v>87500</v>
      </c>
      <c r="D1635" s="7">
        <v>0.33</v>
      </c>
    </row>
    <row r="1636" spans="1:5" x14ac:dyDescent="0.25">
      <c r="A1636" t="str">
        <f>HYPERLINK("https://www.773grp.com/globalSearch/SZ2113RL/page-1", "SZ2113RL")</f>
        <v>SZ2113RL</v>
      </c>
      <c r="B1636" s="3" t="str">
        <f>HYPERLINK("https://www.773grp.com/manufacturer/onsemi?pageNo=287", "Onsemi")</f>
        <v>Onsemi</v>
      </c>
      <c r="C1636" s="6">
        <v>6000</v>
      </c>
      <c r="D1636" s="7">
        <v>0.33</v>
      </c>
    </row>
    <row r="1637" spans="1:5" x14ac:dyDescent="0.25">
      <c r="A1637" t="str">
        <f>HYPERLINK("https://www.773grp.com/globalSearch/SZ2660-3RL/page-1", "SZ2660-3RL")</f>
        <v>SZ2660-3RL</v>
      </c>
      <c r="B1637" s="3" t="str">
        <f>HYPERLINK("https://www.773grp.com/manufacturer/onsemi?pageNo=288", "Onsemi")</f>
        <v>Onsemi</v>
      </c>
      <c r="C1637" s="6">
        <v>200</v>
      </c>
      <c r="D1637" s="7">
        <v>0.33</v>
      </c>
    </row>
    <row r="1638" spans="1:5" x14ac:dyDescent="0.25">
      <c r="A1638" t="str">
        <f>HYPERLINK("https://www.773grp.com/globalSearch/SZ2776-3RL/page-1", "SZ2776-3RL")</f>
        <v>SZ2776-3RL</v>
      </c>
      <c r="B1638" s="3" t="str">
        <f>HYPERLINK("https://www.773grp.com/manufacturer/onsemi?pageNo=289", "Onsemi")</f>
        <v>Onsemi</v>
      </c>
      <c r="C1638" s="6">
        <v>6000</v>
      </c>
      <c r="D1638" s="7">
        <v>0.33</v>
      </c>
    </row>
    <row r="1639" spans="1:5" x14ac:dyDescent="0.25">
      <c r="A1639" t="str">
        <f>HYPERLINK("https://www.773grp.com/globalSearch/SZMMBZ27VAWT1G/page-1", "SZMMBZ27VAWT1G")</f>
        <v>SZMMBZ27VAWT1G</v>
      </c>
      <c r="B1639" s="3" t="str">
        <f>HYPERLINK("https://www.773grp.com/manufacturer/onsemi?pageNo=290", "Onsemi")</f>
        <v>Onsemi</v>
      </c>
      <c r="C1639" s="6">
        <v>3000</v>
      </c>
      <c r="D1639" s="7">
        <v>0.33</v>
      </c>
    </row>
    <row r="1640" spans="1:5" x14ac:dyDescent="0.25">
      <c r="A1640" t="str">
        <f>HYPERLINK("https://www.773grp.com/globalSearch/SZMMQA5V6T1G/page-1", "SZMMQA5V6T1G")</f>
        <v>SZMMQA5V6T1G</v>
      </c>
      <c r="B1640" s="3" t="str">
        <f>HYPERLINK("https://www.773grp.com/manufacturer/onsemi?pageNo=291", "Onsemi")</f>
        <v>Onsemi</v>
      </c>
      <c r="C1640" s="6">
        <v>27000</v>
      </c>
      <c r="D1640" s="7">
        <v>0.33</v>
      </c>
    </row>
    <row r="1641" spans="1:5" x14ac:dyDescent="0.25">
      <c r="A1641" t="str">
        <f>HYPERLINK("https://www.773grp.com/globalSearch/SZMMSZ5255ET1G/page-1", "SZMMSZ5255ET1G")</f>
        <v>SZMMSZ5255ET1G</v>
      </c>
      <c r="B1641" s="3" t="str">
        <f>HYPERLINK("https://www.773grp.com/manufacturer/onsemi?pageNo=292", "Onsemi")</f>
        <v>Onsemi</v>
      </c>
      <c r="C1641" s="6">
        <v>21000</v>
      </c>
      <c r="D1641" s="7">
        <v>0.33</v>
      </c>
    </row>
    <row r="1642" spans="1:5" x14ac:dyDescent="0.25">
      <c r="A1642" t="str">
        <f>HYPERLINK("https://www.773grp.com/globalSearch/SZP30390-5RL/page-1", "SZP30390-5RL")</f>
        <v>SZP30390-5RL</v>
      </c>
      <c r="B1642" s="3" t="str">
        <f>HYPERLINK("https://www.773grp.com/manufacturer/onsemi?pageNo=293", "Onsemi")</f>
        <v>Onsemi</v>
      </c>
      <c r="C1642" s="6">
        <v>12000</v>
      </c>
      <c r="D1642" s="7">
        <v>0.33</v>
      </c>
    </row>
    <row r="1643" spans="1:5" x14ac:dyDescent="0.25">
      <c r="A1643" t="str">
        <f>HYPERLINK("https://www.773grp.com/globalSearch/UMC3NT1G/page-1", "UMC3NT1G")</f>
        <v>UMC3NT1G</v>
      </c>
      <c r="B1643" s="3" t="str">
        <f>HYPERLINK("https://www.773grp.com/manufacturer/onsemi?pageNo=294", "Onsemi")</f>
        <v>Onsemi</v>
      </c>
      <c r="C1643" s="6">
        <v>24000</v>
      </c>
      <c r="D1643" s="7">
        <v>0.33</v>
      </c>
      <c r="E1643" t="s">
        <v>57</v>
      </c>
    </row>
    <row r="1644" spans="1:5" x14ac:dyDescent="0.25">
      <c r="A1644" t="str">
        <f>HYPERLINK("https://www.773grp.com/globalSearch/UMC5NT1G/page-1", "UMC5NT1G")</f>
        <v>UMC5NT1G</v>
      </c>
      <c r="B1644" s="3" t="str">
        <f>HYPERLINK("https://www.773grp.com/manufacturer/onsemi?pageNo=295", "Onsemi")</f>
        <v>Onsemi</v>
      </c>
      <c r="C1644" s="6">
        <v>804000</v>
      </c>
      <c r="D1644" s="7">
        <v>0.33</v>
      </c>
      <c r="E1644" t="s">
        <v>57</v>
      </c>
    </row>
    <row r="1645" spans="1:5" x14ac:dyDescent="0.25">
      <c r="A1645" t="str">
        <f>HYPERLINK("https://www.773grp.com/globalSearch/VN2222LLRLRA/page-1", "VN2222LLRLRA")</f>
        <v>VN2222LLRLRA</v>
      </c>
      <c r="B1645" s="3" t="str">
        <f>HYPERLINK("https://www.773grp.com/manufacturer/onsemi?pageNo=296", "Onsemi")</f>
        <v>Onsemi</v>
      </c>
      <c r="C1645" s="6">
        <v>18000</v>
      </c>
      <c r="D1645" s="7">
        <v>0.33</v>
      </c>
      <c r="E1645" t="s">
        <v>85</v>
      </c>
    </row>
    <row r="1646" spans="1:5" x14ac:dyDescent="0.25">
      <c r="A1646" t="str">
        <f>HYPERLINK("https://www.773grp.com/globalSearch/1N5400G/page-1", "1N5400G")</f>
        <v>1N5400G</v>
      </c>
      <c r="B1646" s="3" t="str">
        <f>HYPERLINK("https://www.773grp.com/manufacturer/onsemi?pageNo=297", "Onsemi")</f>
        <v>Onsemi</v>
      </c>
      <c r="C1646" s="6">
        <v>24571</v>
      </c>
      <c r="D1646" s="7">
        <v>0.38</v>
      </c>
      <c r="E1646" t="s">
        <v>82</v>
      </c>
    </row>
    <row r="1647" spans="1:5" x14ac:dyDescent="0.25">
      <c r="A1647" t="str">
        <f>HYPERLINK("https://www.773grp.com/globalSearch/1N5400RLG/page-1", "1N5400RLG")</f>
        <v>1N5400RLG</v>
      </c>
      <c r="B1647" s="3" t="str">
        <f>HYPERLINK("https://www.773grp.com/manufacturer/onsemi?pageNo=298", "Onsemi")</f>
        <v>Onsemi</v>
      </c>
      <c r="C1647" s="6">
        <v>113504</v>
      </c>
      <c r="D1647" s="7">
        <v>0.38</v>
      </c>
      <c r="E1647" t="s">
        <v>82</v>
      </c>
    </row>
    <row r="1648" spans="1:5" x14ac:dyDescent="0.25">
      <c r="A1648" t="str">
        <f>HYPERLINK("https://www.773grp.com/globalSearch/1N5401G/page-1", "1N5401G")</f>
        <v>1N5401G</v>
      </c>
      <c r="B1648" s="3" t="str">
        <f>HYPERLINK("https://www.773grp.com/manufacturer/onsemi?pageNo=299", "Onsemi")</f>
        <v>Onsemi</v>
      </c>
      <c r="C1648" s="6">
        <v>54690</v>
      </c>
      <c r="D1648" s="7">
        <v>0.38</v>
      </c>
      <c r="E1648" t="s">
        <v>82</v>
      </c>
    </row>
    <row r="1649" spans="1:5" x14ac:dyDescent="0.25">
      <c r="A1649" t="str">
        <f>HYPERLINK("https://www.773grp.com/globalSearch/1N5401RLG/page-1", "1N5401RLG")</f>
        <v>1N5401RLG</v>
      </c>
      <c r="B1649" s="3" t="str">
        <f>HYPERLINK("https://www.773grp.com/manufacturer/onsemi?pageNo=300", "Onsemi")</f>
        <v>Onsemi</v>
      </c>
      <c r="C1649" s="6">
        <v>88634</v>
      </c>
      <c r="D1649" s="7">
        <v>0.38</v>
      </c>
      <c r="E1649" t="s">
        <v>82</v>
      </c>
    </row>
    <row r="1650" spans="1:5" x14ac:dyDescent="0.25">
      <c r="A1650" t="str">
        <f>HYPERLINK("https://www.773grp.com/globalSearch/1N5402G/page-1", "1N5402G")</f>
        <v>1N5402G</v>
      </c>
      <c r="B1650" s="3" t="str">
        <f>HYPERLINK("https://www.773grp.com/manufacturer/onsemi?pageNo=301", "Onsemi")</f>
        <v>Onsemi</v>
      </c>
      <c r="C1650" s="6">
        <v>20487</v>
      </c>
      <c r="D1650" s="7">
        <v>0.38</v>
      </c>
      <c r="E1650" t="s">
        <v>82</v>
      </c>
    </row>
    <row r="1651" spans="1:5" x14ac:dyDescent="0.25">
      <c r="A1651" t="str">
        <f>HYPERLINK("https://www.773grp.com/globalSearch/1N5402RLG/page-1", "1N5402RLG")</f>
        <v>1N5402RLG</v>
      </c>
      <c r="B1651" s="3" t="str">
        <f>HYPERLINK("https://www.773grp.com/manufacturer/onsemi?pageNo=302", "Onsemi")</f>
        <v>Onsemi</v>
      </c>
      <c r="C1651" s="6">
        <v>49057</v>
      </c>
      <c r="D1651" s="7">
        <v>0.38</v>
      </c>
      <c r="E1651" t="s">
        <v>82</v>
      </c>
    </row>
    <row r="1652" spans="1:5" x14ac:dyDescent="0.25">
      <c r="A1652" t="str">
        <f>HYPERLINK("https://www.773grp.com/globalSearch/1N5404G/page-1", "1N5404G")</f>
        <v>1N5404G</v>
      </c>
      <c r="B1652" s="3" t="str">
        <f>HYPERLINK("https://www.773grp.com/manufacturer/onsemi?pageNo=303", "Onsemi")</f>
        <v>Onsemi</v>
      </c>
      <c r="C1652" s="6">
        <v>40996</v>
      </c>
      <c r="D1652" s="7">
        <v>0.38</v>
      </c>
      <c r="E1652" t="s">
        <v>82</v>
      </c>
    </row>
    <row r="1653" spans="1:5" x14ac:dyDescent="0.25">
      <c r="A1653" t="str">
        <f>HYPERLINK("https://www.773grp.com/globalSearch/1N5404RLG/page-1", "1N5404RLG")</f>
        <v>1N5404RLG</v>
      </c>
      <c r="B1653" s="3" t="str">
        <f>HYPERLINK("https://www.773grp.com/manufacturer/onsemi?pageNo=304", "Onsemi")</f>
        <v>Onsemi</v>
      </c>
      <c r="C1653" s="6">
        <v>292624</v>
      </c>
      <c r="D1653" s="7">
        <v>0.38</v>
      </c>
      <c r="E1653" t="s">
        <v>82</v>
      </c>
    </row>
    <row r="1654" spans="1:5" x14ac:dyDescent="0.25">
      <c r="A1654" t="str">
        <f>HYPERLINK("https://www.773grp.com/globalSearch/1N5406G/page-1", "1N5406G")</f>
        <v>1N5406G</v>
      </c>
      <c r="B1654" s="3" t="str">
        <f>HYPERLINK("https://www.773grp.com/manufacturer/onsemi?pageNo=305", "Onsemi")</f>
        <v>Onsemi</v>
      </c>
      <c r="C1654" s="6">
        <v>2150</v>
      </c>
      <c r="D1654" s="7">
        <v>0.38</v>
      </c>
      <c r="E1654" t="s">
        <v>82</v>
      </c>
    </row>
    <row r="1655" spans="1:5" x14ac:dyDescent="0.25">
      <c r="A1655" t="str">
        <f>HYPERLINK("https://www.773grp.com/globalSearch/1N5406RLG/page-1", "1N5406RLG")</f>
        <v>1N5406RLG</v>
      </c>
      <c r="B1655" s="3" t="str">
        <f>HYPERLINK("https://www.773grp.com/manufacturer/onsemi?pageNo=306", "Onsemi")</f>
        <v>Onsemi</v>
      </c>
      <c r="C1655" s="6">
        <v>60091</v>
      </c>
      <c r="D1655" s="7">
        <v>0.38</v>
      </c>
      <c r="E1655" t="s">
        <v>82</v>
      </c>
    </row>
    <row r="1656" spans="1:5" x14ac:dyDescent="0.25">
      <c r="A1656" t="str">
        <f>HYPERLINK("https://www.773grp.com/globalSearch/1N5407RLG/page-1", "1N5407RLG")</f>
        <v>1N5407RLG</v>
      </c>
      <c r="B1656" s="3" t="str">
        <f>HYPERLINK("https://www.773grp.com/manufacturer/onsemi?pageNo=307", "Onsemi")</f>
        <v>Onsemi</v>
      </c>
      <c r="C1656" s="6">
        <v>14400</v>
      </c>
      <c r="D1656" s="7">
        <v>0.38</v>
      </c>
      <c r="E1656" t="s">
        <v>82</v>
      </c>
    </row>
    <row r="1657" spans="1:5" x14ac:dyDescent="0.25">
      <c r="A1657" t="str">
        <f>HYPERLINK("https://www.773grp.com/globalSearch/1N5408G/page-1", "1N5408G")</f>
        <v>1N5408G</v>
      </c>
      <c r="B1657" s="3" t="str">
        <f>HYPERLINK("https://www.773grp.com/manufacturer/onsemi?pageNo=308", "Onsemi")</f>
        <v>Onsemi</v>
      </c>
      <c r="C1657" s="6">
        <v>25415</v>
      </c>
      <c r="D1657" s="7">
        <v>0.38</v>
      </c>
      <c r="E1657" t="s">
        <v>82</v>
      </c>
    </row>
    <row r="1658" spans="1:5" x14ac:dyDescent="0.25">
      <c r="A1658" t="str">
        <f>HYPERLINK("https://www.773grp.com/globalSearch/1N5408RLG/page-1", "1N5408RLG")</f>
        <v>1N5408RLG</v>
      </c>
      <c r="B1658" s="3" t="str">
        <f>HYPERLINK("https://www.773grp.com/manufacturer/onsemi?pageNo=309", "Onsemi")</f>
        <v>Onsemi</v>
      </c>
      <c r="C1658" s="6">
        <v>277640</v>
      </c>
      <c r="D1658" s="7">
        <v>0.38</v>
      </c>
      <c r="E1658" t="s">
        <v>82</v>
      </c>
    </row>
    <row r="1659" spans="1:5" x14ac:dyDescent="0.25">
      <c r="A1659" t="str">
        <f>HYPERLINK("https://www.773grp.com/globalSearch/1N5820/page-1", "1N5820")</f>
        <v>1N5820</v>
      </c>
      <c r="B1659" s="3" t="str">
        <f>HYPERLINK("https://www.773grp.com/manufacturer/onsemi?pageNo=310", "Onsemi")</f>
        <v>Onsemi</v>
      </c>
      <c r="C1659" s="6">
        <v>7016</v>
      </c>
      <c r="D1659" s="7">
        <v>0.38</v>
      </c>
      <c r="E1659" t="s">
        <v>82</v>
      </c>
    </row>
    <row r="1660" spans="1:5" x14ac:dyDescent="0.25">
      <c r="A1660" t="str">
        <f>HYPERLINK("https://www.773grp.com/globalSearch/1N5820RL/page-1", "1N5820RL")</f>
        <v>1N5820RL</v>
      </c>
      <c r="B1660" s="3" t="str">
        <f>HYPERLINK("https://www.773grp.com/manufacturer/onsemi?pageNo=311", "Onsemi")</f>
        <v>Onsemi</v>
      </c>
      <c r="C1660" s="6">
        <v>4500</v>
      </c>
      <c r="D1660" s="7">
        <v>0.38</v>
      </c>
      <c r="E1660" t="s">
        <v>82</v>
      </c>
    </row>
    <row r="1661" spans="1:5" x14ac:dyDescent="0.25">
      <c r="A1661" t="str">
        <f>HYPERLINK("https://www.773grp.com/globalSearch/1N5821/page-1", "1N5821")</f>
        <v>1N5821</v>
      </c>
      <c r="B1661" s="3" t="str">
        <f>HYPERLINK("https://www.773grp.com/manufacturer/onsemi?pageNo=312", "Onsemi")</f>
        <v>Onsemi</v>
      </c>
      <c r="C1661" s="6">
        <v>7202</v>
      </c>
      <c r="D1661" s="7">
        <v>0.38</v>
      </c>
      <c r="E1661" t="s">
        <v>82</v>
      </c>
    </row>
    <row r="1662" spans="1:5" x14ac:dyDescent="0.25">
      <c r="A1662" t="str">
        <f>HYPERLINK("https://www.773grp.com/globalSearch/1N5822/page-1", "1N5822")</f>
        <v>1N5822</v>
      </c>
      <c r="B1662" s="3" t="str">
        <f>HYPERLINK("https://www.773grp.com/manufacturer/onsemi?pageNo=313", "Onsemi")</f>
        <v>Onsemi</v>
      </c>
      <c r="C1662" s="6">
        <v>42984</v>
      </c>
      <c r="D1662" s="7">
        <v>0.38</v>
      </c>
      <c r="E1662" t="s">
        <v>82</v>
      </c>
    </row>
    <row r="1663" spans="1:5" x14ac:dyDescent="0.25">
      <c r="A1663" t="str">
        <f>HYPERLINK("https://www.773grp.com/globalSearch/1N5822RL/page-1", "1N5822RL")</f>
        <v>1N5822RL</v>
      </c>
      <c r="B1663" s="3" t="str">
        <f>HYPERLINK("https://www.773grp.com/manufacturer/onsemi?pageNo=314", "Onsemi")</f>
        <v>Onsemi</v>
      </c>
      <c r="C1663" s="6">
        <v>3708</v>
      </c>
      <c r="D1663" s="7">
        <v>0.38</v>
      </c>
      <c r="E1663" t="s">
        <v>82</v>
      </c>
    </row>
    <row r="1664" spans="1:5" x14ac:dyDescent="0.25">
      <c r="A1664" t="str">
        <f>HYPERLINK("https://www.773grp.com/globalSearch/1N5921BG/page-1", "1N5921BG")</f>
        <v>1N5921BG</v>
      </c>
      <c r="B1664" s="3" t="str">
        <f>HYPERLINK("https://www.773grp.com/manufacturer/onsemi?pageNo=315", "Onsemi")</f>
        <v>Onsemi</v>
      </c>
      <c r="C1664" s="6">
        <v>9000</v>
      </c>
      <c r="D1664" s="7">
        <v>0.38</v>
      </c>
      <c r="E1664" t="s">
        <v>77</v>
      </c>
    </row>
    <row r="1665" spans="1:5" x14ac:dyDescent="0.25">
      <c r="A1665" t="str">
        <f>HYPERLINK("https://www.773grp.com/globalSearch/1N5929BRNG/page-1", "1N5929BRNG")</f>
        <v>1N5929BRNG</v>
      </c>
      <c r="B1665" s="3" t="str">
        <f>HYPERLINK("https://www.773grp.com/manufacturer/onsemi?pageNo=316", "Onsemi")</f>
        <v>Onsemi</v>
      </c>
      <c r="C1665" s="6">
        <v>150000</v>
      </c>
      <c r="D1665" s="7">
        <v>0.38</v>
      </c>
    </row>
    <row r="1666" spans="1:5" x14ac:dyDescent="0.25">
      <c r="A1666" t="str">
        <f>HYPERLINK("https://www.773grp.com/globalSearch/1N5932BRLG/page-1", "1N5932BRLG")</f>
        <v>1N5932BRLG</v>
      </c>
      <c r="B1666" s="3" t="str">
        <f>HYPERLINK("https://www.773grp.com/manufacturer/onsemi?pageNo=317", "Onsemi")</f>
        <v>Onsemi</v>
      </c>
      <c r="C1666" s="6">
        <v>359335</v>
      </c>
      <c r="D1666" s="7">
        <v>0.38</v>
      </c>
      <c r="E1666" t="s">
        <v>77</v>
      </c>
    </row>
    <row r="1667" spans="1:5" x14ac:dyDescent="0.25">
      <c r="A1667" t="str">
        <f>HYPERLINK("https://www.773grp.com/globalSearch/1N5952BRLG/page-1", "1N5952BRLG")</f>
        <v>1N5952BRLG</v>
      </c>
      <c r="B1667" s="3" t="str">
        <f>HYPERLINK("https://www.773grp.com/manufacturer/onsemi?pageNo=318", "Onsemi")</f>
        <v>Onsemi</v>
      </c>
      <c r="C1667" s="6">
        <v>6459</v>
      </c>
      <c r="D1667" s="7">
        <v>0.38</v>
      </c>
    </row>
    <row r="1668" spans="1:5" x14ac:dyDescent="0.25">
      <c r="A1668" t="str">
        <f>HYPERLINK("https://www.773grp.com/globalSearch/1N5993D/page-1", "1N5993D")</f>
        <v>1N5993D</v>
      </c>
      <c r="B1668" s="3" t="str">
        <f>HYPERLINK("https://www.773grp.com/manufacturer/onsemi?pageNo=319", "Onsemi")</f>
        <v>Onsemi</v>
      </c>
      <c r="C1668" s="6">
        <v>57447</v>
      </c>
      <c r="D1668" s="7">
        <v>0.38</v>
      </c>
      <c r="E1668" t="s">
        <v>77</v>
      </c>
    </row>
    <row r="1669" spans="1:5" x14ac:dyDescent="0.25">
      <c r="A1669" t="str">
        <f>HYPERLINK("https://www.773grp.com/globalSearch/1N5993DRL/page-1", "1N5993DRL")</f>
        <v>1N5993DRL</v>
      </c>
      <c r="B1669" s="3" t="str">
        <f>HYPERLINK("https://www.773grp.com/manufacturer/onsemi?pageNo=320", "Onsemi")</f>
        <v>Onsemi</v>
      </c>
      <c r="C1669" s="6">
        <v>38400</v>
      </c>
      <c r="D1669" s="7">
        <v>0.38</v>
      </c>
      <c r="E1669" t="s">
        <v>77</v>
      </c>
    </row>
    <row r="1670" spans="1:5" x14ac:dyDescent="0.25">
      <c r="A1670" t="str">
        <f>HYPERLINK("https://www.773grp.com/globalSearch/1PMT12AT3/page-1", "1PMT12AT3")</f>
        <v>1PMT12AT3</v>
      </c>
      <c r="B1670" s="3" t="str">
        <f>HYPERLINK("https://www.773grp.com/manufacturer/onsemi?pageNo=321", "Onsemi")</f>
        <v>Onsemi</v>
      </c>
      <c r="C1670" s="6">
        <v>24000</v>
      </c>
      <c r="D1670" s="7">
        <v>0.38</v>
      </c>
      <c r="E1670" t="s">
        <v>75</v>
      </c>
    </row>
    <row r="1671" spans="1:5" x14ac:dyDescent="0.25">
      <c r="A1671" t="str">
        <f>HYPERLINK("https://www.773grp.com/globalSearch/1PMT16AT1G/page-1", "1PMT16AT1G")</f>
        <v>1PMT16AT1G</v>
      </c>
      <c r="B1671" s="3" t="str">
        <f>HYPERLINK("https://www.773grp.com/manufacturer/onsemi?pageNo=322", "Onsemi")</f>
        <v>Onsemi</v>
      </c>
      <c r="C1671" s="6">
        <v>12000</v>
      </c>
      <c r="D1671" s="7">
        <v>0.38</v>
      </c>
      <c r="E1671" t="s">
        <v>75</v>
      </c>
    </row>
    <row r="1672" spans="1:5" x14ac:dyDescent="0.25">
      <c r="A1672" t="str">
        <f>HYPERLINK("https://www.773grp.com/globalSearch/1PMT22AT1G/page-1", "1PMT22AT1G")</f>
        <v>1PMT22AT1G</v>
      </c>
      <c r="B1672" s="3" t="str">
        <f>HYPERLINK("https://www.773grp.com/manufacturer/onsemi?pageNo=323", "Onsemi")</f>
        <v>Onsemi</v>
      </c>
      <c r="C1672" s="6">
        <v>2965</v>
      </c>
      <c r="D1672" s="7">
        <v>0.38</v>
      </c>
      <c r="E1672" t="s">
        <v>75</v>
      </c>
    </row>
    <row r="1673" spans="1:5" x14ac:dyDescent="0.25">
      <c r="A1673" t="str">
        <f>HYPERLINK("https://www.773grp.com/globalSearch/1PMT26AT1/page-1", "1PMT26AT1")</f>
        <v>1PMT26AT1</v>
      </c>
      <c r="B1673" s="3" t="str">
        <f>HYPERLINK("https://www.773grp.com/manufacturer/onsemi?pageNo=324", "Onsemi")</f>
        <v>Onsemi</v>
      </c>
      <c r="C1673" s="6">
        <v>20830</v>
      </c>
      <c r="D1673" s="7">
        <v>0.38</v>
      </c>
      <c r="E1673" t="s">
        <v>75</v>
      </c>
    </row>
    <row r="1674" spans="1:5" x14ac:dyDescent="0.25">
      <c r="A1674" t="str">
        <f>HYPERLINK("https://www.773grp.com/globalSearch/1PMT26AT1G/page-1", "1PMT26AT1G")</f>
        <v>1PMT26AT1G</v>
      </c>
      <c r="B1674" s="3" t="str">
        <f>HYPERLINK("https://www.773grp.com/manufacturer/onsemi?pageNo=325", "Onsemi")</f>
        <v>Onsemi</v>
      </c>
      <c r="C1674" s="6">
        <v>5986</v>
      </c>
      <c r="D1674" s="7">
        <v>0.38</v>
      </c>
      <c r="E1674" t="s">
        <v>75</v>
      </c>
    </row>
    <row r="1675" spans="1:5" x14ac:dyDescent="0.25">
      <c r="A1675" t="str">
        <f>HYPERLINK("https://www.773grp.com/globalSearch/1PMT28AT1/page-1", "1PMT28AT1")</f>
        <v>1PMT28AT1</v>
      </c>
      <c r="B1675" s="3" t="str">
        <f>HYPERLINK("https://www.773grp.com/manufacturer/onsemi?pageNo=326", "Onsemi")</f>
        <v>Onsemi</v>
      </c>
      <c r="C1675" s="6">
        <v>12000</v>
      </c>
      <c r="D1675" s="7">
        <v>0.38</v>
      </c>
      <c r="E1675" t="s">
        <v>75</v>
      </c>
    </row>
    <row r="1676" spans="1:5" x14ac:dyDescent="0.25">
      <c r="A1676" t="str">
        <f>HYPERLINK("https://www.773grp.com/globalSearch/1PMT33AT1/page-1", "1PMT33AT1")</f>
        <v>1PMT33AT1</v>
      </c>
      <c r="B1676" s="3" t="str">
        <f>HYPERLINK("https://www.773grp.com/manufacturer/onsemi?pageNo=327", "Onsemi")</f>
        <v>Onsemi</v>
      </c>
      <c r="C1676" s="6">
        <v>5850</v>
      </c>
      <c r="D1676" s="7">
        <v>0.38</v>
      </c>
      <c r="E1676" t="s">
        <v>75</v>
      </c>
    </row>
    <row r="1677" spans="1:5" x14ac:dyDescent="0.25">
      <c r="A1677" t="str">
        <f>HYPERLINK("https://www.773grp.com/globalSearch/1PMT5.0AT1/page-1", "1PMT5.0AT1")</f>
        <v>1PMT5.0AT1</v>
      </c>
      <c r="B1677" s="3" t="str">
        <f>HYPERLINK("https://www.773grp.com/manufacturer/onsemi?pageNo=328", "Onsemi")</f>
        <v>Onsemi</v>
      </c>
      <c r="C1677" s="6">
        <v>2730</v>
      </c>
      <c r="D1677" s="7">
        <v>0.38</v>
      </c>
      <c r="E1677" t="s">
        <v>75</v>
      </c>
    </row>
    <row r="1678" spans="1:5" x14ac:dyDescent="0.25">
      <c r="A1678" t="str">
        <f>HYPERLINK("https://www.773grp.com/globalSearch/1PMT58AT1/page-1", "1PMT58AT1")</f>
        <v>1PMT58AT1</v>
      </c>
      <c r="B1678" s="3" t="str">
        <f>HYPERLINK("https://www.773grp.com/manufacturer/onsemi?pageNo=329", "Onsemi")</f>
        <v>Onsemi</v>
      </c>
      <c r="C1678" s="6">
        <v>8444</v>
      </c>
      <c r="D1678" s="7">
        <v>0.38</v>
      </c>
      <c r="E1678" t="s">
        <v>75</v>
      </c>
    </row>
    <row r="1679" spans="1:5" x14ac:dyDescent="0.25">
      <c r="A1679" t="str">
        <f>HYPERLINK("https://www.773grp.com/globalSearch/1PMT5924BT1/page-1", "1PMT5924BT1")</f>
        <v>1PMT5924BT1</v>
      </c>
      <c r="B1679" s="3" t="str">
        <f>HYPERLINK("https://www.773grp.com/manufacturer/onsemi?pageNo=330", "Onsemi")</f>
        <v>Onsemi</v>
      </c>
      <c r="C1679" s="6">
        <v>2912</v>
      </c>
      <c r="D1679" s="7">
        <v>0.38</v>
      </c>
      <c r="E1679" t="s">
        <v>77</v>
      </c>
    </row>
    <row r="1680" spans="1:5" x14ac:dyDescent="0.25">
      <c r="A1680" t="str">
        <f>HYPERLINK("https://www.773grp.com/globalSearch/1PMT5925BT1/page-1", "1PMT5925BT1")</f>
        <v>1PMT5925BT1</v>
      </c>
      <c r="B1680" s="3" t="str">
        <f>HYPERLINK("https://www.773grp.com/manufacturer/onsemi?pageNo=331", "Onsemi")</f>
        <v>Onsemi</v>
      </c>
      <c r="C1680" s="6">
        <v>1663</v>
      </c>
      <c r="D1680" s="7">
        <v>0.38</v>
      </c>
      <c r="E1680" t="s">
        <v>77</v>
      </c>
    </row>
    <row r="1681" spans="1:5" x14ac:dyDescent="0.25">
      <c r="A1681" t="str">
        <f>HYPERLINK("https://www.773grp.com/globalSearch/1PMT5927BT1/page-1", "1PMT5927BT1")</f>
        <v>1PMT5927BT1</v>
      </c>
      <c r="B1681" s="3" t="str">
        <f>HYPERLINK("https://www.773grp.com/manufacturer/onsemi?pageNo=332", "Onsemi")</f>
        <v>Onsemi</v>
      </c>
      <c r="C1681" s="6">
        <v>2009</v>
      </c>
      <c r="D1681" s="7">
        <v>0.38</v>
      </c>
      <c r="E1681" t="s">
        <v>77</v>
      </c>
    </row>
    <row r="1682" spans="1:5" x14ac:dyDescent="0.25">
      <c r="A1682" t="str">
        <f>HYPERLINK("https://www.773grp.com/globalSearch/1PMT5930BT1/page-1", "1PMT5930BT1")</f>
        <v>1PMT5930BT1</v>
      </c>
      <c r="B1682" s="3" t="str">
        <f>HYPERLINK("https://www.773grp.com/manufacturer/onsemi?pageNo=333", "Onsemi")</f>
        <v>Onsemi</v>
      </c>
      <c r="C1682" s="6">
        <v>6000</v>
      </c>
      <c r="D1682" s="7">
        <v>0.38</v>
      </c>
      <c r="E1682" t="s">
        <v>77</v>
      </c>
    </row>
    <row r="1683" spans="1:5" x14ac:dyDescent="0.25">
      <c r="A1683" t="str">
        <f>HYPERLINK("https://www.773grp.com/globalSearch/1PMT5933BT1/page-1", "1PMT5933BT1")</f>
        <v>1PMT5933BT1</v>
      </c>
      <c r="B1683" s="3" t="str">
        <f>HYPERLINK("https://www.773grp.com/manufacturer/onsemi?pageNo=334", "Onsemi")</f>
        <v>Onsemi</v>
      </c>
      <c r="C1683" s="6">
        <v>2820</v>
      </c>
      <c r="D1683" s="7">
        <v>0.38</v>
      </c>
      <c r="E1683" t="s">
        <v>77</v>
      </c>
    </row>
    <row r="1684" spans="1:5" x14ac:dyDescent="0.25">
      <c r="A1684" t="str">
        <f>HYPERLINK("https://www.773grp.com/globalSearch/1PMT5934BT1/page-1", "1PMT5934BT1")</f>
        <v>1PMT5934BT1</v>
      </c>
      <c r="B1684" s="3" t="str">
        <f>HYPERLINK("https://www.773grp.com/manufacturer/onsemi?pageNo=335", "Onsemi")</f>
        <v>Onsemi</v>
      </c>
      <c r="C1684" s="6">
        <v>5935</v>
      </c>
      <c r="D1684" s="7">
        <v>0.38</v>
      </c>
      <c r="E1684" t="s">
        <v>77</v>
      </c>
    </row>
    <row r="1685" spans="1:5" x14ac:dyDescent="0.25">
      <c r="A1685" t="str">
        <f>HYPERLINK("https://www.773grp.com/globalSearch/1PMT5936BT1/page-1", "1PMT5936BT1")</f>
        <v>1PMT5936BT1</v>
      </c>
      <c r="B1685" s="3" t="str">
        <f>HYPERLINK("https://www.773grp.com/manufacturer/onsemi?pageNo=336", "Onsemi")</f>
        <v>Onsemi</v>
      </c>
      <c r="C1685" s="6">
        <v>3000</v>
      </c>
      <c r="D1685" s="7">
        <v>0.38</v>
      </c>
      <c r="E1685" t="s">
        <v>77</v>
      </c>
    </row>
    <row r="1686" spans="1:5" x14ac:dyDescent="0.25">
      <c r="A1686" t="str">
        <f>HYPERLINK("https://www.773grp.com/globalSearch/1PMT5936BT1G/page-1", "1PMT5936BT1G")</f>
        <v>1PMT5936BT1G</v>
      </c>
      <c r="B1686" s="3" t="str">
        <f>HYPERLINK("https://www.773grp.com/manufacturer/onsemi?pageNo=337", "Onsemi")</f>
        <v>Onsemi</v>
      </c>
      <c r="C1686" s="6">
        <v>3000</v>
      </c>
      <c r="D1686" s="7">
        <v>0.38</v>
      </c>
      <c r="E1686" t="s">
        <v>77</v>
      </c>
    </row>
    <row r="1687" spans="1:5" x14ac:dyDescent="0.25">
      <c r="A1687" t="str">
        <f>HYPERLINK("https://www.773grp.com/globalSearch/1PMT5941BT1/page-1", "1PMT5941BT1")</f>
        <v>1PMT5941BT1</v>
      </c>
      <c r="B1687" s="3" t="str">
        <f>HYPERLINK("https://www.773grp.com/manufacturer/onsemi?pageNo=338", "Onsemi")</f>
        <v>Onsemi</v>
      </c>
      <c r="C1687" s="6">
        <v>5895</v>
      </c>
      <c r="D1687" s="7">
        <v>0.38</v>
      </c>
      <c r="E1687" t="s">
        <v>77</v>
      </c>
    </row>
    <row r="1688" spans="1:5" x14ac:dyDescent="0.25">
      <c r="A1688" t="str">
        <f>HYPERLINK("https://www.773grp.com/globalSearch/1PMT7.0AT1/page-1", "1PMT7.0AT1")</f>
        <v>1PMT7.0AT1</v>
      </c>
      <c r="B1688" s="3" t="str">
        <f>HYPERLINK("https://www.773grp.com/manufacturer/onsemi?pageNo=339", "Onsemi")</f>
        <v>Onsemi</v>
      </c>
      <c r="C1688" s="6">
        <v>2240</v>
      </c>
      <c r="D1688" s="7">
        <v>0.38</v>
      </c>
      <c r="E1688" t="s">
        <v>75</v>
      </c>
    </row>
    <row r="1689" spans="1:5" x14ac:dyDescent="0.25">
      <c r="A1689" t="str">
        <f>HYPERLINK("https://www.773grp.com/globalSearch/1PMT7.0AT3G/page-1", "1PMT7.0AT3G")</f>
        <v>1PMT7.0AT3G</v>
      </c>
      <c r="B1689" s="3" t="str">
        <f>HYPERLINK("https://www.773grp.com/manufacturer/onsemi?pageNo=340", "Onsemi")</f>
        <v>Onsemi</v>
      </c>
      <c r="C1689" s="6">
        <v>24000</v>
      </c>
      <c r="D1689" s="7">
        <v>0.38</v>
      </c>
      <c r="E1689" t="s">
        <v>75</v>
      </c>
    </row>
    <row r="1690" spans="1:5" x14ac:dyDescent="0.25">
      <c r="A1690" t="str">
        <f>HYPERLINK("https://www.773grp.com/globalSearch/1SMF16BT3/page-1", "1SMF16BT3")</f>
        <v>1SMF16BT3</v>
      </c>
      <c r="B1690" s="3" t="str">
        <f>HYPERLINK("https://www.773grp.com/manufacturer/onsemi?pageNo=341", "Onsemi")</f>
        <v>Onsemi</v>
      </c>
      <c r="C1690" s="6">
        <v>570000</v>
      </c>
      <c r="D1690" s="7">
        <v>0.38</v>
      </c>
      <c r="E1690" t="s">
        <v>75</v>
      </c>
    </row>
    <row r="1691" spans="1:5" x14ac:dyDescent="0.25">
      <c r="A1691" t="str">
        <f>HYPERLINK("https://www.773grp.com/globalSearch/2N5061RLRA/page-1", "2N5061RLRA")</f>
        <v>2N5061RLRA</v>
      </c>
      <c r="B1691" s="3" t="str">
        <f>HYPERLINK("https://www.773grp.com/manufacturer/onsemi?pageNo=342", "Onsemi")</f>
        <v>Onsemi</v>
      </c>
      <c r="C1691" s="6">
        <v>2000</v>
      </c>
      <c r="D1691" s="7">
        <v>0.38</v>
      </c>
      <c r="E1691" t="s">
        <v>76</v>
      </c>
    </row>
    <row r="1692" spans="1:5" x14ac:dyDescent="0.25">
      <c r="A1692" t="str">
        <f>HYPERLINK("https://www.773grp.com/globalSearch/2N5064/page-1", "2N5064")</f>
        <v>2N5064</v>
      </c>
      <c r="B1692" s="3" t="str">
        <f>HYPERLINK("https://www.773grp.com/manufacturer/onsemi?pageNo=343", "Onsemi")</f>
        <v>Onsemi</v>
      </c>
      <c r="C1692" s="6">
        <v>387925</v>
      </c>
      <c r="D1692" s="7">
        <v>0.38</v>
      </c>
      <c r="E1692" t="s">
        <v>76</v>
      </c>
    </row>
    <row r="1693" spans="1:5" x14ac:dyDescent="0.25">
      <c r="A1693" t="str">
        <f>HYPERLINK("https://www.773grp.com/globalSearch/2N5210/page-1", "2N5210")</f>
        <v>2N5210</v>
      </c>
      <c r="B1693" s="3" t="str">
        <f>HYPERLINK("https://www.773grp.com/manufacturer/onsemi?pageNo=344", "Onsemi")</f>
        <v>Onsemi</v>
      </c>
      <c r="C1693" s="6">
        <v>30224</v>
      </c>
      <c r="D1693" s="7">
        <v>0.38</v>
      </c>
      <c r="E1693" t="s">
        <v>57</v>
      </c>
    </row>
    <row r="1694" spans="1:5" x14ac:dyDescent="0.25">
      <c r="A1694" t="str">
        <f>HYPERLINK("https://www.773grp.com/globalSearch/3LP01S-K-TL-E/page-1", "3LP01S-K-TL-E")</f>
        <v>3LP01S-K-TL-E</v>
      </c>
      <c r="B1694" s="3" t="str">
        <f>HYPERLINK("https://www.773grp.com/manufacturer/onsemi?pageNo=345", "Onsemi")</f>
        <v>Onsemi</v>
      </c>
      <c r="C1694" s="6">
        <v>138000</v>
      </c>
      <c r="D1694" s="7">
        <v>0.38</v>
      </c>
    </row>
    <row r="1695" spans="1:5" x14ac:dyDescent="0.25">
      <c r="A1695" t="str">
        <f>HYPERLINK("https://www.773grp.com/globalSearch/50C02CH-TL-E/page-1", "50C02CH-TL-E")</f>
        <v>50C02CH-TL-E</v>
      </c>
      <c r="B1695" s="3" t="str">
        <f>HYPERLINK("https://www.773grp.com/manufacturer/onsemi?pageNo=346", "Onsemi")</f>
        <v>Onsemi</v>
      </c>
      <c r="C1695" s="6">
        <v>3000</v>
      </c>
      <c r="D1695" s="7">
        <v>0.38</v>
      </c>
    </row>
    <row r="1696" spans="1:5" x14ac:dyDescent="0.25">
      <c r="A1696" t="str">
        <f>HYPERLINK("https://www.773grp.com/globalSearch/5HN01M-TL-H/page-1", "5HN01M-TL-H")</f>
        <v>5HN01M-TL-H</v>
      </c>
      <c r="B1696" s="3" t="str">
        <f>HYPERLINK("https://www.773grp.com/manufacturer/onsemi?pageNo=347", "Onsemi")</f>
        <v>Onsemi</v>
      </c>
      <c r="C1696" s="6">
        <v>72000</v>
      </c>
      <c r="D1696" s="7">
        <v>0.38</v>
      </c>
    </row>
    <row r="1697" spans="1:5" x14ac:dyDescent="0.25">
      <c r="A1697" t="str">
        <f>HYPERLINK("https://www.773grp.com/globalSearch/74HC125DR2G/page-1", "74HC125DR2G")</f>
        <v>74HC125DR2G</v>
      </c>
      <c r="B1697" s="3" t="str">
        <f>HYPERLINK("https://www.773grp.com/manufacturer/onsemi?pageNo=348", "Onsemi")</f>
        <v>Onsemi</v>
      </c>
      <c r="C1697" s="6">
        <v>79151</v>
      </c>
      <c r="D1697" s="7">
        <v>0.38</v>
      </c>
      <c r="E1697" t="s">
        <v>11</v>
      </c>
    </row>
    <row r="1698" spans="1:5" x14ac:dyDescent="0.25">
      <c r="A1698" t="str">
        <f>HYPERLINK("https://www.773grp.com/globalSearch/74HC125DTR2G/page-1", "74HC125DTR2G")</f>
        <v>74HC125DTR2G</v>
      </c>
      <c r="B1698" s="3" t="str">
        <f>HYPERLINK("https://www.773grp.com/manufacturer/onsemi?pageNo=349", "Onsemi")</f>
        <v>Onsemi</v>
      </c>
      <c r="C1698" s="6">
        <v>13955</v>
      </c>
      <c r="D1698" s="7">
        <v>0.38</v>
      </c>
      <c r="E1698" t="s">
        <v>11</v>
      </c>
    </row>
    <row r="1699" spans="1:5" x14ac:dyDescent="0.25">
      <c r="A1699" t="str">
        <f>HYPERLINK("https://www.773grp.com/globalSearch/74HC132DR2G/page-1", "74HC132DR2G")</f>
        <v>74HC132DR2G</v>
      </c>
      <c r="B1699" s="3" t="str">
        <f>HYPERLINK("https://www.773grp.com/manufacturer/onsemi?pageNo=350", "Onsemi")</f>
        <v>Onsemi</v>
      </c>
      <c r="C1699" s="6">
        <v>87045</v>
      </c>
      <c r="D1699" s="7">
        <v>0.38</v>
      </c>
      <c r="E1699" t="s">
        <v>27</v>
      </c>
    </row>
    <row r="1700" spans="1:5" x14ac:dyDescent="0.25">
      <c r="A1700" t="str">
        <f>HYPERLINK("https://www.773grp.com/globalSearch/74HC14DR2G/page-1", "74HC14DR2G")</f>
        <v>74HC14DR2G</v>
      </c>
      <c r="B1700" s="3" t="str">
        <f>HYPERLINK("https://www.773grp.com/manufacturer/onsemi?pageNo=351", "Onsemi")</f>
        <v>Onsemi</v>
      </c>
      <c r="C1700" s="6">
        <v>301890</v>
      </c>
      <c r="D1700" s="7">
        <v>0.38</v>
      </c>
      <c r="E1700" t="s">
        <v>27</v>
      </c>
    </row>
    <row r="1701" spans="1:5" x14ac:dyDescent="0.25">
      <c r="A1701" t="str">
        <f>HYPERLINK("https://www.773grp.com/globalSearch/74HC14DTR2G/page-1", "74HC14DTR2G")</f>
        <v>74HC14DTR2G</v>
      </c>
      <c r="B1701" s="3" t="str">
        <f>HYPERLINK("https://www.773grp.com/manufacturer/onsemi?pageNo=352", "Onsemi")</f>
        <v>Onsemi</v>
      </c>
      <c r="C1701" s="6">
        <v>910045</v>
      </c>
      <c r="D1701" s="7">
        <v>0.38</v>
      </c>
      <c r="E1701" t="s">
        <v>27</v>
      </c>
    </row>
    <row r="1702" spans="1:5" x14ac:dyDescent="0.25">
      <c r="A1702" t="str">
        <f>HYPERLINK("https://www.773grp.com/globalSearch/74HC32DTR2G/page-1", "74HC32DTR2G")</f>
        <v>74HC32DTR2G</v>
      </c>
      <c r="B1702" s="3" t="str">
        <f>HYPERLINK("https://www.773grp.com/manufacturer/onsemi?pageNo=353", "Onsemi")</f>
        <v>Onsemi</v>
      </c>
      <c r="C1702" s="6">
        <v>122500</v>
      </c>
      <c r="D1702" s="7">
        <v>0.38</v>
      </c>
      <c r="E1702" t="s">
        <v>27</v>
      </c>
    </row>
    <row r="1703" spans="1:5" x14ac:dyDescent="0.25">
      <c r="A1703" t="str">
        <f>HYPERLINK("https://www.773grp.com/globalSearch/74HC74DR2G/page-1", "74HC74DR2G")</f>
        <v>74HC74DR2G</v>
      </c>
      <c r="B1703" s="3" t="str">
        <f>HYPERLINK("https://www.773grp.com/manufacturer/onsemi?pageNo=354", "Onsemi")</f>
        <v>Onsemi</v>
      </c>
      <c r="C1703" s="6">
        <v>38910</v>
      </c>
      <c r="D1703" s="7">
        <v>0.38</v>
      </c>
      <c r="E1703" t="s">
        <v>31</v>
      </c>
    </row>
    <row r="1704" spans="1:5" x14ac:dyDescent="0.25">
      <c r="A1704" t="str">
        <f>HYPERLINK("https://www.773grp.com/globalSearch/74HC74DTR2G/page-1", "74HC74DTR2G")</f>
        <v>74HC74DTR2G</v>
      </c>
      <c r="B1704" s="3" t="str">
        <f>HYPERLINK("https://www.773grp.com/manufacturer/onsemi?pageNo=355", "Onsemi")</f>
        <v>Onsemi</v>
      </c>
      <c r="C1704" s="6">
        <v>313909</v>
      </c>
      <c r="D1704" s="7">
        <v>0.38</v>
      </c>
      <c r="E1704" t="s">
        <v>31</v>
      </c>
    </row>
    <row r="1705" spans="1:5" x14ac:dyDescent="0.25">
      <c r="A1705" t="str">
        <f>HYPERLINK("https://www.773grp.com/globalSearch/74HC86DR2G/page-1", "74HC86DR2G")</f>
        <v>74HC86DR2G</v>
      </c>
      <c r="B1705" s="3" t="str">
        <f>HYPERLINK("https://www.773grp.com/manufacturer/onsemi?pageNo=356", "Onsemi")</f>
        <v>Onsemi</v>
      </c>
      <c r="C1705" s="6">
        <v>164588</v>
      </c>
      <c r="D1705" s="7">
        <v>0.38</v>
      </c>
      <c r="E1705" t="s">
        <v>27</v>
      </c>
    </row>
    <row r="1706" spans="1:5" x14ac:dyDescent="0.25">
      <c r="A1706" t="str">
        <f>HYPERLINK("https://www.773grp.com/globalSearch/74HC86DTR2G/page-1", "74HC86DTR2G")</f>
        <v>74HC86DTR2G</v>
      </c>
      <c r="B1706" s="3" t="str">
        <f>HYPERLINK("https://www.773grp.com/manufacturer/onsemi?pageNo=357", "Onsemi")</f>
        <v>Onsemi</v>
      </c>
      <c r="C1706" s="6">
        <v>5000</v>
      </c>
      <c r="D1706" s="7">
        <v>0.38</v>
      </c>
      <c r="E1706" t="s">
        <v>27</v>
      </c>
    </row>
    <row r="1707" spans="1:5" x14ac:dyDescent="0.25">
      <c r="A1707" t="str">
        <f>HYPERLINK("https://www.773grp.com/globalSearch/74HCT04DR2G/page-1", "74HCT04DR2G")</f>
        <v>74HCT04DR2G</v>
      </c>
      <c r="B1707" s="3" t="str">
        <f>HYPERLINK("https://www.773grp.com/manufacturer/onsemi?pageNo=358", "Onsemi")</f>
        <v>Onsemi</v>
      </c>
      <c r="C1707" s="6">
        <v>80980</v>
      </c>
      <c r="D1707" s="7">
        <v>0.38</v>
      </c>
      <c r="E1707" t="s">
        <v>27</v>
      </c>
    </row>
    <row r="1708" spans="1:5" x14ac:dyDescent="0.25">
      <c r="A1708" t="str">
        <f>HYPERLINK("https://www.773grp.com/globalSearch/74HCT04DTR2G/page-1", "74HCT04DTR2G")</f>
        <v>74HCT04DTR2G</v>
      </c>
      <c r="B1708" s="3" t="str">
        <f>HYPERLINK("https://www.773grp.com/manufacturer/onsemi?pageNo=359", "Onsemi")</f>
        <v>Onsemi</v>
      </c>
      <c r="C1708" s="6">
        <v>137421</v>
      </c>
      <c r="D1708" s="7">
        <v>0.38</v>
      </c>
      <c r="E1708" t="s">
        <v>27</v>
      </c>
    </row>
    <row r="1709" spans="1:5" x14ac:dyDescent="0.25">
      <c r="A1709" t="str">
        <f>HYPERLINK("https://www.773grp.com/globalSearch/74HCT08DR2G/page-1", "74HCT08DR2G")</f>
        <v>74HCT08DR2G</v>
      </c>
      <c r="B1709" s="3" t="str">
        <f>HYPERLINK("https://www.773grp.com/manufacturer/onsemi?pageNo=360", "Onsemi")</f>
        <v>Onsemi</v>
      </c>
      <c r="C1709" s="6">
        <v>109032</v>
      </c>
      <c r="D1709" s="7">
        <v>0.38</v>
      </c>
      <c r="E1709" t="s">
        <v>27</v>
      </c>
    </row>
    <row r="1710" spans="1:5" x14ac:dyDescent="0.25">
      <c r="A1710" t="str">
        <f>HYPERLINK("https://www.773grp.com/globalSearch/74HCT08DR2GH/page-1", "74HCT08DR2GH")</f>
        <v>74HCT08DR2GH</v>
      </c>
      <c r="B1710" s="3" t="str">
        <f>HYPERLINK("https://www.773grp.com/manufacturer/onsemi?pageNo=361", "Onsemi")</f>
        <v>Onsemi</v>
      </c>
      <c r="C1710" s="6">
        <v>17500</v>
      </c>
      <c r="D1710" s="7">
        <v>0.38</v>
      </c>
      <c r="E1710" t="s">
        <v>27</v>
      </c>
    </row>
    <row r="1711" spans="1:5" x14ac:dyDescent="0.25">
      <c r="A1711" t="str">
        <f>HYPERLINK("https://www.773grp.com/globalSearch/74HCT08DTR2G/page-1", "74HCT08DTR2G")</f>
        <v>74HCT08DTR2G</v>
      </c>
      <c r="B1711" s="3" t="str">
        <f>HYPERLINK("https://www.773grp.com/manufacturer/onsemi?pageNo=362", "Onsemi")</f>
        <v>Onsemi</v>
      </c>
      <c r="C1711" s="6">
        <v>82601</v>
      </c>
      <c r="D1711" s="7">
        <v>0.38</v>
      </c>
      <c r="E1711" t="s">
        <v>27</v>
      </c>
    </row>
    <row r="1712" spans="1:5" x14ac:dyDescent="0.25">
      <c r="A1712" t="str">
        <f>HYPERLINK("https://www.773grp.com/globalSearch/74HCT14DR2G/page-1", "74HCT14DR2G")</f>
        <v>74HCT14DR2G</v>
      </c>
      <c r="B1712" s="3" t="str">
        <f>HYPERLINK("https://www.773grp.com/manufacturer/onsemi?pageNo=363", "Onsemi")</f>
        <v>Onsemi</v>
      </c>
      <c r="C1712" s="6">
        <v>98309</v>
      </c>
      <c r="D1712" s="7">
        <v>0.38</v>
      </c>
      <c r="E1712" t="s">
        <v>27</v>
      </c>
    </row>
    <row r="1713" spans="1:5" x14ac:dyDescent="0.25">
      <c r="A1713" t="str">
        <f>HYPERLINK("https://www.773grp.com/globalSearch/74HCT14DTR2G/page-1", "74HCT14DTR2G")</f>
        <v>74HCT14DTR2G</v>
      </c>
      <c r="B1713" s="3" t="str">
        <f>HYPERLINK("https://www.773grp.com/manufacturer/onsemi?pageNo=364", "Onsemi")</f>
        <v>Onsemi</v>
      </c>
      <c r="C1713" s="6">
        <v>69420</v>
      </c>
      <c r="D1713" s="7">
        <v>0.38</v>
      </c>
      <c r="E1713" t="s">
        <v>27</v>
      </c>
    </row>
    <row r="1714" spans="1:5" x14ac:dyDescent="0.25">
      <c r="A1714" t="str">
        <f>HYPERLINK("https://www.773grp.com/globalSearch/74HCT32DR2G/page-1", "74HCT32DR2G")</f>
        <v>74HCT32DR2G</v>
      </c>
      <c r="B1714" s="3" t="str">
        <f>HYPERLINK("https://www.773grp.com/manufacturer/onsemi?pageNo=365", "Onsemi")</f>
        <v>Onsemi</v>
      </c>
      <c r="C1714" s="6">
        <v>85845</v>
      </c>
      <c r="D1714" s="7">
        <v>0.38</v>
      </c>
      <c r="E1714" t="s">
        <v>27</v>
      </c>
    </row>
    <row r="1715" spans="1:5" x14ac:dyDescent="0.25">
      <c r="A1715" t="str">
        <f>HYPERLINK("https://www.773grp.com/globalSearch/74HCT32DTR2G/page-1", "74HCT32DTR2G")</f>
        <v>74HCT32DTR2G</v>
      </c>
      <c r="B1715" s="3" t="str">
        <f>HYPERLINK("https://www.773grp.com/manufacturer/onsemi?pageNo=366", "Onsemi")</f>
        <v>Onsemi</v>
      </c>
      <c r="C1715" s="6">
        <v>81300</v>
      </c>
      <c r="D1715" s="7">
        <v>0.38</v>
      </c>
      <c r="E1715" t="s">
        <v>27</v>
      </c>
    </row>
    <row r="1716" spans="1:5" x14ac:dyDescent="0.25">
      <c r="A1716" t="str">
        <f>HYPERLINK("https://www.773grp.com/globalSearch/74HCU04DR2G/page-1", "74HCU04DR2G")</f>
        <v>74HCU04DR2G</v>
      </c>
      <c r="B1716" s="3" t="str">
        <f>HYPERLINK("https://www.773grp.com/manufacturer/onsemi?pageNo=367", "Onsemi")</f>
        <v>Onsemi</v>
      </c>
      <c r="C1716" s="6">
        <v>693609</v>
      </c>
      <c r="D1716" s="7">
        <v>0.38</v>
      </c>
      <c r="E1716" t="s">
        <v>27</v>
      </c>
    </row>
    <row r="1717" spans="1:5" x14ac:dyDescent="0.25">
      <c r="A1717" t="str">
        <f>HYPERLINK("https://www.773grp.com/globalSearch/74HCU04DTR2G/page-1", "74HCU04DTR2G")</f>
        <v>74HCU04DTR2G</v>
      </c>
      <c r="B1717" s="3" t="str">
        <f>HYPERLINK("https://www.773grp.com/manufacturer/onsemi?pageNo=368", "Onsemi")</f>
        <v>Onsemi</v>
      </c>
      <c r="C1717" s="6">
        <v>177868</v>
      </c>
      <c r="D1717" s="7">
        <v>0.38</v>
      </c>
      <c r="E1717" t="s">
        <v>27</v>
      </c>
    </row>
    <row r="1718" spans="1:5" x14ac:dyDescent="0.25">
      <c r="A1718" t="str">
        <f>HYPERLINK("https://www.773grp.com/globalSearch/74VHCT157AD/page-1", "74VHCT157AD")</f>
        <v>74VHCT157AD</v>
      </c>
      <c r="B1718" s="3" t="str">
        <f>HYPERLINK("https://www.773grp.com/manufacturer/onsemi?pageNo=369", "Onsemi")</f>
        <v>Onsemi</v>
      </c>
      <c r="C1718" s="6">
        <v>32</v>
      </c>
      <c r="D1718" s="7">
        <v>0.38</v>
      </c>
    </row>
    <row r="1719" spans="1:5" x14ac:dyDescent="0.25">
      <c r="A1719" t="str">
        <f>HYPERLINK("https://www.773grp.com/globalSearch/7SB3126DFT2G/page-1", "7SB3126DFT2G")</f>
        <v>7SB3126DFT2G</v>
      </c>
      <c r="B1719" s="3" t="str">
        <f>HYPERLINK("https://www.773grp.com/manufacturer/onsemi?pageNo=370", "Onsemi")</f>
        <v>Onsemi</v>
      </c>
      <c r="C1719" s="6">
        <v>65581</v>
      </c>
      <c r="D1719" s="7">
        <v>0.38</v>
      </c>
      <c r="E1719" t="s">
        <v>11</v>
      </c>
    </row>
    <row r="1720" spans="1:5" x14ac:dyDescent="0.25">
      <c r="A1720" t="str">
        <f>HYPERLINK("https://www.773grp.com/globalSearch/7SB3257DTT1G/page-1", "7SB3257DTT1G")</f>
        <v>7SB3257DTT1G</v>
      </c>
      <c r="B1720" s="3" t="str">
        <f>HYPERLINK("https://www.773grp.com/manufacturer/onsemi?pageNo=371", "Onsemi")</f>
        <v>Onsemi</v>
      </c>
      <c r="C1720" s="6">
        <v>12000</v>
      </c>
      <c r="D1720" s="7">
        <v>0.38</v>
      </c>
    </row>
    <row r="1721" spans="1:5" x14ac:dyDescent="0.25">
      <c r="A1721" t="str">
        <f>HYPERLINK("https://www.773grp.com/globalSearch/7SB385DTT1G/page-1", "7SB385DTT1G")</f>
        <v>7SB385DTT1G</v>
      </c>
      <c r="B1721" s="3" t="str">
        <f>HYPERLINK("https://www.773grp.com/manufacturer/onsemi?pageNo=372", "Onsemi")</f>
        <v>Onsemi</v>
      </c>
      <c r="C1721" s="6">
        <v>57000</v>
      </c>
      <c r="D1721" s="7">
        <v>0.38</v>
      </c>
    </row>
    <row r="1722" spans="1:5" x14ac:dyDescent="0.25">
      <c r="A1722" t="str">
        <f>HYPERLINK("https://www.773grp.com/globalSearch/BAS70LT1/page-1", "BAS70LT1")</f>
        <v>BAS70LT1</v>
      </c>
      <c r="B1722" s="3" t="str">
        <f>HYPERLINK("https://www.773grp.com/manufacturer/onsemi?pageNo=373", "Onsemi")</f>
        <v>Onsemi</v>
      </c>
      <c r="C1722" s="6">
        <v>614442</v>
      </c>
      <c r="D1722" s="7">
        <v>0.38</v>
      </c>
      <c r="E1722" t="s">
        <v>73</v>
      </c>
    </row>
    <row r="1723" spans="1:5" x14ac:dyDescent="0.25">
      <c r="A1723" t="str">
        <f>HYPERLINK("https://www.773grp.com/globalSearch/BAT54T1/page-1", "BAT54T1")</f>
        <v>BAT54T1</v>
      </c>
      <c r="B1723" s="3" t="str">
        <f>HYPERLINK("https://www.773grp.com/manufacturer/onsemi?pageNo=374", "Onsemi")</f>
        <v>Onsemi</v>
      </c>
      <c r="C1723" s="6">
        <v>112750</v>
      </c>
      <c r="D1723" s="7">
        <v>0.38</v>
      </c>
      <c r="E1723" t="s">
        <v>73</v>
      </c>
    </row>
    <row r="1724" spans="1:5" x14ac:dyDescent="0.25">
      <c r="A1724" t="str">
        <f>HYPERLINK("https://www.773grp.com/globalSearch/BAV70TT1/page-1", "BAV70TT1")</f>
        <v>BAV70TT1</v>
      </c>
      <c r="B1724" s="3" t="str">
        <f>HYPERLINK("https://www.773grp.com/manufacturer/onsemi?pageNo=375", "Onsemi")</f>
        <v>Onsemi</v>
      </c>
      <c r="C1724" s="6">
        <v>87000</v>
      </c>
      <c r="D1724" s="7">
        <v>0.38</v>
      </c>
      <c r="E1724" t="s">
        <v>73</v>
      </c>
    </row>
    <row r="1725" spans="1:5" x14ac:dyDescent="0.25">
      <c r="A1725" t="str">
        <f>HYPERLINK("https://www.773grp.com/globalSearch/BC237G/page-1", "BC237G")</f>
        <v>BC237G</v>
      </c>
      <c r="B1725" s="3" t="str">
        <f>HYPERLINK("https://www.773grp.com/manufacturer/onsemi?pageNo=376", "Onsemi")</f>
        <v>Onsemi</v>
      </c>
      <c r="C1725" s="6">
        <v>105000</v>
      </c>
      <c r="D1725" s="7">
        <v>0.38</v>
      </c>
      <c r="E1725" t="s">
        <v>57</v>
      </c>
    </row>
    <row r="1726" spans="1:5" x14ac:dyDescent="0.25">
      <c r="A1726" t="str">
        <f>HYPERLINK("https://www.773grp.com/globalSearch/BC307BRL1G/page-1", "BC307BRL1G")</f>
        <v>BC307BRL1G</v>
      </c>
      <c r="B1726" s="3" t="str">
        <f>HYPERLINK("https://www.773grp.com/manufacturer/onsemi?pageNo=377", "Onsemi")</f>
        <v>Onsemi</v>
      </c>
      <c r="C1726" s="6">
        <v>52000</v>
      </c>
      <c r="D1726" s="7">
        <v>0.38</v>
      </c>
      <c r="E1726" t="s">
        <v>57</v>
      </c>
    </row>
    <row r="1727" spans="1:5" x14ac:dyDescent="0.25">
      <c r="A1727" t="str">
        <f>HYPERLINK("https://www.773grp.com/globalSearch/BC517ZL1G/page-1", "BC517ZL1G")</f>
        <v>BC517ZL1G</v>
      </c>
      <c r="B1727" s="3" t="str">
        <f>HYPERLINK("https://www.773grp.com/manufacturer/onsemi?pageNo=378", "Onsemi")</f>
        <v>Onsemi</v>
      </c>
      <c r="C1727" s="6">
        <v>14000</v>
      </c>
      <c r="D1727" s="7">
        <v>0.38</v>
      </c>
      <c r="E1727" t="s">
        <v>57</v>
      </c>
    </row>
    <row r="1728" spans="1:5" x14ac:dyDescent="0.25">
      <c r="A1728" t="str">
        <f>HYPERLINK("https://www.773grp.com/globalSearch/BC546BG/page-1", "BC546BG")</f>
        <v>BC546BG</v>
      </c>
      <c r="B1728" s="3" t="str">
        <f>HYPERLINK("https://www.773grp.com/manufacturer/onsemi?pageNo=379", "Onsemi")</f>
        <v>Onsemi</v>
      </c>
      <c r="C1728" s="6">
        <v>63002</v>
      </c>
      <c r="D1728" s="7">
        <v>0.38</v>
      </c>
      <c r="E1728" t="s">
        <v>57</v>
      </c>
    </row>
    <row r="1729" spans="1:5" x14ac:dyDescent="0.25">
      <c r="A1729" t="str">
        <f>HYPERLINK("https://www.773grp.com/globalSearch/BC547BG/page-1", "BC547BG")</f>
        <v>BC547BG</v>
      </c>
      <c r="B1729" s="3" t="str">
        <f>HYPERLINK("https://www.773grp.com/manufacturer/onsemi?pageNo=380", "Onsemi")</f>
        <v>Onsemi</v>
      </c>
      <c r="C1729" s="6">
        <v>35058</v>
      </c>
      <c r="D1729" s="7">
        <v>0.38</v>
      </c>
      <c r="E1729" t="s">
        <v>57</v>
      </c>
    </row>
    <row r="1730" spans="1:5" x14ac:dyDescent="0.25">
      <c r="A1730" t="str">
        <f>HYPERLINK("https://www.773grp.com/globalSearch/BC547CG/page-1", "BC547CG")</f>
        <v>BC547CG</v>
      </c>
      <c r="B1730" s="3" t="str">
        <f>HYPERLINK("https://www.773grp.com/manufacturer/onsemi?pageNo=381", "Onsemi")</f>
        <v>Onsemi</v>
      </c>
      <c r="C1730" s="6">
        <v>321926</v>
      </c>
      <c r="D1730" s="7">
        <v>0.38</v>
      </c>
      <c r="E1730" t="s">
        <v>57</v>
      </c>
    </row>
    <row r="1731" spans="1:5" x14ac:dyDescent="0.25">
      <c r="A1731" t="str">
        <f>HYPERLINK("https://www.773grp.com/globalSearch/BC547CZL1G/page-1", "BC547CZL1G")</f>
        <v>BC547CZL1G</v>
      </c>
      <c r="B1731" s="3" t="str">
        <f>HYPERLINK("https://www.773grp.com/manufacturer/onsemi?pageNo=382", "Onsemi")</f>
        <v>Onsemi</v>
      </c>
      <c r="C1731" s="6">
        <v>16000</v>
      </c>
      <c r="D1731" s="7">
        <v>0.38</v>
      </c>
      <c r="E1731" t="s">
        <v>57</v>
      </c>
    </row>
    <row r="1732" spans="1:5" x14ac:dyDescent="0.25">
      <c r="A1732" t="str">
        <f>HYPERLINK("https://www.773grp.com/globalSearch/BC549CG/page-1", "BC549CG")</f>
        <v>BC549CG</v>
      </c>
      <c r="B1732" s="3" t="str">
        <f>HYPERLINK("https://www.773grp.com/manufacturer/onsemi?pageNo=383", "Onsemi")</f>
        <v>Onsemi</v>
      </c>
      <c r="C1732" s="6">
        <v>165000</v>
      </c>
      <c r="D1732" s="7">
        <v>0.38</v>
      </c>
      <c r="E1732" t="s">
        <v>57</v>
      </c>
    </row>
    <row r="1733" spans="1:5" x14ac:dyDescent="0.25">
      <c r="A1733" t="str">
        <f>HYPERLINK("https://www.773grp.com/globalSearch/BC557CG/page-1", "BC557CG")</f>
        <v>BC557CG</v>
      </c>
      <c r="B1733" s="3" t="str">
        <f>HYPERLINK("https://www.773grp.com/manufacturer/onsemi?pageNo=384", "Onsemi")</f>
        <v>Onsemi</v>
      </c>
      <c r="C1733" s="6">
        <v>155639</v>
      </c>
      <c r="D1733" s="7">
        <v>0.38</v>
      </c>
      <c r="E1733" t="s">
        <v>57</v>
      </c>
    </row>
    <row r="1734" spans="1:5" x14ac:dyDescent="0.25">
      <c r="A1734" t="str">
        <f>HYPERLINK("https://www.773grp.com/globalSearch/BC557CZL1G/page-1", "BC557CZL1G")</f>
        <v>BC557CZL1G</v>
      </c>
      <c r="B1734" s="3" t="str">
        <f>HYPERLINK("https://www.773grp.com/manufacturer/onsemi?pageNo=385", "Onsemi")</f>
        <v>Onsemi</v>
      </c>
      <c r="C1734" s="6">
        <v>74000</v>
      </c>
      <c r="D1734" s="7">
        <v>0.38</v>
      </c>
      <c r="E1734" t="s">
        <v>57</v>
      </c>
    </row>
    <row r="1735" spans="1:5" x14ac:dyDescent="0.25">
      <c r="A1735" t="str">
        <f>HYPERLINK("https://www.773grp.com/globalSearch/BC558BRLG/page-1", "BC558BRLG")</f>
        <v>BC558BRLG</v>
      </c>
      <c r="B1735" s="3" t="str">
        <f>HYPERLINK("https://www.773grp.com/manufacturer/onsemi?pageNo=386", "Onsemi")</f>
        <v>Onsemi</v>
      </c>
      <c r="C1735" s="6">
        <v>64000</v>
      </c>
      <c r="D1735" s="7">
        <v>0.38</v>
      </c>
      <c r="E1735" t="s">
        <v>57</v>
      </c>
    </row>
    <row r="1736" spans="1:5" x14ac:dyDescent="0.25">
      <c r="A1736" t="str">
        <f>HYPERLINK("https://www.773grp.com/globalSearch/BC560CG/page-1", "BC560CG")</f>
        <v>BC560CG</v>
      </c>
      <c r="B1736" s="3" t="str">
        <f>HYPERLINK("https://www.773grp.com/manufacturer/onsemi?pageNo=387", "Onsemi")</f>
        <v>Onsemi</v>
      </c>
      <c r="C1736" s="6">
        <v>85952</v>
      </c>
      <c r="D1736" s="7">
        <v>0.38</v>
      </c>
      <c r="E1736" t="s">
        <v>57</v>
      </c>
    </row>
    <row r="1737" spans="1:5" x14ac:dyDescent="0.25">
      <c r="A1737" t="str">
        <f>HYPERLINK("https://www.773grp.com/globalSearch/BCP69T1G/page-1", "BCP69T1G")</f>
        <v>BCP69T1G</v>
      </c>
      <c r="B1737" s="3" t="str">
        <f>HYPERLINK("https://www.773grp.com/manufacturer/onsemi?pageNo=388", "Onsemi")</f>
        <v>Onsemi</v>
      </c>
      <c r="C1737" s="6">
        <v>73990</v>
      </c>
      <c r="D1737" s="7">
        <v>0.38</v>
      </c>
      <c r="E1737" t="s">
        <v>47</v>
      </c>
    </row>
    <row r="1738" spans="1:5" x14ac:dyDescent="0.25">
      <c r="A1738" t="str">
        <f>HYPERLINK("https://www.773grp.com/globalSearch/BD135/page-1", "BD135")</f>
        <v>BD135</v>
      </c>
      <c r="B1738" s="3" t="str">
        <f>HYPERLINK("https://www.773grp.com/manufacturer/onsemi?pageNo=389", "Onsemi")</f>
        <v>Onsemi</v>
      </c>
      <c r="C1738" s="6">
        <v>467</v>
      </c>
      <c r="D1738" s="7">
        <v>0.38</v>
      </c>
      <c r="E1738" t="s">
        <v>47</v>
      </c>
    </row>
    <row r="1739" spans="1:5" x14ac:dyDescent="0.25">
      <c r="A1739" t="str">
        <f>HYPERLINK("https://www.773grp.com/globalSearch/BD136/page-1", "BD136")</f>
        <v>BD136</v>
      </c>
      <c r="B1739" s="3" t="str">
        <f>HYPERLINK("https://www.773grp.com/manufacturer/onsemi?pageNo=390", "Onsemi")</f>
        <v>Onsemi</v>
      </c>
      <c r="C1739" s="6">
        <v>176944</v>
      </c>
      <c r="D1739" s="7">
        <v>0.38</v>
      </c>
      <c r="E1739" t="s">
        <v>47</v>
      </c>
    </row>
    <row r="1740" spans="1:5" x14ac:dyDescent="0.25">
      <c r="A1740" t="str">
        <f>HYPERLINK("https://www.773grp.com/globalSearch/BD137/page-1", "BD137")</f>
        <v>BD137</v>
      </c>
      <c r="B1740" s="3" t="str">
        <f>HYPERLINK("https://www.773grp.com/manufacturer/onsemi?pageNo=391", "Onsemi")</f>
        <v>Onsemi</v>
      </c>
      <c r="C1740" s="6">
        <v>750</v>
      </c>
      <c r="D1740" s="7">
        <v>0.38</v>
      </c>
      <c r="E1740" t="s">
        <v>47</v>
      </c>
    </row>
    <row r="1741" spans="1:5" x14ac:dyDescent="0.25">
      <c r="A1741" t="str">
        <f>HYPERLINK("https://www.773grp.com/globalSearch/BD138/page-1", "BD138")</f>
        <v>BD138</v>
      </c>
      <c r="B1741" s="3" t="str">
        <f>HYPERLINK("https://www.773grp.com/manufacturer/onsemi?pageNo=392", "Onsemi")</f>
        <v>Onsemi</v>
      </c>
      <c r="C1741" s="6">
        <v>19000</v>
      </c>
      <c r="D1741" s="7">
        <v>0.38</v>
      </c>
      <c r="E1741" t="s">
        <v>47</v>
      </c>
    </row>
    <row r="1742" spans="1:5" x14ac:dyDescent="0.25">
      <c r="A1742" t="str">
        <f>HYPERLINK("https://www.773grp.com/globalSearch/BD140/page-1", "BD140")</f>
        <v>BD140</v>
      </c>
      <c r="B1742" s="3" t="str">
        <f>HYPERLINK("https://www.773grp.com/manufacturer/onsemi?pageNo=393", "Onsemi")</f>
        <v>Onsemi</v>
      </c>
      <c r="C1742" s="6">
        <v>30195</v>
      </c>
      <c r="D1742" s="7">
        <v>0.38</v>
      </c>
      <c r="E1742" t="s">
        <v>47</v>
      </c>
    </row>
    <row r="1743" spans="1:5" x14ac:dyDescent="0.25">
      <c r="A1743" t="str">
        <f>HYPERLINK("https://www.773grp.com/globalSearch/DCC010-TB-E/page-1", "DCC010-TB-E")</f>
        <v>DCC010-TB-E</v>
      </c>
      <c r="B1743" s="3" t="str">
        <f>HYPERLINK("https://www.773grp.com/manufacturer/onsemi?pageNo=394", "Onsemi")</f>
        <v>Onsemi</v>
      </c>
      <c r="C1743" s="6">
        <v>3000</v>
      </c>
      <c r="D1743" s="7">
        <v>0.38</v>
      </c>
    </row>
    <row r="1744" spans="1:5" x14ac:dyDescent="0.25">
      <c r="A1744" t="str">
        <f>HYPERLINK("https://www.773grp.com/globalSearch/DS135AE/page-1", "DS135AE")</f>
        <v>DS135AE</v>
      </c>
      <c r="B1744" s="3" t="str">
        <f>HYPERLINK("https://www.773grp.com/manufacturer/onsemi?pageNo=395", "Onsemi")</f>
        <v>Onsemi</v>
      </c>
      <c r="C1744" s="6">
        <v>60000</v>
      </c>
      <c r="D1744" s="7">
        <v>0.38</v>
      </c>
    </row>
    <row r="1745" spans="1:5" x14ac:dyDescent="0.25">
      <c r="A1745" t="str">
        <f>HYPERLINK("https://www.773grp.com/globalSearch/EMF18XV6T5G/page-1", "EMF18XV6T5G")</f>
        <v>EMF18XV6T5G</v>
      </c>
      <c r="B1745" s="3" t="str">
        <f>HYPERLINK("https://www.773grp.com/manufacturer/onsemi?pageNo=396", "Onsemi")</f>
        <v>Onsemi</v>
      </c>
      <c r="C1745" s="6">
        <v>264000</v>
      </c>
      <c r="D1745" s="7">
        <v>0.38</v>
      </c>
      <c r="E1745" t="s">
        <v>57</v>
      </c>
    </row>
    <row r="1746" spans="1:5" x14ac:dyDescent="0.25">
      <c r="A1746" t="str">
        <f>HYPERLINK("https://www.773grp.com/globalSearch/ESD7C3.3DT5G/page-1", "ESD7C3.3DT5G")</f>
        <v>ESD7C3.3DT5G</v>
      </c>
      <c r="B1746" s="3" t="str">
        <f>HYPERLINK("https://www.773grp.com/manufacturer/onsemi?pageNo=397", "Onsemi")</f>
        <v>Onsemi</v>
      </c>
      <c r="C1746" s="6">
        <v>392000</v>
      </c>
      <c r="D1746" s="7">
        <v>0.38</v>
      </c>
      <c r="E1746" t="s">
        <v>75</v>
      </c>
    </row>
    <row r="1747" spans="1:5" x14ac:dyDescent="0.25">
      <c r="A1747" t="str">
        <f>HYPERLINK("https://www.773grp.com/globalSearch/ESD7C5.0DT5G/page-1", "ESD7C5.0DT5G")</f>
        <v>ESD7C5.0DT5G</v>
      </c>
      <c r="B1747" s="3" t="str">
        <f>HYPERLINK("https://www.773grp.com/manufacturer/onsemi?pageNo=398", "Onsemi")</f>
        <v>Onsemi</v>
      </c>
      <c r="C1747" s="6">
        <v>839600</v>
      </c>
      <c r="D1747" s="7">
        <v>0.38</v>
      </c>
      <c r="E1747" t="s">
        <v>75</v>
      </c>
    </row>
    <row r="1748" spans="1:5" x14ac:dyDescent="0.25">
      <c r="A1748" t="str">
        <f>HYPERLINK("https://www.773grp.com/globalSearch/FLM2904DG/page-1", "FLM2904DG")</f>
        <v>FLM2904DG</v>
      </c>
      <c r="B1748" s="3" t="str">
        <f>HYPERLINK("https://www.773grp.com/manufacturer/onsemi?pageNo=399", "Onsemi")</f>
        <v>Onsemi</v>
      </c>
      <c r="C1748" s="6">
        <v>10780</v>
      </c>
      <c r="D1748" s="7">
        <v>0.38</v>
      </c>
    </row>
    <row r="1749" spans="1:5" x14ac:dyDescent="0.25">
      <c r="A1749" t="str">
        <f>HYPERLINK("https://www.773grp.com/globalSearch/J113RL1/page-1", "J113RL1")</f>
        <v>J113RL1</v>
      </c>
      <c r="B1749" s="3" t="str">
        <f>HYPERLINK("https://www.773grp.com/manufacturer/onsemi?pageNo=400", "Onsemi")</f>
        <v>Onsemi</v>
      </c>
      <c r="C1749" s="6">
        <v>4000</v>
      </c>
      <c r="D1749" s="7">
        <v>0.38</v>
      </c>
      <c r="E1749" t="s">
        <v>85</v>
      </c>
    </row>
    <row r="1750" spans="1:5" x14ac:dyDescent="0.25">
      <c r="A1750" t="str">
        <f>HYPERLINK("https://www.773grp.com/globalSearch/LM224N/page-1", "LM224N")</f>
        <v>LM224N</v>
      </c>
      <c r="B1750" s="3" t="str">
        <f>HYPERLINK("https://www.773grp.com/manufacturer/onsemi?pageNo=401", "Onsemi")</f>
        <v>Onsemi</v>
      </c>
      <c r="C1750" s="6">
        <v>6550</v>
      </c>
      <c r="D1750" s="7">
        <v>0.38</v>
      </c>
      <c r="E1750" t="s">
        <v>10</v>
      </c>
    </row>
    <row r="1751" spans="1:5" x14ac:dyDescent="0.25">
      <c r="A1751" t="str">
        <f>HYPERLINK("https://www.773grp.com/globalSearch/LM239D/page-1", "LM239D")</f>
        <v>LM239D</v>
      </c>
      <c r="B1751" s="3" t="str">
        <f>HYPERLINK("https://www.773grp.com/manufacturer/onsemi?pageNo=402", "Onsemi")</f>
        <v>Onsemi</v>
      </c>
      <c r="C1751" s="6">
        <v>741</v>
      </c>
      <c r="D1751" s="7">
        <v>0.38</v>
      </c>
      <c r="E1751" t="s">
        <v>6</v>
      </c>
    </row>
    <row r="1752" spans="1:5" x14ac:dyDescent="0.25">
      <c r="A1752" t="str">
        <f>HYPERLINK("https://www.773grp.com/globalSearch/LM239N/page-1", "LM239N")</f>
        <v>LM239N</v>
      </c>
      <c r="B1752" s="3" t="str">
        <f>HYPERLINK("https://www.773grp.com/manufacturer/onsemi?pageNo=403", "Onsemi")</f>
        <v>Onsemi</v>
      </c>
      <c r="C1752" s="6">
        <v>16475</v>
      </c>
      <c r="D1752" s="7">
        <v>0.38</v>
      </c>
      <c r="E1752" t="s">
        <v>6</v>
      </c>
    </row>
    <row r="1753" spans="1:5" x14ac:dyDescent="0.25">
      <c r="A1753" t="str">
        <f>HYPERLINK("https://www.773grp.com/globalSearch/LM258D/page-1", "LM258D")</f>
        <v>LM258D</v>
      </c>
      <c r="B1753" s="3" t="str">
        <f>HYPERLINK("https://www.773grp.com/manufacturer/onsemi?pageNo=404", "Onsemi")</f>
        <v>Onsemi</v>
      </c>
      <c r="C1753" s="6">
        <v>12840</v>
      </c>
      <c r="D1753" s="7">
        <v>0.38</v>
      </c>
      <c r="E1753" t="s">
        <v>10</v>
      </c>
    </row>
    <row r="1754" spans="1:5" x14ac:dyDescent="0.25">
      <c r="A1754" t="str">
        <f>HYPERLINK("https://www.773grp.com/globalSearch/LM258DR2/page-1", "LM258DR2")</f>
        <v>LM258DR2</v>
      </c>
      <c r="B1754" s="3" t="str">
        <f>HYPERLINK("https://www.773grp.com/manufacturer/onsemi?pageNo=405", "Onsemi")</f>
        <v>Onsemi</v>
      </c>
      <c r="C1754" s="6">
        <v>8895</v>
      </c>
      <c r="D1754" s="7">
        <v>0.38</v>
      </c>
      <c r="E1754" t="s">
        <v>10</v>
      </c>
    </row>
    <row r="1755" spans="1:5" x14ac:dyDescent="0.25">
      <c r="A1755" t="str">
        <f>HYPERLINK("https://www.773grp.com/globalSearch/LM2902D/page-1", "LM2902D")</f>
        <v>LM2902D</v>
      </c>
      <c r="B1755" s="3" t="str">
        <f>HYPERLINK("https://www.773grp.com/manufacturer/onsemi?pageNo=406", "Onsemi")</f>
        <v>Onsemi</v>
      </c>
      <c r="C1755" s="6">
        <v>6064</v>
      </c>
      <c r="D1755" s="7">
        <v>0.38</v>
      </c>
      <c r="E1755" t="s">
        <v>10</v>
      </c>
    </row>
    <row r="1756" spans="1:5" x14ac:dyDescent="0.25">
      <c r="A1756" t="str">
        <f>HYPERLINK("https://www.773grp.com/globalSearch/LM293D/page-1", "LM293D")</f>
        <v>LM293D</v>
      </c>
      <c r="B1756" s="3" t="str">
        <f>HYPERLINK("https://www.773grp.com/manufacturer/onsemi?pageNo=407", "Onsemi")</f>
        <v>Onsemi</v>
      </c>
      <c r="C1756" s="6">
        <v>497</v>
      </c>
      <c r="D1756" s="7">
        <v>0.38</v>
      </c>
      <c r="E1756" t="s">
        <v>6</v>
      </c>
    </row>
    <row r="1757" spans="1:5" x14ac:dyDescent="0.25">
      <c r="A1757" t="str">
        <f>HYPERLINK("https://www.773grp.com/globalSearch/LM293DR2/page-1", "LM293DR2")</f>
        <v>LM293DR2</v>
      </c>
      <c r="B1757" s="3" t="str">
        <f>HYPERLINK("https://www.773grp.com/manufacturer/onsemi?pageNo=408", "Onsemi")</f>
        <v>Onsemi</v>
      </c>
      <c r="C1757" s="6">
        <v>18500</v>
      </c>
      <c r="D1757" s="7">
        <v>0.38</v>
      </c>
      <c r="E1757" t="s">
        <v>6</v>
      </c>
    </row>
    <row r="1758" spans="1:5" x14ac:dyDescent="0.25">
      <c r="A1758" t="str">
        <f>HYPERLINK("https://www.773grp.com/globalSearch/LSMBT1005LT1/page-1", "LSMBT1005LT1")</f>
        <v>LSMBT1005LT1</v>
      </c>
      <c r="B1758" s="3" t="str">
        <f>HYPERLINK("https://www.773grp.com/manufacturer/onsemi?pageNo=409", "Onsemi")</f>
        <v>Onsemi</v>
      </c>
      <c r="C1758" s="6">
        <v>12000</v>
      </c>
      <c r="D1758" s="7">
        <v>0.38</v>
      </c>
    </row>
    <row r="1759" spans="1:5" x14ac:dyDescent="0.25">
      <c r="A1759" t="str">
        <f>HYPERLINK("https://www.773grp.com/globalSearch/M74VHC1G125DFT2G/page-1", "M74VHC1G125DFT2G")</f>
        <v>M74VHC1G125DFT2G</v>
      </c>
      <c r="B1759" s="3" t="str">
        <f>HYPERLINK("https://www.773grp.com/manufacturer/onsemi?pageNo=410", "Onsemi")</f>
        <v>Onsemi</v>
      </c>
      <c r="C1759" s="6">
        <v>180000</v>
      </c>
      <c r="D1759" s="7">
        <v>0.38</v>
      </c>
      <c r="E1759" t="s">
        <v>11</v>
      </c>
    </row>
    <row r="1760" spans="1:5" x14ac:dyDescent="0.25">
      <c r="A1760" t="str">
        <f>HYPERLINK("https://www.773grp.com/globalSearch/M74VHC1G126DFT1G/page-1", "M74VHC1G126DFT1G")</f>
        <v>M74VHC1G126DFT1G</v>
      </c>
      <c r="B1760" s="3" t="str">
        <f>HYPERLINK("https://www.773grp.com/manufacturer/onsemi?pageNo=411", "Onsemi")</f>
        <v>Onsemi</v>
      </c>
      <c r="C1760" s="6">
        <v>172399</v>
      </c>
      <c r="D1760" s="7">
        <v>0.38</v>
      </c>
      <c r="E1760" t="s">
        <v>11</v>
      </c>
    </row>
    <row r="1761" spans="1:5" x14ac:dyDescent="0.25">
      <c r="A1761" t="str">
        <f>HYPERLINK("https://www.773grp.com/globalSearch/M74VHC1G126DFT2G/page-1", "M74VHC1G126DFT2G")</f>
        <v>M74VHC1G126DFT2G</v>
      </c>
      <c r="B1761" s="3" t="str">
        <f>HYPERLINK("https://www.773grp.com/manufacturer/onsemi?pageNo=412", "Onsemi")</f>
        <v>Onsemi</v>
      </c>
      <c r="C1761" s="6">
        <v>33000</v>
      </c>
      <c r="D1761" s="7">
        <v>0.38</v>
      </c>
      <c r="E1761" t="s">
        <v>11</v>
      </c>
    </row>
    <row r="1762" spans="1:5" x14ac:dyDescent="0.25">
      <c r="A1762" t="str">
        <f>HYPERLINK("https://www.773grp.com/globalSearch/M74VHC1G132DFT1G/page-1", "M74VHC1G132DFT1G")</f>
        <v>M74VHC1G132DFT1G</v>
      </c>
      <c r="B1762" s="3" t="str">
        <f>HYPERLINK("https://www.773grp.com/manufacturer/onsemi?pageNo=413", "Onsemi")</f>
        <v>Onsemi</v>
      </c>
      <c r="C1762" s="6">
        <v>111000</v>
      </c>
      <c r="D1762" s="7">
        <v>0.38</v>
      </c>
      <c r="E1762" t="s">
        <v>27</v>
      </c>
    </row>
    <row r="1763" spans="1:5" x14ac:dyDescent="0.25">
      <c r="A1763" t="str">
        <f>HYPERLINK("https://www.773grp.com/globalSearch/M74VHC1G132DFT2G/page-1", "M74VHC1G132DFT2G")</f>
        <v>M74VHC1G132DFT2G</v>
      </c>
      <c r="B1763" s="3" t="str">
        <f>HYPERLINK("https://www.773grp.com/manufacturer/onsemi?pageNo=414", "Onsemi")</f>
        <v>Onsemi</v>
      </c>
      <c r="C1763" s="6">
        <v>48000</v>
      </c>
      <c r="D1763" s="7">
        <v>0.38</v>
      </c>
      <c r="E1763" t="s">
        <v>27</v>
      </c>
    </row>
    <row r="1764" spans="1:5" x14ac:dyDescent="0.25">
      <c r="A1764" t="str">
        <f>HYPERLINK("https://www.773grp.com/globalSearch/M74VHC1G135DFT1G/page-1", "M74VHC1G135DFT1G")</f>
        <v>M74VHC1G135DFT1G</v>
      </c>
      <c r="B1764" s="3" t="str">
        <f>HYPERLINK("https://www.773grp.com/manufacturer/onsemi?pageNo=415", "Onsemi")</f>
        <v>Onsemi</v>
      </c>
      <c r="C1764" s="6">
        <v>96000</v>
      </c>
      <c r="D1764" s="7">
        <v>0.38</v>
      </c>
      <c r="E1764" t="s">
        <v>27</v>
      </c>
    </row>
    <row r="1765" spans="1:5" x14ac:dyDescent="0.25">
      <c r="A1765" t="str">
        <f>HYPERLINK("https://www.773grp.com/globalSearch/M74VHC1G135DFT2G/page-1", "M74VHC1G135DFT2G")</f>
        <v>M74VHC1G135DFT2G</v>
      </c>
      <c r="B1765" s="3" t="str">
        <f>HYPERLINK("https://www.773grp.com/manufacturer/onsemi?pageNo=416", "Onsemi")</f>
        <v>Onsemi</v>
      </c>
      <c r="C1765" s="6">
        <v>3000</v>
      </c>
      <c r="D1765" s="7">
        <v>0.38</v>
      </c>
      <c r="E1765" t="s">
        <v>27</v>
      </c>
    </row>
    <row r="1766" spans="1:5" x14ac:dyDescent="0.25">
      <c r="A1766" t="str">
        <f>HYPERLINK("https://www.773grp.com/globalSearch/M74VHC1GT125DF1G/page-1", "M74VHC1GT125DF1G")</f>
        <v>M74VHC1GT125DF1G</v>
      </c>
      <c r="B1766" s="3" t="str">
        <f>HYPERLINK("https://www.773grp.com/manufacturer/onsemi?pageNo=417", "Onsemi")</f>
        <v>Onsemi</v>
      </c>
      <c r="C1766" s="6">
        <v>27000</v>
      </c>
      <c r="D1766" s="7">
        <v>0.38</v>
      </c>
      <c r="E1766" t="s">
        <v>11</v>
      </c>
    </row>
    <row r="1767" spans="1:5" x14ac:dyDescent="0.25">
      <c r="A1767" t="str">
        <f>HYPERLINK("https://www.773grp.com/globalSearch/M74VHC1GT125DF2G/page-1", "M74VHC1GT125DF2G")</f>
        <v>M74VHC1GT125DF2G</v>
      </c>
      <c r="B1767" s="3" t="str">
        <f>HYPERLINK("https://www.773grp.com/manufacturer/onsemi?pageNo=418", "Onsemi")</f>
        <v>Onsemi</v>
      </c>
      <c r="C1767" s="6">
        <v>393488</v>
      </c>
      <c r="D1767" s="7">
        <v>0.38</v>
      </c>
      <c r="E1767" t="s">
        <v>11</v>
      </c>
    </row>
    <row r="1768" spans="1:5" x14ac:dyDescent="0.25">
      <c r="A1768" t="str">
        <f>HYPERLINK("https://www.773grp.com/globalSearch/M74VHC1GT126DF1G/page-1", "M74VHC1GT126DF1G")</f>
        <v>M74VHC1GT126DF1G</v>
      </c>
      <c r="B1768" s="3" t="str">
        <f>HYPERLINK("https://www.773grp.com/manufacturer/onsemi?pageNo=419", "Onsemi")</f>
        <v>Onsemi</v>
      </c>
      <c r="C1768" s="6">
        <v>72000</v>
      </c>
      <c r="D1768" s="7">
        <v>0.38</v>
      </c>
      <c r="E1768" t="s">
        <v>11</v>
      </c>
    </row>
    <row r="1769" spans="1:5" x14ac:dyDescent="0.25">
      <c r="A1769" t="str">
        <f>HYPERLINK("https://www.773grp.com/globalSearch/M74VHC1GT126DF2G/page-1", "M74VHC1GT126DF2G")</f>
        <v>M74VHC1GT126DF2G</v>
      </c>
      <c r="B1769" s="3" t="str">
        <f>HYPERLINK("https://www.773grp.com/manufacturer/onsemi?pageNo=420", "Onsemi")</f>
        <v>Onsemi</v>
      </c>
      <c r="C1769" s="6">
        <v>279000</v>
      </c>
      <c r="D1769" s="7">
        <v>0.38</v>
      </c>
      <c r="E1769" t="s">
        <v>11</v>
      </c>
    </row>
    <row r="1770" spans="1:5" x14ac:dyDescent="0.25">
      <c r="A1770" t="str">
        <f>HYPERLINK("https://www.773grp.com/globalSearch/M74VHC1GT50DFT1G/page-1", "M74VHC1GT50DFT1G")</f>
        <v>M74VHC1GT50DFT1G</v>
      </c>
      <c r="B1770" s="3" t="str">
        <f>HYPERLINK("https://www.773grp.com/manufacturer/onsemi?pageNo=421", "Onsemi")</f>
        <v>Onsemi</v>
      </c>
      <c r="C1770" s="6">
        <v>206521</v>
      </c>
      <c r="D1770" s="7">
        <v>0.38</v>
      </c>
      <c r="E1770" t="s">
        <v>27</v>
      </c>
    </row>
    <row r="1771" spans="1:5" x14ac:dyDescent="0.25">
      <c r="A1771" t="str">
        <f>HYPERLINK("https://www.773grp.com/globalSearch/M74VHC1GT50DFT2G/page-1", "M74VHC1GT50DFT2G")</f>
        <v>M74VHC1GT50DFT2G</v>
      </c>
      <c r="B1771" s="3" t="str">
        <f>HYPERLINK("https://www.773grp.com/manufacturer/onsemi?pageNo=422", "Onsemi")</f>
        <v>Onsemi</v>
      </c>
      <c r="C1771" s="6">
        <v>96000</v>
      </c>
      <c r="D1771" s="7">
        <v>0.38</v>
      </c>
      <c r="E1771" t="s">
        <v>27</v>
      </c>
    </row>
    <row r="1772" spans="1:5" x14ac:dyDescent="0.25">
      <c r="A1772" t="str">
        <f>HYPERLINK("https://www.773grp.com/globalSearch/M74VHC1GT86DFT1G/page-1", "M74VHC1GT86DFT1G")</f>
        <v>M74VHC1GT86DFT1G</v>
      </c>
      <c r="B1772" s="3" t="str">
        <f>HYPERLINK("https://www.773grp.com/manufacturer/onsemi?pageNo=423", "Onsemi")</f>
        <v>Onsemi</v>
      </c>
      <c r="C1772" s="6">
        <v>30000</v>
      </c>
      <c r="D1772" s="7">
        <v>0.38</v>
      </c>
      <c r="E1772" t="s">
        <v>27</v>
      </c>
    </row>
    <row r="1773" spans="1:5" x14ac:dyDescent="0.25">
      <c r="A1773" t="str">
        <f>HYPERLINK("https://www.773grp.com/globalSearch/M74VHC1GT86DFT2G/page-1", "M74VHC1GT86DFT2G")</f>
        <v>M74VHC1GT86DFT2G</v>
      </c>
      <c r="B1773" s="3" t="str">
        <f>HYPERLINK("https://www.773grp.com/manufacturer/onsemi?pageNo=424", "Onsemi")</f>
        <v>Onsemi</v>
      </c>
      <c r="C1773" s="6">
        <v>750000</v>
      </c>
      <c r="D1773" s="7">
        <v>0.38</v>
      </c>
      <c r="E1773" t="s">
        <v>27</v>
      </c>
    </row>
    <row r="1774" spans="1:5" x14ac:dyDescent="0.25">
      <c r="A1774" t="str">
        <f>HYPERLINK("https://www.773grp.com/globalSearch/MBD101/page-1", "MBD101")</f>
        <v>MBD101</v>
      </c>
      <c r="B1774" s="3" t="str">
        <f>HYPERLINK("https://www.773grp.com/manufacturer/onsemi?pageNo=425", "Onsemi")</f>
        <v>Onsemi</v>
      </c>
      <c r="C1774" s="6">
        <v>3000</v>
      </c>
      <c r="D1774" s="7">
        <v>0.38</v>
      </c>
      <c r="E1774" t="s">
        <v>87</v>
      </c>
    </row>
    <row r="1775" spans="1:5" x14ac:dyDescent="0.25">
      <c r="A1775" t="str">
        <f>HYPERLINK("https://www.773grp.com/globalSearch/MBD101G/page-1", "MBD101G")</f>
        <v>MBD101G</v>
      </c>
      <c r="B1775" s="3" t="str">
        <f>HYPERLINK("https://www.773grp.com/manufacturer/onsemi?pageNo=426", "Onsemi")</f>
        <v>Onsemi</v>
      </c>
      <c r="C1775" s="6">
        <v>25592</v>
      </c>
      <c r="D1775" s="7">
        <v>0.38</v>
      </c>
      <c r="E1775" t="s">
        <v>87</v>
      </c>
    </row>
    <row r="1776" spans="1:5" x14ac:dyDescent="0.25">
      <c r="A1776" t="str">
        <f>HYPERLINK("https://www.773grp.com/globalSearch/MBD701/page-1", "MBD701")</f>
        <v>MBD701</v>
      </c>
      <c r="B1776" s="3" t="str">
        <f>HYPERLINK("https://www.773grp.com/manufacturer/onsemi?pageNo=427", "Onsemi")</f>
        <v>Onsemi</v>
      </c>
      <c r="C1776" s="6">
        <v>4</v>
      </c>
      <c r="D1776" s="7">
        <v>0.38</v>
      </c>
      <c r="E1776" t="s">
        <v>87</v>
      </c>
    </row>
    <row r="1777" spans="1:5" x14ac:dyDescent="0.25">
      <c r="A1777" t="str">
        <f>HYPERLINK("https://www.773grp.com/globalSearch/MBR120LSFT1/page-1", "MBR120LSFT1")</f>
        <v>MBR120LSFT1</v>
      </c>
      <c r="B1777" s="3" t="str">
        <f>HYPERLINK("https://www.773grp.com/manufacturer/onsemi?pageNo=428", "Onsemi")</f>
        <v>Onsemi</v>
      </c>
      <c r="C1777" s="6">
        <v>21000</v>
      </c>
      <c r="D1777" s="7">
        <v>0.38</v>
      </c>
    </row>
    <row r="1778" spans="1:5" x14ac:dyDescent="0.25">
      <c r="A1778" t="str">
        <f>HYPERLINK("https://www.773grp.com/globalSearch/MBR130T1/page-1", "MBR130T1")</f>
        <v>MBR130T1</v>
      </c>
      <c r="B1778" s="3" t="str">
        <f>HYPERLINK("https://www.773grp.com/manufacturer/onsemi?pageNo=429", "Onsemi")</f>
        <v>Onsemi</v>
      </c>
      <c r="C1778" s="6">
        <v>9000</v>
      </c>
      <c r="D1778" s="7">
        <v>0.38</v>
      </c>
    </row>
    <row r="1779" spans="1:5" x14ac:dyDescent="0.25">
      <c r="A1779" t="str">
        <f>HYPERLINK("https://www.773grp.com/globalSearch/MBR130T1G/page-1", "MBR130T1G")</f>
        <v>MBR130T1G</v>
      </c>
      <c r="B1779" s="3" t="str">
        <f>HYPERLINK("https://www.773grp.com/manufacturer/onsemi?pageNo=430", "Onsemi")</f>
        <v>Onsemi</v>
      </c>
      <c r="C1779" s="6">
        <v>308500</v>
      </c>
      <c r="D1779" s="7">
        <v>0.38</v>
      </c>
      <c r="E1779" t="s">
        <v>73</v>
      </c>
    </row>
    <row r="1780" spans="1:5" x14ac:dyDescent="0.25">
      <c r="A1780" t="str">
        <f>HYPERLINK("https://www.773grp.com/globalSearch/MBR130T3G/page-1", "MBR130T3G")</f>
        <v>MBR130T3G</v>
      </c>
      <c r="B1780" s="3" t="str">
        <f>HYPERLINK("https://www.773grp.com/manufacturer/onsemi?pageNo=431", "Onsemi")</f>
        <v>Onsemi</v>
      </c>
      <c r="C1780" s="6">
        <v>20000</v>
      </c>
      <c r="D1780" s="7">
        <v>0.38</v>
      </c>
    </row>
    <row r="1781" spans="1:5" x14ac:dyDescent="0.25">
      <c r="A1781" t="str">
        <f>HYPERLINK("https://www.773grp.com/globalSearch/MBR340PRL/page-1", "MBR340PRL")</f>
        <v>MBR340PRL</v>
      </c>
      <c r="B1781" s="3" t="str">
        <f>HYPERLINK("https://www.773grp.com/manufacturer/onsemi?pageNo=432", "Onsemi")</f>
        <v>Onsemi</v>
      </c>
      <c r="C1781" s="6">
        <v>11900</v>
      </c>
      <c r="D1781" s="7">
        <v>0.38</v>
      </c>
      <c r="E1781" t="s">
        <v>82</v>
      </c>
    </row>
    <row r="1782" spans="1:5" x14ac:dyDescent="0.25">
      <c r="A1782" t="str">
        <f>HYPERLINK("https://www.773grp.com/globalSearch/MBR350RL/page-1", "MBR350RL")</f>
        <v>MBR350RL</v>
      </c>
      <c r="B1782" s="3" t="str">
        <f>HYPERLINK("https://www.773grp.com/manufacturer/onsemi?pageNo=433", "Onsemi")</f>
        <v>Onsemi</v>
      </c>
      <c r="C1782" s="6">
        <v>18000</v>
      </c>
      <c r="D1782" s="7">
        <v>0.38</v>
      </c>
      <c r="E1782" t="s">
        <v>82</v>
      </c>
    </row>
    <row r="1783" spans="1:5" x14ac:dyDescent="0.25">
      <c r="A1783" t="str">
        <f>HYPERLINK("https://www.773grp.com/globalSearch/MBR360/page-1", "MBR360")</f>
        <v>MBR360</v>
      </c>
      <c r="B1783" s="3" t="str">
        <f>HYPERLINK("https://www.773grp.com/manufacturer/onsemi?pageNo=434", "Onsemi")</f>
        <v>Onsemi</v>
      </c>
      <c r="C1783" s="6">
        <v>141000</v>
      </c>
      <c r="D1783" s="7">
        <v>0.38</v>
      </c>
      <c r="E1783" t="s">
        <v>82</v>
      </c>
    </row>
    <row r="1784" spans="1:5" x14ac:dyDescent="0.25">
      <c r="A1784" t="str">
        <f>HYPERLINK("https://www.773grp.com/globalSearch/MBRA130LT3G/page-1", "MBRA130LT3G")</f>
        <v>MBRA130LT3G</v>
      </c>
      <c r="B1784" s="3" t="str">
        <f>HYPERLINK("https://www.773grp.com/manufacturer/onsemi?pageNo=435", "Onsemi")</f>
        <v>Onsemi</v>
      </c>
      <c r="C1784" s="6">
        <v>1219335</v>
      </c>
      <c r="D1784" s="7">
        <v>0.38</v>
      </c>
      <c r="E1784" t="s">
        <v>73</v>
      </c>
    </row>
    <row r="1785" spans="1:5" x14ac:dyDescent="0.25">
      <c r="A1785" t="str">
        <f>HYPERLINK("https://www.773grp.com/globalSearch/MBRA140T3G/page-1", "MBRA140T3G")</f>
        <v>MBRA140T3G</v>
      </c>
      <c r="B1785" s="3" t="str">
        <f>HYPERLINK("https://www.773grp.com/manufacturer/onsemi?pageNo=436", "Onsemi")</f>
        <v>Onsemi</v>
      </c>
      <c r="C1785" s="6">
        <v>160000</v>
      </c>
      <c r="D1785" s="7">
        <v>0.38</v>
      </c>
      <c r="E1785" t="s">
        <v>73</v>
      </c>
    </row>
    <row r="1786" spans="1:5" x14ac:dyDescent="0.25">
      <c r="A1786" t="str">
        <f>HYPERLINK("https://www.773grp.com/globalSearch/MBRS130T3/page-1", "MBRS130T3")</f>
        <v>MBRS130T3</v>
      </c>
      <c r="B1786" s="3" t="str">
        <f>HYPERLINK("https://www.773grp.com/manufacturer/onsemi?pageNo=437", "Onsemi")</f>
        <v>Onsemi</v>
      </c>
      <c r="C1786" s="6">
        <v>889</v>
      </c>
      <c r="D1786" s="7">
        <v>0.38</v>
      </c>
      <c r="E1786" t="s">
        <v>73</v>
      </c>
    </row>
    <row r="1787" spans="1:5" x14ac:dyDescent="0.25">
      <c r="A1787" t="str">
        <f>HYPERLINK("https://www.773grp.com/globalSearch/MBRS140T3/page-1", "MBRS140T3")</f>
        <v>MBRS140T3</v>
      </c>
      <c r="B1787" s="3" t="str">
        <f>HYPERLINK("https://www.773grp.com/manufacturer/onsemi?pageNo=438", "Onsemi")</f>
        <v>Onsemi</v>
      </c>
      <c r="C1787" s="6">
        <v>110502</v>
      </c>
      <c r="D1787" s="7">
        <v>0.38</v>
      </c>
      <c r="E1787" t="s">
        <v>73</v>
      </c>
    </row>
    <row r="1788" spans="1:5" x14ac:dyDescent="0.25">
      <c r="A1788" t="str">
        <f>HYPERLINK("https://www.773grp.com/globalSearch/MC14001UBCP/page-1", "MC14001UBCP")</f>
        <v>MC14001UBCP</v>
      </c>
      <c r="B1788" s="3" t="str">
        <f>HYPERLINK("https://www.773grp.com/manufacturer/onsemi?pageNo=439", "Onsemi")</f>
        <v>Onsemi</v>
      </c>
      <c r="C1788" s="6">
        <v>6475</v>
      </c>
      <c r="D1788" s="7">
        <v>0.38</v>
      </c>
      <c r="E1788" t="s">
        <v>27</v>
      </c>
    </row>
    <row r="1789" spans="1:5" x14ac:dyDescent="0.25">
      <c r="A1789" t="str">
        <f>HYPERLINK("https://www.773grp.com/globalSearch/MC14001UBD/page-1", "MC14001UBD")</f>
        <v>MC14001UBD</v>
      </c>
      <c r="B1789" s="3" t="str">
        <f>HYPERLINK("https://www.773grp.com/manufacturer/onsemi?pageNo=440", "Onsemi")</f>
        <v>Onsemi</v>
      </c>
      <c r="C1789" s="6">
        <v>20132</v>
      </c>
      <c r="D1789" s="7">
        <v>0.38</v>
      </c>
      <c r="E1789" t="s">
        <v>27</v>
      </c>
    </row>
    <row r="1790" spans="1:5" x14ac:dyDescent="0.25">
      <c r="A1790" t="str">
        <f>HYPERLINK("https://www.773grp.com/globalSearch/MC14007UBCP/page-1", "MC14007UBCP")</f>
        <v>MC14007UBCP</v>
      </c>
      <c r="B1790" s="3" t="str">
        <f>HYPERLINK("https://www.773grp.com/manufacturer/onsemi?pageNo=441", "Onsemi")</f>
        <v>Onsemi</v>
      </c>
      <c r="C1790" s="6">
        <v>533</v>
      </c>
      <c r="D1790" s="7">
        <v>0.38</v>
      </c>
      <c r="E1790" t="s">
        <v>27</v>
      </c>
    </row>
    <row r="1791" spans="1:5" x14ac:dyDescent="0.25">
      <c r="A1791" t="str">
        <f>HYPERLINK("https://www.773grp.com/globalSearch/MC14007UBD/page-1", "MC14007UBD")</f>
        <v>MC14007UBD</v>
      </c>
      <c r="B1791" s="3" t="str">
        <f>HYPERLINK("https://www.773grp.com/manufacturer/onsemi?pageNo=442", "Onsemi")</f>
        <v>Onsemi</v>
      </c>
      <c r="C1791" s="6">
        <v>11660</v>
      </c>
      <c r="D1791" s="7">
        <v>0.38</v>
      </c>
      <c r="E1791" t="s">
        <v>27</v>
      </c>
    </row>
    <row r="1792" spans="1:5" x14ac:dyDescent="0.25">
      <c r="A1792" t="str">
        <f>HYPERLINK("https://www.773grp.com/globalSearch/MC14007UBDR2/page-1", "MC14007UBDR2")</f>
        <v>MC14007UBDR2</v>
      </c>
      <c r="B1792" s="3" t="str">
        <f>HYPERLINK("https://www.773grp.com/manufacturer/onsemi?pageNo=443", "Onsemi")</f>
        <v>Onsemi</v>
      </c>
      <c r="C1792" s="6">
        <v>15000</v>
      </c>
      <c r="D1792" s="7">
        <v>0.38</v>
      </c>
      <c r="E1792" t="s">
        <v>27</v>
      </c>
    </row>
    <row r="1793" spans="1:5" x14ac:dyDescent="0.25">
      <c r="A1793" t="str">
        <f>HYPERLINK("https://www.773grp.com/globalSearch/MC14011BDR2/page-1", "MC14011BDR2")</f>
        <v>MC14011BDR2</v>
      </c>
      <c r="B1793" s="3" t="str">
        <f>HYPERLINK("https://www.773grp.com/manufacturer/onsemi?pageNo=444", "Onsemi")</f>
        <v>Onsemi</v>
      </c>
      <c r="C1793" s="6">
        <v>29098</v>
      </c>
      <c r="D1793" s="7">
        <v>0.38</v>
      </c>
      <c r="E1793" t="s">
        <v>27</v>
      </c>
    </row>
    <row r="1794" spans="1:5" x14ac:dyDescent="0.25">
      <c r="A1794" t="str">
        <f>HYPERLINK("https://www.773grp.com/globalSearch/MC14011BDTR2/page-1", "MC14011BDTR2")</f>
        <v>MC14011BDTR2</v>
      </c>
      <c r="B1794" s="3" t="str">
        <f>HYPERLINK("https://www.773grp.com/manufacturer/onsemi?pageNo=445", "Onsemi")</f>
        <v>Onsemi</v>
      </c>
      <c r="C1794" s="6">
        <v>7500</v>
      </c>
      <c r="D1794" s="7">
        <v>0.38</v>
      </c>
      <c r="E1794" t="s">
        <v>27</v>
      </c>
    </row>
    <row r="1795" spans="1:5" x14ac:dyDescent="0.25">
      <c r="A1795" t="str">
        <f>HYPERLINK("https://www.773grp.com/globalSearch/MC14011UBCP/page-1", "MC14011UBCP")</f>
        <v>MC14011UBCP</v>
      </c>
      <c r="B1795" s="3" t="str">
        <f>HYPERLINK("https://www.773grp.com/manufacturer/onsemi?pageNo=446", "Onsemi")</f>
        <v>Onsemi</v>
      </c>
      <c r="C1795" s="6">
        <v>4</v>
      </c>
      <c r="D1795" s="7">
        <v>0.38</v>
      </c>
      <c r="E1795" t="s">
        <v>27</v>
      </c>
    </row>
    <row r="1796" spans="1:5" x14ac:dyDescent="0.25">
      <c r="A1796" t="str">
        <f>HYPERLINK("https://www.773grp.com/globalSearch/MC14012BCP/page-1", "MC14012BCP")</f>
        <v>MC14012BCP</v>
      </c>
      <c r="B1796" s="3" t="str">
        <f>HYPERLINK("https://www.773grp.com/manufacturer/onsemi?pageNo=447", "Onsemi")</f>
        <v>Onsemi</v>
      </c>
      <c r="C1796" s="6">
        <v>40</v>
      </c>
      <c r="D1796" s="7">
        <v>0.38</v>
      </c>
      <c r="E1796" t="s">
        <v>27</v>
      </c>
    </row>
    <row r="1797" spans="1:5" x14ac:dyDescent="0.25">
      <c r="A1797" t="str">
        <f>HYPERLINK("https://www.773grp.com/globalSearch/MC14012BD/page-1", "MC14012BD")</f>
        <v>MC14012BD</v>
      </c>
      <c r="B1797" s="3" t="str">
        <f>HYPERLINK("https://www.773grp.com/manufacturer/onsemi?pageNo=448", "Onsemi")</f>
        <v>Onsemi</v>
      </c>
      <c r="C1797" s="6">
        <v>3575</v>
      </c>
      <c r="D1797" s="7">
        <v>0.38</v>
      </c>
      <c r="E1797" t="s">
        <v>27</v>
      </c>
    </row>
    <row r="1798" spans="1:5" x14ac:dyDescent="0.25">
      <c r="A1798" t="str">
        <f>HYPERLINK("https://www.773grp.com/globalSearch/MC14012BDR2/page-1", "MC14012BDR2")</f>
        <v>MC14012BDR2</v>
      </c>
      <c r="B1798" s="3" t="str">
        <f>HYPERLINK("https://www.773grp.com/manufacturer/onsemi?pageNo=449", "Onsemi")</f>
        <v>Onsemi</v>
      </c>
      <c r="C1798" s="6">
        <v>25000</v>
      </c>
      <c r="D1798" s="7">
        <v>0.38</v>
      </c>
      <c r="E1798" t="s">
        <v>27</v>
      </c>
    </row>
    <row r="1799" spans="1:5" x14ac:dyDescent="0.25">
      <c r="A1799" t="str">
        <f>HYPERLINK("https://www.773grp.com/globalSearch/MC14013BD/page-1", "MC14013BD")</f>
        <v>MC14013BD</v>
      </c>
      <c r="B1799" s="3" t="str">
        <f>HYPERLINK("https://www.773grp.com/manufacturer/onsemi?pageNo=450", "Onsemi")</f>
        <v>Onsemi</v>
      </c>
      <c r="C1799" s="6">
        <v>7302</v>
      </c>
      <c r="D1799" s="7">
        <v>0.38</v>
      </c>
      <c r="E1799" t="s">
        <v>31</v>
      </c>
    </row>
    <row r="1800" spans="1:5" x14ac:dyDescent="0.25">
      <c r="A1800" t="str">
        <f>HYPERLINK("https://www.773grp.com/globalSearch/MC14013BDR2/page-1", "MC14013BDR2")</f>
        <v>MC14013BDR2</v>
      </c>
      <c r="B1800" s="3" t="str">
        <f>HYPERLINK("https://www.773grp.com/manufacturer/onsemi?pageNo=451", "Onsemi")</f>
        <v>Onsemi</v>
      </c>
      <c r="C1800" s="6">
        <v>2257</v>
      </c>
      <c r="D1800" s="7">
        <v>0.38</v>
      </c>
      <c r="E1800" t="s">
        <v>31</v>
      </c>
    </row>
    <row r="1801" spans="1:5" x14ac:dyDescent="0.25">
      <c r="A1801" t="str">
        <f>HYPERLINK("https://www.773grp.com/globalSearch/MC14013BF/page-1", "MC14013BF")</f>
        <v>MC14013BF</v>
      </c>
      <c r="B1801" s="3" t="str">
        <f>HYPERLINK("https://www.773grp.com/manufacturer/onsemi?pageNo=452", "Onsemi")</f>
        <v>Onsemi</v>
      </c>
      <c r="C1801" s="6">
        <v>4700</v>
      </c>
      <c r="D1801" s="7">
        <v>0.38</v>
      </c>
      <c r="E1801" t="s">
        <v>31</v>
      </c>
    </row>
    <row r="1802" spans="1:5" x14ac:dyDescent="0.25">
      <c r="A1802" t="str">
        <f>HYPERLINK("https://www.773grp.com/globalSearch/MC14016BD/page-1", "MC14016BD")</f>
        <v>MC14016BD</v>
      </c>
      <c r="B1802" s="3" t="str">
        <f>HYPERLINK("https://www.773grp.com/manufacturer/onsemi?pageNo=453", "Onsemi")</f>
        <v>Onsemi</v>
      </c>
      <c r="C1802" s="6">
        <v>4029</v>
      </c>
      <c r="D1802" s="7">
        <v>0.38</v>
      </c>
      <c r="E1802" t="s">
        <v>46</v>
      </c>
    </row>
    <row r="1803" spans="1:5" x14ac:dyDescent="0.25">
      <c r="A1803" t="str">
        <f>HYPERLINK("https://www.773grp.com/globalSearch/MC14023BD/page-1", "MC14023BD")</f>
        <v>MC14023BD</v>
      </c>
      <c r="B1803" s="3" t="str">
        <f>HYPERLINK("https://www.773grp.com/manufacturer/onsemi?pageNo=454", "Onsemi")</f>
        <v>Onsemi</v>
      </c>
      <c r="C1803" s="6">
        <v>3300</v>
      </c>
      <c r="D1803" s="7">
        <v>0.38</v>
      </c>
      <c r="E1803" t="s">
        <v>27</v>
      </c>
    </row>
    <row r="1804" spans="1:5" x14ac:dyDescent="0.25">
      <c r="A1804" t="str">
        <f>HYPERLINK("https://www.773grp.com/globalSearch/MC14023BDR2/page-1", "MC14023BDR2")</f>
        <v>MC14023BDR2</v>
      </c>
      <c r="B1804" s="3" t="str">
        <f>HYPERLINK("https://www.773grp.com/manufacturer/onsemi?pageNo=455", "Onsemi")</f>
        <v>Onsemi</v>
      </c>
      <c r="C1804" s="6">
        <v>2500</v>
      </c>
      <c r="D1804" s="7">
        <v>0.38</v>
      </c>
      <c r="E1804" t="s">
        <v>27</v>
      </c>
    </row>
    <row r="1805" spans="1:5" x14ac:dyDescent="0.25">
      <c r="A1805" t="str">
        <f>HYPERLINK("https://www.773grp.com/globalSearch/MC14024BD/page-1", "MC14024BD")</f>
        <v>MC14024BD</v>
      </c>
      <c r="B1805" s="3" t="str">
        <f>HYPERLINK("https://www.773grp.com/manufacturer/onsemi?pageNo=456", "Onsemi")</f>
        <v>Onsemi</v>
      </c>
      <c r="C1805" s="6">
        <v>4165</v>
      </c>
      <c r="D1805" s="7">
        <v>0.38</v>
      </c>
      <c r="E1805" t="s">
        <v>22</v>
      </c>
    </row>
    <row r="1806" spans="1:5" x14ac:dyDescent="0.25">
      <c r="A1806" t="str">
        <f>HYPERLINK("https://www.773grp.com/globalSearch/MC14025BCP/page-1", "MC14025BCP")</f>
        <v>MC14025BCP</v>
      </c>
      <c r="B1806" s="3" t="str">
        <f>HYPERLINK("https://www.773grp.com/manufacturer/onsemi?pageNo=457", "Onsemi")</f>
        <v>Onsemi</v>
      </c>
      <c r="C1806" s="6">
        <v>3170</v>
      </c>
      <c r="D1806" s="7">
        <v>0.38</v>
      </c>
      <c r="E1806" t="s">
        <v>27</v>
      </c>
    </row>
    <row r="1807" spans="1:5" x14ac:dyDescent="0.25">
      <c r="A1807" t="str">
        <f>HYPERLINK("https://www.773grp.com/globalSearch/MC14025BDR2/page-1", "MC14025BDR2")</f>
        <v>MC14025BDR2</v>
      </c>
      <c r="B1807" s="3" t="str">
        <f>HYPERLINK("https://www.773grp.com/manufacturer/onsemi?pageNo=458", "Onsemi")</f>
        <v>Onsemi</v>
      </c>
      <c r="C1807" s="6">
        <v>6314</v>
      </c>
      <c r="D1807" s="7">
        <v>0.38</v>
      </c>
      <c r="E1807" t="s">
        <v>27</v>
      </c>
    </row>
    <row r="1808" spans="1:5" x14ac:dyDescent="0.25">
      <c r="A1808" t="str">
        <f>HYPERLINK("https://www.773grp.com/globalSearch/MC14027BD/page-1", "MC14027BD")</f>
        <v>MC14027BD</v>
      </c>
      <c r="B1808" s="3" t="str">
        <f>HYPERLINK("https://www.773grp.com/manufacturer/onsemi?pageNo=459", "Onsemi")</f>
        <v>Onsemi</v>
      </c>
      <c r="C1808" s="6">
        <v>1481</v>
      </c>
      <c r="D1808" s="7">
        <v>0.38</v>
      </c>
      <c r="E1808" t="s">
        <v>31</v>
      </c>
    </row>
    <row r="1809" spans="1:5" x14ac:dyDescent="0.25">
      <c r="A1809" t="str">
        <f>HYPERLINK("https://www.773grp.com/globalSearch/MC14027BDR2/page-1", "MC14027BDR2")</f>
        <v>MC14027BDR2</v>
      </c>
      <c r="B1809" s="3" t="str">
        <f>HYPERLINK("https://www.773grp.com/manufacturer/onsemi?pageNo=460", "Onsemi")</f>
        <v>Onsemi</v>
      </c>
      <c r="C1809" s="6">
        <v>1000</v>
      </c>
      <c r="D1809" s="7">
        <v>0.38</v>
      </c>
      <c r="E1809" t="s">
        <v>31</v>
      </c>
    </row>
    <row r="1810" spans="1:5" x14ac:dyDescent="0.25">
      <c r="A1810" t="str">
        <f>HYPERLINK("https://www.773grp.com/globalSearch/MC14066BD/page-1", "MC14066BD")</f>
        <v>MC14066BD</v>
      </c>
      <c r="B1810" s="3" t="str">
        <f>HYPERLINK("https://www.773grp.com/manufacturer/onsemi?pageNo=461", "Onsemi")</f>
        <v>Onsemi</v>
      </c>
      <c r="C1810" s="6">
        <v>14500</v>
      </c>
      <c r="D1810" s="7">
        <v>0.38</v>
      </c>
      <c r="E1810" t="s">
        <v>46</v>
      </c>
    </row>
    <row r="1811" spans="1:5" x14ac:dyDescent="0.25">
      <c r="A1811" t="str">
        <f>HYPERLINK("https://www.773grp.com/globalSearch/MC14066BDR2/page-1", "MC14066BDR2")</f>
        <v>MC14066BDR2</v>
      </c>
      <c r="B1811" s="3" t="str">
        <f>HYPERLINK("https://www.773grp.com/manufacturer/onsemi?pageNo=462", "Onsemi")</f>
        <v>Onsemi</v>
      </c>
      <c r="C1811" s="6">
        <v>79889</v>
      </c>
      <c r="D1811" s="7">
        <v>0.38</v>
      </c>
      <c r="E1811" t="s">
        <v>46</v>
      </c>
    </row>
    <row r="1812" spans="1:5" x14ac:dyDescent="0.25">
      <c r="A1812" t="str">
        <f>HYPERLINK("https://www.773grp.com/globalSearch/MC14066BDTR2/page-1", "MC14066BDTR2")</f>
        <v>MC14066BDTR2</v>
      </c>
      <c r="B1812" s="3" t="str">
        <f>HYPERLINK("https://www.773grp.com/manufacturer/onsemi?pageNo=463", "Onsemi")</f>
        <v>Onsemi</v>
      </c>
      <c r="C1812" s="6">
        <v>7500</v>
      </c>
      <c r="D1812" s="7">
        <v>0.38</v>
      </c>
      <c r="E1812" t="s">
        <v>46</v>
      </c>
    </row>
    <row r="1813" spans="1:5" x14ac:dyDescent="0.25">
      <c r="A1813" t="str">
        <f>HYPERLINK("https://www.773grp.com/globalSearch/MC14069UBDR2/page-1", "MC14069UBDR2")</f>
        <v>MC14069UBDR2</v>
      </c>
      <c r="B1813" s="3" t="str">
        <f>HYPERLINK("https://www.773grp.com/manufacturer/onsemi?pageNo=464", "Onsemi")</f>
        <v>Onsemi</v>
      </c>
      <c r="C1813" s="6">
        <v>57026</v>
      </c>
      <c r="D1813" s="7">
        <v>0.38</v>
      </c>
      <c r="E1813" t="s">
        <v>27</v>
      </c>
    </row>
    <row r="1814" spans="1:5" x14ac:dyDescent="0.25">
      <c r="A1814" t="str">
        <f>HYPERLINK("https://www.773grp.com/globalSearch/MC14070BCP/page-1", "MC14070BCP")</f>
        <v>MC14070BCP</v>
      </c>
      <c r="B1814" s="3" t="str">
        <f>HYPERLINK("https://www.773grp.com/manufacturer/onsemi?pageNo=465", "Onsemi")</f>
        <v>Onsemi</v>
      </c>
      <c r="C1814" s="6">
        <v>460</v>
      </c>
      <c r="D1814" s="7">
        <v>0.38</v>
      </c>
      <c r="E1814" t="s">
        <v>27</v>
      </c>
    </row>
    <row r="1815" spans="1:5" x14ac:dyDescent="0.25">
      <c r="A1815" t="str">
        <f>HYPERLINK("https://www.773grp.com/globalSearch/MC14073BCP/page-1", "MC14073BCP")</f>
        <v>MC14073BCP</v>
      </c>
      <c r="B1815" s="3" t="str">
        <f>HYPERLINK("https://www.773grp.com/manufacturer/onsemi?pageNo=466", "Onsemi")</f>
        <v>Onsemi</v>
      </c>
      <c r="C1815" s="6">
        <v>2806</v>
      </c>
      <c r="D1815" s="7">
        <v>0.38</v>
      </c>
      <c r="E1815" t="s">
        <v>27</v>
      </c>
    </row>
    <row r="1816" spans="1:5" x14ac:dyDescent="0.25">
      <c r="A1816" t="str">
        <f>HYPERLINK("https://www.773grp.com/globalSearch/MC14073BFEL/page-1", "MC14073BFEL")</f>
        <v>MC14073BFEL</v>
      </c>
      <c r="B1816" s="3" t="str">
        <f>HYPERLINK("https://www.773grp.com/manufacturer/onsemi?pageNo=467", "Onsemi")</f>
        <v>Onsemi</v>
      </c>
      <c r="C1816" s="6">
        <v>4000</v>
      </c>
      <c r="D1816" s="7">
        <v>0.38</v>
      </c>
      <c r="E1816" t="s">
        <v>27</v>
      </c>
    </row>
    <row r="1817" spans="1:5" x14ac:dyDescent="0.25">
      <c r="A1817" t="str">
        <f>HYPERLINK("https://www.773grp.com/globalSearch/MC14075BFEL/page-1", "MC14075BFEL")</f>
        <v>MC14075BFEL</v>
      </c>
      <c r="B1817" s="3" t="str">
        <f>HYPERLINK("https://www.773grp.com/manufacturer/onsemi?pageNo=468", "Onsemi")</f>
        <v>Onsemi</v>
      </c>
      <c r="C1817" s="6">
        <v>12000</v>
      </c>
      <c r="D1817" s="7">
        <v>0.38</v>
      </c>
    </row>
    <row r="1818" spans="1:5" x14ac:dyDescent="0.25">
      <c r="A1818" t="str">
        <f>HYPERLINK("https://www.773grp.com/globalSearch/MC14077BCP/page-1", "MC14077BCP")</f>
        <v>MC14077BCP</v>
      </c>
      <c r="B1818" s="3" t="str">
        <f>HYPERLINK("https://www.773grp.com/manufacturer/onsemi?pageNo=469", "Onsemi")</f>
        <v>Onsemi</v>
      </c>
      <c r="C1818" s="6">
        <v>3637</v>
      </c>
      <c r="D1818" s="7">
        <v>0.38</v>
      </c>
      <c r="E1818" t="s">
        <v>27</v>
      </c>
    </row>
    <row r="1819" spans="1:5" x14ac:dyDescent="0.25">
      <c r="A1819" t="str">
        <f>HYPERLINK("https://www.773grp.com/globalSearch/MC14077BD/page-1", "MC14077BD")</f>
        <v>MC14077BD</v>
      </c>
      <c r="B1819" s="3" t="str">
        <f>HYPERLINK("https://www.773grp.com/manufacturer/onsemi?pageNo=470", "Onsemi")</f>
        <v>Onsemi</v>
      </c>
      <c r="C1819" s="6">
        <v>9055</v>
      </c>
      <c r="D1819" s="7">
        <v>0.38</v>
      </c>
      <c r="E1819" t="s">
        <v>27</v>
      </c>
    </row>
    <row r="1820" spans="1:5" x14ac:dyDescent="0.25">
      <c r="A1820" t="str">
        <f>HYPERLINK("https://www.773grp.com/globalSearch/MC14077BDR2/page-1", "MC14077BDR2")</f>
        <v>MC14077BDR2</v>
      </c>
      <c r="B1820" s="3" t="str">
        <f>HYPERLINK("https://www.773grp.com/manufacturer/onsemi?pageNo=471", "Onsemi")</f>
        <v>Onsemi</v>
      </c>
      <c r="C1820" s="6">
        <v>6420</v>
      </c>
      <c r="D1820" s="7">
        <v>0.38</v>
      </c>
      <c r="E1820" t="s">
        <v>27</v>
      </c>
    </row>
    <row r="1821" spans="1:5" x14ac:dyDescent="0.25">
      <c r="A1821" t="str">
        <f>HYPERLINK("https://www.773grp.com/globalSearch/MC14077BF/page-1", "MC14077BF")</f>
        <v>MC14077BF</v>
      </c>
      <c r="B1821" s="3" t="str">
        <f>HYPERLINK("https://www.773grp.com/manufacturer/onsemi?pageNo=472", "Onsemi")</f>
        <v>Onsemi</v>
      </c>
      <c r="C1821" s="6">
        <v>20</v>
      </c>
      <c r="D1821" s="7">
        <v>0.38</v>
      </c>
      <c r="E1821" t="s">
        <v>27</v>
      </c>
    </row>
    <row r="1822" spans="1:5" x14ac:dyDescent="0.25">
      <c r="A1822" t="str">
        <f>HYPERLINK("https://www.773grp.com/globalSearch/MC14081BDT/page-1", "MC14081BDT")</f>
        <v>MC14081BDT</v>
      </c>
      <c r="B1822" s="3" t="str">
        <f>HYPERLINK("https://www.773grp.com/manufacturer/onsemi?pageNo=473", "Onsemi")</f>
        <v>Onsemi</v>
      </c>
      <c r="C1822" s="6">
        <v>8044</v>
      </c>
      <c r="D1822" s="7">
        <v>0.38</v>
      </c>
      <c r="E1822" t="s">
        <v>27</v>
      </c>
    </row>
    <row r="1823" spans="1:5" x14ac:dyDescent="0.25">
      <c r="A1823" t="str">
        <f>HYPERLINK("https://www.773grp.com/globalSearch/MC14082BCP/page-1", "MC14082BCP")</f>
        <v>MC14082BCP</v>
      </c>
      <c r="B1823" s="3" t="str">
        <f>HYPERLINK("https://www.773grp.com/manufacturer/onsemi?pageNo=474", "Onsemi")</f>
        <v>Onsemi</v>
      </c>
      <c r="C1823" s="6">
        <v>8858</v>
      </c>
      <c r="D1823" s="7">
        <v>0.38</v>
      </c>
      <c r="E1823" t="s">
        <v>27</v>
      </c>
    </row>
    <row r="1824" spans="1:5" x14ac:dyDescent="0.25">
      <c r="A1824" t="str">
        <f>HYPERLINK("https://www.773grp.com/globalSearch/MC14082BD/page-1", "MC14082BD")</f>
        <v>MC14082BD</v>
      </c>
      <c r="B1824" s="3" t="str">
        <f>HYPERLINK("https://www.773grp.com/manufacturer/onsemi?pageNo=475", "Onsemi")</f>
        <v>Onsemi</v>
      </c>
      <c r="C1824" s="6">
        <v>819</v>
      </c>
      <c r="D1824" s="7">
        <v>0.38</v>
      </c>
      <c r="E1824" t="s">
        <v>27</v>
      </c>
    </row>
    <row r="1825" spans="1:5" x14ac:dyDescent="0.25">
      <c r="A1825" t="str">
        <f>HYPERLINK("https://www.773grp.com/globalSearch/MC14093BDR2/page-1", "MC14093BDR2")</f>
        <v>MC14093BDR2</v>
      </c>
      <c r="B1825" s="3" t="str">
        <f>HYPERLINK("https://www.773grp.com/manufacturer/onsemi?pageNo=476", "Onsemi")</f>
        <v>Onsemi</v>
      </c>
      <c r="C1825" s="6">
        <v>10119</v>
      </c>
      <c r="D1825" s="7">
        <v>0.38</v>
      </c>
      <c r="E1825" t="s">
        <v>27</v>
      </c>
    </row>
    <row r="1826" spans="1:5" x14ac:dyDescent="0.25">
      <c r="A1826" t="str">
        <f>HYPERLINK("https://www.773grp.com/globalSearch/MC74AC00DT/page-1", "MC74AC00DT")</f>
        <v>MC74AC00DT</v>
      </c>
      <c r="B1826" s="3" t="str">
        <f>HYPERLINK("https://www.773grp.com/manufacturer/onsemi?pageNo=477", "Onsemi")</f>
        <v>Onsemi</v>
      </c>
      <c r="C1826" s="6">
        <v>10510</v>
      </c>
      <c r="D1826" s="7">
        <v>0.38</v>
      </c>
      <c r="E1826" t="s">
        <v>27</v>
      </c>
    </row>
    <row r="1827" spans="1:5" x14ac:dyDescent="0.25">
      <c r="A1827" t="str">
        <f>HYPERLINK("https://www.773grp.com/globalSearch/MC74AC00DT/page-1", "MC74AC00DT")</f>
        <v>MC74AC00DT</v>
      </c>
      <c r="B1827" s="3" t="str">
        <f>HYPERLINK("https://www.773grp.com/manufacturer/onsemi?pageNo=478", "Onsemi")</f>
        <v>Onsemi</v>
      </c>
      <c r="C1827" s="6">
        <v>2422</v>
      </c>
      <c r="D1827" s="7">
        <v>0.38</v>
      </c>
      <c r="E1827" t="s">
        <v>27</v>
      </c>
    </row>
    <row r="1828" spans="1:5" x14ac:dyDescent="0.25">
      <c r="A1828" t="str">
        <f>HYPERLINK("https://www.773grp.com/globalSearch/MC74AC00DTR2/page-1", "MC74AC00DTR2")</f>
        <v>MC74AC00DTR2</v>
      </c>
      <c r="B1828" s="3" t="str">
        <f>HYPERLINK("https://www.773grp.com/manufacturer/onsemi?pageNo=479", "Onsemi")</f>
        <v>Onsemi</v>
      </c>
      <c r="C1828" s="6">
        <v>25000</v>
      </c>
      <c r="D1828" s="7">
        <v>0.38</v>
      </c>
      <c r="E1828" t="s">
        <v>27</v>
      </c>
    </row>
    <row r="1829" spans="1:5" x14ac:dyDescent="0.25">
      <c r="A1829" t="str">
        <f>HYPERLINK("https://www.773grp.com/globalSearch/MC74AC00MEL/page-1", "MC74AC00MEL")</f>
        <v>MC74AC00MEL</v>
      </c>
      <c r="B1829" s="3" t="str">
        <f>HYPERLINK("https://www.773grp.com/manufacturer/onsemi?pageNo=480", "Onsemi")</f>
        <v>Onsemi</v>
      </c>
      <c r="C1829" s="6">
        <v>12957</v>
      </c>
      <c r="D1829" s="7">
        <v>0.38</v>
      </c>
      <c r="E1829" t="s">
        <v>27</v>
      </c>
    </row>
    <row r="1830" spans="1:5" x14ac:dyDescent="0.25">
      <c r="A1830" t="str">
        <f>HYPERLINK("https://www.773grp.com/globalSearch/MC74AC00N/page-1", "MC74AC00N")</f>
        <v>MC74AC00N</v>
      </c>
      <c r="B1830" s="3" t="str">
        <f>HYPERLINK("https://www.773grp.com/manufacturer/onsemi?pageNo=481", "Onsemi")</f>
        <v>Onsemi</v>
      </c>
      <c r="C1830" s="6">
        <v>8050</v>
      </c>
      <c r="D1830" s="7">
        <v>0.38</v>
      </c>
      <c r="E1830" t="s">
        <v>27</v>
      </c>
    </row>
    <row r="1831" spans="1:5" x14ac:dyDescent="0.25">
      <c r="A1831" t="str">
        <f>HYPERLINK("https://www.773grp.com/globalSearch/MC74AC02D/page-1", "MC74AC02D")</f>
        <v>MC74AC02D</v>
      </c>
      <c r="B1831" s="3" t="str">
        <f>HYPERLINK("https://www.773grp.com/manufacturer/onsemi?pageNo=482", "Onsemi")</f>
        <v>Onsemi</v>
      </c>
      <c r="C1831" s="6">
        <v>25015</v>
      </c>
      <c r="D1831" s="7">
        <v>0.38</v>
      </c>
      <c r="E1831" t="s">
        <v>27</v>
      </c>
    </row>
    <row r="1832" spans="1:5" x14ac:dyDescent="0.25">
      <c r="A1832" t="str">
        <f>HYPERLINK("https://www.773grp.com/globalSearch/MC74AC02DT/page-1", "MC74AC02DT")</f>
        <v>MC74AC02DT</v>
      </c>
      <c r="B1832" s="3" t="str">
        <f>HYPERLINK("https://www.773grp.com/manufacturer/onsemi?pageNo=483", "Onsemi")</f>
        <v>Onsemi</v>
      </c>
      <c r="C1832" s="6">
        <v>6254</v>
      </c>
      <c r="D1832" s="7">
        <v>0.38</v>
      </c>
      <c r="E1832" t="s">
        <v>27</v>
      </c>
    </row>
    <row r="1833" spans="1:5" x14ac:dyDescent="0.25">
      <c r="A1833" t="str">
        <f>HYPERLINK("https://www.773grp.com/globalSearch/MC74AC02DT/page-1", "MC74AC02DT")</f>
        <v>MC74AC02DT</v>
      </c>
      <c r="B1833" s="3" t="str">
        <f>HYPERLINK("https://www.773grp.com/manufacturer/onsemi?pageNo=484", "Onsemi")</f>
        <v>Onsemi</v>
      </c>
      <c r="C1833" s="6">
        <v>5204</v>
      </c>
      <c r="D1833" s="7">
        <v>0.38</v>
      </c>
      <c r="E1833" t="s">
        <v>27</v>
      </c>
    </row>
    <row r="1834" spans="1:5" x14ac:dyDescent="0.25">
      <c r="A1834" t="str">
        <f>HYPERLINK("https://www.773grp.com/globalSearch/MC74AC02DTR2/page-1", "MC74AC02DTR2")</f>
        <v>MC74AC02DTR2</v>
      </c>
      <c r="B1834" s="3" t="str">
        <f>HYPERLINK("https://www.773grp.com/manufacturer/onsemi?pageNo=485", "Onsemi")</f>
        <v>Onsemi</v>
      </c>
      <c r="C1834" s="6">
        <v>125000</v>
      </c>
      <c r="D1834" s="7">
        <v>0.38</v>
      </c>
      <c r="E1834" t="s">
        <v>27</v>
      </c>
    </row>
    <row r="1835" spans="1:5" x14ac:dyDescent="0.25">
      <c r="A1835" t="str">
        <f>HYPERLINK("https://www.773grp.com/globalSearch/MC74AC02MEL/page-1", "MC74AC02MEL")</f>
        <v>MC74AC02MEL</v>
      </c>
      <c r="B1835" s="3" t="str">
        <f>HYPERLINK("https://www.773grp.com/manufacturer/onsemi?pageNo=486", "Onsemi")</f>
        <v>Onsemi</v>
      </c>
      <c r="C1835" s="6">
        <v>795</v>
      </c>
      <c r="D1835" s="7">
        <v>0.38</v>
      </c>
      <c r="E1835" t="s">
        <v>27</v>
      </c>
    </row>
    <row r="1836" spans="1:5" x14ac:dyDescent="0.25">
      <c r="A1836" t="str">
        <f>HYPERLINK("https://www.773grp.com/globalSearch/MC74AC02N/page-1", "MC74AC02N")</f>
        <v>MC74AC02N</v>
      </c>
      <c r="B1836" s="3" t="str">
        <f>HYPERLINK("https://www.773grp.com/manufacturer/onsemi?pageNo=487", "Onsemi")</f>
        <v>Onsemi</v>
      </c>
      <c r="C1836" s="6">
        <v>935</v>
      </c>
      <c r="D1836" s="7">
        <v>0.38</v>
      </c>
      <c r="E1836" t="s">
        <v>27</v>
      </c>
    </row>
    <row r="1837" spans="1:5" x14ac:dyDescent="0.25">
      <c r="A1837" t="str">
        <f>HYPERLINK("https://www.773grp.com/globalSearch/MC74AC04MEL/page-1", "MC74AC04MEL")</f>
        <v>MC74AC04MEL</v>
      </c>
      <c r="B1837" s="3" t="str">
        <f>HYPERLINK("https://www.773grp.com/manufacturer/onsemi?pageNo=488", "Onsemi")</f>
        <v>Onsemi</v>
      </c>
      <c r="C1837" s="6">
        <v>7445</v>
      </c>
      <c r="D1837" s="7">
        <v>0.38</v>
      </c>
      <c r="E1837" t="s">
        <v>27</v>
      </c>
    </row>
    <row r="1838" spans="1:5" x14ac:dyDescent="0.25">
      <c r="A1838" t="str">
        <f>HYPERLINK("https://www.773grp.com/globalSearch/MC74AC04N/page-1", "MC74AC04N")</f>
        <v>MC74AC04N</v>
      </c>
      <c r="B1838" s="3" t="str">
        <f>HYPERLINK("https://www.773grp.com/manufacturer/onsemi?pageNo=489", "Onsemi")</f>
        <v>Onsemi</v>
      </c>
      <c r="C1838" s="6">
        <v>11175</v>
      </c>
      <c r="D1838" s="7">
        <v>0.38</v>
      </c>
      <c r="E1838" t="s">
        <v>27</v>
      </c>
    </row>
    <row r="1839" spans="1:5" x14ac:dyDescent="0.25">
      <c r="A1839" t="str">
        <f>HYPERLINK("https://www.773grp.com/globalSearch/MC74AC05D/page-1", "MC74AC05D")</f>
        <v>MC74AC05D</v>
      </c>
      <c r="B1839" s="3" t="str">
        <f>HYPERLINK("https://www.773grp.com/manufacturer/onsemi?pageNo=490", "Onsemi")</f>
        <v>Onsemi</v>
      </c>
      <c r="C1839" s="6">
        <v>5370</v>
      </c>
      <c r="D1839" s="7">
        <v>0.38</v>
      </c>
      <c r="E1839" t="s">
        <v>27</v>
      </c>
    </row>
    <row r="1840" spans="1:5" x14ac:dyDescent="0.25">
      <c r="A1840" t="str">
        <f>HYPERLINK("https://www.773grp.com/globalSearch/MC74AC05DR2/page-1", "MC74AC05DR2")</f>
        <v>MC74AC05DR2</v>
      </c>
      <c r="B1840" s="3" t="str">
        <f>HYPERLINK("https://www.773grp.com/manufacturer/onsemi?pageNo=491", "Onsemi")</f>
        <v>Onsemi</v>
      </c>
      <c r="C1840" s="6">
        <v>10000</v>
      </c>
      <c r="D1840" s="7">
        <v>0.38</v>
      </c>
      <c r="E1840" t="s">
        <v>27</v>
      </c>
    </row>
    <row r="1841" spans="1:5" x14ac:dyDescent="0.25">
      <c r="A1841" t="str">
        <f>HYPERLINK("https://www.773grp.com/globalSearch/MC74AC08D/page-1", "MC74AC08D")</f>
        <v>MC74AC08D</v>
      </c>
      <c r="B1841" s="3" t="str">
        <f>HYPERLINK("https://www.773grp.com/manufacturer/onsemi?pageNo=492", "Onsemi")</f>
        <v>Onsemi</v>
      </c>
      <c r="C1841" s="6">
        <v>10960</v>
      </c>
      <c r="D1841" s="7">
        <v>0.38</v>
      </c>
      <c r="E1841" t="s">
        <v>27</v>
      </c>
    </row>
    <row r="1842" spans="1:5" x14ac:dyDescent="0.25">
      <c r="A1842" t="str">
        <f>HYPERLINK("https://www.773grp.com/globalSearch/MC74AC08MEL/page-1", "MC74AC08MEL")</f>
        <v>MC74AC08MEL</v>
      </c>
      <c r="B1842" s="3" t="str">
        <f>HYPERLINK("https://www.773grp.com/manufacturer/onsemi?pageNo=493", "Onsemi")</f>
        <v>Onsemi</v>
      </c>
      <c r="C1842" s="6">
        <v>6000</v>
      </c>
      <c r="D1842" s="7">
        <v>0.38</v>
      </c>
      <c r="E1842" t="s">
        <v>27</v>
      </c>
    </row>
    <row r="1843" spans="1:5" x14ac:dyDescent="0.25">
      <c r="A1843" t="str">
        <f>HYPERLINK("https://www.773grp.com/globalSearch/MC74AC08N/page-1", "MC74AC08N")</f>
        <v>MC74AC08N</v>
      </c>
      <c r="B1843" s="3" t="str">
        <f>HYPERLINK("https://www.773grp.com/manufacturer/onsemi?pageNo=494", "Onsemi")</f>
        <v>Onsemi</v>
      </c>
      <c r="C1843" s="6">
        <v>1266</v>
      </c>
      <c r="D1843" s="7">
        <v>0.38</v>
      </c>
      <c r="E1843" t="s">
        <v>27</v>
      </c>
    </row>
    <row r="1844" spans="1:5" x14ac:dyDescent="0.25">
      <c r="A1844" t="str">
        <f>HYPERLINK("https://www.773grp.com/globalSearch/MC74AC10DR2/page-1", "MC74AC10DR2")</f>
        <v>MC74AC10DR2</v>
      </c>
      <c r="B1844" s="3" t="str">
        <f>HYPERLINK("https://www.773grp.com/manufacturer/onsemi?pageNo=495", "Onsemi")</f>
        <v>Onsemi</v>
      </c>
      <c r="C1844" s="6">
        <v>12500</v>
      </c>
      <c r="D1844" s="7">
        <v>0.38</v>
      </c>
      <c r="E1844" t="s">
        <v>27</v>
      </c>
    </row>
    <row r="1845" spans="1:5" x14ac:dyDescent="0.25">
      <c r="A1845" t="str">
        <f>HYPERLINK("https://www.773grp.com/globalSearch/MC74AC10N/page-1", "MC74AC10N")</f>
        <v>MC74AC10N</v>
      </c>
      <c r="B1845" s="3" t="str">
        <f>HYPERLINK("https://www.773grp.com/manufacturer/onsemi?pageNo=496", "Onsemi")</f>
        <v>Onsemi</v>
      </c>
      <c r="C1845" s="6">
        <v>7058</v>
      </c>
      <c r="D1845" s="7">
        <v>0.38</v>
      </c>
      <c r="E1845" t="s">
        <v>27</v>
      </c>
    </row>
    <row r="1846" spans="1:5" x14ac:dyDescent="0.25">
      <c r="A1846" t="str">
        <f>HYPERLINK("https://www.773grp.com/globalSearch/MC74AC11D/page-1", "MC74AC11D")</f>
        <v>MC74AC11D</v>
      </c>
      <c r="B1846" s="3" t="str">
        <f>HYPERLINK("https://www.773grp.com/manufacturer/onsemi?pageNo=497", "Onsemi")</f>
        <v>Onsemi</v>
      </c>
      <c r="C1846" s="6">
        <v>16310</v>
      </c>
      <c r="D1846" s="7">
        <v>0.38</v>
      </c>
      <c r="E1846" t="s">
        <v>27</v>
      </c>
    </row>
    <row r="1847" spans="1:5" x14ac:dyDescent="0.25">
      <c r="A1847" t="str">
        <f>HYPERLINK("https://www.773grp.com/globalSearch/MC74AC11DR2/page-1", "MC74AC11DR2")</f>
        <v>MC74AC11DR2</v>
      </c>
      <c r="B1847" s="3" t="str">
        <f>HYPERLINK("https://www.773grp.com/manufacturer/onsemi?pageNo=498", "Onsemi")</f>
        <v>Onsemi</v>
      </c>
      <c r="C1847" s="6">
        <v>12500</v>
      </c>
      <c r="D1847" s="7">
        <v>0.38</v>
      </c>
      <c r="E1847" t="s">
        <v>27</v>
      </c>
    </row>
    <row r="1848" spans="1:5" x14ac:dyDescent="0.25">
      <c r="A1848" t="str">
        <f>HYPERLINK("https://www.773grp.com/globalSearch/MC74AC11MEL/page-1", "MC74AC11MEL")</f>
        <v>MC74AC11MEL</v>
      </c>
      <c r="B1848" s="3" t="str">
        <f>HYPERLINK("https://www.773grp.com/manufacturer/onsemi?pageNo=499", "Onsemi")</f>
        <v>Onsemi</v>
      </c>
      <c r="C1848" s="6">
        <v>1244</v>
      </c>
      <c r="D1848" s="7">
        <v>0.38</v>
      </c>
      <c r="E1848" t="s">
        <v>27</v>
      </c>
    </row>
    <row r="1849" spans="1:5" x14ac:dyDescent="0.25">
      <c r="A1849" t="str">
        <f>HYPERLINK("https://www.773grp.com/globalSearch/MC74AC11N/page-1", "MC74AC11N")</f>
        <v>MC74AC11N</v>
      </c>
      <c r="B1849" s="3" t="str">
        <f>HYPERLINK("https://www.773grp.com/manufacturer/onsemi?pageNo=500", "Onsemi")</f>
        <v>Onsemi</v>
      </c>
      <c r="C1849" s="6">
        <v>4525</v>
      </c>
      <c r="D1849" s="7">
        <v>0.38</v>
      </c>
      <c r="E1849" t="s">
        <v>27</v>
      </c>
    </row>
    <row r="1850" spans="1:5" x14ac:dyDescent="0.25">
      <c r="A1850" t="str">
        <f>HYPERLINK("https://www.773grp.com/globalSearch/MC74AC14D/page-1", "MC74AC14D")</f>
        <v>MC74AC14D</v>
      </c>
      <c r="B1850" s="3" t="str">
        <f>HYPERLINK("https://www.773grp.com/manufacturer/onsemi?pageNo=501", "Onsemi")</f>
        <v>Onsemi</v>
      </c>
      <c r="C1850" s="6">
        <v>5452</v>
      </c>
      <c r="D1850" s="7">
        <v>0.38</v>
      </c>
      <c r="E1850" t="s">
        <v>27</v>
      </c>
    </row>
    <row r="1851" spans="1:5" x14ac:dyDescent="0.25">
      <c r="A1851" t="str">
        <f>HYPERLINK("https://www.773grp.com/globalSearch/MC74AC20D/page-1", "MC74AC20D")</f>
        <v>MC74AC20D</v>
      </c>
      <c r="B1851" s="3" t="str">
        <f>HYPERLINK("https://www.773grp.com/manufacturer/onsemi?pageNo=502", "Onsemi")</f>
        <v>Onsemi</v>
      </c>
      <c r="C1851" s="6">
        <v>1210</v>
      </c>
      <c r="D1851" s="7">
        <v>0.38</v>
      </c>
      <c r="E1851" t="s">
        <v>27</v>
      </c>
    </row>
    <row r="1852" spans="1:5" x14ac:dyDescent="0.25">
      <c r="A1852" t="str">
        <f>HYPERLINK("https://www.773grp.com/globalSearch/MC74AC20MEL/page-1", "MC74AC20MEL")</f>
        <v>MC74AC20MEL</v>
      </c>
      <c r="B1852" s="3" t="str">
        <f>HYPERLINK("https://www.773grp.com/manufacturer/onsemi?pageNo=503", "Onsemi")</f>
        <v>Onsemi</v>
      </c>
      <c r="C1852" s="6">
        <v>5338</v>
      </c>
      <c r="D1852" s="7">
        <v>0.38</v>
      </c>
      <c r="E1852" t="s">
        <v>27</v>
      </c>
    </row>
    <row r="1853" spans="1:5" x14ac:dyDescent="0.25">
      <c r="A1853" t="str">
        <f>HYPERLINK("https://www.773grp.com/globalSearch/MC74AC32D/page-1", "MC74AC32D")</f>
        <v>MC74AC32D</v>
      </c>
      <c r="B1853" s="3" t="str">
        <f>HYPERLINK("https://www.773grp.com/manufacturer/onsemi?pageNo=504", "Onsemi")</f>
        <v>Onsemi</v>
      </c>
      <c r="C1853" s="6">
        <v>5535</v>
      </c>
      <c r="D1853" s="7">
        <v>0.38</v>
      </c>
      <c r="E1853" t="s">
        <v>27</v>
      </c>
    </row>
    <row r="1854" spans="1:5" x14ac:dyDescent="0.25">
      <c r="A1854" t="str">
        <f>HYPERLINK("https://www.773grp.com/globalSearch/MC74AC32DR2/page-1", "MC74AC32DR2")</f>
        <v>MC74AC32DR2</v>
      </c>
      <c r="B1854" s="3" t="str">
        <f>HYPERLINK("https://www.773grp.com/manufacturer/onsemi?pageNo=505", "Onsemi")</f>
        <v>Onsemi</v>
      </c>
      <c r="C1854" s="6">
        <v>104375</v>
      </c>
      <c r="D1854" s="7">
        <v>0.38</v>
      </c>
      <c r="E1854" t="s">
        <v>27</v>
      </c>
    </row>
    <row r="1855" spans="1:5" x14ac:dyDescent="0.25">
      <c r="A1855" t="str">
        <f>HYPERLINK("https://www.773grp.com/globalSearch/MC74AC32MEL/page-1", "MC74AC32MEL")</f>
        <v>MC74AC32MEL</v>
      </c>
      <c r="B1855" s="3" t="str">
        <f>HYPERLINK("https://www.773grp.com/manufacturer/onsemi?pageNo=506", "Onsemi")</f>
        <v>Onsemi</v>
      </c>
      <c r="C1855" s="6">
        <v>2000</v>
      </c>
      <c r="D1855" s="7">
        <v>0.38</v>
      </c>
      <c r="E1855" t="s">
        <v>27</v>
      </c>
    </row>
    <row r="1856" spans="1:5" x14ac:dyDescent="0.25">
      <c r="A1856" t="str">
        <f>HYPERLINK("https://www.773grp.com/globalSearch/MC74AC32N/page-1", "MC74AC32N")</f>
        <v>MC74AC32N</v>
      </c>
      <c r="B1856" s="3" t="str">
        <f>HYPERLINK("https://www.773grp.com/manufacturer/onsemi?pageNo=507", "Onsemi")</f>
        <v>Onsemi</v>
      </c>
      <c r="C1856" s="6">
        <v>4126</v>
      </c>
      <c r="D1856" s="7">
        <v>0.38</v>
      </c>
      <c r="E1856" t="s">
        <v>27</v>
      </c>
    </row>
    <row r="1857" spans="1:5" x14ac:dyDescent="0.25">
      <c r="A1857" t="str">
        <f>HYPERLINK("https://www.773grp.com/globalSearch/MC74AC74D/page-1", "MC74AC74D")</f>
        <v>MC74AC74D</v>
      </c>
      <c r="B1857" s="3" t="str">
        <f>HYPERLINK("https://www.773grp.com/manufacturer/onsemi?pageNo=508", "Onsemi")</f>
        <v>Onsemi</v>
      </c>
      <c r="C1857" s="6">
        <v>5705</v>
      </c>
      <c r="D1857" s="7">
        <v>0.38</v>
      </c>
      <c r="E1857" t="s">
        <v>31</v>
      </c>
    </row>
    <row r="1858" spans="1:5" x14ac:dyDescent="0.25">
      <c r="A1858" t="str">
        <f>HYPERLINK("https://www.773grp.com/globalSearch/MC74AC74DT/page-1", "MC74AC74DT")</f>
        <v>MC74AC74DT</v>
      </c>
      <c r="B1858" s="3" t="str">
        <f>HYPERLINK("https://www.773grp.com/manufacturer/onsemi?pageNo=509", "Onsemi")</f>
        <v>Onsemi</v>
      </c>
      <c r="C1858" s="6">
        <v>8120</v>
      </c>
      <c r="D1858" s="7">
        <v>0.38</v>
      </c>
      <c r="E1858" t="s">
        <v>31</v>
      </c>
    </row>
    <row r="1859" spans="1:5" x14ac:dyDescent="0.25">
      <c r="A1859" t="str">
        <f>HYPERLINK("https://www.773grp.com/globalSearch/MC74AC74MEL/page-1", "MC74AC74MEL")</f>
        <v>MC74AC74MEL</v>
      </c>
      <c r="B1859" s="3" t="str">
        <f>HYPERLINK("https://www.773grp.com/manufacturer/onsemi?pageNo=510", "Onsemi")</f>
        <v>Onsemi</v>
      </c>
      <c r="C1859" s="6">
        <v>895</v>
      </c>
      <c r="D1859" s="7">
        <v>0.38</v>
      </c>
      <c r="E1859" t="s">
        <v>31</v>
      </c>
    </row>
    <row r="1860" spans="1:5" x14ac:dyDescent="0.25">
      <c r="A1860" t="str">
        <f>HYPERLINK("https://www.773grp.com/globalSearch/MC74AC74N/page-1", "MC74AC74N")</f>
        <v>MC74AC74N</v>
      </c>
      <c r="B1860" s="3" t="str">
        <f>HYPERLINK("https://www.773grp.com/manufacturer/onsemi?pageNo=511", "Onsemi")</f>
        <v>Onsemi</v>
      </c>
      <c r="C1860" s="6">
        <v>650</v>
      </c>
      <c r="D1860" s="7">
        <v>0.38</v>
      </c>
      <c r="E1860" t="s">
        <v>31</v>
      </c>
    </row>
    <row r="1861" spans="1:5" x14ac:dyDescent="0.25">
      <c r="A1861" t="str">
        <f>HYPERLINK("https://www.773grp.com/globalSearch/MC74AC86D/page-1", "MC74AC86D")</f>
        <v>MC74AC86D</v>
      </c>
      <c r="B1861" s="3" t="str">
        <f>HYPERLINK("https://www.773grp.com/manufacturer/onsemi?pageNo=512", "Onsemi")</f>
        <v>Onsemi</v>
      </c>
      <c r="C1861" s="6">
        <v>8640</v>
      </c>
      <c r="D1861" s="7">
        <v>0.38</v>
      </c>
      <c r="E1861" t="s">
        <v>27</v>
      </c>
    </row>
    <row r="1862" spans="1:5" x14ac:dyDescent="0.25">
      <c r="A1862" t="str">
        <f>HYPERLINK("https://www.773grp.com/globalSearch/MC74AC86DR2/page-1", "MC74AC86DR2")</f>
        <v>MC74AC86DR2</v>
      </c>
      <c r="B1862" s="3" t="str">
        <f>HYPERLINK("https://www.773grp.com/manufacturer/onsemi?pageNo=513", "Onsemi")</f>
        <v>Onsemi</v>
      </c>
      <c r="C1862" s="6">
        <v>5572</v>
      </c>
      <c r="D1862" s="7">
        <v>0.38</v>
      </c>
      <c r="E1862" t="s">
        <v>27</v>
      </c>
    </row>
    <row r="1863" spans="1:5" x14ac:dyDescent="0.25">
      <c r="A1863" t="str">
        <f>HYPERLINK("https://www.773grp.com/globalSearch/MC74AC86DTR2/page-1", "MC74AC86DTR2")</f>
        <v>MC74AC86DTR2</v>
      </c>
      <c r="B1863" s="3" t="str">
        <f>HYPERLINK("https://www.773grp.com/manufacturer/onsemi?pageNo=514", "Onsemi")</f>
        <v>Onsemi</v>
      </c>
      <c r="C1863" s="6">
        <v>10000</v>
      </c>
      <c r="D1863" s="7">
        <v>0.38</v>
      </c>
      <c r="E1863" t="s">
        <v>27</v>
      </c>
    </row>
    <row r="1864" spans="1:5" x14ac:dyDescent="0.25">
      <c r="A1864" t="str">
        <f>HYPERLINK("https://www.773grp.com/globalSearch/MC74AC86N/page-1", "MC74AC86N")</f>
        <v>MC74AC86N</v>
      </c>
      <c r="B1864" s="3" t="str">
        <f>HYPERLINK("https://www.773grp.com/manufacturer/onsemi?pageNo=515", "Onsemi")</f>
        <v>Onsemi</v>
      </c>
      <c r="C1864" s="6">
        <v>11100</v>
      </c>
      <c r="D1864" s="7">
        <v>0.38</v>
      </c>
      <c r="E1864" t="s">
        <v>27</v>
      </c>
    </row>
    <row r="1865" spans="1:5" x14ac:dyDescent="0.25">
      <c r="A1865" t="str">
        <f>HYPERLINK("https://www.773grp.com/globalSearch/MC74ACT00D/page-1", "MC74ACT00D")</f>
        <v>MC74ACT00D</v>
      </c>
      <c r="B1865" s="3" t="str">
        <f>HYPERLINK("https://www.773grp.com/manufacturer/onsemi?pageNo=516", "Onsemi")</f>
        <v>Onsemi</v>
      </c>
      <c r="C1865" s="6">
        <v>3457</v>
      </c>
      <c r="D1865" s="7">
        <v>0.38</v>
      </c>
      <c r="E1865" t="s">
        <v>27</v>
      </c>
    </row>
    <row r="1866" spans="1:5" x14ac:dyDescent="0.25">
      <c r="A1866" t="str">
        <f>HYPERLINK("https://www.773grp.com/globalSearch/MC74ACT00DTR2/page-1", "MC74ACT00DTR2")</f>
        <v>MC74ACT00DTR2</v>
      </c>
      <c r="B1866" s="3" t="str">
        <f>HYPERLINK("https://www.773grp.com/manufacturer/onsemi?pageNo=517", "Onsemi")</f>
        <v>Onsemi</v>
      </c>
      <c r="C1866" s="6">
        <v>2488</v>
      </c>
      <c r="D1866" s="7">
        <v>0.38</v>
      </c>
      <c r="E1866" t="s">
        <v>27</v>
      </c>
    </row>
    <row r="1867" spans="1:5" x14ac:dyDescent="0.25">
      <c r="A1867" t="str">
        <f>HYPERLINK("https://www.773grp.com/globalSearch/MC74ACT00M/page-1", "MC74ACT00M")</f>
        <v>MC74ACT00M</v>
      </c>
      <c r="B1867" s="3" t="str">
        <f>HYPERLINK("https://www.773grp.com/manufacturer/onsemi?pageNo=518", "Onsemi")</f>
        <v>Onsemi</v>
      </c>
      <c r="C1867" s="6">
        <v>1092</v>
      </c>
      <c r="D1867" s="7">
        <v>0.38</v>
      </c>
      <c r="E1867" t="s">
        <v>27</v>
      </c>
    </row>
    <row r="1868" spans="1:5" x14ac:dyDescent="0.25">
      <c r="A1868" t="str">
        <f>HYPERLINK("https://www.773grp.com/globalSearch/MC74ACT00N/page-1", "MC74ACT00N")</f>
        <v>MC74ACT00N</v>
      </c>
      <c r="B1868" s="3" t="str">
        <f>HYPERLINK("https://www.773grp.com/manufacturer/onsemi?pageNo=519", "Onsemi")</f>
        <v>Onsemi</v>
      </c>
      <c r="C1868" s="6">
        <v>7475</v>
      </c>
      <c r="D1868" s="7">
        <v>0.38</v>
      </c>
      <c r="E1868" t="s">
        <v>27</v>
      </c>
    </row>
    <row r="1869" spans="1:5" x14ac:dyDescent="0.25">
      <c r="A1869" t="str">
        <f>HYPERLINK("https://www.773grp.com/globalSearch/MC74ACT02D/page-1", "MC74ACT02D")</f>
        <v>MC74ACT02D</v>
      </c>
      <c r="B1869" s="3" t="str">
        <f>HYPERLINK("https://www.773grp.com/manufacturer/onsemi?pageNo=520", "Onsemi")</f>
        <v>Onsemi</v>
      </c>
      <c r="C1869" s="6">
        <v>7816</v>
      </c>
      <c r="D1869" s="7">
        <v>0.38</v>
      </c>
      <c r="E1869" t="s">
        <v>27</v>
      </c>
    </row>
    <row r="1870" spans="1:5" x14ac:dyDescent="0.25">
      <c r="A1870" t="str">
        <f>HYPERLINK("https://www.773grp.com/globalSearch/MC74ACT02DTR2/page-1", "MC74ACT02DTR2")</f>
        <v>MC74ACT02DTR2</v>
      </c>
      <c r="B1870" s="3" t="str">
        <f>HYPERLINK("https://www.773grp.com/manufacturer/onsemi?pageNo=521", "Onsemi")</f>
        <v>Onsemi</v>
      </c>
      <c r="C1870" s="6">
        <v>5000</v>
      </c>
      <c r="D1870" s="7">
        <v>0.38</v>
      </c>
      <c r="E1870" t="s">
        <v>27</v>
      </c>
    </row>
    <row r="1871" spans="1:5" x14ac:dyDescent="0.25">
      <c r="A1871" t="str">
        <f>HYPERLINK("https://www.773grp.com/globalSearch/MC74ACT02N/page-1", "MC74ACT02N")</f>
        <v>MC74ACT02N</v>
      </c>
      <c r="B1871" s="3" t="str">
        <f>HYPERLINK("https://www.773grp.com/manufacturer/onsemi?pageNo=522", "Onsemi")</f>
        <v>Onsemi</v>
      </c>
      <c r="C1871" s="6">
        <v>76</v>
      </c>
      <c r="D1871" s="7">
        <v>0.38</v>
      </c>
      <c r="E1871" t="s">
        <v>27</v>
      </c>
    </row>
    <row r="1872" spans="1:5" x14ac:dyDescent="0.25">
      <c r="A1872" t="str">
        <f>HYPERLINK("https://www.773grp.com/globalSearch/MC74ACT04D/page-1", "MC74ACT04D")</f>
        <v>MC74ACT04D</v>
      </c>
      <c r="B1872" s="3" t="str">
        <f>HYPERLINK("https://www.773grp.com/manufacturer/onsemi?pageNo=523", "Onsemi")</f>
        <v>Onsemi</v>
      </c>
      <c r="C1872" s="6">
        <v>19236</v>
      </c>
      <c r="D1872" s="7">
        <v>0.38</v>
      </c>
      <c r="E1872" t="s">
        <v>27</v>
      </c>
    </row>
    <row r="1873" spans="1:5" x14ac:dyDescent="0.25">
      <c r="A1873" t="str">
        <f>HYPERLINK("https://www.773grp.com/globalSearch/MC74ACT04DR2/page-1", "MC74ACT04DR2")</f>
        <v>MC74ACT04DR2</v>
      </c>
      <c r="B1873" s="3" t="str">
        <f>HYPERLINK("https://www.773grp.com/manufacturer/onsemi?pageNo=524", "Onsemi")</f>
        <v>Onsemi</v>
      </c>
      <c r="C1873" s="6">
        <v>31692</v>
      </c>
      <c r="D1873" s="7">
        <v>0.38</v>
      </c>
      <c r="E1873" t="s">
        <v>27</v>
      </c>
    </row>
    <row r="1874" spans="1:5" x14ac:dyDescent="0.25">
      <c r="A1874" t="str">
        <f>HYPERLINK("https://www.773grp.com/globalSearch/MC74ACT04DTR2/page-1", "MC74ACT04DTR2")</f>
        <v>MC74ACT04DTR2</v>
      </c>
      <c r="B1874" s="3" t="str">
        <f>HYPERLINK("https://www.773grp.com/manufacturer/onsemi?pageNo=525", "Onsemi")</f>
        <v>Onsemi</v>
      </c>
      <c r="C1874" s="6">
        <v>7500</v>
      </c>
      <c r="D1874" s="7">
        <v>0.38</v>
      </c>
      <c r="E1874" t="s">
        <v>27</v>
      </c>
    </row>
    <row r="1875" spans="1:5" x14ac:dyDescent="0.25">
      <c r="A1875" t="str">
        <f>HYPERLINK("https://www.773grp.com/globalSearch/MC74ACT04M/page-1", "MC74ACT04M")</f>
        <v>MC74ACT04M</v>
      </c>
      <c r="B1875" s="3" t="str">
        <f>HYPERLINK("https://www.773grp.com/manufacturer/onsemi?pageNo=526", "Onsemi")</f>
        <v>Onsemi</v>
      </c>
      <c r="C1875" s="6">
        <v>2</v>
      </c>
      <c r="D1875" s="7">
        <v>0.38</v>
      </c>
      <c r="E1875" t="s">
        <v>27</v>
      </c>
    </row>
    <row r="1876" spans="1:5" x14ac:dyDescent="0.25">
      <c r="A1876" t="str">
        <f>HYPERLINK("https://www.773grp.com/globalSearch/MC74ACT04N/page-1", "MC74ACT04N")</f>
        <v>MC74ACT04N</v>
      </c>
      <c r="B1876" s="3" t="str">
        <f>HYPERLINK("https://www.773grp.com/manufacturer/onsemi?pageNo=527", "Onsemi")</f>
        <v>Onsemi</v>
      </c>
      <c r="C1876" s="6">
        <v>550</v>
      </c>
      <c r="D1876" s="7">
        <v>0.38</v>
      </c>
      <c r="E1876" t="s">
        <v>27</v>
      </c>
    </row>
    <row r="1877" spans="1:5" x14ac:dyDescent="0.25">
      <c r="A1877" t="str">
        <f>HYPERLINK("https://www.773grp.com/globalSearch/MC74ACT05D/page-1", "MC74ACT05D")</f>
        <v>MC74ACT05D</v>
      </c>
      <c r="B1877" s="3" t="str">
        <f>HYPERLINK("https://www.773grp.com/manufacturer/onsemi?pageNo=528", "Onsemi")</f>
        <v>Onsemi</v>
      </c>
      <c r="C1877" s="6">
        <v>22595</v>
      </c>
      <c r="D1877" s="7">
        <v>0.38</v>
      </c>
      <c r="E1877" t="s">
        <v>27</v>
      </c>
    </row>
    <row r="1878" spans="1:5" x14ac:dyDescent="0.25">
      <c r="A1878" t="str">
        <f>HYPERLINK("https://www.773grp.com/globalSearch/MC74ACT05DR2/page-1", "MC74ACT05DR2")</f>
        <v>MC74ACT05DR2</v>
      </c>
      <c r="B1878" s="3" t="str">
        <f>HYPERLINK("https://www.773grp.com/manufacturer/onsemi?pageNo=529", "Onsemi")</f>
        <v>Onsemi</v>
      </c>
      <c r="C1878" s="6">
        <v>54330</v>
      </c>
      <c r="D1878" s="7">
        <v>0.38</v>
      </c>
      <c r="E1878" t="s">
        <v>27</v>
      </c>
    </row>
    <row r="1879" spans="1:5" x14ac:dyDescent="0.25">
      <c r="A1879" t="str">
        <f>HYPERLINK("https://www.773grp.com/globalSearch/MC74ACT05DT/page-1", "MC74ACT05DT")</f>
        <v>MC74ACT05DT</v>
      </c>
      <c r="B1879" s="3" t="str">
        <f>HYPERLINK("https://www.773grp.com/manufacturer/onsemi?pageNo=530", "Onsemi")</f>
        <v>Onsemi</v>
      </c>
      <c r="C1879" s="6">
        <v>4512</v>
      </c>
      <c r="D1879" s="7">
        <v>0.38</v>
      </c>
      <c r="E1879" t="s">
        <v>27</v>
      </c>
    </row>
    <row r="1880" spans="1:5" x14ac:dyDescent="0.25">
      <c r="A1880" t="str">
        <f>HYPERLINK("https://www.773grp.com/globalSearch/MC74ACT05DT/page-1", "MC74ACT05DT")</f>
        <v>MC74ACT05DT</v>
      </c>
      <c r="B1880" s="3" t="str">
        <f>HYPERLINK("https://www.773grp.com/manufacturer/onsemi?pageNo=531", "Onsemi")</f>
        <v>Onsemi</v>
      </c>
      <c r="C1880" s="6">
        <v>536</v>
      </c>
      <c r="D1880" s="7">
        <v>0.38</v>
      </c>
      <c r="E1880" t="s">
        <v>27</v>
      </c>
    </row>
    <row r="1881" spans="1:5" x14ac:dyDescent="0.25">
      <c r="A1881" t="str">
        <f>HYPERLINK("https://www.773grp.com/globalSearch/MC74ACT05MEL/page-1", "MC74ACT05MEL")</f>
        <v>MC74ACT05MEL</v>
      </c>
      <c r="B1881" s="3" t="str">
        <f>HYPERLINK("https://www.773grp.com/manufacturer/onsemi?pageNo=532", "Onsemi")</f>
        <v>Onsemi</v>
      </c>
      <c r="C1881" s="6">
        <v>1036</v>
      </c>
      <c r="D1881" s="7">
        <v>0.38</v>
      </c>
      <c r="E1881" t="s">
        <v>27</v>
      </c>
    </row>
    <row r="1882" spans="1:5" x14ac:dyDescent="0.25">
      <c r="A1882" t="str">
        <f>HYPERLINK("https://www.773grp.com/globalSearch/MC74ACT08DT/page-1", "MC74ACT08DT")</f>
        <v>MC74ACT08DT</v>
      </c>
      <c r="B1882" s="3" t="str">
        <f>HYPERLINK("https://www.773grp.com/manufacturer/onsemi?pageNo=533", "Onsemi")</f>
        <v>Onsemi</v>
      </c>
      <c r="C1882" s="6">
        <v>20928</v>
      </c>
      <c r="D1882" s="7">
        <v>0.38</v>
      </c>
      <c r="E1882" t="s">
        <v>27</v>
      </c>
    </row>
    <row r="1883" spans="1:5" x14ac:dyDescent="0.25">
      <c r="A1883" t="str">
        <f>HYPERLINK("https://www.773grp.com/globalSearch/MC74ACT08DT/page-1", "MC74ACT08DT")</f>
        <v>MC74ACT08DT</v>
      </c>
      <c r="B1883" s="3" t="str">
        <f>HYPERLINK("https://www.773grp.com/manufacturer/onsemi?pageNo=534", "Onsemi")</f>
        <v>Onsemi</v>
      </c>
      <c r="C1883" s="6">
        <v>113</v>
      </c>
      <c r="D1883" s="7">
        <v>0.38</v>
      </c>
      <c r="E1883" t="s">
        <v>27</v>
      </c>
    </row>
    <row r="1884" spans="1:5" x14ac:dyDescent="0.25">
      <c r="A1884" t="str">
        <f>HYPERLINK("https://www.773grp.com/globalSearch/MC74ACT08DTR2/page-1", "MC74ACT08DTR2")</f>
        <v>MC74ACT08DTR2</v>
      </c>
      <c r="B1884" s="3" t="str">
        <f>HYPERLINK("https://www.773grp.com/manufacturer/onsemi?pageNo=535", "Onsemi")</f>
        <v>Onsemi</v>
      </c>
      <c r="C1884" s="6">
        <v>37500</v>
      </c>
      <c r="D1884" s="7">
        <v>0.38</v>
      </c>
      <c r="E1884" t="s">
        <v>27</v>
      </c>
    </row>
    <row r="1885" spans="1:5" x14ac:dyDescent="0.25">
      <c r="A1885" t="str">
        <f>HYPERLINK("https://www.773grp.com/globalSearch/MC74ACT08MELG/page-1", "MC74ACT08MELG")</f>
        <v>MC74ACT08MELG</v>
      </c>
      <c r="B1885" s="3" t="str">
        <f>HYPERLINK("https://www.773grp.com/manufacturer/onsemi?pageNo=536", "Onsemi")</f>
        <v>Onsemi</v>
      </c>
      <c r="C1885" s="6">
        <v>6000</v>
      </c>
      <c r="D1885" s="7">
        <v>0.38</v>
      </c>
      <c r="E1885" t="s">
        <v>27</v>
      </c>
    </row>
    <row r="1886" spans="1:5" x14ac:dyDescent="0.25">
      <c r="A1886" t="str">
        <f>HYPERLINK("https://www.773grp.com/globalSearch/MC74ACT08N/page-1", "MC74ACT08N")</f>
        <v>MC74ACT08N</v>
      </c>
      <c r="B1886" s="3" t="str">
        <f>HYPERLINK("https://www.773grp.com/manufacturer/onsemi?pageNo=537", "Onsemi")</f>
        <v>Onsemi</v>
      </c>
      <c r="C1886" s="6">
        <v>31000</v>
      </c>
      <c r="D1886" s="7">
        <v>0.38</v>
      </c>
      <c r="E1886" t="s">
        <v>27</v>
      </c>
    </row>
    <row r="1887" spans="1:5" x14ac:dyDescent="0.25">
      <c r="A1887" t="str">
        <f>HYPERLINK("https://www.773grp.com/globalSearch/MC74ACT10N/page-1", "MC74ACT10N")</f>
        <v>MC74ACT10N</v>
      </c>
      <c r="B1887" s="3" t="str">
        <f>HYPERLINK("https://www.773grp.com/manufacturer/onsemi?pageNo=538", "Onsemi")</f>
        <v>Onsemi</v>
      </c>
      <c r="C1887" s="6">
        <v>4425</v>
      </c>
      <c r="D1887" s="7">
        <v>0.38</v>
      </c>
      <c r="E1887" t="s">
        <v>27</v>
      </c>
    </row>
    <row r="1888" spans="1:5" x14ac:dyDescent="0.25">
      <c r="A1888" t="str">
        <f>HYPERLINK("https://www.773grp.com/globalSearch/MC74ACT11MEL/page-1", "MC74ACT11MEL")</f>
        <v>MC74ACT11MEL</v>
      </c>
      <c r="B1888" s="3" t="str">
        <f>HYPERLINK("https://www.773grp.com/manufacturer/onsemi?pageNo=539", "Onsemi")</f>
        <v>Onsemi</v>
      </c>
      <c r="C1888" s="6">
        <v>2000</v>
      </c>
      <c r="D1888" s="7">
        <v>0.38</v>
      </c>
      <c r="E1888" t="s">
        <v>27</v>
      </c>
    </row>
    <row r="1889" spans="1:5" x14ac:dyDescent="0.25">
      <c r="A1889" t="str">
        <f>HYPERLINK("https://www.773grp.com/globalSearch/MC74ACT14DR2/page-1", "MC74ACT14DR2")</f>
        <v>MC74ACT14DR2</v>
      </c>
      <c r="B1889" s="3" t="str">
        <f>HYPERLINK("https://www.773grp.com/manufacturer/onsemi?pageNo=540", "Onsemi")</f>
        <v>Onsemi</v>
      </c>
      <c r="C1889" s="6">
        <v>1</v>
      </c>
      <c r="D1889" s="7">
        <v>0.38</v>
      </c>
      <c r="E1889" t="s">
        <v>27</v>
      </c>
    </row>
    <row r="1890" spans="1:5" x14ac:dyDescent="0.25">
      <c r="A1890" t="str">
        <f>HYPERLINK("https://www.773grp.com/globalSearch/MC74ACT14MEL/page-1", "MC74ACT14MEL")</f>
        <v>MC74ACT14MEL</v>
      </c>
      <c r="B1890" s="3" t="str">
        <f>HYPERLINK("https://www.773grp.com/manufacturer/onsemi?pageNo=541", "Onsemi")</f>
        <v>Onsemi</v>
      </c>
      <c r="C1890" s="6">
        <v>2660</v>
      </c>
      <c r="D1890" s="7">
        <v>0.38</v>
      </c>
      <c r="E1890" t="s">
        <v>27</v>
      </c>
    </row>
    <row r="1891" spans="1:5" x14ac:dyDescent="0.25">
      <c r="A1891" t="str">
        <f>HYPERLINK("https://www.773grp.com/globalSearch/MC74ACT20D/page-1", "MC74ACT20D")</f>
        <v>MC74ACT20D</v>
      </c>
      <c r="B1891" s="3" t="str">
        <f>HYPERLINK("https://www.773grp.com/manufacturer/onsemi?pageNo=542", "Onsemi")</f>
        <v>Onsemi</v>
      </c>
      <c r="C1891" s="6">
        <v>130</v>
      </c>
      <c r="D1891" s="7">
        <v>0.38</v>
      </c>
      <c r="E1891" t="s">
        <v>27</v>
      </c>
    </row>
    <row r="1892" spans="1:5" x14ac:dyDescent="0.25">
      <c r="A1892" t="str">
        <f>HYPERLINK("https://www.773grp.com/globalSearch/MC74ACT20DR2/page-1", "MC74ACT20DR2")</f>
        <v>MC74ACT20DR2</v>
      </c>
      <c r="B1892" s="3" t="str">
        <f>HYPERLINK("https://www.773grp.com/manufacturer/onsemi?pageNo=543", "Onsemi")</f>
        <v>Onsemi</v>
      </c>
      <c r="C1892" s="6">
        <v>26428</v>
      </c>
      <c r="D1892" s="7">
        <v>0.38</v>
      </c>
      <c r="E1892" t="s">
        <v>27</v>
      </c>
    </row>
    <row r="1893" spans="1:5" x14ac:dyDescent="0.25">
      <c r="A1893" t="str">
        <f>HYPERLINK("https://www.773grp.com/globalSearch/MC74ACT20N/page-1", "MC74ACT20N")</f>
        <v>MC74ACT20N</v>
      </c>
      <c r="B1893" s="3" t="str">
        <f>HYPERLINK("https://www.773grp.com/manufacturer/onsemi?pageNo=544", "Onsemi")</f>
        <v>Onsemi</v>
      </c>
      <c r="C1893" s="6">
        <v>2000</v>
      </c>
      <c r="D1893" s="7">
        <v>0.38</v>
      </c>
      <c r="E1893" t="s">
        <v>27</v>
      </c>
    </row>
    <row r="1894" spans="1:5" x14ac:dyDescent="0.25">
      <c r="A1894" t="str">
        <f>HYPERLINK("https://www.773grp.com/globalSearch/MC74ACT32D/page-1", "MC74ACT32D")</f>
        <v>MC74ACT32D</v>
      </c>
      <c r="B1894" s="3" t="str">
        <f>HYPERLINK("https://www.773grp.com/manufacturer/onsemi?pageNo=545", "Onsemi")</f>
        <v>Onsemi</v>
      </c>
      <c r="C1894" s="6">
        <v>5119</v>
      </c>
      <c r="D1894" s="7">
        <v>0.38</v>
      </c>
      <c r="E1894" t="s">
        <v>27</v>
      </c>
    </row>
    <row r="1895" spans="1:5" x14ac:dyDescent="0.25">
      <c r="A1895" t="str">
        <f>HYPERLINK("https://www.773grp.com/globalSearch/MC74ACT32MELG/page-1", "MC74ACT32MELG")</f>
        <v>MC74ACT32MELG</v>
      </c>
      <c r="B1895" s="3" t="str">
        <f>HYPERLINK("https://www.773grp.com/manufacturer/onsemi?pageNo=546", "Onsemi")</f>
        <v>Onsemi</v>
      </c>
      <c r="C1895" s="6">
        <v>2872</v>
      </c>
      <c r="D1895" s="7">
        <v>0.38</v>
      </c>
      <c r="E1895" t="s">
        <v>27</v>
      </c>
    </row>
    <row r="1896" spans="1:5" x14ac:dyDescent="0.25">
      <c r="A1896" t="str">
        <f>HYPERLINK("https://www.773grp.com/globalSearch/MC74ACT74D/page-1", "MC74ACT74D")</f>
        <v>MC74ACT74D</v>
      </c>
      <c r="B1896" s="3" t="str">
        <f>HYPERLINK("https://www.773grp.com/manufacturer/onsemi?pageNo=547", "Onsemi")</f>
        <v>Onsemi</v>
      </c>
      <c r="C1896" s="6">
        <v>9008</v>
      </c>
      <c r="D1896" s="7">
        <v>0.38</v>
      </c>
      <c r="E1896" t="s">
        <v>31</v>
      </c>
    </row>
    <row r="1897" spans="1:5" x14ac:dyDescent="0.25">
      <c r="A1897" t="str">
        <f>HYPERLINK("https://www.773grp.com/globalSearch/MC74ACT74N/page-1", "MC74ACT74N")</f>
        <v>MC74ACT74N</v>
      </c>
      <c r="B1897" s="3" t="str">
        <f>HYPERLINK("https://www.773grp.com/manufacturer/onsemi?pageNo=548", "Onsemi")</f>
        <v>Onsemi</v>
      </c>
      <c r="C1897" s="6">
        <v>185</v>
      </c>
      <c r="D1897" s="7">
        <v>0.38</v>
      </c>
      <c r="E1897" t="s">
        <v>31</v>
      </c>
    </row>
    <row r="1898" spans="1:5" x14ac:dyDescent="0.25">
      <c r="A1898" t="str">
        <f>HYPERLINK("https://www.773grp.com/globalSearch/MC74ACT86D/page-1", "MC74ACT86D")</f>
        <v>MC74ACT86D</v>
      </c>
      <c r="B1898" s="3" t="str">
        <f>HYPERLINK("https://www.773grp.com/manufacturer/onsemi?pageNo=549", "Onsemi")</f>
        <v>Onsemi</v>
      </c>
      <c r="C1898" s="6">
        <v>9638</v>
      </c>
      <c r="D1898" s="7">
        <v>0.38</v>
      </c>
      <c r="E1898" t="s">
        <v>27</v>
      </c>
    </row>
    <row r="1899" spans="1:5" x14ac:dyDescent="0.25">
      <c r="A1899" t="str">
        <f>HYPERLINK("https://www.773grp.com/globalSearch/MC74ACT86DR2/page-1", "MC74ACT86DR2")</f>
        <v>MC74ACT86DR2</v>
      </c>
      <c r="B1899" s="3" t="str">
        <f>HYPERLINK("https://www.773grp.com/manufacturer/onsemi?pageNo=550", "Onsemi")</f>
        <v>Onsemi</v>
      </c>
      <c r="C1899" s="6">
        <v>18700</v>
      </c>
      <c r="D1899" s="7">
        <v>0.38</v>
      </c>
      <c r="E1899" t="s">
        <v>27</v>
      </c>
    </row>
    <row r="1900" spans="1:5" x14ac:dyDescent="0.25">
      <c r="A1900" t="str">
        <f>HYPERLINK("https://www.773grp.com/globalSearch/MC74ACT86DT/page-1", "MC74ACT86DT")</f>
        <v>MC74ACT86DT</v>
      </c>
      <c r="B1900" s="3" t="str">
        <f>HYPERLINK("https://www.773grp.com/manufacturer/onsemi?pageNo=551", "Onsemi")</f>
        <v>Onsemi</v>
      </c>
      <c r="C1900" s="6">
        <v>5412</v>
      </c>
      <c r="D1900" s="7">
        <v>0.38</v>
      </c>
      <c r="E1900" t="s">
        <v>27</v>
      </c>
    </row>
    <row r="1901" spans="1:5" x14ac:dyDescent="0.25">
      <c r="A1901" t="str">
        <f>HYPERLINK("https://www.773grp.com/globalSearch/MC74ACT86DTR2/page-1", "MC74ACT86DTR2")</f>
        <v>MC74ACT86DTR2</v>
      </c>
      <c r="B1901" s="3" t="str">
        <f>HYPERLINK("https://www.773grp.com/manufacturer/onsemi?pageNo=552", "Onsemi")</f>
        <v>Onsemi</v>
      </c>
      <c r="C1901" s="6">
        <v>2500</v>
      </c>
      <c r="D1901" s="7">
        <v>0.38</v>
      </c>
      <c r="E1901" t="s">
        <v>27</v>
      </c>
    </row>
    <row r="1902" spans="1:5" x14ac:dyDescent="0.25">
      <c r="A1902" t="str">
        <f>HYPERLINK("https://www.773grp.com/globalSearch/MC74ACT86MEL/page-1", "MC74ACT86MEL")</f>
        <v>MC74ACT86MEL</v>
      </c>
      <c r="B1902" s="3" t="str">
        <f>HYPERLINK("https://www.773grp.com/manufacturer/onsemi?pageNo=553", "Onsemi")</f>
        <v>Onsemi</v>
      </c>
      <c r="C1902" s="6">
        <v>2000</v>
      </c>
      <c r="D1902" s="7">
        <v>0.38</v>
      </c>
      <c r="E1902" t="s">
        <v>27</v>
      </c>
    </row>
    <row r="1903" spans="1:5" x14ac:dyDescent="0.25">
      <c r="A1903" t="str">
        <f>HYPERLINK("https://www.773grp.com/globalSearch/MC74ACT86N/page-1", "MC74ACT86N")</f>
        <v>MC74ACT86N</v>
      </c>
      <c r="B1903" s="3" t="str">
        <f>HYPERLINK("https://www.773grp.com/manufacturer/onsemi?pageNo=554", "Onsemi")</f>
        <v>Onsemi</v>
      </c>
      <c r="C1903" s="6">
        <v>4225</v>
      </c>
      <c r="D1903" s="7">
        <v>0.38</v>
      </c>
      <c r="E1903" t="s">
        <v>27</v>
      </c>
    </row>
    <row r="1904" spans="1:5" x14ac:dyDescent="0.25">
      <c r="A1904" t="str">
        <f>HYPERLINK("https://www.773grp.com/globalSearch/MC74HC00AF/page-1", "MC74HC00AF")</f>
        <v>MC74HC00AF</v>
      </c>
      <c r="B1904" s="3" t="str">
        <f>HYPERLINK("https://www.773grp.com/manufacturer/onsemi?pageNo=555", "Onsemi")</f>
        <v>Onsemi</v>
      </c>
      <c r="C1904" s="6">
        <v>3927</v>
      </c>
      <c r="D1904" s="7">
        <v>0.38</v>
      </c>
      <c r="E1904" t="s">
        <v>27</v>
      </c>
    </row>
    <row r="1905" spans="1:5" x14ac:dyDescent="0.25">
      <c r="A1905" t="str">
        <f>HYPERLINK("https://www.773grp.com/globalSearch/MC74HC00AFEL/page-1", "MC74HC00AFEL")</f>
        <v>MC74HC00AFEL</v>
      </c>
      <c r="B1905" s="3" t="str">
        <f>HYPERLINK("https://www.773grp.com/manufacturer/onsemi?pageNo=556", "Onsemi")</f>
        <v>Onsemi</v>
      </c>
      <c r="C1905" s="6">
        <v>12000</v>
      </c>
      <c r="D1905" s="7">
        <v>0.38</v>
      </c>
      <c r="E1905" t="s">
        <v>27</v>
      </c>
    </row>
    <row r="1906" spans="1:5" x14ac:dyDescent="0.25">
      <c r="A1906" t="str">
        <f>HYPERLINK("https://www.773grp.com/globalSearch/MC74HC02AFELG/page-1", "MC74HC02AFELG")</f>
        <v>MC74HC02AFELG</v>
      </c>
      <c r="B1906" s="3" t="str">
        <f>HYPERLINK("https://www.773grp.com/manufacturer/onsemi?pageNo=557", "Onsemi")</f>
        <v>Onsemi</v>
      </c>
      <c r="C1906" s="6">
        <v>7748</v>
      </c>
      <c r="D1906" s="7">
        <v>0.38</v>
      </c>
      <c r="E1906" t="s">
        <v>27</v>
      </c>
    </row>
    <row r="1907" spans="1:5" x14ac:dyDescent="0.25">
      <c r="A1907" t="str">
        <f>HYPERLINK("https://www.773grp.com/globalSearch/MC74HC02AN/page-1", "MC74HC02AN")</f>
        <v>MC74HC02AN</v>
      </c>
      <c r="B1907" s="3" t="str">
        <f>HYPERLINK("https://www.773grp.com/manufacturer/onsemi?pageNo=558", "Onsemi")</f>
        <v>Onsemi</v>
      </c>
      <c r="C1907" s="6">
        <v>8926</v>
      </c>
      <c r="D1907" s="7">
        <v>0.38</v>
      </c>
      <c r="E1907" t="s">
        <v>27</v>
      </c>
    </row>
    <row r="1908" spans="1:5" x14ac:dyDescent="0.25">
      <c r="A1908" t="str">
        <f>HYPERLINK("https://www.773grp.com/globalSearch/MC74HC03ADTR2/page-1", "MC74HC03ADTR2")</f>
        <v>MC74HC03ADTR2</v>
      </c>
      <c r="B1908" s="3" t="str">
        <f>HYPERLINK("https://www.773grp.com/manufacturer/onsemi?pageNo=559", "Onsemi")</f>
        <v>Onsemi</v>
      </c>
      <c r="C1908" s="6">
        <v>5000</v>
      </c>
      <c r="D1908" s="7">
        <v>0.38</v>
      </c>
      <c r="E1908" t="s">
        <v>27</v>
      </c>
    </row>
    <row r="1909" spans="1:5" x14ac:dyDescent="0.25">
      <c r="A1909" t="str">
        <f>HYPERLINK("https://www.773grp.com/globalSearch/MC74HC03AN/page-1", "MC74HC03AN")</f>
        <v>MC74HC03AN</v>
      </c>
      <c r="B1909" s="3" t="str">
        <f>HYPERLINK("https://www.773grp.com/manufacturer/onsemi?pageNo=560", "Onsemi")</f>
        <v>Onsemi</v>
      </c>
      <c r="C1909" s="6">
        <v>6143</v>
      </c>
      <c r="D1909" s="7">
        <v>0.38</v>
      </c>
      <c r="E1909" t="s">
        <v>27</v>
      </c>
    </row>
    <row r="1910" spans="1:5" x14ac:dyDescent="0.25">
      <c r="A1910" t="str">
        <f>HYPERLINK("https://www.773grp.com/globalSearch/MC74HC04ADTEL/page-1", "MC74HC04ADTEL")</f>
        <v>MC74HC04ADTEL</v>
      </c>
      <c r="B1910" s="3" t="str">
        <f>HYPERLINK("https://www.773grp.com/manufacturer/onsemi?pageNo=561", "Onsemi")</f>
        <v>Onsemi</v>
      </c>
      <c r="C1910" s="6">
        <v>15638</v>
      </c>
      <c r="D1910" s="7">
        <v>0.38</v>
      </c>
      <c r="E1910" t="s">
        <v>27</v>
      </c>
    </row>
    <row r="1911" spans="1:5" x14ac:dyDescent="0.25">
      <c r="A1911" t="str">
        <f>HYPERLINK("https://www.773grp.com/globalSearch/MC74HC04AF/page-1", "MC74HC04AF")</f>
        <v>MC74HC04AF</v>
      </c>
      <c r="B1911" s="3" t="str">
        <f>HYPERLINK("https://www.773grp.com/manufacturer/onsemi?pageNo=562", "Onsemi")</f>
        <v>Onsemi</v>
      </c>
      <c r="C1911" s="6">
        <v>1268</v>
      </c>
      <c r="D1911" s="7">
        <v>0.38</v>
      </c>
      <c r="E1911" t="s">
        <v>27</v>
      </c>
    </row>
    <row r="1912" spans="1:5" x14ac:dyDescent="0.25">
      <c r="A1912" t="str">
        <f>HYPERLINK("https://www.773grp.com/globalSearch/MC74HC04AN/page-1", "MC74HC04AN")</f>
        <v>MC74HC04AN</v>
      </c>
      <c r="B1912" s="3" t="str">
        <f>HYPERLINK("https://www.773grp.com/manufacturer/onsemi?pageNo=563", "Onsemi")</f>
        <v>Onsemi</v>
      </c>
      <c r="C1912" s="6">
        <v>43827</v>
      </c>
      <c r="D1912" s="7">
        <v>0.38</v>
      </c>
      <c r="E1912" t="s">
        <v>27</v>
      </c>
    </row>
    <row r="1913" spans="1:5" x14ac:dyDescent="0.25">
      <c r="A1913" t="str">
        <f>HYPERLINK("https://www.773grp.com/globalSearch/MC74HC08AFEL/page-1", "MC74HC08AFEL")</f>
        <v>MC74HC08AFEL</v>
      </c>
      <c r="B1913" s="3" t="str">
        <f>HYPERLINK("https://www.773grp.com/manufacturer/onsemi?pageNo=564", "Onsemi")</f>
        <v>Onsemi</v>
      </c>
      <c r="C1913" s="6">
        <v>8426</v>
      </c>
      <c r="D1913" s="7">
        <v>0.38</v>
      </c>
      <c r="E1913" t="s">
        <v>27</v>
      </c>
    </row>
    <row r="1914" spans="1:5" x14ac:dyDescent="0.25">
      <c r="A1914" t="str">
        <f>HYPERLINK("https://www.773grp.com/globalSearch/MC74HC107F/page-1", "MC74HC107F")</f>
        <v>MC74HC107F</v>
      </c>
      <c r="B1914" s="3" t="str">
        <f>HYPERLINK("https://www.773grp.com/manufacturer/onsemi?pageNo=565", "Onsemi")</f>
        <v>Onsemi</v>
      </c>
      <c r="C1914" s="6">
        <v>7935</v>
      </c>
      <c r="D1914" s="7">
        <v>0.38</v>
      </c>
    </row>
    <row r="1915" spans="1:5" x14ac:dyDescent="0.25">
      <c r="A1915" t="str">
        <f>HYPERLINK("https://www.773grp.com/globalSearch/MC74HC107FL1/page-1", "MC74HC107FL1")</f>
        <v>MC74HC107FL1</v>
      </c>
      <c r="B1915" s="3" t="str">
        <f>HYPERLINK("https://www.773grp.com/manufacturer/onsemi?pageNo=566", "Onsemi")</f>
        <v>Onsemi</v>
      </c>
      <c r="C1915" s="6">
        <v>2000</v>
      </c>
      <c r="D1915" s="7">
        <v>0.38</v>
      </c>
    </row>
    <row r="1916" spans="1:5" x14ac:dyDescent="0.25">
      <c r="A1916" t="str">
        <f>HYPERLINK("https://www.773grp.com/globalSearch/MC74HC125AD/page-1", "MC74HC125AD")</f>
        <v>MC74HC125AD</v>
      </c>
      <c r="B1916" s="3" t="str">
        <f>HYPERLINK("https://www.773grp.com/manufacturer/onsemi?pageNo=567", "Onsemi")</f>
        <v>Onsemi</v>
      </c>
      <c r="C1916" s="6">
        <v>9795</v>
      </c>
      <c r="D1916" s="7">
        <v>0.38</v>
      </c>
      <c r="E1916" t="s">
        <v>11</v>
      </c>
    </row>
    <row r="1917" spans="1:5" x14ac:dyDescent="0.25">
      <c r="A1917" t="str">
        <f>HYPERLINK("https://www.773grp.com/globalSearch/MC74HC125ADR2/page-1", "MC74HC125ADR2")</f>
        <v>MC74HC125ADR2</v>
      </c>
      <c r="B1917" s="3" t="str">
        <f>HYPERLINK("https://www.773grp.com/manufacturer/onsemi?pageNo=568", "Onsemi")</f>
        <v>Onsemi</v>
      </c>
      <c r="C1917" s="6">
        <v>4940</v>
      </c>
      <c r="D1917" s="7">
        <v>0.38</v>
      </c>
      <c r="E1917" t="s">
        <v>11</v>
      </c>
    </row>
    <row r="1918" spans="1:5" x14ac:dyDescent="0.25">
      <c r="A1918" t="str">
        <f>HYPERLINK("https://www.773grp.com/globalSearch/MC74HC125ADT/page-1", "MC74HC125ADT")</f>
        <v>MC74HC125ADT</v>
      </c>
      <c r="B1918" s="3" t="str">
        <f>HYPERLINK("https://www.773grp.com/manufacturer/onsemi?pageNo=569", "Onsemi")</f>
        <v>Onsemi</v>
      </c>
      <c r="C1918" s="6">
        <v>7114</v>
      </c>
      <c r="D1918" s="7">
        <v>0.38</v>
      </c>
      <c r="E1918" t="s">
        <v>11</v>
      </c>
    </row>
    <row r="1919" spans="1:5" x14ac:dyDescent="0.25">
      <c r="A1919" t="str">
        <f>HYPERLINK("https://www.773grp.com/globalSearch/MC74HC125ADTR2/page-1", "MC74HC125ADTR2")</f>
        <v>MC74HC125ADTR2</v>
      </c>
      <c r="B1919" s="3" t="str">
        <f>HYPERLINK("https://www.773grp.com/manufacturer/onsemi?pageNo=570", "Onsemi")</f>
        <v>Onsemi</v>
      </c>
      <c r="C1919" s="6">
        <v>30000</v>
      </c>
      <c r="D1919" s="7">
        <v>0.38</v>
      </c>
      <c r="E1919" t="s">
        <v>11</v>
      </c>
    </row>
    <row r="1920" spans="1:5" x14ac:dyDescent="0.25">
      <c r="A1920" t="str">
        <f>HYPERLINK("https://www.773grp.com/globalSearch/MC74HC126AD/page-1", "MC74HC126AD")</f>
        <v>MC74HC126AD</v>
      </c>
      <c r="B1920" s="3" t="str">
        <f>HYPERLINK("https://www.773grp.com/manufacturer/onsemi?pageNo=571", "Onsemi")</f>
        <v>Onsemi</v>
      </c>
      <c r="C1920" s="6">
        <v>3742</v>
      </c>
      <c r="D1920" s="7">
        <v>0.38</v>
      </c>
      <c r="E1920" t="s">
        <v>11</v>
      </c>
    </row>
    <row r="1921" spans="1:5" x14ac:dyDescent="0.25">
      <c r="A1921" t="str">
        <f>HYPERLINK("https://www.773grp.com/globalSearch/MC74HC126ADTR2/page-1", "MC74HC126ADTR2")</f>
        <v>MC74HC126ADTR2</v>
      </c>
      <c r="B1921" s="3" t="str">
        <f>HYPERLINK("https://www.773grp.com/manufacturer/onsemi?pageNo=572", "Onsemi")</f>
        <v>Onsemi</v>
      </c>
      <c r="C1921" s="6">
        <v>10000</v>
      </c>
      <c r="D1921" s="7">
        <v>0.38</v>
      </c>
      <c r="E1921" t="s">
        <v>11</v>
      </c>
    </row>
    <row r="1922" spans="1:5" x14ac:dyDescent="0.25">
      <c r="A1922" t="str">
        <f>HYPERLINK("https://www.773grp.com/globalSearch/MC74HC132ADR2/page-1", "MC74HC132ADR2")</f>
        <v>MC74HC132ADR2</v>
      </c>
      <c r="B1922" s="3" t="str">
        <f>HYPERLINK("https://www.773grp.com/manufacturer/onsemi?pageNo=573", "Onsemi")</f>
        <v>Onsemi</v>
      </c>
      <c r="C1922" s="6">
        <v>1676</v>
      </c>
      <c r="D1922" s="7">
        <v>0.38</v>
      </c>
      <c r="E1922" t="s">
        <v>27</v>
      </c>
    </row>
    <row r="1923" spans="1:5" x14ac:dyDescent="0.25">
      <c r="A1923" t="str">
        <f>HYPERLINK("https://www.773grp.com/globalSearch/MC74HC138AD/page-1", "MC74HC138AD")</f>
        <v>MC74HC138AD</v>
      </c>
      <c r="B1923" s="3" t="str">
        <f>HYPERLINK("https://www.773grp.com/manufacturer/onsemi?pageNo=574", "Onsemi")</f>
        <v>Onsemi</v>
      </c>
      <c r="C1923" s="6">
        <v>82067</v>
      </c>
      <c r="D1923" s="7">
        <v>0.38</v>
      </c>
      <c r="E1923" t="s">
        <v>32</v>
      </c>
    </row>
    <row r="1924" spans="1:5" x14ac:dyDescent="0.25">
      <c r="A1924" t="str">
        <f>HYPERLINK("https://www.773grp.com/globalSearch/MC74HC138ADR2/page-1", "MC74HC138ADR2")</f>
        <v>MC74HC138ADR2</v>
      </c>
      <c r="B1924" s="3" t="str">
        <f>HYPERLINK("https://www.773grp.com/manufacturer/onsemi?pageNo=575", "Onsemi")</f>
        <v>Onsemi</v>
      </c>
      <c r="C1924" s="6">
        <v>5000</v>
      </c>
      <c r="D1924" s="7">
        <v>0.38</v>
      </c>
      <c r="E1924" t="s">
        <v>32</v>
      </c>
    </row>
    <row r="1925" spans="1:5" x14ac:dyDescent="0.25">
      <c r="A1925" t="str">
        <f>HYPERLINK("https://www.773grp.com/globalSearch/MC74HC138AN/page-1", "MC74HC138AN")</f>
        <v>MC74HC138AN</v>
      </c>
      <c r="B1925" s="3" t="str">
        <f>HYPERLINK("https://www.773grp.com/manufacturer/onsemi?pageNo=576", "Onsemi")</f>
        <v>Onsemi</v>
      </c>
      <c r="C1925" s="6">
        <v>16755</v>
      </c>
      <c r="D1925" s="7">
        <v>0.38</v>
      </c>
      <c r="E1925" t="s">
        <v>32</v>
      </c>
    </row>
    <row r="1926" spans="1:5" x14ac:dyDescent="0.25">
      <c r="A1926" t="str">
        <f>HYPERLINK("https://www.773grp.com/globalSearch/MC74HC139AD/page-1", "MC74HC139AD")</f>
        <v>MC74HC139AD</v>
      </c>
      <c r="B1926" s="3" t="str">
        <f>HYPERLINK("https://www.773grp.com/manufacturer/onsemi?pageNo=577", "Onsemi")</f>
        <v>Onsemi</v>
      </c>
      <c r="C1926" s="6">
        <v>1297</v>
      </c>
      <c r="D1926" s="7">
        <v>0.38</v>
      </c>
      <c r="E1926" t="s">
        <v>32</v>
      </c>
    </row>
    <row r="1927" spans="1:5" x14ac:dyDescent="0.25">
      <c r="A1927" t="str">
        <f>HYPERLINK("https://www.773grp.com/globalSearch/MC74HC139ADR2/page-1", "MC74HC139ADR2")</f>
        <v>MC74HC139ADR2</v>
      </c>
      <c r="B1927" s="3" t="str">
        <f>HYPERLINK("https://www.773grp.com/manufacturer/onsemi?pageNo=578", "Onsemi")</f>
        <v>Onsemi</v>
      </c>
      <c r="C1927" s="6">
        <v>5</v>
      </c>
      <c r="D1927" s="7">
        <v>0.38</v>
      </c>
      <c r="E1927" t="s">
        <v>32</v>
      </c>
    </row>
    <row r="1928" spans="1:5" x14ac:dyDescent="0.25">
      <c r="A1928" t="str">
        <f>HYPERLINK("https://www.773grp.com/globalSearch/MC74HC14ADT/page-1", "MC74HC14ADT")</f>
        <v>MC74HC14ADT</v>
      </c>
      <c r="B1928" s="3" t="str">
        <f>HYPERLINK("https://www.773grp.com/manufacturer/onsemi?pageNo=579", "Onsemi")</f>
        <v>Onsemi</v>
      </c>
      <c r="C1928" s="6">
        <v>659</v>
      </c>
      <c r="D1928" s="7">
        <v>0.38</v>
      </c>
      <c r="E1928" t="s">
        <v>27</v>
      </c>
    </row>
    <row r="1929" spans="1:5" x14ac:dyDescent="0.25">
      <c r="A1929" t="str">
        <f>HYPERLINK("https://www.773grp.com/globalSearch/MC74HC157AD/page-1", "MC74HC157AD")</f>
        <v>MC74HC157AD</v>
      </c>
      <c r="B1929" s="3" t="str">
        <f>HYPERLINK("https://www.773grp.com/manufacturer/onsemi?pageNo=580", "Onsemi")</f>
        <v>Onsemi</v>
      </c>
      <c r="C1929" s="6">
        <v>6904</v>
      </c>
      <c r="D1929" s="7">
        <v>0.38</v>
      </c>
      <c r="E1929" t="s">
        <v>16</v>
      </c>
    </row>
    <row r="1930" spans="1:5" x14ac:dyDescent="0.25">
      <c r="A1930" t="str">
        <f>HYPERLINK("https://www.773grp.com/globalSearch/MC74HC157ADTR2/page-1", "MC74HC157ADTR2")</f>
        <v>MC74HC157ADTR2</v>
      </c>
      <c r="B1930" s="3" t="str">
        <f>HYPERLINK("https://www.773grp.com/manufacturer/onsemi?pageNo=581", "Onsemi")</f>
        <v>Onsemi</v>
      </c>
      <c r="C1930" s="6">
        <v>2500</v>
      </c>
      <c r="D1930" s="7">
        <v>0.38</v>
      </c>
      <c r="E1930" t="s">
        <v>16</v>
      </c>
    </row>
    <row r="1931" spans="1:5" x14ac:dyDescent="0.25">
      <c r="A1931" t="str">
        <f>HYPERLINK("https://www.773grp.com/globalSearch/MC74HC164AFELG/page-1", "MC74HC164AFELG")</f>
        <v>MC74HC164AFELG</v>
      </c>
      <c r="B1931" s="3" t="str">
        <f>HYPERLINK("https://www.773grp.com/manufacturer/onsemi?pageNo=582", "Onsemi")</f>
        <v>Onsemi</v>
      </c>
      <c r="C1931" s="6">
        <v>2000</v>
      </c>
      <c r="D1931" s="7">
        <v>0.38</v>
      </c>
      <c r="E1931" t="s">
        <v>28</v>
      </c>
    </row>
    <row r="1932" spans="1:5" x14ac:dyDescent="0.25">
      <c r="A1932" t="str">
        <f>HYPERLINK("https://www.773grp.com/globalSearch/MC74HC27DR2/page-1", "MC74HC27DR2")</f>
        <v>MC74HC27DR2</v>
      </c>
      <c r="B1932" s="3" t="str">
        <f>HYPERLINK("https://www.773grp.com/manufacturer/onsemi?pageNo=583", "Onsemi")</f>
        <v>Onsemi</v>
      </c>
      <c r="C1932" s="6">
        <v>2500</v>
      </c>
      <c r="D1932" s="7">
        <v>0.38</v>
      </c>
      <c r="E1932" t="s">
        <v>27</v>
      </c>
    </row>
    <row r="1933" spans="1:5" x14ac:dyDescent="0.25">
      <c r="A1933" t="str">
        <f>HYPERLINK("https://www.773grp.com/globalSearch/MC74HC27F/page-1", "MC74HC27F")</f>
        <v>MC74HC27F</v>
      </c>
      <c r="B1933" s="3" t="str">
        <f>HYPERLINK("https://www.773grp.com/manufacturer/onsemi?pageNo=584", "Onsemi")</f>
        <v>Onsemi</v>
      </c>
      <c r="C1933" s="6">
        <v>20650</v>
      </c>
      <c r="D1933" s="7">
        <v>0.38</v>
      </c>
    </row>
    <row r="1934" spans="1:5" x14ac:dyDescent="0.25">
      <c r="A1934" t="str">
        <f>HYPERLINK("https://www.773grp.com/globalSearch/MC74HC27FL1/page-1", "MC74HC27FL1")</f>
        <v>MC74HC27FL1</v>
      </c>
      <c r="B1934" s="3" t="str">
        <f>HYPERLINK("https://www.773grp.com/manufacturer/onsemi?pageNo=585", "Onsemi")</f>
        <v>Onsemi</v>
      </c>
      <c r="C1934" s="6">
        <v>11000</v>
      </c>
      <c r="D1934" s="7">
        <v>0.38</v>
      </c>
    </row>
    <row r="1935" spans="1:5" x14ac:dyDescent="0.25">
      <c r="A1935" t="str">
        <f>HYPERLINK("https://www.773grp.com/globalSearch/MC74HC27FL2/page-1", "MC74HC27FL2")</f>
        <v>MC74HC27FL2</v>
      </c>
      <c r="B1935" s="3" t="str">
        <f>HYPERLINK("https://www.773grp.com/manufacturer/onsemi?pageNo=586", "Onsemi")</f>
        <v>Onsemi</v>
      </c>
      <c r="C1935" s="6">
        <v>8000</v>
      </c>
      <c r="D1935" s="7">
        <v>0.38</v>
      </c>
    </row>
    <row r="1936" spans="1:5" x14ac:dyDescent="0.25">
      <c r="A1936" t="str">
        <f>HYPERLINK("https://www.773grp.com/globalSearch/MC74HC32AFEL/page-1", "MC74HC32AFEL")</f>
        <v>MC74HC32AFEL</v>
      </c>
      <c r="B1936" s="3" t="str">
        <f>HYPERLINK("https://www.773grp.com/manufacturer/onsemi?pageNo=587", "Onsemi")</f>
        <v>Onsemi</v>
      </c>
      <c r="C1936" s="6">
        <v>17090</v>
      </c>
      <c r="D1936" s="7">
        <v>0.38</v>
      </c>
      <c r="E1936" t="s">
        <v>27</v>
      </c>
    </row>
    <row r="1937" spans="1:5" x14ac:dyDescent="0.25">
      <c r="A1937" t="str">
        <f>HYPERLINK("https://www.773grp.com/globalSearch/MC74HC32AN/page-1", "MC74HC32AN")</f>
        <v>MC74HC32AN</v>
      </c>
      <c r="B1937" s="3" t="str">
        <f>HYPERLINK("https://www.773grp.com/manufacturer/onsemi?pageNo=588", "Onsemi")</f>
        <v>Onsemi</v>
      </c>
      <c r="C1937" s="6">
        <v>48312</v>
      </c>
      <c r="D1937" s="7">
        <v>0.38</v>
      </c>
      <c r="E1937" t="s">
        <v>27</v>
      </c>
    </row>
    <row r="1938" spans="1:5" x14ac:dyDescent="0.25">
      <c r="A1938" t="str">
        <f>HYPERLINK("https://www.773grp.com/globalSearch/MC74HC4040AD/page-1", "MC74HC4040AD")</f>
        <v>MC74HC4040AD</v>
      </c>
      <c r="B1938" s="3" t="str">
        <f>HYPERLINK("https://www.773grp.com/manufacturer/onsemi?pageNo=589", "Onsemi")</f>
        <v>Onsemi</v>
      </c>
      <c r="C1938" s="6">
        <v>3194</v>
      </c>
      <c r="D1938" s="7">
        <v>0.38</v>
      </c>
      <c r="E1938" t="s">
        <v>22</v>
      </c>
    </row>
    <row r="1939" spans="1:5" x14ac:dyDescent="0.25">
      <c r="A1939" t="str">
        <f>HYPERLINK("https://www.773grp.com/globalSearch/MC74HC4060AD/page-1", "MC74HC4060AD")</f>
        <v>MC74HC4060AD</v>
      </c>
      <c r="B1939" s="3" t="str">
        <f>HYPERLINK("https://www.773grp.com/manufacturer/onsemi?pageNo=590", "Onsemi")</f>
        <v>Onsemi</v>
      </c>
      <c r="C1939" s="6">
        <v>3349</v>
      </c>
      <c r="D1939" s="7">
        <v>0.38</v>
      </c>
      <c r="E1939" t="s">
        <v>22</v>
      </c>
    </row>
    <row r="1940" spans="1:5" x14ac:dyDescent="0.25">
      <c r="A1940" t="str">
        <f>HYPERLINK("https://www.773grp.com/globalSearch/MC74HC4060ADR2/page-1", "MC74HC4060ADR2")</f>
        <v>MC74HC4060ADR2</v>
      </c>
      <c r="B1940" s="3" t="str">
        <f>HYPERLINK("https://www.773grp.com/manufacturer/onsemi?pageNo=591", "Onsemi")</f>
        <v>Onsemi</v>
      </c>
      <c r="C1940" s="6">
        <v>2500</v>
      </c>
      <c r="D1940" s="7">
        <v>0.38</v>
      </c>
      <c r="E1940" t="s">
        <v>22</v>
      </c>
    </row>
    <row r="1941" spans="1:5" x14ac:dyDescent="0.25">
      <c r="A1941" t="str">
        <f>HYPERLINK("https://www.773grp.com/globalSearch/MC74HC4066ADT/page-1", "MC74HC4066ADT")</f>
        <v>MC74HC4066ADT</v>
      </c>
      <c r="B1941" s="3" t="str">
        <f>HYPERLINK("https://www.773grp.com/manufacturer/onsemi?pageNo=592", "Onsemi")</f>
        <v>Onsemi</v>
      </c>
      <c r="C1941" s="6">
        <v>152</v>
      </c>
      <c r="D1941" s="7">
        <v>0.38</v>
      </c>
      <c r="E1941" t="s">
        <v>46</v>
      </c>
    </row>
    <row r="1942" spans="1:5" x14ac:dyDescent="0.25">
      <c r="A1942" t="str">
        <f>HYPERLINK("https://www.773grp.com/globalSearch/MC74HC589ADTR2/page-1", "MC74HC589ADTR2")</f>
        <v>MC74HC589ADTR2</v>
      </c>
      <c r="B1942" s="3" t="str">
        <f>HYPERLINK("https://www.773grp.com/manufacturer/onsemi?pageNo=593", "Onsemi")</f>
        <v>Onsemi</v>
      </c>
      <c r="C1942" s="6">
        <v>10000</v>
      </c>
      <c r="D1942" s="7">
        <v>0.38</v>
      </c>
      <c r="E1942" t="s">
        <v>28</v>
      </c>
    </row>
    <row r="1943" spans="1:5" x14ac:dyDescent="0.25">
      <c r="A1943" t="str">
        <f>HYPERLINK("https://www.773grp.com/globalSearch/MC74HC74AD/page-1", "MC74HC74AD")</f>
        <v>MC74HC74AD</v>
      </c>
      <c r="B1943" s="3" t="str">
        <f>HYPERLINK("https://www.773grp.com/manufacturer/onsemi?pageNo=594", "Onsemi")</f>
        <v>Onsemi</v>
      </c>
      <c r="C1943" s="6">
        <v>1917</v>
      </c>
      <c r="D1943" s="7">
        <v>0.38</v>
      </c>
      <c r="E1943" t="s">
        <v>31</v>
      </c>
    </row>
    <row r="1944" spans="1:5" x14ac:dyDescent="0.25">
      <c r="A1944" t="str">
        <f>HYPERLINK("https://www.773grp.com/globalSearch/MC74HC74ADT/page-1", "MC74HC74ADT")</f>
        <v>MC74HC74ADT</v>
      </c>
      <c r="B1944" s="3" t="str">
        <f>HYPERLINK("https://www.773grp.com/manufacturer/onsemi?pageNo=595", "Onsemi")</f>
        <v>Onsemi</v>
      </c>
      <c r="C1944" s="6">
        <v>1344</v>
      </c>
      <c r="D1944" s="7">
        <v>0.38</v>
      </c>
      <c r="E1944" t="s">
        <v>31</v>
      </c>
    </row>
    <row r="1945" spans="1:5" x14ac:dyDescent="0.25">
      <c r="A1945" t="str">
        <f>HYPERLINK("https://www.773grp.com/globalSearch/MC74HC86AF/page-1", "MC74HC86AF")</f>
        <v>MC74HC86AF</v>
      </c>
      <c r="B1945" s="3" t="str">
        <f>HYPERLINK("https://www.773grp.com/manufacturer/onsemi?pageNo=596", "Onsemi")</f>
        <v>Onsemi</v>
      </c>
      <c r="C1945" s="6">
        <v>826</v>
      </c>
      <c r="D1945" s="7">
        <v>0.38</v>
      </c>
      <c r="E1945" t="s">
        <v>27</v>
      </c>
    </row>
    <row r="1946" spans="1:5" x14ac:dyDescent="0.25">
      <c r="A1946" t="str">
        <f>HYPERLINK("https://www.773grp.com/globalSearch/MC74HC86AFEL/page-1", "MC74HC86AFEL")</f>
        <v>MC74HC86AFEL</v>
      </c>
      <c r="B1946" s="3" t="str">
        <f>HYPERLINK("https://www.773grp.com/manufacturer/onsemi?pageNo=597", "Onsemi")</f>
        <v>Onsemi</v>
      </c>
      <c r="C1946" s="6">
        <v>24000</v>
      </c>
      <c r="D1946" s="7">
        <v>0.38</v>
      </c>
      <c r="E1946" t="s">
        <v>27</v>
      </c>
    </row>
    <row r="1947" spans="1:5" x14ac:dyDescent="0.25">
      <c r="A1947" t="str">
        <f>HYPERLINK("https://www.773grp.com/globalSearch/MC74HC86AN/page-1", "MC74HC86AN")</f>
        <v>MC74HC86AN</v>
      </c>
      <c r="B1947" s="3" t="str">
        <f>HYPERLINK("https://www.773grp.com/manufacturer/onsemi?pageNo=598", "Onsemi")</f>
        <v>Onsemi</v>
      </c>
      <c r="C1947" s="6">
        <v>2197</v>
      </c>
      <c r="D1947" s="7">
        <v>0.38</v>
      </c>
      <c r="E1947" t="s">
        <v>27</v>
      </c>
    </row>
    <row r="1948" spans="1:5" x14ac:dyDescent="0.25">
      <c r="A1948" t="str">
        <f>HYPERLINK("https://www.773grp.com/globalSearch/MC74HCT04AFEL/page-1", "MC74HCT04AFEL")</f>
        <v>MC74HCT04AFEL</v>
      </c>
      <c r="B1948" s="3" t="str">
        <f>HYPERLINK("https://www.773grp.com/manufacturer/onsemi?pageNo=599", "Onsemi")</f>
        <v>Onsemi</v>
      </c>
      <c r="C1948" s="6">
        <v>3749</v>
      </c>
      <c r="D1948" s="7">
        <v>0.38</v>
      </c>
      <c r="E1948" t="s">
        <v>27</v>
      </c>
    </row>
    <row r="1949" spans="1:5" x14ac:dyDescent="0.25">
      <c r="A1949" t="str">
        <f>HYPERLINK("https://www.773grp.com/globalSearch/MC74HCT04AN/page-1", "MC74HCT04AN")</f>
        <v>MC74HCT04AN</v>
      </c>
      <c r="B1949" s="3" t="str">
        <f>HYPERLINK("https://www.773grp.com/manufacturer/onsemi?pageNo=600", "Onsemi")</f>
        <v>Onsemi</v>
      </c>
      <c r="C1949" s="6">
        <v>4958</v>
      </c>
      <c r="D1949" s="7">
        <v>0.38</v>
      </c>
      <c r="E1949" t="s">
        <v>27</v>
      </c>
    </row>
    <row r="1950" spans="1:5" x14ac:dyDescent="0.25">
      <c r="A1950" t="str">
        <f>HYPERLINK("https://www.773grp.com/globalSearch/MC74HCT138AN/page-1", "MC74HCT138AN")</f>
        <v>MC74HCT138AN</v>
      </c>
      <c r="B1950" s="3" t="str">
        <f>HYPERLINK("https://www.773grp.com/manufacturer/onsemi?pageNo=601", "Onsemi")</f>
        <v>Onsemi</v>
      </c>
      <c r="C1950" s="6">
        <v>4470</v>
      </c>
      <c r="D1950" s="7">
        <v>0.38</v>
      </c>
      <c r="E1950" t="s">
        <v>32</v>
      </c>
    </row>
    <row r="1951" spans="1:5" x14ac:dyDescent="0.25">
      <c r="A1951" t="str">
        <f>HYPERLINK("https://www.773grp.com/globalSearch/MC74HCT74AD/page-1", "MC74HCT74AD")</f>
        <v>MC74HCT74AD</v>
      </c>
      <c r="B1951" s="3" t="str">
        <f>HYPERLINK("https://www.773grp.com/manufacturer/onsemi?pageNo=602", "Onsemi")</f>
        <v>Onsemi</v>
      </c>
      <c r="C1951" s="6">
        <v>7920</v>
      </c>
      <c r="D1951" s="7">
        <v>0.38</v>
      </c>
      <c r="E1951" t="s">
        <v>31</v>
      </c>
    </row>
    <row r="1952" spans="1:5" x14ac:dyDescent="0.25">
      <c r="A1952" t="str">
        <f>HYPERLINK("https://www.773grp.com/globalSearch/MC74HCT74AD/page-1", "MC74HCT74AD")</f>
        <v>MC74HCT74AD</v>
      </c>
      <c r="B1952" s="3" t="str">
        <f>HYPERLINK("https://www.773grp.com/manufacturer/onsemi?pageNo=603", "Onsemi")</f>
        <v>Onsemi</v>
      </c>
      <c r="C1952" s="6">
        <v>1980</v>
      </c>
      <c r="D1952" s="7">
        <v>0.38</v>
      </c>
      <c r="E1952" t="s">
        <v>31</v>
      </c>
    </row>
    <row r="1953" spans="1:5" x14ac:dyDescent="0.25">
      <c r="A1953" t="str">
        <f>HYPERLINK("https://www.773grp.com/globalSearch/MC74HCT74ADR2/page-1", "MC74HCT74ADR2")</f>
        <v>MC74HCT74ADR2</v>
      </c>
      <c r="B1953" s="3" t="str">
        <f>HYPERLINK("https://www.773grp.com/manufacturer/onsemi?pageNo=604", "Onsemi")</f>
        <v>Onsemi</v>
      </c>
      <c r="C1953" s="6">
        <v>5610</v>
      </c>
      <c r="D1953" s="7">
        <v>0.38</v>
      </c>
      <c r="E1953" t="s">
        <v>31</v>
      </c>
    </row>
    <row r="1954" spans="1:5" x14ac:dyDescent="0.25">
      <c r="A1954" t="str">
        <f>HYPERLINK("https://www.773grp.com/globalSearch/MC74HCU04AFEL/page-1", "MC74HCU04AFEL")</f>
        <v>MC74HCU04AFEL</v>
      </c>
      <c r="B1954" s="3" t="str">
        <f>HYPERLINK("https://www.773grp.com/manufacturer/onsemi?pageNo=605", "Onsemi")</f>
        <v>Onsemi</v>
      </c>
      <c r="C1954" s="6">
        <v>16000</v>
      </c>
      <c r="D1954" s="7">
        <v>0.38</v>
      </c>
      <c r="E1954" t="s">
        <v>27</v>
      </c>
    </row>
    <row r="1955" spans="1:5" x14ac:dyDescent="0.25">
      <c r="A1955" t="str">
        <f>HYPERLINK("https://www.773grp.com/globalSearch/MC74HCU04AN/page-1", "MC74HCU04AN")</f>
        <v>MC74HCU04AN</v>
      </c>
      <c r="B1955" s="3" t="str">
        <f>HYPERLINK("https://www.773grp.com/manufacturer/onsemi?pageNo=606", "Onsemi")</f>
        <v>Onsemi</v>
      </c>
      <c r="C1955" s="6">
        <v>2575</v>
      </c>
      <c r="D1955" s="7">
        <v>0.38</v>
      </c>
      <c r="E1955" t="s">
        <v>27</v>
      </c>
    </row>
    <row r="1956" spans="1:5" x14ac:dyDescent="0.25">
      <c r="A1956" t="str">
        <f>HYPERLINK("https://www.773grp.com/globalSearch/MC74LCX00D/page-1", "MC74LCX00D")</f>
        <v>MC74LCX00D</v>
      </c>
      <c r="B1956" s="3" t="str">
        <f>HYPERLINK("https://www.773grp.com/manufacturer/onsemi?pageNo=607", "Onsemi")</f>
        <v>Onsemi</v>
      </c>
      <c r="C1956" s="6">
        <v>15950</v>
      </c>
      <c r="D1956" s="7">
        <v>0.38</v>
      </c>
      <c r="E1956" t="s">
        <v>27</v>
      </c>
    </row>
    <row r="1957" spans="1:5" x14ac:dyDescent="0.25">
      <c r="A1957" t="str">
        <f>HYPERLINK("https://www.773grp.com/globalSearch/MC74LCX00DR2/page-1", "MC74LCX00DR2")</f>
        <v>MC74LCX00DR2</v>
      </c>
      <c r="B1957" s="3" t="str">
        <f>HYPERLINK("https://www.773grp.com/manufacturer/onsemi?pageNo=608", "Onsemi")</f>
        <v>Onsemi</v>
      </c>
      <c r="C1957" s="6">
        <v>17282</v>
      </c>
      <c r="D1957" s="7">
        <v>0.38</v>
      </c>
      <c r="E1957" t="s">
        <v>27</v>
      </c>
    </row>
    <row r="1958" spans="1:5" x14ac:dyDescent="0.25">
      <c r="A1958" t="str">
        <f>HYPERLINK("https://www.773grp.com/globalSearch/MC74LCX00DT/page-1", "MC74LCX00DT")</f>
        <v>MC74LCX00DT</v>
      </c>
      <c r="B1958" s="3" t="str">
        <f>HYPERLINK("https://www.773grp.com/manufacturer/onsemi?pageNo=609", "Onsemi")</f>
        <v>Onsemi</v>
      </c>
      <c r="C1958" s="6">
        <v>7732</v>
      </c>
      <c r="D1958" s="7">
        <v>0.38</v>
      </c>
      <c r="E1958" t="s">
        <v>27</v>
      </c>
    </row>
    <row r="1959" spans="1:5" x14ac:dyDescent="0.25">
      <c r="A1959" t="str">
        <f>HYPERLINK("https://www.773grp.com/globalSearch/MC74LCX00DTR2/page-1", "MC74LCX00DTR2")</f>
        <v>MC74LCX00DTR2</v>
      </c>
      <c r="B1959" s="3" t="str">
        <f>HYPERLINK("https://www.773grp.com/manufacturer/onsemi?pageNo=610", "Onsemi")</f>
        <v>Onsemi</v>
      </c>
      <c r="C1959" s="6">
        <v>33914</v>
      </c>
      <c r="D1959" s="7">
        <v>0.38</v>
      </c>
      <c r="E1959" t="s">
        <v>27</v>
      </c>
    </row>
    <row r="1960" spans="1:5" x14ac:dyDescent="0.25">
      <c r="A1960" t="str">
        <f>HYPERLINK("https://www.773grp.com/globalSearch/MC74LCX02D/page-1", "MC74LCX02D")</f>
        <v>MC74LCX02D</v>
      </c>
      <c r="B1960" s="3" t="str">
        <f>HYPERLINK("https://www.773grp.com/manufacturer/onsemi?pageNo=611", "Onsemi")</f>
        <v>Onsemi</v>
      </c>
      <c r="C1960" s="6">
        <v>3541</v>
      </c>
      <c r="D1960" s="7">
        <v>0.38</v>
      </c>
      <c r="E1960" t="s">
        <v>27</v>
      </c>
    </row>
    <row r="1961" spans="1:5" x14ac:dyDescent="0.25">
      <c r="A1961" t="str">
        <f>HYPERLINK("https://www.773grp.com/globalSearch/MC74LCX02DR2/page-1", "MC74LCX02DR2")</f>
        <v>MC74LCX02DR2</v>
      </c>
      <c r="B1961" s="3" t="str">
        <f>HYPERLINK("https://www.773grp.com/manufacturer/onsemi?pageNo=612", "Onsemi")</f>
        <v>Onsemi</v>
      </c>
      <c r="C1961" s="6">
        <v>5000</v>
      </c>
      <c r="D1961" s="7">
        <v>0.38</v>
      </c>
      <c r="E1961" t="s">
        <v>27</v>
      </c>
    </row>
    <row r="1962" spans="1:5" x14ac:dyDescent="0.25">
      <c r="A1962" t="str">
        <f>HYPERLINK("https://www.773grp.com/globalSearch/MC74LCX02DT/page-1", "MC74LCX02DT")</f>
        <v>MC74LCX02DT</v>
      </c>
      <c r="B1962" s="3" t="str">
        <f>HYPERLINK("https://www.773grp.com/manufacturer/onsemi?pageNo=613", "Onsemi")</f>
        <v>Onsemi</v>
      </c>
      <c r="C1962" s="6">
        <v>2413</v>
      </c>
      <c r="D1962" s="7">
        <v>0.38</v>
      </c>
      <c r="E1962" t="s">
        <v>27</v>
      </c>
    </row>
    <row r="1963" spans="1:5" x14ac:dyDescent="0.25">
      <c r="A1963" t="str">
        <f>HYPERLINK("https://www.773grp.com/globalSearch/MC74LCX02DTR2/page-1", "MC74LCX02DTR2")</f>
        <v>MC74LCX02DTR2</v>
      </c>
      <c r="B1963" s="3" t="str">
        <f>HYPERLINK("https://www.773grp.com/manufacturer/onsemi?pageNo=614", "Onsemi")</f>
        <v>Onsemi</v>
      </c>
      <c r="C1963" s="6">
        <v>2500</v>
      </c>
      <c r="D1963" s="7">
        <v>0.38</v>
      </c>
      <c r="E1963" t="s">
        <v>27</v>
      </c>
    </row>
    <row r="1964" spans="1:5" x14ac:dyDescent="0.25">
      <c r="A1964" t="str">
        <f>HYPERLINK("https://www.773grp.com/globalSearch/MC74LCX04D/page-1", "MC74LCX04D")</f>
        <v>MC74LCX04D</v>
      </c>
      <c r="B1964" s="3" t="str">
        <f>HYPERLINK("https://www.773grp.com/manufacturer/onsemi?pageNo=615", "Onsemi")</f>
        <v>Onsemi</v>
      </c>
      <c r="C1964" s="6">
        <v>8290</v>
      </c>
      <c r="D1964" s="7">
        <v>0.38</v>
      </c>
      <c r="E1964" t="s">
        <v>27</v>
      </c>
    </row>
    <row r="1965" spans="1:5" x14ac:dyDescent="0.25">
      <c r="A1965" t="str">
        <f>HYPERLINK("https://www.773grp.com/globalSearch/MC74LCX04DT/page-1", "MC74LCX04DT")</f>
        <v>MC74LCX04DT</v>
      </c>
      <c r="B1965" s="3" t="str">
        <f>HYPERLINK("https://www.773grp.com/manufacturer/onsemi?pageNo=616", "Onsemi")</f>
        <v>Onsemi</v>
      </c>
      <c r="C1965" s="6">
        <v>42348</v>
      </c>
      <c r="D1965" s="7">
        <v>0.38</v>
      </c>
      <c r="E1965" t="s">
        <v>27</v>
      </c>
    </row>
    <row r="1966" spans="1:5" x14ac:dyDescent="0.25">
      <c r="A1966" t="str">
        <f>HYPERLINK("https://www.773grp.com/globalSearch/MC74LCX04DTR2/page-1", "MC74LCX04DTR2")</f>
        <v>MC74LCX04DTR2</v>
      </c>
      <c r="B1966" s="3" t="str">
        <f>HYPERLINK("https://www.773grp.com/manufacturer/onsemi?pageNo=617", "Onsemi")</f>
        <v>Onsemi</v>
      </c>
      <c r="C1966" s="6">
        <v>32500</v>
      </c>
      <c r="D1966" s="7">
        <v>0.38</v>
      </c>
      <c r="E1966" t="s">
        <v>27</v>
      </c>
    </row>
    <row r="1967" spans="1:5" x14ac:dyDescent="0.25">
      <c r="A1967" t="str">
        <f>HYPERLINK("https://www.773grp.com/globalSearch/MC74LCX06D/page-1", "MC74LCX06D")</f>
        <v>MC74LCX06D</v>
      </c>
      <c r="B1967" s="3" t="str">
        <f>HYPERLINK("https://www.773grp.com/manufacturer/onsemi?pageNo=618", "Onsemi")</f>
        <v>Onsemi</v>
      </c>
      <c r="C1967" s="6">
        <v>11371</v>
      </c>
      <c r="D1967" s="7">
        <v>0.38</v>
      </c>
      <c r="E1967" t="s">
        <v>27</v>
      </c>
    </row>
    <row r="1968" spans="1:5" x14ac:dyDescent="0.25">
      <c r="A1968" t="str">
        <f>HYPERLINK("https://www.773grp.com/globalSearch/MC74LCX06DR2/page-1", "MC74LCX06DR2")</f>
        <v>MC74LCX06DR2</v>
      </c>
      <c r="B1968" s="3" t="str">
        <f>HYPERLINK("https://www.773grp.com/manufacturer/onsemi?pageNo=619", "Onsemi")</f>
        <v>Onsemi</v>
      </c>
      <c r="C1968" s="6">
        <v>20000</v>
      </c>
      <c r="D1968" s="7">
        <v>0.38</v>
      </c>
      <c r="E1968" t="s">
        <v>27</v>
      </c>
    </row>
    <row r="1969" spans="1:5" x14ac:dyDescent="0.25">
      <c r="A1969" t="str">
        <f>HYPERLINK("https://www.773grp.com/globalSearch/MC74LCX06DT/page-1", "MC74LCX06DT")</f>
        <v>MC74LCX06DT</v>
      </c>
      <c r="B1969" s="3" t="str">
        <f>HYPERLINK("https://www.773grp.com/manufacturer/onsemi?pageNo=620", "Onsemi")</f>
        <v>Onsemi</v>
      </c>
      <c r="C1969" s="6">
        <v>21024</v>
      </c>
      <c r="D1969" s="7">
        <v>0.38</v>
      </c>
      <c r="E1969" t="s">
        <v>27</v>
      </c>
    </row>
    <row r="1970" spans="1:5" x14ac:dyDescent="0.25">
      <c r="A1970" t="str">
        <f>HYPERLINK("https://www.773grp.com/globalSearch/MC74LCX06DTR2/page-1", "MC74LCX06DTR2")</f>
        <v>MC74LCX06DTR2</v>
      </c>
      <c r="B1970" s="3" t="str">
        <f>HYPERLINK("https://www.773grp.com/manufacturer/onsemi?pageNo=621", "Onsemi")</f>
        <v>Onsemi</v>
      </c>
      <c r="C1970" s="6">
        <v>4400</v>
      </c>
      <c r="D1970" s="7">
        <v>0.38</v>
      </c>
      <c r="E1970" t="s">
        <v>27</v>
      </c>
    </row>
    <row r="1971" spans="1:5" x14ac:dyDescent="0.25">
      <c r="A1971" t="str">
        <f>HYPERLINK("https://www.773grp.com/globalSearch/MC74LCX07DT/page-1", "MC74LCX07DT")</f>
        <v>MC74LCX07DT</v>
      </c>
      <c r="B1971" s="3" t="str">
        <f>HYPERLINK("https://www.773grp.com/manufacturer/onsemi?pageNo=622", "Onsemi")</f>
        <v>Onsemi</v>
      </c>
      <c r="C1971" s="6">
        <v>2112</v>
      </c>
      <c r="D1971" s="7">
        <v>0.38</v>
      </c>
      <c r="E1971" t="s">
        <v>27</v>
      </c>
    </row>
    <row r="1972" spans="1:5" x14ac:dyDescent="0.25">
      <c r="A1972" t="str">
        <f>HYPERLINK("https://www.773grp.com/globalSearch/MC74LCX07DTR2/page-1", "MC74LCX07DTR2")</f>
        <v>MC74LCX07DTR2</v>
      </c>
      <c r="B1972" s="3" t="str">
        <f>HYPERLINK("https://www.773grp.com/manufacturer/onsemi?pageNo=623", "Onsemi")</f>
        <v>Onsemi</v>
      </c>
      <c r="C1972" s="6">
        <v>82305</v>
      </c>
      <c r="D1972" s="7">
        <v>0.38</v>
      </c>
      <c r="E1972" t="s">
        <v>27</v>
      </c>
    </row>
    <row r="1973" spans="1:5" x14ac:dyDescent="0.25">
      <c r="A1973" t="str">
        <f>HYPERLINK("https://www.773grp.com/globalSearch/MC74LCX08D/page-1", "MC74LCX08D")</f>
        <v>MC74LCX08D</v>
      </c>
      <c r="B1973" s="3" t="str">
        <f>HYPERLINK("https://www.773grp.com/manufacturer/onsemi?pageNo=624", "Onsemi")</f>
        <v>Onsemi</v>
      </c>
      <c r="C1973" s="6">
        <v>2630</v>
      </c>
      <c r="D1973" s="7">
        <v>0.38</v>
      </c>
      <c r="E1973" t="s">
        <v>27</v>
      </c>
    </row>
    <row r="1974" spans="1:5" x14ac:dyDescent="0.25">
      <c r="A1974" t="str">
        <f>HYPERLINK("https://www.773grp.com/globalSearch/MC74LCX08DT/page-1", "MC74LCX08DT")</f>
        <v>MC74LCX08DT</v>
      </c>
      <c r="B1974" s="3" t="str">
        <f>HYPERLINK("https://www.773grp.com/manufacturer/onsemi?pageNo=625", "Onsemi")</f>
        <v>Onsemi</v>
      </c>
      <c r="C1974" s="6">
        <v>29321</v>
      </c>
      <c r="D1974" s="7">
        <v>0.38</v>
      </c>
      <c r="E1974" t="s">
        <v>27</v>
      </c>
    </row>
    <row r="1975" spans="1:5" x14ac:dyDescent="0.25">
      <c r="A1975" t="str">
        <f>HYPERLINK("https://www.773grp.com/globalSearch/MC74LCX08DTR2/page-1", "MC74LCX08DTR2")</f>
        <v>MC74LCX08DTR2</v>
      </c>
      <c r="B1975" s="3" t="str">
        <f>HYPERLINK("https://www.773grp.com/manufacturer/onsemi?pageNo=626", "Onsemi")</f>
        <v>Onsemi</v>
      </c>
      <c r="C1975" s="6">
        <v>2500</v>
      </c>
      <c r="D1975" s="7">
        <v>0.38</v>
      </c>
      <c r="E1975" t="s">
        <v>27</v>
      </c>
    </row>
    <row r="1976" spans="1:5" x14ac:dyDescent="0.25">
      <c r="A1976" t="str">
        <f>HYPERLINK("https://www.773grp.com/globalSearch/MC74LCX14D/page-1", "MC74LCX14D")</f>
        <v>MC74LCX14D</v>
      </c>
      <c r="B1976" s="3" t="str">
        <f>HYPERLINK("https://www.773grp.com/manufacturer/onsemi?pageNo=627", "Onsemi")</f>
        <v>Onsemi</v>
      </c>
      <c r="C1976" s="6">
        <v>3253</v>
      </c>
      <c r="D1976" s="7">
        <v>0.38</v>
      </c>
      <c r="E1976" t="s">
        <v>27</v>
      </c>
    </row>
    <row r="1977" spans="1:5" x14ac:dyDescent="0.25">
      <c r="A1977" t="str">
        <f>HYPERLINK("https://www.773grp.com/globalSearch/MC74LCX14DR2/page-1", "MC74LCX14DR2")</f>
        <v>MC74LCX14DR2</v>
      </c>
      <c r="B1977" s="3" t="str">
        <f>HYPERLINK("https://www.773grp.com/manufacturer/onsemi?pageNo=628", "Onsemi")</f>
        <v>Onsemi</v>
      </c>
      <c r="C1977" s="6">
        <v>6325</v>
      </c>
      <c r="D1977" s="7">
        <v>0.38</v>
      </c>
      <c r="E1977" t="s">
        <v>27</v>
      </c>
    </row>
    <row r="1978" spans="1:5" x14ac:dyDescent="0.25">
      <c r="A1978" t="str">
        <f>HYPERLINK("https://www.773grp.com/globalSearch/MC74LCX14DT/page-1", "MC74LCX14DT")</f>
        <v>MC74LCX14DT</v>
      </c>
      <c r="B1978" s="3" t="str">
        <f>HYPERLINK("https://www.773grp.com/manufacturer/onsemi?pageNo=629", "Onsemi")</f>
        <v>Onsemi</v>
      </c>
      <c r="C1978" s="6">
        <v>18479</v>
      </c>
      <c r="D1978" s="7">
        <v>0.38</v>
      </c>
      <c r="E1978" t="s">
        <v>27</v>
      </c>
    </row>
    <row r="1979" spans="1:5" x14ac:dyDescent="0.25">
      <c r="A1979" t="str">
        <f>HYPERLINK("https://www.773grp.com/globalSearch/MC74LCX14DTR2/page-1", "MC74LCX14DTR2")</f>
        <v>MC74LCX14DTR2</v>
      </c>
      <c r="B1979" s="3" t="str">
        <f>HYPERLINK("https://www.773grp.com/manufacturer/onsemi?pageNo=630", "Onsemi")</f>
        <v>Onsemi</v>
      </c>
      <c r="C1979" s="6">
        <v>49921</v>
      </c>
      <c r="D1979" s="7">
        <v>0.38</v>
      </c>
      <c r="E1979" t="s">
        <v>27</v>
      </c>
    </row>
    <row r="1980" spans="1:5" x14ac:dyDescent="0.25">
      <c r="A1980" t="str">
        <f>HYPERLINK("https://www.773grp.com/globalSearch/MC74LCX32D/page-1", "MC74LCX32D")</f>
        <v>MC74LCX32D</v>
      </c>
      <c r="B1980" s="3" t="str">
        <f>HYPERLINK("https://www.773grp.com/manufacturer/onsemi?pageNo=631", "Onsemi")</f>
        <v>Onsemi</v>
      </c>
      <c r="C1980" s="6">
        <v>2380</v>
      </c>
      <c r="D1980" s="7">
        <v>0.38</v>
      </c>
      <c r="E1980" t="s">
        <v>27</v>
      </c>
    </row>
    <row r="1981" spans="1:5" x14ac:dyDescent="0.25">
      <c r="A1981" t="str">
        <f>HYPERLINK("https://www.773grp.com/globalSearch/MC74LCX32DR2/page-1", "MC74LCX32DR2")</f>
        <v>MC74LCX32DR2</v>
      </c>
      <c r="B1981" s="3" t="str">
        <f>HYPERLINK("https://www.773grp.com/manufacturer/onsemi?pageNo=632", "Onsemi")</f>
        <v>Onsemi</v>
      </c>
      <c r="C1981" s="6">
        <v>43034</v>
      </c>
      <c r="D1981" s="7">
        <v>0.38</v>
      </c>
      <c r="E1981" t="s">
        <v>27</v>
      </c>
    </row>
    <row r="1982" spans="1:5" x14ac:dyDescent="0.25">
      <c r="A1982" t="str">
        <f>HYPERLINK("https://www.773grp.com/globalSearch/MC74LCX32DT/page-1", "MC74LCX32DT")</f>
        <v>MC74LCX32DT</v>
      </c>
      <c r="B1982" s="3" t="str">
        <f>HYPERLINK("https://www.773grp.com/manufacturer/onsemi?pageNo=633", "Onsemi")</f>
        <v>Onsemi</v>
      </c>
      <c r="C1982" s="6">
        <v>11008</v>
      </c>
      <c r="D1982" s="7">
        <v>0.38</v>
      </c>
      <c r="E1982" t="s">
        <v>27</v>
      </c>
    </row>
    <row r="1983" spans="1:5" x14ac:dyDescent="0.25">
      <c r="A1983" t="str">
        <f>HYPERLINK("https://www.773grp.com/globalSearch/MC74LCX74D/page-1", "MC74LCX74D")</f>
        <v>MC74LCX74D</v>
      </c>
      <c r="B1983" s="3" t="str">
        <f>HYPERLINK("https://www.773grp.com/manufacturer/onsemi?pageNo=634", "Onsemi")</f>
        <v>Onsemi</v>
      </c>
      <c r="C1983" s="6">
        <v>20790</v>
      </c>
      <c r="D1983" s="7">
        <v>0.38</v>
      </c>
      <c r="E1983" t="s">
        <v>31</v>
      </c>
    </row>
    <row r="1984" spans="1:5" x14ac:dyDescent="0.25">
      <c r="A1984" t="str">
        <f>HYPERLINK("https://www.773grp.com/globalSearch/MC74LCX74DR2/page-1", "MC74LCX74DR2")</f>
        <v>MC74LCX74DR2</v>
      </c>
      <c r="B1984" s="3" t="str">
        <f>HYPERLINK("https://www.773grp.com/manufacturer/onsemi?pageNo=635", "Onsemi")</f>
        <v>Onsemi</v>
      </c>
      <c r="C1984" s="6">
        <v>17500</v>
      </c>
      <c r="D1984" s="7">
        <v>0.38</v>
      </c>
      <c r="E1984" t="s">
        <v>31</v>
      </c>
    </row>
    <row r="1985" spans="1:5" x14ac:dyDescent="0.25">
      <c r="A1985" t="str">
        <f>HYPERLINK("https://www.773grp.com/globalSearch/MC74LCX74DT/page-1", "MC74LCX74DT")</f>
        <v>MC74LCX74DT</v>
      </c>
      <c r="B1985" s="3" t="str">
        <f>HYPERLINK("https://www.773grp.com/manufacturer/onsemi?pageNo=636", "Onsemi")</f>
        <v>Onsemi</v>
      </c>
      <c r="C1985" s="6">
        <v>18668</v>
      </c>
      <c r="D1985" s="7">
        <v>0.38</v>
      </c>
      <c r="E1985" t="s">
        <v>31</v>
      </c>
    </row>
    <row r="1986" spans="1:5" x14ac:dyDescent="0.25">
      <c r="A1986" t="str">
        <f>HYPERLINK("https://www.773grp.com/globalSearch/MC74LCX74DTR2/page-1", "MC74LCX74DTR2")</f>
        <v>MC74LCX74DTR2</v>
      </c>
      <c r="B1986" s="3" t="str">
        <f>HYPERLINK("https://www.773grp.com/manufacturer/onsemi?pageNo=637", "Onsemi")</f>
        <v>Onsemi</v>
      </c>
      <c r="C1986" s="6">
        <v>25000</v>
      </c>
      <c r="D1986" s="7">
        <v>0.38</v>
      </c>
      <c r="E1986" t="s">
        <v>31</v>
      </c>
    </row>
    <row r="1987" spans="1:5" x14ac:dyDescent="0.25">
      <c r="A1987" t="str">
        <f>HYPERLINK("https://www.773grp.com/globalSearch/MC74LCX86DR2/page-1", "MC74LCX86DR2")</f>
        <v>MC74LCX86DR2</v>
      </c>
      <c r="B1987" s="3" t="str">
        <f>HYPERLINK("https://www.773grp.com/manufacturer/onsemi?pageNo=638", "Onsemi")</f>
        <v>Onsemi</v>
      </c>
      <c r="C1987" s="6">
        <v>2500</v>
      </c>
      <c r="D1987" s="7">
        <v>0.38</v>
      </c>
      <c r="E1987" t="s">
        <v>27</v>
      </c>
    </row>
    <row r="1988" spans="1:5" x14ac:dyDescent="0.25">
      <c r="A1988" t="str">
        <f>HYPERLINK("https://www.773grp.com/globalSearch/MC74LCX86DTR2/page-1", "MC74LCX86DTR2")</f>
        <v>MC74LCX86DTR2</v>
      </c>
      <c r="B1988" s="3" t="str">
        <f>HYPERLINK("https://www.773grp.com/manufacturer/onsemi?pageNo=639", "Onsemi")</f>
        <v>Onsemi</v>
      </c>
      <c r="C1988" s="6">
        <v>19000</v>
      </c>
      <c r="D1988" s="7">
        <v>0.38</v>
      </c>
      <c r="E1988" t="s">
        <v>27</v>
      </c>
    </row>
    <row r="1989" spans="1:5" x14ac:dyDescent="0.25">
      <c r="A1989" t="str">
        <f>HYPERLINK("https://www.773grp.com/globalSearch/MC74LCXU04D/page-1", "MC74LCXU04D")</f>
        <v>MC74LCXU04D</v>
      </c>
      <c r="B1989" s="3" t="str">
        <f>HYPERLINK("https://www.773grp.com/manufacturer/onsemi?pageNo=640", "Onsemi")</f>
        <v>Onsemi</v>
      </c>
      <c r="C1989" s="6">
        <v>1485</v>
      </c>
      <c r="D1989" s="7">
        <v>0.38</v>
      </c>
      <c r="E1989" t="s">
        <v>27</v>
      </c>
    </row>
    <row r="1990" spans="1:5" x14ac:dyDescent="0.25">
      <c r="A1990" t="str">
        <f>HYPERLINK("https://www.773grp.com/globalSearch/MC74LCXU04DR2/page-1", "MC74LCXU04DR2")</f>
        <v>MC74LCXU04DR2</v>
      </c>
      <c r="B1990" s="3" t="str">
        <f>HYPERLINK("https://www.773grp.com/manufacturer/onsemi?pageNo=641", "Onsemi")</f>
        <v>Onsemi</v>
      </c>
      <c r="C1990" s="6">
        <v>27500</v>
      </c>
      <c r="D1990" s="7">
        <v>0.38</v>
      </c>
      <c r="E1990" t="s">
        <v>27</v>
      </c>
    </row>
    <row r="1991" spans="1:5" x14ac:dyDescent="0.25">
      <c r="A1991" t="str">
        <f>HYPERLINK("https://www.773grp.com/globalSearch/MC74LVX125D/page-1", "MC74LVX125D")</f>
        <v>MC74LVX125D</v>
      </c>
      <c r="B1991" s="3" t="str">
        <f>HYPERLINK("https://www.773grp.com/manufacturer/onsemi?pageNo=642", "Onsemi")</f>
        <v>Onsemi</v>
      </c>
      <c r="C1991" s="6">
        <v>15840</v>
      </c>
      <c r="D1991" s="7">
        <v>0.38</v>
      </c>
      <c r="E1991" t="s">
        <v>11</v>
      </c>
    </row>
    <row r="1992" spans="1:5" x14ac:dyDescent="0.25">
      <c r="A1992" t="str">
        <f>HYPERLINK("https://www.773grp.com/globalSearch/MC74LVX125DR2/page-1", "MC74LVX125DR2")</f>
        <v>MC74LVX125DR2</v>
      </c>
      <c r="B1992" s="3" t="str">
        <f>HYPERLINK("https://www.773grp.com/manufacturer/onsemi?pageNo=643", "Onsemi")</f>
        <v>Onsemi</v>
      </c>
      <c r="C1992" s="6">
        <v>2500</v>
      </c>
      <c r="D1992" s="7">
        <v>0.38</v>
      </c>
      <c r="E1992" t="s">
        <v>11</v>
      </c>
    </row>
    <row r="1993" spans="1:5" x14ac:dyDescent="0.25">
      <c r="A1993" t="str">
        <f>HYPERLINK("https://www.773grp.com/globalSearch/MC74LVX125DT/page-1", "MC74LVX125DT")</f>
        <v>MC74LVX125DT</v>
      </c>
      <c r="B1993" s="3" t="str">
        <f>HYPERLINK("https://www.773grp.com/manufacturer/onsemi?pageNo=644", "Onsemi")</f>
        <v>Onsemi</v>
      </c>
      <c r="C1993" s="6">
        <v>49</v>
      </c>
      <c r="D1993" s="7">
        <v>0.38</v>
      </c>
      <c r="E1993" t="s">
        <v>11</v>
      </c>
    </row>
    <row r="1994" spans="1:5" x14ac:dyDescent="0.25">
      <c r="A1994" t="str">
        <f>HYPERLINK("https://www.773grp.com/globalSearch/MC74LVX132DT/page-1", "MC74LVX132DT")</f>
        <v>MC74LVX132DT</v>
      </c>
      <c r="B1994" s="3" t="str">
        <f>HYPERLINK("https://www.773grp.com/manufacturer/onsemi?pageNo=645", "Onsemi")</f>
        <v>Onsemi</v>
      </c>
      <c r="C1994" s="6">
        <v>1440</v>
      </c>
      <c r="D1994" s="7">
        <v>0.38</v>
      </c>
      <c r="E1994" t="s">
        <v>27</v>
      </c>
    </row>
    <row r="1995" spans="1:5" x14ac:dyDescent="0.25">
      <c r="A1995" t="str">
        <f>HYPERLINK("https://www.773grp.com/globalSearch/MC74LVX138DR2/page-1", "MC74LVX138DR2")</f>
        <v>MC74LVX138DR2</v>
      </c>
      <c r="B1995" s="3" t="str">
        <f>HYPERLINK("https://www.773grp.com/manufacturer/onsemi?pageNo=646", "Onsemi")</f>
        <v>Onsemi</v>
      </c>
      <c r="C1995" s="6">
        <v>5000</v>
      </c>
      <c r="D1995" s="7">
        <v>0.38</v>
      </c>
      <c r="E1995" t="s">
        <v>32</v>
      </c>
    </row>
    <row r="1996" spans="1:5" x14ac:dyDescent="0.25">
      <c r="A1996" t="str">
        <f>HYPERLINK("https://www.773grp.com/globalSearch/MC74LVX138DTR2/page-1", "MC74LVX138DTR2")</f>
        <v>MC74LVX138DTR2</v>
      </c>
      <c r="B1996" s="3" t="str">
        <f>HYPERLINK("https://www.773grp.com/manufacturer/onsemi?pageNo=647", "Onsemi")</f>
        <v>Onsemi</v>
      </c>
      <c r="C1996" s="6">
        <v>7500</v>
      </c>
      <c r="D1996" s="7">
        <v>0.38</v>
      </c>
      <c r="E1996" t="s">
        <v>32</v>
      </c>
    </row>
    <row r="1997" spans="1:5" x14ac:dyDescent="0.25">
      <c r="A1997" t="str">
        <f>HYPERLINK("https://www.773grp.com/globalSearch/MC74LVX139DR2/page-1", "MC74LVX139DR2")</f>
        <v>MC74LVX139DR2</v>
      </c>
      <c r="B1997" s="3" t="str">
        <f>HYPERLINK("https://www.773grp.com/manufacturer/onsemi?pageNo=648", "Onsemi")</f>
        <v>Onsemi</v>
      </c>
      <c r="C1997" s="6">
        <v>1726</v>
      </c>
      <c r="D1997" s="7">
        <v>0.38</v>
      </c>
      <c r="E1997" t="s">
        <v>32</v>
      </c>
    </row>
    <row r="1998" spans="1:5" x14ac:dyDescent="0.25">
      <c r="A1998" t="str">
        <f>HYPERLINK("https://www.773grp.com/globalSearch/MC74LVX139DTR2/page-1", "MC74LVX139DTR2")</f>
        <v>MC74LVX139DTR2</v>
      </c>
      <c r="B1998" s="3" t="str">
        <f>HYPERLINK("https://www.773grp.com/manufacturer/onsemi?pageNo=649", "Onsemi")</f>
        <v>Onsemi</v>
      </c>
      <c r="C1998" s="6">
        <v>15000</v>
      </c>
      <c r="D1998" s="7">
        <v>0.38</v>
      </c>
      <c r="E1998" t="s">
        <v>32</v>
      </c>
    </row>
    <row r="1999" spans="1:5" x14ac:dyDescent="0.25">
      <c r="A1999" t="str">
        <f>HYPERLINK("https://www.773grp.com/globalSearch/MC74LVX14D/page-1", "MC74LVX14D")</f>
        <v>MC74LVX14D</v>
      </c>
      <c r="B1999" s="3" t="str">
        <f>HYPERLINK("https://www.773grp.com/manufacturer/onsemi?pageNo=650", "Onsemi")</f>
        <v>Onsemi</v>
      </c>
      <c r="C1999" s="6">
        <v>9280</v>
      </c>
      <c r="D1999" s="7">
        <v>0.38</v>
      </c>
      <c r="E1999" t="s">
        <v>27</v>
      </c>
    </row>
    <row r="2000" spans="1:5" x14ac:dyDescent="0.25">
      <c r="A2000" t="str">
        <f>HYPERLINK("https://www.773grp.com/globalSearch/MC74LVX157DR2/page-1", "MC74LVX157DR2")</f>
        <v>MC74LVX157DR2</v>
      </c>
      <c r="B2000" s="3" t="str">
        <f>HYPERLINK("https://www.773grp.com/manufacturer/onsemi?pageNo=651", "Onsemi")</f>
        <v>Onsemi</v>
      </c>
      <c r="C2000" s="6">
        <v>5000</v>
      </c>
      <c r="D2000" s="7">
        <v>0.38</v>
      </c>
      <c r="E2000" t="s">
        <v>16</v>
      </c>
    </row>
    <row r="2001" spans="1:5" x14ac:dyDescent="0.25">
      <c r="A2001" t="str">
        <f>HYPERLINK("https://www.773grp.com/globalSearch/MC74LVX257DR2/page-1", "MC74LVX257DR2")</f>
        <v>MC74LVX257DR2</v>
      </c>
      <c r="B2001" s="3" t="str">
        <f>HYPERLINK("https://www.773grp.com/manufacturer/onsemi?pageNo=652", "Onsemi")</f>
        <v>Onsemi</v>
      </c>
      <c r="C2001" s="6">
        <v>4975</v>
      </c>
      <c r="D2001" s="7">
        <v>0.38</v>
      </c>
      <c r="E2001" t="s">
        <v>16</v>
      </c>
    </row>
    <row r="2002" spans="1:5" x14ac:dyDescent="0.25">
      <c r="A2002" t="str">
        <f>HYPERLINK("https://www.773grp.com/globalSearch/MC74LVX259D/page-1", "MC74LVX259D")</f>
        <v>MC74LVX259D</v>
      </c>
      <c r="B2002" s="3" t="str">
        <f>HYPERLINK("https://www.773grp.com/manufacturer/onsemi?pageNo=653", "Onsemi")</f>
        <v>Onsemi</v>
      </c>
      <c r="C2002" s="6">
        <v>932</v>
      </c>
      <c r="D2002" s="7">
        <v>0.38</v>
      </c>
      <c r="E2002" t="s">
        <v>32</v>
      </c>
    </row>
    <row r="2003" spans="1:5" x14ac:dyDescent="0.25">
      <c r="A2003" t="str">
        <f>HYPERLINK("https://www.773grp.com/globalSearch/MC74LVX259DR2/page-1", "MC74LVX259DR2")</f>
        <v>MC74LVX259DR2</v>
      </c>
      <c r="B2003" s="3" t="str">
        <f>HYPERLINK("https://www.773grp.com/manufacturer/onsemi?pageNo=654", "Onsemi")</f>
        <v>Onsemi</v>
      </c>
      <c r="C2003" s="6">
        <v>5000</v>
      </c>
      <c r="D2003" s="7">
        <v>0.38</v>
      </c>
      <c r="E2003" t="s">
        <v>32</v>
      </c>
    </row>
    <row r="2004" spans="1:5" x14ac:dyDescent="0.25">
      <c r="A2004" t="str">
        <f>HYPERLINK("https://www.773grp.com/globalSearch/MC74LVX259DT/page-1", "MC74LVX259DT")</f>
        <v>MC74LVX259DT</v>
      </c>
      <c r="B2004" s="3" t="str">
        <f>HYPERLINK("https://www.773grp.com/manufacturer/onsemi?pageNo=655", "Onsemi")</f>
        <v>Onsemi</v>
      </c>
      <c r="C2004" s="6">
        <v>9092</v>
      </c>
      <c r="D2004" s="7">
        <v>0.38</v>
      </c>
      <c r="E2004" t="s">
        <v>32</v>
      </c>
    </row>
    <row r="2005" spans="1:5" x14ac:dyDescent="0.25">
      <c r="A2005" t="str">
        <f>HYPERLINK("https://www.773grp.com/globalSearch/MC74LVX259DTR2/page-1", "MC74LVX259DTR2")</f>
        <v>MC74LVX259DTR2</v>
      </c>
      <c r="B2005" s="3" t="str">
        <f>HYPERLINK("https://www.773grp.com/manufacturer/onsemi?pageNo=656", "Onsemi")</f>
        <v>Onsemi</v>
      </c>
      <c r="C2005" s="6">
        <v>5000</v>
      </c>
      <c r="D2005" s="7">
        <v>0.38</v>
      </c>
      <c r="E2005" t="s">
        <v>32</v>
      </c>
    </row>
    <row r="2006" spans="1:5" x14ac:dyDescent="0.25">
      <c r="A2006" t="str">
        <f>HYPERLINK("https://www.773grp.com/globalSearch/MC74VHC02MEL/page-1", "MC74VHC02MEL")</f>
        <v>MC74VHC02MEL</v>
      </c>
      <c r="B2006" s="3" t="str">
        <f>HYPERLINK("https://www.773grp.com/manufacturer/onsemi?pageNo=657", "Onsemi")</f>
        <v>Onsemi</v>
      </c>
      <c r="C2006" s="6">
        <v>12000</v>
      </c>
      <c r="D2006" s="7">
        <v>0.38</v>
      </c>
    </row>
    <row r="2007" spans="1:5" x14ac:dyDescent="0.25">
      <c r="A2007" t="str">
        <f>HYPERLINK("https://www.773grp.com/globalSearch/MC74VHC132DR2/page-1", "MC74VHC132DR2")</f>
        <v>MC74VHC132DR2</v>
      </c>
      <c r="B2007" s="3" t="str">
        <f>HYPERLINK("https://www.773grp.com/manufacturer/onsemi?pageNo=658", "Onsemi")</f>
        <v>Onsemi</v>
      </c>
      <c r="C2007" s="6">
        <v>17500</v>
      </c>
      <c r="D2007" s="7">
        <v>0.38</v>
      </c>
      <c r="E2007" t="s">
        <v>27</v>
      </c>
    </row>
    <row r="2008" spans="1:5" x14ac:dyDescent="0.25">
      <c r="A2008" t="str">
        <f>HYPERLINK("https://www.773grp.com/globalSearch/MC74VHC132DT/page-1", "MC74VHC132DT")</f>
        <v>MC74VHC132DT</v>
      </c>
      <c r="B2008" s="3" t="str">
        <f>HYPERLINK("https://www.773grp.com/manufacturer/onsemi?pageNo=659", "Onsemi")</f>
        <v>Onsemi</v>
      </c>
      <c r="C2008" s="6">
        <v>3624</v>
      </c>
      <c r="D2008" s="7">
        <v>0.38</v>
      </c>
      <c r="E2008" t="s">
        <v>27</v>
      </c>
    </row>
    <row r="2009" spans="1:5" x14ac:dyDescent="0.25">
      <c r="A2009" t="str">
        <f>HYPERLINK("https://www.773grp.com/globalSearch/MC74VHC138D/page-1", "MC74VHC138D")</f>
        <v>MC74VHC138D</v>
      </c>
      <c r="B2009" s="3" t="str">
        <f>HYPERLINK("https://www.773grp.com/manufacturer/onsemi?pageNo=660", "Onsemi")</f>
        <v>Onsemi</v>
      </c>
      <c r="C2009" s="6">
        <v>13270</v>
      </c>
      <c r="D2009" s="7">
        <v>0.38</v>
      </c>
      <c r="E2009" t="s">
        <v>32</v>
      </c>
    </row>
    <row r="2010" spans="1:5" x14ac:dyDescent="0.25">
      <c r="A2010" t="str">
        <f>HYPERLINK("https://www.773grp.com/globalSearch/MC74VHC138DR2/page-1", "MC74VHC138DR2")</f>
        <v>MC74VHC138DR2</v>
      </c>
      <c r="B2010" s="3" t="str">
        <f>HYPERLINK("https://www.773grp.com/manufacturer/onsemi?pageNo=661", "Onsemi")</f>
        <v>Onsemi</v>
      </c>
      <c r="C2010" s="6">
        <v>15000</v>
      </c>
      <c r="D2010" s="7">
        <v>0.38</v>
      </c>
      <c r="E2010" t="s">
        <v>32</v>
      </c>
    </row>
    <row r="2011" spans="1:5" x14ac:dyDescent="0.25">
      <c r="A2011" t="str">
        <f>HYPERLINK("https://www.773grp.com/globalSearch/MC74VHC138DTR2/page-1", "MC74VHC138DTR2")</f>
        <v>MC74VHC138DTR2</v>
      </c>
      <c r="B2011" s="3" t="str">
        <f>HYPERLINK("https://www.773grp.com/manufacturer/onsemi?pageNo=662", "Onsemi")</f>
        <v>Onsemi</v>
      </c>
      <c r="C2011" s="6">
        <v>10000</v>
      </c>
      <c r="D2011" s="7">
        <v>0.38</v>
      </c>
      <c r="E2011" t="s">
        <v>32</v>
      </c>
    </row>
    <row r="2012" spans="1:5" x14ac:dyDescent="0.25">
      <c r="A2012" t="str">
        <f>HYPERLINK("https://www.773grp.com/globalSearch/MC74VHC139DTR2/page-1", "MC74VHC139DTR2")</f>
        <v>MC74VHC139DTR2</v>
      </c>
      <c r="B2012" s="3" t="str">
        <f>HYPERLINK("https://www.773grp.com/manufacturer/onsemi?pageNo=663", "Onsemi")</f>
        <v>Onsemi</v>
      </c>
      <c r="C2012" s="6">
        <v>10000</v>
      </c>
      <c r="D2012" s="7">
        <v>0.38</v>
      </c>
      <c r="E2012" t="s">
        <v>32</v>
      </c>
    </row>
    <row r="2013" spans="1:5" x14ac:dyDescent="0.25">
      <c r="A2013" t="str">
        <f>HYPERLINK("https://www.773grp.com/globalSearch/MC74VHC157DR2/page-1", "MC74VHC157DR2")</f>
        <v>MC74VHC157DR2</v>
      </c>
      <c r="B2013" s="3" t="str">
        <f>HYPERLINK("https://www.773grp.com/manufacturer/onsemi?pageNo=664", "Onsemi")</f>
        <v>Onsemi</v>
      </c>
      <c r="C2013" s="6">
        <v>10000</v>
      </c>
      <c r="D2013" s="7">
        <v>0.38</v>
      </c>
      <c r="E2013" t="s">
        <v>16</v>
      </c>
    </row>
    <row r="2014" spans="1:5" x14ac:dyDescent="0.25">
      <c r="A2014" t="str">
        <f>HYPERLINK("https://www.773grp.com/globalSearch/MC74VHC157DTR2/page-1", "MC74VHC157DTR2")</f>
        <v>MC74VHC157DTR2</v>
      </c>
      <c r="B2014" s="3" t="str">
        <f>HYPERLINK("https://www.773grp.com/manufacturer/onsemi?pageNo=665", "Onsemi")</f>
        <v>Onsemi</v>
      </c>
      <c r="C2014" s="6">
        <v>10000</v>
      </c>
      <c r="D2014" s="7">
        <v>0.38</v>
      </c>
      <c r="E2014" t="s">
        <v>16</v>
      </c>
    </row>
    <row r="2015" spans="1:5" x14ac:dyDescent="0.25">
      <c r="A2015" t="str">
        <f>HYPERLINK("https://www.773grp.com/globalSearch/MC74VHC1G01DFT1G/page-1", "MC74VHC1G01DFT1G")</f>
        <v>MC74VHC1G01DFT1G</v>
      </c>
      <c r="B2015" s="3" t="str">
        <f>HYPERLINK("https://www.773grp.com/manufacturer/onsemi?pageNo=666", "Onsemi")</f>
        <v>Onsemi</v>
      </c>
      <c r="C2015" s="6">
        <v>12000</v>
      </c>
      <c r="D2015" s="7">
        <v>0.38</v>
      </c>
      <c r="E2015" t="s">
        <v>27</v>
      </c>
    </row>
    <row r="2016" spans="1:5" x14ac:dyDescent="0.25">
      <c r="A2016" t="str">
        <f>HYPERLINK("https://www.773grp.com/globalSearch/MC74VHC1G03DFT1G/page-1", "MC74VHC1G03DFT1G")</f>
        <v>MC74VHC1G03DFT1G</v>
      </c>
      <c r="B2016" s="3" t="str">
        <f>HYPERLINK("https://www.773grp.com/manufacturer/onsemi?pageNo=667", "Onsemi")</f>
        <v>Onsemi</v>
      </c>
      <c r="C2016" s="6">
        <v>117000</v>
      </c>
      <c r="D2016" s="7">
        <v>0.38</v>
      </c>
      <c r="E2016" t="s">
        <v>27</v>
      </c>
    </row>
    <row r="2017" spans="1:5" x14ac:dyDescent="0.25">
      <c r="A2017" t="str">
        <f>HYPERLINK("https://www.773grp.com/globalSearch/MC74VHC1G03DFT2G/page-1", "MC74VHC1G03DFT2G")</f>
        <v>MC74VHC1G03DFT2G</v>
      </c>
      <c r="B2017" s="3" t="str">
        <f>HYPERLINK("https://www.773grp.com/manufacturer/onsemi?pageNo=668", "Onsemi")</f>
        <v>Onsemi</v>
      </c>
      <c r="C2017" s="6">
        <v>42000</v>
      </c>
      <c r="D2017" s="7">
        <v>0.38</v>
      </c>
      <c r="E2017" t="s">
        <v>27</v>
      </c>
    </row>
    <row r="2018" spans="1:5" x14ac:dyDescent="0.25">
      <c r="A2018" t="str">
        <f>HYPERLINK("https://www.773grp.com/globalSearch/MC74VHC1G09DFT1G/page-1", "MC74VHC1G09DFT1G")</f>
        <v>MC74VHC1G09DFT1G</v>
      </c>
      <c r="B2018" s="3" t="str">
        <f>HYPERLINK("https://www.773grp.com/manufacturer/onsemi?pageNo=669", "Onsemi")</f>
        <v>Onsemi</v>
      </c>
      <c r="C2018" s="6">
        <v>84000</v>
      </c>
      <c r="D2018" s="7">
        <v>0.38</v>
      </c>
      <c r="E2018" t="s">
        <v>27</v>
      </c>
    </row>
    <row r="2019" spans="1:5" x14ac:dyDescent="0.25">
      <c r="A2019" t="str">
        <f>HYPERLINK("https://www.773grp.com/globalSearch/MC74VHC1G09DFT2G/page-1", "MC74VHC1G09DFT2G")</f>
        <v>MC74VHC1G09DFT2G</v>
      </c>
      <c r="B2019" s="3" t="str">
        <f>HYPERLINK("https://www.773grp.com/manufacturer/onsemi?pageNo=670", "Onsemi")</f>
        <v>Onsemi</v>
      </c>
      <c r="C2019" s="6">
        <v>771340</v>
      </c>
      <c r="D2019" s="7">
        <v>0.38</v>
      </c>
      <c r="E2019" t="s">
        <v>27</v>
      </c>
    </row>
    <row r="2020" spans="1:5" x14ac:dyDescent="0.25">
      <c r="A2020" t="str">
        <f>HYPERLINK("https://www.773grp.com/globalSearch/MC74VHC1G50DFT1G/page-1", "MC74VHC1G50DFT1G")</f>
        <v>MC74VHC1G50DFT1G</v>
      </c>
      <c r="B2020" s="3" t="str">
        <f>HYPERLINK("https://www.773grp.com/manufacturer/onsemi?pageNo=671", "Onsemi")</f>
        <v>Onsemi</v>
      </c>
      <c r="C2020" s="6">
        <v>2079000</v>
      </c>
      <c r="D2020" s="7">
        <v>0.38</v>
      </c>
      <c r="E2020" t="s">
        <v>27</v>
      </c>
    </row>
    <row r="2021" spans="1:5" x14ac:dyDescent="0.25">
      <c r="A2021" t="str">
        <f>HYPERLINK("https://www.773grp.com/globalSearch/MC74VHC1G50DFT2G/page-1", "MC74VHC1G50DFT2G")</f>
        <v>MC74VHC1G50DFT2G</v>
      </c>
      <c r="B2021" s="3" t="str">
        <f>HYPERLINK("https://www.773grp.com/manufacturer/onsemi?pageNo=672", "Onsemi")</f>
        <v>Onsemi</v>
      </c>
      <c r="C2021" s="6">
        <v>105000</v>
      </c>
      <c r="D2021" s="7">
        <v>0.38</v>
      </c>
      <c r="E2021" t="s">
        <v>27</v>
      </c>
    </row>
    <row r="2022" spans="1:5" x14ac:dyDescent="0.25">
      <c r="A2022" t="str">
        <f>HYPERLINK("https://www.773grp.com/globalSearch/MC74VHC257DR2/page-1", "MC74VHC257DR2")</f>
        <v>MC74VHC257DR2</v>
      </c>
      <c r="B2022" s="3" t="str">
        <f>HYPERLINK("https://www.773grp.com/manufacturer/onsemi?pageNo=673", "Onsemi")</f>
        <v>Onsemi</v>
      </c>
      <c r="C2022" s="6">
        <v>4995</v>
      </c>
      <c r="D2022" s="7">
        <v>0.38</v>
      </c>
      <c r="E2022" t="s">
        <v>16</v>
      </c>
    </row>
    <row r="2023" spans="1:5" x14ac:dyDescent="0.25">
      <c r="A2023" t="str">
        <f>HYPERLINK("https://www.773grp.com/globalSearch/MC74VHC257DT/page-1", "MC74VHC257DT")</f>
        <v>MC74VHC257DT</v>
      </c>
      <c r="B2023" s="3" t="str">
        <f>HYPERLINK("https://www.773grp.com/manufacturer/onsemi?pageNo=674", "Onsemi")</f>
        <v>Onsemi</v>
      </c>
      <c r="C2023" s="6">
        <v>960</v>
      </c>
      <c r="D2023" s="7">
        <v>0.38</v>
      </c>
      <c r="E2023" t="s">
        <v>16</v>
      </c>
    </row>
    <row r="2024" spans="1:5" x14ac:dyDescent="0.25">
      <c r="A2024" t="str">
        <f>HYPERLINK("https://www.773grp.com/globalSearch/MC74VHC257DTR2/page-1", "MC74VHC257DTR2")</f>
        <v>MC74VHC257DTR2</v>
      </c>
      <c r="B2024" s="3" t="str">
        <f>HYPERLINK("https://www.773grp.com/manufacturer/onsemi?pageNo=675", "Onsemi")</f>
        <v>Onsemi</v>
      </c>
      <c r="C2024" s="6">
        <v>2500</v>
      </c>
      <c r="D2024" s="7">
        <v>0.38</v>
      </c>
      <c r="E2024" t="s">
        <v>16</v>
      </c>
    </row>
    <row r="2025" spans="1:5" x14ac:dyDescent="0.25">
      <c r="A2025" t="str">
        <f>HYPERLINK("https://www.773grp.com/globalSearch/MC74VHC259D/page-1", "MC74VHC259D")</f>
        <v>MC74VHC259D</v>
      </c>
      <c r="B2025" s="3" t="str">
        <f>HYPERLINK("https://www.773grp.com/manufacturer/onsemi?pageNo=676", "Onsemi")</f>
        <v>Onsemi</v>
      </c>
      <c r="C2025" s="6">
        <v>480</v>
      </c>
      <c r="D2025" s="7">
        <v>0.38</v>
      </c>
      <c r="E2025" t="s">
        <v>32</v>
      </c>
    </row>
    <row r="2026" spans="1:5" x14ac:dyDescent="0.25">
      <c r="A2026" t="str">
        <f>HYPERLINK("https://www.773grp.com/globalSearch/MC74VHC259DR2/page-1", "MC74VHC259DR2")</f>
        <v>MC74VHC259DR2</v>
      </c>
      <c r="B2026" s="3" t="str">
        <f>HYPERLINK("https://www.773grp.com/manufacturer/onsemi?pageNo=677", "Onsemi")</f>
        <v>Onsemi</v>
      </c>
      <c r="C2026" s="6">
        <v>12495</v>
      </c>
      <c r="D2026" s="7">
        <v>0.38</v>
      </c>
      <c r="E2026" t="s">
        <v>32</v>
      </c>
    </row>
    <row r="2027" spans="1:5" x14ac:dyDescent="0.25">
      <c r="A2027" t="str">
        <f>HYPERLINK("https://www.773grp.com/globalSearch/MC74VHC259DTR2/page-1", "MC74VHC259DTR2")</f>
        <v>MC74VHC259DTR2</v>
      </c>
      <c r="B2027" s="3" t="str">
        <f>HYPERLINK("https://www.773grp.com/manufacturer/onsemi?pageNo=678", "Onsemi")</f>
        <v>Onsemi</v>
      </c>
      <c r="C2027" s="6">
        <v>2485</v>
      </c>
      <c r="D2027" s="7">
        <v>0.38</v>
      </c>
      <c r="E2027" t="s">
        <v>32</v>
      </c>
    </row>
    <row r="2028" spans="1:5" x14ac:dyDescent="0.25">
      <c r="A2028" t="str">
        <f>HYPERLINK("https://www.773grp.com/globalSearch/MC74VHC32MEL/page-1", "MC74VHC32MEL")</f>
        <v>MC74VHC32MEL</v>
      </c>
      <c r="B2028" s="3" t="str">
        <f>HYPERLINK("https://www.773grp.com/manufacturer/onsemi?pageNo=679", "Onsemi")</f>
        <v>Onsemi</v>
      </c>
      <c r="C2028" s="6">
        <v>2000</v>
      </c>
      <c r="D2028" s="7">
        <v>0.38</v>
      </c>
    </row>
    <row r="2029" spans="1:5" x14ac:dyDescent="0.25">
      <c r="A2029" t="str">
        <f>HYPERLINK("https://www.773grp.com/globalSearch/MC74VHC74D/page-1", "MC74VHC74D")</f>
        <v>MC74VHC74D</v>
      </c>
      <c r="B2029" s="3" t="str">
        <f>HYPERLINK("https://www.773grp.com/manufacturer/onsemi?pageNo=680", "Onsemi")</f>
        <v>Onsemi</v>
      </c>
      <c r="C2029" s="6">
        <v>37070</v>
      </c>
      <c r="D2029" s="7">
        <v>0.38</v>
      </c>
      <c r="E2029" t="s">
        <v>31</v>
      </c>
    </row>
    <row r="2030" spans="1:5" x14ac:dyDescent="0.25">
      <c r="A2030" t="str">
        <f>HYPERLINK("https://www.773grp.com/globalSearch/MC74VHC86DT/page-1", "MC74VHC86DT")</f>
        <v>MC74VHC86DT</v>
      </c>
      <c r="B2030" s="3" t="str">
        <f>HYPERLINK("https://www.773grp.com/manufacturer/onsemi?pageNo=681", "Onsemi")</f>
        <v>Onsemi</v>
      </c>
      <c r="C2030" s="6">
        <v>7027</v>
      </c>
      <c r="D2030" s="7">
        <v>0.38</v>
      </c>
      <c r="E2030" t="s">
        <v>27</v>
      </c>
    </row>
    <row r="2031" spans="1:5" x14ac:dyDescent="0.25">
      <c r="A2031" t="str">
        <f>HYPERLINK("https://www.773grp.com/globalSearch/MC74VHC86MEL/page-1", "MC74VHC86MEL")</f>
        <v>MC74VHC86MEL</v>
      </c>
      <c r="B2031" s="3" t="str">
        <f>HYPERLINK("https://www.773grp.com/manufacturer/onsemi?pageNo=682", "Onsemi")</f>
        <v>Onsemi</v>
      </c>
      <c r="C2031" s="6">
        <v>2000</v>
      </c>
      <c r="D2031" s="7">
        <v>0.38</v>
      </c>
      <c r="E2031" t="s">
        <v>27</v>
      </c>
    </row>
    <row r="2032" spans="1:5" x14ac:dyDescent="0.25">
      <c r="A2032" t="str">
        <f>HYPERLINK("https://www.773grp.com/globalSearch/MC74VHCT00AMEL/page-1", "MC74VHCT00AMEL")</f>
        <v>MC74VHCT00AMEL</v>
      </c>
      <c r="B2032" s="3" t="str">
        <f>HYPERLINK("https://www.773grp.com/manufacturer/onsemi?pageNo=683", "Onsemi")</f>
        <v>Onsemi</v>
      </c>
      <c r="C2032" s="6">
        <v>4000</v>
      </c>
      <c r="D2032" s="7">
        <v>0.38</v>
      </c>
      <c r="E2032" t="s">
        <v>27</v>
      </c>
    </row>
    <row r="2033" spans="1:5" x14ac:dyDescent="0.25">
      <c r="A2033" t="str">
        <f>HYPERLINK("https://www.773grp.com/globalSearch/MC74VHCT125A/page-1", "MC74VHCT125A")</f>
        <v>MC74VHCT125A</v>
      </c>
      <c r="B2033" s="3" t="str">
        <f>HYPERLINK("https://www.773grp.com/manufacturer/onsemi?pageNo=684", "Onsemi")</f>
        <v>Onsemi</v>
      </c>
      <c r="C2033" s="6">
        <v>960</v>
      </c>
      <c r="D2033" s="7">
        <v>0.38</v>
      </c>
    </row>
    <row r="2034" spans="1:5" x14ac:dyDescent="0.25">
      <c r="A2034" t="str">
        <f>HYPERLINK("https://www.773grp.com/globalSearch/MC74VHCT125ADR2/page-1", "MC74VHCT125ADR2")</f>
        <v>MC74VHCT125ADR2</v>
      </c>
      <c r="B2034" s="3" t="str">
        <f>HYPERLINK("https://www.773grp.com/manufacturer/onsemi?pageNo=685", "Onsemi")</f>
        <v>Onsemi</v>
      </c>
      <c r="C2034" s="6">
        <v>1071</v>
      </c>
      <c r="D2034" s="7">
        <v>0.38</v>
      </c>
      <c r="E2034" t="s">
        <v>11</v>
      </c>
    </row>
    <row r="2035" spans="1:5" x14ac:dyDescent="0.25">
      <c r="A2035" t="str">
        <f>HYPERLINK("https://www.773grp.com/globalSearch/MC74VHCT126ADR2/page-1", "MC74VHCT126ADR2")</f>
        <v>MC74VHCT126ADR2</v>
      </c>
      <c r="B2035" s="3" t="str">
        <f>HYPERLINK("https://www.773grp.com/manufacturer/onsemi?pageNo=686", "Onsemi")</f>
        <v>Onsemi</v>
      </c>
      <c r="C2035" s="6">
        <v>49791</v>
      </c>
      <c r="D2035" s="7">
        <v>0.38</v>
      </c>
      <c r="E2035" t="s">
        <v>11</v>
      </c>
    </row>
    <row r="2036" spans="1:5" x14ac:dyDescent="0.25">
      <c r="A2036" t="str">
        <f>HYPERLINK("https://www.773grp.com/globalSearch/MC74VHCT139AD/page-1", "MC74VHCT139AD")</f>
        <v>MC74VHCT139AD</v>
      </c>
      <c r="B2036" s="3" t="str">
        <f>HYPERLINK("https://www.773grp.com/manufacturer/onsemi?pageNo=687", "Onsemi")</f>
        <v>Onsemi</v>
      </c>
      <c r="C2036" s="6">
        <v>1056</v>
      </c>
      <c r="D2036" s="7">
        <v>0.38</v>
      </c>
      <c r="E2036" t="s">
        <v>32</v>
      </c>
    </row>
    <row r="2037" spans="1:5" x14ac:dyDescent="0.25">
      <c r="A2037" t="str">
        <f>HYPERLINK("https://www.773grp.com/globalSearch/MC74VHCT139ADR2/page-1", "MC74VHCT139ADR2")</f>
        <v>MC74VHCT139ADR2</v>
      </c>
      <c r="B2037" s="3" t="str">
        <f>HYPERLINK("https://www.773grp.com/manufacturer/onsemi?pageNo=688", "Onsemi")</f>
        <v>Onsemi</v>
      </c>
      <c r="C2037" s="6">
        <v>12485</v>
      </c>
      <c r="D2037" s="7">
        <v>0.38</v>
      </c>
      <c r="E2037" t="s">
        <v>32</v>
      </c>
    </row>
    <row r="2038" spans="1:5" x14ac:dyDescent="0.25">
      <c r="A2038" t="str">
        <f>HYPERLINK("https://www.773grp.com/globalSearch/MC74VHCT139ADTR2/page-1", "MC74VHCT139ADTR2")</f>
        <v>MC74VHCT139ADTR2</v>
      </c>
      <c r="B2038" s="3" t="str">
        <f>HYPERLINK("https://www.773grp.com/manufacturer/onsemi?pageNo=689", "Onsemi")</f>
        <v>Onsemi</v>
      </c>
      <c r="C2038" s="6">
        <v>5000</v>
      </c>
      <c r="D2038" s="7">
        <v>0.38</v>
      </c>
      <c r="E2038" t="s">
        <v>32</v>
      </c>
    </row>
    <row r="2039" spans="1:5" x14ac:dyDescent="0.25">
      <c r="A2039" t="str">
        <f>HYPERLINK("https://www.773grp.com/globalSearch/MC74VHCT257ADR2/page-1", "MC74VHCT257ADR2")</f>
        <v>MC74VHCT257ADR2</v>
      </c>
      <c r="B2039" s="3" t="str">
        <f>HYPERLINK("https://www.773grp.com/manufacturer/onsemi?pageNo=690", "Onsemi")</f>
        <v>Onsemi</v>
      </c>
      <c r="C2039" s="6">
        <v>5000</v>
      </c>
      <c r="D2039" s="7">
        <v>0.38</v>
      </c>
      <c r="E2039" t="s">
        <v>16</v>
      </c>
    </row>
    <row r="2040" spans="1:5" x14ac:dyDescent="0.25">
      <c r="A2040" t="str">
        <f>HYPERLINK("https://www.773grp.com/globalSearch/MC74VHCT257ADT/page-1", "MC74VHCT257ADT")</f>
        <v>MC74VHCT257ADT</v>
      </c>
      <c r="B2040" s="3" t="str">
        <f>HYPERLINK("https://www.773grp.com/manufacturer/onsemi?pageNo=691", "Onsemi")</f>
        <v>Onsemi</v>
      </c>
      <c r="C2040" s="6">
        <v>16416</v>
      </c>
      <c r="D2040" s="7">
        <v>0.38</v>
      </c>
      <c r="E2040" t="s">
        <v>16</v>
      </c>
    </row>
    <row r="2041" spans="1:5" x14ac:dyDescent="0.25">
      <c r="A2041" t="str">
        <f>HYPERLINK("https://www.773grp.com/globalSearch/MC74VHCT259AD/page-1", "MC74VHCT259AD")</f>
        <v>MC74VHCT259AD</v>
      </c>
      <c r="B2041" s="3" t="str">
        <f>HYPERLINK("https://www.773grp.com/manufacturer/onsemi?pageNo=692", "Onsemi")</f>
        <v>Onsemi</v>
      </c>
      <c r="C2041" s="6">
        <v>96</v>
      </c>
      <c r="D2041" s="7">
        <v>0.38</v>
      </c>
      <c r="E2041" t="s">
        <v>32</v>
      </c>
    </row>
    <row r="2042" spans="1:5" x14ac:dyDescent="0.25">
      <c r="A2042" t="str">
        <f>HYPERLINK("https://www.773grp.com/globalSearch/MC74VHCT259ADR2/page-1", "MC74VHCT259ADR2")</f>
        <v>MC74VHCT259ADR2</v>
      </c>
      <c r="B2042" s="3" t="str">
        <f>HYPERLINK("https://www.773grp.com/manufacturer/onsemi?pageNo=693", "Onsemi")</f>
        <v>Onsemi</v>
      </c>
      <c r="C2042" s="6">
        <v>4970</v>
      </c>
      <c r="D2042" s="7">
        <v>0.38</v>
      </c>
      <c r="E2042" t="s">
        <v>32</v>
      </c>
    </row>
    <row r="2043" spans="1:5" x14ac:dyDescent="0.25">
      <c r="A2043" t="str">
        <f>HYPERLINK("https://www.773grp.com/globalSearch/MC74VHCT259ADT/page-1", "MC74VHCT259ADT")</f>
        <v>MC74VHCT259ADT</v>
      </c>
      <c r="B2043" s="3" t="str">
        <f>HYPERLINK("https://www.773grp.com/manufacturer/onsemi?pageNo=694", "Onsemi")</f>
        <v>Onsemi</v>
      </c>
      <c r="C2043" s="6">
        <v>1632</v>
      </c>
      <c r="D2043" s="7">
        <v>0.38</v>
      </c>
      <c r="E2043" t="s">
        <v>32</v>
      </c>
    </row>
    <row r="2044" spans="1:5" x14ac:dyDescent="0.25">
      <c r="A2044" t="str">
        <f>HYPERLINK("https://www.773grp.com/globalSearch/MC74VHCT259ADTR2/page-1", "MC74VHCT259ADTR2")</f>
        <v>MC74VHCT259ADTR2</v>
      </c>
      <c r="B2044" s="3" t="str">
        <f>HYPERLINK("https://www.773grp.com/manufacturer/onsemi?pageNo=695", "Onsemi")</f>
        <v>Onsemi</v>
      </c>
      <c r="C2044" s="6">
        <v>2275</v>
      </c>
      <c r="D2044" s="7">
        <v>0.38</v>
      </c>
      <c r="E2044" t="s">
        <v>32</v>
      </c>
    </row>
    <row r="2045" spans="1:5" x14ac:dyDescent="0.25">
      <c r="A2045" t="str">
        <f>HYPERLINK("https://www.773grp.com/globalSearch/MC74VHCT32AM/page-1", "MC74VHCT32AM")</f>
        <v>MC74VHCT32AM</v>
      </c>
      <c r="B2045" s="3" t="str">
        <f>HYPERLINK("https://www.773grp.com/manufacturer/onsemi?pageNo=696", "Onsemi")</f>
        <v>Onsemi</v>
      </c>
      <c r="C2045" s="6">
        <v>50</v>
      </c>
      <c r="D2045" s="7">
        <v>0.38</v>
      </c>
      <c r="E2045" t="s">
        <v>27</v>
      </c>
    </row>
    <row r="2046" spans="1:5" x14ac:dyDescent="0.25">
      <c r="A2046" t="str">
        <f>HYPERLINK("https://www.773grp.com/globalSearch/MC74VHCT74AD/page-1", "MC74VHCT74AD")</f>
        <v>MC74VHCT74AD</v>
      </c>
      <c r="B2046" s="3" t="str">
        <f>HYPERLINK("https://www.773grp.com/manufacturer/onsemi?pageNo=697", "Onsemi")</f>
        <v>Onsemi</v>
      </c>
      <c r="C2046" s="6">
        <v>8455</v>
      </c>
      <c r="D2046" s="7">
        <v>0.38</v>
      </c>
      <c r="E2046" t="s">
        <v>31</v>
      </c>
    </row>
    <row r="2047" spans="1:5" x14ac:dyDescent="0.25">
      <c r="A2047" t="str">
        <f>HYPERLINK("https://www.773grp.com/globalSearch/MC74VHCT74ADT/page-1", "MC74VHCT74ADT")</f>
        <v>MC74VHCT74ADT</v>
      </c>
      <c r="B2047" s="3" t="str">
        <f>HYPERLINK("https://www.773grp.com/manufacturer/onsemi?pageNo=698", "Onsemi")</f>
        <v>Onsemi</v>
      </c>
      <c r="C2047" s="6">
        <v>12288</v>
      </c>
      <c r="D2047" s="7">
        <v>0.38</v>
      </c>
      <c r="E2047" t="s">
        <v>31</v>
      </c>
    </row>
    <row r="2048" spans="1:5" x14ac:dyDescent="0.25">
      <c r="A2048" t="str">
        <f>HYPERLINK("https://www.773grp.com/globalSearch/MC74VHCT86AD/page-1", "MC74VHCT86AD")</f>
        <v>MC74VHCT86AD</v>
      </c>
      <c r="B2048" s="3" t="str">
        <f>HYPERLINK("https://www.773grp.com/manufacturer/onsemi?pageNo=699", "Onsemi")</f>
        <v>Onsemi</v>
      </c>
      <c r="C2048" s="6">
        <v>13310</v>
      </c>
      <c r="D2048" s="7">
        <v>0.38</v>
      </c>
      <c r="E2048" t="s">
        <v>27</v>
      </c>
    </row>
    <row r="2049" spans="1:5" x14ac:dyDescent="0.25">
      <c r="A2049" t="str">
        <f>HYPERLINK("https://www.773grp.com/globalSearch/MCR100-003/page-1", "MCR100-003")</f>
        <v>MCR100-003</v>
      </c>
      <c r="B2049" s="3" t="str">
        <f>HYPERLINK("https://www.773grp.com/manufacturer/onsemi?pageNo=700", "Onsemi")</f>
        <v>Onsemi</v>
      </c>
      <c r="C2049" s="6">
        <v>15000</v>
      </c>
      <c r="D2049" s="7">
        <v>0.38</v>
      </c>
      <c r="E2049" t="s">
        <v>76</v>
      </c>
    </row>
    <row r="2050" spans="1:5" x14ac:dyDescent="0.25">
      <c r="A2050" t="str">
        <f>HYPERLINK("https://www.773grp.com/globalSearch/MCR100-6RLRA/page-1", "MCR100-6RLRA")</f>
        <v>MCR100-6RLRA</v>
      </c>
      <c r="B2050" s="3" t="str">
        <f>HYPERLINK("https://www.773grp.com/manufacturer/onsemi?pageNo=701", "Onsemi")</f>
        <v>Onsemi</v>
      </c>
      <c r="C2050" s="6">
        <v>2000</v>
      </c>
      <c r="D2050" s="7">
        <v>0.38</v>
      </c>
      <c r="E2050" t="s">
        <v>76</v>
      </c>
    </row>
    <row r="2051" spans="1:5" x14ac:dyDescent="0.25">
      <c r="A2051" t="str">
        <f>HYPERLINK("https://www.773grp.com/globalSearch/MCR22-2RL1/page-1", "MCR22-2RL1")</f>
        <v>MCR22-2RL1</v>
      </c>
      <c r="B2051" s="3" t="str">
        <f>HYPERLINK("https://www.773grp.com/manufacturer/onsemi?pageNo=702", "Onsemi")</f>
        <v>Onsemi</v>
      </c>
      <c r="C2051" s="6">
        <v>26000</v>
      </c>
      <c r="D2051" s="7">
        <v>0.38</v>
      </c>
    </row>
    <row r="2052" spans="1:5" x14ac:dyDescent="0.25">
      <c r="A2052" t="str">
        <f>HYPERLINK("https://www.773grp.com/globalSearch/MDC3105DMT1/page-1", "MDC3105DMT1")</f>
        <v>MDC3105DMT1</v>
      </c>
      <c r="B2052" s="3" t="str">
        <f>HYPERLINK("https://www.773grp.com/manufacturer/onsemi?pageNo=703", "Onsemi")</f>
        <v>Onsemi</v>
      </c>
      <c r="C2052" s="6">
        <v>9000</v>
      </c>
      <c r="D2052" s="7">
        <v>0.38</v>
      </c>
      <c r="E2052" t="s">
        <v>8</v>
      </c>
    </row>
    <row r="2053" spans="1:5" x14ac:dyDescent="0.25">
      <c r="A2053" t="str">
        <f>HYPERLINK("https://www.773grp.com/globalSearch/MJE171/page-1", "MJE171")</f>
        <v>MJE171</v>
      </c>
      <c r="B2053" s="3" t="str">
        <f>HYPERLINK("https://www.773grp.com/manufacturer/onsemi?pageNo=704", "Onsemi")</f>
        <v>Onsemi</v>
      </c>
      <c r="C2053" s="6">
        <v>2500</v>
      </c>
      <c r="D2053" s="7">
        <v>0.38</v>
      </c>
      <c r="E2053" t="s">
        <v>47</v>
      </c>
    </row>
    <row r="2054" spans="1:5" x14ac:dyDescent="0.25">
      <c r="A2054" t="str">
        <f>HYPERLINK("https://www.773grp.com/globalSearch/MJE172/page-1", "MJE172")</f>
        <v>MJE172</v>
      </c>
      <c r="B2054" s="3" t="str">
        <f>HYPERLINK("https://www.773grp.com/manufacturer/onsemi?pageNo=705", "Onsemi")</f>
        <v>Onsemi</v>
      </c>
      <c r="C2054" s="6">
        <v>2339</v>
      </c>
      <c r="D2054" s="7">
        <v>0.38</v>
      </c>
      <c r="E2054" t="s">
        <v>47</v>
      </c>
    </row>
    <row r="2055" spans="1:5" x14ac:dyDescent="0.25">
      <c r="A2055" t="str">
        <f>HYPERLINK("https://www.773grp.com/globalSearch/MJE350/page-1", "MJE350")</f>
        <v>MJE350</v>
      </c>
      <c r="B2055" s="3" t="str">
        <f>HYPERLINK("https://www.773grp.com/manufacturer/onsemi?pageNo=706", "Onsemi")</f>
        <v>Onsemi</v>
      </c>
      <c r="C2055" s="6">
        <v>271</v>
      </c>
      <c r="D2055" s="7">
        <v>0.38</v>
      </c>
      <c r="E2055" t="s">
        <v>47</v>
      </c>
    </row>
    <row r="2056" spans="1:5" x14ac:dyDescent="0.25">
      <c r="A2056" t="str">
        <f>HYPERLINK("https://www.773grp.com/globalSearch/MMBD101LT1G/page-1", "MMBD101LT1G")</f>
        <v>MMBD101LT1G</v>
      </c>
      <c r="B2056" s="3" t="str">
        <f>HYPERLINK("https://www.773grp.com/manufacturer/onsemi?pageNo=707", "Onsemi")</f>
        <v>Onsemi</v>
      </c>
      <c r="C2056" s="6">
        <v>94120</v>
      </c>
      <c r="D2056" s="7">
        <v>0.38</v>
      </c>
      <c r="E2056" t="s">
        <v>87</v>
      </c>
    </row>
    <row r="2057" spans="1:5" x14ac:dyDescent="0.25">
      <c r="A2057" t="str">
        <f>HYPERLINK("https://www.773grp.com/globalSearch/MMBD352LT3G/page-1", "MMBD352LT3G")</f>
        <v>MMBD352LT3G</v>
      </c>
      <c r="B2057" s="3" t="str">
        <f>HYPERLINK("https://www.773grp.com/manufacturer/onsemi?pageNo=708", "Onsemi")</f>
        <v>Onsemi</v>
      </c>
      <c r="C2057" s="6">
        <v>20000</v>
      </c>
      <c r="D2057" s="7">
        <v>0.38</v>
      </c>
      <c r="E2057" t="s">
        <v>87</v>
      </c>
    </row>
    <row r="2058" spans="1:5" x14ac:dyDescent="0.25">
      <c r="A2058" t="str">
        <f>HYPERLINK("https://www.773grp.com/globalSearch/MMBD354LT1/page-1", "MMBD354LT1")</f>
        <v>MMBD354LT1</v>
      </c>
      <c r="B2058" s="3" t="str">
        <f>HYPERLINK("https://www.773grp.com/manufacturer/onsemi?pageNo=709", "Onsemi")</f>
        <v>Onsemi</v>
      </c>
      <c r="C2058" s="6">
        <v>68225</v>
      </c>
      <c r="D2058" s="7">
        <v>0.38</v>
      </c>
      <c r="E2058" t="s">
        <v>87</v>
      </c>
    </row>
    <row r="2059" spans="1:5" x14ac:dyDescent="0.25">
      <c r="A2059" t="str">
        <f>HYPERLINK("https://www.773grp.com/globalSearch/MMBD701LT1G/page-1", "MMBD701LT1G")</f>
        <v>MMBD701LT1G</v>
      </c>
      <c r="B2059" s="3" t="str">
        <f>HYPERLINK("https://www.773grp.com/manufacturer/onsemi?pageNo=710", "Onsemi")</f>
        <v>Onsemi</v>
      </c>
      <c r="C2059" s="6">
        <v>50349</v>
      </c>
      <c r="D2059" s="7">
        <v>0.38</v>
      </c>
      <c r="E2059" t="s">
        <v>87</v>
      </c>
    </row>
    <row r="2060" spans="1:5" x14ac:dyDescent="0.25">
      <c r="A2060" t="str">
        <f>HYPERLINK("https://www.773grp.com/globalSearch/MMBD701LT3G/page-1", "MMBD701LT3G")</f>
        <v>MMBD701LT3G</v>
      </c>
      <c r="B2060" s="3" t="str">
        <f>HYPERLINK("https://www.773grp.com/manufacturer/onsemi?pageNo=711", "Onsemi")</f>
        <v>Onsemi</v>
      </c>
      <c r="C2060" s="6">
        <v>120000</v>
      </c>
      <c r="D2060" s="7">
        <v>0.38</v>
      </c>
      <c r="E2060" t="s">
        <v>87</v>
      </c>
    </row>
    <row r="2061" spans="1:5" x14ac:dyDescent="0.25">
      <c r="A2061" t="str">
        <f>HYPERLINK("https://www.773grp.com/globalSearch/MMBF4392LT1/page-1", "MMBF4392LT1")</f>
        <v>MMBF4392LT1</v>
      </c>
      <c r="B2061" s="3" t="str">
        <f>HYPERLINK("https://www.773grp.com/manufacturer/onsemi?pageNo=712", "Onsemi")</f>
        <v>Onsemi</v>
      </c>
      <c r="C2061" s="6">
        <v>39000</v>
      </c>
      <c r="D2061" s="7">
        <v>0.38</v>
      </c>
      <c r="E2061" t="s">
        <v>85</v>
      </c>
    </row>
    <row r="2062" spans="1:5" x14ac:dyDescent="0.25">
      <c r="A2062" t="str">
        <f>HYPERLINK("https://www.773grp.com/globalSearch/MMBF4393LT1/page-1", "MMBF4393LT1")</f>
        <v>MMBF4393LT1</v>
      </c>
      <c r="B2062" s="3" t="str">
        <f>HYPERLINK("https://www.773grp.com/manufacturer/onsemi?pageNo=713", "Onsemi")</f>
        <v>Onsemi</v>
      </c>
      <c r="C2062" s="6">
        <v>21722</v>
      </c>
      <c r="D2062" s="7">
        <v>0.38</v>
      </c>
      <c r="E2062" t="s">
        <v>85</v>
      </c>
    </row>
    <row r="2063" spans="1:5" x14ac:dyDescent="0.25">
      <c r="A2063" t="str">
        <f>HYPERLINK("https://www.773grp.com/globalSearch/MMBT6589T1G/page-1", "MMBT6589T1G")</f>
        <v>MMBT6589T1G</v>
      </c>
      <c r="B2063" s="3" t="str">
        <f>HYPERLINK("https://www.773grp.com/manufacturer/onsemi?pageNo=714", "Onsemi")</f>
        <v>Onsemi</v>
      </c>
      <c r="C2063" s="6">
        <v>15000</v>
      </c>
      <c r="D2063" s="7">
        <v>0.38</v>
      </c>
      <c r="E2063" t="s">
        <v>57</v>
      </c>
    </row>
    <row r="2064" spans="1:5" x14ac:dyDescent="0.25">
      <c r="A2064" t="str">
        <f>HYPERLINK("https://www.773grp.com/globalSearch/MMBT918LT1/page-1", "MMBT918LT1")</f>
        <v>MMBT918LT1</v>
      </c>
      <c r="B2064" s="3" t="str">
        <f>HYPERLINK("https://www.773grp.com/manufacturer/onsemi?pageNo=715", "Onsemi")</f>
        <v>Onsemi</v>
      </c>
      <c r="C2064" s="6">
        <v>141000</v>
      </c>
      <c r="D2064" s="7">
        <v>0.38</v>
      </c>
      <c r="E2064" t="s">
        <v>49</v>
      </c>
    </row>
    <row r="2065" spans="1:5" x14ac:dyDescent="0.25">
      <c r="A2065" t="str">
        <f>HYPERLINK("https://www.773grp.com/globalSearch/MMBT918LT1G/page-1", "MMBT918LT1G")</f>
        <v>MMBT918LT1G</v>
      </c>
      <c r="B2065" s="3" t="str">
        <f>HYPERLINK("https://www.773grp.com/manufacturer/onsemi?pageNo=716", "Onsemi")</f>
        <v>Onsemi</v>
      </c>
      <c r="C2065" s="6">
        <v>28063</v>
      </c>
      <c r="D2065" s="7">
        <v>0.38</v>
      </c>
      <c r="E2065" t="s">
        <v>49</v>
      </c>
    </row>
    <row r="2066" spans="1:5" x14ac:dyDescent="0.25">
      <c r="A2066" t="str">
        <f>HYPERLINK("https://www.773grp.com/globalSearch/MMBTH10LT1G/page-1", "MMBTH10LT1G")</f>
        <v>MMBTH10LT1G</v>
      </c>
      <c r="B2066" s="3" t="str">
        <f>HYPERLINK("https://www.773grp.com/manufacturer/onsemi?pageNo=717", "Onsemi")</f>
        <v>Onsemi</v>
      </c>
      <c r="C2066" s="6">
        <v>2704400</v>
      </c>
      <c r="D2066" s="7">
        <v>0.38</v>
      </c>
      <c r="E2066" t="s">
        <v>49</v>
      </c>
    </row>
    <row r="2067" spans="1:5" x14ac:dyDescent="0.25">
      <c r="A2067" t="str">
        <f>HYPERLINK("https://www.773grp.com/globalSearch/MMBV3401LT1/page-1", "MMBV3401LT1")</f>
        <v>MMBV3401LT1</v>
      </c>
      <c r="B2067" s="3" t="str">
        <f>HYPERLINK("https://www.773grp.com/manufacturer/onsemi?pageNo=718", "Onsemi")</f>
        <v>Onsemi</v>
      </c>
      <c r="C2067" s="6">
        <v>48000</v>
      </c>
      <c r="D2067" s="7">
        <v>0.38</v>
      </c>
      <c r="E2067" t="s">
        <v>89</v>
      </c>
    </row>
    <row r="2068" spans="1:5" x14ac:dyDescent="0.25">
      <c r="A2068" t="str">
        <f>HYPERLINK("https://www.773grp.com/globalSearch/MMBV3401LT3/page-1", "MMBV3401LT3")</f>
        <v>MMBV3401LT3</v>
      </c>
      <c r="B2068" s="3" t="str">
        <f>HYPERLINK("https://www.773grp.com/manufacturer/onsemi?pageNo=719", "Onsemi")</f>
        <v>Onsemi</v>
      </c>
      <c r="C2068" s="6">
        <v>580000</v>
      </c>
      <c r="D2068" s="7">
        <v>0.38</v>
      </c>
      <c r="E2068" t="s">
        <v>89</v>
      </c>
    </row>
    <row r="2069" spans="1:5" x14ac:dyDescent="0.25">
      <c r="A2069" t="str">
        <f>HYPERLINK("https://www.773grp.com/globalSearch/MMBZ15VDLT1/page-1", "MMBZ15VDLT1")</f>
        <v>MMBZ15VDLT1</v>
      </c>
      <c r="B2069" s="3" t="str">
        <f>HYPERLINK("https://www.773grp.com/manufacturer/onsemi?pageNo=720", "Onsemi")</f>
        <v>Onsemi</v>
      </c>
      <c r="C2069" s="6">
        <v>15000</v>
      </c>
      <c r="D2069" s="7">
        <v>0.38</v>
      </c>
    </row>
    <row r="2070" spans="1:5" x14ac:dyDescent="0.25">
      <c r="A2070" t="str">
        <f>HYPERLINK("https://www.773grp.com/globalSearch/MMDL301T1G/page-1", "MMDL301T1G")</f>
        <v>MMDL301T1G</v>
      </c>
      <c r="B2070" s="3" t="str">
        <f>HYPERLINK("https://www.773grp.com/manufacturer/onsemi?pageNo=721", "Onsemi")</f>
        <v>Onsemi</v>
      </c>
      <c r="C2070" s="6">
        <v>101875</v>
      </c>
      <c r="D2070" s="7">
        <v>0.38</v>
      </c>
      <c r="E2070" t="s">
        <v>87</v>
      </c>
    </row>
    <row r="2071" spans="1:5" x14ac:dyDescent="0.25">
      <c r="A2071" t="str">
        <f>HYPERLINK("https://www.773grp.com/globalSearch/MMDL770T1G/page-1", "MMDL770T1G")</f>
        <v>MMDL770T1G</v>
      </c>
      <c r="B2071" s="3" t="str">
        <f>HYPERLINK("https://www.773grp.com/manufacturer/onsemi?pageNo=722", "Onsemi")</f>
        <v>Onsemi</v>
      </c>
      <c r="C2071" s="6">
        <v>138025</v>
      </c>
      <c r="D2071" s="7">
        <v>0.38</v>
      </c>
      <c r="E2071" t="s">
        <v>87</v>
      </c>
    </row>
    <row r="2072" spans="1:5" x14ac:dyDescent="0.25">
      <c r="A2072" t="str">
        <f>HYPERLINK("https://www.773grp.com/globalSearch/MMSD301T1G/page-1", "MMSD301T1G")</f>
        <v>MMSD301T1G</v>
      </c>
      <c r="B2072" s="3" t="str">
        <f>HYPERLINK("https://www.773grp.com/manufacturer/onsemi?pageNo=723", "Onsemi")</f>
        <v>Onsemi</v>
      </c>
      <c r="C2072" s="6">
        <v>194969</v>
      </c>
      <c r="D2072" s="7">
        <v>0.38</v>
      </c>
      <c r="E2072" t="s">
        <v>87</v>
      </c>
    </row>
    <row r="2073" spans="1:5" x14ac:dyDescent="0.25">
      <c r="A2073" t="str">
        <f>HYPERLINK("https://www.773grp.com/globalSearch/MMSD701T1G/page-1", "MMSD701T1G")</f>
        <v>MMSD701T1G</v>
      </c>
      <c r="B2073" s="3" t="str">
        <f>HYPERLINK("https://www.773grp.com/manufacturer/onsemi?pageNo=724", "Onsemi")</f>
        <v>Onsemi</v>
      </c>
      <c r="C2073" s="6">
        <v>20431</v>
      </c>
      <c r="D2073" s="7">
        <v>0.38</v>
      </c>
      <c r="E2073" t="s">
        <v>87</v>
      </c>
    </row>
    <row r="2074" spans="1:5" x14ac:dyDescent="0.25">
      <c r="A2074" t="str">
        <f>HYPERLINK("https://www.773grp.com/globalSearch/MPS650/page-1", "MPS650")</f>
        <v>MPS650</v>
      </c>
      <c r="B2074" s="3" t="str">
        <f>HYPERLINK("https://www.773grp.com/manufacturer/onsemi?pageNo=725", "Onsemi")</f>
        <v>Onsemi</v>
      </c>
      <c r="C2074" s="6">
        <v>20000</v>
      </c>
      <c r="D2074" s="7">
        <v>0.38</v>
      </c>
      <c r="E2074" t="s">
        <v>57</v>
      </c>
    </row>
    <row r="2075" spans="1:5" x14ac:dyDescent="0.25">
      <c r="A2075" t="str">
        <f>HYPERLINK("https://www.773grp.com/globalSearch/MPS650ZL1/page-1", "MPS650ZL1")</f>
        <v>MPS650ZL1</v>
      </c>
      <c r="B2075" s="3" t="str">
        <f>HYPERLINK("https://www.773grp.com/manufacturer/onsemi?pageNo=726", "Onsemi")</f>
        <v>Onsemi</v>
      </c>
      <c r="C2075" s="6">
        <v>6000</v>
      </c>
      <c r="D2075" s="7">
        <v>0.38</v>
      </c>
      <c r="E2075" t="s">
        <v>57</v>
      </c>
    </row>
    <row r="2076" spans="1:5" x14ac:dyDescent="0.25">
      <c r="A2076" t="str">
        <f>HYPERLINK("https://www.773grp.com/globalSearch/MPS651RLRA/page-1", "MPS651RLRA")</f>
        <v>MPS651RLRA</v>
      </c>
      <c r="B2076" s="3" t="str">
        <f>HYPERLINK("https://www.773grp.com/manufacturer/onsemi?pageNo=727", "Onsemi")</f>
        <v>Onsemi</v>
      </c>
      <c r="C2076" s="6">
        <v>4000</v>
      </c>
      <c r="D2076" s="7">
        <v>0.38</v>
      </c>
      <c r="E2076" t="s">
        <v>57</v>
      </c>
    </row>
    <row r="2077" spans="1:5" x14ac:dyDescent="0.25">
      <c r="A2077" t="str">
        <f>HYPERLINK("https://www.773grp.com/globalSearch/MPS750/page-1", "MPS750")</f>
        <v>MPS750</v>
      </c>
      <c r="B2077" s="3" t="str">
        <f>HYPERLINK("https://www.773grp.com/manufacturer/onsemi?pageNo=728", "Onsemi")</f>
        <v>Onsemi</v>
      </c>
      <c r="C2077" s="6">
        <v>376712</v>
      </c>
      <c r="D2077" s="7">
        <v>0.38</v>
      </c>
      <c r="E2077" t="s">
        <v>57</v>
      </c>
    </row>
    <row r="2078" spans="1:5" x14ac:dyDescent="0.25">
      <c r="A2078" t="str">
        <f>HYPERLINK("https://www.773grp.com/globalSearch/MPS750RLRA/page-1", "MPS750RLRA")</f>
        <v>MPS750RLRA</v>
      </c>
      <c r="B2078" s="3" t="str">
        <f>HYPERLINK("https://www.773grp.com/manufacturer/onsemi?pageNo=729", "Onsemi")</f>
        <v>Onsemi</v>
      </c>
      <c r="C2078" s="6">
        <v>6000</v>
      </c>
      <c r="D2078" s="7">
        <v>0.38</v>
      </c>
      <c r="E2078" t="s">
        <v>57</v>
      </c>
    </row>
    <row r="2079" spans="1:5" x14ac:dyDescent="0.25">
      <c r="A2079" t="str">
        <f>HYPERLINK("https://www.773grp.com/globalSearch/MPS751ZL1/page-1", "MPS751ZL1")</f>
        <v>MPS751ZL1</v>
      </c>
      <c r="B2079" s="3" t="str">
        <f>HYPERLINK("https://www.773grp.com/manufacturer/onsemi?pageNo=730", "Onsemi")</f>
        <v>Onsemi</v>
      </c>
      <c r="C2079" s="6">
        <v>62000</v>
      </c>
      <c r="D2079" s="7">
        <v>0.38</v>
      </c>
      <c r="E2079" t="s">
        <v>57</v>
      </c>
    </row>
    <row r="2080" spans="1:5" x14ac:dyDescent="0.25">
      <c r="A2080" t="str">
        <f>HYPERLINK("https://www.773grp.com/globalSearch/MPSA13G/page-1", "MPSA13G")</f>
        <v>MPSA13G</v>
      </c>
      <c r="B2080" s="3" t="str">
        <f>HYPERLINK("https://www.773grp.com/manufacturer/onsemi?pageNo=731", "Onsemi")</f>
        <v>Onsemi</v>
      </c>
      <c r="C2080" s="6">
        <v>91917</v>
      </c>
      <c r="D2080" s="7">
        <v>0.38</v>
      </c>
      <c r="E2080" t="s">
        <v>57</v>
      </c>
    </row>
    <row r="2081" spans="1:5" x14ac:dyDescent="0.25">
      <c r="A2081" t="str">
        <f>HYPERLINK("https://www.773grp.com/globalSearch/MPSA13RLRAG/page-1", "MPSA13RLRAG")</f>
        <v>MPSA13RLRAG</v>
      </c>
      <c r="B2081" s="3" t="str">
        <f>HYPERLINK("https://www.773grp.com/manufacturer/onsemi?pageNo=732", "Onsemi")</f>
        <v>Onsemi</v>
      </c>
      <c r="C2081" s="6">
        <v>19951</v>
      </c>
      <c r="D2081" s="7">
        <v>0.38</v>
      </c>
      <c r="E2081" t="s">
        <v>57</v>
      </c>
    </row>
    <row r="2082" spans="1:5" x14ac:dyDescent="0.25">
      <c r="A2082" t="str">
        <f>HYPERLINK("https://www.773grp.com/globalSearch/MPSA13RLRMG/page-1", "MPSA13RLRMG")</f>
        <v>MPSA13RLRMG</v>
      </c>
      <c r="B2082" s="3" t="str">
        <f>HYPERLINK("https://www.773grp.com/manufacturer/onsemi?pageNo=733", "Onsemi")</f>
        <v>Onsemi</v>
      </c>
      <c r="C2082" s="6">
        <v>34050</v>
      </c>
      <c r="D2082" s="7">
        <v>0.38</v>
      </c>
      <c r="E2082" t="s">
        <v>57</v>
      </c>
    </row>
    <row r="2083" spans="1:5" x14ac:dyDescent="0.25">
      <c r="A2083" t="str">
        <f>HYPERLINK("https://www.773grp.com/globalSearch/MPSA13RLRPG/page-1", "MPSA13RLRPG")</f>
        <v>MPSA13RLRPG</v>
      </c>
      <c r="B2083" s="3" t="str">
        <f>HYPERLINK("https://www.773grp.com/manufacturer/onsemi?pageNo=734", "Onsemi")</f>
        <v>Onsemi</v>
      </c>
      <c r="C2083" s="6">
        <v>22806</v>
      </c>
      <c r="D2083" s="7">
        <v>0.38</v>
      </c>
      <c r="E2083" t="s">
        <v>57</v>
      </c>
    </row>
    <row r="2084" spans="1:5" x14ac:dyDescent="0.25">
      <c r="A2084" t="str">
        <f>HYPERLINK("https://www.773grp.com/globalSearch/MPSA13ZL1G/page-1", "MPSA13ZL1G")</f>
        <v>MPSA13ZL1G</v>
      </c>
      <c r="B2084" s="3" t="str">
        <f>HYPERLINK("https://www.773grp.com/manufacturer/onsemi?pageNo=735", "Onsemi")</f>
        <v>Onsemi</v>
      </c>
      <c r="C2084" s="6">
        <v>2000</v>
      </c>
      <c r="D2084" s="7">
        <v>0.38</v>
      </c>
      <c r="E2084" t="s">
        <v>57</v>
      </c>
    </row>
    <row r="2085" spans="1:5" x14ac:dyDescent="0.25">
      <c r="A2085" t="str">
        <f>HYPERLINK("https://www.773grp.com/globalSearch/MPSA14G/page-1", "MPSA14G")</f>
        <v>MPSA14G</v>
      </c>
      <c r="B2085" s="3" t="str">
        <f>HYPERLINK("https://www.773grp.com/manufacturer/onsemi?pageNo=736", "Onsemi")</f>
        <v>Onsemi</v>
      </c>
      <c r="C2085" s="6">
        <v>65000</v>
      </c>
      <c r="D2085" s="7">
        <v>0.38</v>
      </c>
      <c r="E2085" t="s">
        <v>57</v>
      </c>
    </row>
    <row r="2086" spans="1:5" x14ac:dyDescent="0.25">
      <c r="A2086" t="str">
        <f>HYPERLINK("https://www.773grp.com/globalSearch/MPSA14RLRAG/page-1", "MPSA14RLRAG")</f>
        <v>MPSA14RLRAG</v>
      </c>
      <c r="B2086" s="3" t="str">
        <f>HYPERLINK("https://www.773grp.com/manufacturer/onsemi?pageNo=737", "Onsemi")</f>
        <v>Onsemi</v>
      </c>
      <c r="C2086" s="6">
        <v>24000</v>
      </c>
      <c r="D2086" s="7">
        <v>0.38</v>
      </c>
      <c r="E2086" t="s">
        <v>57</v>
      </c>
    </row>
    <row r="2087" spans="1:5" x14ac:dyDescent="0.25">
      <c r="A2087" t="str">
        <f>HYPERLINK("https://www.773grp.com/globalSearch/MPSA14RLRPG/page-1", "MPSA14RLRPG")</f>
        <v>MPSA14RLRPG</v>
      </c>
      <c r="B2087" s="3" t="str">
        <f>HYPERLINK("https://www.773grp.com/manufacturer/onsemi?pageNo=738", "Onsemi")</f>
        <v>Onsemi</v>
      </c>
      <c r="C2087" s="6">
        <v>50000</v>
      </c>
      <c r="D2087" s="7">
        <v>0.38</v>
      </c>
      <c r="E2087" t="s">
        <v>57</v>
      </c>
    </row>
    <row r="2088" spans="1:5" x14ac:dyDescent="0.25">
      <c r="A2088" t="str">
        <f>HYPERLINK("https://www.773grp.com/globalSearch/MPSA27G/page-1", "MPSA27G")</f>
        <v>MPSA27G</v>
      </c>
      <c r="B2088" s="3" t="str">
        <f>HYPERLINK("https://www.773grp.com/manufacturer/onsemi?pageNo=739", "Onsemi")</f>
        <v>Onsemi</v>
      </c>
      <c r="C2088" s="6">
        <v>45000</v>
      </c>
      <c r="D2088" s="7">
        <v>0.38</v>
      </c>
      <c r="E2088" t="s">
        <v>57</v>
      </c>
    </row>
    <row r="2089" spans="1:5" x14ac:dyDescent="0.25">
      <c r="A2089" t="str">
        <f>HYPERLINK("https://www.773grp.com/globalSearch/MPSA27RLRAG/page-1", "MPSA27RLRAG")</f>
        <v>MPSA27RLRAG</v>
      </c>
      <c r="B2089" s="3" t="str">
        <f>HYPERLINK("https://www.773grp.com/manufacturer/onsemi?pageNo=740", "Onsemi")</f>
        <v>Onsemi</v>
      </c>
      <c r="C2089" s="6">
        <v>311666</v>
      </c>
      <c r="D2089" s="7">
        <v>0.38</v>
      </c>
      <c r="E2089" t="s">
        <v>57</v>
      </c>
    </row>
    <row r="2090" spans="1:5" x14ac:dyDescent="0.25">
      <c r="A2090" t="str">
        <f>HYPERLINK("https://www.773grp.com/globalSearch/MPSA29G/page-1", "MPSA29G")</f>
        <v>MPSA29G</v>
      </c>
      <c r="B2090" s="3" t="str">
        <f>HYPERLINK("https://www.773grp.com/manufacturer/onsemi?pageNo=741", "Onsemi")</f>
        <v>Onsemi</v>
      </c>
      <c r="C2090" s="6">
        <v>5995</v>
      </c>
      <c r="D2090" s="7">
        <v>0.38</v>
      </c>
      <c r="E2090" t="s">
        <v>57</v>
      </c>
    </row>
    <row r="2091" spans="1:5" x14ac:dyDescent="0.25">
      <c r="A2091" t="str">
        <f>HYPERLINK("https://www.773grp.com/globalSearch/MPSA56/page-1", "MPSA56")</f>
        <v>MPSA56</v>
      </c>
      <c r="B2091" s="3" t="str">
        <f>HYPERLINK("https://www.773grp.com/manufacturer/onsemi?pageNo=742", "Onsemi")</f>
        <v>Onsemi</v>
      </c>
      <c r="C2091" s="6">
        <v>5922</v>
      </c>
      <c r="D2091" s="7">
        <v>0.38</v>
      </c>
      <c r="E2091" t="s">
        <v>57</v>
      </c>
    </row>
    <row r="2092" spans="1:5" x14ac:dyDescent="0.25">
      <c r="A2092" t="str">
        <f>HYPERLINK("https://www.773grp.com/globalSearch/MPSW05G/page-1", "MPSW05G")</f>
        <v>MPSW05G</v>
      </c>
      <c r="B2092" s="3" t="str">
        <f>HYPERLINK("https://www.773grp.com/manufacturer/onsemi?pageNo=743", "Onsemi")</f>
        <v>Onsemi</v>
      </c>
      <c r="C2092" s="6">
        <v>10000</v>
      </c>
      <c r="D2092" s="7">
        <v>0.38</v>
      </c>
      <c r="E2092" t="s">
        <v>57</v>
      </c>
    </row>
    <row r="2093" spans="1:5" x14ac:dyDescent="0.25">
      <c r="A2093" t="str">
        <f>HYPERLINK("https://www.773grp.com/globalSearch/MPSW42G/page-1", "MPSW42G")</f>
        <v>MPSW42G</v>
      </c>
      <c r="B2093" s="3" t="str">
        <f>HYPERLINK("https://www.773grp.com/manufacturer/onsemi?pageNo=744", "Onsemi")</f>
        <v>Onsemi</v>
      </c>
      <c r="C2093" s="6">
        <v>10000</v>
      </c>
      <c r="D2093" s="7">
        <v>0.38</v>
      </c>
      <c r="E2093" t="s">
        <v>57</v>
      </c>
    </row>
    <row r="2094" spans="1:5" x14ac:dyDescent="0.25">
      <c r="A2094" t="str">
        <f>HYPERLINK("https://www.773grp.com/globalSearch/MPSW56RLRAG/page-1", "MPSW56RLRAG")</f>
        <v>MPSW56RLRAG</v>
      </c>
      <c r="B2094" s="3" t="str">
        <f>HYPERLINK("https://www.773grp.com/manufacturer/onsemi?pageNo=745", "Onsemi")</f>
        <v>Onsemi</v>
      </c>
      <c r="C2094" s="6">
        <v>309397</v>
      </c>
      <c r="D2094" s="7">
        <v>0.38</v>
      </c>
      <c r="E2094" t="s">
        <v>57</v>
      </c>
    </row>
    <row r="2095" spans="1:5" x14ac:dyDescent="0.25">
      <c r="A2095" t="str">
        <f>HYPERLINK("https://www.773grp.com/globalSearch/MPSW56RLRPG/page-1", "MPSW56RLRPG")</f>
        <v>MPSW56RLRPG</v>
      </c>
      <c r="B2095" s="3" t="str">
        <f>HYPERLINK("https://www.773grp.com/manufacturer/onsemi?pageNo=746", "Onsemi")</f>
        <v>Onsemi</v>
      </c>
      <c r="C2095" s="6">
        <v>183999</v>
      </c>
      <c r="D2095" s="7">
        <v>0.38</v>
      </c>
      <c r="E2095" t="s">
        <v>57</v>
      </c>
    </row>
    <row r="2096" spans="1:5" x14ac:dyDescent="0.25">
      <c r="A2096" t="str">
        <f>HYPERLINK("https://www.773grp.com/globalSearch/MT16AT1G/page-1", "MT16AT1G")</f>
        <v>MT16AT1G</v>
      </c>
      <c r="B2096" s="3" t="str">
        <f>HYPERLINK("https://www.773grp.com/manufacturer/onsemi?pageNo=747", "Onsemi")</f>
        <v>Onsemi</v>
      </c>
      <c r="C2096" s="6">
        <v>15000</v>
      </c>
      <c r="D2096" s="7">
        <v>0.38</v>
      </c>
    </row>
    <row r="2097" spans="1:5" x14ac:dyDescent="0.25">
      <c r="A2097" t="str">
        <f>HYPERLINK("https://www.773grp.com/globalSearch/MT26AT1/page-1", "MT26AT1")</f>
        <v>MT26AT1</v>
      </c>
      <c r="B2097" s="3" t="str">
        <f>HYPERLINK("https://www.773grp.com/manufacturer/onsemi?pageNo=748", "Onsemi")</f>
        <v>Onsemi</v>
      </c>
      <c r="C2097" s="6">
        <v>3000</v>
      </c>
      <c r="D2097" s="7">
        <v>0.38</v>
      </c>
    </row>
    <row r="2098" spans="1:5" x14ac:dyDescent="0.25">
      <c r="A2098" t="str">
        <f>HYPERLINK("https://www.773grp.com/globalSearch/MT28AT1G/page-1", "MT28AT1G")</f>
        <v>MT28AT1G</v>
      </c>
      <c r="B2098" s="3" t="str">
        <f>HYPERLINK("https://www.773grp.com/manufacturer/onsemi?pageNo=749", "Onsemi")</f>
        <v>Onsemi</v>
      </c>
      <c r="C2098" s="6">
        <v>9000</v>
      </c>
      <c r="D2098" s="7">
        <v>0.38</v>
      </c>
    </row>
    <row r="2099" spans="1:5" x14ac:dyDescent="0.25">
      <c r="A2099" t="str">
        <f>HYPERLINK("https://www.773grp.com/globalSearch/MT30AT1G/page-1", "MT30AT1G")</f>
        <v>MT30AT1G</v>
      </c>
      <c r="B2099" s="3" t="str">
        <f>HYPERLINK("https://www.773grp.com/manufacturer/onsemi?pageNo=750", "Onsemi")</f>
        <v>Onsemi</v>
      </c>
      <c r="C2099" s="6">
        <v>9000</v>
      </c>
      <c r="D2099" s="7">
        <v>0.38</v>
      </c>
    </row>
    <row r="2100" spans="1:5" x14ac:dyDescent="0.25">
      <c r="A2100" t="str">
        <f>HYPERLINK("https://www.773grp.com/globalSearch/MT33AT1G/page-1", "MT33AT1G")</f>
        <v>MT33AT1G</v>
      </c>
      <c r="B2100" s="3" t="str">
        <f>HYPERLINK("https://www.773grp.com/manufacturer/onsemi?pageNo=751", "Onsemi")</f>
        <v>Onsemi</v>
      </c>
      <c r="C2100" s="6">
        <v>42000</v>
      </c>
      <c r="D2100" s="7">
        <v>0.38</v>
      </c>
    </row>
    <row r="2101" spans="1:5" x14ac:dyDescent="0.25">
      <c r="A2101" t="str">
        <f>HYPERLINK("https://www.773grp.com/globalSearch/MT40AT1/page-1", "MT40AT1")</f>
        <v>MT40AT1</v>
      </c>
      <c r="B2101" s="3" t="str">
        <f>HYPERLINK("https://www.773grp.com/manufacturer/onsemi?pageNo=752", "Onsemi")</f>
        <v>Onsemi</v>
      </c>
      <c r="C2101" s="6">
        <v>2950</v>
      </c>
      <c r="D2101" s="7">
        <v>0.38</v>
      </c>
    </row>
    <row r="2102" spans="1:5" x14ac:dyDescent="0.25">
      <c r="A2102" t="str">
        <f>HYPERLINK("https://www.773grp.com/globalSearch/MT5921BT1G/page-1", "MT5921BT1G")</f>
        <v>MT5921BT1G</v>
      </c>
      <c r="B2102" s="3" t="str">
        <f>HYPERLINK("https://www.773grp.com/manufacturer/onsemi?pageNo=753", "Onsemi")</f>
        <v>Onsemi</v>
      </c>
      <c r="C2102" s="6">
        <v>3000</v>
      </c>
      <c r="D2102" s="7">
        <v>0.38</v>
      </c>
    </row>
    <row r="2103" spans="1:5" x14ac:dyDescent="0.25">
      <c r="A2103" t="str">
        <f>HYPERLINK("https://www.773grp.com/globalSearch/MT5925BT1G/page-1", "MT5925BT1G")</f>
        <v>MT5925BT1G</v>
      </c>
      <c r="B2103" s="3" t="str">
        <f>HYPERLINK("https://www.773grp.com/manufacturer/onsemi?pageNo=754", "Onsemi")</f>
        <v>Onsemi</v>
      </c>
      <c r="C2103" s="6">
        <v>3000</v>
      </c>
      <c r="D2103" s="7">
        <v>0.38</v>
      </c>
    </row>
    <row r="2104" spans="1:5" x14ac:dyDescent="0.25">
      <c r="A2104" t="str">
        <f>HYPERLINK("https://www.773grp.com/globalSearch/MUR130G/page-1", "MUR130G")</f>
        <v>MUR130G</v>
      </c>
      <c r="B2104" s="3" t="str">
        <f>HYPERLINK("https://www.773grp.com/manufacturer/onsemi?pageNo=755", "Onsemi")</f>
        <v>Onsemi</v>
      </c>
      <c r="C2104" s="6">
        <v>5500</v>
      </c>
      <c r="D2104" s="7">
        <v>0.38</v>
      </c>
      <c r="E2104" t="s">
        <v>73</v>
      </c>
    </row>
    <row r="2105" spans="1:5" x14ac:dyDescent="0.25">
      <c r="A2105" t="str">
        <f>HYPERLINK("https://www.773grp.com/globalSearch/MUR130RLG/page-1", "MUR130RLG")</f>
        <v>MUR130RLG</v>
      </c>
      <c r="B2105" s="3" t="str">
        <f>HYPERLINK("https://www.773grp.com/manufacturer/onsemi?pageNo=756", "Onsemi")</f>
        <v>Onsemi</v>
      </c>
      <c r="C2105" s="6">
        <v>5000</v>
      </c>
      <c r="D2105" s="7">
        <v>0.38</v>
      </c>
      <c r="E2105" t="s">
        <v>73</v>
      </c>
    </row>
    <row r="2106" spans="1:5" x14ac:dyDescent="0.25">
      <c r="A2106" t="str">
        <f>HYPERLINK("https://www.773grp.com/globalSearch/MUR240/page-1", "MUR240")</f>
        <v>MUR240</v>
      </c>
      <c r="B2106" s="3" t="str">
        <f>HYPERLINK("https://www.773grp.com/manufacturer/onsemi?pageNo=757", "Onsemi")</f>
        <v>Onsemi</v>
      </c>
      <c r="C2106" s="6">
        <v>8000</v>
      </c>
      <c r="D2106" s="7">
        <v>0.38</v>
      </c>
      <c r="E2106" t="s">
        <v>82</v>
      </c>
    </row>
    <row r="2107" spans="1:5" x14ac:dyDescent="0.25">
      <c r="A2107" t="str">
        <f>HYPERLINK("https://www.773grp.com/globalSearch/MUR240RL/page-1", "MUR240RL")</f>
        <v>MUR240RL</v>
      </c>
      <c r="B2107" s="3" t="str">
        <f>HYPERLINK("https://www.773grp.com/manufacturer/onsemi?pageNo=758", "Onsemi")</f>
        <v>Onsemi</v>
      </c>
      <c r="C2107" s="6">
        <v>5000</v>
      </c>
      <c r="D2107" s="7">
        <v>0.38</v>
      </c>
      <c r="E2107" t="s">
        <v>82</v>
      </c>
    </row>
    <row r="2108" spans="1:5" x14ac:dyDescent="0.25">
      <c r="A2108" t="str">
        <f>HYPERLINK("https://www.773grp.com/globalSearch/MUR260RL/page-1", "MUR260RL")</f>
        <v>MUR260RL</v>
      </c>
      <c r="B2108" s="3" t="str">
        <f>HYPERLINK("https://www.773grp.com/manufacturer/onsemi?pageNo=759", "Onsemi")</f>
        <v>Onsemi</v>
      </c>
      <c r="C2108" s="6">
        <v>45000</v>
      </c>
      <c r="D2108" s="7">
        <v>0.38</v>
      </c>
      <c r="E2108" t="s">
        <v>82</v>
      </c>
    </row>
    <row r="2109" spans="1:5" x14ac:dyDescent="0.25">
      <c r="A2109" t="str">
        <f>HYPERLINK("https://www.773grp.com/globalSearch/MURS150T3/page-1", "MURS150T3")</f>
        <v>MURS150T3</v>
      </c>
      <c r="B2109" s="3" t="str">
        <f>HYPERLINK("https://www.773grp.com/manufacturer/onsemi?pageNo=760", "Onsemi")</f>
        <v>Onsemi</v>
      </c>
      <c r="C2109" s="6">
        <v>10000</v>
      </c>
      <c r="D2109" s="7">
        <v>0.38</v>
      </c>
      <c r="E2109" t="s">
        <v>82</v>
      </c>
    </row>
    <row r="2110" spans="1:5" x14ac:dyDescent="0.25">
      <c r="A2110" t="str">
        <f>HYPERLINK("https://www.773grp.com/globalSearch/MV2105RLRA/page-1", "MV2105RLRA")</f>
        <v>MV2105RLRA</v>
      </c>
      <c r="B2110" s="3" t="str">
        <f>HYPERLINK("https://www.773grp.com/manufacturer/onsemi?pageNo=761", "Onsemi")</f>
        <v>Onsemi</v>
      </c>
      <c r="C2110" s="6">
        <v>18000</v>
      </c>
      <c r="D2110" s="7">
        <v>0.38</v>
      </c>
      <c r="E2110" t="s">
        <v>80</v>
      </c>
    </row>
    <row r="2111" spans="1:5" x14ac:dyDescent="0.25">
      <c r="A2111" t="str">
        <f>HYPERLINK("https://www.773grp.com/globalSearch/NCR169D/page-1", "NCR169D")</f>
        <v>NCR169D</v>
      </c>
      <c r="B2111" s="3" t="str">
        <f>HYPERLINK("https://www.773grp.com/manufacturer/onsemi?pageNo=762", "Onsemi")</f>
        <v>Onsemi</v>
      </c>
      <c r="C2111" s="6">
        <v>940</v>
      </c>
      <c r="D2111" s="7">
        <v>0.38</v>
      </c>
      <c r="E2111" t="s">
        <v>76</v>
      </c>
    </row>
    <row r="2112" spans="1:5" x14ac:dyDescent="0.25">
      <c r="A2112" t="str">
        <f>HYPERLINK("https://www.773grp.com/globalSearch/NL17SZ00DFT2G/page-1", "NL17SZ00DFT2G")</f>
        <v>NL17SZ00DFT2G</v>
      </c>
      <c r="B2112" s="3" t="str">
        <f>HYPERLINK("https://www.773grp.com/manufacturer/onsemi?pageNo=763", "Onsemi")</f>
        <v>Onsemi</v>
      </c>
      <c r="C2112" s="6">
        <v>565854</v>
      </c>
      <c r="D2112" s="7">
        <v>0.38</v>
      </c>
      <c r="E2112" t="s">
        <v>27</v>
      </c>
    </row>
    <row r="2113" spans="1:5" x14ac:dyDescent="0.25">
      <c r="A2113" t="str">
        <f>HYPERLINK("https://www.773grp.com/globalSearch/NL17SZ02DFT2G/page-1", "NL17SZ02DFT2G")</f>
        <v>NL17SZ02DFT2G</v>
      </c>
      <c r="B2113" s="3" t="str">
        <f>HYPERLINK("https://www.773grp.com/manufacturer/onsemi?pageNo=764", "Onsemi")</f>
        <v>Onsemi</v>
      </c>
      <c r="C2113" s="6">
        <v>553710</v>
      </c>
      <c r="D2113" s="7">
        <v>0.38</v>
      </c>
      <c r="E2113" t="s">
        <v>27</v>
      </c>
    </row>
    <row r="2114" spans="1:5" x14ac:dyDescent="0.25">
      <c r="A2114" t="str">
        <f>HYPERLINK("https://www.773grp.com/globalSearch/NL17SZ04DFT2G/page-1", "NL17SZ04DFT2G")</f>
        <v>NL17SZ04DFT2G</v>
      </c>
      <c r="B2114" s="3" t="str">
        <f>HYPERLINK("https://www.773grp.com/manufacturer/onsemi?pageNo=765", "Onsemi")</f>
        <v>Onsemi</v>
      </c>
      <c r="C2114" s="6">
        <v>7163143</v>
      </c>
      <c r="D2114" s="7">
        <v>0.38</v>
      </c>
      <c r="E2114" t="s">
        <v>27</v>
      </c>
    </row>
    <row r="2115" spans="1:5" x14ac:dyDescent="0.25">
      <c r="A2115" t="str">
        <f>HYPERLINK("https://www.773grp.com/globalSearch/NL17SZ06DFT2G/page-1", "NL17SZ06DFT2G")</f>
        <v>NL17SZ06DFT2G</v>
      </c>
      <c r="B2115" s="3" t="str">
        <f>HYPERLINK("https://www.773grp.com/manufacturer/onsemi?pageNo=766", "Onsemi")</f>
        <v>Onsemi</v>
      </c>
      <c r="C2115" s="6">
        <v>77483</v>
      </c>
      <c r="D2115" s="7">
        <v>0.38</v>
      </c>
      <c r="E2115" t="s">
        <v>27</v>
      </c>
    </row>
    <row r="2116" spans="1:5" x14ac:dyDescent="0.25">
      <c r="A2116" t="str">
        <f>HYPERLINK("https://www.773grp.com/globalSearch/NL17SZ08DFT2G/page-1", "NL17SZ08DFT2G")</f>
        <v>NL17SZ08DFT2G</v>
      </c>
      <c r="B2116" s="3" t="str">
        <f>HYPERLINK("https://www.773grp.com/manufacturer/onsemi?pageNo=767", "Onsemi")</f>
        <v>Onsemi</v>
      </c>
      <c r="C2116" s="6">
        <v>471478</v>
      </c>
      <c r="D2116" s="7">
        <v>0.38</v>
      </c>
      <c r="E2116" t="s">
        <v>27</v>
      </c>
    </row>
    <row r="2117" spans="1:5" x14ac:dyDescent="0.25">
      <c r="A2117" t="str">
        <f>HYPERLINK("https://www.773grp.com/globalSearch/NL17SZ125DFT2G/page-1", "NL17SZ125DFT2G")</f>
        <v>NL17SZ125DFT2G</v>
      </c>
      <c r="B2117" s="3" t="str">
        <f>HYPERLINK("https://www.773grp.com/manufacturer/onsemi?pageNo=768", "Onsemi")</f>
        <v>Onsemi</v>
      </c>
      <c r="C2117" s="6">
        <v>1115410</v>
      </c>
      <c r="D2117" s="7">
        <v>0.38</v>
      </c>
      <c r="E2117" t="s">
        <v>11</v>
      </c>
    </row>
    <row r="2118" spans="1:5" x14ac:dyDescent="0.25">
      <c r="A2118" t="str">
        <f>HYPERLINK("https://www.773grp.com/globalSearch/NL17SZ126DFT2G/page-1", "NL17SZ126DFT2G")</f>
        <v>NL17SZ126DFT2G</v>
      </c>
      <c r="B2118" s="3" t="str">
        <f>HYPERLINK("https://www.773grp.com/manufacturer/onsemi?pageNo=769", "Onsemi")</f>
        <v>Onsemi</v>
      </c>
      <c r="C2118" s="6">
        <v>325100</v>
      </c>
      <c r="D2118" s="7">
        <v>0.38</v>
      </c>
      <c r="E2118" t="s">
        <v>11</v>
      </c>
    </row>
    <row r="2119" spans="1:5" x14ac:dyDescent="0.25">
      <c r="A2119" t="str">
        <f>HYPERLINK("https://www.773grp.com/globalSearch/NL17SZ14DFT2G/page-1", "NL17SZ14DFT2G")</f>
        <v>NL17SZ14DFT2G</v>
      </c>
      <c r="B2119" s="3" t="str">
        <f>HYPERLINK("https://www.773grp.com/manufacturer/onsemi?pageNo=770", "Onsemi")</f>
        <v>Onsemi</v>
      </c>
      <c r="C2119" s="6">
        <v>1433470</v>
      </c>
      <c r="D2119" s="7">
        <v>0.38</v>
      </c>
      <c r="E2119" t="s">
        <v>27</v>
      </c>
    </row>
    <row r="2120" spans="1:5" x14ac:dyDescent="0.25">
      <c r="A2120" t="str">
        <f>HYPERLINK("https://www.773grp.com/globalSearch/NL17SZ16DFT2G/page-1", "NL17SZ16DFT2G")</f>
        <v>NL17SZ16DFT2G</v>
      </c>
      <c r="B2120" s="3" t="str">
        <f>HYPERLINK("https://www.773grp.com/manufacturer/onsemi?pageNo=771", "Onsemi")</f>
        <v>Onsemi</v>
      </c>
      <c r="C2120" s="6">
        <v>299197</v>
      </c>
      <c r="D2120" s="7">
        <v>0.38</v>
      </c>
      <c r="E2120" t="s">
        <v>27</v>
      </c>
    </row>
    <row r="2121" spans="1:5" x14ac:dyDescent="0.25">
      <c r="A2121" t="str">
        <f>HYPERLINK("https://www.773grp.com/globalSearch/NL17SZ17DFT2G/page-1", "NL17SZ17DFT2G")</f>
        <v>NL17SZ17DFT2G</v>
      </c>
      <c r="B2121" s="3" t="str">
        <f>HYPERLINK("https://www.773grp.com/manufacturer/onsemi?pageNo=772", "Onsemi")</f>
        <v>Onsemi</v>
      </c>
      <c r="C2121" s="6">
        <v>627000</v>
      </c>
      <c r="D2121" s="7">
        <v>0.38</v>
      </c>
      <c r="E2121" t="s">
        <v>27</v>
      </c>
    </row>
    <row r="2122" spans="1:5" x14ac:dyDescent="0.25">
      <c r="A2122" t="str">
        <f>HYPERLINK("https://www.773grp.com/globalSearch/NL17SZ32DFT2G/page-1", "NL17SZ32DFT2G")</f>
        <v>NL17SZ32DFT2G</v>
      </c>
      <c r="B2122" s="3" t="str">
        <f>HYPERLINK("https://www.773grp.com/manufacturer/onsemi?pageNo=773", "Onsemi")</f>
        <v>Onsemi</v>
      </c>
      <c r="C2122" s="6">
        <v>1138907</v>
      </c>
      <c r="D2122" s="7">
        <v>0.38</v>
      </c>
      <c r="E2122" t="s">
        <v>27</v>
      </c>
    </row>
    <row r="2123" spans="1:5" x14ac:dyDescent="0.25">
      <c r="A2123" t="str">
        <f>HYPERLINK("https://www.773grp.com/globalSearch/NL17SZ74US/page-1", "NL17SZ74US")</f>
        <v>NL17SZ74US</v>
      </c>
      <c r="B2123" s="3" t="str">
        <f>HYPERLINK("https://www.773grp.com/manufacturer/onsemi?pageNo=774", "Onsemi")</f>
        <v>Onsemi</v>
      </c>
      <c r="C2123" s="6">
        <v>300425</v>
      </c>
      <c r="D2123" s="7">
        <v>0.38</v>
      </c>
      <c r="E2123" t="s">
        <v>31</v>
      </c>
    </row>
    <row r="2124" spans="1:5" x14ac:dyDescent="0.25">
      <c r="A2124" t="str">
        <f>HYPERLINK("https://www.773grp.com/globalSearch/NL17SZ86DFT2G/page-1", "NL17SZ86DFT2G")</f>
        <v>NL17SZ86DFT2G</v>
      </c>
      <c r="B2124" s="3" t="str">
        <f>HYPERLINK("https://www.773grp.com/manufacturer/onsemi?pageNo=775", "Onsemi")</f>
        <v>Onsemi</v>
      </c>
      <c r="C2124" s="6">
        <v>62900</v>
      </c>
      <c r="D2124" s="7">
        <v>0.38</v>
      </c>
      <c r="E2124" t="s">
        <v>27</v>
      </c>
    </row>
    <row r="2125" spans="1:5" x14ac:dyDescent="0.25">
      <c r="A2125" t="str">
        <f>HYPERLINK("https://www.773grp.com/globalSearch/NL17SZU04DFT2G/page-1", "NL17SZU04DFT2G")</f>
        <v>NL17SZU04DFT2G</v>
      </c>
      <c r="B2125" s="3" t="str">
        <f>HYPERLINK("https://www.773grp.com/manufacturer/onsemi?pageNo=776", "Onsemi")</f>
        <v>Onsemi</v>
      </c>
      <c r="C2125" s="6">
        <v>45000</v>
      </c>
      <c r="D2125" s="7">
        <v>0.38</v>
      </c>
      <c r="E2125" t="s">
        <v>27</v>
      </c>
    </row>
    <row r="2126" spans="1:5" x14ac:dyDescent="0.25">
      <c r="A2126" t="str">
        <f>HYPERLINK("https://www.773grp.com/globalSearch/NLU1G00BMX1TCG/page-1", "NLU1G00BMX1TCG")</f>
        <v>NLU1G00BMX1TCG</v>
      </c>
      <c r="B2126" s="3" t="str">
        <f>HYPERLINK("https://www.773grp.com/manufacturer/onsemi?pageNo=777", "Onsemi")</f>
        <v>Onsemi</v>
      </c>
      <c r="C2126" s="6">
        <v>111000</v>
      </c>
      <c r="D2126" s="7">
        <v>0.38</v>
      </c>
      <c r="E2126" t="s">
        <v>27</v>
      </c>
    </row>
    <row r="2127" spans="1:5" x14ac:dyDescent="0.25">
      <c r="A2127" t="str">
        <f>HYPERLINK("https://www.773grp.com/globalSearch/NLU1G00CMX1TCG/page-1", "NLU1G00CMX1TCG")</f>
        <v>NLU1G00CMX1TCG</v>
      </c>
      <c r="B2127" s="3" t="str">
        <f>HYPERLINK("https://www.773grp.com/manufacturer/onsemi?pageNo=778", "Onsemi")</f>
        <v>Onsemi</v>
      </c>
      <c r="C2127" s="6">
        <v>72000</v>
      </c>
      <c r="D2127" s="7">
        <v>0.38</v>
      </c>
      <c r="E2127" t="s">
        <v>27</v>
      </c>
    </row>
    <row r="2128" spans="1:5" x14ac:dyDescent="0.25">
      <c r="A2128" t="str">
        <f>HYPERLINK("https://www.773grp.com/globalSearch/NLU1G04CMX1TCG/page-1", "NLU1G04CMX1TCG")</f>
        <v>NLU1G04CMX1TCG</v>
      </c>
      <c r="B2128" s="3" t="str">
        <f>HYPERLINK("https://www.773grp.com/manufacturer/onsemi?pageNo=779", "Onsemi")</f>
        <v>Onsemi</v>
      </c>
      <c r="C2128" s="6">
        <v>285000</v>
      </c>
      <c r="D2128" s="7">
        <v>0.38</v>
      </c>
      <c r="E2128" t="s">
        <v>27</v>
      </c>
    </row>
    <row r="2129" spans="1:5" x14ac:dyDescent="0.25">
      <c r="A2129" t="str">
        <f>HYPERLINK("https://www.773grp.com/globalSearch/NLU1G07CMX1TCG/page-1", "NLU1G07CMX1TCG")</f>
        <v>NLU1G07CMX1TCG</v>
      </c>
      <c r="B2129" s="3" t="str">
        <f>HYPERLINK("https://www.773grp.com/manufacturer/onsemi?pageNo=780", "Onsemi")</f>
        <v>Onsemi</v>
      </c>
      <c r="C2129" s="6">
        <v>200985</v>
      </c>
      <c r="D2129" s="7">
        <v>0.38</v>
      </c>
      <c r="E2129" t="s">
        <v>27</v>
      </c>
    </row>
    <row r="2130" spans="1:5" x14ac:dyDescent="0.25">
      <c r="A2130" t="str">
        <f>HYPERLINK("https://www.773grp.com/globalSearch/NLU1G08CMX1TCG/page-1", "NLU1G08CMX1TCG")</f>
        <v>NLU1G08CMX1TCG</v>
      </c>
      <c r="B2130" s="3" t="str">
        <f>HYPERLINK("https://www.773grp.com/manufacturer/onsemi?pageNo=781", "Onsemi")</f>
        <v>Onsemi</v>
      </c>
      <c r="C2130" s="6">
        <v>173500</v>
      </c>
      <c r="D2130" s="7">
        <v>0.38</v>
      </c>
      <c r="E2130" t="s">
        <v>27</v>
      </c>
    </row>
    <row r="2131" spans="1:5" x14ac:dyDescent="0.25">
      <c r="A2131" t="str">
        <f>HYPERLINK("https://www.773grp.com/globalSearch/NLU1G14CMX1TCG/page-1", "NLU1G14CMX1TCG")</f>
        <v>NLU1G14CMX1TCG</v>
      </c>
      <c r="B2131" s="3" t="str">
        <f>HYPERLINK("https://www.773grp.com/manufacturer/onsemi?pageNo=782", "Onsemi")</f>
        <v>Onsemi</v>
      </c>
      <c r="C2131" s="6">
        <v>65985</v>
      </c>
      <c r="D2131" s="7">
        <v>0.38</v>
      </c>
      <c r="E2131" t="s">
        <v>27</v>
      </c>
    </row>
    <row r="2132" spans="1:5" x14ac:dyDescent="0.25">
      <c r="A2132" t="str">
        <f>HYPERLINK("https://www.773grp.com/globalSearch/NLU1G32CMX1TCG/page-1", "NLU1G32CMX1TCG")</f>
        <v>NLU1G32CMX1TCG</v>
      </c>
      <c r="B2132" s="3" t="str">
        <f>HYPERLINK("https://www.773grp.com/manufacturer/onsemi?pageNo=783", "Onsemi")</f>
        <v>Onsemi</v>
      </c>
      <c r="C2132" s="6">
        <v>339533</v>
      </c>
      <c r="D2132" s="7">
        <v>0.38</v>
      </c>
      <c r="E2132" t="s">
        <v>27</v>
      </c>
    </row>
    <row r="2133" spans="1:5" x14ac:dyDescent="0.25">
      <c r="A2133" t="str">
        <f>HYPERLINK("https://www.773grp.com/globalSearch/NLU1G86CMX1TCG/page-1", "NLU1G86CMX1TCG")</f>
        <v>NLU1G86CMX1TCG</v>
      </c>
      <c r="B2133" s="3" t="str">
        <f>HYPERLINK("https://www.773grp.com/manufacturer/onsemi?pageNo=784", "Onsemi")</f>
        <v>Onsemi</v>
      </c>
      <c r="C2133" s="6">
        <v>57000</v>
      </c>
      <c r="D2133" s="7">
        <v>0.38</v>
      </c>
      <c r="E2133" t="s">
        <v>27</v>
      </c>
    </row>
    <row r="2134" spans="1:5" x14ac:dyDescent="0.25">
      <c r="A2134" t="str">
        <f>HYPERLINK("https://www.773grp.com/globalSearch/NLU1GT04CMX1TCG/page-1", "NLU1GT04CMX1TCG")</f>
        <v>NLU1GT04CMX1TCG</v>
      </c>
      <c r="B2134" s="3" t="str">
        <f>HYPERLINK("https://www.773grp.com/manufacturer/onsemi?pageNo=785", "Onsemi")</f>
        <v>Onsemi</v>
      </c>
      <c r="C2134" s="6">
        <v>138000</v>
      </c>
      <c r="D2134" s="7">
        <v>0.38</v>
      </c>
      <c r="E2134" t="s">
        <v>27</v>
      </c>
    </row>
    <row r="2135" spans="1:5" x14ac:dyDescent="0.25">
      <c r="A2135" t="str">
        <f>HYPERLINK("https://www.773grp.com/globalSearch/NLU1GT125CMX1TCG/page-1", "NLU1GT125CMX1TCG")</f>
        <v>NLU1GT125CMX1TCG</v>
      </c>
      <c r="B2135" s="3" t="str">
        <f>HYPERLINK("https://www.773grp.com/manufacturer/onsemi?pageNo=786", "Onsemi")</f>
        <v>Onsemi</v>
      </c>
      <c r="C2135" s="6">
        <v>565525</v>
      </c>
      <c r="D2135" s="7">
        <v>0.38</v>
      </c>
      <c r="E2135" t="s">
        <v>27</v>
      </c>
    </row>
    <row r="2136" spans="1:5" x14ac:dyDescent="0.25">
      <c r="A2136" t="str">
        <f>HYPERLINK("https://www.773grp.com/globalSearch/NLU1GT126CMX1TCG/page-1", "NLU1GT126CMX1TCG")</f>
        <v>NLU1GT126CMX1TCG</v>
      </c>
      <c r="B2136" s="3" t="str">
        <f>HYPERLINK("https://www.773grp.com/manufacturer/onsemi?pageNo=787", "Onsemi")</f>
        <v>Onsemi</v>
      </c>
      <c r="C2136" s="6">
        <v>75000</v>
      </c>
      <c r="D2136" s="7">
        <v>0.38</v>
      </c>
      <c r="E2136" t="s">
        <v>27</v>
      </c>
    </row>
    <row r="2137" spans="1:5" x14ac:dyDescent="0.25">
      <c r="A2137" t="str">
        <f>HYPERLINK("https://www.773grp.com/globalSearch/NLU1GT14CMX1TCG/page-1", "NLU1GT14CMX1TCG")</f>
        <v>NLU1GT14CMX1TCG</v>
      </c>
      <c r="B2137" s="3" t="str">
        <f>HYPERLINK("https://www.773grp.com/manufacturer/onsemi?pageNo=788", "Onsemi")</f>
        <v>Onsemi</v>
      </c>
      <c r="C2137" s="6">
        <v>24000</v>
      </c>
      <c r="D2137" s="7">
        <v>0.38</v>
      </c>
      <c r="E2137" t="s">
        <v>27</v>
      </c>
    </row>
    <row r="2138" spans="1:5" x14ac:dyDescent="0.25">
      <c r="A2138" t="str">
        <f>HYPERLINK("https://www.773grp.com/globalSearch/NLU1GT32CMX1TCG/page-1", "NLU1GT32CMX1TCG")</f>
        <v>NLU1GT32CMX1TCG</v>
      </c>
      <c r="B2138" s="3" t="str">
        <f>HYPERLINK("https://www.773grp.com/manufacturer/onsemi?pageNo=789", "Onsemi")</f>
        <v>Onsemi</v>
      </c>
      <c r="C2138" s="6">
        <v>72000</v>
      </c>
      <c r="D2138" s="7">
        <v>0.38</v>
      </c>
      <c r="E2138" t="s">
        <v>27</v>
      </c>
    </row>
    <row r="2139" spans="1:5" x14ac:dyDescent="0.25">
      <c r="A2139" t="str">
        <f>HYPERLINK("https://www.773grp.com/globalSearch/NLU1GT50CMX1TCG/page-1", "NLU1GT50CMX1TCG")</f>
        <v>NLU1GT50CMX1TCG</v>
      </c>
      <c r="B2139" s="3" t="str">
        <f>HYPERLINK("https://www.773grp.com/manufacturer/onsemi?pageNo=790", "Onsemi")</f>
        <v>Onsemi</v>
      </c>
      <c r="C2139" s="6">
        <v>29750</v>
      </c>
      <c r="D2139" s="7">
        <v>0.38</v>
      </c>
      <c r="E2139" t="s">
        <v>27</v>
      </c>
    </row>
    <row r="2140" spans="1:5" x14ac:dyDescent="0.25">
      <c r="A2140" t="str">
        <f>HYPERLINK("https://www.773grp.com/globalSearch/NLU1GT86CMX1TCG/page-1", "NLU1GT86CMX1TCG")</f>
        <v>NLU1GT86CMX1TCG</v>
      </c>
      <c r="B2140" s="3" t="str">
        <f>HYPERLINK("https://www.773grp.com/manufacturer/onsemi?pageNo=791", "Onsemi")</f>
        <v>Onsemi</v>
      </c>
      <c r="C2140" s="6">
        <v>75000</v>
      </c>
      <c r="D2140" s="7">
        <v>0.38</v>
      </c>
      <c r="E2140" t="s">
        <v>27</v>
      </c>
    </row>
    <row r="2141" spans="1:5" x14ac:dyDescent="0.25">
      <c r="A2141" t="str">
        <f>HYPERLINK("https://www.773grp.com/globalSearch/NLU1GU04CMX1TCG/page-1", "NLU1GU04CMX1TCG")</f>
        <v>NLU1GU04CMX1TCG</v>
      </c>
      <c r="B2141" s="3" t="str">
        <f>HYPERLINK("https://www.773grp.com/manufacturer/onsemi?pageNo=792", "Onsemi")</f>
        <v>Onsemi</v>
      </c>
      <c r="C2141" s="6">
        <v>57000</v>
      </c>
      <c r="D2141" s="7">
        <v>0.38</v>
      </c>
      <c r="E2141" t="s">
        <v>27</v>
      </c>
    </row>
    <row r="2142" spans="1:5" x14ac:dyDescent="0.25">
      <c r="A2142" t="str">
        <f>HYPERLINK("https://www.773grp.com/globalSearch/NLU2G04BMX1TCG/page-1", "NLU2G04BMX1TCG")</f>
        <v>NLU2G04BMX1TCG</v>
      </c>
      <c r="B2142" s="3" t="str">
        <f>HYPERLINK("https://www.773grp.com/manufacturer/onsemi?pageNo=793", "Onsemi")</f>
        <v>Onsemi</v>
      </c>
      <c r="C2142" s="6">
        <v>48000</v>
      </c>
      <c r="D2142" s="7">
        <v>0.38</v>
      </c>
      <c r="E2142" t="s">
        <v>27</v>
      </c>
    </row>
    <row r="2143" spans="1:5" x14ac:dyDescent="0.25">
      <c r="A2143" t="str">
        <f>HYPERLINK("https://www.773grp.com/globalSearch/NLU2G06BMX1TCG/page-1", "NLU2G06BMX1TCG")</f>
        <v>NLU2G06BMX1TCG</v>
      </c>
      <c r="B2143" s="3" t="str">
        <f>HYPERLINK("https://www.773grp.com/manufacturer/onsemi?pageNo=794", "Onsemi")</f>
        <v>Onsemi</v>
      </c>
      <c r="C2143" s="6">
        <v>51000</v>
      </c>
      <c r="D2143" s="7">
        <v>0.38</v>
      </c>
      <c r="E2143" t="s">
        <v>27</v>
      </c>
    </row>
    <row r="2144" spans="1:5" x14ac:dyDescent="0.25">
      <c r="A2144" t="str">
        <f>HYPERLINK("https://www.773grp.com/globalSearch/NLU2G07BMX1TCG/page-1", "NLU2G07BMX1TCG")</f>
        <v>NLU2G07BMX1TCG</v>
      </c>
      <c r="B2144" s="3" t="str">
        <f>HYPERLINK("https://www.773grp.com/manufacturer/onsemi?pageNo=795", "Onsemi")</f>
        <v>Onsemi</v>
      </c>
      <c r="C2144" s="6">
        <v>54000</v>
      </c>
      <c r="D2144" s="7">
        <v>0.38</v>
      </c>
      <c r="E2144" t="s">
        <v>27</v>
      </c>
    </row>
    <row r="2145" spans="1:5" x14ac:dyDescent="0.25">
      <c r="A2145" t="str">
        <f>HYPERLINK("https://www.773grp.com/globalSearch/NLU2G14BMX1TCG/page-1", "NLU2G14BMX1TCG")</f>
        <v>NLU2G14BMX1TCG</v>
      </c>
      <c r="B2145" s="3" t="str">
        <f>HYPERLINK("https://www.773grp.com/manufacturer/onsemi?pageNo=796", "Onsemi")</f>
        <v>Onsemi</v>
      </c>
      <c r="C2145" s="6">
        <v>27000</v>
      </c>
      <c r="D2145" s="7">
        <v>0.38</v>
      </c>
      <c r="E2145" t="s">
        <v>27</v>
      </c>
    </row>
    <row r="2146" spans="1:5" x14ac:dyDescent="0.25">
      <c r="A2146" t="str">
        <f>HYPERLINK("https://www.773grp.com/globalSearch/NLU2G16BMX1TCG/page-1", "NLU2G16BMX1TCG")</f>
        <v>NLU2G16BMX1TCG</v>
      </c>
      <c r="B2146" s="3" t="str">
        <f>HYPERLINK("https://www.773grp.com/manufacturer/onsemi?pageNo=797", "Onsemi")</f>
        <v>Onsemi</v>
      </c>
      <c r="C2146" s="6">
        <v>39000</v>
      </c>
      <c r="D2146" s="7">
        <v>0.38</v>
      </c>
      <c r="E2146" t="s">
        <v>27</v>
      </c>
    </row>
    <row r="2147" spans="1:5" x14ac:dyDescent="0.25">
      <c r="A2147" t="str">
        <f>HYPERLINK("https://www.773grp.com/globalSearch/NLU2G17BMX1TCG/page-1", "NLU2G17BMX1TCG")</f>
        <v>NLU2G17BMX1TCG</v>
      </c>
      <c r="B2147" s="3" t="str">
        <f>HYPERLINK("https://www.773grp.com/manufacturer/onsemi?pageNo=798", "Onsemi")</f>
        <v>Onsemi</v>
      </c>
      <c r="C2147" s="6">
        <v>51000</v>
      </c>
      <c r="D2147" s="7">
        <v>0.38</v>
      </c>
      <c r="E2147" t="s">
        <v>27</v>
      </c>
    </row>
    <row r="2148" spans="1:5" x14ac:dyDescent="0.25">
      <c r="A2148" t="str">
        <f>HYPERLINK("https://www.773grp.com/globalSearch/NLU2GU04BMX1TCG/page-1", "NLU2GU04BMX1TCG")</f>
        <v>NLU2GU04BMX1TCG</v>
      </c>
      <c r="B2148" s="3" t="str">
        <f>HYPERLINK("https://www.773grp.com/manufacturer/onsemi?pageNo=799", "Onsemi")</f>
        <v>Onsemi</v>
      </c>
      <c r="C2148" s="6">
        <v>42000</v>
      </c>
      <c r="D2148" s="7">
        <v>0.38</v>
      </c>
      <c r="E2148" t="s">
        <v>27</v>
      </c>
    </row>
    <row r="2149" spans="1:5" x14ac:dyDescent="0.25">
      <c r="A2149" t="str">
        <f>HYPERLINK("https://www.773grp.com/globalSearch/NLX1G10BMX1TCG/page-1", "NLX1G10BMX1TCG")</f>
        <v>NLX1G10BMX1TCG</v>
      </c>
      <c r="B2149" s="3" t="str">
        <f>HYPERLINK("https://www.773grp.com/manufacturer/onsemi?pageNo=800", "Onsemi")</f>
        <v>Onsemi</v>
      </c>
      <c r="C2149" s="6">
        <v>66000</v>
      </c>
      <c r="D2149" s="7">
        <v>0.38</v>
      </c>
      <c r="E2149" t="s">
        <v>27</v>
      </c>
    </row>
    <row r="2150" spans="1:5" x14ac:dyDescent="0.25">
      <c r="A2150" t="str">
        <f>HYPERLINK("https://www.773grp.com/globalSearch/NLX1G11BMX1TCG/page-1", "NLX1G11BMX1TCG")</f>
        <v>NLX1G11BMX1TCG</v>
      </c>
      <c r="B2150" s="3" t="str">
        <f>HYPERLINK("https://www.773grp.com/manufacturer/onsemi?pageNo=801", "Onsemi")</f>
        <v>Onsemi</v>
      </c>
      <c r="C2150" s="6">
        <v>102000</v>
      </c>
      <c r="D2150" s="7">
        <v>0.38</v>
      </c>
      <c r="E2150" t="s">
        <v>27</v>
      </c>
    </row>
    <row r="2151" spans="1:5" x14ac:dyDescent="0.25">
      <c r="A2151" t="str">
        <f>HYPERLINK("https://www.773grp.com/globalSearch/NLX1G57CMX1TCG/page-1", "NLX1G57CMX1TCG")</f>
        <v>NLX1G57CMX1TCG</v>
      </c>
      <c r="B2151" s="3" t="str">
        <f>HYPERLINK("https://www.773grp.com/manufacturer/onsemi?pageNo=802", "Onsemi")</f>
        <v>Onsemi</v>
      </c>
      <c r="C2151" s="6">
        <v>195000</v>
      </c>
      <c r="D2151" s="7">
        <v>0.38</v>
      </c>
      <c r="E2151" t="s">
        <v>68</v>
      </c>
    </row>
    <row r="2152" spans="1:5" x14ac:dyDescent="0.25">
      <c r="A2152" t="str">
        <f>HYPERLINK("https://www.773grp.com/globalSearch/NLX1G58CMX1TCG/page-1", "NLX1G58CMX1TCG")</f>
        <v>NLX1G58CMX1TCG</v>
      </c>
      <c r="B2152" s="3" t="str">
        <f>HYPERLINK("https://www.773grp.com/manufacturer/onsemi?pageNo=803", "Onsemi")</f>
        <v>Onsemi</v>
      </c>
      <c r="C2152" s="6">
        <v>201000</v>
      </c>
      <c r="D2152" s="7">
        <v>0.38</v>
      </c>
      <c r="E2152" t="s">
        <v>68</v>
      </c>
    </row>
    <row r="2153" spans="1:5" x14ac:dyDescent="0.25">
      <c r="A2153" t="str">
        <f>HYPERLINK("https://www.773grp.com/globalSearch/NLX1G97CMX1TCG/page-1", "NLX1G97CMX1TCG")</f>
        <v>NLX1G97CMX1TCG</v>
      </c>
      <c r="B2153" s="3" t="str">
        <f>HYPERLINK("https://www.773grp.com/manufacturer/onsemi?pageNo=804", "Onsemi")</f>
        <v>Onsemi</v>
      </c>
      <c r="C2153" s="6">
        <v>42000</v>
      </c>
      <c r="D2153" s="7">
        <v>0.38</v>
      </c>
      <c r="E2153" t="s">
        <v>68</v>
      </c>
    </row>
    <row r="2154" spans="1:5" x14ac:dyDescent="0.25">
      <c r="A2154" t="str">
        <f>HYPERLINK("https://www.773grp.com/globalSearch/NLX1G98CMX1TCG/page-1", "NLX1G98CMX1TCG")</f>
        <v>NLX1G98CMX1TCG</v>
      </c>
      <c r="B2154" s="3" t="str">
        <f>HYPERLINK("https://www.773grp.com/manufacturer/onsemi?pageNo=805", "Onsemi")</f>
        <v>Onsemi</v>
      </c>
      <c r="C2154" s="6">
        <v>150000</v>
      </c>
      <c r="D2154" s="7">
        <v>0.38</v>
      </c>
      <c r="E2154" t="s">
        <v>68</v>
      </c>
    </row>
    <row r="2155" spans="1:5" x14ac:dyDescent="0.25">
      <c r="A2155" t="str">
        <f>HYPERLINK("https://www.773grp.com/globalSearch/NLX2G00BMX1TCG/page-1", "NLX2G00BMX1TCG")</f>
        <v>NLX2G00BMX1TCG</v>
      </c>
      <c r="B2155" s="3" t="str">
        <f>HYPERLINK("https://www.773grp.com/manufacturer/onsemi?pageNo=806", "Onsemi")</f>
        <v>Onsemi</v>
      </c>
      <c r="C2155" s="6">
        <v>5975</v>
      </c>
      <c r="D2155" s="7">
        <v>0.38</v>
      </c>
      <c r="E2155" t="s">
        <v>27</v>
      </c>
    </row>
    <row r="2156" spans="1:5" x14ac:dyDescent="0.25">
      <c r="A2156" t="str">
        <f>HYPERLINK("https://www.773grp.com/globalSearch/NLX2G04BMX1TCG/page-1", "NLX2G04BMX1TCG")</f>
        <v>NLX2G04BMX1TCG</v>
      </c>
      <c r="B2156" s="3" t="str">
        <f>HYPERLINK("https://www.773grp.com/manufacturer/onsemi?pageNo=807", "Onsemi")</f>
        <v>Onsemi</v>
      </c>
      <c r="C2156" s="6">
        <v>78000</v>
      </c>
      <c r="D2156" s="7">
        <v>0.38</v>
      </c>
      <c r="E2156" t="s">
        <v>27</v>
      </c>
    </row>
    <row r="2157" spans="1:5" x14ac:dyDescent="0.25">
      <c r="A2157" t="str">
        <f>HYPERLINK("https://www.773grp.com/globalSearch/NLX2G06BMX1TCG/page-1", "NLX2G06BMX1TCG")</f>
        <v>NLX2G06BMX1TCG</v>
      </c>
      <c r="B2157" s="3" t="str">
        <f>HYPERLINK("https://www.773grp.com/manufacturer/onsemi?pageNo=808", "Onsemi")</f>
        <v>Onsemi</v>
      </c>
      <c r="C2157" s="6">
        <v>15000</v>
      </c>
      <c r="D2157" s="7">
        <v>0.38</v>
      </c>
      <c r="E2157" t="s">
        <v>27</v>
      </c>
    </row>
    <row r="2158" spans="1:5" x14ac:dyDescent="0.25">
      <c r="A2158" t="str">
        <f>HYPERLINK("https://www.773grp.com/globalSearch/NLX2G07BMX1TCG/page-1", "NLX2G07BMX1TCG")</f>
        <v>NLX2G07BMX1TCG</v>
      </c>
      <c r="B2158" s="3" t="str">
        <f>HYPERLINK("https://www.773grp.com/manufacturer/onsemi?pageNo=809", "Onsemi")</f>
        <v>Onsemi</v>
      </c>
      <c r="C2158" s="6">
        <v>39000</v>
      </c>
      <c r="D2158" s="7">
        <v>0.38</v>
      </c>
      <c r="E2158" t="s">
        <v>27</v>
      </c>
    </row>
    <row r="2159" spans="1:5" x14ac:dyDescent="0.25">
      <c r="A2159" t="str">
        <f>HYPERLINK("https://www.773grp.com/globalSearch/NLX2G08BMX1TCG/page-1", "NLX2G08BMX1TCG")</f>
        <v>NLX2G08BMX1TCG</v>
      </c>
      <c r="B2159" s="3" t="str">
        <f>HYPERLINK("https://www.773grp.com/manufacturer/onsemi?pageNo=810", "Onsemi")</f>
        <v>Onsemi</v>
      </c>
      <c r="C2159" s="6">
        <v>9000</v>
      </c>
      <c r="D2159" s="7">
        <v>0.38</v>
      </c>
    </row>
    <row r="2160" spans="1:5" x14ac:dyDescent="0.25">
      <c r="A2160" t="str">
        <f>HYPERLINK("https://www.773grp.com/globalSearch/NLX2G14BMX1TCG/page-1", "NLX2G14BMX1TCG")</f>
        <v>NLX2G14BMX1TCG</v>
      </c>
      <c r="B2160" s="3" t="str">
        <f>HYPERLINK("https://www.773grp.com/manufacturer/onsemi?pageNo=811", "Onsemi")</f>
        <v>Onsemi</v>
      </c>
      <c r="C2160" s="6">
        <v>111000</v>
      </c>
      <c r="D2160" s="7">
        <v>0.38</v>
      </c>
      <c r="E2160" t="s">
        <v>27</v>
      </c>
    </row>
    <row r="2161" spans="1:5" x14ac:dyDescent="0.25">
      <c r="A2161" t="str">
        <f>HYPERLINK("https://www.773grp.com/globalSearch/NLX2G16BMX1TCG/page-1", "NLX2G16BMX1TCG")</f>
        <v>NLX2G16BMX1TCG</v>
      </c>
      <c r="B2161" s="3" t="str">
        <f>HYPERLINK("https://www.773grp.com/manufacturer/onsemi?pageNo=812", "Onsemi")</f>
        <v>Onsemi</v>
      </c>
      <c r="C2161" s="6">
        <v>45000</v>
      </c>
      <c r="D2161" s="7">
        <v>0.38</v>
      </c>
      <c r="E2161" t="s">
        <v>27</v>
      </c>
    </row>
    <row r="2162" spans="1:5" x14ac:dyDescent="0.25">
      <c r="A2162" t="str">
        <f>HYPERLINK("https://www.773grp.com/globalSearch/NLX2G17BMX1TCG/page-1", "NLX2G17BMX1TCG")</f>
        <v>NLX2G17BMX1TCG</v>
      </c>
      <c r="B2162" s="3" t="str">
        <f>HYPERLINK("https://www.773grp.com/manufacturer/onsemi?pageNo=813", "Onsemi")</f>
        <v>Onsemi</v>
      </c>
      <c r="C2162" s="6">
        <v>81000</v>
      </c>
      <c r="D2162" s="7">
        <v>0.38</v>
      </c>
      <c r="E2162" t="s">
        <v>27</v>
      </c>
    </row>
    <row r="2163" spans="1:5" x14ac:dyDescent="0.25">
      <c r="A2163" t="str">
        <f>HYPERLINK("https://www.773grp.com/globalSearch/NLX2G32BMX1TCG/page-1", "NLX2G32BMX1TCG")</f>
        <v>NLX2G32BMX1TCG</v>
      </c>
      <c r="B2163" s="3" t="str">
        <f>HYPERLINK("https://www.773grp.com/manufacturer/onsemi?pageNo=814", "Onsemi")</f>
        <v>Onsemi</v>
      </c>
      <c r="C2163" s="6">
        <v>6000</v>
      </c>
      <c r="D2163" s="7">
        <v>0.38</v>
      </c>
      <c r="E2163" t="s">
        <v>27</v>
      </c>
    </row>
    <row r="2164" spans="1:5" x14ac:dyDescent="0.25">
      <c r="A2164" t="str">
        <f>HYPERLINK("https://www.773grp.com/globalSearch/NLX2GU04BMX1TCG/page-1", "NLX2GU04BMX1TCG")</f>
        <v>NLX2GU04BMX1TCG</v>
      </c>
      <c r="B2164" s="3" t="str">
        <f>HYPERLINK("https://www.773grp.com/manufacturer/onsemi?pageNo=815", "Onsemi")</f>
        <v>Onsemi</v>
      </c>
      <c r="C2164" s="6">
        <v>42000</v>
      </c>
      <c r="D2164" s="7">
        <v>0.38</v>
      </c>
      <c r="E2164" t="s">
        <v>27</v>
      </c>
    </row>
    <row r="2165" spans="1:5" x14ac:dyDescent="0.25">
      <c r="A2165" t="str">
        <f>HYPERLINK("https://www.773grp.com/globalSearch/NRVB0540T3G/page-1", "NRVB0540T3G")</f>
        <v>NRVB0540T3G</v>
      </c>
      <c r="B2165" s="3" t="str">
        <f>HYPERLINK("https://www.773grp.com/manufacturer/onsemi?pageNo=816", "Onsemi")</f>
        <v>Onsemi</v>
      </c>
      <c r="C2165" s="6">
        <v>8730</v>
      </c>
      <c r="D2165" s="7">
        <v>0.38</v>
      </c>
    </row>
    <row r="2166" spans="1:5" x14ac:dyDescent="0.25">
      <c r="A2166" t="str">
        <f>HYPERLINK("https://www.773grp.com/globalSearch/NRVB140SFT1/page-1", "NRVB140SFT1")</f>
        <v>NRVB140SFT1</v>
      </c>
      <c r="B2166" s="3" t="str">
        <f>HYPERLINK("https://www.773grp.com/manufacturer/onsemi?pageNo=817", "Onsemi")</f>
        <v>Onsemi</v>
      </c>
      <c r="C2166" s="6">
        <v>24000</v>
      </c>
      <c r="D2166" s="7">
        <v>0.38</v>
      </c>
    </row>
    <row r="2167" spans="1:5" x14ac:dyDescent="0.25">
      <c r="A2167" t="str">
        <f>HYPERLINK("https://www.773grp.com/globalSearch/NS6A5.0AFT3G/page-1", "NS6A5.0AFT3G")</f>
        <v>NS6A5.0AFT3G</v>
      </c>
      <c r="B2167" s="3" t="str">
        <f>HYPERLINK("https://www.773grp.com/manufacturer/onsemi?pageNo=818", "Onsemi")</f>
        <v>Onsemi</v>
      </c>
      <c r="C2167" s="6">
        <v>147700</v>
      </c>
      <c r="D2167" s="7">
        <v>0.38</v>
      </c>
    </row>
    <row r="2168" spans="1:5" x14ac:dyDescent="0.25">
      <c r="A2168" t="str">
        <f>HYPERLINK("https://www.773grp.com/globalSearch/NS6A5.0AT3G/page-1", "NS6A5.0AT3G")</f>
        <v>NS6A5.0AT3G</v>
      </c>
      <c r="B2168" s="3" t="str">
        <f>HYPERLINK("https://www.773grp.com/manufacturer/onsemi?pageNo=819", "Onsemi")</f>
        <v>Onsemi</v>
      </c>
      <c r="C2168" s="6">
        <v>5000</v>
      </c>
      <c r="D2168" s="7">
        <v>0.38</v>
      </c>
    </row>
    <row r="2169" spans="1:5" x14ac:dyDescent="0.25">
      <c r="A2169" t="str">
        <f>HYPERLINK("https://www.773grp.com/globalSearch/NSB9435T1/page-1", "NSB9435T1")</f>
        <v>NSB9435T1</v>
      </c>
      <c r="B2169" s="3" t="str">
        <f>HYPERLINK("https://www.773grp.com/manufacturer/onsemi?pageNo=820", "Onsemi")</f>
        <v>Onsemi</v>
      </c>
      <c r="C2169" s="6">
        <v>61895</v>
      </c>
      <c r="D2169" s="7">
        <v>0.38</v>
      </c>
      <c r="E2169" t="s">
        <v>57</v>
      </c>
    </row>
    <row r="2170" spans="1:5" x14ac:dyDescent="0.25">
      <c r="A2170" t="str">
        <f>HYPERLINK("https://www.773grp.com/globalSearch/NSR05F20NXT5G/page-1", "NSR05F20NXT5G")</f>
        <v>NSR05F20NXT5G</v>
      </c>
      <c r="B2170" s="3" t="str">
        <f>HYPERLINK("https://www.773grp.com/manufacturer/onsemi?pageNo=821", "Onsemi")</f>
        <v>Onsemi</v>
      </c>
      <c r="C2170" s="6">
        <v>1206372</v>
      </c>
      <c r="D2170" s="7">
        <v>0.38</v>
      </c>
      <c r="E2170" t="s">
        <v>73</v>
      </c>
    </row>
    <row r="2171" spans="1:5" x14ac:dyDescent="0.25">
      <c r="A2171" t="str">
        <f>HYPERLINK("https://www.773grp.com/globalSearch/NSR05F30NXT5G/page-1", "NSR05F30NXT5G")</f>
        <v>NSR05F30NXT5G</v>
      </c>
      <c r="B2171" s="3" t="str">
        <f>HYPERLINK("https://www.773grp.com/manufacturer/onsemi?pageNo=822", "Onsemi")</f>
        <v>Onsemi</v>
      </c>
      <c r="C2171" s="6">
        <v>10000</v>
      </c>
      <c r="D2171" s="7">
        <v>0.38</v>
      </c>
    </row>
    <row r="2172" spans="1:5" x14ac:dyDescent="0.25">
      <c r="A2172" t="str">
        <f>HYPERLINK("https://www.773grp.com/globalSearch/NSR05F40NXT5G/page-1", "NSR05F40NXT5G")</f>
        <v>NSR05F40NXT5G</v>
      </c>
      <c r="B2172" s="3" t="str">
        <f>HYPERLINK("https://www.773grp.com/manufacturer/onsemi?pageNo=823", "Onsemi")</f>
        <v>Onsemi</v>
      </c>
      <c r="C2172" s="6">
        <v>16880</v>
      </c>
      <c r="D2172" s="7">
        <v>0.38</v>
      </c>
      <c r="E2172" t="s">
        <v>73</v>
      </c>
    </row>
    <row r="2173" spans="1:5" x14ac:dyDescent="0.25">
      <c r="A2173" t="str">
        <f>HYPERLINK("https://www.773grp.com/globalSearch/NST3904DP6T5G/page-1", "NST3904DP6T5G")</f>
        <v>NST3904DP6T5G</v>
      </c>
      <c r="B2173" s="3" t="str">
        <f>HYPERLINK("https://www.773grp.com/manufacturer/onsemi?pageNo=824", "Onsemi")</f>
        <v>Onsemi</v>
      </c>
      <c r="C2173" s="6">
        <v>16000</v>
      </c>
      <c r="D2173" s="7">
        <v>0.38</v>
      </c>
      <c r="E2173" t="s">
        <v>57</v>
      </c>
    </row>
    <row r="2174" spans="1:5" x14ac:dyDescent="0.25">
      <c r="A2174" t="str">
        <f>HYPERLINK("https://www.773grp.com/globalSearch/NST3946DP6T5G/page-1", "NST3946DP6T5G")</f>
        <v>NST3946DP6T5G</v>
      </c>
      <c r="B2174" s="3" t="str">
        <f>HYPERLINK("https://www.773grp.com/manufacturer/onsemi?pageNo=825", "Onsemi")</f>
        <v>Onsemi</v>
      </c>
      <c r="C2174" s="6">
        <v>294141</v>
      </c>
      <c r="D2174" s="7">
        <v>0.38</v>
      </c>
      <c r="E2174" t="s">
        <v>57</v>
      </c>
    </row>
    <row r="2175" spans="1:5" x14ac:dyDescent="0.25">
      <c r="A2175" t="str">
        <f>HYPERLINK("https://www.773grp.com/globalSearch/NSTB1002DXV5T1G/page-1", "NSTB1002DXV5T1G")</f>
        <v>NSTB1002DXV5T1G</v>
      </c>
      <c r="B2175" s="3" t="str">
        <f>HYPERLINK("https://www.773grp.com/manufacturer/onsemi?pageNo=826", "Onsemi")</f>
        <v>Onsemi</v>
      </c>
      <c r="C2175" s="6">
        <v>176000</v>
      </c>
      <c r="D2175" s="7">
        <v>0.38</v>
      </c>
      <c r="E2175" t="s">
        <v>57</v>
      </c>
    </row>
    <row r="2176" spans="1:5" x14ac:dyDescent="0.25">
      <c r="A2176" t="str">
        <f>HYPERLINK("https://www.773grp.com/globalSearch/NSVB123JPDXV6T1G/page-1", "NSVB123JPDXV6T1G")</f>
        <v>NSVB123JPDXV6T1G</v>
      </c>
      <c r="B2176" s="3" t="str">
        <f>HYPERLINK("https://www.773grp.com/manufacturer/onsemi?pageNo=827", "Onsemi")</f>
        <v>Onsemi</v>
      </c>
      <c r="C2176" s="6">
        <v>52000</v>
      </c>
      <c r="D2176" s="7">
        <v>0.38</v>
      </c>
    </row>
    <row r="2177" spans="1:5" x14ac:dyDescent="0.25">
      <c r="A2177" t="str">
        <f>HYPERLINK("https://www.773grp.com/globalSearch/NSVB143TPDXV6T1G/page-1", "NSVB143TPDXV6T1G")</f>
        <v>NSVB143TPDXV6T1G</v>
      </c>
      <c r="B2177" s="3" t="str">
        <f>HYPERLINK("https://www.773grp.com/manufacturer/onsemi?pageNo=828", "Onsemi")</f>
        <v>Onsemi</v>
      </c>
      <c r="C2177" s="6">
        <v>20000</v>
      </c>
      <c r="D2177" s="7">
        <v>0.38</v>
      </c>
    </row>
    <row r="2178" spans="1:5" x14ac:dyDescent="0.25">
      <c r="A2178" t="str">
        <f>HYPERLINK("https://www.773grp.com/globalSearch/NSVBAS70LT1G/page-1", "NSVBAS70LT1G")</f>
        <v>NSVBAS70LT1G</v>
      </c>
      <c r="B2178" s="3" t="str">
        <f>HYPERLINK("https://www.773grp.com/manufacturer/onsemi?pageNo=829", "Onsemi")</f>
        <v>Onsemi</v>
      </c>
      <c r="C2178" s="6">
        <v>45000</v>
      </c>
      <c r="D2178" s="7">
        <v>0.38</v>
      </c>
    </row>
    <row r="2179" spans="1:5" x14ac:dyDescent="0.25">
      <c r="A2179" t="str">
        <f>HYPERLINK("https://www.773grp.com/globalSearch/NSVBC114YDXV6T1G/page-1", "NSVBC114YDXV6T1G")</f>
        <v>NSVBC114YDXV6T1G</v>
      </c>
      <c r="B2179" s="3" t="str">
        <f>HYPERLINK("https://www.773grp.com/manufacturer/onsemi?pageNo=830", "Onsemi")</f>
        <v>Onsemi</v>
      </c>
      <c r="C2179" s="6">
        <v>144000</v>
      </c>
      <c r="D2179" s="7">
        <v>0.38</v>
      </c>
    </row>
    <row r="2180" spans="1:5" x14ac:dyDescent="0.25">
      <c r="A2180" t="str">
        <f>HYPERLINK("https://www.773grp.com/globalSearch/NTD3055-150-1/page-1", "NTD3055-150-1")</f>
        <v>NTD3055-150-1</v>
      </c>
      <c r="B2180" s="3" t="str">
        <f>HYPERLINK("https://www.773grp.com/manufacturer/onsemi?pageNo=831", "Onsemi")</f>
        <v>Onsemi</v>
      </c>
      <c r="C2180" s="6">
        <v>20400</v>
      </c>
      <c r="D2180" s="7">
        <v>0.38</v>
      </c>
      <c r="E2180" t="s">
        <v>84</v>
      </c>
    </row>
    <row r="2181" spans="1:5" x14ac:dyDescent="0.25">
      <c r="A2181" t="str">
        <f>HYPERLINK("https://www.773grp.com/globalSearch/NTD3055L170T4/page-1", "NTD3055L170T4")</f>
        <v>NTD3055L170T4</v>
      </c>
      <c r="B2181" s="3" t="str">
        <f>HYPERLINK("https://www.773grp.com/manufacturer/onsemi?pageNo=832", "Onsemi")</f>
        <v>Onsemi</v>
      </c>
      <c r="C2181" s="6">
        <v>159681</v>
      </c>
      <c r="D2181" s="7">
        <v>0.38</v>
      </c>
      <c r="E2181" t="s">
        <v>84</v>
      </c>
    </row>
    <row r="2182" spans="1:5" x14ac:dyDescent="0.25">
      <c r="A2182" t="str">
        <f>HYPERLINK("https://www.773grp.com/globalSearch/NTD4809N-1G/page-1", "NTD4809N-1G")</f>
        <v>NTD4809N-1G</v>
      </c>
      <c r="B2182" s="3" t="str">
        <f>HYPERLINK("https://www.773grp.com/manufacturer/onsemi?pageNo=833", "Onsemi")</f>
        <v>Onsemi</v>
      </c>
      <c r="C2182" s="6">
        <v>14874</v>
      </c>
      <c r="D2182" s="7">
        <v>0.38</v>
      </c>
      <c r="E2182" t="s">
        <v>84</v>
      </c>
    </row>
    <row r="2183" spans="1:5" x14ac:dyDescent="0.25">
      <c r="A2183" t="str">
        <f>HYPERLINK("https://www.773grp.com/globalSearch/NTD4809NA-1G/page-1", "NTD4809NA-1G")</f>
        <v>NTD4809NA-1G</v>
      </c>
      <c r="B2183" s="3" t="str">
        <f>HYPERLINK("https://www.773grp.com/manufacturer/onsemi?pageNo=834", "Onsemi")</f>
        <v>Onsemi</v>
      </c>
      <c r="C2183" s="6">
        <v>86000</v>
      </c>
      <c r="D2183" s="7">
        <v>0.38</v>
      </c>
    </row>
    <row r="2184" spans="1:5" x14ac:dyDescent="0.25">
      <c r="A2184" t="str">
        <f>HYPERLINK("https://www.773grp.com/globalSearch/NTD4815NH-1G/page-1", "NTD4815NH-1G")</f>
        <v>NTD4815NH-1G</v>
      </c>
      <c r="B2184" s="3" t="str">
        <f>HYPERLINK("https://www.773grp.com/manufacturer/onsemi?pageNo=835", "Onsemi")</f>
        <v>Onsemi</v>
      </c>
      <c r="C2184" s="6">
        <v>64240</v>
      </c>
      <c r="D2184" s="7">
        <v>0.38</v>
      </c>
      <c r="E2184" t="s">
        <v>84</v>
      </c>
    </row>
    <row r="2185" spans="1:5" x14ac:dyDescent="0.25">
      <c r="A2185" t="str">
        <f>HYPERLINK("https://www.773grp.com/globalSearch/NTD50N03R-35G/page-1", "NTD50N03R-35G")</f>
        <v>NTD50N03R-35G</v>
      </c>
      <c r="B2185" s="3" t="str">
        <f>HYPERLINK("https://www.773grp.com/manufacturer/onsemi?pageNo=836", "Onsemi")</f>
        <v>Onsemi</v>
      </c>
      <c r="C2185" s="6">
        <v>35200</v>
      </c>
      <c r="D2185" s="7">
        <v>0.38</v>
      </c>
      <c r="E2185" t="s">
        <v>84</v>
      </c>
    </row>
    <row r="2186" spans="1:5" x14ac:dyDescent="0.25">
      <c r="A2186" t="str">
        <f>HYPERLINK("https://www.773grp.com/globalSearch/NTD50N03RT4G/page-1", "NTD50N03RT4G")</f>
        <v>NTD50N03RT4G</v>
      </c>
      <c r="B2186" s="3" t="str">
        <f>HYPERLINK("https://www.773grp.com/manufacturer/onsemi?pageNo=837", "Onsemi")</f>
        <v>Onsemi</v>
      </c>
      <c r="C2186" s="6">
        <v>109850</v>
      </c>
      <c r="D2186" s="7">
        <v>0.38</v>
      </c>
      <c r="E2186" t="s">
        <v>84</v>
      </c>
    </row>
    <row r="2187" spans="1:5" x14ac:dyDescent="0.25">
      <c r="A2187" t="str">
        <f>HYPERLINK("https://www.773grp.com/globalSearch/NTGS3433T1/page-1", "NTGS3433T1")</f>
        <v>NTGS3433T1</v>
      </c>
      <c r="B2187" s="3" t="str">
        <f>HYPERLINK("https://www.773grp.com/manufacturer/onsemi?pageNo=838", "Onsemi")</f>
        <v>Onsemi</v>
      </c>
      <c r="C2187" s="6">
        <v>50930</v>
      </c>
      <c r="D2187" s="7">
        <v>0.38</v>
      </c>
      <c r="E2187" t="s">
        <v>85</v>
      </c>
    </row>
    <row r="2188" spans="1:5" x14ac:dyDescent="0.25">
      <c r="A2188" t="str">
        <f>HYPERLINK("https://www.773grp.com/globalSearch/NTGS3441PT1G/page-1", "NTGS3441PT1G")</f>
        <v>NTGS3441PT1G</v>
      </c>
      <c r="B2188" s="3" t="str">
        <f>HYPERLINK("https://www.773grp.com/manufacturer/onsemi?pageNo=839", "Onsemi")</f>
        <v>Onsemi</v>
      </c>
      <c r="C2188" s="6">
        <v>3000</v>
      </c>
      <c r="D2188" s="7">
        <v>0.38</v>
      </c>
      <c r="E2188" t="s">
        <v>85</v>
      </c>
    </row>
    <row r="2189" spans="1:5" x14ac:dyDescent="0.25">
      <c r="A2189" t="str">
        <f>HYPERLINK("https://www.773grp.com/globalSearch/NTGS3441T1G/page-1", "NTGS3441T1G")</f>
        <v>NTGS3441T1G</v>
      </c>
      <c r="B2189" s="3" t="str">
        <f>HYPERLINK("https://www.773grp.com/manufacturer/onsemi?pageNo=840", "Onsemi")</f>
        <v>Onsemi</v>
      </c>
      <c r="C2189" s="6">
        <v>107790</v>
      </c>
      <c r="D2189" s="7">
        <v>0.38</v>
      </c>
      <c r="E2189" t="s">
        <v>85</v>
      </c>
    </row>
    <row r="2190" spans="1:5" x14ac:dyDescent="0.25">
      <c r="A2190" t="str">
        <f>HYPERLINK("https://www.773grp.com/globalSearch/NTGS3443BT1G/page-1", "NTGS3443BT1G")</f>
        <v>NTGS3443BT1G</v>
      </c>
      <c r="B2190" s="3" t="str">
        <f>HYPERLINK("https://www.773grp.com/manufacturer/onsemi?pageNo=841", "Onsemi")</f>
        <v>Onsemi</v>
      </c>
      <c r="C2190" s="6">
        <v>78000</v>
      </c>
      <c r="D2190" s="7">
        <v>0.38</v>
      </c>
      <c r="E2190" t="s">
        <v>85</v>
      </c>
    </row>
    <row r="2191" spans="1:5" x14ac:dyDescent="0.25">
      <c r="A2191" t="str">
        <f>HYPERLINK("https://www.773grp.com/globalSearch/NTGS3443T1G/page-1", "NTGS3443T1G")</f>
        <v>NTGS3443T1G</v>
      </c>
      <c r="B2191" s="3" t="str">
        <f>HYPERLINK("https://www.773grp.com/manufacturer/onsemi?pageNo=842", "Onsemi")</f>
        <v>Onsemi</v>
      </c>
      <c r="C2191" s="6">
        <v>30055</v>
      </c>
      <c r="D2191" s="7">
        <v>0.38</v>
      </c>
      <c r="E2191" t="s">
        <v>85</v>
      </c>
    </row>
    <row r="2192" spans="1:5" x14ac:dyDescent="0.25">
      <c r="A2192" t="str">
        <f>HYPERLINK("https://www.773grp.com/globalSearch/NTJD2152PT1G/page-1", "NTJD2152PT1G")</f>
        <v>NTJD2152PT1G</v>
      </c>
      <c r="B2192" s="3" t="str">
        <f>HYPERLINK("https://www.773grp.com/manufacturer/onsemi?pageNo=843", "Onsemi")</f>
        <v>Onsemi</v>
      </c>
      <c r="C2192" s="6">
        <v>569346</v>
      </c>
      <c r="D2192" s="7">
        <v>0.38</v>
      </c>
      <c r="E2192" t="s">
        <v>85</v>
      </c>
    </row>
    <row r="2193" spans="1:5" x14ac:dyDescent="0.25">
      <c r="A2193" t="str">
        <f>HYPERLINK("https://www.773grp.com/globalSearch/NTJD4105CT1G/page-1", "NTJD4105CT1G")</f>
        <v>NTJD4105CT1G</v>
      </c>
      <c r="B2193" s="3" t="str">
        <f>HYPERLINK("https://www.773grp.com/manufacturer/onsemi?pageNo=844", "Onsemi")</f>
        <v>Onsemi</v>
      </c>
      <c r="C2193" s="6">
        <v>3000</v>
      </c>
      <c r="D2193" s="7">
        <v>0.38</v>
      </c>
    </row>
    <row r="2194" spans="1:5" x14ac:dyDescent="0.25">
      <c r="A2194" t="str">
        <f>HYPERLINK("https://www.773grp.com/globalSearch/NTJD4158CT1G/page-1", "NTJD4158CT1G")</f>
        <v>NTJD4158CT1G</v>
      </c>
      <c r="B2194" s="3" t="str">
        <f>HYPERLINK("https://www.773grp.com/manufacturer/onsemi?pageNo=845", "Onsemi")</f>
        <v>Onsemi</v>
      </c>
      <c r="C2194" s="6">
        <v>3000</v>
      </c>
      <c r="D2194" s="7">
        <v>0.38</v>
      </c>
    </row>
    <row r="2195" spans="1:5" x14ac:dyDescent="0.25">
      <c r="A2195" t="str">
        <f>HYPERLINK("https://www.773grp.com/globalSearch/NTJD4401NT1G/page-1", "NTJD4401NT1G")</f>
        <v>NTJD4401NT1G</v>
      </c>
      <c r="B2195" s="3" t="str">
        <f>HYPERLINK("https://www.773grp.com/manufacturer/onsemi?pageNo=846", "Onsemi")</f>
        <v>Onsemi</v>
      </c>
      <c r="C2195" s="6">
        <v>12000</v>
      </c>
      <c r="D2195" s="7">
        <v>0.38</v>
      </c>
    </row>
    <row r="2196" spans="1:5" x14ac:dyDescent="0.25">
      <c r="A2196" t="str">
        <f>HYPERLINK("https://www.773grp.com/globalSearch/NTJS4151PT1G/page-1", "NTJS4151PT1G")</f>
        <v>NTJS4151PT1G</v>
      </c>
      <c r="B2196" s="3" t="str">
        <f>HYPERLINK("https://www.773grp.com/manufacturer/onsemi?pageNo=847", "Onsemi")</f>
        <v>Onsemi</v>
      </c>
      <c r="C2196" s="6">
        <v>36000</v>
      </c>
      <c r="D2196" s="7">
        <v>0.38</v>
      </c>
      <c r="E2196" t="s">
        <v>85</v>
      </c>
    </row>
    <row r="2197" spans="1:5" x14ac:dyDescent="0.25">
      <c r="A2197" t="str">
        <f>HYPERLINK("https://www.773grp.com/globalSearch/NTK3142PT1G/page-1", "NTK3142PT1G")</f>
        <v>NTK3142PT1G</v>
      </c>
      <c r="B2197" s="3" t="str">
        <f>HYPERLINK("https://www.773grp.com/manufacturer/onsemi?pageNo=848", "Onsemi")</f>
        <v>Onsemi</v>
      </c>
      <c r="C2197" s="6">
        <v>72510</v>
      </c>
      <c r="D2197" s="7">
        <v>0.38</v>
      </c>
      <c r="E2197" t="s">
        <v>85</v>
      </c>
    </row>
    <row r="2198" spans="1:5" x14ac:dyDescent="0.25">
      <c r="A2198" t="str">
        <f>HYPERLINK("https://www.773grp.com/globalSearch/NTK3142PT5G/page-1", "NTK3142PT5G")</f>
        <v>NTK3142PT5G</v>
      </c>
      <c r="B2198" s="3" t="str">
        <f>HYPERLINK("https://www.773grp.com/manufacturer/onsemi?pageNo=849", "Onsemi")</f>
        <v>Onsemi</v>
      </c>
      <c r="C2198" s="6">
        <v>176000</v>
      </c>
      <c r="D2198" s="7">
        <v>0.38</v>
      </c>
      <c r="E2198" t="s">
        <v>85</v>
      </c>
    </row>
    <row r="2199" spans="1:5" x14ac:dyDescent="0.25">
      <c r="A2199" t="str">
        <f>HYPERLINK("https://www.773grp.com/globalSearch/NTR0202PLT1G/page-1", "NTR0202PLT1G")</f>
        <v>NTR0202PLT1G</v>
      </c>
      <c r="B2199" s="3" t="str">
        <f>HYPERLINK("https://www.773grp.com/manufacturer/onsemi?pageNo=850", "Onsemi")</f>
        <v>Onsemi</v>
      </c>
      <c r="C2199" s="6">
        <v>275590</v>
      </c>
      <c r="D2199" s="7">
        <v>0.38</v>
      </c>
      <c r="E2199" t="s">
        <v>85</v>
      </c>
    </row>
    <row r="2200" spans="1:5" x14ac:dyDescent="0.25">
      <c r="A2200" t="str">
        <f>HYPERLINK("https://www.773grp.com/globalSearch/NTR4170NT1G/page-1", "NTR4170NT1G")</f>
        <v>NTR4170NT1G</v>
      </c>
      <c r="B2200" s="3" t="str">
        <f>HYPERLINK("https://www.773grp.com/manufacturer/onsemi?pageNo=851", "Onsemi")</f>
        <v>Onsemi</v>
      </c>
      <c r="C2200" s="6">
        <v>51000</v>
      </c>
      <c r="D2200" s="7">
        <v>0.38</v>
      </c>
    </row>
    <row r="2201" spans="1:5" x14ac:dyDescent="0.25">
      <c r="A2201" t="str">
        <f>HYPERLINK("https://www.773grp.com/globalSearch/NTR4171PT1G/page-1", "NTR4171PT1G")</f>
        <v>NTR4171PT1G</v>
      </c>
      <c r="B2201" s="3" t="str">
        <f>HYPERLINK("https://www.773grp.com/manufacturer/onsemi?pageNo=852", "Onsemi")</f>
        <v>Onsemi</v>
      </c>
      <c r="C2201" s="6">
        <v>240000</v>
      </c>
      <c r="D2201" s="7">
        <v>0.38</v>
      </c>
      <c r="E2201" t="s">
        <v>85</v>
      </c>
    </row>
    <row r="2202" spans="1:5" x14ac:dyDescent="0.25">
      <c r="A2202" t="str">
        <f>HYPERLINK("https://www.773grp.com/globalSearch/NTS4101PT1H/page-1", "NTS4101PT1H")</f>
        <v>NTS4101PT1H</v>
      </c>
      <c r="B2202" s="3" t="str">
        <f>HYPERLINK("https://www.773grp.com/manufacturer/onsemi?pageNo=853", "Onsemi")</f>
        <v>Onsemi</v>
      </c>
      <c r="C2202" s="6">
        <v>360000</v>
      </c>
      <c r="D2202" s="7">
        <v>0.38</v>
      </c>
    </row>
    <row r="2203" spans="1:5" x14ac:dyDescent="0.25">
      <c r="A2203" t="str">
        <f>HYPERLINK("https://www.773grp.com/globalSearch/NUF2220XV6T1G/page-1", "NUF2220XV6T1G")</f>
        <v>NUF2220XV6T1G</v>
      </c>
      <c r="B2203" s="3" t="str">
        <f>HYPERLINK("https://www.773grp.com/manufacturer/onsemi?pageNo=854", "Onsemi")</f>
        <v>Onsemi</v>
      </c>
      <c r="C2203" s="6">
        <v>137222</v>
      </c>
      <c r="D2203" s="7">
        <v>0.38</v>
      </c>
      <c r="E2203" t="s">
        <v>79</v>
      </c>
    </row>
    <row r="2204" spans="1:5" x14ac:dyDescent="0.25">
      <c r="A2204" t="str">
        <f>HYPERLINK("https://www.773grp.com/globalSearch/NUF2240W1T1G/page-1", "NUF2240W1T1G")</f>
        <v>NUF2240W1T1G</v>
      </c>
      <c r="B2204" s="3" t="str">
        <f>HYPERLINK("https://www.773grp.com/manufacturer/onsemi?pageNo=855", "Onsemi")</f>
        <v>Onsemi</v>
      </c>
      <c r="C2204" s="6">
        <v>6000</v>
      </c>
      <c r="D2204" s="7">
        <v>0.38</v>
      </c>
      <c r="E2204" t="s">
        <v>79</v>
      </c>
    </row>
    <row r="2205" spans="1:5" x14ac:dyDescent="0.25">
      <c r="A2205" t="str">
        <f>HYPERLINK("https://www.773grp.com/globalSearch/NUP2114UPXV5T1G/page-1", "NUP2114UPXV5T1G")</f>
        <v>NUP2114UPXV5T1G</v>
      </c>
      <c r="B2205" s="3" t="str">
        <f>HYPERLINK("https://www.773grp.com/manufacturer/onsemi?pageNo=856", "Onsemi")</f>
        <v>Onsemi</v>
      </c>
      <c r="C2205" s="6">
        <v>20000</v>
      </c>
      <c r="D2205" s="7">
        <v>0.38</v>
      </c>
    </row>
    <row r="2206" spans="1:5" x14ac:dyDescent="0.25">
      <c r="A2206" t="str">
        <f>HYPERLINK("https://www.773grp.com/globalSearch/NUP4114UCW1T2G/page-1", "NUP4114UCW1T2G")</f>
        <v>NUP4114UCW1T2G</v>
      </c>
      <c r="B2206" s="3" t="str">
        <f>HYPERLINK("https://www.773grp.com/manufacturer/onsemi?pageNo=857", "Onsemi")</f>
        <v>Onsemi</v>
      </c>
      <c r="C2206" s="6">
        <v>6000</v>
      </c>
      <c r="D2206" s="7">
        <v>0.38</v>
      </c>
      <c r="E2206" t="s">
        <v>75</v>
      </c>
    </row>
    <row r="2207" spans="1:5" x14ac:dyDescent="0.25">
      <c r="A2207" t="str">
        <f>HYPERLINK("https://www.773grp.com/globalSearch/NUP5120X6T1G/page-1", "NUP5120X6T1G")</f>
        <v>NUP5120X6T1G</v>
      </c>
      <c r="B2207" s="3" t="str">
        <f>HYPERLINK("https://www.773grp.com/manufacturer/onsemi?pageNo=858", "Onsemi")</f>
        <v>Onsemi</v>
      </c>
      <c r="C2207" s="6">
        <v>1719009</v>
      </c>
      <c r="D2207" s="7">
        <v>0.38</v>
      </c>
      <c r="E2207" t="s">
        <v>75</v>
      </c>
    </row>
    <row r="2208" spans="1:5" x14ac:dyDescent="0.25">
      <c r="A2208" t="str">
        <f>HYPERLINK("https://www.773grp.com/globalSearch/NUP5120X6T2G/page-1", "NUP5120X6T2G")</f>
        <v>NUP5120X6T2G</v>
      </c>
      <c r="B2208" s="3" t="str">
        <f>HYPERLINK("https://www.773grp.com/manufacturer/onsemi?pageNo=859", "Onsemi")</f>
        <v>Onsemi</v>
      </c>
      <c r="C2208" s="6">
        <v>231985</v>
      </c>
      <c r="D2208" s="7">
        <v>0.38</v>
      </c>
      <c r="E2208" t="s">
        <v>75</v>
      </c>
    </row>
    <row r="2209" spans="1:5" x14ac:dyDescent="0.25">
      <c r="A2209" t="str">
        <f>HYPERLINK("https://www.773grp.com/globalSearch/NZQA5V6AXV5T1G/page-1", "NZQA5V6AXV5T1G")</f>
        <v>NZQA5V6AXV5T1G</v>
      </c>
      <c r="B2209" s="3" t="str">
        <f>HYPERLINK("https://www.773grp.com/manufacturer/onsemi?pageNo=860", "Onsemi")</f>
        <v>Onsemi</v>
      </c>
      <c r="C2209" s="6">
        <v>496500</v>
      </c>
      <c r="D2209" s="7">
        <v>0.38</v>
      </c>
      <c r="E2209" t="s">
        <v>75</v>
      </c>
    </row>
    <row r="2210" spans="1:5" x14ac:dyDescent="0.25">
      <c r="A2210" t="str">
        <f>HYPERLINK("https://www.773grp.com/globalSearch/NZQA6V2XV5T1/page-1", "NZQA6V2XV5T1")</f>
        <v>NZQA6V2XV5T1</v>
      </c>
      <c r="B2210" s="3" t="str">
        <f>HYPERLINK("https://www.773grp.com/manufacturer/onsemi?pageNo=861", "Onsemi")</f>
        <v>Onsemi</v>
      </c>
      <c r="C2210" s="6">
        <v>8000</v>
      </c>
      <c r="D2210" s="7">
        <v>0.38</v>
      </c>
      <c r="E2210" t="s">
        <v>75</v>
      </c>
    </row>
    <row r="2211" spans="1:5" x14ac:dyDescent="0.25">
      <c r="A2211" t="str">
        <f>HYPERLINK("https://www.773grp.com/globalSearch/NZQA6V8XV5T1/page-1", "NZQA6V8XV5T1")</f>
        <v>NZQA6V8XV5T1</v>
      </c>
      <c r="B2211" s="3" t="str">
        <f>HYPERLINK("https://www.773grp.com/manufacturer/onsemi?pageNo=862", "Onsemi")</f>
        <v>Onsemi</v>
      </c>
      <c r="C2211" s="6">
        <v>3885</v>
      </c>
      <c r="D2211" s="7">
        <v>0.38</v>
      </c>
      <c r="E2211" t="s">
        <v>75</v>
      </c>
    </row>
    <row r="2212" spans="1:5" x14ac:dyDescent="0.25">
      <c r="A2212" t="str">
        <f>HYPERLINK("https://www.773grp.com/globalSearch/P6KE10CA/page-1", "P6KE10CA")</f>
        <v>P6KE10CA</v>
      </c>
      <c r="B2212" s="3" t="str">
        <f>HYPERLINK("https://www.773grp.com/manufacturer/onsemi?pageNo=863", "Onsemi")</f>
        <v>Onsemi</v>
      </c>
      <c r="C2212" s="6">
        <v>51567</v>
      </c>
      <c r="D2212" s="7">
        <v>0.38</v>
      </c>
      <c r="E2212" t="s">
        <v>75</v>
      </c>
    </row>
    <row r="2213" spans="1:5" x14ac:dyDescent="0.25">
      <c r="A2213" t="str">
        <f>HYPERLINK("https://www.773grp.com/globalSearch/P6KE130CA/page-1", "P6KE130CA")</f>
        <v>P6KE130CA</v>
      </c>
      <c r="B2213" s="3" t="str">
        <f>HYPERLINK("https://www.773grp.com/manufacturer/onsemi?pageNo=864", "Onsemi")</f>
        <v>Onsemi</v>
      </c>
      <c r="C2213" s="6">
        <v>300</v>
      </c>
      <c r="D2213" s="7">
        <v>0.38</v>
      </c>
      <c r="E2213" t="s">
        <v>75</v>
      </c>
    </row>
    <row r="2214" spans="1:5" x14ac:dyDescent="0.25">
      <c r="A2214" t="str">
        <f>HYPERLINK("https://www.773grp.com/globalSearch/P6KE13CARL/page-1", "P6KE13CARL")</f>
        <v>P6KE13CARL</v>
      </c>
      <c r="B2214" s="3" t="str">
        <f>HYPERLINK("https://www.773grp.com/manufacturer/onsemi?pageNo=865", "Onsemi")</f>
        <v>Onsemi</v>
      </c>
      <c r="C2214" s="6">
        <v>4000</v>
      </c>
      <c r="D2214" s="7">
        <v>0.38</v>
      </c>
      <c r="E2214" t="s">
        <v>75</v>
      </c>
    </row>
    <row r="2215" spans="1:5" x14ac:dyDescent="0.25">
      <c r="A2215" t="str">
        <f>HYPERLINK("https://www.773grp.com/globalSearch/P6KE16ARLG/page-1", "P6KE16ARLG")</f>
        <v>P6KE16ARLG</v>
      </c>
      <c r="B2215" s="3" t="str">
        <f>HYPERLINK("https://www.773grp.com/manufacturer/onsemi?pageNo=866", "Onsemi")</f>
        <v>Onsemi</v>
      </c>
      <c r="C2215" s="6">
        <v>28000</v>
      </c>
      <c r="D2215" s="7">
        <v>0.38</v>
      </c>
      <c r="E2215" t="s">
        <v>75</v>
      </c>
    </row>
    <row r="2216" spans="1:5" x14ac:dyDescent="0.25">
      <c r="A2216" t="str">
        <f>HYPERLINK("https://www.773grp.com/globalSearch/P6KE16CA/page-1", "P6KE16CA")</f>
        <v>P6KE16CA</v>
      </c>
      <c r="B2216" s="3" t="str">
        <f>HYPERLINK("https://www.773grp.com/manufacturer/onsemi?pageNo=867", "Onsemi")</f>
        <v>Onsemi</v>
      </c>
      <c r="C2216" s="6">
        <v>12000</v>
      </c>
      <c r="D2216" s="7">
        <v>0.38</v>
      </c>
      <c r="E2216" t="s">
        <v>75</v>
      </c>
    </row>
    <row r="2217" spans="1:5" x14ac:dyDescent="0.25">
      <c r="A2217" t="str">
        <f>HYPERLINK("https://www.773grp.com/globalSearch/P6KE16CARL/page-1", "P6KE16CARL")</f>
        <v>P6KE16CARL</v>
      </c>
      <c r="B2217" s="3" t="str">
        <f>HYPERLINK("https://www.773grp.com/manufacturer/onsemi?pageNo=868", "Onsemi")</f>
        <v>Onsemi</v>
      </c>
      <c r="C2217" s="6">
        <v>36000</v>
      </c>
      <c r="D2217" s="7">
        <v>0.38</v>
      </c>
      <c r="E2217" t="s">
        <v>75</v>
      </c>
    </row>
    <row r="2218" spans="1:5" x14ac:dyDescent="0.25">
      <c r="A2218" t="str">
        <f>HYPERLINK("https://www.773grp.com/globalSearch/P6KE18CA/page-1", "P6KE18CA")</f>
        <v>P6KE18CA</v>
      </c>
      <c r="B2218" s="3" t="str">
        <f>HYPERLINK("https://www.773grp.com/manufacturer/onsemi?pageNo=869", "Onsemi")</f>
        <v>Onsemi</v>
      </c>
      <c r="C2218" s="6">
        <v>3780</v>
      </c>
      <c r="D2218" s="7">
        <v>0.38</v>
      </c>
      <c r="E2218" t="s">
        <v>75</v>
      </c>
    </row>
    <row r="2219" spans="1:5" x14ac:dyDescent="0.25">
      <c r="A2219" t="str">
        <f>HYPERLINK("https://www.773grp.com/globalSearch/P6KE200BRL/page-1", "P6KE200BRL")</f>
        <v>P6KE200BRL</v>
      </c>
      <c r="B2219" s="3" t="str">
        <f>HYPERLINK("https://www.773grp.com/manufacturer/onsemi?pageNo=870", "Onsemi")</f>
        <v>Onsemi</v>
      </c>
      <c r="C2219" s="6">
        <v>49980</v>
      </c>
      <c r="D2219" s="7">
        <v>0.38</v>
      </c>
      <c r="E2219" t="s">
        <v>75</v>
      </c>
    </row>
    <row r="2220" spans="1:5" x14ac:dyDescent="0.25">
      <c r="A2220" t="str">
        <f>HYPERLINK("https://www.773grp.com/globalSearch/P6KE20ARLG/page-1", "P6KE20ARLG")</f>
        <v>P6KE20ARLG</v>
      </c>
      <c r="B2220" s="3" t="str">
        <f>HYPERLINK("https://www.773grp.com/manufacturer/onsemi?pageNo=871", "Onsemi")</f>
        <v>Onsemi</v>
      </c>
      <c r="C2220" s="6">
        <v>31010</v>
      </c>
      <c r="D2220" s="7">
        <v>0.38</v>
      </c>
      <c r="E2220" t="s">
        <v>75</v>
      </c>
    </row>
    <row r="2221" spans="1:5" x14ac:dyDescent="0.25">
      <c r="A2221" t="str">
        <f>HYPERLINK("https://www.773grp.com/globalSearch/P6KE22CARL/page-1", "P6KE22CARL")</f>
        <v>P6KE22CARL</v>
      </c>
      <c r="B2221" s="3" t="str">
        <f>HYPERLINK("https://www.773grp.com/manufacturer/onsemi?pageNo=872", "Onsemi")</f>
        <v>Onsemi</v>
      </c>
      <c r="C2221" s="6">
        <v>12000</v>
      </c>
      <c r="D2221" s="7">
        <v>0.38</v>
      </c>
      <c r="E2221" t="s">
        <v>75</v>
      </c>
    </row>
    <row r="2222" spans="1:5" x14ac:dyDescent="0.25">
      <c r="A2222" t="str">
        <f>HYPERLINK("https://www.773grp.com/globalSearch/P6KE24AG/page-1", "P6KE24AG")</f>
        <v>P6KE24AG</v>
      </c>
      <c r="B2222" s="3" t="str">
        <f>HYPERLINK("https://www.773grp.com/manufacturer/onsemi?pageNo=873", "Onsemi")</f>
        <v>Onsemi</v>
      </c>
      <c r="C2222" s="6">
        <v>28998</v>
      </c>
      <c r="D2222" s="7">
        <v>0.38</v>
      </c>
      <c r="E2222" t="s">
        <v>75</v>
      </c>
    </row>
    <row r="2223" spans="1:5" x14ac:dyDescent="0.25">
      <c r="A2223" t="str">
        <f>HYPERLINK("https://www.773grp.com/globalSearch/P6KE27ARLG/page-1", "P6KE27ARLG")</f>
        <v>P6KE27ARLG</v>
      </c>
      <c r="B2223" s="3" t="str">
        <f>HYPERLINK("https://www.773grp.com/manufacturer/onsemi?pageNo=874", "Onsemi")</f>
        <v>Onsemi</v>
      </c>
      <c r="C2223" s="6">
        <v>36000</v>
      </c>
      <c r="D2223" s="7">
        <v>0.38</v>
      </c>
      <c r="E2223" t="s">
        <v>75</v>
      </c>
    </row>
    <row r="2224" spans="1:5" x14ac:dyDescent="0.25">
      <c r="A2224" t="str">
        <f>HYPERLINK("https://www.773grp.com/globalSearch/P6KE30CARL/page-1", "P6KE30CARL")</f>
        <v>P6KE30CARL</v>
      </c>
      <c r="B2224" s="3" t="str">
        <f>HYPERLINK("https://www.773grp.com/manufacturer/onsemi?pageNo=875", "Onsemi")</f>
        <v>Onsemi</v>
      </c>
      <c r="C2224" s="6">
        <v>40000</v>
      </c>
      <c r="D2224" s="7">
        <v>0.38</v>
      </c>
      <c r="E2224" t="s">
        <v>75</v>
      </c>
    </row>
    <row r="2225" spans="1:5" x14ac:dyDescent="0.25">
      <c r="A2225" t="str">
        <f>HYPERLINK("https://www.773grp.com/globalSearch/P6KE33CA/page-1", "P6KE33CA")</f>
        <v>P6KE33CA</v>
      </c>
      <c r="B2225" s="3" t="str">
        <f>HYPERLINK("https://www.773grp.com/manufacturer/onsemi?pageNo=876", "Onsemi")</f>
        <v>Onsemi</v>
      </c>
      <c r="C2225" s="6">
        <v>16878</v>
      </c>
      <c r="D2225" s="7">
        <v>0.38</v>
      </c>
      <c r="E2225" t="s">
        <v>75</v>
      </c>
    </row>
    <row r="2226" spans="1:5" x14ac:dyDescent="0.25">
      <c r="A2226" t="str">
        <f>HYPERLINK("https://www.773grp.com/globalSearch/P6KE36CARL/page-1", "P6KE36CARL")</f>
        <v>P6KE36CARL</v>
      </c>
      <c r="B2226" s="3" t="str">
        <f>HYPERLINK("https://www.773grp.com/manufacturer/onsemi?pageNo=877", "Onsemi")</f>
        <v>Onsemi</v>
      </c>
      <c r="C2226" s="6">
        <v>20000</v>
      </c>
      <c r="D2226" s="7">
        <v>0.38</v>
      </c>
      <c r="E2226" t="s">
        <v>75</v>
      </c>
    </row>
    <row r="2227" spans="1:5" x14ac:dyDescent="0.25">
      <c r="A2227" t="str">
        <f>HYPERLINK("https://www.773grp.com/globalSearch/P6KE39CA/page-1", "P6KE39CA")</f>
        <v>P6KE39CA</v>
      </c>
      <c r="B2227" s="3" t="str">
        <f>HYPERLINK("https://www.773grp.com/manufacturer/onsemi?pageNo=878", "Onsemi")</f>
        <v>Onsemi</v>
      </c>
      <c r="C2227" s="6">
        <v>43000</v>
      </c>
      <c r="D2227" s="7">
        <v>0.38</v>
      </c>
      <c r="E2227" t="s">
        <v>75</v>
      </c>
    </row>
    <row r="2228" spans="1:5" x14ac:dyDescent="0.25">
      <c r="A2228" t="str">
        <f>HYPERLINK("https://www.773grp.com/globalSearch/P6KE47CARL/page-1", "P6KE47CARL")</f>
        <v>P6KE47CARL</v>
      </c>
      <c r="B2228" s="3" t="str">
        <f>HYPERLINK("https://www.773grp.com/manufacturer/onsemi?pageNo=879", "Onsemi")</f>
        <v>Onsemi</v>
      </c>
      <c r="C2228" s="6">
        <v>95000</v>
      </c>
      <c r="D2228" s="7">
        <v>0.38</v>
      </c>
      <c r="E2228" t="s">
        <v>75</v>
      </c>
    </row>
    <row r="2229" spans="1:5" x14ac:dyDescent="0.25">
      <c r="A2229" t="str">
        <f>HYPERLINK("https://www.773grp.com/globalSearch/P6KE51CARL/page-1", "P6KE51CARL")</f>
        <v>P6KE51CARL</v>
      </c>
      <c r="B2229" s="3" t="str">
        <f>HYPERLINK("https://www.773grp.com/manufacturer/onsemi?pageNo=880", "Onsemi")</f>
        <v>Onsemi</v>
      </c>
      <c r="C2229" s="6">
        <v>20000</v>
      </c>
      <c r="D2229" s="7">
        <v>0.38</v>
      </c>
      <c r="E2229" t="s">
        <v>75</v>
      </c>
    </row>
    <row r="2230" spans="1:5" x14ac:dyDescent="0.25">
      <c r="A2230" t="str">
        <f>HYPERLINK("https://www.773grp.com/globalSearch/P6KE6.8CA/page-1", "P6KE6.8CA")</f>
        <v>P6KE6.8CA</v>
      </c>
      <c r="B2230" s="3" t="str">
        <f>HYPERLINK("https://www.773grp.com/manufacturer/onsemi?pageNo=881", "Onsemi")</f>
        <v>Onsemi</v>
      </c>
      <c r="C2230" s="6">
        <v>79875</v>
      </c>
      <c r="D2230" s="7">
        <v>0.38</v>
      </c>
      <c r="E2230" t="s">
        <v>75</v>
      </c>
    </row>
    <row r="2231" spans="1:5" x14ac:dyDescent="0.25">
      <c r="A2231" t="str">
        <f>HYPERLINK("https://www.773grp.com/globalSearch/P6KE6.8CARL/page-1", "P6KE6.8CARL")</f>
        <v>P6KE6.8CARL</v>
      </c>
      <c r="B2231" s="3" t="str">
        <f>HYPERLINK("https://www.773grp.com/manufacturer/onsemi?pageNo=882", "Onsemi")</f>
        <v>Onsemi</v>
      </c>
      <c r="C2231" s="6">
        <v>20000</v>
      </c>
      <c r="D2231" s="7">
        <v>0.38</v>
      </c>
      <c r="E2231" t="s">
        <v>75</v>
      </c>
    </row>
    <row r="2232" spans="1:5" x14ac:dyDescent="0.25">
      <c r="A2232" t="str">
        <f>HYPERLINK("https://www.773grp.com/globalSearch/P6KE62ARLG/page-1", "P6KE62ARLG")</f>
        <v>P6KE62ARLG</v>
      </c>
      <c r="B2232" s="3" t="str">
        <f>HYPERLINK("https://www.773grp.com/manufacturer/onsemi?pageNo=883", "Onsemi")</f>
        <v>Onsemi</v>
      </c>
      <c r="C2232" s="6">
        <v>24734</v>
      </c>
      <c r="D2232" s="7">
        <v>0.38</v>
      </c>
      <c r="E2232" t="s">
        <v>75</v>
      </c>
    </row>
    <row r="2233" spans="1:5" x14ac:dyDescent="0.25">
      <c r="A2233" t="str">
        <f>HYPERLINK("https://www.773grp.com/globalSearch/P6KE62CA/page-1", "P6KE62CA")</f>
        <v>P6KE62CA</v>
      </c>
      <c r="B2233" s="3" t="str">
        <f>HYPERLINK("https://www.773grp.com/manufacturer/onsemi?pageNo=884", "Onsemi")</f>
        <v>Onsemi</v>
      </c>
      <c r="C2233" s="6">
        <v>1000</v>
      </c>
      <c r="D2233" s="7">
        <v>0.38</v>
      </c>
      <c r="E2233" t="s">
        <v>75</v>
      </c>
    </row>
    <row r="2234" spans="1:5" x14ac:dyDescent="0.25">
      <c r="A2234" t="str">
        <f>HYPERLINK("https://www.773grp.com/globalSearch/P6KE75ARLG/page-1", "P6KE75ARLG")</f>
        <v>P6KE75ARLG</v>
      </c>
      <c r="B2234" s="3" t="str">
        <f>HYPERLINK("https://www.773grp.com/manufacturer/onsemi?pageNo=885", "Onsemi")</f>
        <v>Onsemi</v>
      </c>
      <c r="C2234" s="6">
        <v>79850</v>
      </c>
      <c r="D2234" s="7">
        <v>0.38</v>
      </c>
      <c r="E2234" t="s">
        <v>75</v>
      </c>
    </row>
    <row r="2235" spans="1:5" x14ac:dyDescent="0.25">
      <c r="A2235" t="str">
        <f>HYPERLINK("https://www.773grp.com/globalSearch/P6KE8.2CA/page-1", "P6KE8.2CA")</f>
        <v>P6KE8.2CA</v>
      </c>
      <c r="B2235" s="3" t="str">
        <f>HYPERLINK("https://www.773grp.com/manufacturer/onsemi?pageNo=886", "Onsemi")</f>
        <v>Onsemi</v>
      </c>
      <c r="C2235" s="6">
        <v>470</v>
      </c>
      <c r="D2235" s="7">
        <v>0.38</v>
      </c>
      <c r="E2235" t="s">
        <v>75</v>
      </c>
    </row>
    <row r="2236" spans="1:5" x14ac:dyDescent="0.25">
      <c r="A2236" t="str">
        <f>HYPERLINK("https://www.773grp.com/globalSearch/P6KE82ARLG/page-1", "P6KE82ARLG")</f>
        <v>P6KE82ARLG</v>
      </c>
      <c r="B2236" s="3" t="str">
        <f>HYPERLINK("https://www.773grp.com/manufacturer/onsemi?pageNo=887", "Onsemi")</f>
        <v>Onsemi</v>
      </c>
      <c r="C2236" s="6">
        <v>8000</v>
      </c>
      <c r="D2236" s="7">
        <v>0.38</v>
      </c>
      <c r="E2236" t="s">
        <v>75</v>
      </c>
    </row>
    <row r="2237" spans="1:5" x14ac:dyDescent="0.25">
      <c r="A2237" t="str">
        <f>HYPERLINK("https://www.773grp.com/globalSearch/P6KE9.1CARL/page-1", "P6KE9.1CARL")</f>
        <v>P6KE9.1CARL</v>
      </c>
      <c r="B2237" s="3" t="str">
        <f>HYPERLINK("https://www.773grp.com/manufacturer/onsemi?pageNo=888", "Onsemi")</f>
        <v>Onsemi</v>
      </c>
      <c r="C2237" s="6">
        <v>12000</v>
      </c>
      <c r="D2237" s="7">
        <v>0.38</v>
      </c>
      <c r="E2237" t="s">
        <v>75</v>
      </c>
    </row>
    <row r="2238" spans="1:5" x14ac:dyDescent="0.25">
      <c r="A2238" t="str">
        <f>HYPERLINK("https://www.773grp.com/globalSearch/P6KE91ARLG/page-1", "P6KE91ARLG")</f>
        <v>P6KE91ARLG</v>
      </c>
      <c r="B2238" s="3" t="str">
        <f>HYPERLINK("https://www.773grp.com/manufacturer/onsemi?pageNo=889", "Onsemi")</f>
        <v>Onsemi</v>
      </c>
      <c r="C2238" s="6">
        <v>989</v>
      </c>
      <c r="D2238" s="7">
        <v>0.38</v>
      </c>
    </row>
    <row r="2239" spans="1:5" x14ac:dyDescent="0.25">
      <c r="A2239" t="str">
        <f>HYPERLINK("https://www.773grp.com/globalSearch/PN2222AG/page-1", "PN2222AG")</f>
        <v>PN2222AG</v>
      </c>
      <c r="B2239" s="3" t="str">
        <f>HYPERLINK("https://www.773grp.com/manufacturer/onsemi?pageNo=890", "Onsemi")</f>
        <v>Onsemi</v>
      </c>
      <c r="C2239" s="6">
        <v>45700</v>
      </c>
      <c r="D2239" s="7">
        <v>0.38</v>
      </c>
      <c r="E2239" t="s">
        <v>57</v>
      </c>
    </row>
    <row r="2240" spans="1:5" x14ac:dyDescent="0.25">
      <c r="A2240" t="str">
        <f>HYPERLINK("https://www.773grp.com/globalSearch/PN2222ARLRAG/page-1", "PN2222ARLRAG")</f>
        <v>PN2222ARLRAG</v>
      </c>
      <c r="B2240" s="3" t="str">
        <f>HYPERLINK("https://www.773grp.com/manufacturer/onsemi?pageNo=891", "Onsemi")</f>
        <v>Onsemi</v>
      </c>
      <c r="C2240" s="6">
        <v>148000</v>
      </c>
      <c r="D2240" s="7">
        <v>0.38</v>
      </c>
      <c r="E2240" t="s">
        <v>57</v>
      </c>
    </row>
    <row r="2241" spans="1:5" x14ac:dyDescent="0.25">
      <c r="A2241" t="str">
        <f>HYPERLINK("https://www.773grp.com/globalSearch/PN2222ARLRMG/page-1", "PN2222ARLRMG")</f>
        <v>PN2222ARLRMG</v>
      </c>
      <c r="B2241" s="3" t="str">
        <f>HYPERLINK("https://www.773grp.com/manufacturer/onsemi?pageNo=892", "Onsemi")</f>
        <v>Onsemi</v>
      </c>
      <c r="C2241" s="6">
        <v>4000</v>
      </c>
      <c r="D2241" s="7">
        <v>0.38</v>
      </c>
      <c r="E2241" t="s">
        <v>57</v>
      </c>
    </row>
    <row r="2242" spans="1:5" x14ac:dyDescent="0.25">
      <c r="A2242" t="str">
        <f>HYPERLINK("https://www.773grp.com/globalSearch/PN2222ARLRPG/page-1", "PN2222ARLRPG")</f>
        <v>PN2222ARLRPG</v>
      </c>
      <c r="B2242" s="3" t="str">
        <f>HYPERLINK("https://www.773grp.com/manufacturer/onsemi?pageNo=893", "Onsemi")</f>
        <v>Onsemi</v>
      </c>
      <c r="C2242" s="6">
        <v>86000</v>
      </c>
      <c r="D2242" s="7">
        <v>0.38</v>
      </c>
      <c r="E2242" t="s">
        <v>57</v>
      </c>
    </row>
    <row r="2243" spans="1:5" x14ac:dyDescent="0.25">
      <c r="A2243" t="str">
        <f>HYPERLINK("https://www.773grp.com/globalSearch/PZT2907AT1G/page-1", "PZT2907AT1G")</f>
        <v>PZT2907AT1G</v>
      </c>
      <c r="B2243" s="3" t="str">
        <f>HYPERLINK("https://www.773grp.com/manufacturer/onsemi?pageNo=894", "Onsemi")</f>
        <v>Onsemi</v>
      </c>
      <c r="C2243" s="6">
        <v>4014</v>
      </c>
      <c r="D2243" s="7">
        <v>0.38</v>
      </c>
      <c r="E2243" t="s">
        <v>57</v>
      </c>
    </row>
    <row r="2244" spans="1:5" x14ac:dyDescent="0.25">
      <c r="A2244" t="str">
        <f>HYPERLINK("https://www.773grp.com/globalSearch/PZT2907AT3G/page-1", "PZT2907AT3G")</f>
        <v>PZT2907AT3G</v>
      </c>
      <c r="B2244" s="3" t="str">
        <f>HYPERLINK("https://www.773grp.com/manufacturer/onsemi?pageNo=895", "Onsemi")</f>
        <v>Onsemi</v>
      </c>
      <c r="C2244" s="6">
        <v>2525</v>
      </c>
      <c r="D2244" s="7">
        <v>0.38</v>
      </c>
      <c r="E2244" t="s">
        <v>57</v>
      </c>
    </row>
    <row r="2245" spans="1:5" x14ac:dyDescent="0.25">
      <c r="A2245" t="str">
        <f>HYPERLINK("https://www.773grp.com/globalSearch/PZT3904T1G/page-1", "PZT3904T1G")</f>
        <v>PZT3904T1G</v>
      </c>
      <c r="B2245" s="3" t="str">
        <f>HYPERLINK("https://www.773grp.com/manufacturer/onsemi?pageNo=896", "Onsemi")</f>
        <v>Onsemi</v>
      </c>
      <c r="C2245" s="6">
        <v>666142</v>
      </c>
      <c r="D2245" s="7">
        <v>0.38</v>
      </c>
      <c r="E2245" t="s">
        <v>57</v>
      </c>
    </row>
    <row r="2246" spans="1:5" x14ac:dyDescent="0.25">
      <c r="A2246" t="str">
        <f>HYPERLINK("https://www.773grp.com/globalSearch/RB751V40T1G/page-1", "RB751V40T1G")</f>
        <v>RB751V40T1G</v>
      </c>
      <c r="B2246" s="3" t="str">
        <f>HYPERLINK("https://www.773grp.com/manufacturer/onsemi?pageNo=897", "Onsemi")</f>
        <v>Onsemi</v>
      </c>
      <c r="C2246" s="6">
        <v>2350794</v>
      </c>
      <c r="D2246" s="7">
        <v>0.38</v>
      </c>
      <c r="E2246" t="s">
        <v>73</v>
      </c>
    </row>
    <row r="2247" spans="1:5" x14ac:dyDescent="0.25">
      <c r="A2247" t="str">
        <f>HYPERLINK("https://www.773grp.com/globalSearch/SA11ARLG/page-1", "SA11ARLG")</f>
        <v>SA11ARLG</v>
      </c>
      <c r="B2247" s="3" t="str">
        <f>HYPERLINK("https://www.773grp.com/manufacturer/onsemi?pageNo=898", "Onsemi")</f>
        <v>Onsemi</v>
      </c>
      <c r="C2247" s="6">
        <v>10000</v>
      </c>
      <c r="D2247" s="7">
        <v>0.38</v>
      </c>
      <c r="E2247" t="s">
        <v>75</v>
      </c>
    </row>
    <row r="2248" spans="1:5" x14ac:dyDescent="0.25">
      <c r="A2248" t="str">
        <f>HYPERLINK("https://www.773grp.com/globalSearch/SA170A/page-1", "SA170A")</f>
        <v>SA170A</v>
      </c>
      <c r="B2248" s="3" t="str">
        <f>HYPERLINK("https://www.773grp.com/manufacturer/onsemi?pageNo=899", "Onsemi")</f>
        <v>Onsemi</v>
      </c>
      <c r="C2248" s="6">
        <v>14298</v>
      </c>
      <c r="D2248" s="7">
        <v>0.38</v>
      </c>
      <c r="E2248" t="s">
        <v>75</v>
      </c>
    </row>
    <row r="2249" spans="1:5" x14ac:dyDescent="0.25">
      <c r="A2249" t="str">
        <f>HYPERLINK("https://www.773grp.com/globalSearch/SA18A/page-1", "SA18A")</f>
        <v>SA18A</v>
      </c>
      <c r="B2249" s="3" t="str">
        <f>HYPERLINK("https://www.773grp.com/manufacturer/onsemi?pageNo=900", "Onsemi")</f>
        <v>Onsemi</v>
      </c>
      <c r="C2249" s="6">
        <v>21391</v>
      </c>
      <c r="D2249" s="7">
        <v>0.38</v>
      </c>
      <c r="E2249" t="s">
        <v>75</v>
      </c>
    </row>
    <row r="2250" spans="1:5" x14ac:dyDescent="0.25">
      <c r="A2250" t="str">
        <f>HYPERLINK("https://www.773grp.com/globalSearch/SA20A/page-1", "SA20A")</f>
        <v>SA20A</v>
      </c>
      <c r="B2250" s="3" t="str">
        <f>HYPERLINK("https://www.773grp.com/manufacturer/onsemi?pageNo=901", "Onsemi")</f>
        <v>Onsemi</v>
      </c>
      <c r="C2250" s="6">
        <v>24584</v>
      </c>
      <c r="D2250" s="7">
        <v>0.38</v>
      </c>
      <c r="E2250" t="s">
        <v>75</v>
      </c>
    </row>
    <row r="2251" spans="1:5" x14ac:dyDescent="0.25">
      <c r="A2251" t="str">
        <f>HYPERLINK("https://www.773grp.com/globalSearch/SC14S01FER/page-1", "SC14S01FER")</f>
        <v>SC14S01FER</v>
      </c>
      <c r="B2251" s="3" t="str">
        <f>HYPERLINK("https://www.773grp.com/manufacturer/onsemi?pageNo=902", "Onsemi")</f>
        <v>Onsemi</v>
      </c>
      <c r="C2251" s="6">
        <v>24000</v>
      </c>
      <c r="D2251" s="7">
        <v>0.38</v>
      </c>
    </row>
    <row r="2252" spans="1:5" x14ac:dyDescent="0.25">
      <c r="A2252" t="str">
        <f>HYPERLINK("https://www.773grp.com/globalSearch/SC14S11FEL/page-1", "SC14S11FEL")</f>
        <v>SC14S11FEL</v>
      </c>
      <c r="B2252" s="3" t="str">
        <f>HYPERLINK("https://www.773grp.com/manufacturer/onsemi?pageNo=903", "Onsemi")</f>
        <v>Onsemi</v>
      </c>
      <c r="C2252" s="6">
        <v>15000</v>
      </c>
      <c r="D2252" s="7">
        <v>0.38</v>
      </c>
    </row>
    <row r="2253" spans="1:5" x14ac:dyDescent="0.25">
      <c r="A2253" t="str">
        <f>HYPERLINK("https://www.773grp.com/globalSearch/SC14S11FER/page-1", "SC14S11FER")</f>
        <v>SC14S11FER</v>
      </c>
      <c r="B2253" s="3" t="str">
        <f>HYPERLINK("https://www.773grp.com/manufacturer/onsemi?pageNo=904", "Onsemi")</f>
        <v>Onsemi</v>
      </c>
      <c r="C2253" s="6">
        <v>15000</v>
      </c>
      <c r="D2253" s="7">
        <v>0.38</v>
      </c>
    </row>
    <row r="2254" spans="1:5" x14ac:dyDescent="0.25">
      <c r="A2254" t="str">
        <f>HYPERLINK("https://www.773grp.com/globalSearch/SC14S69FER/page-1", "SC14S69FER")</f>
        <v>SC14S69FER</v>
      </c>
      <c r="B2254" s="3" t="str">
        <f>HYPERLINK("https://www.773grp.com/manufacturer/onsemi?pageNo=905", "Onsemi")</f>
        <v>Onsemi</v>
      </c>
      <c r="C2254" s="6">
        <v>33000</v>
      </c>
      <c r="D2254" s="7">
        <v>0.38</v>
      </c>
    </row>
    <row r="2255" spans="1:5" x14ac:dyDescent="0.25">
      <c r="A2255" t="str">
        <f>HYPERLINK("https://www.773grp.com/globalSearch/SC14S71FEL/page-1", "SC14S71FEL")</f>
        <v>SC14S71FEL</v>
      </c>
      <c r="B2255" s="3" t="str">
        <f>HYPERLINK("https://www.773grp.com/manufacturer/onsemi?pageNo=906", "Onsemi")</f>
        <v>Onsemi</v>
      </c>
      <c r="C2255" s="6">
        <v>9000</v>
      </c>
      <c r="D2255" s="7">
        <v>0.38</v>
      </c>
    </row>
    <row r="2256" spans="1:5" x14ac:dyDescent="0.25">
      <c r="A2256" t="str">
        <f>HYPERLINK("https://www.773grp.com/globalSearch/SC14S71FER/page-1", "SC14S71FER")</f>
        <v>SC14S71FER</v>
      </c>
      <c r="B2256" s="3" t="str">
        <f>HYPERLINK("https://www.773grp.com/manufacturer/onsemi?pageNo=907", "Onsemi")</f>
        <v>Onsemi</v>
      </c>
      <c r="C2256" s="6">
        <v>9000</v>
      </c>
      <c r="D2256" s="7">
        <v>0.38</v>
      </c>
    </row>
    <row r="2257" spans="1:5" x14ac:dyDescent="0.25">
      <c r="A2257" t="str">
        <f>HYPERLINK("https://www.773grp.com/globalSearch/SC14S81FER/page-1", "SC14S81FER")</f>
        <v>SC14S81FER</v>
      </c>
      <c r="B2257" s="3" t="str">
        <f>HYPERLINK("https://www.773grp.com/manufacturer/onsemi?pageNo=908", "Onsemi")</f>
        <v>Onsemi</v>
      </c>
      <c r="C2257" s="6">
        <v>6000</v>
      </c>
      <c r="D2257" s="7">
        <v>0.38</v>
      </c>
    </row>
    <row r="2258" spans="1:5" x14ac:dyDescent="0.25">
      <c r="A2258" t="str">
        <f>HYPERLINK("https://www.773grp.com/globalSearch/SC14SU69FEL/page-1", "SC14SU69FEL")</f>
        <v>SC14SU69FEL</v>
      </c>
      <c r="B2258" s="3" t="str">
        <f>HYPERLINK("https://www.773grp.com/manufacturer/onsemi?pageNo=909", "Onsemi")</f>
        <v>Onsemi</v>
      </c>
      <c r="C2258" s="6">
        <v>120000</v>
      </c>
      <c r="D2258" s="7">
        <v>0.38</v>
      </c>
    </row>
    <row r="2259" spans="1:5" x14ac:dyDescent="0.25">
      <c r="A2259" t="str">
        <f>HYPERLINK("https://www.773grp.com/globalSearch/SC14SU69FER/page-1", "SC14SU69FER")</f>
        <v>SC14SU69FER</v>
      </c>
      <c r="B2259" s="3" t="str">
        <f>HYPERLINK("https://www.773grp.com/manufacturer/onsemi?pageNo=910", "Onsemi")</f>
        <v>Onsemi</v>
      </c>
      <c r="C2259" s="6">
        <v>3000</v>
      </c>
      <c r="D2259" s="7">
        <v>0.38</v>
      </c>
    </row>
    <row r="2260" spans="1:5" x14ac:dyDescent="0.25">
      <c r="A2260" t="str">
        <f>HYPERLINK("https://www.773grp.com/globalSearch/SC2797PK32/page-1", "SC2797PK32")</f>
        <v>SC2797PK32</v>
      </c>
      <c r="B2260" s="3" t="str">
        <f>HYPERLINK("https://www.773grp.com/manufacturer/onsemi?pageNo=911", "Onsemi")</f>
        <v>Onsemi</v>
      </c>
      <c r="C2260" s="6">
        <v>12500</v>
      </c>
      <c r="D2260" s="7">
        <v>0.38</v>
      </c>
    </row>
    <row r="2261" spans="1:5" x14ac:dyDescent="0.25">
      <c r="A2261" t="str">
        <f>HYPERLINK("https://www.773grp.com/globalSearch/SDC1368T1/page-1", "SDC1368T1")</f>
        <v>SDC1368T1</v>
      </c>
      <c r="B2261" s="3" t="str">
        <f>HYPERLINK("https://www.773grp.com/manufacturer/onsemi?pageNo=912", "Onsemi")</f>
        <v>Onsemi</v>
      </c>
      <c r="C2261" s="6">
        <v>72000</v>
      </c>
      <c r="D2261" s="7">
        <v>0.38</v>
      </c>
    </row>
    <row r="2262" spans="1:5" x14ac:dyDescent="0.25">
      <c r="A2262" t="str">
        <f>HYPERLINK("https://www.773grp.com/globalSearch/SIS5142D2R2G/page-1", "SIS5142D2R2G")</f>
        <v>SIS5142D2R2G</v>
      </c>
      <c r="B2262" s="3" t="str">
        <f>HYPERLINK("https://www.773grp.com/manufacturer/onsemi?pageNo=913", "Onsemi")</f>
        <v>Onsemi</v>
      </c>
      <c r="C2262" s="6">
        <v>62500</v>
      </c>
      <c r="D2262" s="7">
        <v>0.38</v>
      </c>
    </row>
    <row r="2263" spans="1:5" x14ac:dyDescent="0.25">
      <c r="A2263" t="str">
        <f>HYPERLINK("https://www.773grp.com/globalSearch/SMF05T2G/page-1", "SMF05T2G")</f>
        <v>SMF05T2G</v>
      </c>
      <c r="B2263" s="3" t="str">
        <f>HYPERLINK("https://www.773grp.com/manufacturer/onsemi?pageNo=914", "Onsemi")</f>
        <v>Onsemi</v>
      </c>
      <c r="C2263" s="6">
        <v>84000</v>
      </c>
      <c r="D2263" s="7">
        <v>0.38</v>
      </c>
      <c r="E2263" t="s">
        <v>75</v>
      </c>
    </row>
    <row r="2264" spans="1:5" x14ac:dyDescent="0.25">
      <c r="A2264" t="str">
        <f>HYPERLINK("https://www.773grp.com/globalSearch/SMF7.5AT1/page-1", "SMF7.5AT1")</f>
        <v>SMF7.5AT1</v>
      </c>
      <c r="B2264" s="3" t="str">
        <f>HYPERLINK("https://www.773grp.com/manufacturer/onsemi?pageNo=915", "Onsemi")</f>
        <v>Onsemi</v>
      </c>
      <c r="C2264" s="6">
        <v>876000</v>
      </c>
      <c r="D2264" s="7">
        <v>0.38</v>
      </c>
      <c r="E2264" t="s">
        <v>75</v>
      </c>
    </row>
    <row r="2265" spans="1:5" x14ac:dyDescent="0.25">
      <c r="A2265" t="str">
        <f>HYPERLINK("https://www.773grp.com/globalSearch/SMMBD701LT1/page-1", "SMMBD701LT1")</f>
        <v>SMMBD701LT1</v>
      </c>
      <c r="B2265" s="3" t="str">
        <f>HYPERLINK("https://www.773grp.com/manufacturer/onsemi?pageNo=916", "Onsemi")</f>
        <v>Onsemi</v>
      </c>
      <c r="C2265" s="6">
        <v>171000</v>
      </c>
      <c r="D2265" s="7">
        <v>0.38</v>
      </c>
      <c r="E2265" t="s">
        <v>87</v>
      </c>
    </row>
    <row r="2266" spans="1:5" x14ac:dyDescent="0.25">
      <c r="A2266" t="str">
        <f>HYPERLINK("https://www.773grp.com/globalSearch/SMMBD701LT1G/page-1", "SMMBD701LT1G")</f>
        <v>SMMBD701LT1G</v>
      </c>
      <c r="B2266" s="3" t="str">
        <f>HYPERLINK("https://www.773grp.com/manufacturer/onsemi?pageNo=917", "Onsemi")</f>
        <v>Onsemi</v>
      </c>
      <c r="C2266" s="6">
        <v>12000</v>
      </c>
      <c r="D2266" s="7">
        <v>0.38</v>
      </c>
    </row>
    <row r="2267" spans="1:5" x14ac:dyDescent="0.25">
      <c r="A2267" t="str">
        <f>HYPERLINK("https://www.773grp.com/globalSearch/SMMBFJ177LT1/page-1", "SMMBFJ177LT1")</f>
        <v>SMMBFJ177LT1</v>
      </c>
      <c r="B2267" s="3" t="str">
        <f>HYPERLINK("https://www.773grp.com/manufacturer/onsemi?pageNo=918", "Onsemi")</f>
        <v>Onsemi</v>
      </c>
      <c r="C2267" s="6">
        <v>276000</v>
      </c>
      <c r="D2267" s="7">
        <v>0.38</v>
      </c>
    </row>
    <row r="2268" spans="1:5" x14ac:dyDescent="0.25">
      <c r="A2268" t="str">
        <f>HYPERLINK("https://www.773grp.com/globalSearch/SMQA1000T1G/page-1", "SMQA1000T1G")</f>
        <v>SMQA1000T1G</v>
      </c>
      <c r="B2268" s="3" t="str">
        <f>HYPERLINK("https://www.773grp.com/manufacturer/onsemi?pageNo=919", "Onsemi")</f>
        <v>Onsemi</v>
      </c>
      <c r="C2268" s="6">
        <v>3000</v>
      </c>
      <c r="D2268" s="7">
        <v>0.38</v>
      </c>
    </row>
    <row r="2269" spans="1:5" x14ac:dyDescent="0.25">
      <c r="A2269" t="str">
        <f>HYPERLINK("https://www.773grp.com/globalSearch/SMQA2000T1G/page-1", "SMQA2000T1G")</f>
        <v>SMQA2000T1G</v>
      </c>
      <c r="B2269" s="3" t="str">
        <f>HYPERLINK("https://www.773grp.com/manufacturer/onsemi?pageNo=920", "Onsemi")</f>
        <v>Onsemi</v>
      </c>
      <c r="C2269" s="6">
        <v>3000</v>
      </c>
      <c r="D2269" s="7">
        <v>0.38</v>
      </c>
    </row>
    <row r="2270" spans="1:5" x14ac:dyDescent="0.25">
      <c r="A2270" t="str">
        <f>HYPERLINK("https://www.773grp.com/globalSearch/SMS15T1/page-1", "SMS15T1")</f>
        <v>SMS15T1</v>
      </c>
      <c r="B2270" s="3" t="str">
        <f>HYPERLINK("https://www.773grp.com/manufacturer/onsemi?pageNo=921", "Onsemi")</f>
        <v>Onsemi</v>
      </c>
      <c r="C2270" s="6">
        <v>2819</v>
      </c>
      <c r="D2270" s="7">
        <v>0.38</v>
      </c>
      <c r="E2270" t="s">
        <v>75</v>
      </c>
    </row>
    <row r="2271" spans="1:5" x14ac:dyDescent="0.25">
      <c r="A2271" t="str">
        <f>HYPERLINK("https://www.773grp.com/globalSearch/SN74LS00N/page-1", "SN74LS00N")</f>
        <v>SN74LS00N</v>
      </c>
      <c r="B2271" s="3" t="str">
        <f>HYPERLINK("https://www.773grp.com/manufacturer/onsemi?pageNo=922", "Onsemi")</f>
        <v>Onsemi</v>
      </c>
      <c r="C2271" s="6">
        <v>12</v>
      </c>
      <c r="D2271" s="7">
        <v>0.38</v>
      </c>
      <c r="E2271" t="s">
        <v>27</v>
      </c>
    </row>
    <row r="2272" spans="1:5" x14ac:dyDescent="0.25">
      <c r="A2272" t="str">
        <f>HYPERLINK("https://www.773grp.com/globalSearch/SN74LS04N/page-1", "SN74LS04N")</f>
        <v>SN74LS04N</v>
      </c>
      <c r="B2272" s="3" t="str">
        <f>HYPERLINK("https://www.773grp.com/manufacturer/onsemi?pageNo=923", "Onsemi")</f>
        <v>Onsemi</v>
      </c>
      <c r="C2272" s="6">
        <v>15</v>
      </c>
      <c r="D2272" s="7">
        <v>0.38</v>
      </c>
      <c r="E2272" t="s">
        <v>27</v>
      </c>
    </row>
    <row r="2273" spans="1:5" x14ac:dyDescent="0.25">
      <c r="A2273" t="str">
        <f>HYPERLINK("https://www.773grp.com/globalSearch/SZNUP1105LT1G/page-1", "SZNUP1105LT1G")</f>
        <v>SZNUP1105LT1G</v>
      </c>
      <c r="B2273" s="3" t="str">
        <f>HYPERLINK("https://www.773grp.com/manufacturer/onsemi?pageNo=924", "Onsemi")</f>
        <v>Onsemi</v>
      </c>
      <c r="C2273" s="6">
        <v>3000</v>
      </c>
      <c r="D2273" s="7">
        <v>0.38</v>
      </c>
    </row>
    <row r="2274" spans="1:5" x14ac:dyDescent="0.25">
      <c r="A2274" t="str">
        <f>HYPERLINK("https://www.773grp.com/globalSearch/SZT1010T1G/page-1", "SZT1010T1G")</f>
        <v>SZT1010T1G</v>
      </c>
      <c r="B2274" s="3" t="str">
        <f>HYPERLINK("https://www.773grp.com/manufacturer/onsemi?pageNo=925", "Onsemi")</f>
        <v>Onsemi</v>
      </c>
      <c r="C2274" s="6">
        <v>58000</v>
      </c>
      <c r="D2274" s="7">
        <v>0.38</v>
      </c>
    </row>
    <row r="2275" spans="1:5" x14ac:dyDescent="0.25">
      <c r="A2275" t="str">
        <f>HYPERLINK("https://www.773grp.com/globalSearch/TL431CDMR2G/page-1", "TL431CDMR2G")</f>
        <v>TL431CDMR2G</v>
      </c>
      <c r="B2275" s="3" t="str">
        <f>HYPERLINK("https://www.773grp.com/manufacturer/onsemi?pageNo=926", "Onsemi")</f>
        <v>Onsemi</v>
      </c>
      <c r="C2275" s="6">
        <v>12000</v>
      </c>
      <c r="D2275" s="7">
        <v>0.38</v>
      </c>
      <c r="E2275" t="s">
        <v>13</v>
      </c>
    </row>
    <row r="2276" spans="1:5" x14ac:dyDescent="0.25">
      <c r="A2276" t="str">
        <f>HYPERLINK("https://www.773grp.com/globalSearch/TL431CLPREG/page-1", "TL431CLPREG")</f>
        <v>TL431CLPREG</v>
      </c>
      <c r="B2276" s="3" t="str">
        <f>HYPERLINK("https://www.773grp.com/manufacturer/onsemi?pageNo=927", "Onsemi")</f>
        <v>Onsemi</v>
      </c>
      <c r="C2276" s="6">
        <v>1082</v>
      </c>
      <c r="D2276" s="7">
        <v>0.38</v>
      </c>
      <c r="E2276" t="s">
        <v>13</v>
      </c>
    </row>
    <row r="2277" spans="1:5" x14ac:dyDescent="0.25">
      <c r="A2277" t="str">
        <f>HYPERLINK("https://www.773grp.com/globalSearch/TL431IDG/page-1", "TL431IDG")</f>
        <v>TL431IDG</v>
      </c>
      <c r="B2277" s="3" t="str">
        <f>HYPERLINK("https://www.773grp.com/manufacturer/onsemi?pageNo=928", "Onsemi")</f>
        <v>Onsemi</v>
      </c>
      <c r="C2277" s="6">
        <v>66589</v>
      </c>
      <c r="D2277" s="7">
        <v>0.38</v>
      </c>
      <c r="E2277" t="s">
        <v>13</v>
      </c>
    </row>
    <row r="2278" spans="1:5" x14ac:dyDescent="0.25">
      <c r="A2278" t="str">
        <f>HYPERLINK("https://www.773grp.com/globalSearch/TL431IDR2G/page-1", "TL431IDR2G")</f>
        <v>TL431IDR2G</v>
      </c>
      <c r="B2278" s="3" t="str">
        <f>HYPERLINK("https://www.773grp.com/manufacturer/onsemi?pageNo=929", "Onsemi")</f>
        <v>Onsemi</v>
      </c>
      <c r="C2278" s="6">
        <v>19425</v>
      </c>
      <c r="D2278" s="7">
        <v>0.38</v>
      </c>
      <c r="E2278" t="s">
        <v>13</v>
      </c>
    </row>
    <row r="2279" spans="1:5" x14ac:dyDescent="0.25">
      <c r="A2279" t="str">
        <f>HYPERLINK("https://www.773grp.com/globalSearch/TL431ILPRPG/page-1", "TL431ILPRPG")</f>
        <v>TL431ILPRPG</v>
      </c>
      <c r="B2279" s="3" t="str">
        <f>HYPERLINK("https://www.773grp.com/manufacturer/onsemi?pageNo=930", "Onsemi")</f>
        <v>Onsemi</v>
      </c>
      <c r="C2279" s="6">
        <v>8000</v>
      </c>
      <c r="D2279" s="7">
        <v>0.38</v>
      </c>
      <c r="E2279" t="s">
        <v>13</v>
      </c>
    </row>
    <row r="2280" spans="1:5" x14ac:dyDescent="0.25">
      <c r="A2280" t="str">
        <f>HYPERLINK("https://www.773grp.com/globalSearch/1N5334BRLG/page-1", "1N5334BRLG")</f>
        <v>1N5334BRLG</v>
      </c>
      <c r="B2280" s="3" t="str">
        <f>HYPERLINK("https://www.773grp.com/manufacturer/onsemi?pageNo=931", "Onsemi")</f>
        <v>Onsemi</v>
      </c>
      <c r="C2280" s="6">
        <v>44000</v>
      </c>
      <c r="D2280" s="7">
        <v>0.43</v>
      </c>
      <c r="E2280" t="s">
        <v>77</v>
      </c>
    </row>
    <row r="2281" spans="1:5" x14ac:dyDescent="0.25">
      <c r="A2281" t="str">
        <f>HYPERLINK("https://www.773grp.com/globalSearch/1N5351B/page-1", "1N5351B")</f>
        <v>1N5351B</v>
      </c>
      <c r="B2281" s="3" t="str">
        <f>HYPERLINK("https://www.773grp.com/manufacturer/onsemi?pageNo=932", "Onsemi")</f>
        <v>Onsemi</v>
      </c>
      <c r="C2281" s="6">
        <v>2500</v>
      </c>
      <c r="D2281" s="7">
        <v>0.43</v>
      </c>
      <c r="E2281" t="s">
        <v>77</v>
      </c>
    </row>
    <row r="2282" spans="1:5" x14ac:dyDescent="0.25">
      <c r="A2282" t="str">
        <f>HYPERLINK("https://www.773grp.com/globalSearch/1N5353BRL/page-1", "1N5353BRL")</f>
        <v>1N5353BRL</v>
      </c>
      <c r="B2282" s="3" t="str">
        <f>HYPERLINK("https://www.773grp.com/manufacturer/onsemi?pageNo=933", "Onsemi")</f>
        <v>Onsemi</v>
      </c>
      <c r="C2282" s="6">
        <v>4000</v>
      </c>
      <c r="D2282" s="7">
        <v>0.43</v>
      </c>
      <c r="E2282" t="s">
        <v>77</v>
      </c>
    </row>
    <row r="2283" spans="1:5" x14ac:dyDescent="0.25">
      <c r="A2283" t="str">
        <f>HYPERLINK("https://www.773grp.com/globalSearch/1N5354B/page-1", "1N5354B")</f>
        <v>1N5354B</v>
      </c>
      <c r="B2283" s="3" t="str">
        <f>HYPERLINK("https://www.773grp.com/manufacturer/onsemi?pageNo=934", "Onsemi")</f>
        <v>Onsemi</v>
      </c>
      <c r="C2283" s="6">
        <v>6547</v>
      </c>
      <c r="D2283" s="7">
        <v>0.43</v>
      </c>
      <c r="E2283" t="s">
        <v>77</v>
      </c>
    </row>
    <row r="2284" spans="1:5" x14ac:dyDescent="0.25">
      <c r="A2284" t="str">
        <f>HYPERLINK("https://www.773grp.com/globalSearch/1N5354BRL/page-1", "1N5354BRL")</f>
        <v>1N5354BRL</v>
      </c>
      <c r="B2284" s="3" t="str">
        <f>HYPERLINK("https://www.773grp.com/manufacturer/onsemi?pageNo=935", "Onsemi")</f>
        <v>Onsemi</v>
      </c>
      <c r="C2284" s="6">
        <v>10664</v>
      </c>
      <c r="D2284" s="7">
        <v>0.43</v>
      </c>
      <c r="E2284" t="s">
        <v>77</v>
      </c>
    </row>
    <row r="2285" spans="1:5" x14ac:dyDescent="0.25">
      <c r="A2285" t="str">
        <f>HYPERLINK("https://www.773grp.com/globalSearch/1N5356B/page-1", "1N5356B")</f>
        <v>1N5356B</v>
      </c>
      <c r="B2285" s="3" t="str">
        <f>HYPERLINK("https://www.773grp.com/manufacturer/onsemi?pageNo=936", "Onsemi")</f>
        <v>Onsemi</v>
      </c>
      <c r="C2285" s="6">
        <v>13</v>
      </c>
      <c r="D2285" s="7">
        <v>0.43</v>
      </c>
      <c r="E2285" t="s">
        <v>77</v>
      </c>
    </row>
    <row r="2286" spans="1:5" x14ac:dyDescent="0.25">
      <c r="A2286" t="str">
        <f>HYPERLINK("https://www.773grp.com/globalSearch/1N5356BG/page-1", "1N5356BG")</f>
        <v>1N5356BG</v>
      </c>
      <c r="B2286" s="3" t="str">
        <f>HYPERLINK("https://www.773grp.com/manufacturer/onsemi?pageNo=937", "Onsemi")</f>
        <v>Onsemi</v>
      </c>
      <c r="C2286" s="6">
        <v>2629</v>
      </c>
      <c r="D2286" s="7">
        <v>0.43</v>
      </c>
      <c r="E2286" t="s">
        <v>77</v>
      </c>
    </row>
    <row r="2287" spans="1:5" x14ac:dyDescent="0.25">
      <c r="A2287" t="str">
        <f>HYPERLINK("https://www.773grp.com/globalSearch/1N5361B/page-1", "1N5361B")</f>
        <v>1N5361B</v>
      </c>
      <c r="B2287" s="3" t="str">
        <f>HYPERLINK("https://www.773grp.com/manufacturer/onsemi?pageNo=938", "Onsemi")</f>
        <v>Onsemi</v>
      </c>
      <c r="C2287" s="6">
        <v>9227</v>
      </c>
      <c r="D2287" s="7">
        <v>0.43</v>
      </c>
      <c r="E2287" t="s">
        <v>77</v>
      </c>
    </row>
    <row r="2288" spans="1:5" x14ac:dyDescent="0.25">
      <c r="A2288" t="str">
        <f>HYPERLINK("https://www.773grp.com/globalSearch/1N5361BRL/page-1", "1N5361BRL")</f>
        <v>1N5361BRL</v>
      </c>
      <c r="B2288" s="3" t="str">
        <f>HYPERLINK("https://www.773grp.com/manufacturer/onsemi?pageNo=939", "Onsemi")</f>
        <v>Onsemi</v>
      </c>
      <c r="C2288" s="6">
        <v>12000</v>
      </c>
      <c r="D2288" s="7">
        <v>0.43</v>
      </c>
      <c r="E2288" t="s">
        <v>77</v>
      </c>
    </row>
    <row r="2289" spans="1:5" x14ac:dyDescent="0.25">
      <c r="A2289" t="str">
        <f>HYPERLINK("https://www.773grp.com/globalSearch/1N5365BRL/page-1", "1N5365BRL")</f>
        <v>1N5365BRL</v>
      </c>
      <c r="B2289" s="3" t="str">
        <f>HYPERLINK("https://www.773grp.com/manufacturer/onsemi?pageNo=940", "Onsemi")</f>
        <v>Onsemi</v>
      </c>
      <c r="C2289" s="6">
        <v>72000</v>
      </c>
      <c r="D2289" s="7">
        <v>0.43</v>
      </c>
      <c r="E2289" t="s">
        <v>77</v>
      </c>
    </row>
    <row r="2290" spans="1:5" x14ac:dyDescent="0.25">
      <c r="A2290" t="str">
        <f>HYPERLINK("https://www.773grp.com/globalSearch/1N5368BRL/page-1", "1N5368BRL")</f>
        <v>1N5368BRL</v>
      </c>
      <c r="B2290" s="3" t="str">
        <f>HYPERLINK("https://www.773grp.com/manufacturer/onsemi?pageNo=941", "Onsemi")</f>
        <v>Onsemi</v>
      </c>
      <c r="C2290" s="6">
        <v>743</v>
      </c>
      <c r="D2290" s="7">
        <v>0.43</v>
      </c>
      <c r="E2290" t="s">
        <v>77</v>
      </c>
    </row>
    <row r="2291" spans="1:5" x14ac:dyDescent="0.25">
      <c r="A2291" t="str">
        <f>HYPERLINK("https://www.773grp.com/globalSearch/1N5370B/page-1", "1N5370B")</f>
        <v>1N5370B</v>
      </c>
      <c r="B2291" s="3" t="str">
        <f>HYPERLINK("https://www.773grp.com/manufacturer/onsemi?pageNo=942", "Onsemi")</f>
        <v>Onsemi</v>
      </c>
      <c r="C2291" s="6">
        <v>3000</v>
      </c>
      <c r="D2291" s="7">
        <v>0.43</v>
      </c>
      <c r="E2291" t="s">
        <v>77</v>
      </c>
    </row>
    <row r="2292" spans="1:5" x14ac:dyDescent="0.25">
      <c r="A2292" t="str">
        <f>HYPERLINK("https://www.773grp.com/globalSearch/1N5371BRLG/page-1", "1N5371BRLG")</f>
        <v>1N5371BRLG</v>
      </c>
      <c r="B2292" s="3" t="str">
        <f>HYPERLINK("https://www.773grp.com/manufacturer/onsemi?pageNo=943", "Onsemi")</f>
        <v>Onsemi</v>
      </c>
      <c r="C2292" s="6">
        <v>25715</v>
      </c>
      <c r="D2292" s="7">
        <v>0.43</v>
      </c>
      <c r="E2292" t="s">
        <v>77</v>
      </c>
    </row>
    <row r="2293" spans="1:5" x14ac:dyDescent="0.25">
      <c r="A2293" t="str">
        <f>HYPERLINK("https://www.773grp.com/globalSearch/1N5372B/page-1", "1N5372B")</f>
        <v>1N5372B</v>
      </c>
      <c r="B2293" s="3" t="str">
        <f>HYPERLINK("https://www.773grp.com/manufacturer/onsemi?pageNo=944", "Onsemi")</f>
        <v>Onsemi</v>
      </c>
      <c r="C2293" s="6">
        <v>5000</v>
      </c>
      <c r="D2293" s="7">
        <v>0.43</v>
      </c>
      <c r="E2293" t="s">
        <v>77</v>
      </c>
    </row>
    <row r="2294" spans="1:5" x14ac:dyDescent="0.25">
      <c r="A2294" t="str">
        <f>HYPERLINK("https://www.773grp.com/globalSearch/1N5373B/page-1", "1N5373B")</f>
        <v>1N5373B</v>
      </c>
      <c r="B2294" s="3" t="str">
        <f>HYPERLINK("https://www.773grp.com/manufacturer/onsemi?pageNo=945", "Onsemi")</f>
        <v>Onsemi</v>
      </c>
      <c r="C2294" s="6">
        <v>7444</v>
      </c>
      <c r="D2294" s="7">
        <v>0.43</v>
      </c>
      <c r="E2294" t="s">
        <v>77</v>
      </c>
    </row>
    <row r="2295" spans="1:5" x14ac:dyDescent="0.25">
      <c r="A2295" t="str">
        <f>HYPERLINK("https://www.773grp.com/globalSearch/1N5375B/page-1", "1N5375B")</f>
        <v>1N5375B</v>
      </c>
      <c r="B2295" s="3" t="str">
        <f>HYPERLINK("https://www.773grp.com/manufacturer/onsemi?pageNo=946", "Onsemi")</f>
        <v>Onsemi</v>
      </c>
      <c r="C2295" s="6">
        <v>28</v>
      </c>
      <c r="D2295" s="7">
        <v>0.43</v>
      </c>
      <c r="E2295" t="s">
        <v>77</v>
      </c>
    </row>
    <row r="2296" spans="1:5" x14ac:dyDescent="0.25">
      <c r="A2296" t="str">
        <f>HYPERLINK("https://www.773grp.com/globalSearch/1N5377BRLG/page-1", "1N5377BRLG")</f>
        <v>1N5377BRLG</v>
      </c>
      <c r="B2296" s="3" t="str">
        <f>HYPERLINK("https://www.773grp.com/manufacturer/onsemi?pageNo=947", "Onsemi")</f>
        <v>Onsemi</v>
      </c>
      <c r="C2296" s="6">
        <v>4000</v>
      </c>
      <c r="D2296" s="7">
        <v>0.43</v>
      </c>
      <c r="E2296" t="s">
        <v>77</v>
      </c>
    </row>
    <row r="2297" spans="1:5" x14ac:dyDescent="0.25">
      <c r="A2297" t="str">
        <f>HYPERLINK("https://www.773grp.com/globalSearch/1N5381BRL/page-1", "1N5381BRL")</f>
        <v>1N5381BRL</v>
      </c>
      <c r="B2297" s="3" t="str">
        <f>HYPERLINK("https://www.773grp.com/manufacturer/onsemi?pageNo=948", "Onsemi")</f>
        <v>Onsemi</v>
      </c>
      <c r="C2297" s="6">
        <v>40000</v>
      </c>
      <c r="D2297" s="7">
        <v>0.43</v>
      </c>
      <c r="E2297" t="s">
        <v>77</v>
      </c>
    </row>
    <row r="2298" spans="1:5" x14ac:dyDescent="0.25">
      <c r="A2298" t="str">
        <f>HYPERLINK("https://www.773grp.com/globalSearch/1N5381BRLG/page-1", "1N5381BRLG")</f>
        <v>1N5381BRLG</v>
      </c>
      <c r="B2298" s="3" t="str">
        <f>HYPERLINK("https://www.773grp.com/manufacturer/onsemi?pageNo=949", "Onsemi")</f>
        <v>Onsemi</v>
      </c>
      <c r="C2298" s="6">
        <v>18000</v>
      </c>
      <c r="D2298" s="7">
        <v>0.43</v>
      </c>
      <c r="E2298" t="s">
        <v>77</v>
      </c>
    </row>
    <row r="2299" spans="1:5" x14ac:dyDescent="0.25">
      <c r="A2299" t="str">
        <f>HYPERLINK("https://www.773grp.com/globalSearch/1N5383B/page-1", "1N5383B")</f>
        <v>1N5383B</v>
      </c>
      <c r="B2299" s="3" t="str">
        <f>HYPERLINK("https://www.773grp.com/manufacturer/onsemi?pageNo=950", "Onsemi")</f>
        <v>Onsemi</v>
      </c>
      <c r="C2299" s="6">
        <v>3000</v>
      </c>
      <c r="D2299" s="7">
        <v>0.43</v>
      </c>
      <c r="E2299" t="s">
        <v>77</v>
      </c>
    </row>
    <row r="2300" spans="1:5" x14ac:dyDescent="0.25">
      <c r="A2300" t="str">
        <f>HYPERLINK("https://www.773grp.com/globalSearch/1N5821RL/page-1", "1N5821RL")</f>
        <v>1N5821RL</v>
      </c>
      <c r="B2300" s="3" t="str">
        <f>HYPERLINK("https://www.773grp.com/manufacturer/onsemi?pageNo=951", "Onsemi")</f>
        <v>Onsemi</v>
      </c>
      <c r="C2300" s="6">
        <v>1500</v>
      </c>
      <c r="D2300" s="7">
        <v>0.43</v>
      </c>
      <c r="E2300" t="s">
        <v>82</v>
      </c>
    </row>
    <row r="2301" spans="1:5" x14ac:dyDescent="0.25">
      <c r="A2301" t="str">
        <f>HYPERLINK("https://www.773grp.com/globalSearch/1N5990CRL/page-1", "1N5990CRL")</f>
        <v>1N5990CRL</v>
      </c>
      <c r="B2301" s="3" t="str">
        <f>HYPERLINK("https://www.773grp.com/manufacturer/onsemi?pageNo=952", "Onsemi")</f>
        <v>Onsemi</v>
      </c>
      <c r="C2301" s="6">
        <v>3000</v>
      </c>
      <c r="D2301" s="7">
        <v>0.43</v>
      </c>
      <c r="E2301" t="s">
        <v>77</v>
      </c>
    </row>
    <row r="2302" spans="1:5" x14ac:dyDescent="0.25">
      <c r="A2302" t="str">
        <f>HYPERLINK("https://www.773grp.com/globalSearch/1N5996B/page-1", "1N5996B")</f>
        <v>1N5996B</v>
      </c>
      <c r="B2302" s="3" t="str">
        <f>HYPERLINK("https://www.773grp.com/manufacturer/onsemi?pageNo=953", "Onsemi")</f>
        <v>Onsemi</v>
      </c>
      <c r="C2302" s="6">
        <v>52953</v>
      </c>
      <c r="D2302" s="7">
        <v>0.43</v>
      </c>
      <c r="E2302" t="s">
        <v>77</v>
      </c>
    </row>
    <row r="2303" spans="1:5" x14ac:dyDescent="0.25">
      <c r="A2303" t="str">
        <f>HYPERLINK("https://www.773grp.com/globalSearch/1N6025CRL/page-1", "1N6025CRL")</f>
        <v>1N6025CRL</v>
      </c>
      <c r="B2303" s="3" t="str">
        <f>HYPERLINK("https://www.773grp.com/manufacturer/onsemi?pageNo=954", "Onsemi")</f>
        <v>Onsemi</v>
      </c>
      <c r="C2303" s="6">
        <v>10000</v>
      </c>
      <c r="D2303" s="7">
        <v>0.43</v>
      </c>
      <c r="E2303" t="s">
        <v>77</v>
      </c>
    </row>
    <row r="2304" spans="1:5" x14ac:dyDescent="0.25">
      <c r="A2304" t="str">
        <f>HYPERLINK("https://www.773grp.com/globalSearch/1SMA5.0AT3/page-1", "1SMA5.0AT3")</f>
        <v>1SMA5.0AT3</v>
      </c>
      <c r="B2304" s="3" t="str">
        <f>HYPERLINK("https://www.773grp.com/manufacturer/onsemi?pageNo=955", "Onsemi")</f>
        <v>Onsemi</v>
      </c>
      <c r="C2304" s="6">
        <v>49370</v>
      </c>
      <c r="D2304" s="7">
        <v>0.43</v>
      </c>
      <c r="E2304" t="s">
        <v>75</v>
      </c>
    </row>
    <row r="2305" spans="1:5" x14ac:dyDescent="0.25">
      <c r="A2305" t="str">
        <f>HYPERLINK("https://www.773grp.com/globalSearch/1SMA5925BT3/page-1", "1SMA5925BT3")</f>
        <v>1SMA5925BT3</v>
      </c>
      <c r="B2305" s="3" t="str">
        <f>HYPERLINK("https://www.773grp.com/manufacturer/onsemi?pageNo=956", "Onsemi")</f>
        <v>Onsemi</v>
      </c>
      <c r="C2305" s="6">
        <v>5000</v>
      </c>
      <c r="D2305" s="7">
        <v>0.43</v>
      </c>
      <c r="E2305" t="s">
        <v>77</v>
      </c>
    </row>
    <row r="2306" spans="1:5" x14ac:dyDescent="0.25">
      <c r="A2306" t="str">
        <f>HYPERLINK("https://www.773grp.com/globalSearch/1SMA5930BT3/page-1", "1SMA5930BT3")</f>
        <v>1SMA5930BT3</v>
      </c>
      <c r="B2306" s="3" t="str">
        <f>HYPERLINK("https://www.773grp.com/manufacturer/onsemi?pageNo=957", "Onsemi")</f>
        <v>Onsemi</v>
      </c>
      <c r="C2306" s="6">
        <v>10000</v>
      </c>
      <c r="D2306" s="7">
        <v>0.43</v>
      </c>
      <c r="E2306" t="s">
        <v>77</v>
      </c>
    </row>
    <row r="2307" spans="1:5" x14ac:dyDescent="0.25">
      <c r="A2307" t="str">
        <f>HYPERLINK("https://www.773grp.com/globalSearch/1SMA5935BT3/page-1", "1SMA5935BT3")</f>
        <v>1SMA5935BT3</v>
      </c>
      <c r="B2307" s="3" t="str">
        <f>HYPERLINK("https://www.773grp.com/manufacturer/onsemi?pageNo=958", "Onsemi")</f>
        <v>Onsemi</v>
      </c>
      <c r="C2307" s="6">
        <v>97500</v>
      </c>
      <c r="D2307" s="7">
        <v>0.43</v>
      </c>
      <c r="E2307" t="s">
        <v>77</v>
      </c>
    </row>
    <row r="2308" spans="1:5" x14ac:dyDescent="0.25">
      <c r="A2308" t="str">
        <f>HYPERLINK("https://www.773grp.com/globalSearch/1SMA5938BT3/page-1", "1SMA5938BT3")</f>
        <v>1SMA5938BT3</v>
      </c>
      <c r="B2308" s="3" t="str">
        <f>HYPERLINK("https://www.773grp.com/manufacturer/onsemi?pageNo=959", "Onsemi")</f>
        <v>Onsemi</v>
      </c>
      <c r="C2308" s="6">
        <v>5000</v>
      </c>
      <c r="D2308" s="7">
        <v>0.43</v>
      </c>
      <c r="E2308" t="s">
        <v>77</v>
      </c>
    </row>
    <row r="2309" spans="1:5" x14ac:dyDescent="0.25">
      <c r="A2309" t="str">
        <f>HYPERLINK("https://www.773grp.com/globalSearch/1SMA64AT3G/page-1", "1SMA64AT3G")</f>
        <v>1SMA64AT3G</v>
      </c>
      <c r="B2309" s="3" t="str">
        <f>HYPERLINK("https://www.773grp.com/manufacturer/onsemi?pageNo=960", "Onsemi")</f>
        <v>Onsemi</v>
      </c>
      <c r="C2309" s="6">
        <v>5000</v>
      </c>
      <c r="D2309" s="7">
        <v>0.43</v>
      </c>
      <c r="E2309" t="s">
        <v>75</v>
      </c>
    </row>
    <row r="2310" spans="1:5" x14ac:dyDescent="0.25">
      <c r="A2310" t="str">
        <f>HYPERLINK("https://www.773grp.com/globalSearch/1SMA7.0AT3/page-1", "1SMA7.0AT3")</f>
        <v>1SMA7.0AT3</v>
      </c>
      <c r="B2310" s="3" t="str">
        <f>HYPERLINK("https://www.773grp.com/manufacturer/onsemi?pageNo=961", "Onsemi")</f>
        <v>Onsemi</v>
      </c>
      <c r="C2310" s="6">
        <v>5000</v>
      </c>
      <c r="D2310" s="7">
        <v>0.43</v>
      </c>
      <c r="E2310" t="s">
        <v>75</v>
      </c>
    </row>
    <row r="2311" spans="1:5" x14ac:dyDescent="0.25">
      <c r="A2311" t="str">
        <f>HYPERLINK("https://www.773grp.com/globalSearch/1SS383T1G/page-1", "1SS383T1G")</f>
        <v>1SS383T1G</v>
      </c>
      <c r="B2311" s="3" t="str">
        <f>HYPERLINK("https://www.773grp.com/manufacturer/onsemi?pageNo=962", "Onsemi")</f>
        <v>Onsemi</v>
      </c>
      <c r="C2311" s="6">
        <v>21000</v>
      </c>
      <c r="D2311" s="7">
        <v>0.43</v>
      </c>
      <c r="E2311" t="s">
        <v>73</v>
      </c>
    </row>
    <row r="2312" spans="1:5" x14ac:dyDescent="0.25">
      <c r="A2312" t="str">
        <f>HYPERLINK("https://www.773grp.com/globalSearch/74HC132DTR2G/page-1", "74HC132DTR2G")</f>
        <v>74HC132DTR2G</v>
      </c>
      <c r="B2312" s="3" t="str">
        <f>HYPERLINK("https://www.773grp.com/manufacturer/onsemi?pageNo=963", "Onsemi")</f>
        <v>Onsemi</v>
      </c>
      <c r="C2312" s="6">
        <v>54985</v>
      </c>
      <c r="D2312" s="7">
        <v>0.43</v>
      </c>
      <c r="E2312" t="s">
        <v>27</v>
      </c>
    </row>
    <row r="2313" spans="1:5" x14ac:dyDescent="0.25">
      <c r="A2313" t="str">
        <f>HYPERLINK("https://www.773grp.com/globalSearch/74HC138DR2G/page-1", "74HC138DR2G")</f>
        <v>74HC138DR2G</v>
      </c>
      <c r="B2313" s="3" t="str">
        <f>HYPERLINK("https://www.773grp.com/manufacturer/onsemi?pageNo=964", "Onsemi")</f>
        <v>Onsemi</v>
      </c>
      <c r="C2313" s="6">
        <v>80471</v>
      </c>
      <c r="D2313" s="7">
        <v>0.43</v>
      </c>
      <c r="E2313" t="s">
        <v>32</v>
      </c>
    </row>
    <row r="2314" spans="1:5" x14ac:dyDescent="0.25">
      <c r="A2314" t="str">
        <f>HYPERLINK("https://www.773grp.com/globalSearch/74HC138DTR2G/page-1", "74HC138DTR2G")</f>
        <v>74HC138DTR2G</v>
      </c>
      <c r="B2314" s="3" t="str">
        <f>HYPERLINK("https://www.773grp.com/manufacturer/onsemi?pageNo=965", "Onsemi")</f>
        <v>Onsemi</v>
      </c>
      <c r="C2314" s="6">
        <v>329424</v>
      </c>
      <c r="D2314" s="7">
        <v>0.43</v>
      </c>
      <c r="E2314" t="s">
        <v>32</v>
      </c>
    </row>
    <row r="2315" spans="1:5" x14ac:dyDescent="0.25">
      <c r="A2315" t="str">
        <f>HYPERLINK("https://www.773grp.com/globalSearch/BAT54CXV3T1G/page-1", "BAT54CXV3T1G")</f>
        <v>BAT54CXV3T1G</v>
      </c>
      <c r="B2315" s="3" t="str">
        <f>HYPERLINK("https://www.773grp.com/manufacturer/onsemi?pageNo=966", "Onsemi")</f>
        <v>Onsemi</v>
      </c>
      <c r="C2315" s="6">
        <v>418359</v>
      </c>
      <c r="D2315" s="7">
        <v>0.43</v>
      </c>
      <c r="E2315" t="s">
        <v>73</v>
      </c>
    </row>
    <row r="2316" spans="1:5" x14ac:dyDescent="0.25">
      <c r="A2316" t="str">
        <f>HYPERLINK("https://www.773grp.com/globalSearch/BC327-25ZL1G/page-1", "BC327-25ZL1G")</f>
        <v>BC327-25ZL1G</v>
      </c>
      <c r="B2316" s="3" t="str">
        <f>HYPERLINK("https://www.773grp.com/manufacturer/onsemi?pageNo=967", "Onsemi")</f>
        <v>Onsemi</v>
      </c>
      <c r="C2316" s="6">
        <v>120000</v>
      </c>
      <c r="D2316" s="7">
        <v>0.43</v>
      </c>
      <c r="E2316" t="s">
        <v>57</v>
      </c>
    </row>
    <row r="2317" spans="1:5" x14ac:dyDescent="0.25">
      <c r="A2317" t="str">
        <f>HYPERLINK("https://www.773grp.com/globalSearch/BC327-40ZL1G/page-1", "BC327-40ZL1G")</f>
        <v>BC327-40ZL1G</v>
      </c>
      <c r="B2317" s="3" t="str">
        <f>HYPERLINK("https://www.773grp.com/manufacturer/onsemi?pageNo=968", "Onsemi")</f>
        <v>Onsemi</v>
      </c>
      <c r="C2317" s="6">
        <v>28000</v>
      </c>
      <c r="D2317" s="7">
        <v>0.43</v>
      </c>
      <c r="E2317" t="s">
        <v>57</v>
      </c>
    </row>
    <row r="2318" spans="1:5" x14ac:dyDescent="0.25">
      <c r="A2318" t="str">
        <f>HYPERLINK("https://www.773grp.com/globalSearch/BC517G/page-1", "BC517G")</f>
        <v>BC517G</v>
      </c>
      <c r="B2318" s="3" t="str">
        <f>HYPERLINK("https://www.773grp.com/manufacturer/onsemi?pageNo=969", "Onsemi")</f>
        <v>Onsemi</v>
      </c>
      <c r="C2318" s="6">
        <v>90000</v>
      </c>
      <c r="D2318" s="7">
        <v>0.43</v>
      </c>
      <c r="E2318" t="s">
        <v>57</v>
      </c>
    </row>
    <row r="2319" spans="1:5" x14ac:dyDescent="0.25">
      <c r="A2319" t="str">
        <f>HYPERLINK("https://www.773grp.com/globalSearch/BC517RL1G/page-1", "BC517RL1G")</f>
        <v>BC517RL1G</v>
      </c>
      <c r="B2319" s="3" t="str">
        <f>HYPERLINK("https://www.773grp.com/manufacturer/onsemi?pageNo=970", "Onsemi")</f>
        <v>Onsemi</v>
      </c>
      <c r="C2319" s="6">
        <v>1995</v>
      </c>
      <c r="D2319" s="7">
        <v>0.43</v>
      </c>
    </row>
    <row r="2320" spans="1:5" x14ac:dyDescent="0.25">
      <c r="A2320" t="str">
        <f>HYPERLINK("https://www.773grp.com/globalSearch/BC546BRL1G/page-1", "BC546BRL1G")</f>
        <v>BC546BRL1G</v>
      </c>
      <c r="B2320" s="3" t="str">
        <f>HYPERLINK("https://www.773grp.com/manufacturer/onsemi?pageNo=971", "Onsemi")</f>
        <v>Onsemi</v>
      </c>
      <c r="C2320" s="6">
        <v>90000</v>
      </c>
      <c r="D2320" s="7">
        <v>0.43</v>
      </c>
      <c r="E2320" t="s">
        <v>57</v>
      </c>
    </row>
    <row r="2321" spans="1:5" x14ac:dyDescent="0.25">
      <c r="A2321" t="str">
        <f>HYPERLINK("https://www.773grp.com/globalSearch/BC546BZL1G/page-1", "BC546BZL1G")</f>
        <v>BC546BZL1G</v>
      </c>
      <c r="B2321" s="3" t="str">
        <f>HYPERLINK("https://www.773grp.com/manufacturer/onsemi?pageNo=972", "Onsemi")</f>
        <v>Onsemi</v>
      </c>
      <c r="C2321" s="6">
        <v>18000</v>
      </c>
      <c r="D2321" s="7">
        <v>0.43</v>
      </c>
      <c r="E2321" t="s">
        <v>57</v>
      </c>
    </row>
    <row r="2322" spans="1:5" x14ac:dyDescent="0.25">
      <c r="A2322" t="str">
        <f>HYPERLINK("https://www.773grp.com/globalSearch/BC547BRL1G/page-1", "BC547BRL1G")</f>
        <v>BC547BRL1G</v>
      </c>
      <c r="B2322" s="3" t="str">
        <f>HYPERLINK("https://www.773grp.com/manufacturer/onsemi?pageNo=973", "Onsemi")</f>
        <v>Onsemi</v>
      </c>
      <c r="C2322" s="6">
        <v>270000</v>
      </c>
      <c r="D2322" s="7">
        <v>0.43</v>
      </c>
      <c r="E2322" t="s">
        <v>57</v>
      </c>
    </row>
    <row r="2323" spans="1:5" x14ac:dyDescent="0.25">
      <c r="A2323" t="str">
        <f>HYPERLINK("https://www.773grp.com/globalSearch/BC547BZL1G/page-1", "BC547BZL1G")</f>
        <v>BC547BZL1G</v>
      </c>
      <c r="B2323" s="3" t="str">
        <f>HYPERLINK("https://www.773grp.com/manufacturer/onsemi?pageNo=974", "Onsemi")</f>
        <v>Onsemi</v>
      </c>
      <c r="C2323" s="6">
        <v>640000</v>
      </c>
      <c r="D2323" s="7">
        <v>0.43</v>
      </c>
      <c r="E2323" t="s">
        <v>57</v>
      </c>
    </row>
    <row r="2324" spans="1:5" x14ac:dyDescent="0.25">
      <c r="A2324" t="str">
        <f>HYPERLINK("https://www.773grp.com/globalSearch/BC556BG/page-1", "BC556BG")</f>
        <v>BC556BG</v>
      </c>
      <c r="B2324" s="3" t="str">
        <f>HYPERLINK("https://www.773grp.com/manufacturer/onsemi?pageNo=975", "Onsemi")</f>
        <v>Onsemi</v>
      </c>
      <c r="C2324" s="6">
        <v>185758</v>
      </c>
      <c r="D2324" s="7">
        <v>0.43</v>
      </c>
      <c r="E2324" t="s">
        <v>57</v>
      </c>
    </row>
    <row r="2325" spans="1:5" x14ac:dyDescent="0.25">
      <c r="A2325" t="str">
        <f>HYPERLINK("https://www.773grp.com/globalSearch/BC557BG/page-1", "BC557BG")</f>
        <v>BC557BG</v>
      </c>
      <c r="B2325" s="3" t="str">
        <f>HYPERLINK("https://www.773grp.com/manufacturer/onsemi?pageNo=976", "Onsemi")</f>
        <v>Onsemi</v>
      </c>
      <c r="C2325" s="6">
        <v>21982</v>
      </c>
      <c r="D2325" s="7">
        <v>0.43</v>
      </c>
      <c r="E2325" t="s">
        <v>57</v>
      </c>
    </row>
    <row r="2326" spans="1:5" x14ac:dyDescent="0.25">
      <c r="A2326" t="str">
        <f>HYPERLINK("https://www.773grp.com/globalSearch/BC557BRL1G/page-1", "BC557BRL1G")</f>
        <v>BC557BRL1G</v>
      </c>
      <c r="B2326" s="3" t="str">
        <f>HYPERLINK("https://www.773grp.com/manufacturer/onsemi?pageNo=977", "Onsemi")</f>
        <v>Onsemi</v>
      </c>
      <c r="C2326" s="6">
        <v>128000</v>
      </c>
      <c r="D2326" s="7">
        <v>0.43</v>
      </c>
      <c r="E2326" t="s">
        <v>57</v>
      </c>
    </row>
    <row r="2327" spans="1:5" x14ac:dyDescent="0.25">
      <c r="A2327" t="str">
        <f>HYPERLINK("https://www.773grp.com/globalSearch/BC557BZL1G/page-1", "BC557BZL1G")</f>
        <v>BC557BZL1G</v>
      </c>
      <c r="B2327" s="3" t="str">
        <f>HYPERLINK("https://www.773grp.com/manufacturer/onsemi?pageNo=978", "Onsemi")</f>
        <v>Onsemi</v>
      </c>
      <c r="C2327" s="6">
        <v>46000</v>
      </c>
      <c r="D2327" s="7">
        <v>0.43</v>
      </c>
      <c r="E2327" t="s">
        <v>57</v>
      </c>
    </row>
    <row r="2328" spans="1:5" x14ac:dyDescent="0.25">
      <c r="A2328" t="str">
        <f>HYPERLINK("https://www.773grp.com/globalSearch/BCP53-16T1G/page-1", "BCP53-16T1G")</f>
        <v>BCP53-16T1G</v>
      </c>
      <c r="B2328" s="3" t="str">
        <f>HYPERLINK("https://www.773grp.com/manufacturer/onsemi?pageNo=979", "Onsemi")</f>
        <v>Onsemi</v>
      </c>
      <c r="C2328" s="6">
        <v>378626</v>
      </c>
      <c r="D2328" s="7">
        <v>0.43</v>
      </c>
      <c r="E2328" t="s">
        <v>47</v>
      </c>
    </row>
    <row r="2329" spans="1:5" x14ac:dyDescent="0.25">
      <c r="A2329" t="str">
        <f>HYPERLINK("https://www.773grp.com/globalSearch/BCP53T1G/page-1", "BCP53T1G")</f>
        <v>BCP53T1G</v>
      </c>
      <c r="B2329" s="3" t="str">
        <f>HYPERLINK("https://www.773grp.com/manufacturer/onsemi?pageNo=980", "Onsemi")</f>
        <v>Onsemi</v>
      </c>
      <c r="C2329" s="6">
        <v>21451</v>
      </c>
      <c r="D2329" s="7">
        <v>0.43</v>
      </c>
      <c r="E2329" t="s">
        <v>47</v>
      </c>
    </row>
    <row r="2330" spans="1:5" x14ac:dyDescent="0.25">
      <c r="A2330" t="str">
        <f>HYPERLINK("https://www.773grp.com/globalSearch/BCP56-10T1G/page-1", "BCP56-10T1G")</f>
        <v>BCP56-10T1G</v>
      </c>
      <c r="B2330" s="3" t="str">
        <f>HYPERLINK("https://www.773grp.com/manufacturer/onsemi?pageNo=981", "Onsemi")</f>
        <v>Onsemi</v>
      </c>
      <c r="C2330" s="6">
        <v>705</v>
      </c>
      <c r="D2330" s="7">
        <v>0.43</v>
      </c>
      <c r="E2330" t="s">
        <v>47</v>
      </c>
    </row>
    <row r="2331" spans="1:5" x14ac:dyDescent="0.25">
      <c r="A2331" t="str">
        <f>HYPERLINK("https://www.773grp.com/globalSearch/BZG03C15/page-1", "BZG03C15")</f>
        <v>BZG03C15</v>
      </c>
      <c r="B2331" s="3" t="str">
        <f>HYPERLINK("https://www.773grp.com/manufacturer/onsemi?pageNo=982", "Onsemi")</f>
        <v>Onsemi</v>
      </c>
      <c r="C2331" s="6">
        <v>5000</v>
      </c>
      <c r="D2331" s="7">
        <v>0.43</v>
      </c>
      <c r="E2331" t="s">
        <v>75</v>
      </c>
    </row>
    <row r="2332" spans="1:5" x14ac:dyDescent="0.25">
      <c r="A2332" t="str">
        <f>HYPERLINK("https://www.773grp.com/globalSearch/CAT24C01WI-G/page-1", "CAT24C01WI-G")</f>
        <v>CAT24C01WI-G</v>
      </c>
      <c r="B2332" s="3" t="str">
        <f>HYPERLINK("https://www.773grp.com/manufacturer/onsemi?pageNo=983", "Onsemi")</f>
        <v>Onsemi</v>
      </c>
      <c r="C2332" s="6">
        <v>4800</v>
      </c>
      <c r="D2332" s="7">
        <v>0.43</v>
      </c>
    </row>
    <row r="2333" spans="1:5" x14ac:dyDescent="0.25">
      <c r="A2333" t="str">
        <f>HYPERLINK("https://www.773grp.com/globalSearch/CAT24C01YI-G/page-1", "CAT24C01YI-G")</f>
        <v>CAT24C01YI-G</v>
      </c>
      <c r="B2333" s="3" t="str">
        <f>HYPERLINK("https://www.773grp.com/manufacturer/onsemi?pageNo=984", "Onsemi")</f>
        <v>Onsemi</v>
      </c>
      <c r="C2333" s="6">
        <v>13400</v>
      </c>
      <c r="D2333" s="7">
        <v>0.43</v>
      </c>
    </row>
    <row r="2334" spans="1:5" x14ac:dyDescent="0.25">
      <c r="A2334" t="str">
        <f>HYPERLINK("https://www.773grp.com/globalSearch/CAT24C02VP2IGT3A/page-1", "CAT24C02VP2IGT3A")</f>
        <v>CAT24C02VP2IGT3A</v>
      </c>
      <c r="B2334" s="3" t="str">
        <f>HYPERLINK("https://www.773grp.com/manufacturer/onsemi?pageNo=985", "Onsemi")</f>
        <v>Onsemi</v>
      </c>
      <c r="C2334" s="6">
        <v>44466</v>
      </c>
      <c r="D2334" s="7">
        <v>0.43</v>
      </c>
    </row>
    <row r="2335" spans="1:5" x14ac:dyDescent="0.25">
      <c r="A2335" t="str">
        <f>HYPERLINK("https://www.773grp.com/globalSearch/CAT24C02VP2IGT3A/page-1", "CAT24C02VP2IGT3A")</f>
        <v>CAT24C02VP2IGT3A</v>
      </c>
      <c r="B2335" s="3" t="str">
        <f>HYPERLINK("https://www.773grp.com/manufacturer/onsemi?pageNo=986", "Onsemi")</f>
        <v>Onsemi</v>
      </c>
      <c r="C2335" s="6">
        <v>3000</v>
      </c>
      <c r="D2335" s="7">
        <v>0.43</v>
      </c>
    </row>
    <row r="2336" spans="1:5" x14ac:dyDescent="0.25">
      <c r="A2336" t="str">
        <f>HYPERLINK("https://www.773grp.com/globalSearch/CAT24WC66LI-G/page-1", "CAT24WC66LI-G")</f>
        <v>CAT24WC66LI-G</v>
      </c>
      <c r="B2336" s="3" t="str">
        <f>HYPERLINK("https://www.773grp.com/manufacturer/onsemi?pageNo=987", "Onsemi")</f>
        <v>Onsemi</v>
      </c>
      <c r="C2336" s="6">
        <v>8450</v>
      </c>
      <c r="D2336" s="7">
        <v>0.43</v>
      </c>
    </row>
    <row r="2337" spans="1:5" x14ac:dyDescent="0.25">
      <c r="A2337" t="str">
        <f>HYPERLINK("https://www.773grp.com/globalSearch/CAT24WC66WI-G/page-1", "CAT24WC66WI-G")</f>
        <v>CAT24WC66WI-G</v>
      </c>
      <c r="B2337" s="3" t="str">
        <f>HYPERLINK("https://www.773grp.com/manufacturer/onsemi?pageNo=988", "Onsemi")</f>
        <v>Onsemi</v>
      </c>
      <c r="C2337" s="6">
        <v>6100</v>
      </c>
      <c r="D2337" s="7">
        <v>0.43</v>
      </c>
    </row>
    <row r="2338" spans="1:5" x14ac:dyDescent="0.25">
      <c r="A2338" t="str">
        <f>HYPERLINK("https://www.773grp.com/globalSearch/CAT24WC66WI-GT3/page-1", "CAT24WC66WI-GT3")</f>
        <v>CAT24WC66WI-GT3</v>
      </c>
      <c r="B2338" s="3" t="str">
        <f>HYPERLINK("https://www.773grp.com/manufacturer/onsemi?pageNo=989", "Onsemi")</f>
        <v>Onsemi</v>
      </c>
      <c r="C2338" s="6">
        <v>81000</v>
      </c>
      <c r="D2338" s="7">
        <v>0.43</v>
      </c>
      <c r="E2338" t="s">
        <v>52</v>
      </c>
    </row>
    <row r="2339" spans="1:5" x14ac:dyDescent="0.25">
      <c r="A2339" t="str">
        <f>HYPERLINK("https://www.773grp.com/globalSearch/CM1218-C4SE/page-1", "CM1218-C4SE")</f>
        <v>CM1218-C4SE</v>
      </c>
      <c r="B2339" s="3" t="str">
        <f>HYPERLINK("https://www.773grp.com/manufacturer/onsemi?pageNo=990", "Onsemi")</f>
        <v>Onsemi</v>
      </c>
      <c r="C2339" s="6">
        <v>40000</v>
      </c>
      <c r="D2339" s="7">
        <v>0.43</v>
      </c>
    </row>
    <row r="2340" spans="1:5" x14ac:dyDescent="0.25">
      <c r="A2340" t="str">
        <f>HYPERLINK("https://www.773grp.com/globalSearch/EMF5XV6T5G/page-1", "EMF5XV6T5G")</f>
        <v>EMF5XV6T5G</v>
      </c>
      <c r="B2340" s="3" t="str">
        <f>HYPERLINK("https://www.773grp.com/manufacturer/onsemi?pageNo=991", "Onsemi")</f>
        <v>Onsemi</v>
      </c>
      <c r="C2340" s="6">
        <v>119772</v>
      </c>
      <c r="D2340" s="7">
        <v>0.43</v>
      </c>
      <c r="E2340" t="s">
        <v>57</v>
      </c>
    </row>
    <row r="2341" spans="1:5" x14ac:dyDescent="0.25">
      <c r="A2341" t="str">
        <f>HYPERLINK("https://www.773grp.com/globalSearch/ESD7951ST5G/page-1", "ESD7951ST5G")</f>
        <v>ESD7951ST5G</v>
      </c>
      <c r="B2341" s="3" t="str">
        <f>HYPERLINK("https://www.773grp.com/manufacturer/onsemi?pageNo=992", "Onsemi")</f>
        <v>Onsemi</v>
      </c>
      <c r="C2341" s="6">
        <v>880000</v>
      </c>
      <c r="D2341" s="7">
        <v>0.43</v>
      </c>
    </row>
    <row r="2342" spans="1:5" x14ac:dyDescent="0.25">
      <c r="A2342" t="str">
        <f>HYPERLINK("https://www.773grp.com/globalSearch/LM2901N/page-1", "LM2901N")</f>
        <v>LM2901N</v>
      </c>
      <c r="B2342" s="3" t="str">
        <f>HYPERLINK("https://www.773grp.com/manufacturer/onsemi?pageNo=993", "Onsemi")</f>
        <v>Onsemi</v>
      </c>
      <c r="C2342" s="6">
        <v>2749</v>
      </c>
      <c r="D2342" s="7">
        <v>0.43</v>
      </c>
      <c r="E2342" t="s">
        <v>6</v>
      </c>
    </row>
    <row r="2343" spans="1:5" x14ac:dyDescent="0.25">
      <c r="A2343" t="str">
        <f>HYPERLINK("https://www.773grp.com/globalSearch/LM2901N/page-1", "LM2901N")</f>
        <v>LM2901N</v>
      </c>
      <c r="B2343" s="3" t="str">
        <f>HYPERLINK("https://www.773grp.com/manufacturer/onsemi?pageNo=994", "Onsemi")</f>
        <v>Onsemi</v>
      </c>
      <c r="C2343" s="6">
        <v>6739</v>
      </c>
      <c r="D2343" s="7">
        <v>0.43</v>
      </c>
      <c r="E2343" t="s">
        <v>6</v>
      </c>
    </row>
    <row r="2344" spans="1:5" x14ac:dyDescent="0.25">
      <c r="A2344" t="str">
        <f>HYPERLINK("https://www.773grp.com/globalSearch/LM2903N/page-1", "LM2903N")</f>
        <v>LM2903N</v>
      </c>
      <c r="B2344" s="3" t="str">
        <f>HYPERLINK("https://www.773grp.com/manufacturer/onsemi?pageNo=995", "Onsemi")</f>
        <v>Onsemi</v>
      </c>
      <c r="C2344" s="6">
        <v>34438</v>
      </c>
      <c r="D2344" s="7">
        <v>0.43</v>
      </c>
      <c r="E2344" t="s">
        <v>6</v>
      </c>
    </row>
    <row r="2345" spans="1:5" x14ac:dyDescent="0.25">
      <c r="A2345" t="str">
        <f>HYPERLINK("https://www.773grp.com/globalSearch/LM2904N/page-1", "LM2904N")</f>
        <v>LM2904N</v>
      </c>
      <c r="B2345" s="3" t="str">
        <f>HYPERLINK("https://www.773grp.com/manufacturer/onsemi?pageNo=996", "Onsemi")</f>
        <v>Onsemi</v>
      </c>
      <c r="C2345" s="6">
        <v>16382</v>
      </c>
      <c r="D2345" s="7">
        <v>0.43</v>
      </c>
      <c r="E2345" t="s">
        <v>10</v>
      </c>
    </row>
    <row r="2346" spans="1:5" x14ac:dyDescent="0.25">
      <c r="A2346" t="str">
        <f>HYPERLINK("https://www.773grp.com/globalSearch/MBR150G/page-1", "MBR150G")</f>
        <v>MBR150G</v>
      </c>
      <c r="B2346" s="3" t="str">
        <f>HYPERLINK("https://www.773grp.com/manufacturer/onsemi?pageNo=997", "Onsemi")</f>
        <v>Onsemi</v>
      </c>
      <c r="C2346" s="6">
        <v>26994</v>
      </c>
      <c r="D2346" s="7">
        <v>0.43</v>
      </c>
      <c r="E2346" t="s">
        <v>73</v>
      </c>
    </row>
    <row r="2347" spans="1:5" x14ac:dyDescent="0.25">
      <c r="A2347" t="str">
        <f>HYPERLINK("https://www.773grp.com/globalSearch/MBR150RLG/page-1", "MBR150RLG")</f>
        <v>MBR150RLG</v>
      </c>
      <c r="B2347" s="3" t="str">
        <f>HYPERLINK("https://www.773grp.com/manufacturer/onsemi?pageNo=998", "Onsemi")</f>
        <v>Onsemi</v>
      </c>
      <c r="C2347" s="6">
        <v>10000</v>
      </c>
      <c r="D2347" s="7">
        <v>0.43</v>
      </c>
    </row>
    <row r="2348" spans="1:5" x14ac:dyDescent="0.25">
      <c r="A2348" t="str">
        <f>HYPERLINK("https://www.773grp.com/globalSearch/MBR160G/page-1", "MBR160G")</f>
        <v>MBR160G</v>
      </c>
      <c r="B2348" s="3" t="str">
        <f>HYPERLINK("https://www.773grp.com/manufacturer/onsemi?pageNo=999", "Onsemi")</f>
        <v>Onsemi</v>
      </c>
      <c r="C2348" s="6">
        <v>40207</v>
      </c>
      <c r="D2348" s="7">
        <v>0.43</v>
      </c>
      <c r="E2348" t="s">
        <v>73</v>
      </c>
    </row>
    <row r="2349" spans="1:5" x14ac:dyDescent="0.25">
      <c r="A2349" t="str">
        <f>HYPERLINK("https://www.773grp.com/globalSearch/MBR160RLG/page-1", "MBR160RLG")</f>
        <v>MBR160RLG</v>
      </c>
      <c r="B2349" s="3" t="str">
        <f>HYPERLINK("https://www.773grp.com/manufacturer/onsemi?pageNo=1000", "Onsemi")</f>
        <v>Onsemi</v>
      </c>
      <c r="C2349" s="6">
        <v>55000</v>
      </c>
      <c r="D2349" s="7">
        <v>0.43</v>
      </c>
      <c r="E2349" t="s">
        <v>73</v>
      </c>
    </row>
    <row r="2350" spans="1:5" x14ac:dyDescent="0.25">
      <c r="A2350" t="str">
        <f>HYPERLINK("https://www.773grp.com/globalSearch/MBRS120T3G/page-1", "MBRS120T3G")</f>
        <v>MBRS120T3G</v>
      </c>
      <c r="B2350" s="3" t="str">
        <f>HYPERLINK("https://www.773grp.com/manufacturer/onsemi?pageNo=1001", "Onsemi")</f>
        <v>Onsemi</v>
      </c>
      <c r="C2350" s="6">
        <v>27500</v>
      </c>
      <c r="D2350" s="7">
        <v>0.43</v>
      </c>
      <c r="E2350" t="s">
        <v>73</v>
      </c>
    </row>
    <row r="2351" spans="1:5" x14ac:dyDescent="0.25">
      <c r="A2351" t="str">
        <f>HYPERLINK("https://www.773grp.com/globalSearch/MBRS120T3H/page-1", "MBRS120T3H")</f>
        <v>MBRS120T3H</v>
      </c>
      <c r="B2351" s="3" t="str">
        <f>HYPERLINK("https://www.773grp.com/manufacturer/onsemi?pageNo=1002", "Onsemi")</f>
        <v>Onsemi</v>
      </c>
      <c r="C2351" s="6">
        <v>10000</v>
      </c>
      <c r="D2351" s="7">
        <v>0.43</v>
      </c>
    </row>
    <row r="2352" spans="1:5" x14ac:dyDescent="0.25">
      <c r="A2352" t="str">
        <f>HYPERLINK("https://www.773grp.com/globalSearch/MBRS140T3G/page-1", "MBRS140T3G")</f>
        <v>MBRS140T3G</v>
      </c>
      <c r="B2352" s="3" t="str">
        <f>HYPERLINK("https://www.773grp.com/manufacturer/onsemi?pageNo=1003", "Onsemi")</f>
        <v>Onsemi</v>
      </c>
      <c r="C2352" s="6">
        <v>13010</v>
      </c>
      <c r="D2352" s="7">
        <v>0.43</v>
      </c>
      <c r="E2352" t="s">
        <v>73</v>
      </c>
    </row>
    <row r="2353" spans="1:5" x14ac:dyDescent="0.25">
      <c r="A2353" t="str">
        <f>HYPERLINK("https://www.773grp.com/globalSearch/MBRS140T3H/page-1", "MBRS140T3H")</f>
        <v>MBRS140T3H</v>
      </c>
      <c r="B2353" s="3" t="str">
        <f>HYPERLINK("https://www.773grp.com/manufacturer/onsemi?pageNo=1004", "Onsemi")</f>
        <v>Onsemi</v>
      </c>
      <c r="C2353" s="6">
        <v>10000</v>
      </c>
      <c r="D2353" s="7">
        <v>0.43</v>
      </c>
    </row>
    <row r="2354" spans="1:5" x14ac:dyDescent="0.25">
      <c r="A2354" t="str">
        <f>HYPERLINK("https://www.773grp.com/globalSearch/MBRS190T3/page-1", "MBRS190T3")</f>
        <v>MBRS190T3</v>
      </c>
      <c r="B2354" s="3" t="str">
        <f>HYPERLINK("https://www.773grp.com/manufacturer/onsemi?pageNo=1005", "Onsemi")</f>
        <v>Onsemi</v>
      </c>
      <c r="C2354" s="6">
        <v>12440</v>
      </c>
      <c r="D2354" s="7">
        <v>0.43</v>
      </c>
      <c r="E2354" t="s">
        <v>82</v>
      </c>
    </row>
    <row r="2355" spans="1:5" x14ac:dyDescent="0.25">
      <c r="A2355" t="str">
        <f>HYPERLINK("https://www.773grp.com/globalSearch/MC14001BDT/page-1", "MC14001BDT")</f>
        <v>MC14001BDT</v>
      </c>
      <c r="B2355" s="3" t="str">
        <f>HYPERLINK("https://www.773grp.com/manufacturer/onsemi?pageNo=1006", "Onsemi")</f>
        <v>Onsemi</v>
      </c>
      <c r="C2355" s="6">
        <v>2681</v>
      </c>
      <c r="D2355" s="7">
        <v>0.43</v>
      </c>
      <c r="E2355" t="s">
        <v>27</v>
      </c>
    </row>
    <row r="2356" spans="1:5" x14ac:dyDescent="0.25">
      <c r="A2356" t="str">
        <f>HYPERLINK("https://www.773grp.com/globalSearch/MC14001BFL1/page-1", "MC14001BFL1")</f>
        <v>MC14001BFL1</v>
      </c>
      <c r="B2356" s="3" t="str">
        <f>HYPERLINK("https://www.773grp.com/manufacturer/onsemi?pageNo=1007", "Onsemi")</f>
        <v>Onsemi</v>
      </c>
      <c r="C2356" s="6">
        <v>17000</v>
      </c>
      <c r="D2356" s="7">
        <v>0.43</v>
      </c>
    </row>
    <row r="2357" spans="1:5" x14ac:dyDescent="0.25">
      <c r="A2357" t="str">
        <f>HYPERLINK("https://www.773grp.com/globalSearch/MC14001BFL2/page-1", "MC14001BFL2")</f>
        <v>MC14001BFL2</v>
      </c>
      <c r="B2357" s="3" t="str">
        <f>HYPERLINK("https://www.773grp.com/manufacturer/onsemi?pageNo=1008", "Onsemi")</f>
        <v>Onsemi</v>
      </c>
      <c r="C2357" s="6">
        <v>4000</v>
      </c>
      <c r="D2357" s="7">
        <v>0.43</v>
      </c>
    </row>
    <row r="2358" spans="1:5" x14ac:dyDescent="0.25">
      <c r="A2358" t="str">
        <f>HYPERLINK("https://www.773grp.com/globalSearch/MC14001BFR1/page-1", "MC14001BFR1")</f>
        <v>MC14001BFR1</v>
      </c>
      <c r="B2358" s="3" t="str">
        <f>HYPERLINK("https://www.773grp.com/manufacturer/onsemi?pageNo=1009", "Onsemi")</f>
        <v>Onsemi</v>
      </c>
      <c r="C2358" s="6">
        <v>11000</v>
      </c>
      <c r="D2358" s="7">
        <v>0.43</v>
      </c>
    </row>
    <row r="2359" spans="1:5" x14ac:dyDescent="0.25">
      <c r="A2359" t="str">
        <f>HYPERLINK("https://www.773grp.com/globalSearch/MC14011BDT/page-1", "MC14011BDT")</f>
        <v>MC14011BDT</v>
      </c>
      <c r="B2359" s="3" t="str">
        <f>HYPERLINK("https://www.773grp.com/manufacturer/onsemi?pageNo=1010", "Onsemi")</f>
        <v>Onsemi</v>
      </c>
      <c r="C2359" s="6">
        <v>4032</v>
      </c>
      <c r="D2359" s="7">
        <v>0.43</v>
      </c>
      <c r="E2359" t="s">
        <v>27</v>
      </c>
    </row>
    <row r="2360" spans="1:5" x14ac:dyDescent="0.25">
      <c r="A2360" t="str">
        <f>HYPERLINK("https://www.773grp.com/globalSearch/MC14011BFL1/page-1", "MC14011BFL1")</f>
        <v>MC14011BFL1</v>
      </c>
      <c r="B2360" s="3" t="str">
        <f>HYPERLINK("https://www.773grp.com/manufacturer/onsemi?pageNo=1011", "Onsemi")</f>
        <v>Onsemi</v>
      </c>
      <c r="C2360" s="6">
        <v>4000</v>
      </c>
      <c r="D2360" s="7">
        <v>0.43</v>
      </c>
    </row>
    <row r="2361" spans="1:5" x14ac:dyDescent="0.25">
      <c r="A2361" t="str">
        <f>HYPERLINK("https://www.773grp.com/globalSearch/MC14011BFR1/page-1", "MC14011BFR1")</f>
        <v>MC14011BFR1</v>
      </c>
      <c r="B2361" s="3" t="str">
        <f>HYPERLINK("https://www.773grp.com/manufacturer/onsemi?pageNo=1012", "Onsemi")</f>
        <v>Onsemi</v>
      </c>
      <c r="C2361" s="6">
        <v>19000</v>
      </c>
      <c r="D2361" s="7">
        <v>0.43</v>
      </c>
    </row>
    <row r="2362" spans="1:5" x14ac:dyDescent="0.25">
      <c r="A2362" t="str">
        <f>HYPERLINK("https://www.773grp.com/globalSearch/MC14011BFR2/page-1", "MC14011BFR2")</f>
        <v>MC14011BFR2</v>
      </c>
      <c r="B2362" s="3" t="str">
        <f>HYPERLINK("https://www.773grp.com/manufacturer/onsemi?pageNo=1013", "Onsemi")</f>
        <v>Onsemi</v>
      </c>
      <c r="C2362" s="6">
        <v>4000</v>
      </c>
      <c r="D2362" s="7">
        <v>0.43</v>
      </c>
    </row>
    <row r="2363" spans="1:5" x14ac:dyDescent="0.25">
      <c r="A2363" t="str">
        <f>HYPERLINK("https://www.773grp.com/globalSearch/MC14049UBD/page-1", "MC14049UBD")</f>
        <v>MC14049UBD</v>
      </c>
      <c r="B2363" s="3" t="str">
        <f>HYPERLINK("https://www.773grp.com/manufacturer/onsemi?pageNo=1014", "Onsemi")</f>
        <v>Onsemi</v>
      </c>
      <c r="C2363" s="6">
        <v>1637</v>
      </c>
      <c r="D2363" s="7">
        <v>0.43</v>
      </c>
      <c r="E2363" t="s">
        <v>27</v>
      </c>
    </row>
    <row r="2364" spans="1:5" x14ac:dyDescent="0.25">
      <c r="A2364" t="str">
        <f>HYPERLINK("https://www.773grp.com/globalSearch/MC14049UBDR2/page-1", "MC14049UBDR2")</f>
        <v>MC14049UBDR2</v>
      </c>
      <c r="B2364" s="3" t="str">
        <f>HYPERLINK("https://www.773grp.com/manufacturer/onsemi?pageNo=1015", "Onsemi")</f>
        <v>Onsemi</v>
      </c>
      <c r="C2364" s="6">
        <v>10000</v>
      </c>
      <c r="D2364" s="7">
        <v>0.43</v>
      </c>
      <c r="E2364" t="s">
        <v>27</v>
      </c>
    </row>
    <row r="2365" spans="1:5" x14ac:dyDescent="0.25">
      <c r="A2365" t="str">
        <f>HYPERLINK("https://www.773grp.com/globalSearch/MC14049UBDTEL/page-1", "MC14049UBDTEL")</f>
        <v>MC14049UBDTEL</v>
      </c>
      <c r="B2365" s="3" t="str">
        <f>HYPERLINK("https://www.773grp.com/manufacturer/onsemi?pageNo=1016", "Onsemi")</f>
        <v>Onsemi</v>
      </c>
      <c r="C2365" s="6">
        <v>3264</v>
      </c>
      <c r="D2365" s="7">
        <v>0.43</v>
      </c>
      <c r="E2365" t="s">
        <v>27</v>
      </c>
    </row>
    <row r="2366" spans="1:5" x14ac:dyDescent="0.25">
      <c r="A2366" t="str">
        <f>HYPERLINK("https://www.773grp.com/globalSearch/MC14049UBDTR2/page-1", "MC14049UBDTR2")</f>
        <v>MC14049UBDTR2</v>
      </c>
      <c r="B2366" s="3" t="str">
        <f>HYPERLINK("https://www.773grp.com/manufacturer/onsemi?pageNo=1017", "Onsemi")</f>
        <v>Onsemi</v>
      </c>
      <c r="C2366" s="6">
        <v>7500</v>
      </c>
      <c r="D2366" s="7">
        <v>0.43</v>
      </c>
      <c r="E2366" t="s">
        <v>27</v>
      </c>
    </row>
    <row r="2367" spans="1:5" x14ac:dyDescent="0.25">
      <c r="A2367" t="str">
        <f>HYPERLINK("https://www.773grp.com/globalSearch/MC14050BDT/page-1", "MC14050BDT")</f>
        <v>MC14050BDT</v>
      </c>
      <c r="B2367" s="3" t="str">
        <f>HYPERLINK("https://www.773grp.com/manufacturer/onsemi?pageNo=1018", "Onsemi")</f>
        <v>Onsemi</v>
      </c>
      <c r="C2367" s="6">
        <v>1056</v>
      </c>
      <c r="D2367" s="7">
        <v>0.43</v>
      </c>
      <c r="E2367" t="s">
        <v>27</v>
      </c>
    </row>
    <row r="2368" spans="1:5" x14ac:dyDescent="0.25">
      <c r="A2368" t="str">
        <f>HYPERLINK("https://www.773grp.com/globalSearch/MC14050BDTR2/page-1", "MC14050BDTR2")</f>
        <v>MC14050BDTR2</v>
      </c>
      <c r="B2368" s="3" t="str">
        <f>HYPERLINK("https://www.773grp.com/manufacturer/onsemi?pageNo=1019", "Onsemi")</f>
        <v>Onsemi</v>
      </c>
      <c r="C2368" s="6">
        <v>2500</v>
      </c>
      <c r="D2368" s="7">
        <v>0.43</v>
      </c>
      <c r="E2368" t="s">
        <v>27</v>
      </c>
    </row>
    <row r="2369" spans="1:5" x14ac:dyDescent="0.25">
      <c r="A2369" t="str">
        <f>HYPERLINK("https://www.773grp.com/globalSearch/MC14066BDT/page-1", "MC14066BDT")</f>
        <v>MC14066BDT</v>
      </c>
      <c r="B2369" s="3" t="str">
        <f>HYPERLINK("https://www.773grp.com/manufacturer/onsemi?pageNo=1020", "Onsemi")</f>
        <v>Onsemi</v>
      </c>
      <c r="C2369" s="6">
        <v>3490</v>
      </c>
      <c r="D2369" s="7">
        <v>0.43</v>
      </c>
      <c r="E2369" t="s">
        <v>46</v>
      </c>
    </row>
    <row r="2370" spans="1:5" x14ac:dyDescent="0.25">
      <c r="A2370" t="str">
        <f>HYPERLINK("https://www.773grp.com/globalSearch/MC14066BF/page-1", "MC14066BF")</f>
        <v>MC14066BF</v>
      </c>
      <c r="B2370" s="3" t="str">
        <f>HYPERLINK("https://www.773grp.com/manufacturer/onsemi?pageNo=1021", "Onsemi")</f>
        <v>Onsemi</v>
      </c>
      <c r="C2370" s="6">
        <v>2408</v>
      </c>
      <c r="D2370" s="7">
        <v>0.43</v>
      </c>
      <c r="E2370" t="s">
        <v>46</v>
      </c>
    </row>
    <row r="2371" spans="1:5" x14ac:dyDescent="0.25">
      <c r="A2371" t="str">
        <f>HYPERLINK("https://www.773grp.com/globalSearch/MC14066BFEL/page-1", "MC14066BFEL")</f>
        <v>MC14066BFEL</v>
      </c>
      <c r="B2371" s="3" t="str">
        <f>HYPERLINK("https://www.773grp.com/manufacturer/onsemi?pageNo=1022", "Onsemi")</f>
        <v>Onsemi</v>
      </c>
      <c r="C2371" s="6">
        <v>69981</v>
      </c>
      <c r="D2371" s="7">
        <v>0.43</v>
      </c>
      <c r="E2371" t="s">
        <v>46</v>
      </c>
    </row>
    <row r="2372" spans="1:5" x14ac:dyDescent="0.25">
      <c r="A2372" t="str">
        <f>HYPERLINK("https://www.773grp.com/globalSearch/MC14066BFL1/page-1", "MC14066BFL1")</f>
        <v>MC14066BFL1</v>
      </c>
      <c r="B2372" s="3" t="str">
        <f>HYPERLINK("https://www.773grp.com/manufacturer/onsemi?pageNo=1023", "Onsemi")</f>
        <v>Onsemi</v>
      </c>
      <c r="C2372" s="6">
        <v>78000</v>
      </c>
      <c r="D2372" s="7">
        <v>0.43</v>
      </c>
      <c r="E2372" t="s">
        <v>46</v>
      </c>
    </row>
    <row r="2373" spans="1:5" x14ac:dyDescent="0.25">
      <c r="A2373" t="str">
        <f>HYPERLINK("https://www.773grp.com/globalSearch/MC14066BFR1/page-1", "MC14066BFR1")</f>
        <v>MC14066BFR1</v>
      </c>
      <c r="B2373" s="3" t="str">
        <f>HYPERLINK("https://www.773grp.com/manufacturer/onsemi?pageNo=1024", "Onsemi")</f>
        <v>Onsemi</v>
      </c>
      <c r="C2373" s="6">
        <v>4000</v>
      </c>
      <c r="D2373" s="7">
        <v>0.43</v>
      </c>
      <c r="E2373" t="s">
        <v>46</v>
      </c>
    </row>
    <row r="2374" spans="1:5" x14ac:dyDescent="0.25">
      <c r="A2374" t="str">
        <f>HYPERLINK("https://www.773grp.com/globalSearch/MC14066BFR2/page-1", "MC14066BFR2")</f>
        <v>MC14066BFR2</v>
      </c>
      <c r="B2374" s="3" t="str">
        <f>HYPERLINK("https://www.773grp.com/manufacturer/onsemi?pageNo=1025", "Onsemi")</f>
        <v>Onsemi</v>
      </c>
      <c r="C2374" s="6">
        <v>2000</v>
      </c>
      <c r="D2374" s="7">
        <v>0.43</v>
      </c>
      <c r="E2374" t="s">
        <v>46</v>
      </c>
    </row>
    <row r="2375" spans="1:5" x14ac:dyDescent="0.25">
      <c r="A2375" t="str">
        <f>HYPERLINK("https://www.773grp.com/globalSearch/MC14066RFL2/page-1", "MC14066RFL2")</f>
        <v>MC14066RFL2</v>
      </c>
      <c r="B2375" s="3" t="str">
        <f>HYPERLINK("https://www.773grp.com/manufacturer/onsemi?pageNo=1026", "Onsemi")</f>
        <v>Onsemi</v>
      </c>
      <c r="C2375" s="6">
        <v>8000</v>
      </c>
      <c r="D2375" s="7">
        <v>0.43</v>
      </c>
    </row>
    <row r="2376" spans="1:5" x14ac:dyDescent="0.25">
      <c r="A2376" t="str">
        <f>HYPERLINK("https://www.773grp.com/globalSearch/MC14068BD/page-1", "MC14068BD")</f>
        <v>MC14068BD</v>
      </c>
      <c r="B2376" s="3" t="str">
        <f>HYPERLINK("https://www.773grp.com/manufacturer/onsemi?pageNo=1027", "Onsemi")</f>
        <v>Onsemi</v>
      </c>
      <c r="C2376" s="6">
        <v>7362</v>
      </c>
      <c r="D2376" s="7">
        <v>0.43</v>
      </c>
      <c r="E2376" t="s">
        <v>27</v>
      </c>
    </row>
    <row r="2377" spans="1:5" x14ac:dyDescent="0.25">
      <c r="A2377" t="str">
        <f>HYPERLINK("https://www.773grp.com/globalSearch/MC14068BF/page-1", "MC14068BF")</f>
        <v>MC14068BF</v>
      </c>
      <c r="B2377" s="3" t="str">
        <f>HYPERLINK("https://www.773grp.com/manufacturer/onsemi?pageNo=1028", "Onsemi")</f>
        <v>Onsemi</v>
      </c>
      <c r="C2377" s="6">
        <v>5100</v>
      </c>
      <c r="D2377" s="7">
        <v>0.43</v>
      </c>
    </row>
    <row r="2378" spans="1:5" x14ac:dyDescent="0.25">
      <c r="A2378" t="str">
        <f>HYPERLINK("https://www.773grp.com/globalSearch/MC14068BFEL/page-1", "MC14068BFEL")</f>
        <v>MC14068BFEL</v>
      </c>
      <c r="B2378" s="3" t="str">
        <f>HYPERLINK("https://www.773grp.com/manufacturer/onsemi?pageNo=1029", "Onsemi")</f>
        <v>Onsemi</v>
      </c>
      <c r="C2378" s="6">
        <v>8000</v>
      </c>
      <c r="D2378" s="7">
        <v>0.43</v>
      </c>
    </row>
    <row r="2379" spans="1:5" x14ac:dyDescent="0.25">
      <c r="A2379" t="str">
        <f>HYPERLINK("https://www.773grp.com/globalSearch/MC14069UBF/page-1", "MC14069UBF")</f>
        <v>MC14069UBF</v>
      </c>
      <c r="B2379" s="3" t="str">
        <f>HYPERLINK("https://www.773grp.com/manufacturer/onsemi?pageNo=1030", "Onsemi")</f>
        <v>Onsemi</v>
      </c>
      <c r="C2379" s="6">
        <v>2750</v>
      </c>
      <c r="D2379" s="7">
        <v>0.43</v>
      </c>
      <c r="E2379" t="s">
        <v>27</v>
      </c>
    </row>
    <row r="2380" spans="1:5" x14ac:dyDescent="0.25">
      <c r="A2380" t="str">
        <f>HYPERLINK("https://www.773grp.com/globalSearch/MC14069UBFL1/page-1", "MC14069UBFL1")</f>
        <v>MC14069UBFL1</v>
      </c>
      <c r="B2380" s="3" t="str">
        <f>HYPERLINK("https://www.773grp.com/manufacturer/onsemi?pageNo=1031", "Onsemi")</f>
        <v>Onsemi</v>
      </c>
      <c r="C2380" s="6">
        <v>3000</v>
      </c>
      <c r="D2380" s="7">
        <v>0.43</v>
      </c>
      <c r="E2380" t="s">
        <v>27</v>
      </c>
    </row>
    <row r="2381" spans="1:5" x14ac:dyDescent="0.25">
      <c r="A2381" t="str">
        <f>HYPERLINK("https://www.773grp.com/globalSearch/MC14069UBFR1/page-1", "MC14069UBFR1")</f>
        <v>MC14069UBFR1</v>
      </c>
      <c r="B2381" s="3" t="str">
        <f>HYPERLINK("https://www.773grp.com/manufacturer/onsemi?pageNo=1032", "Onsemi")</f>
        <v>Onsemi</v>
      </c>
      <c r="C2381" s="6">
        <v>8000</v>
      </c>
      <c r="D2381" s="7">
        <v>0.43</v>
      </c>
      <c r="E2381" t="s">
        <v>27</v>
      </c>
    </row>
    <row r="2382" spans="1:5" x14ac:dyDescent="0.25">
      <c r="A2382" t="str">
        <f>HYPERLINK("https://www.773grp.com/globalSearch/MC14081BF/page-1", "MC14081BF")</f>
        <v>MC14081BF</v>
      </c>
      <c r="B2382" s="3" t="str">
        <f>HYPERLINK("https://www.773grp.com/manufacturer/onsemi?pageNo=1033", "Onsemi")</f>
        <v>Onsemi</v>
      </c>
      <c r="C2382" s="6">
        <v>7375</v>
      </c>
      <c r="D2382" s="7">
        <v>0.43</v>
      </c>
      <c r="E2382" t="s">
        <v>27</v>
      </c>
    </row>
    <row r="2383" spans="1:5" x14ac:dyDescent="0.25">
      <c r="A2383" t="str">
        <f>HYPERLINK("https://www.773grp.com/globalSearch/MC14093BFR1/page-1", "MC14093BFR1")</f>
        <v>MC14093BFR1</v>
      </c>
      <c r="B2383" s="3" t="str">
        <f>HYPERLINK("https://www.773grp.com/manufacturer/onsemi?pageNo=1034", "Onsemi")</f>
        <v>Onsemi</v>
      </c>
      <c r="C2383" s="6">
        <v>6907</v>
      </c>
      <c r="D2383" s="7">
        <v>0.43</v>
      </c>
      <c r="E2383" t="s">
        <v>27</v>
      </c>
    </row>
    <row r="2384" spans="1:5" x14ac:dyDescent="0.25">
      <c r="A2384" t="str">
        <f>HYPERLINK("https://www.773grp.com/globalSearch/MC14541BDT/page-1", "MC14541BDT")</f>
        <v>MC14541BDT</v>
      </c>
      <c r="B2384" s="3" t="str">
        <f>HYPERLINK("https://www.773grp.com/manufacturer/onsemi?pageNo=1035", "Onsemi")</f>
        <v>Onsemi</v>
      </c>
      <c r="C2384" s="6">
        <v>12380</v>
      </c>
      <c r="D2384" s="7">
        <v>0.43</v>
      </c>
      <c r="E2384" t="s">
        <v>67</v>
      </c>
    </row>
    <row r="2385" spans="1:5" x14ac:dyDescent="0.25">
      <c r="A2385" t="str">
        <f>HYPERLINK("https://www.773grp.com/globalSearch/MC14541BDTR2/page-1", "MC14541BDTR2")</f>
        <v>MC14541BDTR2</v>
      </c>
      <c r="B2385" s="3" t="str">
        <f>HYPERLINK("https://www.773grp.com/manufacturer/onsemi?pageNo=1036", "Onsemi")</f>
        <v>Onsemi</v>
      </c>
      <c r="C2385" s="6">
        <v>37500</v>
      </c>
      <c r="D2385" s="7">
        <v>0.43</v>
      </c>
      <c r="E2385" t="s">
        <v>67</v>
      </c>
    </row>
    <row r="2386" spans="1:5" x14ac:dyDescent="0.25">
      <c r="A2386" t="str">
        <f>HYPERLINK("https://www.773grp.com/globalSearch/MC74AC86DT/page-1", "MC74AC86DT")</f>
        <v>MC74AC86DT</v>
      </c>
      <c r="B2386" s="3" t="str">
        <f>HYPERLINK("https://www.773grp.com/manufacturer/onsemi?pageNo=1037", "Onsemi")</f>
        <v>Onsemi</v>
      </c>
      <c r="C2386" s="6">
        <v>3588</v>
      </c>
      <c r="D2386" s="7">
        <v>0.43</v>
      </c>
      <c r="E2386" t="s">
        <v>27</v>
      </c>
    </row>
    <row r="2387" spans="1:5" x14ac:dyDescent="0.25">
      <c r="A2387" t="str">
        <f>HYPERLINK("https://www.773grp.com/globalSearch/MC74F00DR2/page-1", "MC74F00DR2")</f>
        <v>MC74F00DR2</v>
      </c>
      <c r="B2387" s="3" t="str">
        <f>HYPERLINK("https://www.773grp.com/manufacturer/onsemi?pageNo=1038", "Onsemi")</f>
        <v>Onsemi</v>
      </c>
      <c r="C2387" s="6">
        <v>12500</v>
      </c>
      <c r="D2387" s="7">
        <v>0.43</v>
      </c>
      <c r="E2387" t="s">
        <v>27</v>
      </c>
    </row>
    <row r="2388" spans="1:5" x14ac:dyDescent="0.25">
      <c r="A2388" t="str">
        <f>HYPERLINK("https://www.773grp.com/globalSearch/MC74F02MEL/page-1", "MC74F02MEL")</f>
        <v>MC74F02MEL</v>
      </c>
      <c r="B2388" s="3" t="str">
        <f>HYPERLINK("https://www.773grp.com/manufacturer/onsemi?pageNo=1039", "Onsemi")</f>
        <v>Onsemi</v>
      </c>
      <c r="C2388" s="6">
        <v>2000</v>
      </c>
      <c r="D2388" s="7">
        <v>0.43</v>
      </c>
    </row>
    <row r="2389" spans="1:5" x14ac:dyDescent="0.25">
      <c r="A2389" t="str">
        <f>HYPERLINK("https://www.773grp.com/globalSearch/MC74HC00AFL1/page-1", "MC74HC00AFL1")</f>
        <v>MC74HC00AFL1</v>
      </c>
      <c r="B2389" s="3" t="str">
        <f>HYPERLINK("https://www.773grp.com/manufacturer/onsemi?pageNo=1040", "Onsemi")</f>
        <v>Onsemi</v>
      </c>
      <c r="C2389" s="6">
        <v>10000</v>
      </c>
      <c r="D2389" s="7">
        <v>0.43</v>
      </c>
    </row>
    <row r="2390" spans="1:5" x14ac:dyDescent="0.25">
      <c r="A2390" t="str">
        <f>HYPERLINK("https://www.773grp.com/globalSearch/MC74HC00AFR1/page-1", "MC74HC00AFR1")</f>
        <v>MC74HC00AFR1</v>
      </c>
      <c r="B2390" s="3" t="str">
        <f>HYPERLINK("https://www.773grp.com/manufacturer/onsemi?pageNo=1041", "Onsemi")</f>
        <v>Onsemi</v>
      </c>
      <c r="C2390" s="6">
        <v>20000</v>
      </c>
      <c r="D2390" s="7">
        <v>0.43</v>
      </c>
    </row>
    <row r="2391" spans="1:5" x14ac:dyDescent="0.25">
      <c r="A2391" t="str">
        <f>HYPERLINK("https://www.773grp.com/globalSearch/MC74HC00AFR2/page-1", "MC74HC00AFR2")</f>
        <v>MC74HC00AFR2</v>
      </c>
      <c r="B2391" s="3" t="str">
        <f>HYPERLINK("https://www.773grp.com/manufacturer/onsemi?pageNo=1042", "Onsemi")</f>
        <v>Onsemi</v>
      </c>
      <c r="C2391" s="6">
        <v>4000</v>
      </c>
      <c r="D2391" s="7">
        <v>0.43</v>
      </c>
    </row>
    <row r="2392" spans="1:5" x14ac:dyDescent="0.25">
      <c r="A2392" t="str">
        <f>HYPERLINK("https://www.773grp.com/globalSearch/MC74HC02AF/page-1", "MC74HC02AF")</f>
        <v>MC74HC02AF</v>
      </c>
      <c r="B2392" s="3" t="str">
        <f>HYPERLINK("https://www.773grp.com/manufacturer/onsemi?pageNo=1043", "Onsemi")</f>
        <v>Onsemi</v>
      </c>
      <c r="C2392" s="6">
        <v>1914</v>
      </c>
      <c r="D2392" s="7">
        <v>0.43</v>
      </c>
      <c r="E2392" t="s">
        <v>27</v>
      </c>
    </row>
    <row r="2393" spans="1:5" x14ac:dyDescent="0.25">
      <c r="A2393" t="str">
        <f>HYPERLINK("https://www.773grp.com/globalSearch/MC74HC02AFL1/page-1", "MC74HC02AFL1")</f>
        <v>MC74HC02AFL1</v>
      </c>
      <c r="B2393" s="3" t="str">
        <f>HYPERLINK("https://www.773grp.com/manufacturer/onsemi?pageNo=1044", "Onsemi")</f>
        <v>Onsemi</v>
      </c>
      <c r="C2393" s="6">
        <v>28000</v>
      </c>
      <c r="D2393" s="7">
        <v>0.43</v>
      </c>
      <c r="E2393" t="s">
        <v>27</v>
      </c>
    </row>
    <row r="2394" spans="1:5" x14ac:dyDescent="0.25">
      <c r="A2394" t="str">
        <f>HYPERLINK("https://www.773grp.com/globalSearch/MC74HC02AFL2/page-1", "MC74HC02AFL2")</f>
        <v>MC74HC02AFL2</v>
      </c>
      <c r="B2394" s="3" t="str">
        <f>HYPERLINK("https://www.773grp.com/manufacturer/onsemi?pageNo=1045", "Onsemi")</f>
        <v>Onsemi</v>
      </c>
      <c r="C2394" s="6">
        <v>12000</v>
      </c>
      <c r="D2394" s="7">
        <v>0.43</v>
      </c>
      <c r="E2394" t="s">
        <v>27</v>
      </c>
    </row>
    <row r="2395" spans="1:5" x14ac:dyDescent="0.25">
      <c r="A2395" t="str">
        <f>HYPERLINK("https://www.773grp.com/globalSearch/MC74HC02AFR1/page-1", "MC74HC02AFR1")</f>
        <v>MC74HC02AFR1</v>
      </c>
      <c r="B2395" s="3" t="str">
        <f>HYPERLINK("https://www.773grp.com/manufacturer/onsemi?pageNo=1046", "Onsemi")</f>
        <v>Onsemi</v>
      </c>
      <c r="C2395" s="6">
        <v>49000</v>
      </c>
      <c r="D2395" s="7">
        <v>0.43</v>
      </c>
      <c r="E2395" t="s">
        <v>27</v>
      </c>
    </row>
    <row r="2396" spans="1:5" x14ac:dyDescent="0.25">
      <c r="A2396" t="str">
        <f>HYPERLINK("https://www.773grp.com/globalSearch/MC74HC02AFR2/page-1", "MC74HC02AFR2")</f>
        <v>MC74HC02AFR2</v>
      </c>
      <c r="B2396" s="3" t="str">
        <f>HYPERLINK("https://www.773grp.com/manufacturer/onsemi?pageNo=1047", "Onsemi")</f>
        <v>Onsemi</v>
      </c>
      <c r="C2396" s="6">
        <v>10000</v>
      </c>
      <c r="D2396" s="7">
        <v>0.43</v>
      </c>
      <c r="E2396" t="s">
        <v>27</v>
      </c>
    </row>
    <row r="2397" spans="1:5" x14ac:dyDescent="0.25">
      <c r="A2397" t="str">
        <f>HYPERLINK("https://www.773grp.com/globalSearch/MC74HC03AFL1/page-1", "MC74HC03AFL1")</f>
        <v>MC74HC03AFL1</v>
      </c>
      <c r="B2397" s="3" t="str">
        <f>HYPERLINK("https://www.773grp.com/manufacturer/onsemi?pageNo=1048", "Onsemi")</f>
        <v>Onsemi</v>
      </c>
      <c r="C2397" s="6">
        <v>3000</v>
      </c>
      <c r="D2397" s="7">
        <v>0.43</v>
      </c>
      <c r="E2397" t="s">
        <v>27</v>
      </c>
    </row>
    <row r="2398" spans="1:5" x14ac:dyDescent="0.25">
      <c r="A2398" t="str">
        <f>HYPERLINK("https://www.773grp.com/globalSearch/MC74HC03AFL2/page-1", "MC74HC03AFL2")</f>
        <v>MC74HC03AFL2</v>
      </c>
      <c r="B2398" s="3" t="str">
        <f>HYPERLINK("https://www.773grp.com/manufacturer/onsemi?pageNo=1049", "Onsemi")</f>
        <v>Onsemi</v>
      </c>
      <c r="C2398" s="6">
        <v>12000</v>
      </c>
      <c r="D2398" s="7">
        <v>0.43</v>
      </c>
      <c r="E2398" t="s">
        <v>27</v>
      </c>
    </row>
    <row r="2399" spans="1:5" x14ac:dyDescent="0.25">
      <c r="A2399" t="str">
        <f>HYPERLINK("https://www.773grp.com/globalSearch/MC74HC03AFR2/page-1", "MC74HC03AFR2")</f>
        <v>MC74HC03AFR2</v>
      </c>
      <c r="B2399" s="3" t="str">
        <f>HYPERLINK("https://www.773grp.com/manufacturer/onsemi?pageNo=1050", "Onsemi")</f>
        <v>Onsemi</v>
      </c>
      <c r="C2399" s="6">
        <v>4000</v>
      </c>
      <c r="D2399" s="7">
        <v>0.43</v>
      </c>
      <c r="E2399" t="s">
        <v>27</v>
      </c>
    </row>
    <row r="2400" spans="1:5" x14ac:dyDescent="0.25">
      <c r="A2400" t="str">
        <f>HYPERLINK("https://www.773grp.com/globalSearch/MC74HC04AFL1/page-1", "MC74HC04AFL1")</f>
        <v>MC74HC04AFL1</v>
      </c>
      <c r="B2400" s="3" t="str">
        <f>HYPERLINK("https://www.773grp.com/manufacturer/onsemi?pageNo=1051", "Onsemi")</f>
        <v>Onsemi</v>
      </c>
      <c r="C2400" s="6">
        <v>23980</v>
      </c>
      <c r="D2400" s="7">
        <v>0.43</v>
      </c>
      <c r="E2400" t="s">
        <v>27</v>
      </c>
    </row>
    <row r="2401" spans="1:5" x14ac:dyDescent="0.25">
      <c r="A2401" t="str">
        <f>HYPERLINK("https://www.773grp.com/globalSearch/MC74HC04AFL2/page-1", "MC74HC04AFL2")</f>
        <v>MC74HC04AFL2</v>
      </c>
      <c r="B2401" s="3" t="str">
        <f>HYPERLINK("https://www.773grp.com/manufacturer/onsemi?pageNo=1052", "Onsemi")</f>
        <v>Onsemi</v>
      </c>
      <c r="C2401" s="6">
        <v>16000</v>
      </c>
      <c r="D2401" s="7">
        <v>0.43</v>
      </c>
      <c r="E2401" t="s">
        <v>27</v>
      </c>
    </row>
    <row r="2402" spans="1:5" x14ac:dyDescent="0.25">
      <c r="A2402" t="str">
        <f>HYPERLINK("https://www.773grp.com/globalSearch/MC74HC04AFR1/page-1", "MC74HC04AFR1")</f>
        <v>MC74HC04AFR1</v>
      </c>
      <c r="B2402" s="3" t="str">
        <f>HYPERLINK("https://www.773grp.com/manufacturer/onsemi?pageNo=1053", "Onsemi")</f>
        <v>Onsemi</v>
      </c>
      <c r="C2402" s="6">
        <v>2000</v>
      </c>
      <c r="D2402" s="7">
        <v>0.43</v>
      </c>
      <c r="E2402" t="s">
        <v>27</v>
      </c>
    </row>
    <row r="2403" spans="1:5" x14ac:dyDescent="0.25">
      <c r="A2403" t="str">
        <f>HYPERLINK("https://www.773grp.com/globalSearch/MC74HC04AFR2/page-1", "MC74HC04AFR2")</f>
        <v>MC74HC04AFR2</v>
      </c>
      <c r="B2403" s="3" t="str">
        <f>HYPERLINK("https://www.773grp.com/manufacturer/onsemi?pageNo=1054", "Onsemi")</f>
        <v>Onsemi</v>
      </c>
      <c r="C2403" s="6">
        <v>4000</v>
      </c>
      <c r="D2403" s="7">
        <v>0.43</v>
      </c>
      <c r="E2403" t="s">
        <v>27</v>
      </c>
    </row>
    <row r="2404" spans="1:5" x14ac:dyDescent="0.25">
      <c r="A2404" t="str">
        <f>HYPERLINK("https://www.773grp.com/globalSearch/MC74HC05ADG/page-1", "MC74HC05ADG")</f>
        <v>MC74HC05ADG</v>
      </c>
      <c r="B2404" s="3" t="str">
        <f>HYPERLINK("https://www.773grp.com/manufacturer/onsemi?pageNo=1055", "Onsemi")</f>
        <v>Onsemi</v>
      </c>
      <c r="C2404" s="6">
        <v>8768</v>
      </c>
      <c r="D2404" s="7">
        <v>0.43</v>
      </c>
    </row>
    <row r="2405" spans="1:5" x14ac:dyDescent="0.25">
      <c r="A2405" t="str">
        <f>HYPERLINK("https://www.773grp.com/globalSearch/MC74HC05ADR2G/page-1", "MC74HC05ADR2G")</f>
        <v>MC74HC05ADR2G</v>
      </c>
      <c r="B2405" s="3" t="str">
        <f>HYPERLINK("https://www.773grp.com/manufacturer/onsemi?pageNo=1056", "Onsemi")</f>
        <v>Onsemi</v>
      </c>
      <c r="C2405" s="6">
        <v>44791</v>
      </c>
      <c r="D2405" s="7">
        <v>0.43</v>
      </c>
      <c r="E2405" t="s">
        <v>27</v>
      </c>
    </row>
    <row r="2406" spans="1:5" x14ac:dyDescent="0.25">
      <c r="A2406" t="str">
        <f>HYPERLINK("https://www.773grp.com/globalSearch/MC74HC05ADTG/page-1", "MC74HC05ADTG")</f>
        <v>MC74HC05ADTG</v>
      </c>
      <c r="B2406" s="3" t="str">
        <f>HYPERLINK("https://www.773grp.com/manufacturer/onsemi?pageNo=1057", "Onsemi")</f>
        <v>Onsemi</v>
      </c>
      <c r="C2406" s="6">
        <v>42196</v>
      </c>
      <c r="D2406" s="7">
        <v>0.43</v>
      </c>
    </row>
    <row r="2407" spans="1:5" x14ac:dyDescent="0.25">
      <c r="A2407" t="str">
        <f>HYPERLINK("https://www.773grp.com/globalSearch/MC74HC05ADTR2G/page-1", "MC74HC05ADTR2G")</f>
        <v>MC74HC05ADTR2G</v>
      </c>
      <c r="B2407" s="3" t="str">
        <f>HYPERLINK("https://www.773grp.com/manufacturer/onsemi?pageNo=1058", "Onsemi")</f>
        <v>Onsemi</v>
      </c>
      <c r="C2407" s="6">
        <v>7500</v>
      </c>
      <c r="D2407" s="7">
        <v>0.43</v>
      </c>
      <c r="E2407" t="s">
        <v>27</v>
      </c>
    </row>
    <row r="2408" spans="1:5" x14ac:dyDescent="0.25">
      <c r="A2408" t="str">
        <f>HYPERLINK("https://www.773grp.com/globalSearch/MC74HC08AFL2/page-1", "MC74HC08AFL2")</f>
        <v>MC74HC08AFL2</v>
      </c>
      <c r="B2408" s="3" t="str">
        <f>HYPERLINK("https://www.773grp.com/manufacturer/onsemi?pageNo=1059", "Onsemi")</f>
        <v>Onsemi</v>
      </c>
      <c r="C2408" s="6">
        <v>4000</v>
      </c>
      <c r="D2408" s="7">
        <v>0.43</v>
      </c>
    </row>
    <row r="2409" spans="1:5" x14ac:dyDescent="0.25">
      <c r="A2409" t="str">
        <f>HYPERLINK("https://www.773grp.com/globalSearch/MC74HC08AFR1/page-1", "MC74HC08AFR1")</f>
        <v>MC74HC08AFR1</v>
      </c>
      <c r="B2409" s="3" t="str">
        <f>HYPERLINK("https://www.773grp.com/manufacturer/onsemi?pageNo=1060", "Onsemi")</f>
        <v>Onsemi</v>
      </c>
      <c r="C2409" s="6">
        <v>5000</v>
      </c>
      <c r="D2409" s="7">
        <v>0.43</v>
      </c>
    </row>
    <row r="2410" spans="1:5" x14ac:dyDescent="0.25">
      <c r="A2410" t="str">
        <f>HYPERLINK("https://www.773grp.com/globalSearch/MC74HC08AFR2/page-1", "MC74HC08AFR2")</f>
        <v>MC74HC08AFR2</v>
      </c>
      <c r="B2410" s="3" t="str">
        <f>HYPERLINK("https://www.773grp.com/manufacturer/onsemi?pageNo=1061", "Onsemi")</f>
        <v>Onsemi</v>
      </c>
      <c r="C2410" s="6">
        <v>16000</v>
      </c>
      <c r="D2410" s="7">
        <v>0.43</v>
      </c>
    </row>
    <row r="2411" spans="1:5" x14ac:dyDescent="0.25">
      <c r="A2411" t="str">
        <f>HYPERLINK("https://www.773grp.com/globalSearch/MC74HC10N/page-1", "MC74HC10N")</f>
        <v>MC74HC10N</v>
      </c>
      <c r="B2411" s="3" t="str">
        <f>HYPERLINK("https://www.773grp.com/manufacturer/onsemi?pageNo=1062", "Onsemi")</f>
        <v>Onsemi</v>
      </c>
      <c r="C2411" s="6">
        <v>26</v>
      </c>
      <c r="D2411" s="7">
        <v>0.43</v>
      </c>
      <c r="E2411" t="s">
        <v>27</v>
      </c>
    </row>
    <row r="2412" spans="1:5" x14ac:dyDescent="0.25">
      <c r="A2412" t="str">
        <f>HYPERLINK("https://www.773grp.com/globalSearch/MC74HC112ADG/page-1", "MC74HC112ADG")</f>
        <v>MC74HC112ADG</v>
      </c>
      <c r="B2412" s="3" t="str">
        <f>HYPERLINK("https://www.773grp.com/manufacturer/onsemi?pageNo=1063", "Onsemi")</f>
        <v>Onsemi</v>
      </c>
      <c r="C2412" s="6">
        <v>31708</v>
      </c>
      <c r="D2412" s="7">
        <v>0.43</v>
      </c>
    </row>
    <row r="2413" spans="1:5" x14ac:dyDescent="0.25">
      <c r="A2413" t="str">
        <f>HYPERLINK("https://www.773grp.com/globalSearch/MC74HC112ADR2G/page-1", "MC74HC112ADR2G")</f>
        <v>MC74HC112ADR2G</v>
      </c>
      <c r="B2413" s="3" t="str">
        <f>HYPERLINK("https://www.773grp.com/manufacturer/onsemi?pageNo=1064", "Onsemi")</f>
        <v>Onsemi</v>
      </c>
      <c r="C2413" s="6">
        <v>20541</v>
      </c>
      <c r="D2413" s="7">
        <v>0.43</v>
      </c>
      <c r="E2413" t="s">
        <v>31</v>
      </c>
    </row>
    <row r="2414" spans="1:5" x14ac:dyDescent="0.25">
      <c r="A2414" t="str">
        <f>HYPERLINK("https://www.773grp.com/globalSearch/MC74HC112ADTG/page-1", "MC74HC112ADTG")</f>
        <v>MC74HC112ADTG</v>
      </c>
      <c r="B2414" s="3" t="str">
        <f>HYPERLINK("https://www.773grp.com/manufacturer/onsemi?pageNo=1065", "Onsemi")</f>
        <v>Onsemi</v>
      </c>
      <c r="C2414" s="6">
        <v>23904</v>
      </c>
      <c r="D2414" s="7">
        <v>0.43</v>
      </c>
    </row>
    <row r="2415" spans="1:5" x14ac:dyDescent="0.25">
      <c r="A2415" t="str">
        <f>HYPERLINK("https://www.773grp.com/globalSearch/MC74HC112ADTR2G/page-1", "MC74HC112ADTR2G")</f>
        <v>MC74HC112ADTR2G</v>
      </c>
      <c r="B2415" s="3" t="str">
        <f>HYPERLINK("https://www.773grp.com/manufacturer/onsemi?pageNo=1066", "Onsemi")</f>
        <v>Onsemi</v>
      </c>
      <c r="C2415" s="6">
        <v>7475</v>
      </c>
      <c r="D2415" s="7">
        <v>0.43</v>
      </c>
      <c r="E2415" t="s">
        <v>31</v>
      </c>
    </row>
    <row r="2416" spans="1:5" x14ac:dyDescent="0.25">
      <c r="A2416" t="str">
        <f>HYPERLINK("https://www.773grp.com/globalSearch/MC74HC11D/page-1", "MC74HC11D")</f>
        <v>MC74HC11D</v>
      </c>
      <c r="B2416" s="3" t="str">
        <f>HYPERLINK("https://www.773grp.com/manufacturer/onsemi?pageNo=1067", "Onsemi")</f>
        <v>Onsemi</v>
      </c>
      <c r="C2416" s="6">
        <v>29144</v>
      </c>
      <c r="D2416" s="7">
        <v>0.43</v>
      </c>
      <c r="E2416" t="s">
        <v>27</v>
      </c>
    </row>
    <row r="2417" spans="1:5" x14ac:dyDescent="0.25">
      <c r="A2417" t="str">
        <f>HYPERLINK("https://www.773grp.com/globalSearch/MC74HC11N/page-1", "MC74HC11N")</f>
        <v>MC74HC11N</v>
      </c>
      <c r="B2417" s="3" t="str">
        <f>HYPERLINK("https://www.773grp.com/manufacturer/onsemi?pageNo=1068", "Onsemi")</f>
        <v>Onsemi</v>
      </c>
      <c r="C2417" s="6">
        <v>830</v>
      </c>
      <c r="D2417" s="7">
        <v>0.43</v>
      </c>
      <c r="E2417" t="s">
        <v>27</v>
      </c>
    </row>
    <row r="2418" spans="1:5" x14ac:dyDescent="0.25">
      <c r="A2418" t="str">
        <f>HYPERLINK("https://www.773grp.com/globalSearch/MC74HC125AN/page-1", "MC74HC125AN")</f>
        <v>MC74HC125AN</v>
      </c>
      <c r="B2418" s="3" t="str">
        <f>HYPERLINK("https://www.773grp.com/manufacturer/onsemi?pageNo=1069", "Onsemi")</f>
        <v>Onsemi</v>
      </c>
      <c r="C2418" s="6">
        <v>10831</v>
      </c>
      <c r="D2418" s="7">
        <v>0.43</v>
      </c>
      <c r="E2418" t="s">
        <v>11</v>
      </c>
    </row>
    <row r="2419" spans="1:5" x14ac:dyDescent="0.25">
      <c r="A2419" t="str">
        <f>HYPERLINK("https://www.773grp.com/globalSearch/MC74HC126AN/page-1", "MC74HC126AN")</f>
        <v>MC74HC126AN</v>
      </c>
      <c r="B2419" s="3" t="str">
        <f>HYPERLINK("https://www.773grp.com/manufacturer/onsemi?pageNo=1070", "Onsemi")</f>
        <v>Onsemi</v>
      </c>
      <c r="C2419" s="6">
        <v>2000</v>
      </c>
      <c r="D2419" s="7">
        <v>0.43</v>
      </c>
      <c r="E2419" t="s">
        <v>11</v>
      </c>
    </row>
    <row r="2420" spans="1:5" x14ac:dyDescent="0.25">
      <c r="A2420" t="str">
        <f>HYPERLINK("https://www.773grp.com/globalSearch/MC74HC132AN/page-1", "MC74HC132AN")</f>
        <v>MC74HC132AN</v>
      </c>
      <c r="B2420" s="3" t="str">
        <f>HYPERLINK("https://www.773grp.com/manufacturer/onsemi?pageNo=1071", "Onsemi")</f>
        <v>Onsemi</v>
      </c>
      <c r="C2420" s="6">
        <v>41089</v>
      </c>
      <c r="D2420" s="7">
        <v>0.43</v>
      </c>
      <c r="E2420" t="s">
        <v>27</v>
      </c>
    </row>
    <row r="2421" spans="1:5" x14ac:dyDescent="0.25">
      <c r="A2421" t="str">
        <f>HYPERLINK("https://www.773grp.com/globalSearch/MC74HC151FR1/page-1", "MC74HC151FR1")</f>
        <v>MC74HC151FR1</v>
      </c>
      <c r="B2421" s="3" t="str">
        <f>HYPERLINK("https://www.773grp.com/manufacturer/onsemi?pageNo=1072", "Onsemi")</f>
        <v>Onsemi</v>
      </c>
      <c r="C2421" s="6">
        <v>1000</v>
      </c>
      <c r="D2421" s="7">
        <v>0.43</v>
      </c>
    </row>
    <row r="2422" spans="1:5" x14ac:dyDescent="0.25">
      <c r="A2422" t="str">
        <f>HYPERLINK("https://www.773grp.com/globalSearch/MC74HC157AN/page-1", "MC74HC157AN")</f>
        <v>MC74HC157AN</v>
      </c>
      <c r="B2422" s="3" t="str">
        <f>HYPERLINK("https://www.773grp.com/manufacturer/onsemi?pageNo=1073", "Onsemi")</f>
        <v>Onsemi</v>
      </c>
      <c r="C2422" s="6">
        <v>38400</v>
      </c>
      <c r="D2422" s="7">
        <v>0.43</v>
      </c>
      <c r="E2422" t="s">
        <v>16</v>
      </c>
    </row>
    <row r="2423" spans="1:5" x14ac:dyDescent="0.25">
      <c r="A2423" t="str">
        <f>HYPERLINK("https://www.773grp.com/globalSearch/MC74HC20F/page-1", "MC74HC20F")</f>
        <v>MC74HC20F</v>
      </c>
      <c r="B2423" s="3" t="str">
        <f>HYPERLINK("https://www.773grp.com/manufacturer/onsemi?pageNo=1074", "Onsemi")</f>
        <v>Onsemi</v>
      </c>
      <c r="C2423" s="6">
        <v>1</v>
      </c>
      <c r="D2423" s="7">
        <v>0.43</v>
      </c>
    </row>
    <row r="2424" spans="1:5" x14ac:dyDescent="0.25">
      <c r="A2424" t="str">
        <f>HYPERLINK("https://www.773grp.com/globalSearch/MC74HC20FL1/page-1", "MC74HC20FL1")</f>
        <v>MC74HC20FL1</v>
      </c>
      <c r="B2424" s="3" t="str">
        <f>HYPERLINK("https://www.773grp.com/manufacturer/onsemi?pageNo=1075", "Onsemi")</f>
        <v>Onsemi</v>
      </c>
      <c r="C2424" s="6">
        <v>3000</v>
      </c>
      <c r="D2424" s="7">
        <v>0.43</v>
      </c>
    </row>
    <row r="2425" spans="1:5" x14ac:dyDescent="0.25">
      <c r="A2425" t="str">
        <f>HYPERLINK("https://www.773grp.com/globalSearch/MC74HC20FR1/page-1", "MC74HC20FR1")</f>
        <v>MC74HC20FR1</v>
      </c>
      <c r="B2425" s="3" t="str">
        <f>HYPERLINK("https://www.773grp.com/manufacturer/onsemi?pageNo=1076", "Onsemi")</f>
        <v>Onsemi</v>
      </c>
      <c r="C2425" s="6">
        <v>2000</v>
      </c>
      <c r="D2425" s="7">
        <v>0.43</v>
      </c>
    </row>
    <row r="2426" spans="1:5" x14ac:dyDescent="0.25">
      <c r="A2426" t="str">
        <f>HYPERLINK("https://www.773grp.com/globalSearch/MC74HC20N/page-1", "MC74HC20N")</f>
        <v>MC74HC20N</v>
      </c>
      <c r="B2426" s="3" t="str">
        <f>HYPERLINK("https://www.773grp.com/manufacturer/onsemi?pageNo=1077", "Onsemi")</f>
        <v>Onsemi</v>
      </c>
      <c r="C2426" s="6">
        <v>45</v>
      </c>
      <c r="D2426" s="7">
        <v>0.43</v>
      </c>
      <c r="E2426" t="s">
        <v>27</v>
      </c>
    </row>
    <row r="2427" spans="1:5" x14ac:dyDescent="0.25">
      <c r="A2427" t="str">
        <f>HYPERLINK("https://www.773grp.com/globalSearch/MC74HC27D/page-1", "MC74HC27D")</f>
        <v>MC74HC27D</v>
      </c>
      <c r="B2427" s="3" t="str">
        <f>HYPERLINK("https://www.773grp.com/manufacturer/onsemi?pageNo=1078", "Onsemi")</f>
        <v>Onsemi</v>
      </c>
      <c r="C2427" s="6">
        <v>1313</v>
      </c>
      <c r="D2427" s="7">
        <v>0.43</v>
      </c>
      <c r="E2427" t="s">
        <v>27</v>
      </c>
    </row>
    <row r="2428" spans="1:5" x14ac:dyDescent="0.25">
      <c r="A2428" t="str">
        <f>HYPERLINK("https://www.773grp.com/globalSearch/MC74HC27FR1/page-1", "MC74HC27FR1")</f>
        <v>MC74HC27FR1</v>
      </c>
      <c r="B2428" s="3" t="str">
        <f>HYPERLINK("https://www.773grp.com/manufacturer/onsemi?pageNo=1079", "Onsemi")</f>
        <v>Onsemi</v>
      </c>
      <c r="C2428" s="6">
        <v>9000</v>
      </c>
      <c r="D2428" s="7">
        <v>0.43</v>
      </c>
    </row>
    <row r="2429" spans="1:5" x14ac:dyDescent="0.25">
      <c r="A2429" t="str">
        <f>HYPERLINK("https://www.773grp.com/globalSearch/MC74HC27FR2/page-1", "MC74HC27FR2")</f>
        <v>MC74HC27FR2</v>
      </c>
      <c r="B2429" s="3" t="str">
        <f>HYPERLINK("https://www.773grp.com/manufacturer/onsemi?pageNo=1080", "Onsemi")</f>
        <v>Onsemi</v>
      </c>
      <c r="C2429" s="6">
        <v>2000</v>
      </c>
      <c r="D2429" s="7">
        <v>0.43</v>
      </c>
    </row>
    <row r="2430" spans="1:5" x14ac:dyDescent="0.25">
      <c r="A2430" t="str">
        <f>HYPERLINK("https://www.773grp.com/globalSearch/MC74HC30DT/page-1", "MC74HC30DT")</f>
        <v>MC74HC30DT</v>
      </c>
      <c r="B2430" s="3" t="str">
        <f>HYPERLINK("https://www.773grp.com/manufacturer/onsemi?pageNo=1081", "Onsemi")</f>
        <v>Onsemi</v>
      </c>
      <c r="C2430" s="6">
        <v>3359</v>
      </c>
      <c r="D2430" s="7">
        <v>0.43</v>
      </c>
    </row>
    <row r="2431" spans="1:5" x14ac:dyDescent="0.25">
      <c r="A2431" t="str">
        <f>HYPERLINK("https://www.773grp.com/globalSearch/MC74HC30F/page-1", "MC74HC30F")</f>
        <v>MC74HC30F</v>
      </c>
      <c r="B2431" s="3" t="str">
        <f>HYPERLINK("https://www.773grp.com/manufacturer/onsemi?pageNo=1082", "Onsemi")</f>
        <v>Onsemi</v>
      </c>
      <c r="C2431" s="6">
        <v>6141</v>
      </c>
      <c r="D2431" s="7">
        <v>0.43</v>
      </c>
    </row>
    <row r="2432" spans="1:5" x14ac:dyDescent="0.25">
      <c r="A2432" t="str">
        <f>HYPERLINK("https://www.773grp.com/globalSearch/MC74HC30FL1/page-1", "MC74HC30FL1")</f>
        <v>MC74HC30FL1</v>
      </c>
      <c r="B2432" s="3" t="str">
        <f>HYPERLINK("https://www.773grp.com/manufacturer/onsemi?pageNo=1083", "Onsemi")</f>
        <v>Onsemi</v>
      </c>
      <c r="C2432" s="6">
        <v>5000</v>
      </c>
      <c r="D2432" s="7">
        <v>0.43</v>
      </c>
    </row>
    <row r="2433" spans="1:5" x14ac:dyDescent="0.25">
      <c r="A2433" t="str">
        <f>HYPERLINK("https://www.773grp.com/globalSearch/MC74HC30FR2/page-1", "MC74HC30FR2")</f>
        <v>MC74HC30FR2</v>
      </c>
      <c r="B2433" s="3" t="str">
        <f>HYPERLINK("https://www.773grp.com/manufacturer/onsemi?pageNo=1084", "Onsemi")</f>
        <v>Onsemi</v>
      </c>
      <c r="C2433" s="6">
        <v>2000</v>
      </c>
      <c r="D2433" s="7">
        <v>0.43</v>
      </c>
    </row>
    <row r="2434" spans="1:5" x14ac:dyDescent="0.25">
      <c r="A2434" t="str">
        <f>HYPERLINK("https://www.773grp.com/globalSearch/MC74HC32AFL1/page-1", "MC74HC32AFL1")</f>
        <v>MC74HC32AFL1</v>
      </c>
      <c r="B2434" s="3" t="str">
        <f>HYPERLINK("https://www.773grp.com/manufacturer/onsemi?pageNo=1085", "Onsemi")</f>
        <v>Onsemi</v>
      </c>
      <c r="C2434" s="6">
        <v>1000</v>
      </c>
      <c r="D2434" s="7">
        <v>0.43</v>
      </c>
    </row>
    <row r="2435" spans="1:5" x14ac:dyDescent="0.25">
      <c r="A2435" t="str">
        <f>HYPERLINK("https://www.773grp.com/globalSearch/MC74HC32AFR1/page-1", "MC74HC32AFR1")</f>
        <v>MC74HC32AFR1</v>
      </c>
      <c r="B2435" s="3" t="str">
        <f>HYPERLINK("https://www.773grp.com/manufacturer/onsemi?pageNo=1086", "Onsemi")</f>
        <v>Onsemi</v>
      </c>
      <c r="C2435" s="6">
        <v>36000</v>
      </c>
      <c r="D2435" s="7">
        <v>0.43</v>
      </c>
    </row>
    <row r="2436" spans="1:5" x14ac:dyDescent="0.25">
      <c r="A2436" t="str">
        <f>HYPERLINK("https://www.773grp.com/globalSearch/MC74HC32AFR2/page-1", "MC74HC32AFR2")</f>
        <v>MC74HC32AFR2</v>
      </c>
      <c r="B2436" s="3" t="str">
        <f>HYPERLINK("https://www.773grp.com/manufacturer/onsemi?pageNo=1087", "Onsemi")</f>
        <v>Onsemi</v>
      </c>
      <c r="C2436" s="6">
        <v>2000</v>
      </c>
      <c r="D2436" s="7">
        <v>0.43</v>
      </c>
    </row>
    <row r="2437" spans="1:5" x14ac:dyDescent="0.25">
      <c r="A2437" t="str">
        <f>HYPERLINK("https://www.773grp.com/globalSearch/MC74HC4049FL1/page-1", "MC74HC4049FL1")</f>
        <v>MC74HC4049FL1</v>
      </c>
      <c r="B2437" s="3" t="str">
        <f>HYPERLINK("https://www.773grp.com/manufacturer/onsemi?pageNo=1088", "Onsemi")</f>
        <v>Onsemi</v>
      </c>
      <c r="C2437" s="6">
        <v>6000</v>
      </c>
      <c r="D2437" s="7">
        <v>0.43</v>
      </c>
    </row>
    <row r="2438" spans="1:5" x14ac:dyDescent="0.25">
      <c r="A2438" t="str">
        <f>HYPERLINK("https://www.773grp.com/globalSearch/MC74HC4094ADR2G/page-1", "MC74HC4094ADR2G")</f>
        <v>MC74HC4094ADR2G</v>
      </c>
      <c r="B2438" s="3" t="str">
        <f>HYPERLINK("https://www.773grp.com/manufacturer/onsemi?pageNo=1089", "Onsemi")</f>
        <v>Onsemi</v>
      </c>
      <c r="C2438" s="6">
        <v>5000</v>
      </c>
      <c r="D2438" s="7">
        <v>0.43</v>
      </c>
      <c r="E2438" t="s">
        <v>28</v>
      </c>
    </row>
    <row r="2439" spans="1:5" x14ac:dyDescent="0.25">
      <c r="A2439" t="str">
        <f>HYPERLINK("https://www.773grp.com/globalSearch/MC74HC4094ADTR2G/page-1", "MC74HC4094ADTR2G")</f>
        <v>MC74HC4094ADTR2G</v>
      </c>
      <c r="B2439" s="3" t="str">
        <f>HYPERLINK("https://www.773grp.com/manufacturer/onsemi?pageNo=1090", "Onsemi")</f>
        <v>Onsemi</v>
      </c>
      <c r="C2439" s="6">
        <v>5000</v>
      </c>
      <c r="D2439" s="7">
        <v>0.43</v>
      </c>
      <c r="E2439" t="s">
        <v>28</v>
      </c>
    </row>
    <row r="2440" spans="1:5" x14ac:dyDescent="0.25">
      <c r="A2440" t="str">
        <f>HYPERLINK("https://www.773grp.com/globalSearch/MC74HC595ADR2/page-1", "MC74HC595ADR2")</f>
        <v>MC74HC595ADR2</v>
      </c>
      <c r="B2440" s="3" t="str">
        <f>HYPERLINK("https://www.773grp.com/manufacturer/onsemi?pageNo=1091", "Onsemi")</f>
        <v>Onsemi</v>
      </c>
      <c r="C2440" s="6">
        <v>90290</v>
      </c>
      <c r="D2440" s="7">
        <v>0.43</v>
      </c>
      <c r="E2440" t="s">
        <v>28</v>
      </c>
    </row>
    <row r="2441" spans="1:5" x14ac:dyDescent="0.25">
      <c r="A2441" t="str">
        <f>HYPERLINK("https://www.773grp.com/globalSearch/MC74HC595AF/page-1", "MC74HC595AF")</f>
        <v>MC74HC595AF</v>
      </c>
      <c r="B2441" s="3" t="str">
        <f>HYPERLINK("https://www.773grp.com/manufacturer/onsemi?pageNo=1092", "Onsemi")</f>
        <v>Onsemi</v>
      </c>
      <c r="C2441" s="6">
        <v>5300</v>
      </c>
      <c r="D2441" s="7">
        <v>0.43</v>
      </c>
    </row>
    <row r="2442" spans="1:5" x14ac:dyDescent="0.25">
      <c r="A2442" t="str">
        <f>HYPERLINK("https://www.773grp.com/globalSearch/MC74HC86AFL1/page-1", "MC74HC86AFL1")</f>
        <v>MC74HC86AFL1</v>
      </c>
      <c r="B2442" s="3" t="str">
        <f>HYPERLINK("https://www.773grp.com/manufacturer/onsemi?pageNo=1093", "Onsemi")</f>
        <v>Onsemi</v>
      </c>
      <c r="C2442" s="6">
        <v>11000</v>
      </c>
      <c r="D2442" s="7">
        <v>0.43</v>
      </c>
    </row>
    <row r="2443" spans="1:5" x14ac:dyDescent="0.25">
      <c r="A2443" t="str">
        <f>HYPERLINK("https://www.773grp.com/globalSearch/MC74HC86AFR1/page-1", "MC74HC86AFR1")</f>
        <v>MC74HC86AFR1</v>
      </c>
      <c r="B2443" s="3" t="str">
        <f>HYPERLINK("https://www.773grp.com/manufacturer/onsemi?pageNo=1094", "Onsemi")</f>
        <v>Onsemi</v>
      </c>
      <c r="C2443" s="6">
        <v>2000</v>
      </c>
      <c r="D2443" s="7">
        <v>0.43</v>
      </c>
    </row>
    <row r="2444" spans="1:5" x14ac:dyDescent="0.25">
      <c r="A2444" t="str">
        <f>HYPERLINK("https://www.773grp.com/globalSearch/MC74HC86AFR2/page-1", "MC74HC86AFR2")</f>
        <v>MC74HC86AFR2</v>
      </c>
      <c r="B2444" s="3" t="str">
        <f>HYPERLINK("https://www.773grp.com/manufacturer/onsemi?pageNo=1095", "Onsemi")</f>
        <v>Onsemi</v>
      </c>
      <c r="C2444" s="6">
        <v>20000</v>
      </c>
      <c r="D2444" s="7">
        <v>0.43</v>
      </c>
    </row>
    <row r="2445" spans="1:5" x14ac:dyDescent="0.25">
      <c r="A2445" t="str">
        <f>HYPERLINK("https://www.773grp.com/globalSearch/MC74HCO3AFR1/page-1", "MC74HCO3AFR1")</f>
        <v>MC74HCO3AFR1</v>
      </c>
      <c r="B2445" s="3" t="str">
        <f>HYPERLINK("https://www.773grp.com/manufacturer/onsemi?pageNo=1096", "Onsemi")</f>
        <v>Onsemi</v>
      </c>
      <c r="C2445" s="6">
        <v>5000</v>
      </c>
      <c r="D2445" s="7">
        <v>0.43</v>
      </c>
    </row>
    <row r="2446" spans="1:5" x14ac:dyDescent="0.25">
      <c r="A2446" t="str">
        <f>HYPERLINK("https://www.773grp.com/globalSearch/MC74HCT00AD/page-1", "MC74HCT00AD")</f>
        <v>MC74HCT00AD</v>
      </c>
      <c r="B2446" s="3" t="str">
        <f>HYPERLINK("https://www.773grp.com/manufacturer/onsemi?pageNo=1097", "Onsemi")</f>
        <v>Onsemi</v>
      </c>
      <c r="C2446" s="6">
        <v>417</v>
      </c>
      <c r="D2446" s="7">
        <v>0.43</v>
      </c>
      <c r="E2446" t="s">
        <v>27</v>
      </c>
    </row>
    <row r="2447" spans="1:5" x14ac:dyDescent="0.25">
      <c r="A2447" t="str">
        <f>HYPERLINK("https://www.773grp.com/globalSearch/MC74HCT00ADT/page-1", "MC74HCT00ADT")</f>
        <v>MC74HCT00ADT</v>
      </c>
      <c r="B2447" s="3" t="str">
        <f>HYPERLINK("https://www.773grp.com/manufacturer/onsemi?pageNo=1098", "Onsemi")</f>
        <v>Onsemi</v>
      </c>
      <c r="C2447" s="6">
        <v>5137</v>
      </c>
      <c r="D2447" s="7">
        <v>0.43</v>
      </c>
    </row>
    <row r="2448" spans="1:5" x14ac:dyDescent="0.25">
      <c r="A2448" t="str">
        <f>HYPERLINK("https://www.773grp.com/globalSearch/MC74HCT00ADTR2/page-1", "MC74HCT00ADTR2")</f>
        <v>MC74HCT00ADTR2</v>
      </c>
      <c r="B2448" s="3" t="str">
        <f>HYPERLINK("https://www.773grp.com/manufacturer/onsemi?pageNo=1099", "Onsemi")</f>
        <v>Onsemi</v>
      </c>
      <c r="C2448" s="6">
        <v>32500</v>
      </c>
      <c r="D2448" s="7">
        <v>0.43</v>
      </c>
    </row>
    <row r="2449" spans="1:5" x14ac:dyDescent="0.25">
      <c r="A2449" t="str">
        <f>HYPERLINK("https://www.773grp.com/globalSearch/MC74HCT00AF/page-1", "MC74HCT00AF")</f>
        <v>MC74HCT00AF</v>
      </c>
      <c r="B2449" s="3" t="str">
        <f>HYPERLINK("https://www.773grp.com/manufacturer/onsemi?pageNo=1100", "Onsemi")</f>
        <v>Onsemi</v>
      </c>
      <c r="C2449" s="6">
        <v>537</v>
      </c>
      <c r="D2449" s="7">
        <v>0.43</v>
      </c>
    </row>
    <row r="2450" spans="1:5" x14ac:dyDescent="0.25">
      <c r="A2450" t="str">
        <f>HYPERLINK("https://www.773grp.com/globalSearch/MC74HCT00AN/page-1", "MC74HCT00AN")</f>
        <v>MC74HCT00AN</v>
      </c>
      <c r="B2450" s="3" t="str">
        <f>HYPERLINK("https://www.773grp.com/manufacturer/onsemi?pageNo=1101", "Onsemi")</f>
        <v>Onsemi</v>
      </c>
      <c r="C2450" s="6">
        <v>5429</v>
      </c>
      <c r="D2450" s="7">
        <v>0.43</v>
      </c>
      <c r="E2450" t="s">
        <v>27</v>
      </c>
    </row>
    <row r="2451" spans="1:5" x14ac:dyDescent="0.25">
      <c r="A2451" t="str">
        <f>HYPERLINK("https://www.773grp.com/globalSearch/MC74HCT08AD/page-1", "MC74HCT08AD")</f>
        <v>MC74HCT08AD</v>
      </c>
      <c r="B2451" s="3" t="str">
        <f>HYPERLINK("https://www.773grp.com/manufacturer/onsemi?pageNo=1102", "Onsemi")</f>
        <v>Onsemi</v>
      </c>
      <c r="C2451" s="6">
        <v>1929</v>
      </c>
      <c r="D2451" s="7">
        <v>0.43</v>
      </c>
      <c r="E2451" t="s">
        <v>27</v>
      </c>
    </row>
    <row r="2452" spans="1:5" x14ac:dyDescent="0.25">
      <c r="A2452" t="str">
        <f>HYPERLINK("https://www.773grp.com/globalSearch/MC74HCT08ADG/page-1", "MC74HCT08ADG")</f>
        <v>MC74HCT08ADG</v>
      </c>
      <c r="B2452" s="3" t="str">
        <f>HYPERLINK("https://www.773grp.com/manufacturer/onsemi?pageNo=1103", "Onsemi")</f>
        <v>Onsemi</v>
      </c>
      <c r="C2452" s="6">
        <v>39087</v>
      </c>
      <c r="D2452" s="7">
        <v>0.43</v>
      </c>
    </row>
    <row r="2453" spans="1:5" x14ac:dyDescent="0.25">
      <c r="A2453" t="str">
        <f>HYPERLINK("https://www.773grp.com/globalSearch/MC74HCT08ADR2/page-1", "MC74HCT08ADR2")</f>
        <v>MC74HCT08ADR2</v>
      </c>
      <c r="B2453" s="3" t="str">
        <f>HYPERLINK("https://www.773grp.com/manufacturer/onsemi?pageNo=1104", "Onsemi")</f>
        <v>Onsemi</v>
      </c>
      <c r="C2453" s="6">
        <v>22500</v>
      </c>
      <c r="D2453" s="7">
        <v>0.43</v>
      </c>
      <c r="E2453" t="s">
        <v>27</v>
      </c>
    </row>
    <row r="2454" spans="1:5" x14ac:dyDescent="0.25">
      <c r="A2454" t="str">
        <f>HYPERLINK("https://www.773grp.com/globalSearch/MC74HCT08ADR2G/page-1", "MC74HCT08ADR2G")</f>
        <v>MC74HCT08ADR2G</v>
      </c>
      <c r="B2454" s="3" t="str">
        <f>HYPERLINK("https://www.773grp.com/manufacturer/onsemi?pageNo=1105", "Onsemi")</f>
        <v>Onsemi</v>
      </c>
      <c r="C2454" s="6">
        <v>1565580</v>
      </c>
      <c r="D2454" s="7">
        <v>0.43</v>
      </c>
      <c r="E2454" t="s">
        <v>27</v>
      </c>
    </row>
    <row r="2455" spans="1:5" x14ac:dyDescent="0.25">
      <c r="A2455" t="str">
        <f>HYPERLINK("https://www.773grp.com/globalSearch/MC74HCT08ADTG/page-1", "MC74HCT08ADTG")</f>
        <v>MC74HCT08ADTG</v>
      </c>
      <c r="B2455" s="3" t="str">
        <f>HYPERLINK("https://www.773grp.com/manufacturer/onsemi?pageNo=1106", "Onsemi")</f>
        <v>Onsemi</v>
      </c>
      <c r="C2455" s="6">
        <v>38386</v>
      </c>
      <c r="D2455" s="7">
        <v>0.43</v>
      </c>
    </row>
    <row r="2456" spans="1:5" x14ac:dyDescent="0.25">
      <c r="A2456" t="str">
        <f>HYPERLINK("https://www.773grp.com/globalSearch/MC74HCT08ADTR2G/page-1", "MC74HCT08ADTR2G")</f>
        <v>MC74HCT08ADTR2G</v>
      </c>
      <c r="B2456" s="3" t="str">
        <f>HYPERLINK("https://www.773grp.com/manufacturer/onsemi?pageNo=1107", "Onsemi")</f>
        <v>Onsemi</v>
      </c>
      <c r="C2456" s="6">
        <v>56946</v>
      </c>
      <c r="D2456" s="7">
        <v>0.43</v>
      </c>
      <c r="E2456" t="s">
        <v>27</v>
      </c>
    </row>
    <row r="2457" spans="1:5" x14ac:dyDescent="0.25">
      <c r="A2457" t="str">
        <f>HYPERLINK("https://www.773grp.com/globalSearch/MC74HCT14ADR2/page-1", "MC74HCT14ADR2")</f>
        <v>MC74HCT14ADR2</v>
      </c>
      <c r="B2457" s="3" t="str">
        <f>HYPERLINK("https://www.773grp.com/manufacturer/onsemi?pageNo=1108", "Onsemi")</f>
        <v>Onsemi</v>
      </c>
      <c r="C2457" s="6">
        <v>4507</v>
      </c>
      <c r="D2457" s="7">
        <v>0.43</v>
      </c>
      <c r="E2457" t="s">
        <v>27</v>
      </c>
    </row>
    <row r="2458" spans="1:5" x14ac:dyDescent="0.25">
      <c r="A2458" t="str">
        <f>HYPERLINK("https://www.773grp.com/globalSearch/MC74HCT14ADT/page-1", "MC74HCT14ADT")</f>
        <v>MC74HCT14ADT</v>
      </c>
      <c r="B2458" s="3" t="str">
        <f>HYPERLINK("https://www.773grp.com/manufacturer/onsemi?pageNo=1109", "Onsemi")</f>
        <v>Onsemi</v>
      </c>
      <c r="C2458" s="6">
        <v>13108</v>
      </c>
      <c r="D2458" s="7">
        <v>0.43</v>
      </c>
      <c r="E2458" t="s">
        <v>27</v>
      </c>
    </row>
    <row r="2459" spans="1:5" x14ac:dyDescent="0.25">
      <c r="A2459" t="str">
        <f>HYPERLINK("https://www.773grp.com/globalSearch/MC74HCT32ADR2G/page-1", "MC74HCT32ADR2G")</f>
        <v>MC74HCT32ADR2G</v>
      </c>
      <c r="B2459" s="3" t="str">
        <f>HYPERLINK("https://www.773grp.com/manufacturer/onsemi?pageNo=1110", "Onsemi")</f>
        <v>Onsemi</v>
      </c>
      <c r="C2459" s="6">
        <v>7500</v>
      </c>
      <c r="D2459" s="7">
        <v>0.43</v>
      </c>
    </row>
    <row r="2460" spans="1:5" x14ac:dyDescent="0.25">
      <c r="A2460" t="str">
        <f>HYPERLINK("https://www.773grp.com/globalSearch/MC74HCT32ADTR2G/page-1", "MC74HCT32ADTR2G")</f>
        <v>MC74HCT32ADTR2G</v>
      </c>
      <c r="B2460" s="3" t="str">
        <f>HYPERLINK("https://www.773grp.com/manufacturer/onsemi?pageNo=1111", "Onsemi")</f>
        <v>Onsemi</v>
      </c>
      <c r="C2460" s="6">
        <v>744</v>
      </c>
      <c r="D2460" s="7">
        <v>0.43</v>
      </c>
    </row>
    <row r="2461" spans="1:5" x14ac:dyDescent="0.25">
      <c r="A2461" t="str">
        <f>HYPERLINK("https://www.773grp.com/globalSearch/MC74HCT32AN/page-1", "MC74HCT32AN")</f>
        <v>MC74HCT32AN</v>
      </c>
      <c r="B2461" s="3" t="str">
        <f>HYPERLINK("https://www.773grp.com/manufacturer/onsemi?pageNo=1112", "Onsemi")</f>
        <v>Onsemi</v>
      </c>
      <c r="C2461" s="6">
        <v>28584</v>
      </c>
      <c r="D2461" s="7">
        <v>0.43</v>
      </c>
      <c r="E2461" t="s">
        <v>27</v>
      </c>
    </row>
    <row r="2462" spans="1:5" x14ac:dyDescent="0.25">
      <c r="A2462" t="str">
        <f>HYPERLINK("https://www.773grp.com/globalSearch/MC74HCU04AFL1/page-1", "MC74HCU04AFL1")</f>
        <v>MC74HCU04AFL1</v>
      </c>
      <c r="B2462" s="3" t="str">
        <f>HYPERLINK("https://www.773grp.com/manufacturer/onsemi?pageNo=1113", "Onsemi")</f>
        <v>Onsemi</v>
      </c>
      <c r="C2462" s="6">
        <v>900</v>
      </c>
      <c r="D2462" s="7">
        <v>0.43</v>
      </c>
    </row>
    <row r="2463" spans="1:5" x14ac:dyDescent="0.25">
      <c r="A2463" t="str">
        <f>HYPERLINK("https://www.773grp.com/globalSearch/MC74HCU04AFL2/page-1", "MC74HCU04AFL2")</f>
        <v>MC74HCU04AFL2</v>
      </c>
      <c r="B2463" s="3" t="str">
        <f>HYPERLINK("https://www.773grp.com/manufacturer/onsemi?pageNo=1114", "Onsemi")</f>
        <v>Onsemi</v>
      </c>
      <c r="C2463" s="6">
        <v>14000</v>
      </c>
      <c r="D2463" s="7">
        <v>0.43</v>
      </c>
    </row>
    <row r="2464" spans="1:5" x14ac:dyDescent="0.25">
      <c r="A2464" t="str">
        <f>HYPERLINK("https://www.773grp.com/globalSearch/MC74HCU04AFR1/page-1", "MC74HCU04AFR1")</f>
        <v>MC74HCU04AFR1</v>
      </c>
      <c r="B2464" s="3" t="str">
        <f>HYPERLINK("https://www.773grp.com/manufacturer/onsemi?pageNo=1115", "Onsemi")</f>
        <v>Onsemi</v>
      </c>
      <c r="C2464" s="6">
        <v>6000</v>
      </c>
      <c r="D2464" s="7">
        <v>0.43</v>
      </c>
    </row>
    <row r="2465" spans="1:5" x14ac:dyDescent="0.25">
      <c r="A2465" t="str">
        <f>HYPERLINK("https://www.773grp.com/globalSearch/MC74HCU04AFR2/page-1", "MC74HCU04AFR2")</f>
        <v>MC74HCU04AFR2</v>
      </c>
      <c r="B2465" s="3" t="str">
        <f>HYPERLINK("https://www.773grp.com/manufacturer/onsemi?pageNo=1116", "Onsemi")</f>
        <v>Onsemi</v>
      </c>
      <c r="C2465" s="6">
        <v>6000</v>
      </c>
      <c r="D2465" s="7">
        <v>0.43</v>
      </c>
    </row>
    <row r="2466" spans="1:5" x14ac:dyDescent="0.25">
      <c r="A2466" t="str">
        <f>HYPERLINK("https://www.773grp.com/globalSearch/MC74LCX86DT/page-1", "MC74LCX86DT")</f>
        <v>MC74LCX86DT</v>
      </c>
      <c r="B2466" s="3" t="str">
        <f>HYPERLINK("https://www.773grp.com/manufacturer/onsemi?pageNo=1117", "Onsemi")</f>
        <v>Onsemi</v>
      </c>
      <c r="C2466" s="6">
        <v>9132</v>
      </c>
      <c r="D2466" s="7">
        <v>0.43</v>
      </c>
      <c r="E2466" t="s">
        <v>27</v>
      </c>
    </row>
    <row r="2467" spans="1:5" x14ac:dyDescent="0.25">
      <c r="A2467" t="str">
        <f>HYPERLINK("https://www.773grp.com/globalSearch/MC74LCX86DT/page-1", "MC74LCX86DT")</f>
        <v>MC74LCX86DT</v>
      </c>
      <c r="B2467" s="3" t="str">
        <f>HYPERLINK("https://www.773grp.com/manufacturer/onsemi?pageNo=1118", "Onsemi")</f>
        <v>Onsemi</v>
      </c>
      <c r="C2467" s="6">
        <v>672</v>
      </c>
      <c r="D2467" s="7">
        <v>0.43</v>
      </c>
      <c r="E2467" t="s">
        <v>27</v>
      </c>
    </row>
    <row r="2468" spans="1:5" x14ac:dyDescent="0.25">
      <c r="A2468" t="str">
        <f>HYPERLINK("https://www.773grp.com/globalSearch/MC74LVX02DT/page-1", "MC74LVX02DT")</f>
        <v>MC74LVX02DT</v>
      </c>
      <c r="B2468" s="3" t="str">
        <f>HYPERLINK("https://www.773grp.com/manufacturer/onsemi?pageNo=1119", "Onsemi")</f>
        <v>Onsemi</v>
      </c>
      <c r="C2468" s="6">
        <v>4512</v>
      </c>
      <c r="D2468" s="7">
        <v>0.43</v>
      </c>
      <c r="E2468" t="s">
        <v>27</v>
      </c>
    </row>
    <row r="2469" spans="1:5" x14ac:dyDescent="0.25">
      <c r="A2469" t="str">
        <f>HYPERLINK("https://www.773grp.com/globalSearch/MC74LVX04DT/page-1", "MC74LVX04DT")</f>
        <v>MC74LVX04DT</v>
      </c>
      <c r="B2469" s="3" t="str">
        <f>HYPERLINK("https://www.773grp.com/manufacturer/onsemi?pageNo=1120", "Onsemi")</f>
        <v>Onsemi</v>
      </c>
      <c r="C2469" s="6">
        <v>2782</v>
      </c>
      <c r="D2469" s="7">
        <v>0.43</v>
      </c>
      <c r="E2469" t="s">
        <v>27</v>
      </c>
    </row>
    <row r="2470" spans="1:5" x14ac:dyDescent="0.25">
      <c r="A2470" t="str">
        <f>HYPERLINK("https://www.773grp.com/globalSearch/MC74LVX126D/page-1", "MC74LVX126D")</f>
        <v>MC74LVX126D</v>
      </c>
      <c r="B2470" s="3" t="str">
        <f>HYPERLINK("https://www.773grp.com/manufacturer/onsemi?pageNo=1121", "Onsemi")</f>
        <v>Onsemi</v>
      </c>
      <c r="C2470" s="6">
        <v>10340</v>
      </c>
      <c r="D2470" s="7">
        <v>0.43</v>
      </c>
      <c r="E2470" t="s">
        <v>11</v>
      </c>
    </row>
    <row r="2471" spans="1:5" x14ac:dyDescent="0.25">
      <c r="A2471" t="str">
        <f>HYPERLINK("https://www.773grp.com/globalSearch/MC74LVX14DT/page-1", "MC74LVX14DT")</f>
        <v>MC74LVX14DT</v>
      </c>
      <c r="B2471" s="3" t="str">
        <f>HYPERLINK("https://www.773grp.com/manufacturer/onsemi?pageNo=1122", "Onsemi")</f>
        <v>Onsemi</v>
      </c>
      <c r="C2471" s="6">
        <v>380</v>
      </c>
      <c r="D2471" s="7">
        <v>0.43</v>
      </c>
      <c r="E2471" t="s">
        <v>27</v>
      </c>
    </row>
    <row r="2472" spans="1:5" x14ac:dyDescent="0.25">
      <c r="A2472" t="str">
        <f>HYPERLINK("https://www.773grp.com/globalSearch/MC74LVX32DT/page-1", "MC74LVX32DT")</f>
        <v>MC74LVX32DT</v>
      </c>
      <c r="B2472" s="3" t="str">
        <f>HYPERLINK("https://www.773grp.com/manufacturer/onsemi?pageNo=1123", "Onsemi")</f>
        <v>Onsemi</v>
      </c>
      <c r="C2472" s="6">
        <v>9788</v>
      </c>
      <c r="D2472" s="7">
        <v>0.43</v>
      </c>
      <c r="E2472" t="s">
        <v>27</v>
      </c>
    </row>
    <row r="2473" spans="1:5" x14ac:dyDescent="0.25">
      <c r="A2473" t="str">
        <f>HYPERLINK("https://www.773grp.com/globalSearch/MC74LVX74D/page-1", "MC74LVX74D")</f>
        <v>MC74LVX74D</v>
      </c>
      <c r="B2473" s="3" t="str">
        <f>HYPERLINK("https://www.773grp.com/manufacturer/onsemi?pageNo=1124", "Onsemi")</f>
        <v>Onsemi</v>
      </c>
      <c r="C2473" s="6">
        <v>18740</v>
      </c>
      <c r="D2473" s="7">
        <v>0.43</v>
      </c>
      <c r="E2473" t="s">
        <v>31</v>
      </c>
    </row>
    <row r="2474" spans="1:5" x14ac:dyDescent="0.25">
      <c r="A2474" t="str">
        <f>HYPERLINK("https://www.773grp.com/globalSearch/MC74LVX86D/page-1", "MC74LVX86D")</f>
        <v>MC74LVX86D</v>
      </c>
      <c r="B2474" s="3" t="str">
        <f>HYPERLINK("https://www.773grp.com/manufacturer/onsemi?pageNo=1125", "Onsemi")</f>
        <v>Onsemi</v>
      </c>
      <c r="C2474" s="6">
        <v>1155</v>
      </c>
      <c r="D2474" s="7">
        <v>0.43</v>
      </c>
      <c r="E2474" t="s">
        <v>27</v>
      </c>
    </row>
    <row r="2475" spans="1:5" x14ac:dyDescent="0.25">
      <c r="A2475" t="str">
        <f>HYPERLINK("https://www.773grp.com/globalSearch/MC74LVX86DT/page-1", "MC74LVX86DT")</f>
        <v>MC74LVX86DT</v>
      </c>
      <c r="B2475" s="3" t="str">
        <f>HYPERLINK("https://www.773grp.com/manufacturer/onsemi?pageNo=1126", "Onsemi")</f>
        <v>Onsemi</v>
      </c>
      <c r="C2475" s="6">
        <v>14784</v>
      </c>
      <c r="D2475" s="7">
        <v>0.43</v>
      </c>
      <c r="E2475" t="s">
        <v>27</v>
      </c>
    </row>
    <row r="2476" spans="1:5" x14ac:dyDescent="0.25">
      <c r="A2476" t="str">
        <f>HYPERLINK("https://www.773grp.com/globalSearch/MC74VHC00M/page-1", "MC74VHC00M")</f>
        <v>MC74VHC00M</v>
      </c>
      <c r="B2476" s="3" t="str">
        <f>HYPERLINK("https://www.773grp.com/manufacturer/onsemi?pageNo=1127", "Onsemi")</f>
        <v>Onsemi</v>
      </c>
      <c r="C2476" s="6">
        <v>18350</v>
      </c>
      <c r="D2476" s="7">
        <v>0.43</v>
      </c>
      <c r="E2476" t="s">
        <v>27</v>
      </c>
    </row>
    <row r="2477" spans="1:5" x14ac:dyDescent="0.25">
      <c r="A2477" t="str">
        <f>HYPERLINK("https://www.773grp.com/globalSearch/MC74VHC02M/page-1", "MC74VHC02M")</f>
        <v>MC74VHC02M</v>
      </c>
      <c r="B2477" s="3" t="str">
        <f>HYPERLINK("https://www.773grp.com/manufacturer/onsemi?pageNo=1128", "Onsemi")</f>
        <v>Onsemi</v>
      </c>
      <c r="C2477" s="6">
        <v>9200</v>
      </c>
      <c r="D2477" s="7">
        <v>0.43</v>
      </c>
      <c r="E2477" t="s">
        <v>27</v>
      </c>
    </row>
    <row r="2478" spans="1:5" x14ac:dyDescent="0.25">
      <c r="A2478" t="str">
        <f>HYPERLINK("https://www.773grp.com/globalSearch/MC74VHC08DT/page-1", "MC74VHC08DT")</f>
        <v>MC74VHC08DT</v>
      </c>
      <c r="B2478" s="3" t="str">
        <f>HYPERLINK("https://www.773grp.com/manufacturer/onsemi?pageNo=1129", "Onsemi")</f>
        <v>Onsemi</v>
      </c>
      <c r="C2478" s="6">
        <v>6816</v>
      </c>
      <c r="D2478" s="7">
        <v>0.43</v>
      </c>
      <c r="E2478" t="s">
        <v>27</v>
      </c>
    </row>
    <row r="2479" spans="1:5" x14ac:dyDescent="0.25">
      <c r="A2479" t="str">
        <f>HYPERLINK("https://www.773grp.com/globalSearch/MC74VHC08M/page-1", "MC74VHC08M")</f>
        <v>MC74VHC08M</v>
      </c>
      <c r="B2479" s="3" t="str">
        <f>HYPERLINK("https://www.773grp.com/manufacturer/onsemi?pageNo=1130", "Onsemi")</f>
        <v>Onsemi</v>
      </c>
      <c r="C2479" s="6">
        <v>750</v>
      </c>
      <c r="D2479" s="7">
        <v>0.43</v>
      </c>
      <c r="E2479" t="s">
        <v>27</v>
      </c>
    </row>
    <row r="2480" spans="1:5" x14ac:dyDescent="0.25">
      <c r="A2480" t="str">
        <f>HYPERLINK("https://www.773grp.com/globalSearch/MC74VHC126DT/page-1", "MC74VHC126DT")</f>
        <v>MC74VHC126DT</v>
      </c>
      <c r="B2480" s="3" t="str">
        <f>HYPERLINK("https://www.773grp.com/manufacturer/onsemi?pageNo=1131", "Onsemi")</f>
        <v>Onsemi</v>
      </c>
      <c r="C2480" s="6">
        <v>768</v>
      </c>
      <c r="D2480" s="7">
        <v>0.43</v>
      </c>
      <c r="E2480" t="s">
        <v>11</v>
      </c>
    </row>
    <row r="2481" spans="1:5" x14ac:dyDescent="0.25">
      <c r="A2481" t="str">
        <f>HYPERLINK("https://www.773grp.com/globalSearch/MC74VHC138DT/page-1", "MC74VHC138DT")</f>
        <v>MC74VHC138DT</v>
      </c>
      <c r="B2481" s="3" t="str">
        <f>HYPERLINK("https://www.773grp.com/manufacturer/onsemi?pageNo=1132", "Onsemi")</f>
        <v>Onsemi</v>
      </c>
      <c r="C2481" s="6">
        <v>9504</v>
      </c>
      <c r="D2481" s="7">
        <v>0.43</v>
      </c>
      <c r="E2481" t="s">
        <v>32</v>
      </c>
    </row>
    <row r="2482" spans="1:5" x14ac:dyDescent="0.25">
      <c r="A2482" t="str">
        <f>HYPERLINK("https://www.773grp.com/globalSearch/MC74VHC139D/page-1", "MC74VHC139D")</f>
        <v>MC74VHC139D</v>
      </c>
      <c r="B2482" s="3" t="str">
        <f>HYPERLINK("https://www.773grp.com/manufacturer/onsemi?pageNo=1133", "Onsemi")</f>
        <v>Onsemi</v>
      </c>
      <c r="C2482" s="6">
        <v>14160</v>
      </c>
      <c r="D2482" s="7">
        <v>0.43</v>
      </c>
      <c r="E2482" t="s">
        <v>32</v>
      </c>
    </row>
    <row r="2483" spans="1:5" x14ac:dyDescent="0.25">
      <c r="A2483" t="str">
        <f>HYPERLINK("https://www.773grp.com/globalSearch/MC74VHC139DT/page-1", "MC74VHC139DT")</f>
        <v>MC74VHC139DT</v>
      </c>
      <c r="B2483" s="3" t="str">
        <f>HYPERLINK("https://www.773grp.com/manufacturer/onsemi?pageNo=1134", "Onsemi")</f>
        <v>Onsemi</v>
      </c>
      <c r="C2483" s="6">
        <v>12960</v>
      </c>
      <c r="D2483" s="7">
        <v>0.43</v>
      </c>
      <c r="E2483" t="s">
        <v>32</v>
      </c>
    </row>
    <row r="2484" spans="1:5" x14ac:dyDescent="0.25">
      <c r="A2484" t="str">
        <f>HYPERLINK("https://www.773grp.com/globalSearch/MC74VHC14M/page-1", "MC74VHC14M")</f>
        <v>MC74VHC14M</v>
      </c>
      <c r="B2484" s="3" t="str">
        <f>HYPERLINK("https://www.773grp.com/manufacturer/onsemi?pageNo=1135", "Onsemi")</f>
        <v>Onsemi</v>
      </c>
      <c r="C2484" s="6">
        <v>9250</v>
      </c>
      <c r="D2484" s="7">
        <v>0.43</v>
      </c>
      <c r="E2484" t="s">
        <v>27</v>
      </c>
    </row>
    <row r="2485" spans="1:5" x14ac:dyDescent="0.25">
      <c r="A2485" t="str">
        <f>HYPERLINK("https://www.773grp.com/globalSearch/MC74VHC157DT/page-1", "MC74VHC157DT")</f>
        <v>MC74VHC157DT</v>
      </c>
      <c r="B2485" s="3" t="str">
        <f>HYPERLINK("https://www.773grp.com/manufacturer/onsemi?pageNo=1136", "Onsemi")</f>
        <v>Onsemi</v>
      </c>
      <c r="C2485" s="6">
        <v>3072</v>
      </c>
      <c r="D2485" s="7">
        <v>0.43</v>
      </c>
      <c r="E2485" t="s">
        <v>16</v>
      </c>
    </row>
    <row r="2486" spans="1:5" x14ac:dyDescent="0.25">
      <c r="A2486" t="str">
        <f>HYPERLINK("https://www.773grp.com/globalSearch/MC74VHC32M/page-1", "MC74VHC32M")</f>
        <v>MC74VHC32M</v>
      </c>
      <c r="B2486" s="3" t="str">
        <f>HYPERLINK("https://www.773grp.com/manufacturer/onsemi?pageNo=1137", "Onsemi")</f>
        <v>Onsemi</v>
      </c>
      <c r="C2486" s="6">
        <v>650</v>
      </c>
      <c r="D2486" s="7">
        <v>0.43</v>
      </c>
      <c r="E2486" t="s">
        <v>27</v>
      </c>
    </row>
    <row r="2487" spans="1:5" x14ac:dyDescent="0.25">
      <c r="A2487" t="str">
        <f>HYPERLINK("https://www.773grp.com/globalSearch/MC74VHC74ML1/page-1", "MC74VHC74ML1")</f>
        <v>MC74VHC74ML1</v>
      </c>
      <c r="B2487" s="3" t="str">
        <f>HYPERLINK("https://www.773grp.com/manufacturer/onsemi?pageNo=1138", "Onsemi")</f>
        <v>Onsemi</v>
      </c>
      <c r="C2487" s="6">
        <v>34807</v>
      </c>
      <c r="D2487" s="7">
        <v>0.43</v>
      </c>
    </row>
    <row r="2488" spans="1:5" x14ac:dyDescent="0.25">
      <c r="A2488" t="str">
        <f>HYPERLINK("https://www.773grp.com/globalSearch/MC74VHCT00ADT/page-1", "MC74VHCT00ADT")</f>
        <v>MC74VHCT00ADT</v>
      </c>
      <c r="B2488" s="3" t="str">
        <f>HYPERLINK("https://www.773grp.com/manufacturer/onsemi?pageNo=1139", "Onsemi")</f>
        <v>Onsemi</v>
      </c>
      <c r="C2488" s="6">
        <v>9756</v>
      </c>
      <c r="D2488" s="7">
        <v>0.43</v>
      </c>
      <c r="E2488" t="s">
        <v>27</v>
      </c>
    </row>
    <row r="2489" spans="1:5" x14ac:dyDescent="0.25">
      <c r="A2489" t="str">
        <f>HYPERLINK("https://www.773grp.com/globalSearch/MC74VHCT02ADT/page-1", "MC74VHCT02ADT")</f>
        <v>MC74VHCT02ADT</v>
      </c>
      <c r="B2489" s="3" t="str">
        <f>HYPERLINK("https://www.773grp.com/manufacturer/onsemi?pageNo=1140", "Onsemi")</f>
        <v>Onsemi</v>
      </c>
      <c r="C2489" s="6">
        <v>4272</v>
      </c>
      <c r="D2489" s="7">
        <v>0.43</v>
      </c>
      <c r="E2489" t="s">
        <v>27</v>
      </c>
    </row>
    <row r="2490" spans="1:5" x14ac:dyDescent="0.25">
      <c r="A2490" t="str">
        <f>HYPERLINK("https://www.773grp.com/globalSearch/MC74VHCT04AD1P/page-1", "MC74VHCT04AD1P")</f>
        <v>MC74VHCT04AD1P</v>
      </c>
      <c r="B2490" s="3" t="str">
        <f>HYPERLINK("https://www.773grp.com/manufacturer/onsemi?pageNo=1141", "Onsemi")</f>
        <v>Onsemi</v>
      </c>
      <c r="C2490" s="6">
        <v>605</v>
      </c>
      <c r="D2490" s="7">
        <v>0.43</v>
      </c>
    </row>
    <row r="2491" spans="1:5" x14ac:dyDescent="0.25">
      <c r="A2491" t="str">
        <f>HYPERLINK("https://www.773grp.com/globalSearch/MC74VHCT04AM/page-1", "MC74VHCT04AM")</f>
        <v>MC74VHCT04AM</v>
      </c>
      <c r="B2491" s="3" t="str">
        <f>HYPERLINK("https://www.773grp.com/manufacturer/onsemi?pageNo=1142", "Onsemi")</f>
        <v>Onsemi</v>
      </c>
      <c r="C2491" s="6">
        <v>300</v>
      </c>
      <c r="D2491" s="7">
        <v>0.43</v>
      </c>
      <c r="E2491" t="s">
        <v>27</v>
      </c>
    </row>
    <row r="2492" spans="1:5" x14ac:dyDescent="0.25">
      <c r="A2492" t="str">
        <f>HYPERLINK("https://www.773grp.com/globalSearch/MC74VHCT08ADT/page-1", "MC74VHCT08ADT")</f>
        <v>MC74VHCT08ADT</v>
      </c>
      <c r="B2492" s="3" t="str">
        <f>HYPERLINK("https://www.773grp.com/manufacturer/onsemi?pageNo=1143", "Onsemi")</f>
        <v>Onsemi</v>
      </c>
      <c r="C2492" s="6">
        <v>2111</v>
      </c>
      <c r="D2492" s="7">
        <v>0.43</v>
      </c>
      <c r="E2492" t="s">
        <v>27</v>
      </c>
    </row>
    <row r="2493" spans="1:5" x14ac:dyDescent="0.25">
      <c r="A2493" t="str">
        <f>HYPERLINK("https://www.773grp.com/globalSearch/MC74VHCU04DT/page-1", "MC74VHCU04DT")</f>
        <v>MC74VHCU04DT</v>
      </c>
      <c r="B2493" s="3" t="str">
        <f>HYPERLINK("https://www.773grp.com/manufacturer/onsemi?pageNo=1144", "Onsemi")</f>
        <v>Onsemi</v>
      </c>
      <c r="C2493" s="6">
        <v>15064</v>
      </c>
      <c r="D2493" s="7">
        <v>0.43</v>
      </c>
      <c r="E2493" t="s">
        <v>27</v>
      </c>
    </row>
    <row r="2494" spans="1:5" x14ac:dyDescent="0.25">
      <c r="A2494" t="str">
        <f>HYPERLINK("https://www.773grp.com/globalSearch/MC74VHCU04M/page-1", "MC74VHCU04M")</f>
        <v>MC74VHCU04M</v>
      </c>
      <c r="B2494" s="3" t="str">
        <f>HYPERLINK("https://www.773grp.com/manufacturer/onsemi?pageNo=1145", "Onsemi")</f>
        <v>Onsemi</v>
      </c>
      <c r="C2494" s="6">
        <v>1000</v>
      </c>
      <c r="D2494" s="7">
        <v>0.43</v>
      </c>
      <c r="E2494" t="s">
        <v>27</v>
      </c>
    </row>
    <row r="2495" spans="1:5" x14ac:dyDescent="0.25">
      <c r="A2495" t="str">
        <f>HYPERLINK("https://www.773grp.com/globalSearch/MC78L05ACP/page-1", "MC78L05ACP")</f>
        <v>MC78L05ACP</v>
      </c>
      <c r="B2495" s="3" t="str">
        <f>HYPERLINK("https://www.773grp.com/manufacturer/onsemi?pageNo=1146", "Onsemi")</f>
        <v>Onsemi</v>
      </c>
      <c r="C2495" s="6">
        <v>10181</v>
      </c>
      <c r="D2495" s="7">
        <v>0.43</v>
      </c>
      <c r="E2495" t="s">
        <v>24</v>
      </c>
    </row>
    <row r="2496" spans="1:5" x14ac:dyDescent="0.25">
      <c r="A2496" t="str">
        <f>HYPERLINK("https://www.773grp.com/globalSearch/MC78L05ACPRA/page-1", "MC78L05ACPRA")</f>
        <v>MC78L05ACPRA</v>
      </c>
      <c r="B2496" s="3" t="str">
        <f>HYPERLINK("https://www.773grp.com/manufacturer/onsemi?pageNo=1147", "Onsemi")</f>
        <v>Onsemi</v>
      </c>
      <c r="C2496" s="6">
        <v>4000</v>
      </c>
      <c r="D2496" s="7">
        <v>0.43</v>
      </c>
      <c r="E2496" t="s">
        <v>24</v>
      </c>
    </row>
    <row r="2497" spans="1:5" x14ac:dyDescent="0.25">
      <c r="A2497" t="str">
        <f>HYPERLINK("https://www.773grp.com/globalSearch/MC78L05ACPRE/page-1", "MC78L05ACPRE")</f>
        <v>MC78L05ACPRE</v>
      </c>
      <c r="B2497" s="3" t="str">
        <f>HYPERLINK("https://www.773grp.com/manufacturer/onsemi?pageNo=1148", "Onsemi")</f>
        <v>Onsemi</v>
      </c>
      <c r="C2497" s="6">
        <v>2000</v>
      </c>
      <c r="D2497" s="7">
        <v>0.43</v>
      </c>
      <c r="E2497" t="s">
        <v>24</v>
      </c>
    </row>
    <row r="2498" spans="1:5" x14ac:dyDescent="0.25">
      <c r="A2498" t="str">
        <f>HYPERLINK("https://www.773grp.com/globalSearch/MC78L05ACPRM/page-1", "MC78L05ACPRM")</f>
        <v>MC78L05ACPRM</v>
      </c>
      <c r="B2498" s="3" t="str">
        <f>HYPERLINK("https://www.773grp.com/manufacturer/onsemi?pageNo=1149", "Onsemi")</f>
        <v>Onsemi</v>
      </c>
      <c r="C2498" s="6">
        <v>2000</v>
      </c>
      <c r="D2498" s="7">
        <v>0.43</v>
      </c>
      <c r="E2498" t="s">
        <v>24</v>
      </c>
    </row>
    <row r="2499" spans="1:5" x14ac:dyDescent="0.25">
      <c r="A2499" t="str">
        <f>HYPERLINK("https://www.773grp.com/globalSearch/MC78L05ACPRP/page-1", "MC78L05ACPRP")</f>
        <v>MC78L05ACPRP</v>
      </c>
      <c r="B2499" s="3" t="str">
        <f>HYPERLINK("https://www.773grp.com/manufacturer/onsemi?pageNo=1150", "Onsemi")</f>
        <v>Onsemi</v>
      </c>
      <c r="C2499" s="6">
        <v>411270</v>
      </c>
      <c r="D2499" s="7">
        <v>0.43</v>
      </c>
      <c r="E2499" t="s">
        <v>24</v>
      </c>
    </row>
    <row r="2500" spans="1:5" x14ac:dyDescent="0.25">
      <c r="A2500" t="str">
        <f>HYPERLINK("https://www.773grp.com/globalSearch/MC78L08ACP/page-1", "MC78L08ACP")</f>
        <v>MC78L08ACP</v>
      </c>
      <c r="B2500" s="3" t="str">
        <f>HYPERLINK("https://www.773grp.com/manufacturer/onsemi?pageNo=1151", "Onsemi")</f>
        <v>Onsemi</v>
      </c>
      <c r="C2500" s="6">
        <v>8902</v>
      </c>
      <c r="D2500" s="7">
        <v>0.43</v>
      </c>
      <c r="E2500" t="s">
        <v>24</v>
      </c>
    </row>
    <row r="2501" spans="1:5" x14ac:dyDescent="0.25">
      <c r="A2501" t="str">
        <f>HYPERLINK("https://www.773grp.com/globalSearch/MC78L08ACPRA/page-1", "MC78L08ACPRA")</f>
        <v>MC78L08ACPRA</v>
      </c>
      <c r="B2501" s="3" t="str">
        <f>HYPERLINK("https://www.773grp.com/manufacturer/onsemi?pageNo=1152", "Onsemi")</f>
        <v>Onsemi</v>
      </c>
      <c r="C2501" s="6">
        <v>804</v>
      </c>
      <c r="D2501" s="7">
        <v>0.43</v>
      </c>
      <c r="E2501" t="s">
        <v>24</v>
      </c>
    </row>
    <row r="2502" spans="1:5" x14ac:dyDescent="0.25">
      <c r="A2502" t="str">
        <f>HYPERLINK("https://www.773grp.com/globalSearch/MC78L08ACPRP/page-1", "MC78L08ACPRP")</f>
        <v>MC78L08ACPRP</v>
      </c>
      <c r="B2502" s="3" t="str">
        <f>HYPERLINK("https://www.773grp.com/manufacturer/onsemi?pageNo=1153", "Onsemi")</f>
        <v>Onsemi</v>
      </c>
      <c r="C2502" s="6">
        <v>62000</v>
      </c>
      <c r="D2502" s="7">
        <v>0.43</v>
      </c>
      <c r="E2502" t="s">
        <v>24</v>
      </c>
    </row>
    <row r="2503" spans="1:5" x14ac:dyDescent="0.25">
      <c r="A2503" t="str">
        <f>HYPERLINK("https://www.773grp.com/globalSearch/MC78L09ACP/page-1", "MC78L09ACP")</f>
        <v>MC78L09ACP</v>
      </c>
      <c r="B2503" s="3" t="str">
        <f>HYPERLINK("https://www.773grp.com/manufacturer/onsemi?pageNo=1154", "Onsemi")</f>
        <v>Onsemi</v>
      </c>
      <c r="C2503" s="6">
        <v>30047</v>
      </c>
      <c r="D2503" s="7">
        <v>0.43</v>
      </c>
      <c r="E2503" t="s">
        <v>24</v>
      </c>
    </row>
    <row r="2504" spans="1:5" x14ac:dyDescent="0.25">
      <c r="A2504" t="str">
        <f>HYPERLINK("https://www.773grp.com/globalSearch/MC78L12ACP/page-1", "MC78L12ACP")</f>
        <v>MC78L12ACP</v>
      </c>
      <c r="B2504" s="3" t="str">
        <f>HYPERLINK("https://www.773grp.com/manufacturer/onsemi?pageNo=1155", "Onsemi")</f>
        <v>Onsemi</v>
      </c>
      <c r="C2504" s="6">
        <v>4</v>
      </c>
      <c r="D2504" s="7">
        <v>0.43</v>
      </c>
      <c r="E2504" t="s">
        <v>24</v>
      </c>
    </row>
    <row r="2505" spans="1:5" x14ac:dyDescent="0.25">
      <c r="A2505" t="str">
        <f>HYPERLINK("https://www.773grp.com/globalSearch/MC78L12ACPRM/page-1", "MC78L12ACPRM")</f>
        <v>MC78L12ACPRM</v>
      </c>
      <c r="B2505" s="3" t="str">
        <f>HYPERLINK("https://www.773grp.com/manufacturer/onsemi?pageNo=1156", "Onsemi")</f>
        <v>Onsemi</v>
      </c>
      <c r="C2505" s="6">
        <v>2000</v>
      </c>
      <c r="D2505" s="7">
        <v>0.43</v>
      </c>
      <c r="E2505" t="s">
        <v>24</v>
      </c>
    </row>
    <row r="2506" spans="1:5" x14ac:dyDescent="0.25">
      <c r="A2506" t="str">
        <f>HYPERLINK("https://www.773grp.com/globalSearch/MC78L12ACPRP/page-1", "MC78L12ACPRP")</f>
        <v>MC78L12ACPRP</v>
      </c>
      <c r="B2506" s="3" t="str">
        <f>HYPERLINK("https://www.773grp.com/manufacturer/onsemi?pageNo=1157", "Onsemi")</f>
        <v>Onsemi</v>
      </c>
      <c r="C2506" s="6">
        <v>16060</v>
      </c>
      <c r="D2506" s="7">
        <v>0.43</v>
      </c>
      <c r="E2506" t="s">
        <v>24</v>
      </c>
    </row>
    <row r="2507" spans="1:5" x14ac:dyDescent="0.25">
      <c r="A2507" t="str">
        <f>HYPERLINK("https://www.773grp.com/globalSearch/MC78L15ACP/page-1", "MC78L15ACP")</f>
        <v>MC78L15ACP</v>
      </c>
      <c r="B2507" s="3" t="str">
        <f>HYPERLINK("https://www.773grp.com/manufacturer/onsemi?pageNo=1158", "Onsemi")</f>
        <v>Onsemi</v>
      </c>
      <c r="C2507" s="6">
        <v>11</v>
      </c>
      <c r="D2507" s="7">
        <v>0.43</v>
      </c>
      <c r="E2507" t="s">
        <v>24</v>
      </c>
    </row>
    <row r="2508" spans="1:5" x14ac:dyDescent="0.25">
      <c r="A2508" t="str">
        <f>HYPERLINK("https://www.773grp.com/globalSearch/MC78L15ACPRP/page-1", "MC78L15ACPRP")</f>
        <v>MC78L15ACPRP</v>
      </c>
      <c r="B2508" s="3" t="str">
        <f>HYPERLINK("https://www.773grp.com/manufacturer/onsemi?pageNo=1159", "Onsemi")</f>
        <v>Onsemi</v>
      </c>
      <c r="C2508" s="6">
        <v>3432</v>
      </c>
      <c r="D2508" s="7">
        <v>0.43</v>
      </c>
      <c r="E2508" t="s">
        <v>24</v>
      </c>
    </row>
    <row r="2509" spans="1:5" x14ac:dyDescent="0.25">
      <c r="A2509" t="str">
        <f>HYPERLINK("https://www.773grp.com/globalSearch/MC78L18ACP/page-1", "MC78L18ACP")</f>
        <v>MC78L18ACP</v>
      </c>
      <c r="B2509" s="3" t="str">
        <f>HYPERLINK("https://www.773grp.com/manufacturer/onsemi?pageNo=1160", "Onsemi")</f>
        <v>Onsemi</v>
      </c>
      <c r="C2509" s="6">
        <v>3051</v>
      </c>
      <c r="D2509" s="7">
        <v>0.43</v>
      </c>
      <c r="E2509" t="s">
        <v>24</v>
      </c>
    </row>
    <row r="2510" spans="1:5" x14ac:dyDescent="0.25">
      <c r="A2510" t="str">
        <f>HYPERLINK("https://www.773grp.com/globalSearch/MC78L18ACPRA/page-1", "MC78L18ACPRA")</f>
        <v>MC78L18ACPRA</v>
      </c>
      <c r="B2510" s="3" t="str">
        <f>HYPERLINK("https://www.773grp.com/manufacturer/onsemi?pageNo=1161", "Onsemi")</f>
        <v>Onsemi</v>
      </c>
      <c r="C2510" s="6">
        <v>4000</v>
      </c>
      <c r="D2510" s="7">
        <v>0.43</v>
      </c>
      <c r="E2510" t="s">
        <v>24</v>
      </c>
    </row>
    <row r="2511" spans="1:5" x14ac:dyDescent="0.25">
      <c r="A2511" t="str">
        <f>HYPERLINK("https://www.773grp.com/globalSearch/MC78L24ACP/page-1", "MC78L24ACP")</f>
        <v>MC78L24ACP</v>
      </c>
      <c r="B2511" s="3" t="str">
        <f>HYPERLINK("https://www.773grp.com/manufacturer/onsemi?pageNo=1162", "Onsemi")</f>
        <v>Onsemi</v>
      </c>
      <c r="C2511" s="6">
        <v>1033</v>
      </c>
      <c r="D2511" s="7">
        <v>0.43</v>
      </c>
      <c r="E2511" t="s">
        <v>24</v>
      </c>
    </row>
    <row r="2512" spans="1:5" x14ac:dyDescent="0.25">
      <c r="A2512" t="str">
        <f>HYPERLINK("https://www.773grp.com/globalSearch/MC78L24ACPRA/page-1", "MC78L24ACPRA")</f>
        <v>MC78L24ACPRA</v>
      </c>
      <c r="B2512" s="3" t="str">
        <f>HYPERLINK("https://www.773grp.com/manufacturer/onsemi?pageNo=1163", "Onsemi")</f>
        <v>Onsemi</v>
      </c>
      <c r="C2512" s="6">
        <v>10000</v>
      </c>
      <c r="D2512" s="7">
        <v>0.43</v>
      </c>
      <c r="E2512" t="s">
        <v>24</v>
      </c>
    </row>
    <row r="2513" spans="1:5" x14ac:dyDescent="0.25">
      <c r="A2513" t="str">
        <f>HYPERLINK("https://www.773grp.com/globalSearch/MC78L24ACPRP/page-1", "MC78L24ACPRP")</f>
        <v>MC78L24ACPRP</v>
      </c>
      <c r="B2513" s="3" t="str">
        <f>HYPERLINK("https://www.773grp.com/manufacturer/onsemi?pageNo=1164", "Onsemi")</f>
        <v>Onsemi</v>
      </c>
      <c r="C2513" s="6">
        <v>1059</v>
      </c>
      <c r="D2513" s="7">
        <v>0.43</v>
      </c>
      <c r="E2513" t="s">
        <v>24</v>
      </c>
    </row>
    <row r="2514" spans="1:5" x14ac:dyDescent="0.25">
      <c r="A2514" t="str">
        <f>HYPERLINK("https://www.773grp.com/globalSearch/MC79L05ACD/page-1", "MC79L05ACD")</f>
        <v>MC79L05ACD</v>
      </c>
      <c r="B2514" s="3" t="str">
        <f>HYPERLINK("https://www.773grp.com/manufacturer/onsemi?pageNo=1165", "Onsemi")</f>
        <v>Onsemi</v>
      </c>
      <c r="C2514" s="6">
        <v>528</v>
      </c>
      <c r="D2514" s="7">
        <v>0.43</v>
      </c>
      <c r="E2514" t="s">
        <v>53</v>
      </c>
    </row>
    <row r="2515" spans="1:5" x14ac:dyDescent="0.25">
      <c r="A2515" t="str">
        <f>HYPERLINK("https://www.773grp.com/globalSearch/MC79L05ACPRA/page-1", "MC79L05ACPRA")</f>
        <v>MC79L05ACPRA</v>
      </c>
      <c r="B2515" s="3" t="str">
        <f>HYPERLINK("https://www.773grp.com/manufacturer/onsemi?pageNo=1166", "Onsemi")</f>
        <v>Onsemi</v>
      </c>
      <c r="C2515" s="6">
        <v>6000</v>
      </c>
      <c r="D2515" s="7">
        <v>0.43</v>
      </c>
      <c r="E2515" t="s">
        <v>53</v>
      </c>
    </row>
    <row r="2516" spans="1:5" x14ac:dyDescent="0.25">
      <c r="A2516" t="str">
        <f>HYPERLINK("https://www.773grp.com/globalSearch/MC79L05ACPRM/page-1", "MC79L05ACPRM")</f>
        <v>MC79L05ACPRM</v>
      </c>
      <c r="B2516" s="3" t="str">
        <f>HYPERLINK("https://www.773grp.com/manufacturer/onsemi?pageNo=1167", "Onsemi")</f>
        <v>Onsemi</v>
      </c>
      <c r="C2516" s="6">
        <v>6000</v>
      </c>
      <c r="D2516" s="7">
        <v>0.43</v>
      </c>
      <c r="E2516" t="s">
        <v>53</v>
      </c>
    </row>
    <row r="2517" spans="1:5" x14ac:dyDescent="0.25">
      <c r="A2517" t="str">
        <f>HYPERLINK("https://www.773grp.com/globalSearch/MC79L05ACPRP/page-1", "MC79L05ACPRP")</f>
        <v>MC79L05ACPRP</v>
      </c>
      <c r="B2517" s="3" t="str">
        <f>HYPERLINK("https://www.773grp.com/manufacturer/onsemi?pageNo=1168", "Onsemi")</f>
        <v>Onsemi</v>
      </c>
      <c r="C2517" s="6">
        <v>40909</v>
      </c>
      <c r="D2517" s="7">
        <v>0.43</v>
      </c>
      <c r="E2517" t="s">
        <v>53</v>
      </c>
    </row>
    <row r="2518" spans="1:5" x14ac:dyDescent="0.25">
      <c r="A2518" t="str">
        <f>HYPERLINK("https://www.773grp.com/globalSearch/MC79L12ACP/page-1", "MC79L12ACP")</f>
        <v>MC79L12ACP</v>
      </c>
      <c r="B2518" s="3" t="str">
        <f>HYPERLINK("https://www.773grp.com/manufacturer/onsemi?pageNo=1169", "Onsemi")</f>
        <v>Onsemi</v>
      </c>
      <c r="C2518" s="6">
        <v>2278</v>
      </c>
      <c r="D2518" s="7">
        <v>0.43</v>
      </c>
      <c r="E2518" t="s">
        <v>53</v>
      </c>
    </row>
    <row r="2519" spans="1:5" x14ac:dyDescent="0.25">
      <c r="A2519" t="str">
        <f>HYPERLINK("https://www.773grp.com/globalSearch/MC79L12ACPRA/page-1", "MC79L12ACPRA")</f>
        <v>MC79L12ACPRA</v>
      </c>
      <c r="B2519" s="3" t="str">
        <f>HYPERLINK("https://www.773grp.com/manufacturer/onsemi?pageNo=1170", "Onsemi")</f>
        <v>Onsemi</v>
      </c>
      <c r="C2519" s="6">
        <v>5970</v>
      </c>
      <c r="D2519" s="7">
        <v>0.43</v>
      </c>
      <c r="E2519" t="s">
        <v>53</v>
      </c>
    </row>
    <row r="2520" spans="1:5" x14ac:dyDescent="0.25">
      <c r="A2520" t="str">
        <f>HYPERLINK("https://www.773grp.com/globalSearch/MC79L12ACPRP/page-1", "MC79L12ACPRP")</f>
        <v>MC79L12ACPRP</v>
      </c>
      <c r="B2520" s="3" t="str">
        <f>HYPERLINK("https://www.773grp.com/manufacturer/onsemi?pageNo=1171", "Onsemi")</f>
        <v>Onsemi</v>
      </c>
      <c r="C2520" s="6">
        <v>3119</v>
      </c>
      <c r="D2520" s="7">
        <v>0.43</v>
      </c>
      <c r="E2520" t="s">
        <v>53</v>
      </c>
    </row>
    <row r="2521" spans="1:5" x14ac:dyDescent="0.25">
      <c r="A2521" t="str">
        <f>HYPERLINK("https://www.773grp.com/globalSearch/MC79L15ACP/page-1", "MC79L15ACP")</f>
        <v>MC79L15ACP</v>
      </c>
      <c r="B2521" s="3" t="str">
        <f>HYPERLINK("https://www.773grp.com/manufacturer/onsemi?pageNo=1172", "Onsemi")</f>
        <v>Onsemi</v>
      </c>
      <c r="C2521" s="6">
        <v>6480</v>
      </c>
      <c r="D2521" s="7">
        <v>0.43</v>
      </c>
      <c r="E2521" t="s">
        <v>53</v>
      </c>
    </row>
    <row r="2522" spans="1:5" x14ac:dyDescent="0.25">
      <c r="A2522" t="str">
        <f>HYPERLINK("https://www.773grp.com/globalSearch/MC79L15ACPRA/page-1", "MC79L15ACPRA")</f>
        <v>MC79L15ACPRA</v>
      </c>
      <c r="B2522" s="3" t="str">
        <f>HYPERLINK("https://www.773grp.com/manufacturer/onsemi?pageNo=1173", "Onsemi")</f>
        <v>Onsemi</v>
      </c>
      <c r="C2522" s="6">
        <v>4000</v>
      </c>
      <c r="D2522" s="7">
        <v>0.43</v>
      </c>
      <c r="E2522" t="s">
        <v>53</v>
      </c>
    </row>
    <row r="2523" spans="1:5" x14ac:dyDescent="0.25">
      <c r="A2523" t="str">
        <f>HYPERLINK("https://www.773grp.com/globalSearch/MC79L15ACPRP/page-1", "MC79L15ACPRP")</f>
        <v>MC79L15ACPRP</v>
      </c>
      <c r="B2523" s="3" t="str">
        <f>HYPERLINK("https://www.773grp.com/manufacturer/onsemi?pageNo=1174", "Onsemi")</f>
        <v>Onsemi</v>
      </c>
      <c r="C2523" s="6">
        <v>26000</v>
      </c>
      <c r="D2523" s="7">
        <v>0.43</v>
      </c>
      <c r="E2523" t="s">
        <v>53</v>
      </c>
    </row>
    <row r="2524" spans="1:5" x14ac:dyDescent="0.25">
      <c r="A2524" t="str">
        <f>HYPERLINK("https://www.773grp.com/globalSearch/MC79L18ACP/page-1", "MC79L18ACP")</f>
        <v>MC79L18ACP</v>
      </c>
      <c r="B2524" s="3" t="str">
        <f>HYPERLINK("https://www.773grp.com/manufacturer/onsemi?pageNo=1175", "Onsemi")</f>
        <v>Onsemi</v>
      </c>
      <c r="C2524" s="6">
        <v>8000</v>
      </c>
      <c r="D2524" s="7">
        <v>0.43</v>
      </c>
      <c r="E2524" t="s">
        <v>53</v>
      </c>
    </row>
    <row r="2525" spans="1:5" x14ac:dyDescent="0.25">
      <c r="A2525" t="str">
        <f>HYPERLINK("https://www.773grp.com/globalSearch/MC79L24ACP/page-1", "MC79L24ACP")</f>
        <v>MC79L24ACP</v>
      </c>
      <c r="B2525" s="3" t="str">
        <f>HYPERLINK("https://www.773grp.com/manufacturer/onsemi?pageNo=1176", "Onsemi")</f>
        <v>Onsemi</v>
      </c>
      <c r="C2525" s="6">
        <v>1845</v>
      </c>
      <c r="D2525" s="7">
        <v>0.43</v>
      </c>
      <c r="E2525" t="s">
        <v>53</v>
      </c>
    </row>
    <row r="2526" spans="1:5" x14ac:dyDescent="0.25">
      <c r="A2526" t="str">
        <f>HYPERLINK("https://www.773grp.com/globalSearch/MMBC1654N7LT1/page-1", "MMBC1654N7LT1")</f>
        <v>MMBC1654N7LT1</v>
      </c>
      <c r="B2526" s="3" t="str">
        <f>HYPERLINK("https://www.773grp.com/manufacturer/onsemi?pageNo=1177", "Onsemi")</f>
        <v>Onsemi</v>
      </c>
      <c r="C2526" s="6">
        <v>57000</v>
      </c>
      <c r="D2526" s="7">
        <v>0.43</v>
      </c>
      <c r="E2526" t="s">
        <v>57</v>
      </c>
    </row>
    <row r="2527" spans="1:5" x14ac:dyDescent="0.25">
      <c r="A2527" t="str">
        <f>HYPERLINK("https://www.773grp.com/globalSearch/MMBT2132T1/page-1", "MMBT2132T1")</f>
        <v>MMBT2132T1</v>
      </c>
      <c r="B2527" s="3" t="str">
        <f>HYPERLINK("https://www.773grp.com/manufacturer/onsemi?pageNo=1178", "Onsemi")</f>
        <v>Onsemi</v>
      </c>
      <c r="C2527" s="6">
        <v>21000</v>
      </c>
      <c r="D2527" s="7">
        <v>0.43</v>
      </c>
      <c r="E2527" t="s">
        <v>57</v>
      </c>
    </row>
    <row r="2528" spans="1:5" x14ac:dyDescent="0.25">
      <c r="A2528" t="str">
        <f>HYPERLINK("https://www.773grp.com/globalSearch/MMSZ6026T3/page-1", "MMSZ6026T3")</f>
        <v>MMSZ6026T3</v>
      </c>
      <c r="B2528" s="3" t="str">
        <f>HYPERLINK("https://www.773grp.com/manufacturer/onsemi?pageNo=1179", "Onsemi")</f>
        <v>Onsemi</v>
      </c>
      <c r="C2528" s="6">
        <v>690000</v>
      </c>
      <c r="D2528" s="7">
        <v>0.43</v>
      </c>
    </row>
    <row r="2529" spans="1:5" x14ac:dyDescent="0.25">
      <c r="A2529" t="str">
        <f>HYPERLINK("https://www.773grp.com/globalSearch/MMVL105GT1/page-1", "MMVL105GT1")</f>
        <v>MMVL105GT1</v>
      </c>
      <c r="B2529" s="3" t="str">
        <f>HYPERLINK("https://www.773grp.com/manufacturer/onsemi?pageNo=1180", "Onsemi")</f>
        <v>Onsemi</v>
      </c>
      <c r="C2529" s="6">
        <v>75000</v>
      </c>
      <c r="D2529" s="7">
        <v>0.43</v>
      </c>
      <c r="E2529" t="s">
        <v>80</v>
      </c>
    </row>
    <row r="2530" spans="1:5" x14ac:dyDescent="0.25">
      <c r="A2530" t="str">
        <f>HYPERLINK("https://www.773grp.com/globalSearch/MMVL105GT1G/page-1", "MMVL105GT1G")</f>
        <v>MMVL105GT1G</v>
      </c>
      <c r="B2530" s="3" t="str">
        <f>HYPERLINK("https://www.773grp.com/manufacturer/onsemi?pageNo=1181", "Onsemi")</f>
        <v>Onsemi</v>
      </c>
      <c r="C2530" s="6">
        <v>84000</v>
      </c>
      <c r="D2530" s="7">
        <v>0.43</v>
      </c>
      <c r="E2530" t="s">
        <v>80</v>
      </c>
    </row>
    <row r="2531" spans="1:5" x14ac:dyDescent="0.25">
      <c r="A2531" t="str">
        <f>HYPERLINK("https://www.773grp.com/globalSearch/MMVL2101T1G/page-1", "MMVL2101T1G")</f>
        <v>MMVL2101T1G</v>
      </c>
      <c r="B2531" s="3" t="str">
        <f>HYPERLINK("https://www.773grp.com/manufacturer/onsemi?pageNo=1182", "Onsemi")</f>
        <v>Onsemi</v>
      </c>
      <c r="C2531" s="6">
        <v>18000</v>
      </c>
      <c r="D2531" s="7">
        <v>0.43</v>
      </c>
      <c r="E2531" t="s">
        <v>80</v>
      </c>
    </row>
    <row r="2532" spans="1:5" x14ac:dyDescent="0.25">
      <c r="A2532" t="str">
        <f>HYPERLINK("https://www.773grp.com/globalSearch/MMVL3102T1G/page-1", "MMVL3102T1G")</f>
        <v>MMVL3102T1G</v>
      </c>
      <c r="B2532" s="3" t="str">
        <f>HYPERLINK("https://www.773grp.com/manufacturer/onsemi?pageNo=1183", "Onsemi")</f>
        <v>Onsemi</v>
      </c>
      <c r="C2532" s="6">
        <v>12000</v>
      </c>
      <c r="D2532" s="7">
        <v>0.43</v>
      </c>
      <c r="E2532" t="s">
        <v>80</v>
      </c>
    </row>
    <row r="2533" spans="1:5" x14ac:dyDescent="0.25">
      <c r="A2533" t="str">
        <f>HYPERLINK("https://www.773grp.com/globalSearch/MMVL3401T1/page-1", "MMVL3401T1")</f>
        <v>MMVL3401T1</v>
      </c>
      <c r="B2533" s="3" t="str">
        <f>HYPERLINK("https://www.773grp.com/manufacturer/onsemi?pageNo=1184", "Onsemi")</f>
        <v>Onsemi</v>
      </c>
      <c r="C2533" s="6">
        <v>21000</v>
      </c>
      <c r="D2533" s="7">
        <v>0.43</v>
      </c>
      <c r="E2533" t="s">
        <v>89</v>
      </c>
    </row>
    <row r="2534" spans="1:5" x14ac:dyDescent="0.25">
      <c r="A2534" t="str">
        <f>HYPERLINK("https://www.773grp.com/globalSearch/MMVL409T1/page-1", "MMVL409T1")</f>
        <v>MMVL409T1</v>
      </c>
      <c r="B2534" s="3" t="str">
        <f>HYPERLINK("https://www.773grp.com/manufacturer/onsemi?pageNo=1185", "Onsemi")</f>
        <v>Onsemi</v>
      </c>
      <c r="C2534" s="6">
        <v>21000</v>
      </c>
      <c r="D2534" s="7">
        <v>0.43</v>
      </c>
      <c r="E2534" t="s">
        <v>80</v>
      </c>
    </row>
    <row r="2535" spans="1:5" x14ac:dyDescent="0.25">
      <c r="A2535" t="str">
        <f>HYPERLINK("https://www.773grp.com/globalSearch/MMVL409T1G/page-1", "MMVL409T1G")</f>
        <v>MMVL409T1G</v>
      </c>
      <c r="B2535" s="3" t="str">
        <f>HYPERLINK("https://www.773grp.com/manufacturer/onsemi?pageNo=1186", "Onsemi")</f>
        <v>Onsemi</v>
      </c>
      <c r="C2535" s="6">
        <v>12000</v>
      </c>
      <c r="D2535" s="7">
        <v>0.43</v>
      </c>
      <c r="E2535" t="s">
        <v>80</v>
      </c>
    </row>
    <row r="2536" spans="1:5" x14ac:dyDescent="0.25">
      <c r="A2536" t="str">
        <f>HYPERLINK("https://www.773grp.com/globalSearch/MMVL809T1G/page-1", "MMVL809T1G")</f>
        <v>MMVL809T1G</v>
      </c>
      <c r="B2536" s="3" t="str">
        <f>HYPERLINK("https://www.773grp.com/manufacturer/onsemi?pageNo=1187", "Onsemi")</f>
        <v>Onsemi</v>
      </c>
      <c r="C2536" s="6">
        <v>48000</v>
      </c>
      <c r="D2536" s="7">
        <v>0.43</v>
      </c>
      <c r="E2536" t="s">
        <v>80</v>
      </c>
    </row>
    <row r="2537" spans="1:5" x14ac:dyDescent="0.25">
      <c r="A2537" t="str">
        <f>HYPERLINK("https://www.773grp.com/globalSearch/MPS751RLRP/page-1", "MPS751RLRP")</f>
        <v>MPS751RLRP</v>
      </c>
      <c r="B2537" s="3" t="str">
        <f>HYPERLINK("https://www.773grp.com/manufacturer/onsemi?pageNo=1188", "Onsemi")</f>
        <v>Onsemi</v>
      </c>
      <c r="C2537" s="6">
        <v>11530</v>
      </c>
      <c r="D2537" s="7">
        <v>0.43</v>
      </c>
      <c r="E2537" t="s">
        <v>57</v>
      </c>
    </row>
    <row r="2538" spans="1:5" x14ac:dyDescent="0.25">
      <c r="A2538" t="str">
        <f>HYPERLINK("https://www.773grp.com/globalSearch/MUN5133DW1T1/page-1", "MUN5133DW1T1")</f>
        <v>MUN5133DW1T1</v>
      </c>
      <c r="B2538" s="3" t="str">
        <f>HYPERLINK("https://www.773grp.com/manufacturer/onsemi?pageNo=1189", "Onsemi")</f>
        <v>Onsemi</v>
      </c>
      <c r="C2538" s="6">
        <v>15000</v>
      </c>
      <c r="D2538" s="7">
        <v>0.43</v>
      </c>
      <c r="E2538" t="s">
        <v>57</v>
      </c>
    </row>
    <row r="2539" spans="1:5" x14ac:dyDescent="0.25">
      <c r="A2539" t="str">
        <f>HYPERLINK("https://www.773grp.com/globalSearch/MUR105G/page-1", "MUR105G")</f>
        <v>MUR105G</v>
      </c>
      <c r="B2539" s="3" t="str">
        <f>HYPERLINK("https://www.773grp.com/manufacturer/onsemi?pageNo=1190", "Onsemi")</f>
        <v>Onsemi</v>
      </c>
      <c r="C2539" s="6">
        <v>10305</v>
      </c>
      <c r="D2539" s="7">
        <v>0.43</v>
      </c>
      <c r="E2539" t="s">
        <v>73</v>
      </c>
    </row>
    <row r="2540" spans="1:5" x14ac:dyDescent="0.25">
      <c r="A2540" t="str">
        <f>HYPERLINK("https://www.773grp.com/globalSearch/MUR105RLG/page-1", "MUR105RLG")</f>
        <v>MUR105RLG</v>
      </c>
      <c r="B2540" s="3" t="str">
        <f>HYPERLINK("https://www.773grp.com/manufacturer/onsemi?pageNo=1191", "Onsemi")</f>
        <v>Onsemi</v>
      </c>
      <c r="C2540" s="6">
        <v>9451</v>
      </c>
      <c r="D2540" s="7">
        <v>0.43</v>
      </c>
      <c r="E2540" t="s">
        <v>73</v>
      </c>
    </row>
    <row r="2541" spans="1:5" x14ac:dyDescent="0.25">
      <c r="A2541" t="str">
        <f>HYPERLINK("https://www.773grp.com/globalSearch/MUR110G/page-1", "MUR110G")</f>
        <v>MUR110G</v>
      </c>
      <c r="B2541" s="3" t="str">
        <f>HYPERLINK("https://www.773grp.com/manufacturer/onsemi?pageNo=1192", "Onsemi")</f>
        <v>Onsemi</v>
      </c>
      <c r="C2541" s="6">
        <v>14000</v>
      </c>
      <c r="D2541" s="7">
        <v>0.43</v>
      </c>
      <c r="E2541" t="s">
        <v>73</v>
      </c>
    </row>
    <row r="2542" spans="1:5" x14ac:dyDescent="0.25">
      <c r="A2542" t="str">
        <f>HYPERLINK("https://www.773grp.com/globalSearch/MUR110RLG/page-1", "MUR110RLG")</f>
        <v>MUR110RLG</v>
      </c>
      <c r="B2542" s="3" t="str">
        <f>HYPERLINK("https://www.773grp.com/manufacturer/onsemi?pageNo=1193", "Onsemi")</f>
        <v>Onsemi</v>
      </c>
      <c r="C2542" s="6">
        <v>33700</v>
      </c>
      <c r="D2542" s="7">
        <v>0.43</v>
      </c>
      <c r="E2542" t="s">
        <v>73</v>
      </c>
    </row>
    <row r="2543" spans="1:5" x14ac:dyDescent="0.25">
      <c r="A2543" t="str">
        <f>HYPERLINK("https://www.773grp.com/globalSearch/MUR115G/page-1", "MUR115G")</f>
        <v>MUR115G</v>
      </c>
      <c r="B2543" s="3" t="str">
        <f>HYPERLINK("https://www.773grp.com/manufacturer/onsemi?pageNo=1194", "Onsemi")</f>
        <v>Onsemi</v>
      </c>
      <c r="C2543" s="6">
        <v>11948</v>
      </c>
      <c r="D2543" s="7">
        <v>0.43</v>
      </c>
      <c r="E2543" t="s">
        <v>73</v>
      </c>
    </row>
    <row r="2544" spans="1:5" x14ac:dyDescent="0.25">
      <c r="A2544" t="str">
        <f>HYPERLINK("https://www.773grp.com/globalSearch/MUR115RLG/page-1", "MUR115RLG")</f>
        <v>MUR115RLG</v>
      </c>
      <c r="B2544" s="3" t="str">
        <f>HYPERLINK("https://www.773grp.com/manufacturer/onsemi?pageNo=1195", "Onsemi")</f>
        <v>Onsemi</v>
      </c>
      <c r="C2544" s="6">
        <v>12000</v>
      </c>
      <c r="D2544" s="7">
        <v>0.43</v>
      </c>
    </row>
    <row r="2545" spans="1:5" x14ac:dyDescent="0.25">
      <c r="A2545" t="str">
        <f>HYPERLINK("https://www.773grp.com/globalSearch/MUR120G/page-1", "MUR120G")</f>
        <v>MUR120G</v>
      </c>
      <c r="B2545" s="3" t="str">
        <f>HYPERLINK("https://www.773grp.com/manufacturer/onsemi?pageNo=1196", "Onsemi")</f>
        <v>Onsemi</v>
      </c>
      <c r="C2545" s="6">
        <v>75598</v>
      </c>
      <c r="D2545" s="7">
        <v>0.43</v>
      </c>
      <c r="E2545" t="s">
        <v>73</v>
      </c>
    </row>
    <row r="2546" spans="1:5" x14ac:dyDescent="0.25">
      <c r="A2546" t="str">
        <f>HYPERLINK("https://www.773grp.com/globalSearch/MUR120RLG/page-1", "MUR120RLG")</f>
        <v>MUR120RLG</v>
      </c>
      <c r="B2546" s="3" t="str">
        <f>HYPERLINK("https://www.773grp.com/manufacturer/onsemi?pageNo=1197", "Onsemi")</f>
        <v>Onsemi</v>
      </c>
      <c r="C2546" s="6">
        <v>387058</v>
      </c>
      <c r="D2546" s="7">
        <v>0.43</v>
      </c>
      <c r="E2546" t="s">
        <v>73</v>
      </c>
    </row>
    <row r="2547" spans="1:5" x14ac:dyDescent="0.25">
      <c r="A2547" t="str">
        <f>HYPERLINK("https://www.773grp.com/globalSearch/MUR140G/page-1", "MUR140G")</f>
        <v>MUR140G</v>
      </c>
      <c r="B2547" s="3" t="str">
        <f>HYPERLINK("https://www.773grp.com/manufacturer/onsemi?pageNo=1198", "Onsemi")</f>
        <v>Onsemi</v>
      </c>
      <c r="C2547" s="6">
        <v>8000</v>
      </c>
      <c r="D2547" s="7">
        <v>0.43</v>
      </c>
      <c r="E2547" t="s">
        <v>73</v>
      </c>
    </row>
    <row r="2548" spans="1:5" x14ac:dyDescent="0.25">
      <c r="A2548" t="str">
        <f>HYPERLINK("https://www.773grp.com/globalSearch/MUR140RLG/page-1", "MUR140RLG")</f>
        <v>MUR140RLG</v>
      </c>
      <c r="B2548" s="3" t="str">
        <f>HYPERLINK("https://www.773grp.com/manufacturer/onsemi?pageNo=1199", "Onsemi")</f>
        <v>Onsemi</v>
      </c>
      <c r="C2548" s="6">
        <v>794894</v>
      </c>
      <c r="D2548" s="7">
        <v>0.43</v>
      </c>
      <c r="E2548" t="s">
        <v>73</v>
      </c>
    </row>
    <row r="2549" spans="1:5" x14ac:dyDescent="0.25">
      <c r="A2549" t="str">
        <f>HYPERLINK("https://www.773grp.com/globalSearch/MUR160G/page-1", "MUR160G")</f>
        <v>MUR160G</v>
      </c>
      <c r="B2549" s="3" t="str">
        <f>HYPERLINK("https://www.773grp.com/manufacturer/onsemi?pageNo=1200", "Onsemi")</f>
        <v>Onsemi</v>
      </c>
      <c r="C2549" s="6">
        <v>314077</v>
      </c>
      <c r="D2549" s="7">
        <v>0.43</v>
      </c>
      <c r="E2549" t="s">
        <v>73</v>
      </c>
    </row>
    <row r="2550" spans="1:5" x14ac:dyDescent="0.25">
      <c r="A2550" t="str">
        <f>HYPERLINK("https://www.773grp.com/globalSearch/MUR160RLG/page-1", "MUR160RLG")</f>
        <v>MUR160RLG</v>
      </c>
      <c r="B2550" s="3" t="str">
        <f>HYPERLINK("https://www.773grp.com/manufacturer/onsemi?pageNo=1201", "Onsemi")</f>
        <v>Onsemi</v>
      </c>
      <c r="C2550" s="6">
        <v>187160</v>
      </c>
      <c r="D2550" s="7">
        <v>0.43</v>
      </c>
      <c r="E2550" t="s">
        <v>73</v>
      </c>
    </row>
    <row r="2551" spans="1:5" x14ac:dyDescent="0.25">
      <c r="A2551" t="str">
        <f>HYPERLINK("https://www.773grp.com/globalSearch/MURA115T3/page-1", "MURA115T3")</f>
        <v>MURA115T3</v>
      </c>
      <c r="B2551" s="3" t="str">
        <f>HYPERLINK("https://www.773grp.com/manufacturer/onsemi?pageNo=1202", "Onsemi")</f>
        <v>Onsemi</v>
      </c>
      <c r="C2551" s="6">
        <v>10990</v>
      </c>
      <c r="D2551" s="7">
        <v>0.43</v>
      </c>
      <c r="E2551" t="s">
        <v>82</v>
      </c>
    </row>
    <row r="2552" spans="1:5" x14ac:dyDescent="0.25">
      <c r="A2552" t="str">
        <f>HYPERLINK("https://www.773grp.com/globalSearch/MURS230T3/page-1", "MURS230T3")</f>
        <v>MURS230T3</v>
      </c>
      <c r="B2552" s="3" t="str">
        <f>HYPERLINK("https://www.773grp.com/manufacturer/onsemi?pageNo=1203", "Onsemi")</f>
        <v>Onsemi</v>
      </c>
      <c r="C2552" s="6">
        <v>39920</v>
      </c>
      <c r="D2552" s="7">
        <v>0.43</v>
      </c>
      <c r="E2552" t="s">
        <v>82</v>
      </c>
    </row>
    <row r="2553" spans="1:5" x14ac:dyDescent="0.25">
      <c r="A2553" t="str">
        <f>HYPERLINK("https://www.773grp.com/globalSearch/MURS240T3/page-1", "MURS240T3")</f>
        <v>MURS240T3</v>
      </c>
      <c r="B2553" s="3" t="str">
        <f>HYPERLINK("https://www.773grp.com/manufacturer/onsemi?pageNo=1204", "Onsemi")</f>
        <v>Onsemi</v>
      </c>
      <c r="C2553" s="6">
        <v>1</v>
      </c>
      <c r="D2553" s="7">
        <v>0.43</v>
      </c>
      <c r="E2553" t="s">
        <v>82</v>
      </c>
    </row>
    <row r="2554" spans="1:5" x14ac:dyDescent="0.25">
      <c r="A2554" t="str">
        <f>HYPERLINK("https://www.773grp.com/globalSearch/MZ4614RL/page-1", "MZ4614RL")</f>
        <v>MZ4614RL</v>
      </c>
      <c r="B2554" s="3" t="str">
        <f>HYPERLINK("https://www.773grp.com/manufacturer/onsemi?pageNo=1205", "Onsemi")</f>
        <v>Onsemi</v>
      </c>
      <c r="C2554" s="6">
        <v>9722</v>
      </c>
      <c r="D2554" s="7">
        <v>0.43</v>
      </c>
      <c r="E2554" t="s">
        <v>77</v>
      </c>
    </row>
    <row r="2555" spans="1:5" x14ac:dyDescent="0.25">
      <c r="A2555" t="str">
        <f>HYPERLINK("https://www.773grp.com/globalSearch/MZ4620RL/page-1", "MZ4620RL")</f>
        <v>MZ4620RL</v>
      </c>
      <c r="B2555" s="3" t="str">
        <f>HYPERLINK("https://www.773grp.com/manufacturer/onsemi?pageNo=1206", "Onsemi")</f>
        <v>Onsemi</v>
      </c>
      <c r="C2555" s="6">
        <v>5000</v>
      </c>
      <c r="D2555" s="7">
        <v>0.43</v>
      </c>
      <c r="E2555" t="s">
        <v>77</v>
      </c>
    </row>
    <row r="2556" spans="1:5" x14ac:dyDescent="0.25">
      <c r="A2556" t="str">
        <f>HYPERLINK("https://www.773grp.com/globalSearch/NCP1117DT50RK/page-1", "NCP1117DT50RK")</f>
        <v>NCP1117DT50RK</v>
      </c>
      <c r="B2556" s="3" t="str">
        <f>HYPERLINK("https://www.773grp.com/manufacturer/onsemi?pageNo=1207", "Onsemi")</f>
        <v>Onsemi</v>
      </c>
      <c r="C2556" s="6">
        <v>2454</v>
      </c>
      <c r="D2556" s="7">
        <v>0.43</v>
      </c>
      <c r="E2556" t="s">
        <v>15</v>
      </c>
    </row>
    <row r="2557" spans="1:5" x14ac:dyDescent="0.25">
      <c r="A2557" t="str">
        <f>HYPERLINK("https://www.773grp.com/globalSearch/NCP431ACSNT1G/page-1", "NCP431ACSNT1G")</f>
        <v>NCP431ACSNT1G</v>
      </c>
      <c r="B2557" s="3" t="str">
        <f>HYPERLINK("https://www.773grp.com/manufacturer/onsemi?pageNo=1208", "Onsemi")</f>
        <v>Onsemi</v>
      </c>
      <c r="C2557" s="6">
        <v>9000</v>
      </c>
      <c r="D2557" s="7">
        <v>0.43</v>
      </c>
    </row>
    <row r="2558" spans="1:5" x14ac:dyDescent="0.25">
      <c r="A2558" t="str">
        <f>HYPERLINK("https://www.773grp.com/globalSearch/NL17VHC1GT50DF/page-1", "NL17VHC1GT50DF")</f>
        <v>NL17VHC1GT50DF</v>
      </c>
      <c r="B2558" s="3" t="str">
        <f>HYPERLINK("https://www.773grp.com/manufacturer/onsemi?pageNo=1209", "Onsemi")</f>
        <v>Onsemi</v>
      </c>
      <c r="C2558" s="6">
        <v>3000</v>
      </c>
      <c r="D2558" s="7">
        <v>0.43</v>
      </c>
    </row>
    <row r="2559" spans="1:5" x14ac:dyDescent="0.25">
      <c r="A2559" t="str">
        <f>HYPERLINK("https://www.773grp.com/globalSearch/NL7SZ57DFT2G/page-1", "NL7SZ57DFT2G")</f>
        <v>NL7SZ57DFT2G</v>
      </c>
      <c r="B2559" s="3" t="str">
        <f>HYPERLINK("https://www.773grp.com/manufacturer/onsemi?pageNo=1210", "Onsemi")</f>
        <v>Onsemi</v>
      </c>
      <c r="C2559" s="6">
        <v>1558830</v>
      </c>
      <c r="D2559" s="7">
        <v>0.43</v>
      </c>
      <c r="E2559" t="s">
        <v>68</v>
      </c>
    </row>
    <row r="2560" spans="1:5" x14ac:dyDescent="0.25">
      <c r="A2560" t="str">
        <f>HYPERLINK("https://www.773grp.com/globalSearch/NL7SZ58DFT2G/page-1", "NL7SZ58DFT2G")</f>
        <v>NL7SZ58DFT2G</v>
      </c>
      <c r="B2560" s="3" t="str">
        <f>HYPERLINK("https://www.773grp.com/manufacturer/onsemi?pageNo=1211", "Onsemi")</f>
        <v>Onsemi</v>
      </c>
      <c r="C2560" s="6">
        <v>66000</v>
      </c>
      <c r="D2560" s="7">
        <v>0.43</v>
      </c>
      <c r="E2560" t="s">
        <v>68</v>
      </c>
    </row>
    <row r="2561" spans="1:5" x14ac:dyDescent="0.25">
      <c r="A2561" t="str">
        <f>HYPERLINK("https://www.773grp.com/globalSearch/NL7SZ98DFT2G/page-1", "NL7SZ98DFT2G")</f>
        <v>NL7SZ98DFT2G</v>
      </c>
      <c r="B2561" s="3" t="str">
        <f>HYPERLINK("https://www.773grp.com/manufacturer/onsemi?pageNo=1212", "Onsemi")</f>
        <v>Onsemi</v>
      </c>
      <c r="C2561" s="6">
        <v>20762</v>
      </c>
      <c r="D2561" s="7">
        <v>0.43</v>
      </c>
      <c r="E2561" t="s">
        <v>68</v>
      </c>
    </row>
    <row r="2562" spans="1:5" x14ac:dyDescent="0.25">
      <c r="A2562" t="str">
        <f>HYPERLINK("https://www.773grp.com/globalSearch/NL7SZAMUR2G/page-1", "NL7SZAMUR2G")</f>
        <v>NL7SZAMUR2G</v>
      </c>
      <c r="B2562" s="3" t="str">
        <f>HYPERLINK("https://www.773grp.com/manufacturer/onsemi?pageNo=1213", "Onsemi")</f>
        <v>Onsemi</v>
      </c>
      <c r="C2562" s="6">
        <v>752</v>
      </c>
      <c r="D2562" s="7">
        <v>0.43</v>
      </c>
    </row>
    <row r="2563" spans="1:5" x14ac:dyDescent="0.25">
      <c r="A2563" t="str">
        <f>HYPERLINK("https://www.773grp.com/globalSearch/NLAS4501DTT1G/page-1", "NLAS4501DTT1G")</f>
        <v>NLAS4501DTT1G</v>
      </c>
      <c r="B2563" s="3" t="str">
        <f>HYPERLINK("https://www.773grp.com/manufacturer/onsemi?pageNo=1214", "Onsemi")</f>
        <v>Onsemi</v>
      </c>
      <c r="C2563" s="6">
        <v>56882</v>
      </c>
      <c r="D2563" s="7">
        <v>0.43</v>
      </c>
      <c r="E2563" t="s">
        <v>46</v>
      </c>
    </row>
    <row r="2564" spans="1:5" x14ac:dyDescent="0.25">
      <c r="A2564" t="str">
        <f>HYPERLINK("https://www.773grp.com/globalSearch/NLASB3157DFT2G/page-1", "NLASB3157DFT2G")</f>
        <v>NLASB3157DFT2G</v>
      </c>
      <c r="B2564" s="3" t="str">
        <f>HYPERLINK("https://www.773grp.com/manufacturer/onsemi?pageNo=1215", "Onsemi")</f>
        <v>Onsemi</v>
      </c>
      <c r="C2564" s="6">
        <v>748087</v>
      </c>
      <c r="D2564" s="7">
        <v>0.43</v>
      </c>
      <c r="E2564" t="s">
        <v>46</v>
      </c>
    </row>
    <row r="2565" spans="1:5" x14ac:dyDescent="0.25">
      <c r="A2565" t="str">
        <f>HYPERLINK("https://www.773grp.com/globalSearch/NLASB3157MTR2G/page-1", "NLASB3157MTR2G")</f>
        <v>NLASB3157MTR2G</v>
      </c>
      <c r="B2565" s="3" t="str">
        <f>HYPERLINK("https://www.773grp.com/manufacturer/onsemi?pageNo=1216", "Onsemi")</f>
        <v>Onsemi</v>
      </c>
      <c r="C2565" s="6">
        <v>352793</v>
      </c>
      <c r="D2565" s="7">
        <v>0.43</v>
      </c>
      <c r="E2565" t="s">
        <v>46</v>
      </c>
    </row>
    <row r="2566" spans="1:5" x14ac:dyDescent="0.25">
      <c r="A2566" t="str">
        <f>HYPERLINK("https://www.773grp.com/globalSearch/NLAST4501DFT2G/page-1", "NLAST4501DFT2G")</f>
        <v>NLAST4501DFT2G</v>
      </c>
      <c r="B2566" s="3" t="str">
        <f>HYPERLINK("https://www.773grp.com/manufacturer/onsemi?pageNo=1217", "Onsemi")</f>
        <v>Onsemi</v>
      </c>
      <c r="C2566" s="6">
        <v>5975</v>
      </c>
      <c r="D2566" s="7">
        <v>0.43</v>
      </c>
      <c r="E2566" t="s">
        <v>46</v>
      </c>
    </row>
    <row r="2567" spans="1:5" x14ac:dyDescent="0.25">
      <c r="A2567" t="str">
        <f>HYPERLINK("https://www.773grp.com/globalSearch/NLAST4501DTT1G/page-1", "NLAST4501DTT1G")</f>
        <v>NLAST4501DTT1G</v>
      </c>
      <c r="B2567" s="3" t="str">
        <f>HYPERLINK("https://www.773grp.com/manufacturer/onsemi?pageNo=1218", "Onsemi")</f>
        <v>Onsemi</v>
      </c>
      <c r="C2567" s="6">
        <v>53592</v>
      </c>
      <c r="D2567" s="7">
        <v>0.43</v>
      </c>
      <c r="E2567" t="s">
        <v>46</v>
      </c>
    </row>
    <row r="2568" spans="1:5" x14ac:dyDescent="0.25">
      <c r="A2568" t="str">
        <f>HYPERLINK("https://www.773grp.com/globalSearch/NLU2G04CMX1TCG/page-1", "NLU2G04CMX1TCG")</f>
        <v>NLU2G04CMX1TCG</v>
      </c>
      <c r="B2568" s="3" t="str">
        <f>HYPERLINK("https://www.773grp.com/manufacturer/onsemi?pageNo=1219", "Onsemi")</f>
        <v>Onsemi</v>
      </c>
      <c r="C2568" s="6">
        <v>254250</v>
      </c>
      <c r="D2568" s="7">
        <v>0.43</v>
      </c>
      <c r="E2568" t="s">
        <v>27</v>
      </c>
    </row>
    <row r="2569" spans="1:5" x14ac:dyDescent="0.25">
      <c r="A2569" t="str">
        <f>HYPERLINK("https://www.773grp.com/globalSearch/NLU2G06CMX1TCG/page-1", "NLU2G06CMX1TCG")</f>
        <v>NLU2G06CMX1TCG</v>
      </c>
      <c r="B2569" s="3" t="str">
        <f>HYPERLINK("https://www.773grp.com/manufacturer/onsemi?pageNo=1220", "Onsemi")</f>
        <v>Onsemi</v>
      </c>
      <c r="C2569" s="6">
        <v>144000</v>
      </c>
      <c r="D2569" s="7">
        <v>0.43</v>
      </c>
      <c r="E2569" t="s">
        <v>27</v>
      </c>
    </row>
    <row r="2570" spans="1:5" x14ac:dyDescent="0.25">
      <c r="A2570" t="str">
        <f>HYPERLINK("https://www.773grp.com/globalSearch/NLU2G07CMX1TCG/page-1", "NLU2G07CMX1TCG")</f>
        <v>NLU2G07CMX1TCG</v>
      </c>
      <c r="B2570" s="3" t="str">
        <f>HYPERLINK("https://www.773grp.com/manufacturer/onsemi?pageNo=1221", "Onsemi")</f>
        <v>Onsemi</v>
      </c>
      <c r="C2570" s="6">
        <v>25985</v>
      </c>
      <c r="D2570" s="7">
        <v>0.43</v>
      </c>
    </row>
    <row r="2571" spans="1:5" x14ac:dyDescent="0.25">
      <c r="A2571" t="str">
        <f>HYPERLINK("https://www.773grp.com/globalSearch/NLU2G14CMX1TCG/page-1", "NLU2G14CMX1TCG")</f>
        <v>NLU2G14CMX1TCG</v>
      </c>
      <c r="B2571" s="3" t="str">
        <f>HYPERLINK("https://www.773grp.com/manufacturer/onsemi?pageNo=1222", "Onsemi")</f>
        <v>Onsemi</v>
      </c>
      <c r="C2571" s="6">
        <v>86579</v>
      </c>
      <c r="D2571" s="7">
        <v>0.43</v>
      </c>
      <c r="E2571" t="s">
        <v>27</v>
      </c>
    </row>
    <row r="2572" spans="1:5" x14ac:dyDescent="0.25">
      <c r="A2572" t="str">
        <f>HYPERLINK("https://www.773grp.com/globalSearch/NLU2G16CMX1TCG/page-1", "NLU2G16CMX1TCG")</f>
        <v>NLU2G16CMX1TCG</v>
      </c>
      <c r="B2572" s="3" t="str">
        <f>HYPERLINK("https://www.773grp.com/manufacturer/onsemi?pageNo=1223", "Onsemi")</f>
        <v>Onsemi</v>
      </c>
      <c r="C2572" s="6">
        <v>86900</v>
      </c>
      <c r="D2572" s="7">
        <v>0.43</v>
      </c>
      <c r="E2572" t="s">
        <v>27</v>
      </c>
    </row>
    <row r="2573" spans="1:5" x14ac:dyDescent="0.25">
      <c r="A2573" t="str">
        <f>HYPERLINK("https://www.773grp.com/globalSearch/NLU2G17CMX1TCG/page-1", "NLU2G17CMX1TCG")</f>
        <v>NLU2G17CMX1TCG</v>
      </c>
      <c r="B2573" s="3" t="str">
        <f>HYPERLINK("https://www.773grp.com/manufacturer/onsemi?pageNo=1224", "Onsemi")</f>
        <v>Onsemi</v>
      </c>
      <c r="C2573" s="6">
        <v>12375</v>
      </c>
      <c r="D2573" s="7">
        <v>0.43</v>
      </c>
    </row>
    <row r="2574" spans="1:5" x14ac:dyDescent="0.25">
      <c r="A2574" t="str">
        <f>HYPERLINK("https://www.773grp.com/globalSearch/NLU2GU04CMX1TCG/page-1", "NLU2GU04CMX1TCG")</f>
        <v>NLU2GU04CMX1TCG</v>
      </c>
      <c r="B2574" s="3" t="str">
        <f>HYPERLINK("https://www.773grp.com/manufacturer/onsemi?pageNo=1225", "Onsemi")</f>
        <v>Onsemi</v>
      </c>
      <c r="C2574" s="6">
        <v>137650</v>
      </c>
      <c r="D2574" s="7">
        <v>0.43</v>
      </c>
      <c r="E2574" t="s">
        <v>27</v>
      </c>
    </row>
    <row r="2575" spans="1:5" x14ac:dyDescent="0.25">
      <c r="A2575" t="str">
        <f>HYPERLINK("https://www.773grp.com/globalSearch/NLU3G14AMX1TCG/page-1", "NLU3G14AMX1TCG")</f>
        <v>NLU3G14AMX1TCG</v>
      </c>
      <c r="B2575" s="3" t="str">
        <f>HYPERLINK("https://www.773grp.com/manufacturer/onsemi?pageNo=1226", "Onsemi")</f>
        <v>Onsemi</v>
      </c>
      <c r="C2575" s="6">
        <v>68977</v>
      </c>
      <c r="D2575" s="7">
        <v>0.43</v>
      </c>
      <c r="E2575" t="s">
        <v>27</v>
      </c>
    </row>
    <row r="2576" spans="1:5" x14ac:dyDescent="0.25">
      <c r="A2576" t="str">
        <f>HYPERLINK("https://www.773grp.com/globalSearch/NLU3G14BMX1TCG/page-1", "NLU3G14BMX1TCG")</f>
        <v>NLU3G14BMX1TCG</v>
      </c>
      <c r="B2576" s="3" t="str">
        <f>HYPERLINK("https://www.773grp.com/manufacturer/onsemi?pageNo=1227", "Onsemi")</f>
        <v>Onsemi</v>
      </c>
      <c r="C2576" s="6">
        <v>12000</v>
      </c>
      <c r="D2576" s="7">
        <v>0.43</v>
      </c>
      <c r="E2576" t="s">
        <v>27</v>
      </c>
    </row>
    <row r="2577" spans="1:5" x14ac:dyDescent="0.25">
      <c r="A2577" t="str">
        <f>HYPERLINK("https://www.773grp.com/globalSearch/NLU3G16AMX1TCG/page-1", "NLU3G16AMX1TCG")</f>
        <v>NLU3G16AMX1TCG</v>
      </c>
      <c r="B2577" s="3" t="str">
        <f>HYPERLINK("https://www.773grp.com/manufacturer/onsemi?pageNo=1228", "Onsemi")</f>
        <v>Onsemi</v>
      </c>
      <c r="C2577" s="6">
        <v>30000</v>
      </c>
      <c r="D2577" s="7">
        <v>0.43</v>
      </c>
      <c r="E2577" t="s">
        <v>27</v>
      </c>
    </row>
    <row r="2578" spans="1:5" x14ac:dyDescent="0.25">
      <c r="A2578" t="str">
        <f>HYPERLINK("https://www.773grp.com/globalSearch/NLU3G16BMX1TCG/page-1", "NLU3G16BMX1TCG")</f>
        <v>NLU3G16BMX1TCG</v>
      </c>
      <c r="B2578" s="3" t="str">
        <f>HYPERLINK("https://www.773grp.com/manufacturer/onsemi?pageNo=1229", "Onsemi")</f>
        <v>Onsemi</v>
      </c>
      <c r="C2578" s="6">
        <v>24000</v>
      </c>
      <c r="D2578" s="7">
        <v>0.43</v>
      </c>
      <c r="E2578" t="s">
        <v>27</v>
      </c>
    </row>
    <row r="2579" spans="1:5" x14ac:dyDescent="0.25">
      <c r="A2579" t="str">
        <f>HYPERLINK("https://www.773grp.com/globalSearch/NLU3G17AMX1TCG/page-1", "NLU3G17AMX1TCG")</f>
        <v>NLU3G17AMX1TCG</v>
      </c>
      <c r="B2579" s="3" t="str">
        <f>HYPERLINK("https://www.773grp.com/manufacturer/onsemi?pageNo=1230", "Onsemi")</f>
        <v>Onsemi</v>
      </c>
      <c r="C2579" s="6">
        <v>160955</v>
      </c>
      <c r="D2579" s="7">
        <v>0.43</v>
      </c>
      <c r="E2579" t="s">
        <v>27</v>
      </c>
    </row>
    <row r="2580" spans="1:5" x14ac:dyDescent="0.25">
      <c r="A2580" t="str">
        <f>HYPERLINK("https://www.773grp.com/globalSearch/NLU3G17BMX1TCG/page-1", "NLU3G17BMX1TCG")</f>
        <v>NLU3G17BMX1TCG</v>
      </c>
      <c r="B2580" s="3" t="str">
        <f>HYPERLINK("https://www.773grp.com/manufacturer/onsemi?pageNo=1231", "Onsemi")</f>
        <v>Onsemi</v>
      </c>
      <c r="C2580" s="6">
        <v>17995</v>
      </c>
      <c r="D2580" s="7">
        <v>0.43</v>
      </c>
      <c r="E2580" t="s">
        <v>27</v>
      </c>
    </row>
    <row r="2581" spans="1:5" x14ac:dyDescent="0.25">
      <c r="A2581" t="str">
        <f>HYPERLINK("https://www.773grp.com/globalSearch/NLV14066BCP/page-1", "NLV14066BCP")</f>
        <v>NLV14066BCP</v>
      </c>
      <c r="B2581" s="3" t="str">
        <f>HYPERLINK("https://www.773grp.com/manufacturer/onsemi?pageNo=1232", "Onsemi")</f>
        <v>Onsemi</v>
      </c>
      <c r="C2581" s="6">
        <v>2750</v>
      </c>
      <c r="D2581" s="7">
        <v>0.43</v>
      </c>
    </row>
    <row r="2582" spans="1:5" x14ac:dyDescent="0.25">
      <c r="A2582" t="str">
        <f>HYPERLINK("https://www.773grp.com/globalSearch/NLV14066BCPG/page-1", "NLV14066BCPG")</f>
        <v>NLV14066BCPG</v>
      </c>
      <c r="B2582" s="3" t="str">
        <f>HYPERLINK("https://www.773grp.com/manufacturer/onsemi?pageNo=1233", "Onsemi")</f>
        <v>Onsemi</v>
      </c>
      <c r="C2582" s="6">
        <v>2850</v>
      </c>
      <c r="D2582" s="7">
        <v>0.43</v>
      </c>
    </row>
    <row r="2583" spans="1:5" x14ac:dyDescent="0.25">
      <c r="A2583" t="str">
        <f>HYPERLINK("https://www.773grp.com/globalSearch/NLVHC1GT66MUR2G/page-1", "NLVHC1GT66MUR2G")</f>
        <v>NLVHC1GT66MUR2G</v>
      </c>
      <c r="B2583" s="3" t="str">
        <f>HYPERLINK("https://www.773grp.com/manufacturer/onsemi?pageNo=1234", "Onsemi")</f>
        <v>Onsemi</v>
      </c>
      <c r="C2583" s="6">
        <v>36000</v>
      </c>
      <c r="D2583" s="7">
        <v>0.43</v>
      </c>
      <c r="E2583" t="s">
        <v>46</v>
      </c>
    </row>
    <row r="2584" spans="1:5" x14ac:dyDescent="0.25">
      <c r="A2584" t="str">
        <f>HYPERLINK("https://www.773grp.com/globalSearch/NLX1G10CMX1TCG/page-1", "NLX1G10CMX1TCG")</f>
        <v>NLX1G10CMX1TCG</v>
      </c>
      <c r="B2584" s="3" t="str">
        <f>HYPERLINK("https://www.773grp.com/manufacturer/onsemi?pageNo=1235", "Onsemi")</f>
        <v>Onsemi</v>
      </c>
      <c r="C2584" s="6">
        <v>51000</v>
      </c>
      <c r="D2584" s="7">
        <v>0.43</v>
      </c>
      <c r="E2584" t="s">
        <v>27</v>
      </c>
    </row>
    <row r="2585" spans="1:5" x14ac:dyDescent="0.25">
      <c r="A2585" t="str">
        <f>HYPERLINK("https://www.773grp.com/globalSearch/NLX1G11CMX1TCG/page-1", "NLX1G11CMX1TCG")</f>
        <v>NLX1G11CMX1TCG</v>
      </c>
      <c r="B2585" s="3" t="str">
        <f>HYPERLINK("https://www.773grp.com/manufacturer/onsemi?pageNo=1236", "Onsemi")</f>
        <v>Onsemi</v>
      </c>
      <c r="C2585" s="6">
        <v>33000</v>
      </c>
      <c r="D2585" s="7">
        <v>0.43</v>
      </c>
      <c r="E2585" t="s">
        <v>27</v>
      </c>
    </row>
    <row r="2586" spans="1:5" x14ac:dyDescent="0.25">
      <c r="A2586" t="str">
        <f>HYPERLINK("https://www.773grp.com/globalSearch/NLX1G332CMX1TCG/page-1", "NLX1G332CMX1TCG")</f>
        <v>NLX1G332CMX1TCG</v>
      </c>
      <c r="B2586" s="3" t="str">
        <f>HYPERLINK("https://www.773grp.com/manufacturer/onsemi?pageNo=1237", "Onsemi")</f>
        <v>Onsemi</v>
      </c>
      <c r="C2586" s="6">
        <v>3000</v>
      </c>
      <c r="D2586" s="7">
        <v>0.43</v>
      </c>
      <c r="E2586" t="s">
        <v>27</v>
      </c>
    </row>
    <row r="2587" spans="1:5" x14ac:dyDescent="0.25">
      <c r="A2587" t="str">
        <f>HYPERLINK("https://www.773grp.com/globalSearch/NLX2G00CMX1TCG/page-1", "NLX2G00CMX1TCG")</f>
        <v>NLX2G00CMX1TCG</v>
      </c>
      <c r="B2587" s="3" t="str">
        <f>HYPERLINK("https://www.773grp.com/manufacturer/onsemi?pageNo=1238", "Onsemi")</f>
        <v>Onsemi</v>
      </c>
      <c r="C2587" s="6">
        <v>18000</v>
      </c>
      <c r="D2587" s="7">
        <v>0.43</v>
      </c>
      <c r="E2587" t="s">
        <v>27</v>
      </c>
    </row>
    <row r="2588" spans="1:5" x14ac:dyDescent="0.25">
      <c r="A2588" t="str">
        <f>HYPERLINK("https://www.773grp.com/globalSearch/NLX2G04CMX1TCG/page-1", "NLX2G04CMX1TCG")</f>
        <v>NLX2G04CMX1TCG</v>
      </c>
      <c r="B2588" s="3" t="str">
        <f>HYPERLINK("https://www.773grp.com/manufacturer/onsemi?pageNo=1239", "Onsemi")</f>
        <v>Onsemi</v>
      </c>
      <c r="C2588" s="6">
        <v>230850</v>
      </c>
      <c r="D2588" s="7">
        <v>0.43</v>
      </c>
      <c r="E2588" t="s">
        <v>27</v>
      </c>
    </row>
    <row r="2589" spans="1:5" x14ac:dyDescent="0.25">
      <c r="A2589" t="str">
        <f>HYPERLINK("https://www.773grp.com/globalSearch/NLX2G06CMX1TCG/page-1", "NLX2G06CMX1TCG")</f>
        <v>NLX2G06CMX1TCG</v>
      </c>
      <c r="B2589" s="3" t="str">
        <f>HYPERLINK("https://www.773grp.com/manufacturer/onsemi?pageNo=1240", "Onsemi")</f>
        <v>Onsemi</v>
      </c>
      <c r="C2589" s="6">
        <v>101887</v>
      </c>
      <c r="D2589" s="7">
        <v>0.43</v>
      </c>
      <c r="E2589" t="s">
        <v>27</v>
      </c>
    </row>
    <row r="2590" spans="1:5" x14ac:dyDescent="0.25">
      <c r="A2590" t="str">
        <f>HYPERLINK("https://www.773grp.com/globalSearch/NLX2G07CMX1TCG/page-1", "NLX2G07CMX1TCG")</f>
        <v>NLX2G07CMX1TCG</v>
      </c>
      <c r="B2590" s="3" t="str">
        <f>HYPERLINK("https://www.773grp.com/manufacturer/onsemi?pageNo=1241", "Onsemi")</f>
        <v>Onsemi</v>
      </c>
      <c r="C2590" s="6">
        <v>111000</v>
      </c>
      <c r="D2590" s="7">
        <v>0.43</v>
      </c>
      <c r="E2590" t="s">
        <v>27</v>
      </c>
    </row>
    <row r="2591" spans="1:5" x14ac:dyDescent="0.25">
      <c r="A2591" t="str">
        <f>HYPERLINK("https://www.773grp.com/globalSearch/NLX2G08CMX1TCG/page-1", "NLX2G08CMX1TCG")</f>
        <v>NLX2G08CMX1TCG</v>
      </c>
      <c r="B2591" s="3" t="str">
        <f>HYPERLINK("https://www.773grp.com/manufacturer/onsemi?pageNo=1242", "Onsemi")</f>
        <v>Onsemi</v>
      </c>
      <c r="C2591" s="6">
        <v>6000</v>
      </c>
      <c r="D2591" s="7">
        <v>0.43</v>
      </c>
    </row>
    <row r="2592" spans="1:5" x14ac:dyDescent="0.25">
      <c r="A2592" t="str">
        <f>HYPERLINK("https://www.773grp.com/globalSearch/NLX2G14CMX1TCG/page-1", "NLX2G14CMX1TCG")</f>
        <v>NLX2G14CMX1TCG</v>
      </c>
      <c r="B2592" s="3" t="str">
        <f>HYPERLINK("https://www.773grp.com/manufacturer/onsemi?pageNo=1243", "Onsemi")</f>
        <v>Onsemi</v>
      </c>
      <c r="C2592" s="6">
        <v>151750</v>
      </c>
      <c r="D2592" s="7">
        <v>0.43</v>
      </c>
      <c r="E2592" t="s">
        <v>27</v>
      </c>
    </row>
    <row r="2593" spans="1:5" x14ac:dyDescent="0.25">
      <c r="A2593" t="str">
        <f>HYPERLINK("https://www.773grp.com/globalSearch/NLX2G16CMX1TCG/page-1", "NLX2G16CMX1TCG")</f>
        <v>NLX2G16CMX1TCG</v>
      </c>
      <c r="B2593" s="3" t="str">
        <f>HYPERLINK("https://www.773grp.com/manufacturer/onsemi?pageNo=1244", "Onsemi")</f>
        <v>Onsemi</v>
      </c>
      <c r="C2593" s="6">
        <v>321000</v>
      </c>
      <c r="D2593" s="7">
        <v>0.43</v>
      </c>
      <c r="E2593" t="s">
        <v>27</v>
      </c>
    </row>
    <row r="2594" spans="1:5" x14ac:dyDescent="0.25">
      <c r="A2594" t="str">
        <f>HYPERLINK("https://www.773grp.com/globalSearch/NLX2G17CMX1TCG/page-1", "NLX2G17CMX1TCG")</f>
        <v>NLX2G17CMX1TCG</v>
      </c>
      <c r="B2594" s="3" t="str">
        <f>HYPERLINK("https://www.773grp.com/manufacturer/onsemi?pageNo=1245", "Onsemi")</f>
        <v>Onsemi</v>
      </c>
      <c r="C2594" s="6">
        <v>72000</v>
      </c>
      <c r="D2594" s="7">
        <v>0.43</v>
      </c>
      <c r="E2594" t="s">
        <v>27</v>
      </c>
    </row>
    <row r="2595" spans="1:5" x14ac:dyDescent="0.25">
      <c r="A2595" t="str">
        <f>HYPERLINK("https://www.773grp.com/globalSearch/NLX2G32CMX1TCG/page-1", "NLX2G32CMX1TCG")</f>
        <v>NLX2G32CMX1TCG</v>
      </c>
      <c r="B2595" s="3" t="str">
        <f>HYPERLINK("https://www.773grp.com/manufacturer/onsemi?pageNo=1246", "Onsemi")</f>
        <v>Onsemi</v>
      </c>
      <c r="C2595" s="6">
        <v>4190</v>
      </c>
      <c r="D2595" s="7">
        <v>0.43</v>
      </c>
      <c r="E2595" t="s">
        <v>27</v>
      </c>
    </row>
    <row r="2596" spans="1:5" x14ac:dyDescent="0.25">
      <c r="A2596" t="str">
        <f>HYPERLINK("https://www.773grp.com/globalSearch/NLX2GU04CMX1TCG/page-1", "NLX2GU04CMX1TCG")</f>
        <v>NLX2GU04CMX1TCG</v>
      </c>
      <c r="B2596" s="3" t="str">
        <f>HYPERLINK("https://www.773grp.com/manufacturer/onsemi?pageNo=1247", "Onsemi")</f>
        <v>Onsemi</v>
      </c>
      <c r="C2596" s="6">
        <v>84000</v>
      </c>
      <c r="D2596" s="7">
        <v>0.43</v>
      </c>
      <c r="E2596" t="s">
        <v>27</v>
      </c>
    </row>
    <row r="2597" spans="1:5" x14ac:dyDescent="0.25">
      <c r="A2597" t="str">
        <f>HYPERLINK("https://www.773grp.com/globalSearch/NLX3G14AMX1TCG/page-1", "NLX3G14AMX1TCG")</f>
        <v>NLX3G14AMX1TCG</v>
      </c>
      <c r="B2597" s="3" t="str">
        <f>HYPERLINK("https://www.773grp.com/manufacturer/onsemi?pageNo=1248", "Onsemi")</f>
        <v>Onsemi</v>
      </c>
      <c r="C2597" s="6">
        <v>54000</v>
      </c>
      <c r="D2597" s="7">
        <v>0.43</v>
      </c>
      <c r="E2597" t="s">
        <v>27</v>
      </c>
    </row>
    <row r="2598" spans="1:5" x14ac:dyDescent="0.25">
      <c r="A2598" t="str">
        <f>HYPERLINK("https://www.773grp.com/globalSearch/NLX3G14BMX1TCG/page-1", "NLX3G14BMX1TCG")</f>
        <v>NLX3G14BMX1TCG</v>
      </c>
      <c r="B2598" s="3" t="str">
        <f>HYPERLINK("https://www.773grp.com/manufacturer/onsemi?pageNo=1249", "Onsemi")</f>
        <v>Onsemi</v>
      </c>
      <c r="C2598" s="6">
        <v>63000</v>
      </c>
      <c r="D2598" s="7">
        <v>0.43</v>
      </c>
      <c r="E2598" t="s">
        <v>27</v>
      </c>
    </row>
    <row r="2599" spans="1:5" x14ac:dyDescent="0.25">
      <c r="A2599" t="str">
        <f>HYPERLINK("https://www.773grp.com/globalSearch/NLX3G16AMX1TCG/page-1", "NLX3G16AMX1TCG")</f>
        <v>NLX3G16AMX1TCG</v>
      </c>
      <c r="B2599" s="3" t="str">
        <f>HYPERLINK("https://www.773grp.com/manufacturer/onsemi?pageNo=1250", "Onsemi")</f>
        <v>Onsemi</v>
      </c>
      <c r="C2599" s="6">
        <v>96000</v>
      </c>
      <c r="D2599" s="7">
        <v>0.43</v>
      </c>
      <c r="E2599" t="s">
        <v>27</v>
      </c>
    </row>
    <row r="2600" spans="1:5" x14ac:dyDescent="0.25">
      <c r="A2600" t="str">
        <f>HYPERLINK("https://www.773grp.com/globalSearch/NLX3G16BMX1TCG/page-1", "NLX3G16BMX1TCG")</f>
        <v>NLX3G16BMX1TCG</v>
      </c>
      <c r="B2600" s="3" t="str">
        <f>HYPERLINK("https://www.773grp.com/manufacturer/onsemi?pageNo=1251", "Onsemi")</f>
        <v>Onsemi</v>
      </c>
      <c r="C2600" s="6">
        <v>132000</v>
      </c>
      <c r="D2600" s="7">
        <v>0.43</v>
      </c>
      <c r="E2600" t="s">
        <v>27</v>
      </c>
    </row>
    <row r="2601" spans="1:5" x14ac:dyDescent="0.25">
      <c r="A2601" t="str">
        <f>HYPERLINK("https://www.773grp.com/globalSearch/NLX3G17AMX1TCG/page-1", "NLX3G17AMX1TCG")</f>
        <v>NLX3G17AMX1TCG</v>
      </c>
      <c r="B2601" s="3" t="str">
        <f>HYPERLINK("https://www.773grp.com/manufacturer/onsemi?pageNo=1252", "Onsemi")</f>
        <v>Onsemi</v>
      </c>
      <c r="C2601" s="6">
        <v>21022</v>
      </c>
      <c r="D2601" s="7">
        <v>0.43</v>
      </c>
      <c r="E2601" t="s">
        <v>27</v>
      </c>
    </row>
    <row r="2602" spans="1:5" x14ac:dyDescent="0.25">
      <c r="A2602" t="str">
        <f>HYPERLINK("https://www.773grp.com/globalSearch/NLX3G17BMX1TCG/page-1", "NLX3G17BMX1TCG")</f>
        <v>NLX3G17BMX1TCG</v>
      </c>
      <c r="B2602" s="3" t="str">
        <f>HYPERLINK("https://www.773grp.com/manufacturer/onsemi?pageNo=1253", "Onsemi")</f>
        <v>Onsemi</v>
      </c>
      <c r="C2602" s="6">
        <v>12000</v>
      </c>
      <c r="D2602" s="7">
        <v>0.43</v>
      </c>
      <c r="E2602" t="s">
        <v>27</v>
      </c>
    </row>
    <row r="2603" spans="1:5" x14ac:dyDescent="0.25">
      <c r="A2603" t="str">
        <f>HYPERLINK("https://www.773grp.com/globalSearch/NSI45025T1G/page-1", "NSI45025T1G")</f>
        <v>NSI45025T1G</v>
      </c>
      <c r="B2603" s="3" t="str">
        <f>HYPERLINK("https://www.773grp.com/manufacturer/onsemi?pageNo=1254", "Onsemi")</f>
        <v>Onsemi</v>
      </c>
      <c r="C2603" s="6">
        <v>48000</v>
      </c>
      <c r="D2603" s="7">
        <v>0.43</v>
      </c>
    </row>
    <row r="2604" spans="1:5" x14ac:dyDescent="0.25">
      <c r="A2604" t="str">
        <f>HYPERLINK("https://www.773grp.com/globalSearch/NSI45030T1G/page-1", "NSI45030T1G")</f>
        <v>NSI45030T1G</v>
      </c>
      <c r="B2604" s="3" t="str">
        <f>HYPERLINK("https://www.773grp.com/manufacturer/onsemi?pageNo=1255", "Onsemi")</f>
        <v>Onsemi</v>
      </c>
      <c r="C2604" s="6">
        <v>48000</v>
      </c>
      <c r="D2604" s="7">
        <v>0.43</v>
      </c>
      <c r="E2604" t="s">
        <v>7</v>
      </c>
    </row>
    <row r="2605" spans="1:5" x14ac:dyDescent="0.25">
      <c r="A2605" t="str">
        <f>HYPERLINK("https://www.773grp.com/globalSearch/NSR10F20NXT5G/page-1", "NSR10F20NXT5G")</f>
        <v>NSR10F20NXT5G</v>
      </c>
      <c r="B2605" s="3" t="str">
        <f>HYPERLINK("https://www.773grp.com/manufacturer/onsemi?pageNo=1256", "Onsemi")</f>
        <v>Onsemi</v>
      </c>
      <c r="C2605" s="6">
        <v>900000</v>
      </c>
      <c r="D2605" s="7">
        <v>0.43</v>
      </c>
    </row>
    <row r="2606" spans="1:5" x14ac:dyDescent="0.25">
      <c r="A2606" t="str">
        <f>HYPERLINK("https://www.773grp.com/globalSearch/NSR10F30NXT5G/page-1", "NSR10F30NXT5G")</f>
        <v>NSR10F30NXT5G</v>
      </c>
      <c r="B2606" s="3" t="str">
        <f>HYPERLINK("https://www.773grp.com/manufacturer/onsemi?pageNo=1257", "Onsemi")</f>
        <v>Onsemi</v>
      </c>
      <c r="C2606" s="6">
        <v>14200</v>
      </c>
      <c r="D2606" s="7">
        <v>0.43</v>
      </c>
    </row>
    <row r="2607" spans="1:5" x14ac:dyDescent="0.25">
      <c r="A2607" t="str">
        <f>HYPERLINK("https://www.773grp.com/globalSearch/NSR15TW1T2G/page-1", "NSR15TW1T2G")</f>
        <v>NSR15TW1T2G</v>
      </c>
      <c r="B2607" s="3" t="str">
        <f>HYPERLINK("https://www.773grp.com/manufacturer/onsemi?pageNo=1258", "Onsemi")</f>
        <v>Onsemi</v>
      </c>
      <c r="C2607" s="6">
        <v>94500</v>
      </c>
      <c r="D2607" s="7">
        <v>0.43</v>
      </c>
      <c r="E2607" t="s">
        <v>73</v>
      </c>
    </row>
    <row r="2608" spans="1:5" x14ac:dyDescent="0.25">
      <c r="A2608" t="str">
        <f>HYPERLINK("https://www.773grp.com/globalSearch/NSS12200WT1G/page-1", "NSS12200WT1G")</f>
        <v>NSS12200WT1G</v>
      </c>
      <c r="B2608" s="3" t="str">
        <f>HYPERLINK("https://www.773grp.com/manufacturer/onsemi?pageNo=1259", "Onsemi")</f>
        <v>Onsemi</v>
      </c>
      <c r="C2608" s="6">
        <v>44389</v>
      </c>
      <c r="D2608" s="7">
        <v>0.43</v>
      </c>
      <c r="E2608" t="s">
        <v>57</v>
      </c>
    </row>
    <row r="2609" spans="1:5" x14ac:dyDescent="0.25">
      <c r="A2609" t="str">
        <f>HYPERLINK("https://www.773grp.com/globalSearch/NTD14N03RT4G/page-1", "NTD14N03RT4G")</f>
        <v>NTD14N03RT4G</v>
      </c>
      <c r="B2609" s="3" t="str">
        <f>HYPERLINK("https://www.773grp.com/manufacturer/onsemi?pageNo=1260", "Onsemi")</f>
        <v>Onsemi</v>
      </c>
      <c r="C2609" s="6">
        <v>2500</v>
      </c>
      <c r="D2609" s="7">
        <v>0.43</v>
      </c>
      <c r="E2609" t="s">
        <v>84</v>
      </c>
    </row>
    <row r="2610" spans="1:5" x14ac:dyDescent="0.25">
      <c r="A2610" t="str">
        <f>HYPERLINK("https://www.773grp.com/globalSearch/NTD23N03R-001/page-1", "NTD23N03R-001")</f>
        <v>NTD23N03R-001</v>
      </c>
      <c r="B2610" s="3" t="str">
        <f>HYPERLINK("https://www.773grp.com/manufacturer/onsemi?pageNo=1261", "Onsemi")</f>
        <v>Onsemi</v>
      </c>
      <c r="C2610" s="6">
        <v>3372</v>
      </c>
      <c r="D2610" s="7">
        <v>0.43</v>
      </c>
    </row>
    <row r="2611" spans="1:5" x14ac:dyDescent="0.25">
      <c r="A2611" t="str">
        <f>HYPERLINK("https://www.773grp.com/globalSearch/NTD23N03RG/page-1", "NTD23N03RG")</f>
        <v>NTD23N03RG</v>
      </c>
      <c r="B2611" s="3" t="str">
        <f>HYPERLINK("https://www.773grp.com/manufacturer/onsemi?pageNo=1262", "Onsemi")</f>
        <v>Onsemi</v>
      </c>
      <c r="C2611" s="6">
        <v>17059</v>
      </c>
      <c r="D2611" s="7">
        <v>0.43</v>
      </c>
      <c r="E2611" t="s">
        <v>84</v>
      </c>
    </row>
    <row r="2612" spans="1:5" x14ac:dyDescent="0.25">
      <c r="A2612" t="str">
        <f>HYPERLINK("https://www.773grp.com/globalSearch/NTD23N03RT4/page-1", "NTD23N03RT4")</f>
        <v>NTD23N03RT4</v>
      </c>
      <c r="B2612" s="3" t="str">
        <f>HYPERLINK("https://www.773grp.com/manufacturer/onsemi?pageNo=1263", "Onsemi")</f>
        <v>Onsemi</v>
      </c>
      <c r="C2612" s="6">
        <v>29908</v>
      </c>
      <c r="D2612" s="7">
        <v>0.43</v>
      </c>
      <c r="E2612" t="s">
        <v>84</v>
      </c>
    </row>
    <row r="2613" spans="1:5" x14ac:dyDescent="0.25">
      <c r="A2613" t="str">
        <f>HYPERLINK("https://www.773grp.com/globalSearch/NTD23N03RT4G/page-1", "NTD23N03RT4G")</f>
        <v>NTD23N03RT4G</v>
      </c>
      <c r="B2613" s="3" t="str">
        <f>HYPERLINK("https://www.773grp.com/manufacturer/onsemi?pageNo=1264", "Onsemi")</f>
        <v>Onsemi</v>
      </c>
      <c r="C2613" s="6">
        <v>1088596</v>
      </c>
      <c r="D2613" s="7">
        <v>0.43</v>
      </c>
      <c r="E2613" t="s">
        <v>84</v>
      </c>
    </row>
    <row r="2614" spans="1:5" x14ac:dyDescent="0.25">
      <c r="A2614" t="str">
        <f>HYPERLINK("https://www.773grp.com/globalSearch/NTD3055-150/page-1", "NTD3055-150")</f>
        <v>NTD3055-150</v>
      </c>
      <c r="B2614" s="3" t="str">
        <f>HYPERLINK("https://www.773grp.com/manufacturer/onsemi?pageNo=1265", "Onsemi")</f>
        <v>Onsemi</v>
      </c>
      <c r="C2614" s="6">
        <v>4650</v>
      </c>
      <c r="D2614" s="7">
        <v>0.43</v>
      </c>
      <c r="E2614" t="s">
        <v>84</v>
      </c>
    </row>
    <row r="2615" spans="1:5" x14ac:dyDescent="0.25">
      <c r="A2615" t="str">
        <f>HYPERLINK("https://www.773grp.com/globalSearch/NTD3055L170/page-1", "NTD3055L170")</f>
        <v>NTD3055L170</v>
      </c>
      <c r="B2615" s="3" t="str">
        <f>HYPERLINK("https://www.773grp.com/manufacturer/onsemi?pageNo=1266", "Onsemi")</f>
        <v>Onsemi</v>
      </c>
      <c r="C2615" s="6">
        <v>6925</v>
      </c>
      <c r="D2615" s="7">
        <v>0.43</v>
      </c>
      <c r="E2615" t="s">
        <v>84</v>
      </c>
    </row>
    <row r="2616" spans="1:5" x14ac:dyDescent="0.25">
      <c r="A2616" t="str">
        <f>HYPERLINK("https://www.773grp.com/globalSearch/NTD3055L170-001/page-1", "NTD3055L170-001")</f>
        <v>NTD3055L170-001</v>
      </c>
      <c r="B2616" s="3" t="str">
        <f>HYPERLINK("https://www.773grp.com/manufacturer/onsemi?pageNo=1267", "Onsemi")</f>
        <v>Onsemi</v>
      </c>
      <c r="C2616" s="6">
        <v>4639</v>
      </c>
      <c r="D2616" s="7">
        <v>0.43</v>
      </c>
    </row>
    <row r="2617" spans="1:5" x14ac:dyDescent="0.25">
      <c r="A2617" t="str">
        <f>HYPERLINK("https://www.773grp.com/globalSearch/NTD3055L170-1G/page-1", "NTD3055L170-1G")</f>
        <v>NTD3055L170-1G</v>
      </c>
      <c r="B2617" s="3" t="str">
        <f>HYPERLINK("https://www.773grp.com/manufacturer/onsemi?pageNo=1268", "Onsemi")</f>
        <v>Onsemi</v>
      </c>
      <c r="C2617" s="6">
        <v>1875</v>
      </c>
      <c r="D2617" s="7">
        <v>0.43</v>
      </c>
    </row>
    <row r="2618" spans="1:5" x14ac:dyDescent="0.25">
      <c r="A2618" t="str">
        <f>HYPERLINK("https://www.773grp.com/globalSearch/NTD4806N-1G/page-1", "NTD4806N-1G")</f>
        <v>NTD4806N-1G</v>
      </c>
      <c r="B2618" s="3" t="str">
        <f>HYPERLINK("https://www.773grp.com/manufacturer/onsemi?pageNo=1269", "Onsemi")</f>
        <v>Onsemi</v>
      </c>
      <c r="C2618" s="6">
        <v>4350</v>
      </c>
      <c r="D2618" s="7">
        <v>0.43</v>
      </c>
      <c r="E2618" t="s">
        <v>84</v>
      </c>
    </row>
    <row r="2619" spans="1:5" x14ac:dyDescent="0.25">
      <c r="A2619" t="str">
        <f>HYPERLINK("https://www.773grp.com/globalSearch/NTD4806NA-1G/page-1", "NTD4806NA-1G")</f>
        <v>NTD4806NA-1G</v>
      </c>
      <c r="B2619" s="3" t="str">
        <f>HYPERLINK("https://www.773grp.com/manufacturer/onsemi?pageNo=1270", "Onsemi")</f>
        <v>Onsemi</v>
      </c>
      <c r="C2619" s="6">
        <v>288350</v>
      </c>
      <c r="D2619" s="7">
        <v>0.43</v>
      </c>
    </row>
    <row r="2620" spans="1:5" x14ac:dyDescent="0.25">
      <c r="A2620" t="str">
        <f>HYPERLINK("https://www.773grp.com/globalSearch/NTD4808N-35G/page-1", "NTD4808N-35G")</f>
        <v>NTD4808N-35G</v>
      </c>
      <c r="B2620" s="3" t="str">
        <f>HYPERLINK("https://www.773grp.com/manufacturer/onsemi?pageNo=1271", "Onsemi")</f>
        <v>Onsemi</v>
      </c>
      <c r="C2620" s="6">
        <v>9990</v>
      </c>
      <c r="D2620" s="7">
        <v>0.43</v>
      </c>
      <c r="E2620" t="s">
        <v>84</v>
      </c>
    </row>
    <row r="2621" spans="1:5" x14ac:dyDescent="0.25">
      <c r="A2621" t="str">
        <f>HYPERLINK("https://www.773grp.com/globalSearch/NTD50N03R-1G/page-1", "NTD50N03R-1G")</f>
        <v>NTD50N03R-1G</v>
      </c>
      <c r="B2621" s="3" t="str">
        <f>HYPERLINK("https://www.773grp.com/manufacturer/onsemi?pageNo=1272", "Onsemi")</f>
        <v>Onsemi</v>
      </c>
      <c r="C2621" s="6">
        <v>5609</v>
      </c>
      <c r="D2621" s="7">
        <v>0.43</v>
      </c>
      <c r="E2621" t="s">
        <v>84</v>
      </c>
    </row>
    <row r="2622" spans="1:5" x14ac:dyDescent="0.25">
      <c r="A2622" t="str">
        <f>HYPERLINK("https://www.773grp.com/globalSearch/NTD50N03RT4/page-1", "NTD50N03RT4")</f>
        <v>NTD50N03RT4</v>
      </c>
      <c r="B2622" s="3" t="str">
        <f>HYPERLINK("https://www.773grp.com/manufacturer/onsemi?pageNo=1273", "Onsemi")</f>
        <v>Onsemi</v>
      </c>
      <c r="C2622" s="6">
        <v>2500</v>
      </c>
      <c r="D2622" s="7">
        <v>0.43</v>
      </c>
      <c r="E2622" t="s">
        <v>84</v>
      </c>
    </row>
    <row r="2623" spans="1:5" x14ac:dyDescent="0.25">
      <c r="A2623" t="str">
        <f>HYPERLINK("https://www.773grp.com/globalSearch/NTD60N02R-1G/page-1", "NTD60N02R-1G")</f>
        <v>NTD60N02R-1G</v>
      </c>
      <c r="B2623" s="3" t="str">
        <f>HYPERLINK("https://www.773grp.com/manufacturer/onsemi?pageNo=1274", "Onsemi")</f>
        <v>Onsemi</v>
      </c>
      <c r="C2623" s="6">
        <v>334998</v>
      </c>
      <c r="D2623" s="7">
        <v>0.43</v>
      </c>
      <c r="E2623" t="s">
        <v>84</v>
      </c>
    </row>
    <row r="2624" spans="1:5" x14ac:dyDescent="0.25">
      <c r="A2624" t="str">
        <f>HYPERLINK("https://www.773grp.com/globalSearch/NTE4151PT1G/page-1", "NTE4151PT1G")</f>
        <v>NTE4151PT1G</v>
      </c>
      <c r="B2624" s="3" t="str">
        <f>HYPERLINK("https://www.773grp.com/manufacturer/onsemi?pageNo=1275", "Onsemi")</f>
        <v>Onsemi</v>
      </c>
      <c r="C2624" s="6">
        <v>12000</v>
      </c>
      <c r="D2624" s="7">
        <v>0.43</v>
      </c>
      <c r="E2624" t="s">
        <v>85</v>
      </c>
    </row>
    <row r="2625" spans="1:5" x14ac:dyDescent="0.25">
      <c r="A2625" t="str">
        <f>HYPERLINK("https://www.773grp.com/globalSearch/NTGS3441BT1G/page-1", "NTGS3441BT1G")</f>
        <v>NTGS3441BT1G</v>
      </c>
      <c r="B2625" s="3" t="str">
        <f>HYPERLINK("https://www.773grp.com/manufacturer/onsemi?pageNo=1276", "Onsemi")</f>
        <v>Onsemi</v>
      </c>
      <c r="C2625" s="6">
        <v>48750</v>
      </c>
      <c r="D2625" s="7">
        <v>0.43</v>
      </c>
      <c r="E2625" t="s">
        <v>85</v>
      </c>
    </row>
    <row r="2626" spans="1:5" x14ac:dyDescent="0.25">
      <c r="A2626" t="str">
        <f>HYPERLINK("https://www.773grp.com/globalSearch/NTGS3443T2G/page-1", "NTGS3443T2G")</f>
        <v>NTGS3443T2G</v>
      </c>
      <c r="B2626" s="3" t="str">
        <f>HYPERLINK("https://www.773grp.com/manufacturer/onsemi?pageNo=1277", "Onsemi")</f>
        <v>Onsemi</v>
      </c>
      <c r="C2626" s="6">
        <v>3000</v>
      </c>
      <c r="D2626" s="7">
        <v>0.43</v>
      </c>
    </row>
    <row r="2627" spans="1:5" x14ac:dyDescent="0.25">
      <c r="A2627" t="str">
        <f>HYPERLINK("https://www.773grp.com/globalSearch/NTGS3446T1G/page-1", "NTGS3446T1G")</f>
        <v>NTGS3446T1G</v>
      </c>
      <c r="B2627" s="3" t="str">
        <f>HYPERLINK("https://www.773grp.com/manufacturer/onsemi?pageNo=1278", "Onsemi")</f>
        <v>Onsemi</v>
      </c>
      <c r="C2627" s="6">
        <v>46938</v>
      </c>
      <c r="D2627" s="7">
        <v>0.43</v>
      </c>
      <c r="E2627" t="s">
        <v>85</v>
      </c>
    </row>
    <row r="2628" spans="1:5" x14ac:dyDescent="0.25">
      <c r="A2628" t="str">
        <f>HYPERLINK("https://www.773grp.com/globalSearch/NTGS4141NT1G/page-1", "NTGS4141NT1G")</f>
        <v>NTGS4141NT1G</v>
      </c>
      <c r="B2628" s="3" t="str">
        <f>HYPERLINK("https://www.773grp.com/manufacturer/onsemi?pageNo=1279", "Onsemi")</f>
        <v>Onsemi</v>
      </c>
      <c r="C2628" s="6">
        <v>424167</v>
      </c>
      <c r="D2628" s="7">
        <v>0.43</v>
      </c>
      <c r="E2628" t="s">
        <v>85</v>
      </c>
    </row>
    <row r="2629" spans="1:5" x14ac:dyDescent="0.25">
      <c r="A2629" t="str">
        <f>HYPERLINK("https://www.773grp.com/globalSearch/NTHD4P02FT1/page-1", "NTHD4P02FT1")</f>
        <v>NTHD4P02FT1</v>
      </c>
      <c r="B2629" s="3" t="str">
        <f>HYPERLINK("https://www.773grp.com/manufacturer/onsemi?pageNo=1280", "Onsemi")</f>
        <v>Onsemi</v>
      </c>
      <c r="C2629" s="6">
        <v>20955</v>
      </c>
      <c r="D2629" s="7">
        <v>0.43</v>
      </c>
      <c r="E2629" t="s">
        <v>84</v>
      </c>
    </row>
    <row r="2630" spans="1:5" x14ac:dyDescent="0.25">
      <c r="A2630" t="str">
        <f>HYPERLINK("https://www.773grp.com/globalSearch/NTHS5443T1G/page-1", "NTHS5443T1G")</f>
        <v>NTHS5443T1G</v>
      </c>
      <c r="B2630" s="3" t="str">
        <f>HYPERLINK("https://www.773grp.com/manufacturer/onsemi?pageNo=1281", "Onsemi")</f>
        <v>Onsemi</v>
      </c>
      <c r="C2630" s="6">
        <v>520346</v>
      </c>
      <c r="D2630" s="7">
        <v>0.43</v>
      </c>
      <c r="E2630" t="s">
        <v>85</v>
      </c>
    </row>
    <row r="2631" spans="1:5" x14ac:dyDescent="0.25">
      <c r="A2631" t="str">
        <f>HYPERLINK("https://www.773grp.com/globalSearch/NTR1P02LT1G/page-1", "NTR1P02LT1G")</f>
        <v>NTR1P02LT1G</v>
      </c>
      <c r="B2631" s="3" t="str">
        <f>HYPERLINK("https://www.773grp.com/manufacturer/onsemi?pageNo=1282", "Onsemi")</f>
        <v>Onsemi</v>
      </c>
      <c r="C2631" s="6">
        <v>6660</v>
      </c>
      <c r="D2631" s="7">
        <v>0.43</v>
      </c>
      <c r="E2631" t="s">
        <v>85</v>
      </c>
    </row>
    <row r="2632" spans="1:5" x14ac:dyDescent="0.25">
      <c r="A2632" t="str">
        <f>HYPERLINK("https://www.773grp.com/globalSearch/NTR1P02T1G/page-1", "NTR1P02T1G")</f>
        <v>NTR1P02T1G</v>
      </c>
      <c r="B2632" s="3" t="str">
        <f>HYPERLINK("https://www.773grp.com/manufacturer/onsemi?pageNo=1283", "Onsemi")</f>
        <v>Onsemi</v>
      </c>
      <c r="C2632" s="6">
        <v>78566</v>
      </c>
      <c r="D2632" s="7">
        <v>0.43</v>
      </c>
      <c r="E2632" t="s">
        <v>85</v>
      </c>
    </row>
    <row r="2633" spans="1:5" x14ac:dyDescent="0.25">
      <c r="A2633" t="str">
        <f>HYPERLINK("https://www.773grp.com/globalSearch/NTR4501NT1G/page-1", "NTR4501NT1G")</f>
        <v>NTR4501NT1G</v>
      </c>
      <c r="B2633" s="3" t="str">
        <f>HYPERLINK("https://www.773grp.com/manufacturer/onsemi?pageNo=1284", "Onsemi")</f>
        <v>Onsemi</v>
      </c>
      <c r="C2633" s="6">
        <v>8170</v>
      </c>
      <c r="D2633" s="7">
        <v>0.43</v>
      </c>
      <c r="E2633" t="s">
        <v>84</v>
      </c>
    </row>
    <row r="2634" spans="1:5" x14ac:dyDescent="0.25">
      <c r="A2634" t="str">
        <f>HYPERLINK("https://www.773grp.com/globalSearch/NTR4501NT3G/page-1", "NTR4501NT3G")</f>
        <v>NTR4501NT3G</v>
      </c>
      <c r="B2634" s="3" t="str">
        <f>HYPERLINK("https://www.773grp.com/manufacturer/onsemi?pageNo=1285", "Onsemi")</f>
        <v>Onsemi</v>
      </c>
      <c r="C2634" s="6">
        <v>40000</v>
      </c>
      <c r="D2634" s="7">
        <v>0.43</v>
      </c>
      <c r="E2634" t="s">
        <v>84</v>
      </c>
    </row>
    <row r="2635" spans="1:5" x14ac:dyDescent="0.25">
      <c r="A2635" t="str">
        <f>HYPERLINK("https://www.773grp.com/globalSearch/NTR4501NT3H/page-1", "NTR4501NT3H")</f>
        <v>NTR4501NT3H</v>
      </c>
      <c r="B2635" s="3" t="str">
        <f>HYPERLINK("https://www.773grp.com/manufacturer/onsemi?pageNo=1286", "Onsemi")</f>
        <v>Onsemi</v>
      </c>
      <c r="C2635" s="6">
        <v>20000</v>
      </c>
      <c r="D2635" s="7">
        <v>0.43</v>
      </c>
    </row>
    <row r="2636" spans="1:5" x14ac:dyDescent="0.25">
      <c r="A2636" t="str">
        <f>HYPERLINK("https://www.773grp.com/globalSearch/NTR4502PT1G/page-1", "NTR4502PT1G")</f>
        <v>NTR4502PT1G</v>
      </c>
      <c r="B2636" s="3" t="str">
        <f>HYPERLINK("https://www.773grp.com/manufacturer/onsemi?pageNo=1287", "Onsemi")</f>
        <v>Onsemi</v>
      </c>
      <c r="C2636" s="6">
        <v>15000</v>
      </c>
      <c r="D2636" s="7">
        <v>0.43</v>
      </c>
      <c r="E2636" t="s">
        <v>85</v>
      </c>
    </row>
    <row r="2637" spans="1:5" x14ac:dyDescent="0.25">
      <c r="A2637" t="str">
        <f>HYPERLINK("https://www.773grp.com/globalSearch/NTS4101PT1G/page-1", "NTS4101PT1G")</f>
        <v>NTS4101PT1G</v>
      </c>
      <c r="B2637" s="3" t="str">
        <f>HYPERLINK("https://www.773grp.com/manufacturer/onsemi?pageNo=1288", "Onsemi")</f>
        <v>Onsemi</v>
      </c>
      <c r="C2637" s="6">
        <v>3200790</v>
      </c>
      <c r="D2637" s="7">
        <v>0.43</v>
      </c>
      <c r="E2637" t="s">
        <v>85</v>
      </c>
    </row>
    <row r="2638" spans="1:5" x14ac:dyDescent="0.25">
      <c r="A2638" t="str">
        <f>HYPERLINK("https://www.773grp.com/globalSearch/NTZD3156CT1G/page-1", "NTZD3156CT1G")</f>
        <v>NTZD3156CT1G</v>
      </c>
      <c r="B2638" s="3" t="str">
        <f>HYPERLINK("https://www.773grp.com/manufacturer/onsemi?pageNo=1289", "Onsemi")</f>
        <v>Onsemi</v>
      </c>
      <c r="C2638" s="6">
        <v>20000</v>
      </c>
      <c r="D2638" s="7">
        <v>0.43</v>
      </c>
      <c r="E2638" t="s">
        <v>85</v>
      </c>
    </row>
    <row r="2639" spans="1:5" x14ac:dyDescent="0.25">
      <c r="A2639" t="str">
        <f>HYPERLINK("https://www.773grp.com/globalSearch/NUF2230XV6T1G/page-1", "NUF2230XV6T1G")</f>
        <v>NUF2230XV6T1G</v>
      </c>
      <c r="B2639" s="3" t="str">
        <f>HYPERLINK("https://www.773grp.com/manufacturer/onsemi?pageNo=1290", "Onsemi")</f>
        <v>Onsemi</v>
      </c>
      <c r="C2639" s="6">
        <v>4738174</v>
      </c>
      <c r="D2639" s="7">
        <v>0.43</v>
      </c>
      <c r="E2639" t="s">
        <v>79</v>
      </c>
    </row>
    <row r="2640" spans="1:5" x14ac:dyDescent="0.25">
      <c r="A2640" t="str">
        <f>HYPERLINK("https://www.773grp.com/globalSearch/NZL5V6ATT1G/page-1", "NZL5V6ATT1G")</f>
        <v>NZL5V6ATT1G</v>
      </c>
      <c r="B2640" s="3" t="str">
        <f>HYPERLINK("https://www.773grp.com/manufacturer/onsemi?pageNo=1291", "Onsemi")</f>
        <v>Onsemi</v>
      </c>
      <c r="C2640" s="6">
        <v>361855</v>
      </c>
      <c r="D2640" s="7">
        <v>0.43</v>
      </c>
      <c r="E2640" t="s">
        <v>75</v>
      </c>
    </row>
    <row r="2641" spans="1:5" x14ac:dyDescent="0.25">
      <c r="A2641" t="str">
        <f>HYPERLINK("https://www.773grp.com/globalSearch/P6KE100A/page-1", "P6KE100A")</f>
        <v>P6KE100A</v>
      </c>
      <c r="B2641" s="3" t="str">
        <f>HYPERLINK("https://www.773grp.com/manufacturer/onsemi?pageNo=1292", "Onsemi")</f>
        <v>Onsemi</v>
      </c>
      <c r="C2641" s="6">
        <v>2000</v>
      </c>
      <c r="D2641" s="7">
        <v>0.43</v>
      </c>
      <c r="E2641" t="s">
        <v>75</v>
      </c>
    </row>
    <row r="2642" spans="1:5" x14ac:dyDescent="0.25">
      <c r="A2642" t="str">
        <f>HYPERLINK("https://www.773grp.com/globalSearch/P6KE100AG/page-1", "P6KE100AG")</f>
        <v>P6KE100AG</v>
      </c>
      <c r="B2642" s="3" t="str">
        <f>HYPERLINK("https://www.773grp.com/manufacturer/onsemi?pageNo=1293", "Onsemi")</f>
        <v>Onsemi</v>
      </c>
      <c r="C2642" s="6">
        <v>4000</v>
      </c>
      <c r="D2642" s="7">
        <v>0.43</v>
      </c>
      <c r="E2642" t="s">
        <v>75</v>
      </c>
    </row>
    <row r="2643" spans="1:5" x14ac:dyDescent="0.25">
      <c r="A2643" t="str">
        <f>HYPERLINK("https://www.773grp.com/globalSearch/P6KE100ARL/page-1", "P6KE100ARL")</f>
        <v>P6KE100ARL</v>
      </c>
      <c r="B2643" s="3" t="str">
        <f>HYPERLINK("https://www.773grp.com/manufacturer/onsemi?pageNo=1294", "Onsemi")</f>
        <v>Onsemi</v>
      </c>
      <c r="C2643" s="6">
        <v>52000</v>
      </c>
      <c r="D2643" s="7">
        <v>0.43</v>
      </c>
      <c r="E2643" t="s">
        <v>75</v>
      </c>
    </row>
    <row r="2644" spans="1:5" x14ac:dyDescent="0.25">
      <c r="A2644" t="str">
        <f>HYPERLINK("https://www.773grp.com/globalSearch/P6KE10ARL/page-1", "P6KE10ARL")</f>
        <v>P6KE10ARL</v>
      </c>
      <c r="B2644" s="3" t="str">
        <f>HYPERLINK("https://www.773grp.com/manufacturer/onsemi?pageNo=1295", "Onsemi")</f>
        <v>Onsemi</v>
      </c>
      <c r="C2644" s="6">
        <v>4000</v>
      </c>
      <c r="D2644" s="7">
        <v>0.43</v>
      </c>
      <c r="E2644" t="s">
        <v>75</v>
      </c>
    </row>
    <row r="2645" spans="1:5" x14ac:dyDescent="0.25">
      <c r="A2645" t="str">
        <f>HYPERLINK("https://www.773grp.com/globalSearch/P6KE110ARL/page-1", "P6KE110ARL")</f>
        <v>P6KE110ARL</v>
      </c>
      <c r="B2645" s="3" t="str">
        <f>HYPERLINK("https://www.773grp.com/manufacturer/onsemi?pageNo=1296", "Onsemi")</f>
        <v>Onsemi</v>
      </c>
      <c r="C2645" s="6">
        <v>4000</v>
      </c>
      <c r="D2645" s="7">
        <v>0.43</v>
      </c>
      <c r="E2645" t="s">
        <v>75</v>
      </c>
    </row>
    <row r="2646" spans="1:5" x14ac:dyDescent="0.25">
      <c r="A2646" t="str">
        <f>HYPERLINK("https://www.773grp.com/globalSearch/P6KE15A/page-1", "P6KE15A")</f>
        <v>P6KE15A</v>
      </c>
      <c r="B2646" s="3" t="str">
        <f>HYPERLINK("https://www.773grp.com/manufacturer/onsemi?pageNo=1297", "Onsemi")</f>
        <v>Onsemi</v>
      </c>
      <c r="C2646" s="6">
        <v>12404</v>
      </c>
      <c r="D2646" s="7">
        <v>0.43</v>
      </c>
      <c r="E2646" t="s">
        <v>75</v>
      </c>
    </row>
    <row r="2647" spans="1:5" x14ac:dyDescent="0.25">
      <c r="A2647" t="str">
        <f>HYPERLINK("https://www.773grp.com/globalSearch/P6KE16/page-1", "P6KE16")</f>
        <v>P6KE16</v>
      </c>
      <c r="B2647" s="3" t="str">
        <f>HYPERLINK("https://www.773grp.com/manufacturer/onsemi?pageNo=1298", "Onsemi")</f>
        <v>Onsemi</v>
      </c>
      <c r="C2647" s="6">
        <v>750</v>
      </c>
      <c r="D2647" s="7">
        <v>0.43</v>
      </c>
      <c r="E2647" t="s">
        <v>75</v>
      </c>
    </row>
    <row r="2648" spans="1:5" x14ac:dyDescent="0.25">
      <c r="A2648" t="str">
        <f>HYPERLINK("https://www.773grp.com/globalSearch/P6KE16A/page-1", "P6KE16A")</f>
        <v>P6KE16A</v>
      </c>
      <c r="B2648" s="3" t="str">
        <f>HYPERLINK("https://www.773grp.com/manufacturer/onsemi?pageNo=1299", "Onsemi")</f>
        <v>Onsemi</v>
      </c>
      <c r="C2648" s="6">
        <v>3000</v>
      </c>
      <c r="D2648" s="7">
        <v>0.43</v>
      </c>
      <c r="E2648" t="s">
        <v>75</v>
      </c>
    </row>
    <row r="2649" spans="1:5" x14ac:dyDescent="0.25">
      <c r="A2649" t="str">
        <f>HYPERLINK("https://www.773grp.com/globalSearch/P6KE16AG/page-1", "P6KE16AG")</f>
        <v>P6KE16AG</v>
      </c>
      <c r="B2649" s="3" t="str">
        <f>HYPERLINK("https://www.773grp.com/manufacturer/onsemi?pageNo=1300", "Onsemi")</f>
        <v>Onsemi</v>
      </c>
      <c r="C2649" s="6">
        <v>7874</v>
      </c>
      <c r="D2649" s="7">
        <v>0.43</v>
      </c>
      <c r="E2649" t="s">
        <v>75</v>
      </c>
    </row>
    <row r="2650" spans="1:5" x14ac:dyDescent="0.25">
      <c r="A2650" t="str">
        <f>HYPERLINK("https://www.773grp.com/globalSearch/P6KE16ARL/page-1", "P6KE16ARL")</f>
        <v>P6KE16ARL</v>
      </c>
      <c r="B2650" s="3" t="str">
        <f>HYPERLINK("https://www.773grp.com/manufacturer/onsemi?pageNo=1301", "Onsemi")</f>
        <v>Onsemi</v>
      </c>
      <c r="C2650" s="6">
        <v>16979</v>
      </c>
      <c r="D2650" s="7">
        <v>0.43</v>
      </c>
      <c r="E2650" t="s">
        <v>75</v>
      </c>
    </row>
    <row r="2651" spans="1:5" x14ac:dyDescent="0.25">
      <c r="A2651" t="str">
        <f>HYPERLINK("https://www.773grp.com/globalSearch/P6KE170A/page-1", "P6KE170A")</f>
        <v>P6KE170A</v>
      </c>
      <c r="B2651" s="3" t="str">
        <f>HYPERLINK("https://www.773grp.com/manufacturer/onsemi?pageNo=1302", "Onsemi")</f>
        <v>Onsemi</v>
      </c>
      <c r="C2651" s="6">
        <v>10000</v>
      </c>
      <c r="D2651" s="7">
        <v>0.43</v>
      </c>
      <c r="E2651" t="s">
        <v>75</v>
      </c>
    </row>
    <row r="2652" spans="1:5" x14ac:dyDescent="0.25">
      <c r="A2652" t="str">
        <f>HYPERLINK("https://www.773grp.com/globalSearch/P6KE180A/page-1", "P6KE180A")</f>
        <v>P6KE180A</v>
      </c>
      <c r="B2652" s="3" t="str">
        <f>HYPERLINK("https://www.773grp.com/manufacturer/onsemi?pageNo=1303", "Onsemi")</f>
        <v>Onsemi</v>
      </c>
      <c r="C2652" s="6">
        <v>6000</v>
      </c>
      <c r="D2652" s="7">
        <v>0.43</v>
      </c>
      <c r="E2652" t="s">
        <v>75</v>
      </c>
    </row>
    <row r="2653" spans="1:5" x14ac:dyDescent="0.25">
      <c r="A2653" t="str">
        <f>HYPERLINK("https://www.773grp.com/globalSearch/P6KE180AG/page-1", "P6KE180AG")</f>
        <v>P6KE180AG</v>
      </c>
      <c r="B2653" s="3" t="str">
        <f>HYPERLINK("https://www.773grp.com/manufacturer/onsemi?pageNo=1304", "Onsemi")</f>
        <v>Onsemi</v>
      </c>
      <c r="C2653" s="6">
        <v>5000</v>
      </c>
      <c r="D2653" s="7">
        <v>0.43</v>
      </c>
      <c r="E2653" t="s">
        <v>75</v>
      </c>
    </row>
    <row r="2654" spans="1:5" x14ac:dyDescent="0.25">
      <c r="A2654" t="str">
        <f>HYPERLINK("https://www.773grp.com/globalSearch/P6KE180ARL/page-1", "P6KE180ARL")</f>
        <v>P6KE180ARL</v>
      </c>
      <c r="B2654" s="3" t="str">
        <f>HYPERLINK("https://www.773grp.com/manufacturer/onsemi?pageNo=1305", "Onsemi")</f>
        <v>Onsemi</v>
      </c>
      <c r="C2654" s="6">
        <v>8000</v>
      </c>
      <c r="D2654" s="7">
        <v>0.43</v>
      </c>
      <c r="E2654" t="s">
        <v>75</v>
      </c>
    </row>
    <row r="2655" spans="1:5" x14ac:dyDescent="0.25">
      <c r="A2655" t="str">
        <f>HYPERLINK("https://www.773grp.com/globalSearch/P6KE18ARL/page-1", "P6KE18ARL")</f>
        <v>P6KE18ARL</v>
      </c>
      <c r="B2655" s="3" t="str">
        <f>HYPERLINK("https://www.773grp.com/manufacturer/onsemi?pageNo=1306", "Onsemi")</f>
        <v>Onsemi</v>
      </c>
      <c r="C2655" s="6">
        <v>41</v>
      </c>
      <c r="D2655" s="7">
        <v>0.43</v>
      </c>
      <c r="E2655" t="s">
        <v>75</v>
      </c>
    </row>
    <row r="2656" spans="1:5" x14ac:dyDescent="0.25">
      <c r="A2656" t="str">
        <f>HYPERLINK("https://www.773grp.com/globalSearch/P6KE200BG/page-1", "P6KE200BG")</f>
        <v>P6KE200BG</v>
      </c>
      <c r="B2656" s="3" t="str">
        <f>HYPERLINK("https://www.773grp.com/manufacturer/onsemi?pageNo=1307", "Onsemi")</f>
        <v>Onsemi</v>
      </c>
      <c r="C2656" s="6">
        <v>1000</v>
      </c>
      <c r="D2656" s="7">
        <v>0.43</v>
      </c>
      <c r="E2656" t="s">
        <v>75</v>
      </c>
    </row>
    <row r="2657" spans="1:5" x14ac:dyDescent="0.25">
      <c r="A2657" t="str">
        <f>HYPERLINK("https://www.773grp.com/globalSearch/P6KE20AG/page-1", "P6KE20AG")</f>
        <v>P6KE20AG</v>
      </c>
      <c r="B2657" s="3" t="str">
        <f>HYPERLINK("https://www.773grp.com/manufacturer/onsemi?pageNo=1308", "Onsemi")</f>
        <v>Onsemi</v>
      </c>
      <c r="C2657" s="6">
        <v>117</v>
      </c>
      <c r="D2657" s="7">
        <v>0.43</v>
      </c>
      <c r="E2657" t="s">
        <v>75</v>
      </c>
    </row>
    <row r="2658" spans="1:5" x14ac:dyDescent="0.25">
      <c r="A2658" t="str">
        <f>HYPERLINK("https://www.773grp.com/globalSearch/P6KE20ARL/page-1", "P6KE20ARL")</f>
        <v>P6KE20ARL</v>
      </c>
      <c r="B2658" s="3" t="str">
        <f>HYPERLINK("https://www.773grp.com/manufacturer/onsemi?pageNo=1309", "Onsemi")</f>
        <v>Onsemi</v>
      </c>
      <c r="C2658" s="6">
        <v>8000</v>
      </c>
      <c r="D2658" s="7">
        <v>0.43</v>
      </c>
      <c r="E2658" t="s">
        <v>75</v>
      </c>
    </row>
    <row r="2659" spans="1:5" x14ac:dyDescent="0.25">
      <c r="A2659" t="str">
        <f>HYPERLINK("https://www.773grp.com/globalSearch/P6KE22ARL/page-1", "P6KE22ARL")</f>
        <v>P6KE22ARL</v>
      </c>
      <c r="B2659" s="3" t="str">
        <f>HYPERLINK("https://www.773grp.com/manufacturer/onsemi?pageNo=1310", "Onsemi")</f>
        <v>Onsemi</v>
      </c>
      <c r="C2659" s="6">
        <v>20158</v>
      </c>
      <c r="D2659" s="7">
        <v>0.43</v>
      </c>
      <c r="E2659" t="s">
        <v>75</v>
      </c>
    </row>
    <row r="2660" spans="1:5" x14ac:dyDescent="0.25">
      <c r="A2660" t="str">
        <f>HYPERLINK("https://www.773grp.com/globalSearch/P6KE27AG/page-1", "P6KE27AG")</f>
        <v>P6KE27AG</v>
      </c>
      <c r="B2660" s="3" t="str">
        <f>HYPERLINK("https://www.773grp.com/manufacturer/onsemi?pageNo=1311", "Onsemi")</f>
        <v>Onsemi</v>
      </c>
      <c r="C2660" s="6">
        <v>5621</v>
      </c>
      <c r="D2660" s="7">
        <v>0.43</v>
      </c>
      <c r="E2660" t="s">
        <v>75</v>
      </c>
    </row>
    <row r="2661" spans="1:5" x14ac:dyDescent="0.25">
      <c r="A2661" t="str">
        <f>HYPERLINK("https://www.773grp.com/globalSearch/P6KE27ARL/page-1", "P6KE27ARL")</f>
        <v>P6KE27ARL</v>
      </c>
      <c r="B2661" s="3" t="str">
        <f>HYPERLINK("https://www.773grp.com/manufacturer/onsemi?pageNo=1312", "Onsemi")</f>
        <v>Onsemi</v>
      </c>
      <c r="C2661" s="6">
        <v>12000</v>
      </c>
      <c r="D2661" s="7">
        <v>0.43</v>
      </c>
      <c r="E2661" t="s">
        <v>75</v>
      </c>
    </row>
    <row r="2662" spans="1:5" x14ac:dyDescent="0.25">
      <c r="A2662" t="str">
        <f>HYPERLINK("https://www.773grp.com/globalSearch/P6KE43A/page-1", "P6KE43A")</f>
        <v>P6KE43A</v>
      </c>
      <c r="B2662" s="3" t="str">
        <f>HYPERLINK("https://www.773grp.com/manufacturer/onsemi?pageNo=1313", "Onsemi")</f>
        <v>Onsemi</v>
      </c>
      <c r="C2662" s="6">
        <v>1000</v>
      </c>
      <c r="D2662" s="7">
        <v>0.43</v>
      </c>
      <c r="E2662" t="s">
        <v>75</v>
      </c>
    </row>
    <row r="2663" spans="1:5" x14ac:dyDescent="0.25">
      <c r="A2663" t="str">
        <f>HYPERLINK("https://www.773grp.com/globalSearch/P6KE56A/page-1", "P6KE56A")</f>
        <v>P6KE56A</v>
      </c>
      <c r="B2663" s="3" t="str">
        <f>HYPERLINK("https://www.773grp.com/manufacturer/onsemi?pageNo=1314", "Onsemi")</f>
        <v>Onsemi</v>
      </c>
      <c r="C2663" s="6">
        <v>1000</v>
      </c>
      <c r="D2663" s="7">
        <v>0.43</v>
      </c>
      <c r="E2663" t="s">
        <v>75</v>
      </c>
    </row>
    <row r="2664" spans="1:5" x14ac:dyDescent="0.25">
      <c r="A2664" t="str">
        <f>HYPERLINK("https://www.773grp.com/globalSearch/P6KE6.8A/page-1", "P6KE6.8A")</f>
        <v>P6KE6.8A</v>
      </c>
      <c r="B2664" s="3" t="str">
        <f>HYPERLINK("https://www.773grp.com/manufacturer/onsemi?pageNo=1315", "Onsemi")</f>
        <v>Onsemi</v>
      </c>
      <c r="C2664" s="6">
        <v>9598</v>
      </c>
      <c r="D2664" s="7">
        <v>0.43</v>
      </c>
      <c r="E2664" t="s">
        <v>75</v>
      </c>
    </row>
    <row r="2665" spans="1:5" x14ac:dyDescent="0.25">
      <c r="A2665" t="str">
        <f>HYPERLINK("https://www.773grp.com/globalSearch/P6KE62A/page-1", "P6KE62A")</f>
        <v>P6KE62A</v>
      </c>
      <c r="B2665" s="3" t="str">
        <f>HYPERLINK("https://www.773grp.com/manufacturer/onsemi?pageNo=1316", "Onsemi")</f>
        <v>Onsemi</v>
      </c>
      <c r="C2665" s="6">
        <v>1000</v>
      </c>
      <c r="D2665" s="7">
        <v>0.43</v>
      </c>
      <c r="E2665" t="s">
        <v>75</v>
      </c>
    </row>
    <row r="2666" spans="1:5" x14ac:dyDescent="0.25">
      <c r="A2666" t="str">
        <f>HYPERLINK("https://www.773grp.com/globalSearch/P6KE62AG/page-1", "P6KE62AG")</f>
        <v>P6KE62AG</v>
      </c>
      <c r="B2666" s="3" t="str">
        <f>HYPERLINK("https://www.773grp.com/manufacturer/onsemi?pageNo=1317", "Onsemi")</f>
        <v>Onsemi</v>
      </c>
      <c r="C2666" s="6">
        <v>21000</v>
      </c>
      <c r="D2666" s="7">
        <v>0.43</v>
      </c>
      <c r="E2666" t="s">
        <v>75</v>
      </c>
    </row>
    <row r="2667" spans="1:5" x14ac:dyDescent="0.25">
      <c r="A2667" t="str">
        <f>HYPERLINK("https://www.773grp.com/globalSearch/P6KE62ARL/page-1", "P6KE62ARL")</f>
        <v>P6KE62ARL</v>
      </c>
      <c r="B2667" s="3" t="str">
        <f>HYPERLINK("https://www.773grp.com/manufacturer/onsemi?pageNo=1318", "Onsemi")</f>
        <v>Onsemi</v>
      </c>
      <c r="C2667" s="6">
        <v>8000</v>
      </c>
      <c r="D2667" s="7">
        <v>0.43</v>
      </c>
      <c r="E2667" t="s">
        <v>75</v>
      </c>
    </row>
    <row r="2668" spans="1:5" x14ac:dyDescent="0.25">
      <c r="A2668" t="str">
        <f>HYPERLINK("https://www.773grp.com/globalSearch/P6KE68A/page-1", "P6KE68A")</f>
        <v>P6KE68A</v>
      </c>
      <c r="B2668" s="3" t="str">
        <f>HYPERLINK("https://www.773grp.com/manufacturer/onsemi?pageNo=1319", "Onsemi")</f>
        <v>Onsemi</v>
      </c>
      <c r="C2668" s="6">
        <v>2300</v>
      </c>
      <c r="D2668" s="7">
        <v>0.43</v>
      </c>
      <c r="E2668" t="s">
        <v>75</v>
      </c>
    </row>
    <row r="2669" spans="1:5" x14ac:dyDescent="0.25">
      <c r="A2669" t="str">
        <f>HYPERLINK("https://www.773grp.com/globalSearch/P6KE7.5A/page-1", "P6KE7.5A")</f>
        <v>P6KE7.5A</v>
      </c>
      <c r="B2669" s="3" t="str">
        <f>HYPERLINK("https://www.773grp.com/manufacturer/onsemi?pageNo=1320", "Onsemi")</f>
        <v>Onsemi</v>
      </c>
      <c r="C2669" s="6">
        <v>1000</v>
      </c>
      <c r="D2669" s="7">
        <v>0.43</v>
      </c>
      <c r="E2669" t="s">
        <v>75</v>
      </c>
    </row>
    <row r="2670" spans="1:5" x14ac:dyDescent="0.25">
      <c r="A2670" t="str">
        <f>HYPERLINK("https://www.773grp.com/globalSearch/P6KE7.5ARL/page-1", "P6KE7.5ARL")</f>
        <v>P6KE7.5ARL</v>
      </c>
      <c r="B2670" s="3" t="str">
        <f>HYPERLINK("https://www.773grp.com/manufacturer/onsemi?pageNo=1321", "Onsemi")</f>
        <v>Onsemi</v>
      </c>
      <c r="C2670" s="6">
        <v>80</v>
      </c>
      <c r="D2670" s="7">
        <v>0.43</v>
      </c>
      <c r="E2670" t="s">
        <v>75</v>
      </c>
    </row>
    <row r="2671" spans="1:5" x14ac:dyDescent="0.25">
      <c r="A2671" t="str">
        <f>HYPERLINK("https://www.773grp.com/globalSearch/P6KE9.1AG/page-1", "P6KE9.1AG")</f>
        <v>P6KE9.1AG</v>
      </c>
      <c r="B2671" s="3" t="str">
        <f>HYPERLINK("https://www.773grp.com/manufacturer/onsemi?pageNo=1322", "Onsemi")</f>
        <v>Onsemi</v>
      </c>
      <c r="C2671" s="6">
        <v>16000</v>
      </c>
      <c r="D2671" s="7">
        <v>0.43</v>
      </c>
      <c r="E2671" t="s">
        <v>75</v>
      </c>
    </row>
    <row r="2672" spans="1:5" x14ac:dyDescent="0.25">
      <c r="A2672" t="str">
        <f>HYPERLINK("https://www.773grp.com/globalSearch/SA12AG/page-1", "SA12AG")</f>
        <v>SA12AG</v>
      </c>
      <c r="B2672" s="3" t="str">
        <f>HYPERLINK("https://www.773grp.com/manufacturer/onsemi?pageNo=1323", "Onsemi")</f>
        <v>Onsemi</v>
      </c>
      <c r="C2672" s="6">
        <v>17000</v>
      </c>
      <c r="D2672" s="7">
        <v>0.43</v>
      </c>
      <c r="E2672" t="s">
        <v>75</v>
      </c>
    </row>
    <row r="2673" spans="1:5" x14ac:dyDescent="0.25">
      <c r="A2673" t="str">
        <f>HYPERLINK("https://www.773grp.com/globalSearch/SA12CA/page-1", "SA12CA")</f>
        <v>SA12CA</v>
      </c>
      <c r="B2673" s="3" t="str">
        <f>HYPERLINK("https://www.773grp.com/manufacturer/onsemi?pageNo=1324", "Onsemi")</f>
        <v>Onsemi</v>
      </c>
      <c r="C2673" s="6">
        <v>55424</v>
      </c>
      <c r="D2673" s="7">
        <v>0.43</v>
      </c>
      <c r="E2673" t="s">
        <v>75</v>
      </c>
    </row>
    <row r="2674" spans="1:5" x14ac:dyDescent="0.25">
      <c r="A2674" t="str">
        <f>HYPERLINK("https://www.773grp.com/globalSearch/SA12CARL/page-1", "SA12CARL")</f>
        <v>SA12CARL</v>
      </c>
      <c r="B2674" s="3" t="str">
        <f>HYPERLINK("https://www.773grp.com/manufacturer/onsemi?pageNo=1325", "Onsemi")</f>
        <v>Onsemi</v>
      </c>
      <c r="C2674" s="6">
        <v>40000</v>
      </c>
      <c r="D2674" s="7">
        <v>0.43</v>
      </c>
      <c r="E2674" t="s">
        <v>75</v>
      </c>
    </row>
    <row r="2675" spans="1:5" x14ac:dyDescent="0.25">
      <c r="A2675" t="str">
        <f>HYPERLINK("https://www.773grp.com/globalSearch/SA13ARLG/page-1", "SA13ARLG")</f>
        <v>SA13ARLG</v>
      </c>
      <c r="B2675" s="3" t="str">
        <f>HYPERLINK("https://www.773grp.com/manufacturer/onsemi?pageNo=1326", "Onsemi")</f>
        <v>Onsemi</v>
      </c>
      <c r="C2675" s="6">
        <v>5000</v>
      </c>
      <c r="D2675" s="7">
        <v>0.43</v>
      </c>
    </row>
    <row r="2676" spans="1:5" x14ac:dyDescent="0.25">
      <c r="A2676" t="str">
        <f>HYPERLINK("https://www.773grp.com/globalSearch/SA14066BDR2/page-1", "SA14066BDR2")</f>
        <v>SA14066BDR2</v>
      </c>
      <c r="B2676" s="3" t="str">
        <f>HYPERLINK("https://www.773grp.com/manufacturer/onsemi?pageNo=1327", "Onsemi")</f>
        <v>Onsemi</v>
      </c>
      <c r="C2676" s="6">
        <v>32500</v>
      </c>
      <c r="D2676" s="7">
        <v>0.43</v>
      </c>
    </row>
    <row r="2677" spans="1:5" x14ac:dyDescent="0.25">
      <c r="A2677" t="str">
        <f>HYPERLINK("https://www.773grp.com/globalSearch/SA14541BCP/page-1", "SA14541BCP")</f>
        <v>SA14541BCP</v>
      </c>
      <c r="B2677" s="3" t="str">
        <f>HYPERLINK("https://www.773grp.com/manufacturer/onsemi?pageNo=1328", "Onsemi")</f>
        <v>Onsemi</v>
      </c>
      <c r="C2677" s="6">
        <v>27675</v>
      </c>
      <c r="D2677" s="7">
        <v>0.43</v>
      </c>
    </row>
    <row r="2678" spans="1:5" x14ac:dyDescent="0.25">
      <c r="A2678" t="str">
        <f>HYPERLINK("https://www.773grp.com/globalSearch/SA16ARLG/page-1", "SA16ARLG")</f>
        <v>SA16ARLG</v>
      </c>
      <c r="B2678" s="3" t="str">
        <f>HYPERLINK("https://www.773grp.com/manufacturer/onsemi?pageNo=1329", "Onsemi")</f>
        <v>Onsemi</v>
      </c>
      <c r="C2678" s="6">
        <v>2996</v>
      </c>
      <c r="D2678" s="7">
        <v>0.43</v>
      </c>
      <c r="E2678" t="s">
        <v>75</v>
      </c>
    </row>
    <row r="2679" spans="1:5" x14ac:dyDescent="0.25">
      <c r="A2679" t="str">
        <f>HYPERLINK("https://www.773grp.com/globalSearch/SA17ARLG/page-1", "SA17ARLG")</f>
        <v>SA17ARLG</v>
      </c>
      <c r="B2679" s="3" t="str">
        <f>HYPERLINK("https://www.773grp.com/manufacturer/onsemi?pageNo=1330", "Onsemi")</f>
        <v>Onsemi</v>
      </c>
      <c r="C2679" s="6">
        <v>10000</v>
      </c>
      <c r="D2679" s="7">
        <v>0.43</v>
      </c>
      <c r="E2679" t="s">
        <v>75</v>
      </c>
    </row>
    <row r="2680" spans="1:5" x14ac:dyDescent="0.25">
      <c r="A2680" t="str">
        <f>HYPERLINK("https://www.773grp.com/globalSearch/SA18CA/page-1", "SA18CA")</f>
        <v>SA18CA</v>
      </c>
      <c r="B2680" s="3" t="str">
        <f>HYPERLINK("https://www.773grp.com/manufacturer/onsemi?pageNo=1331", "Onsemi")</f>
        <v>Onsemi</v>
      </c>
      <c r="C2680" s="6">
        <v>77</v>
      </c>
      <c r="D2680" s="7">
        <v>0.43</v>
      </c>
      <c r="E2680" t="s">
        <v>75</v>
      </c>
    </row>
    <row r="2681" spans="1:5" x14ac:dyDescent="0.25">
      <c r="A2681" t="str">
        <f>HYPERLINK("https://www.773grp.com/globalSearch/SA18CARL/page-1", "SA18CARL")</f>
        <v>SA18CARL</v>
      </c>
      <c r="B2681" s="3" t="str">
        <f>HYPERLINK("https://www.773grp.com/manufacturer/onsemi?pageNo=1332", "Onsemi")</f>
        <v>Onsemi</v>
      </c>
      <c r="C2681" s="6">
        <v>41390</v>
      </c>
      <c r="D2681" s="7">
        <v>0.43</v>
      </c>
      <c r="E2681" t="s">
        <v>75</v>
      </c>
    </row>
    <row r="2682" spans="1:5" x14ac:dyDescent="0.25">
      <c r="A2682" t="str">
        <f>HYPERLINK("https://www.773grp.com/globalSearch/SA20ARLG/page-1", "SA20ARLG")</f>
        <v>SA20ARLG</v>
      </c>
      <c r="B2682" s="3" t="str">
        <f>HYPERLINK("https://www.773grp.com/manufacturer/onsemi?pageNo=1333", "Onsemi")</f>
        <v>Onsemi</v>
      </c>
      <c r="C2682" s="6">
        <v>20000</v>
      </c>
      <c r="D2682" s="7">
        <v>0.43</v>
      </c>
      <c r="E2682" t="s">
        <v>75</v>
      </c>
    </row>
    <row r="2683" spans="1:5" x14ac:dyDescent="0.25">
      <c r="A2683" t="str">
        <f>HYPERLINK("https://www.773grp.com/globalSearch/SA24AG/page-1", "SA24AG")</f>
        <v>SA24AG</v>
      </c>
      <c r="B2683" s="3" t="str">
        <f>HYPERLINK("https://www.773grp.com/manufacturer/onsemi?pageNo=1334", "Onsemi")</f>
        <v>Onsemi</v>
      </c>
      <c r="C2683" s="6">
        <v>6000</v>
      </c>
      <c r="D2683" s="7">
        <v>0.43</v>
      </c>
      <c r="E2683" t="s">
        <v>75</v>
      </c>
    </row>
    <row r="2684" spans="1:5" x14ac:dyDescent="0.25">
      <c r="A2684" t="str">
        <f>HYPERLINK("https://www.773grp.com/globalSearch/SA24ARLG/page-1", "SA24ARLG")</f>
        <v>SA24ARLG</v>
      </c>
      <c r="B2684" s="3" t="str">
        <f>HYPERLINK("https://www.773grp.com/manufacturer/onsemi?pageNo=1335", "Onsemi")</f>
        <v>Onsemi</v>
      </c>
      <c r="C2684" s="6">
        <v>15000</v>
      </c>
      <c r="D2684" s="7">
        <v>0.43</v>
      </c>
      <c r="E2684" t="s">
        <v>75</v>
      </c>
    </row>
    <row r="2685" spans="1:5" x14ac:dyDescent="0.25">
      <c r="A2685" t="str">
        <f>HYPERLINK("https://www.773grp.com/globalSearch/SA28ARLG/page-1", "SA28ARLG")</f>
        <v>SA28ARLG</v>
      </c>
      <c r="B2685" s="3" t="str">
        <f>HYPERLINK("https://www.773grp.com/manufacturer/onsemi?pageNo=1336", "Onsemi")</f>
        <v>Onsemi</v>
      </c>
      <c r="C2685" s="6">
        <v>33054</v>
      </c>
      <c r="D2685" s="7">
        <v>0.43</v>
      </c>
      <c r="E2685" t="s">
        <v>75</v>
      </c>
    </row>
    <row r="2686" spans="1:5" x14ac:dyDescent="0.25">
      <c r="A2686" t="str">
        <f>HYPERLINK("https://www.773grp.com/globalSearch/SA28CA/page-1", "SA28CA")</f>
        <v>SA28CA</v>
      </c>
      <c r="B2686" s="3" t="str">
        <f>HYPERLINK("https://www.773grp.com/manufacturer/onsemi?pageNo=1337", "Onsemi")</f>
        <v>Onsemi</v>
      </c>
      <c r="C2686" s="6">
        <v>5000</v>
      </c>
      <c r="D2686" s="7">
        <v>0.43</v>
      </c>
      <c r="E2686" t="s">
        <v>75</v>
      </c>
    </row>
    <row r="2687" spans="1:5" x14ac:dyDescent="0.25">
      <c r="A2687" t="str">
        <f>HYPERLINK("https://www.773grp.com/globalSearch/SA30ARLG/page-1", "SA30ARLG")</f>
        <v>SA30ARLG</v>
      </c>
      <c r="B2687" s="3" t="str">
        <f>HYPERLINK("https://www.773grp.com/manufacturer/onsemi?pageNo=1338", "Onsemi")</f>
        <v>Onsemi</v>
      </c>
      <c r="C2687" s="6">
        <v>10000</v>
      </c>
      <c r="D2687" s="7">
        <v>0.43</v>
      </c>
      <c r="E2687" t="s">
        <v>75</v>
      </c>
    </row>
    <row r="2688" spans="1:5" x14ac:dyDescent="0.25">
      <c r="A2688" t="str">
        <f>HYPERLINK("https://www.773grp.com/globalSearch/SA33ARLG/page-1", "SA33ARLG")</f>
        <v>SA33ARLG</v>
      </c>
      <c r="B2688" s="3" t="str">
        <f>HYPERLINK("https://www.773grp.com/manufacturer/onsemi?pageNo=1339", "Onsemi")</f>
        <v>Onsemi</v>
      </c>
      <c r="C2688" s="6">
        <v>14000</v>
      </c>
      <c r="D2688" s="7">
        <v>0.43</v>
      </c>
      <c r="E2688" t="s">
        <v>75</v>
      </c>
    </row>
    <row r="2689" spans="1:5" x14ac:dyDescent="0.25">
      <c r="A2689" t="str">
        <f>HYPERLINK("https://www.773grp.com/globalSearch/SA36AG/page-1", "SA36AG")</f>
        <v>SA36AG</v>
      </c>
      <c r="B2689" s="3" t="str">
        <f>HYPERLINK("https://www.773grp.com/manufacturer/onsemi?pageNo=1340", "Onsemi")</f>
        <v>Onsemi</v>
      </c>
      <c r="C2689" s="6">
        <v>3546</v>
      </c>
      <c r="D2689" s="7">
        <v>0.43</v>
      </c>
    </row>
    <row r="2690" spans="1:5" x14ac:dyDescent="0.25">
      <c r="A2690" t="str">
        <f>HYPERLINK("https://www.773grp.com/globalSearch/SA43CA/page-1", "SA43CA")</f>
        <v>SA43CA</v>
      </c>
      <c r="B2690" s="3" t="str">
        <f>HYPERLINK("https://www.773grp.com/manufacturer/onsemi?pageNo=1341", "Onsemi")</f>
        <v>Onsemi</v>
      </c>
      <c r="C2690" s="6">
        <v>11345</v>
      </c>
      <c r="D2690" s="7">
        <v>0.43</v>
      </c>
      <c r="E2690" t="s">
        <v>75</v>
      </c>
    </row>
    <row r="2691" spans="1:5" x14ac:dyDescent="0.25">
      <c r="A2691" t="str">
        <f>HYPERLINK("https://www.773grp.com/globalSearch/SA6.0AG/page-1", "SA6.0AG")</f>
        <v>SA6.0AG</v>
      </c>
      <c r="B2691" s="3" t="str">
        <f>HYPERLINK("https://www.773grp.com/manufacturer/onsemi?pageNo=1342", "Onsemi")</f>
        <v>Onsemi</v>
      </c>
      <c r="C2691" s="6">
        <v>3115</v>
      </c>
      <c r="D2691" s="7">
        <v>0.43</v>
      </c>
      <c r="E2691" t="s">
        <v>75</v>
      </c>
    </row>
    <row r="2692" spans="1:5" x14ac:dyDescent="0.25">
      <c r="A2692" t="str">
        <f>HYPERLINK("https://www.773grp.com/globalSearch/SA6.0CARL/page-1", "SA6.0CARL")</f>
        <v>SA6.0CARL</v>
      </c>
      <c r="B2692" s="3" t="str">
        <f>HYPERLINK("https://www.773grp.com/manufacturer/onsemi?pageNo=1343", "Onsemi")</f>
        <v>Onsemi</v>
      </c>
      <c r="C2692" s="6">
        <v>115000</v>
      </c>
      <c r="D2692" s="7">
        <v>0.43</v>
      </c>
      <c r="E2692" t="s">
        <v>75</v>
      </c>
    </row>
    <row r="2693" spans="1:5" x14ac:dyDescent="0.25">
      <c r="A2693" t="str">
        <f>HYPERLINK("https://www.773grp.com/globalSearch/SA6.5CA/page-1", "SA6.5CA")</f>
        <v>SA6.5CA</v>
      </c>
      <c r="B2693" s="3" t="str">
        <f>HYPERLINK("https://www.773grp.com/manufacturer/onsemi?pageNo=1344", "Onsemi")</f>
        <v>Onsemi</v>
      </c>
      <c r="C2693" s="6">
        <v>5000</v>
      </c>
      <c r="D2693" s="7">
        <v>0.43</v>
      </c>
      <c r="E2693" t="s">
        <v>75</v>
      </c>
    </row>
    <row r="2694" spans="1:5" x14ac:dyDescent="0.25">
      <c r="A2694" t="str">
        <f>HYPERLINK("https://www.773grp.com/globalSearch/SA6.5CARL/page-1", "SA6.5CARL")</f>
        <v>SA6.5CARL</v>
      </c>
      <c r="B2694" s="3" t="str">
        <f>HYPERLINK("https://www.773grp.com/manufacturer/onsemi?pageNo=1345", "Onsemi")</f>
        <v>Onsemi</v>
      </c>
      <c r="C2694" s="6">
        <v>15000</v>
      </c>
      <c r="D2694" s="7">
        <v>0.43</v>
      </c>
      <c r="E2694" t="s">
        <v>75</v>
      </c>
    </row>
    <row r="2695" spans="1:5" x14ac:dyDescent="0.25">
      <c r="A2695" t="str">
        <f>HYPERLINK("https://www.773grp.com/globalSearch/SA7.0CA/page-1", "SA7.0CA")</f>
        <v>SA7.0CA</v>
      </c>
      <c r="B2695" s="3" t="str">
        <f>HYPERLINK("https://www.773grp.com/manufacturer/onsemi?pageNo=1346", "Onsemi")</f>
        <v>Onsemi</v>
      </c>
      <c r="C2695" s="6">
        <v>5000</v>
      </c>
      <c r="D2695" s="7">
        <v>0.43</v>
      </c>
      <c r="E2695" t="s">
        <v>75</v>
      </c>
    </row>
    <row r="2696" spans="1:5" x14ac:dyDescent="0.25">
      <c r="A2696" t="str">
        <f>HYPERLINK("https://www.773grp.com/globalSearch/SA8.5CARL/page-1", "SA8.5CARL")</f>
        <v>SA8.5CARL</v>
      </c>
      <c r="B2696" s="3" t="str">
        <f>HYPERLINK("https://www.773grp.com/manufacturer/onsemi?pageNo=1347", "Onsemi")</f>
        <v>Onsemi</v>
      </c>
      <c r="C2696" s="6">
        <v>3500</v>
      </c>
      <c r="D2696" s="7">
        <v>0.43</v>
      </c>
      <c r="E2696" t="s">
        <v>75</v>
      </c>
    </row>
    <row r="2697" spans="1:5" x14ac:dyDescent="0.25">
      <c r="A2697" t="str">
        <f>HYPERLINK("https://www.773grp.com/globalSearch/SB05-03C-TB-E/page-1", "SB05-03C-TB-E")</f>
        <v>SB05-03C-TB-E</v>
      </c>
      <c r="B2697" s="3" t="str">
        <f>HYPERLINK("https://www.773grp.com/manufacturer/onsemi?pageNo=1348", "Onsemi")</f>
        <v>Onsemi</v>
      </c>
      <c r="C2697" s="6">
        <v>3000</v>
      </c>
      <c r="D2697" s="7">
        <v>0.43</v>
      </c>
    </row>
    <row r="2698" spans="1:5" x14ac:dyDescent="0.25">
      <c r="A2698" t="str">
        <f>HYPERLINK("https://www.773grp.com/globalSearch/SBRS8130LT3G/page-1", "SBRS8130LT3G")</f>
        <v>SBRS8130LT3G</v>
      </c>
      <c r="B2698" s="3" t="str">
        <f>HYPERLINK("https://www.773grp.com/manufacturer/onsemi?pageNo=1", "Onsemi")</f>
        <v>Onsemi</v>
      </c>
      <c r="C2698" s="6">
        <v>246900</v>
      </c>
      <c r="D2698" s="7">
        <v>0.43</v>
      </c>
    </row>
    <row r="2699" spans="1:5" x14ac:dyDescent="0.25">
      <c r="A2699" t="str">
        <f>HYPERLINK("https://www.773grp.com/globalSearch/SBRS8190T3/page-1", "SBRS8190T3")</f>
        <v>SBRS8190T3</v>
      </c>
      <c r="B2699" s="3" t="str">
        <f>HYPERLINK("https://www.773grp.com/manufacturer/onsemi?pageNo=2", "Onsemi")</f>
        <v>Onsemi</v>
      </c>
      <c r="C2699" s="6">
        <v>42500</v>
      </c>
      <c r="D2699" s="7">
        <v>0.43</v>
      </c>
    </row>
    <row r="2700" spans="1:5" x14ac:dyDescent="0.25">
      <c r="A2700" t="str">
        <f>HYPERLINK("https://www.773grp.com/globalSearch/SBZ1N5368BRL/page-1", "SBZ1N5368BRL")</f>
        <v>SBZ1N5368BRL</v>
      </c>
      <c r="B2700" s="3" t="str">
        <f>HYPERLINK("https://www.773grp.com/manufacturer/onsemi?pageNo=3", "Onsemi")</f>
        <v>Onsemi</v>
      </c>
      <c r="C2700" s="6">
        <v>12000</v>
      </c>
      <c r="D2700" s="7">
        <v>0.43</v>
      </c>
    </row>
    <row r="2701" spans="1:5" x14ac:dyDescent="0.25">
      <c r="A2701" t="str">
        <f>HYPERLINK("https://www.773grp.com/globalSearch/SC65895PK125A/page-1", "SC65895PK125A")</f>
        <v>SC65895PK125A</v>
      </c>
      <c r="B2701" s="3" t="str">
        <f>HYPERLINK("https://www.773grp.com/manufacturer/onsemi?pageNo=4", "Onsemi")</f>
        <v>Onsemi</v>
      </c>
      <c r="C2701" s="6">
        <v>5525</v>
      </c>
      <c r="D2701" s="7">
        <v>0.43</v>
      </c>
    </row>
    <row r="2702" spans="1:5" x14ac:dyDescent="0.25">
      <c r="A2702" t="str">
        <f>HYPERLINK("https://www.773grp.com/globalSearch/SC65896D138R2/page-1", "SC65896D138R2")</f>
        <v>SC65896D138R2</v>
      </c>
      <c r="B2702" s="3" t="str">
        <f>HYPERLINK("https://www.773grp.com/manufacturer/onsemi?pageNo=5", "Onsemi")</f>
        <v>Onsemi</v>
      </c>
      <c r="C2702" s="6">
        <v>1248</v>
      </c>
      <c r="D2702" s="7">
        <v>0.43</v>
      </c>
    </row>
    <row r="2703" spans="1:5" x14ac:dyDescent="0.25">
      <c r="A2703" t="str">
        <f>HYPERLINK("https://www.773grp.com/globalSearch/SC7S02FEL/page-1", "SC7S02FEL")</f>
        <v>SC7S02FEL</v>
      </c>
      <c r="B2703" s="3" t="str">
        <f>HYPERLINK("https://www.773grp.com/manufacturer/onsemi?pageNo=6", "Onsemi")</f>
        <v>Onsemi</v>
      </c>
      <c r="C2703" s="6">
        <v>3000</v>
      </c>
      <c r="D2703" s="7">
        <v>0.43</v>
      </c>
    </row>
    <row r="2704" spans="1:5" x14ac:dyDescent="0.25">
      <c r="A2704" t="str">
        <f>HYPERLINK("https://www.773grp.com/globalSearch/SC7S08FEL/page-1", "SC7S08FEL")</f>
        <v>SC7S08FEL</v>
      </c>
      <c r="B2704" s="3" t="str">
        <f>HYPERLINK("https://www.773grp.com/manufacturer/onsemi?pageNo=7", "Onsemi")</f>
        <v>Onsemi</v>
      </c>
      <c r="C2704" s="6">
        <v>60000</v>
      </c>
      <c r="D2704" s="7">
        <v>0.43</v>
      </c>
    </row>
    <row r="2705" spans="1:5" x14ac:dyDescent="0.25">
      <c r="A2705" t="str">
        <f>HYPERLINK("https://www.773grp.com/globalSearch/SC7S08FER/page-1", "SC7S08FER")</f>
        <v>SC7S08FER</v>
      </c>
      <c r="B2705" s="3" t="str">
        <f>HYPERLINK("https://www.773grp.com/manufacturer/onsemi?pageNo=8", "Onsemi")</f>
        <v>Onsemi</v>
      </c>
      <c r="C2705" s="6">
        <v>333000</v>
      </c>
      <c r="D2705" s="7">
        <v>0.43</v>
      </c>
    </row>
    <row r="2706" spans="1:5" x14ac:dyDescent="0.25">
      <c r="A2706" t="str">
        <f>HYPERLINK("https://www.773grp.com/globalSearch/SC7S32FEL/page-1", "SC7S32FEL")</f>
        <v>SC7S32FEL</v>
      </c>
      <c r="B2706" s="3" t="str">
        <f>HYPERLINK("https://www.773grp.com/manufacturer/onsemi?pageNo=9", "Onsemi")</f>
        <v>Onsemi</v>
      </c>
      <c r="C2706" s="6">
        <v>9000</v>
      </c>
      <c r="D2706" s="7">
        <v>0.43</v>
      </c>
    </row>
    <row r="2707" spans="1:5" x14ac:dyDescent="0.25">
      <c r="A2707" t="str">
        <f>HYPERLINK("https://www.773grp.com/globalSearch/SC7S32FER/page-1", "SC7S32FER")</f>
        <v>SC7S32FER</v>
      </c>
      <c r="B2707" s="3" t="str">
        <f>HYPERLINK("https://www.773grp.com/manufacturer/onsemi?pageNo=10", "Onsemi")</f>
        <v>Onsemi</v>
      </c>
      <c r="C2707" s="6">
        <v>15000</v>
      </c>
      <c r="D2707" s="7">
        <v>0.43</v>
      </c>
    </row>
    <row r="2708" spans="1:5" x14ac:dyDescent="0.25">
      <c r="A2708" t="str">
        <f>HYPERLINK("https://www.773grp.com/globalSearch/SCH1334-TL-H/page-1", "SCH1334-TL-H")</f>
        <v>SCH1334-TL-H</v>
      </c>
      <c r="B2708" s="3" t="str">
        <f>HYPERLINK("https://www.773grp.com/manufacturer/onsemi?pageNo=11", "Onsemi")</f>
        <v>Onsemi</v>
      </c>
      <c r="C2708" s="6">
        <v>5000</v>
      </c>
      <c r="D2708" s="7">
        <v>0.43</v>
      </c>
    </row>
    <row r="2709" spans="1:5" x14ac:dyDescent="0.25">
      <c r="A2709" t="str">
        <f>HYPERLINK("https://www.773grp.com/globalSearch/SMF05CT1G/page-1", "SMF05CT1G")</f>
        <v>SMF05CT1G</v>
      </c>
      <c r="B2709" s="3" t="str">
        <f>HYPERLINK("https://www.773grp.com/manufacturer/onsemi?pageNo=12", "Onsemi")</f>
        <v>Onsemi</v>
      </c>
      <c r="C2709" s="6">
        <v>220770</v>
      </c>
      <c r="D2709" s="7">
        <v>0.43</v>
      </c>
      <c r="E2709" t="s">
        <v>75</v>
      </c>
    </row>
    <row r="2710" spans="1:5" x14ac:dyDescent="0.25">
      <c r="A2710" t="str">
        <f>HYPERLINK("https://www.773grp.com/globalSearch/SMF05CT2G/page-1", "SMF05CT2G")</f>
        <v>SMF05CT2G</v>
      </c>
      <c r="B2710" s="3" t="str">
        <f>HYPERLINK("https://www.773grp.com/manufacturer/onsemi?pageNo=13", "Onsemi")</f>
        <v>Onsemi</v>
      </c>
      <c r="C2710" s="6">
        <v>3000</v>
      </c>
      <c r="D2710" s="7">
        <v>0.43</v>
      </c>
    </row>
    <row r="2711" spans="1:5" x14ac:dyDescent="0.25">
      <c r="A2711" t="str">
        <f>HYPERLINK("https://www.773grp.com/globalSearch/SMF100AT1/page-1", "SMF100AT1")</f>
        <v>SMF100AT1</v>
      </c>
      <c r="B2711" s="3" t="str">
        <f>HYPERLINK("https://www.773grp.com/manufacturer/onsemi?pageNo=14", "Onsemi")</f>
        <v>Onsemi</v>
      </c>
      <c r="C2711" s="6">
        <v>6825</v>
      </c>
      <c r="D2711" s="7">
        <v>0.43</v>
      </c>
      <c r="E2711" t="s">
        <v>75</v>
      </c>
    </row>
    <row r="2712" spans="1:5" x14ac:dyDescent="0.25">
      <c r="A2712" t="str">
        <f>HYPERLINK("https://www.773grp.com/globalSearch/SMF12CT1G/page-1", "SMF12CT1G")</f>
        <v>SMF12CT1G</v>
      </c>
      <c r="B2712" s="3" t="str">
        <f>HYPERLINK("https://www.773grp.com/manufacturer/onsemi?pageNo=15", "Onsemi")</f>
        <v>Onsemi</v>
      </c>
      <c r="C2712" s="6">
        <v>318000</v>
      </c>
      <c r="D2712" s="7">
        <v>0.43</v>
      </c>
      <c r="E2712" t="s">
        <v>75</v>
      </c>
    </row>
    <row r="2713" spans="1:5" x14ac:dyDescent="0.25">
      <c r="A2713" t="str">
        <f>HYPERLINK("https://www.773grp.com/globalSearch/SMF130AT1/page-1", "SMF130AT1")</f>
        <v>SMF130AT1</v>
      </c>
      <c r="B2713" s="3" t="str">
        <f>HYPERLINK("https://www.773grp.com/manufacturer/onsemi?pageNo=16", "Onsemi")</f>
        <v>Onsemi</v>
      </c>
      <c r="C2713" s="6">
        <v>2970</v>
      </c>
      <c r="D2713" s="7">
        <v>0.43</v>
      </c>
      <c r="E2713" t="s">
        <v>75</v>
      </c>
    </row>
    <row r="2714" spans="1:5" x14ac:dyDescent="0.25">
      <c r="A2714" t="str">
        <f>HYPERLINK("https://www.773grp.com/globalSearch/SMF13AT1/page-1", "SMF13AT1")</f>
        <v>SMF13AT1</v>
      </c>
      <c r="B2714" s="3" t="str">
        <f>HYPERLINK("https://www.773grp.com/manufacturer/onsemi?pageNo=17", "Onsemi")</f>
        <v>Onsemi</v>
      </c>
      <c r="C2714" s="6">
        <v>3000</v>
      </c>
      <c r="D2714" s="7">
        <v>0.43</v>
      </c>
      <c r="E2714" t="s">
        <v>75</v>
      </c>
    </row>
    <row r="2715" spans="1:5" x14ac:dyDescent="0.25">
      <c r="A2715" t="str">
        <f>HYPERLINK("https://www.773grp.com/globalSearch/SMF150AT1/page-1", "SMF150AT1")</f>
        <v>SMF150AT1</v>
      </c>
      <c r="B2715" s="3" t="str">
        <f>HYPERLINK("https://www.773grp.com/manufacturer/onsemi?pageNo=18", "Onsemi")</f>
        <v>Onsemi</v>
      </c>
      <c r="C2715" s="6">
        <v>3000</v>
      </c>
      <c r="D2715" s="7">
        <v>0.43</v>
      </c>
      <c r="E2715" t="s">
        <v>75</v>
      </c>
    </row>
    <row r="2716" spans="1:5" x14ac:dyDescent="0.25">
      <c r="A2716" t="str">
        <f>HYPERLINK("https://www.773grp.com/globalSearch/SMF15CT1G/page-1", "SMF15CT1G")</f>
        <v>SMF15CT1G</v>
      </c>
      <c r="B2716" s="3" t="str">
        <f>HYPERLINK("https://www.773grp.com/manufacturer/onsemi?pageNo=19", "Onsemi")</f>
        <v>Onsemi</v>
      </c>
      <c r="C2716" s="6">
        <v>3000</v>
      </c>
      <c r="D2716" s="7">
        <v>0.43</v>
      </c>
      <c r="E2716" t="s">
        <v>75</v>
      </c>
    </row>
    <row r="2717" spans="1:5" x14ac:dyDescent="0.25">
      <c r="A2717" t="str">
        <f>HYPERLINK("https://www.773grp.com/globalSearch/SMF160AT1/page-1", "SMF160AT1")</f>
        <v>SMF160AT1</v>
      </c>
      <c r="B2717" s="3" t="str">
        <f>HYPERLINK("https://www.773grp.com/manufacturer/onsemi?pageNo=20", "Onsemi")</f>
        <v>Onsemi</v>
      </c>
      <c r="C2717" s="6">
        <v>3000</v>
      </c>
      <c r="D2717" s="7">
        <v>0.43</v>
      </c>
      <c r="E2717" t="s">
        <v>75</v>
      </c>
    </row>
    <row r="2718" spans="1:5" x14ac:dyDescent="0.25">
      <c r="A2718" t="str">
        <f>HYPERLINK("https://www.773grp.com/globalSearch/SMF24CT1G/page-1", "SMF24CT1G")</f>
        <v>SMF24CT1G</v>
      </c>
      <c r="B2718" s="3" t="str">
        <f>HYPERLINK("https://www.773grp.com/manufacturer/onsemi?pageNo=21", "Onsemi")</f>
        <v>Onsemi</v>
      </c>
      <c r="C2718" s="6">
        <v>6000</v>
      </c>
      <c r="D2718" s="7">
        <v>0.43</v>
      </c>
      <c r="E2718" t="s">
        <v>75</v>
      </c>
    </row>
    <row r="2719" spans="1:5" x14ac:dyDescent="0.25">
      <c r="A2719" t="str">
        <f>HYPERLINK("https://www.773grp.com/globalSearch/SMF26AT1/page-1", "SMF26AT1")</f>
        <v>SMF26AT1</v>
      </c>
      <c r="B2719" s="3" t="str">
        <f>HYPERLINK("https://www.773grp.com/manufacturer/onsemi?pageNo=22", "Onsemi")</f>
        <v>Onsemi</v>
      </c>
      <c r="C2719" s="6">
        <v>3405</v>
      </c>
      <c r="D2719" s="7">
        <v>0.43</v>
      </c>
      <c r="E2719" t="s">
        <v>75</v>
      </c>
    </row>
    <row r="2720" spans="1:5" x14ac:dyDescent="0.25">
      <c r="A2720" t="str">
        <f>HYPERLINK("https://www.773grp.com/globalSearch/SMF28AT1/page-1", "SMF28AT1")</f>
        <v>SMF28AT1</v>
      </c>
      <c r="B2720" s="3" t="str">
        <f>HYPERLINK("https://www.773grp.com/manufacturer/onsemi?pageNo=23", "Onsemi")</f>
        <v>Onsemi</v>
      </c>
      <c r="C2720" s="6">
        <v>5945</v>
      </c>
      <c r="D2720" s="7">
        <v>0.43</v>
      </c>
      <c r="E2720" t="s">
        <v>75</v>
      </c>
    </row>
    <row r="2721" spans="1:5" x14ac:dyDescent="0.25">
      <c r="A2721" t="str">
        <f>HYPERLINK("https://www.773grp.com/globalSearch/SMF54AT1/page-1", "SMF54AT1")</f>
        <v>SMF54AT1</v>
      </c>
      <c r="B2721" s="3" t="str">
        <f>HYPERLINK("https://www.773grp.com/manufacturer/onsemi?pageNo=24", "Onsemi")</f>
        <v>Onsemi</v>
      </c>
      <c r="C2721" s="6">
        <v>9000</v>
      </c>
      <c r="D2721" s="7">
        <v>0.43</v>
      </c>
      <c r="E2721" t="s">
        <v>75</v>
      </c>
    </row>
    <row r="2722" spans="1:5" x14ac:dyDescent="0.25">
      <c r="A2722" t="str">
        <f>HYPERLINK("https://www.773grp.com/globalSearch/SMF85AT1G/page-1", "SMF85AT1G")</f>
        <v>SMF85AT1G</v>
      </c>
      <c r="B2722" s="3" t="str">
        <f>HYPERLINK("https://www.773grp.com/manufacturer/onsemi?pageNo=25", "Onsemi")</f>
        <v>Onsemi</v>
      </c>
      <c r="C2722" s="6">
        <v>7730</v>
      </c>
      <c r="D2722" s="7">
        <v>0.43</v>
      </c>
      <c r="E2722" t="s">
        <v>75</v>
      </c>
    </row>
    <row r="2723" spans="1:5" x14ac:dyDescent="0.25">
      <c r="A2723" t="str">
        <f>HYPERLINK("https://www.773grp.com/globalSearch/SMF90AT1/page-1", "SMF90AT1")</f>
        <v>SMF90AT1</v>
      </c>
      <c r="B2723" s="3" t="str">
        <f>HYPERLINK("https://www.773grp.com/manufacturer/onsemi?pageNo=26", "Onsemi")</f>
        <v>Onsemi</v>
      </c>
      <c r="C2723" s="6">
        <v>5990</v>
      </c>
      <c r="D2723" s="7">
        <v>0.43</v>
      </c>
      <c r="E2723" t="s">
        <v>75</v>
      </c>
    </row>
    <row r="2724" spans="1:5" x14ac:dyDescent="0.25">
      <c r="A2724" t="str">
        <f>HYPERLINK("https://www.773grp.com/globalSearch/SMS05T1G/page-1", "SMS05T1G")</f>
        <v>SMS05T1G</v>
      </c>
      <c r="B2724" s="3" t="str">
        <f>HYPERLINK("https://www.773grp.com/manufacturer/onsemi?pageNo=27", "Onsemi")</f>
        <v>Onsemi</v>
      </c>
      <c r="C2724" s="6">
        <v>111000</v>
      </c>
      <c r="D2724" s="7">
        <v>0.43</v>
      </c>
    </row>
    <row r="2725" spans="1:5" x14ac:dyDescent="0.25">
      <c r="A2725" t="str">
        <f>HYPERLINK("https://www.773grp.com/globalSearch/SMS12CT1G/page-1", "SMS12CT1G")</f>
        <v>SMS12CT1G</v>
      </c>
      <c r="B2725" s="3" t="str">
        <f>HYPERLINK("https://www.773grp.com/manufacturer/onsemi?pageNo=28", "Onsemi")</f>
        <v>Onsemi</v>
      </c>
      <c r="C2725" s="6">
        <v>30000</v>
      </c>
      <c r="D2725" s="7">
        <v>0.43</v>
      </c>
      <c r="E2725" t="s">
        <v>75</v>
      </c>
    </row>
    <row r="2726" spans="1:5" x14ac:dyDescent="0.25">
      <c r="A2726" t="str">
        <f>HYPERLINK("https://www.773grp.com/globalSearch/SMS12T1G/page-1", "SMS12T1G")</f>
        <v>SMS12T1G</v>
      </c>
      <c r="B2726" s="3" t="str">
        <f>HYPERLINK("https://www.773grp.com/manufacturer/onsemi?pageNo=29", "Onsemi")</f>
        <v>Onsemi</v>
      </c>
      <c r="C2726" s="6">
        <v>6000</v>
      </c>
      <c r="D2726" s="7">
        <v>0.43</v>
      </c>
      <c r="E2726" t="s">
        <v>75</v>
      </c>
    </row>
    <row r="2727" spans="1:5" x14ac:dyDescent="0.25">
      <c r="A2727" t="str">
        <f>HYPERLINK("https://www.773grp.com/globalSearch/SMS15T1G/page-1", "SMS15T1G")</f>
        <v>SMS15T1G</v>
      </c>
      <c r="B2727" s="3" t="str">
        <f>HYPERLINK("https://www.773grp.com/manufacturer/onsemi?pageNo=30", "Onsemi")</f>
        <v>Onsemi</v>
      </c>
      <c r="C2727" s="6">
        <v>6000</v>
      </c>
      <c r="D2727" s="7">
        <v>0.43</v>
      </c>
    </row>
    <row r="2728" spans="1:5" x14ac:dyDescent="0.25">
      <c r="A2728" t="str">
        <f>HYPERLINK("https://www.773grp.com/globalSearch/SMS24CT1G/page-1", "SMS24CT1G")</f>
        <v>SMS24CT1G</v>
      </c>
      <c r="B2728" s="3" t="str">
        <f>HYPERLINK("https://www.773grp.com/manufacturer/onsemi?pageNo=31", "Onsemi")</f>
        <v>Onsemi</v>
      </c>
      <c r="C2728" s="6">
        <v>3000</v>
      </c>
      <c r="D2728" s="7">
        <v>0.43</v>
      </c>
      <c r="E2728" t="s">
        <v>75</v>
      </c>
    </row>
    <row r="2729" spans="1:5" x14ac:dyDescent="0.25">
      <c r="A2729" t="str">
        <f>HYPERLINK("https://www.773grp.com/globalSearch/SMS24T1G/page-1", "SMS24T1G")</f>
        <v>SMS24T1G</v>
      </c>
      <c r="B2729" s="3" t="str">
        <f>HYPERLINK("https://www.773grp.com/manufacturer/onsemi?pageNo=32", "Onsemi")</f>
        <v>Onsemi</v>
      </c>
      <c r="C2729" s="6">
        <v>33000</v>
      </c>
      <c r="D2729" s="7">
        <v>0.43</v>
      </c>
      <c r="E2729" t="s">
        <v>75</v>
      </c>
    </row>
    <row r="2730" spans="1:5" x14ac:dyDescent="0.25">
      <c r="A2730" t="str">
        <f>HYPERLINK("https://www.773grp.com/globalSearch/SSV1MUN5313DW1T1/page-1", "SSV1MUN5313DW1T1")</f>
        <v>SSV1MUN5313DW1T1</v>
      </c>
      <c r="B2730" s="3" t="str">
        <f>HYPERLINK("https://www.773grp.com/manufacturer/onsemi?pageNo=33", "Onsemi")</f>
        <v>Onsemi</v>
      </c>
      <c r="C2730" s="6">
        <v>120000</v>
      </c>
      <c r="D2730" s="7">
        <v>0.43</v>
      </c>
    </row>
    <row r="2731" spans="1:5" x14ac:dyDescent="0.25">
      <c r="A2731" t="str">
        <f>HYPERLINK("https://www.773grp.com/globalSearch/SURS8220T3G/page-1", "SURS8220T3G")</f>
        <v>SURS8220T3G</v>
      </c>
      <c r="B2731" s="3" t="str">
        <f>HYPERLINK("https://www.773grp.com/manufacturer/onsemi?pageNo=34", "Onsemi")</f>
        <v>Onsemi</v>
      </c>
      <c r="C2731" s="6">
        <v>5000</v>
      </c>
      <c r="D2731" s="7">
        <v>0.43</v>
      </c>
    </row>
    <row r="2732" spans="1:5" x14ac:dyDescent="0.25">
      <c r="A2732" t="str">
        <f>HYPERLINK("https://www.773grp.com/globalSearch/TG00721/page-1", "TG00721")</f>
        <v>TG00721</v>
      </c>
      <c r="B2732" s="3" t="str">
        <f>HYPERLINK("https://www.773grp.com/manufacturer/onsemi?pageNo=35", "Onsemi")</f>
        <v>Onsemi</v>
      </c>
      <c r="C2732" s="6">
        <v>52500</v>
      </c>
      <c r="D2732" s="7">
        <v>0.43</v>
      </c>
    </row>
    <row r="2733" spans="1:5" x14ac:dyDescent="0.25">
      <c r="A2733" t="str">
        <f>HYPERLINK("https://www.773grp.com/globalSearch/TL431ACDG/page-1", "TL431ACDG")</f>
        <v>TL431ACDG</v>
      </c>
      <c r="B2733" s="3" t="str">
        <f>HYPERLINK("https://www.773grp.com/manufacturer/onsemi?pageNo=36", "Onsemi")</f>
        <v>Onsemi</v>
      </c>
      <c r="C2733" s="6">
        <v>28364</v>
      </c>
      <c r="D2733" s="7">
        <v>0.43</v>
      </c>
      <c r="E2733" t="s">
        <v>13</v>
      </c>
    </row>
    <row r="2734" spans="1:5" x14ac:dyDescent="0.25">
      <c r="A2734" t="str">
        <f>HYPERLINK("https://www.773grp.com/globalSearch/TL431CLPG/page-1", "TL431CLPG")</f>
        <v>TL431CLPG</v>
      </c>
      <c r="B2734" s="3" t="str">
        <f>HYPERLINK("https://www.773grp.com/manufacturer/onsemi?pageNo=37", "Onsemi")</f>
        <v>Onsemi</v>
      </c>
      <c r="C2734" s="6">
        <v>52816</v>
      </c>
      <c r="D2734" s="7">
        <v>0.43</v>
      </c>
      <c r="E2734" t="s">
        <v>13</v>
      </c>
    </row>
    <row r="2735" spans="1:5" x14ac:dyDescent="0.25">
      <c r="A2735" t="str">
        <f>HYPERLINK("https://www.773grp.com/globalSearch/TL431CLPRAG/page-1", "TL431CLPRAG")</f>
        <v>TL431CLPRAG</v>
      </c>
      <c r="B2735" s="3" t="str">
        <f>HYPERLINK("https://www.773grp.com/manufacturer/onsemi?pageNo=38", "Onsemi")</f>
        <v>Onsemi</v>
      </c>
      <c r="C2735" s="6">
        <v>222000</v>
      </c>
      <c r="D2735" s="7">
        <v>0.43</v>
      </c>
      <c r="E2735" t="s">
        <v>13</v>
      </c>
    </row>
    <row r="2736" spans="1:5" x14ac:dyDescent="0.25">
      <c r="A2736" t="str">
        <f>HYPERLINK("https://www.773grp.com/globalSearch/TY30486/page-1", "TY30486")</f>
        <v>TY30486</v>
      </c>
      <c r="B2736" s="3" t="str">
        <f>HYPERLINK("https://www.773grp.com/manufacturer/onsemi?pageNo=39", "Onsemi")</f>
        <v>Onsemi</v>
      </c>
      <c r="C2736" s="6">
        <v>19800</v>
      </c>
      <c r="D2736" s="7">
        <v>0.43</v>
      </c>
    </row>
    <row r="2737" spans="1:5" x14ac:dyDescent="0.25">
      <c r="A2737" t="str">
        <f>HYPERLINK("https://www.773grp.com/globalSearch/UMA4NT1/page-1", "UMA4NT1")</f>
        <v>UMA4NT1</v>
      </c>
      <c r="B2737" s="3" t="str">
        <f>HYPERLINK("https://www.773grp.com/manufacturer/onsemi?pageNo=40", "Onsemi")</f>
        <v>Onsemi</v>
      </c>
      <c r="C2737" s="6">
        <v>6000</v>
      </c>
      <c r="D2737" s="7">
        <v>0.43</v>
      </c>
      <c r="E2737" t="s">
        <v>57</v>
      </c>
    </row>
    <row r="2738" spans="1:5" x14ac:dyDescent="0.25">
      <c r="A2738" t="str">
        <f>HYPERLINK("https://www.773grp.com/globalSearch/UMA4NT2/page-1", "UMA4NT2")</f>
        <v>UMA4NT2</v>
      </c>
      <c r="B2738" s="3" t="str">
        <f>HYPERLINK("https://www.773grp.com/manufacturer/onsemi?pageNo=41", "Onsemi")</f>
        <v>Onsemi</v>
      </c>
      <c r="C2738" s="6">
        <v>6000</v>
      </c>
      <c r="D2738" s="7">
        <v>0.43</v>
      </c>
    </row>
    <row r="2739" spans="1:5" x14ac:dyDescent="0.25">
      <c r="A2739" t="str">
        <f>HYPERLINK("https://www.773grp.com/globalSearch/VN2222LLRL/page-1", "VN2222LLRL")</f>
        <v>VN2222LLRL</v>
      </c>
      <c r="B2739" s="3" t="str">
        <f>HYPERLINK("https://www.773grp.com/manufacturer/onsemi?pageNo=42", "Onsemi")</f>
        <v>Onsemi</v>
      </c>
      <c r="C2739" s="6">
        <v>132000</v>
      </c>
      <c r="D2739" s="7">
        <v>0.43</v>
      </c>
      <c r="E2739" t="s">
        <v>85</v>
      </c>
    </row>
    <row r="2740" spans="1:5" x14ac:dyDescent="0.25">
      <c r="A2740" t="str">
        <f>HYPERLINK("https://www.773grp.com/globalSearch/VN2222LLRLRM/page-1", "VN2222LLRLRM")</f>
        <v>VN2222LLRLRM</v>
      </c>
      <c r="B2740" s="3" t="str">
        <f>HYPERLINK("https://www.773grp.com/manufacturer/onsemi?pageNo=43", "Onsemi")</f>
        <v>Onsemi</v>
      </c>
      <c r="C2740" s="6">
        <v>970</v>
      </c>
      <c r="D2740" s="7">
        <v>0.43</v>
      </c>
      <c r="E2740" t="s">
        <v>85</v>
      </c>
    </row>
    <row r="2741" spans="1:5" x14ac:dyDescent="0.25">
      <c r="A2741" t="str">
        <f>HYPERLINK("https://www.773grp.com/globalSearch/1N4743DRL/page-1", "1N4743DRL")</f>
        <v>1N4743DRL</v>
      </c>
      <c r="B2741" s="3" t="str">
        <f>HYPERLINK("https://www.773grp.com/manufacturer/onsemi?pageNo=44", "Onsemi")</f>
        <v>Onsemi</v>
      </c>
      <c r="C2741" s="6">
        <v>6000</v>
      </c>
      <c r="D2741" s="7">
        <v>0.48</v>
      </c>
      <c r="E2741" t="s">
        <v>77</v>
      </c>
    </row>
    <row r="2742" spans="1:5" x14ac:dyDescent="0.25">
      <c r="A2742" t="str">
        <f>HYPERLINK("https://www.773grp.com/globalSearch/1N5239C/page-1", "1N5239C")</f>
        <v>1N5239C</v>
      </c>
      <c r="B2742" s="3" t="str">
        <f>HYPERLINK("https://www.773grp.com/manufacturer/onsemi?pageNo=45", "Onsemi")</f>
        <v>Onsemi</v>
      </c>
      <c r="C2742" s="6">
        <v>19600</v>
      </c>
      <c r="D2742" s="7">
        <v>0.48</v>
      </c>
      <c r="E2742" t="s">
        <v>77</v>
      </c>
    </row>
    <row r="2743" spans="1:5" x14ac:dyDescent="0.25">
      <c r="A2743" t="str">
        <f>HYPERLINK("https://www.773grp.com/globalSearch/1N5917BRL/page-1", "1N5917BRL")</f>
        <v>1N5917BRL</v>
      </c>
      <c r="B2743" s="3" t="str">
        <f>HYPERLINK("https://www.773grp.com/manufacturer/onsemi?pageNo=46", "Onsemi")</f>
        <v>Onsemi</v>
      </c>
      <c r="C2743" s="6">
        <v>8500</v>
      </c>
      <c r="D2743" s="7">
        <v>0.48</v>
      </c>
      <c r="E2743" t="s">
        <v>77</v>
      </c>
    </row>
    <row r="2744" spans="1:5" x14ac:dyDescent="0.25">
      <c r="A2744" t="str">
        <f>HYPERLINK("https://www.773grp.com/globalSearch/1N5921B/page-1", "1N5921B")</f>
        <v>1N5921B</v>
      </c>
      <c r="B2744" s="3" t="str">
        <f>HYPERLINK("https://www.773grp.com/manufacturer/onsemi?pageNo=47", "Onsemi")</f>
        <v>Onsemi</v>
      </c>
      <c r="C2744" s="6">
        <v>6000</v>
      </c>
      <c r="D2744" s="7">
        <v>0.48</v>
      </c>
      <c r="E2744" t="s">
        <v>77</v>
      </c>
    </row>
    <row r="2745" spans="1:5" x14ac:dyDescent="0.25">
      <c r="A2745" t="str">
        <f>HYPERLINK("https://www.773grp.com/globalSearch/1N5926BG/page-1", "1N5926BG")</f>
        <v>1N5926BG</v>
      </c>
      <c r="B2745" s="3" t="str">
        <f>HYPERLINK("https://www.773grp.com/manufacturer/onsemi?pageNo=48", "Onsemi")</f>
        <v>Onsemi</v>
      </c>
      <c r="C2745" s="6">
        <v>7500</v>
      </c>
      <c r="D2745" s="7">
        <v>0.48</v>
      </c>
      <c r="E2745" t="s">
        <v>77</v>
      </c>
    </row>
    <row r="2746" spans="1:5" x14ac:dyDescent="0.25">
      <c r="A2746" t="str">
        <f>HYPERLINK("https://www.773grp.com/globalSearch/1N5930BRL/page-1", "1N5930BRL")</f>
        <v>1N5930BRL</v>
      </c>
      <c r="B2746" s="3" t="str">
        <f>HYPERLINK("https://www.773grp.com/manufacturer/onsemi?pageNo=49", "Onsemi")</f>
        <v>Onsemi</v>
      </c>
      <c r="C2746" s="6">
        <v>8500</v>
      </c>
      <c r="D2746" s="7">
        <v>0.48</v>
      </c>
      <c r="E2746" t="s">
        <v>77</v>
      </c>
    </row>
    <row r="2747" spans="1:5" x14ac:dyDescent="0.25">
      <c r="A2747" t="str">
        <f>HYPERLINK("https://www.773grp.com/globalSearch/1N5931BG/page-1", "1N5931BG")</f>
        <v>1N5931BG</v>
      </c>
      <c r="B2747" s="3" t="str">
        <f>HYPERLINK("https://www.773grp.com/manufacturer/onsemi?pageNo=50", "Onsemi")</f>
        <v>Onsemi</v>
      </c>
      <c r="C2747" s="6">
        <v>15571</v>
      </c>
      <c r="D2747" s="7">
        <v>0.48</v>
      </c>
      <c r="E2747" t="s">
        <v>77</v>
      </c>
    </row>
    <row r="2748" spans="1:5" x14ac:dyDescent="0.25">
      <c r="A2748" t="str">
        <f>HYPERLINK("https://www.773grp.com/globalSearch/1N5934B/page-1", "1N5934B")</f>
        <v>1N5934B</v>
      </c>
      <c r="B2748" s="3" t="str">
        <f>HYPERLINK("https://www.773grp.com/manufacturer/onsemi?pageNo=51", "Onsemi")</f>
        <v>Onsemi</v>
      </c>
      <c r="C2748" s="6">
        <v>22000</v>
      </c>
      <c r="D2748" s="7">
        <v>0.48</v>
      </c>
      <c r="E2748" t="s">
        <v>77</v>
      </c>
    </row>
    <row r="2749" spans="1:5" x14ac:dyDescent="0.25">
      <c r="A2749" t="str">
        <f>HYPERLINK("https://www.773grp.com/globalSearch/1N5935B/page-1", "1N5935B")</f>
        <v>1N5935B</v>
      </c>
      <c r="B2749" s="3" t="str">
        <f>HYPERLINK("https://www.773grp.com/manufacturer/onsemi?pageNo=52", "Onsemi")</f>
        <v>Onsemi</v>
      </c>
      <c r="C2749" s="6">
        <v>17</v>
      </c>
      <c r="D2749" s="7">
        <v>0.48</v>
      </c>
      <c r="E2749" t="s">
        <v>77</v>
      </c>
    </row>
    <row r="2750" spans="1:5" x14ac:dyDescent="0.25">
      <c r="A2750" t="str">
        <f>HYPERLINK("https://www.773grp.com/globalSearch/1N5935BG/page-1", "1N5935BG")</f>
        <v>1N5935BG</v>
      </c>
      <c r="B2750" s="3" t="str">
        <f>HYPERLINK("https://www.773grp.com/manufacturer/onsemi?pageNo=53", "Onsemi")</f>
        <v>Onsemi</v>
      </c>
      <c r="C2750" s="6">
        <v>12</v>
      </c>
      <c r="D2750" s="7">
        <v>0.48</v>
      </c>
      <c r="E2750" t="s">
        <v>77</v>
      </c>
    </row>
    <row r="2751" spans="1:5" x14ac:dyDescent="0.25">
      <c r="A2751" t="str">
        <f>HYPERLINK("https://www.773grp.com/globalSearch/1N5936BG/page-1", "1N5936BG")</f>
        <v>1N5936BG</v>
      </c>
      <c r="B2751" s="3" t="str">
        <f>HYPERLINK("https://www.773grp.com/manufacturer/onsemi?pageNo=54", "Onsemi")</f>
        <v>Onsemi</v>
      </c>
      <c r="C2751" s="6">
        <v>2128</v>
      </c>
      <c r="D2751" s="7">
        <v>0.48</v>
      </c>
      <c r="E2751" t="s">
        <v>77</v>
      </c>
    </row>
    <row r="2752" spans="1:5" x14ac:dyDescent="0.25">
      <c r="A2752" t="str">
        <f>HYPERLINK("https://www.773grp.com/globalSearch/1N5936BRL/page-1", "1N5936BRL")</f>
        <v>1N5936BRL</v>
      </c>
      <c r="B2752" s="3" t="str">
        <f>HYPERLINK("https://www.773grp.com/manufacturer/onsemi?pageNo=55", "Onsemi")</f>
        <v>Onsemi</v>
      </c>
      <c r="C2752" s="6">
        <v>4000</v>
      </c>
      <c r="D2752" s="7">
        <v>0.48</v>
      </c>
      <c r="E2752" t="s">
        <v>77</v>
      </c>
    </row>
    <row r="2753" spans="1:5" x14ac:dyDescent="0.25">
      <c r="A2753" t="str">
        <f>HYPERLINK("https://www.773grp.com/globalSearch/1N5938BG/page-1", "1N5938BG")</f>
        <v>1N5938BG</v>
      </c>
      <c r="B2753" s="3" t="str">
        <f>HYPERLINK("https://www.773grp.com/manufacturer/onsemi?pageNo=56", "Onsemi")</f>
        <v>Onsemi</v>
      </c>
      <c r="C2753" s="6">
        <v>3190</v>
      </c>
      <c r="D2753" s="7">
        <v>0.48</v>
      </c>
      <c r="E2753" t="s">
        <v>77</v>
      </c>
    </row>
    <row r="2754" spans="1:5" x14ac:dyDescent="0.25">
      <c r="A2754" t="str">
        <f>HYPERLINK("https://www.773grp.com/globalSearch/1N5943BRLG/page-1", "1N5943BRLG")</f>
        <v>1N5943BRLG</v>
      </c>
      <c r="B2754" s="3" t="str">
        <f>HYPERLINK("https://www.773grp.com/manufacturer/onsemi?pageNo=57", "Onsemi")</f>
        <v>Onsemi</v>
      </c>
      <c r="C2754" s="6">
        <v>1649</v>
      </c>
      <c r="D2754" s="7">
        <v>0.48</v>
      </c>
      <c r="E2754" t="s">
        <v>77</v>
      </c>
    </row>
    <row r="2755" spans="1:5" x14ac:dyDescent="0.25">
      <c r="A2755" t="str">
        <f>HYPERLINK("https://www.773grp.com/globalSearch/1N5946B/page-1", "1N5946B")</f>
        <v>1N5946B</v>
      </c>
      <c r="B2755" s="3" t="str">
        <f>HYPERLINK("https://www.773grp.com/manufacturer/onsemi?pageNo=58", "Onsemi")</f>
        <v>Onsemi</v>
      </c>
      <c r="C2755" s="6">
        <v>2000</v>
      </c>
      <c r="D2755" s="7">
        <v>0.48</v>
      </c>
      <c r="E2755" t="s">
        <v>77</v>
      </c>
    </row>
    <row r="2756" spans="1:5" x14ac:dyDescent="0.25">
      <c r="A2756" t="str">
        <f>HYPERLINK("https://www.773grp.com/globalSearch/1N5946BG/page-1", "1N5946BG")</f>
        <v>1N5946BG</v>
      </c>
      <c r="B2756" s="3" t="str">
        <f>HYPERLINK("https://www.773grp.com/manufacturer/onsemi?pageNo=59", "Onsemi")</f>
        <v>Onsemi</v>
      </c>
      <c r="C2756" s="6">
        <v>18000</v>
      </c>
      <c r="D2756" s="7">
        <v>0.48</v>
      </c>
      <c r="E2756" t="s">
        <v>77</v>
      </c>
    </row>
    <row r="2757" spans="1:5" x14ac:dyDescent="0.25">
      <c r="A2757" t="str">
        <f>HYPERLINK("https://www.773grp.com/globalSearch/1N5950BRLG/page-1", "1N5950BRLG")</f>
        <v>1N5950BRLG</v>
      </c>
      <c r="B2757" s="3" t="str">
        <f>HYPERLINK("https://www.773grp.com/manufacturer/onsemi?pageNo=60", "Onsemi")</f>
        <v>Onsemi</v>
      </c>
      <c r="C2757" s="6">
        <v>2200</v>
      </c>
      <c r="D2757" s="7">
        <v>0.48</v>
      </c>
      <c r="E2757" t="s">
        <v>77</v>
      </c>
    </row>
    <row r="2758" spans="1:5" x14ac:dyDescent="0.25">
      <c r="A2758" t="str">
        <f>HYPERLINK("https://www.773grp.com/globalSearch/1N5954BRLG/page-1", "1N5954BRLG")</f>
        <v>1N5954BRLG</v>
      </c>
      <c r="B2758" s="3" t="str">
        <f>HYPERLINK("https://www.773grp.com/manufacturer/onsemi?pageNo=61", "Onsemi")</f>
        <v>Onsemi</v>
      </c>
      <c r="C2758" s="6">
        <v>6000</v>
      </c>
      <c r="D2758" s="7">
        <v>0.48</v>
      </c>
      <c r="E2758" t="s">
        <v>77</v>
      </c>
    </row>
    <row r="2759" spans="1:5" x14ac:dyDescent="0.25">
      <c r="A2759" t="str">
        <f>HYPERLINK("https://www.773grp.com/globalSearch/1N5956B/page-1", "1N5956B")</f>
        <v>1N5956B</v>
      </c>
      <c r="B2759" s="3" t="str">
        <f>HYPERLINK("https://www.773grp.com/manufacturer/onsemi?pageNo=62", "Onsemi")</f>
        <v>Onsemi</v>
      </c>
      <c r="C2759" s="6">
        <v>17</v>
      </c>
      <c r="D2759" s="7">
        <v>0.48</v>
      </c>
      <c r="E2759" t="s">
        <v>77</v>
      </c>
    </row>
    <row r="2760" spans="1:5" x14ac:dyDescent="0.25">
      <c r="A2760" t="str">
        <f>HYPERLINK("https://www.773grp.com/globalSearch/1PMT51AT1/page-1", "1PMT51AT1")</f>
        <v>1PMT51AT1</v>
      </c>
      <c r="B2760" s="3" t="str">
        <f>HYPERLINK("https://www.773grp.com/manufacturer/onsemi?pageNo=63", "Onsemi")</f>
        <v>Onsemi</v>
      </c>
      <c r="C2760" s="6">
        <v>5807</v>
      </c>
      <c r="D2760" s="7">
        <v>0.48</v>
      </c>
      <c r="E2760" t="s">
        <v>75</v>
      </c>
    </row>
    <row r="2761" spans="1:5" x14ac:dyDescent="0.25">
      <c r="A2761" t="str">
        <f>HYPERLINK("https://www.773grp.com/globalSearch/1SMA60ATM/page-1", "1SMA60ATM")</f>
        <v>1SMA60ATM</v>
      </c>
      <c r="B2761" s="3" t="str">
        <f>HYPERLINK("https://www.773grp.com/manufacturer/onsemi?pageNo=64", "Onsemi")</f>
        <v>Onsemi</v>
      </c>
      <c r="C2761" s="6">
        <v>5000</v>
      </c>
      <c r="D2761" s="7">
        <v>0.48</v>
      </c>
    </row>
    <row r="2762" spans="1:5" x14ac:dyDescent="0.25">
      <c r="A2762" t="str">
        <f>HYPERLINK("https://www.773grp.com/globalSearch/1SMB10AT3/page-1", "1SMB10AT3")</f>
        <v>1SMB10AT3</v>
      </c>
      <c r="B2762" s="3" t="str">
        <f>HYPERLINK("https://www.773grp.com/manufacturer/onsemi?pageNo=65", "Onsemi")</f>
        <v>Onsemi</v>
      </c>
      <c r="C2762" s="6">
        <v>5000</v>
      </c>
      <c r="D2762" s="7">
        <v>0.48</v>
      </c>
      <c r="E2762" t="s">
        <v>75</v>
      </c>
    </row>
    <row r="2763" spans="1:5" x14ac:dyDescent="0.25">
      <c r="A2763" t="str">
        <f>HYPERLINK("https://www.773grp.com/globalSearch/1SMB12AT3/page-1", "1SMB12AT3")</f>
        <v>1SMB12AT3</v>
      </c>
      <c r="B2763" s="3" t="str">
        <f>HYPERLINK("https://www.773grp.com/manufacturer/onsemi?pageNo=66", "Onsemi")</f>
        <v>Onsemi</v>
      </c>
      <c r="C2763" s="6">
        <v>5000</v>
      </c>
      <c r="D2763" s="7">
        <v>0.48</v>
      </c>
      <c r="E2763" t="s">
        <v>75</v>
      </c>
    </row>
    <row r="2764" spans="1:5" x14ac:dyDescent="0.25">
      <c r="A2764" t="str">
        <f>HYPERLINK("https://www.773grp.com/globalSearch/1SMB13AT3/page-1", "1SMB13AT3")</f>
        <v>1SMB13AT3</v>
      </c>
      <c r="B2764" s="3" t="str">
        <f>HYPERLINK("https://www.773grp.com/manufacturer/onsemi?pageNo=67", "Onsemi")</f>
        <v>Onsemi</v>
      </c>
      <c r="C2764" s="6">
        <v>7255</v>
      </c>
      <c r="D2764" s="7">
        <v>0.48</v>
      </c>
      <c r="E2764" t="s">
        <v>75</v>
      </c>
    </row>
    <row r="2765" spans="1:5" x14ac:dyDescent="0.25">
      <c r="A2765" t="str">
        <f>HYPERLINK("https://www.773grp.com/globalSearch/1SMB16AT3/page-1", "1SMB16AT3")</f>
        <v>1SMB16AT3</v>
      </c>
      <c r="B2765" s="3" t="str">
        <f>HYPERLINK("https://www.773grp.com/manufacturer/onsemi?pageNo=68", "Onsemi")</f>
        <v>Onsemi</v>
      </c>
      <c r="C2765" s="6">
        <v>7500</v>
      </c>
      <c r="D2765" s="7">
        <v>0.48</v>
      </c>
      <c r="E2765" t="s">
        <v>75</v>
      </c>
    </row>
    <row r="2766" spans="1:5" x14ac:dyDescent="0.25">
      <c r="A2766" t="str">
        <f>HYPERLINK("https://www.773grp.com/globalSearch/1SMB170AT3/page-1", "1SMB170AT3")</f>
        <v>1SMB170AT3</v>
      </c>
      <c r="B2766" s="3" t="str">
        <f>HYPERLINK("https://www.773grp.com/manufacturer/onsemi?pageNo=69", "Onsemi")</f>
        <v>Onsemi</v>
      </c>
      <c r="C2766" s="6">
        <v>77500</v>
      </c>
      <c r="D2766" s="7">
        <v>0.48</v>
      </c>
      <c r="E2766" t="s">
        <v>75</v>
      </c>
    </row>
    <row r="2767" spans="1:5" x14ac:dyDescent="0.25">
      <c r="A2767" t="str">
        <f>HYPERLINK("https://www.773grp.com/globalSearch/1SMB18AT3/page-1", "1SMB18AT3")</f>
        <v>1SMB18AT3</v>
      </c>
      <c r="B2767" s="3" t="str">
        <f>HYPERLINK("https://www.773grp.com/manufacturer/onsemi?pageNo=70", "Onsemi")</f>
        <v>Onsemi</v>
      </c>
      <c r="C2767" s="6">
        <v>2500</v>
      </c>
      <c r="D2767" s="7">
        <v>0.48</v>
      </c>
      <c r="E2767" t="s">
        <v>75</v>
      </c>
    </row>
    <row r="2768" spans="1:5" x14ac:dyDescent="0.25">
      <c r="A2768" t="str">
        <f>HYPERLINK("https://www.773grp.com/globalSearch/1SMB28AT3/page-1", "1SMB28AT3")</f>
        <v>1SMB28AT3</v>
      </c>
      <c r="B2768" s="3" t="str">
        <f>HYPERLINK("https://www.773grp.com/manufacturer/onsemi?pageNo=71", "Onsemi")</f>
        <v>Onsemi</v>
      </c>
      <c r="C2768" s="6">
        <v>15000</v>
      </c>
      <c r="D2768" s="7">
        <v>0.48</v>
      </c>
      <c r="E2768" t="s">
        <v>75</v>
      </c>
    </row>
    <row r="2769" spans="1:5" x14ac:dyDescent="0.25">
      <c r="A2769" t="str">
        <f>HYPERLINK("https://www.773grp.com/globalSearch/1SMB54AT3/page-1", "1SMB54AT3")</f>
        <v>1SMB54AT3</v>
      </c>
      <c r="B2769" s="3" t="str">
        <f>HYPERLINK("https://www.773grp.com/manufacturer/onsemi?pageNo=72", "Onsemi")</f>
        <v>Onsemi</v>
      </c>
      <c r="C2769" s="6">
        <v>117500</v>
      </c>
      <c r="D2769" s="7">
        <v>0.48</v>
      </c>
      <c r="E2769" t="s">
        <v>75</v>
      </c>
    </row>
    <row r="2770" spans="1:5" x14ac:dyDescent="0.25">
      <c r="A2770" t="str">
        <f>HYPERLINK("https://www.773grp.com/globalSearch/1SMB58AT3/page-1", "1SMB58AT3")</f>
        <v>1SMB58AT3</v>
      </c>
      <c r="B2770" s="3" t="str">
        <f>HYPERLINK("https://www.773grp.com/manufacturer/onsemi?pageNo=73", "Onsemi")</f>
        <v>Onsemi</v>
      </c>
      <c r="C2770" s="6">
        <v>40492</v>
      </c>
      <c r="D2770" s="7">
        <v>0.48</v>
      </c>
      <c r="E2770" t="s">
        <v>75</v>
      </c>
    </row>
    <row r="2771" spans="1:5" x14ac:dyDescent="0.25">
      <c r="A2771" t="str">
        <f>HYPERLINK("https://www.773grp.com/globalSearch/1SMB5931BT3/page-1", "1SMB5931BT3")</f>
        <v>1SMB5931BT3</v>
      </c>
      <c r="B2771" s="3" t="str">
        <f>HYPERLINK("https://www.773grp.com/manufacturer/onsemi?pageNo=74", "Onsemi")</f>
        <v>Onsemi</v>
      </c>
      <c r="C2771" s="6">
        <v>10000</v>
      </c>
      <c r="D2771" s="7">
        <v>0.48</v>
      </c>
      <c r="E2771" t="s">
        <v>77</v>
      </c>
    </row>
    <row r="2772" spans="1:5" x14ac:dyDescent="0.25">
      <c r="A2772" t="str">
        <f>HYPERLINK("https://www.773grp.com/globalSearch/1SMB5932BT3/page-1", "1SMB5932BT3")</f>
        <v>1SMB5932BT3</v>
      </c>
      <c r="B2772" s="3" t="str">
        <f>HYPERLINK("https://www.773grp.com/manufacturer/onsemi?pageNo=75", "Onsemi")</f>
        <v>Onsemi</v>
      </c>
      <c r="C2772" s="6">
        <v>7500</v>
      </c>
      <c r="D2772" s="7">
        <v>0.48</v>
      </c>
      <c r="E2772" t="s">
        <v>77</v>
      </c>
    </row>
    <row r="2773" spans="1:5" x14ac:dyDescent="0.25">
      <c r="A2773" t="str">
        <f>HYPERLINK("https://www.773grp.com/globalSearch/1SMB5940BT3/page-1", "1SMB5940BT3")</f>
        <v>1SMB5940BT3</v>
      </c>
      <c r="B2773" s="3" t="str">
        <f>HYPERLINK("https://www.773grp.com/manufacturer/onsemi?pageNo=76", "Onsemi")</f>
        <v>Onsemi</v>
      </c>
      <c r="C2773" s="6">
        <v>10000</v>
      </c>
      <c r="D2773" s="7">
        <v>0.48</v>
      </c>
      <c r="E2773" t="s">
        <v>77</v>
      </c>
    </row>
    <row r="2774" spans="1:5" x14ac:dyDescent="0.25">
      <c r="A2774" t="str">
        <f>HYPERLINK("https://www.773grp.com/globalSearch/1SMB5942BT3/page-1", "1SMB5942BT3")</f>
        <v>1SMB5942BT3</v>
      </c>
      <c r="B2774" s="3" t="str">
        <f>HYPERLINK("https://www.773grp.com/manufacturer/onsemi?pageNo=77", "Onsemi")</f>
        <v>Onsemi</v>
      </c>
      <c r="C2774" s="6">
        <v>15000</v>
      </c>
      <c r="D2774" s="7">
        <v>0.48</v>
      </c>
      <c r="E2774" t="s">
        <v>77</v>
      </c>
    </row>
    <row r="2775" spans="1:5" x14ac:dyDescent="0.25">
      <c r="A2775" t="str">
        <f>HYPERLINK("https://www.773grp.com/globalSearch/1SMB5949BT3/page-1", "1SMB5949BT3")</f>
        <v>1SMB5949BT3</v>
      </c>
      <c r="B2775" s="3" t="str">
        <f>HYPERLINK("https://www.773grp.com/manufacturer/onsemi?pageNo=78", "Onsemi")</f>
        <v>Onsemi</v>
      </c>
      <c r="C2775" s="6">
        <v>4115</v>
      </c>
      <c r="D2775" s="7">
        <v>0.48</v>
      </c>
      <c r="E2775" t="s">
        <v>77</v>
      </c>
    </row>
    <row r="2776" spans="1:5" x14ac:dyDescent="0.25">
      <c r="A2776" t="str">
        <f>HYPERLINK("https://www.773grp.com/globalSearch/1SMB5955BT3/page-1", "1SMB5955BT3")</f>
        <v>1SMB5955BT3</v>
      </c>
      <c r="B2776" s="3" t="str">
        <f>HYPERLINK("https://www.773grp.com/manufacturer/onsemi?pageNo=79", "Onsemi")</f>
        <v>Onsemi</v>
      </c>
      <c r="C2776" s="6">
        <v>22500</v>
      </c>
      <c r="D2776" s="7">
        <v>0.48</v>
      </c>
      <c r="E2776" t="s">
        <v>77</v>
      </c>
    </row>
    <row r="2777" spans="1:5" x14ac:dyDescent="0.25">
      <c r="A2777" t="str">
        <f>HYPERLINK("https://www.773grp.com/globalSearch/1SMB6.0AT3/page-1", "1SMB6.0AT3")</f>
        <v>1SMB6.0AT3</v>
      </c>
      <c r="B2777" s="3" t="str">
        <f>HYPERLINK("https://www.773grp.com/manufacturer/onsemi?pageNo=80", "Onsemi")</f>
        <v>Onsemi</v>
      </c>
      <c r="C2777" s="6">
        <v>5000</v>
      </c>
      <c r="D2777" s="7">
        <v>0.48</v>
      </c>
      <c r="E2777" t="s">
        <v>75</v>
      </c>
    </row>
    <row r="2778" spans="1:5" x14ac:dyDescent="0.25">
      <c r="A2778" t="str">
        <f>HYPERLINK("https://www.773grp.com/globalSearch/1SMB75AT3/page-1", "1SMB75AT3")</f>
        <v>1SMB75AT3</v>
      </c>
      <c r="B2778" s="3" t="str">
        <f>HYPERLINK("https://www.773grp.com/manufacturer/onsemi?pageNo=81", "Onsemi")</f>
        <v>Onsemi</v>
      </c>
      <c r="C2778" s="6">
        <v>5000</v>
      </c>
      <c r="D2778" s="7">
        <v>0.48</v>
      </c>
      <c r="E2778" t="s">
        <v>75</v>
      </c>
    </row>
    <row r="2779" spans="1:5" x14ac:dyDescent="0.25">
      <c r="A2779" t="str">
        <f>HYPERLINK("https://www.773grp.com/globalSearch/1SMB9.0AT3/page-1", "1SMB9.0AT3")</f>
        <v>1SMB9.0AT3</v>
      </c>
      <c r="B2779" s="3" t="str">
        <f>HYPERLINK("https://www.773grp.com/manufacturer/onsemi?pageNo=82", "Onsemi")</f>
        <v>Onsemi</v>
      </c>
      <c r="C2779" s="6">
        <v>2500</v>
      </c>
      <c r="D2779" s="7">
        <v>0.48</v>
      </c>
      <c r="E2779" t="s">
        <v>75</v>
      </c>
    </row>
    <row r="2780" spans="1:5" x14ac:dyDescent="0.25">
      <c r="A2780" t="str">
        <f>HYPERLINK("https://www.773grp.com/globalSearch/1SMBT7.0AT3G/page-1", "1SMBT7.0AT3G")</f>
        <v>1SMBT7.0AT3G</v>
      </c>
      <c r="B2780" s="3" t="str">
        <f>HYPERLINK("https://www.773grp.com/manufacturer/onsemi?pageNo=83", "Onsemi")</f>
        <v>Onsemi</v>
      </c>
      <c r="C2780" s="6">
        <v>1000</v>
      </c>
      <c r="D2780" s="7">
        <v>0.48</v>
      </c>
    </row>
    <row r="2781" spans="1:5" x14ac:dyDescent="0.25">
      <c r="A2781" t="str">
        <f>HYPERLINK("https://www.773grp.com/globalSearch/2N4124G/page-1", "2N4124G")</f>
        <v>2N4124G</v>
      </c>
      <c r="B2781" s="3" t="str">
        <f>HYPERLINK("https://www.773grp.com/manufacturer/onsemi?pageNo=84", "Onsemi")</f>
        <v>Onsemi</v>
      </c>
      <c r="C2781" s="6">
        <v>114891</v>
      </c>
      <c r="D2781" s="7">
        <v>0.48</v>
      </c>
      <c r="E2781" t="s">
        <v>57</v>
      </c>
    </row>
    <row r="2782" spans="1:5" x14ac:dyDescent="0.25">
      <c r="A2782" t="str">
        <f>HYPERLINK("https://www.773grp.com/globalSearch/2N5460G/page-1", "2N5460G")</f>
        <v>2N5460G</v>
      </c>
      <c r="B2782" s="3" t="str">
        <f>HYPERLINK("https://www.773grp.com/manufacturer/onsemi?pageNo=85", "Onsemi")</f>
        <v>Onsemi</v>
      </c>
      <c r="C2782" s="6">
        <v>1342</v>
      </c>
      <c r="D2782" s="7">
        <v>0.48</v>
      </c>
      <c r="E2782" t="s">
        <v>85</v>
      </c>
    </row>
    <row r="2783" spans="1:5" x14ac:dyDescent="0.25">
      <c r="A2783" t="str">
        <f>HYPERLINK("https://www.773grp.com/globalSearch/2N5486G/page-1", "2N5486G")</f>
        <v>2N5486G</v>
      </c>
      <c r="B2783" s="3" t="str">
        <f>HYPERLINK("https://www.773grp.com/manufacturer/onsemi?pageNo=86", "Onsemi")</f>
        <v>Onsemi</v>
      </c>
      <c r="C2783" s="6">
        <v>39554</v>
      </c>
      <c r="D2783" s="7">
        <v>0.48</v>
      </c>
      <c r="E2783" t="s">
        <v>83</v>
      </c>
    </row>
    <row r="2784" spans="1:5" x14ac:dyDescent="0.25">
      <c r="A2784" t="str">
        <f>HYPERLINK("https://www.773grp.com/globalSearch/2N5638RLRA/page-1", "2N5638RLRA")</f>
        <v>2N5638RLRA</v>
      </c>
      <c r="B2784" s="3" t="str">
        <f>HYPERLINK("https://www.773grp.com/manufacturer/onsemi?pageNo=87", "Onsemi")</f>
        <v>Onsemi</v>
      </c>
      <c r="C2784" s="6">
        <v>4000</v>
      </c>
      <c r="D2784" s="7">
        <v>0.48</v>
      </c>
      <c r="E2784" t="s">
        <v>85</v>
      </c>
    </row>
    <row r="2785" spans="1:5" x14ac:dyDescent="0.25">
      <c r="A2785" t="str">
        <f>HYPERLINK("https://www.773grp.com/globalSearch/2N5638RLRAG/page-1", "2N5638RLRAG")</f>
        <v>2N5638RLRAG</v>
      </c>
      <c r="B2785" s="3" t="str">
        <f>HYPERLINK("https://www.773grp.com/manufacturer/onsemi?pageNo=88", "Onsemi")</f>
        <v>Onsemi</v>
      </c>
      <c r="C2785" s="6">
        <v>18000</v>
      </c>
      <c r="D2785" s="7">
        <v>0.48</v>
      </c>
      <c r="E2785" t="s">
        <v>85</v>
      </c>
    </row>
    <row r="2786" spans="1:5" x14ac:dyDescent="0.25">
      <c r="A2786" t="str">
        <f>HYPERLINK("https://www.773grp.com/globalSearch/2N5639G/page-1", "2N5639G")</f>
        <v>2N5639G</v>
      </c>
      <c r="B2786" s="3" t="str">
        <f>HYPERLINK("https://www.773grp.com/manufacturer/onsemi?pageNo=89", "Onsemi")</f>
        <v>Onsemi</v>
      </c>
      <c r="C2786" s="6">
        <v>5000</v>
      </c>
      <c r="D2786" s="7">
        <v>0.48</v>
      </c>
      <c r="E2786" t="s">
        <v>85</v>
      </c>
    </row>
    <row r="2787" spans="1:5" x14ac:dyDescent="0.25">
      <c r="A2787" t="str">
        <f>HYPERLINK("https://www.773grp.com/globalSearch/2N5639RLRA/page-1", "2N5639RLRA")</f>
        <v>2N5639RLRA</v>
      </c>
      <c r="B2787" s="3" t="str">
        <f>HYPERLINK("https://www.773grp.com/manufacturer/onsemi?pageNo=90", "Onsemi")</f>
        <v>Onsemi</v>
      </c>
      <c r="C2787" s="6">
        <v>22000</v>
      </c>
      <c r="D2787" s="7">
        <v>0.48</v>
      </c>
      <c r="E2787" t="s">
        <v>85</v>
      </c>
    </row>
    <row r="2788" spans="1:5" x14ac:dyDescent="0.25">
      <c r="A2788" t="str">
        <f>HYPERLINK("https://www.773grp.com/globalSearch/2N5639RLRAG/page-1", "2N5639RLRAG")</f>
        <v>2N5639RLRAG</v>
      </c>
      <c r="B2788" s="3" t="str">
        <f>HYPERLINK("https://www.773grp.com/manufacturer/onsemi?pageNo=91", "Onsemi")</f>
        <v>Onsemi</v>
      </c>
      <c r="C2788" s="6">
        <v>26000</v>
      </c>
      <c r="D2788" s="7">
        <v>0.48</v>
      </c>
      <c r="E2788" t="s">
        <v>85</v>
      </c>
    </row>
    <row r="2789" spans="1:5" x14ac:dyDescent="0.25">
      <c r="A2789" t="str">
        <f>HYPERLINK("https://www.773grp.com/globalSearch/2N5655/page-1", "2N5655")</f>
        <v>2N5655</v>
      </c>
      <c r="B2789" s="3" t="str">
        <f>HYPERLINK("https://www.773grp.com/manufacturer/onsemi?pageNo=92", "Onsemi")</f>
        <v>Onsemi</v>
      </c>
      <c r="C2789" s="6">
        <v>17205</v>
      </c>
      <c r="D2789" s="7">
        <v>0.48</v>
      </c>
      <c r="E2789" t="s">
        <v>47</v>
      </c>
    </row>
    <row r="2790" spans="1:5" x14ac:dyDescent="0.25">
      <c r="A2790" t="str">
        <f>HYPERLINK("https://www.773grp.com/globalSearch/2N6070A/page-1", "2N6070A")</f>
        <v>2N6070A</v>
      </c>
      <c r="B2790" s="3" t="str">
        <f>HYPERLINK("https://www.773grp.com/manufacturer/onsemi?pageNo=93", "Onsemi")</f>
        <v>Onsemi</v>
      </c>
      <c r="C2790" s="6">
        <v>500</v>
      </c>
      <c r="D2790" s="7">
        <v>0.48</v>
      </c>
      <c r="E2790" t="s">
        <v>81</v>
      </c>
    </row>
    <row r="2791" spans="1:5" x14ac:dyDescent="0.25">
      <c r="A2791" t="str">
        <f>HYPERLINK("https://www.773grp.com/globalSearch/2N6071A/page-1", "2N6071A")</f>
        <v>2N6071A</v>
      </c>
      <c r="B2791" s="3" t="str">
        <f>HYPERLINK("https://www.773grp.com/manufacturer/onsemi?pageNo=94", "Onsemi")</f>
        <v>Onsemi</v>
      </c>
      <c r="C2791" s="6">
        <v>1185852</v>
      </c>
      <c r="D2791" s="7">
        <v>0.48</v>
      </c>
      <c r="E2791" t="s">
        <v>81</v>
      </c>
    </row>
    <row r="2792" spans="1:5" x14ac:dyDescent="0.25">
      <c r="A2792" t="str">
        <f>HYPERLINK("https://www.773grp.com/globalSearch/2N6073A/page-1", "2N6073A")</f>
        <v>2N6073A</v>
      </c>
      <c r="B2792" s="3" t="str">
        <f>HYPERLINK("https://www.773grp.com/manufacturer/onsemi?pageNo=95", "Onsemi")</f>
        <v>Onsemi</v>
      </c>
      <c r="C2792" s="6">
        <v>1780316</v>
      </c>
      <c r="D2792" s="7">
        <v>0.48</v>
      </c>
      <c r="E2792" t="s">
        <v>81</v>
      </c>
    </row>
    <row r="2793" spans="1:5" x14ac:dyDescent="0.25">
      <c r="A2793" t="str">
        <f>HYPERLINK("https://www.773grp.com/globalSearch/3EZ10D5G/page-1", "3EZ10D5G")</f>
        <v>3EZ10D5G</v>
      </c>
      <c r="B2793" s="3" t="str">
        <f>HYPERLINK("https://www.773grp.com/manufacturer/onsemi?pageNo=96", "Onsemi")</f>
        <v>Onsemi</v>
      </c>
      <c r="C2793" s="6">
        <v>1045</v>
      </c>
      <c r="D2793" s="7">
        <v>0.48</v>
      </c>
    </row>
    <row r="2794" spans="1:5" x14ac:dyDescent="0.25">
      <c r="A2794" t="str">
        <f>HYPERLINK("https://www.773grp.com/globalSearch/3EZ13D5/page-1", "3EZ13D5")</f>
        <v>3EZ13D5</v>
      </c>
      <c r="B2794" s="3" t="str">
        <f>HYPERLINK("https://www.773grp.com/manufacturer/onsemi?pageNo=97", "Onsemi")</f>
        <v>Onsemi</v>
      </c>
      <c r="C2794" s="6">
        <v>4000</v>
      </c>
      <c r="D2794" s="7">
        <v>0.48</v>
      </c>
      <c r="E2794" t="s">
        <v>77</v>
      </c>
    </row>
    <row r="2795" spans="1:5" x14ac:dyDescent="0.25">
      <c r="A2795" t="str">
        <f>HYPERLINK("https://www.773grp.com/globalSearch/3EZ15D5RL/page-1", "3EZ15D5RL")</f>
        <v>3EZ15D5RL</v>
      </c>
      <c r="B2795" s="3" t="str">
        <f>HYPERLINK("https://www.773grp.com/manufacturer/onsemi?pageNo=98", "Onsemi")</f>
        <v>Onsemi</v>
      </c>
      <c r="C2795" s="6">
        <v>3915</v>
      </c>
      <c r="D2795" s="7">
        <v>0.48</v>
      </c>
      <c r="E2795" t="s">
        <v>77</v>
      </c>
    </row>
    <row r="2796" spans="1:5" x14ac:dyDescent="0.25">
      <c r="A2796" t="str">
        <f>HYPERLINK("https://www.773grp.com/globalSearch/3EZ16D5/page-1", "3EZ16D5")</f>
        <v>3EZ16D5</v>
      </c>
      <c r="B2796" s="3" t="str">
        <f>HYPERLINK("https://www.773grp.com/manufacturer/onsemi?pageNo=99", "Onsemi")</f>
        <v>Onsemi</v>
      </c>
      <c r="C2796" s="6">
        <v>6607</v>
      </c>
      <c r="D2796" s="7">
        <v>0.48</v>
      </c>
      <c r="E2796" t="s">
        <v>77</v>
      </c>
    </row>
    <row r="2797" spans="1:5" x14ac:dyDescent="0.25">
      <c r="A2797" t="str">
        <f>HYPERLINK("https://www.773grp.com/globalSearch/3EZ24D5RL/page-1", "3EZ24D5RL")</f>
        <v>3EZ24D5RL</v>
      </c>
      <c r="B2797" s="3" t="str">
        <f>HYPERLINK("https://www.773grp.com/manufacturer/onsemi?pageNo=100", "Onsemi")</f>
        <v>Onsemi</v>
      </c>
      <c r="C2797" s="6">
        <v>36000</v>
      </c>
      <c r="D2797" s="7">
        <v>0.48</v>
      </c>
      <c r="E2797" t="s">
        <v>77</v>
      </c>
    </row>
    <row r="2798" spans="1:5" x14ac:dyDescent="0.25">
      <c r="A2798" t="str">
        <f>HYPERLINK("https://www.773grp.com/globalSearch/3EZ24D5RLG/page-1", "3EZ24D5RLG")</f>
        <v>3EZ24D5RLG</v>
      </c>
      <c r="B2798" s="3" t="str">
        <f>HYPERLINK("https://www.773grp.com/manufacturer/onsemi?pageNo=101", "Onsemi")</f>
        <v>Onsemi</v>
      </c>
      <c r="C2798" s="6">
        <v>6000</v>
      </c>
      <c r="D2798" s="7">
        <v>0.48</v>
      </c>
    </row>
    <row r="2799" spans="1:5" x14ac:dyDescent="0.25">
      <c r="A2799" t="str">
        <f>HYPERLINK("https://www.773grp.com/globalSearch/3EZ36D5RL/page-1", "3EZ36D5RL")</f>
        <v>3EZ36D5RL</v>
      </c>
      <c r="B2799" s="3" t="str">
        <f>HYPERLINK("https://www.773grp.com/manufacturer/onsemi?pageNo=102", "Onsemi")</f>
        <v>Onsemi</v>
      </c>
      <c r="C2799" s="6">
        <v>5900</v>
      </c>
      <c r="D2799" s="7">
        <v>0.48</v>
      </c>
      <c r="E2799" t="s">
        <v>77</v>
      </c>
    </row>
    <row r="2800" spans="1:5" x14ac:dyDescent="0.25">
      <c r="A2800" t="str">
        <f>HYPERLINK("https://www.773grp.com/globalSearch/3EZ36D5RLG/page-1", "3EZ36D5RLG")</f>
        <v>3EZ36D5RLG</v>
      </c>
      <c r="B2800" s="3" t="str">
        <f>HYPERLINK("https://www.773grp.com/manufacturer/onsemi?pageNo=103", "Onsemi")</f>
        <v>Onsemi</v>
      </c>
      <c r="C2800" s="6">
        <v>12000</v>
      </c>
      <c r="D2800" s="7">
        <v>0.48</v>
      </c>
    </row>
    <row r="2801" spans="1:5" x14ac:dyDescent="0.25">
      <c r="A2801" t="str">
        <f>HYPERLINK("https://www.773grp.com/globalSearch/3EZ4.3D5RLG/page-1", "3EZ4.3D5RLG")</f>
        <v>3EZ4.3D5RLG</v>
      </c>
      <c r="B2801" s="3" t="str">
        <f>HYPERLINK("https://www.773grp.com/manufacturer/onsemi?pageNo=104", "Onsemi")</f>
        <v>Onsemi</v>
      </c>
      <c r="C2801" s="6">
        <v>6000</v>
      </c>
      <c r="D2801" s="7">
        <v>0.48</v>
      </c>
    </row>
    <row r="2802" spans="1:5" x14ac:dyDescent="0.25">
      <c r="A2802" t="str">
        <f>HYPERLINK("https://www.773grp.com/globalSearch/74HC595DG/page-1", "74HC595DG")</f>
        <v>74HC595DG</v>
      </c>
      <c r="B2802" s="3" t="str">
        <f>HYPERLINK("https://www.773grp.com/manufacturer/onsemi?pageNo=105", "Onsemi")</f>
        <v>Onsemi</v>
      </c>
      <c r="C2802" s="6">
        <v>18997</v>
      </c>
      <c r="D2802" s="7">
        <v>0.48</v>
      </c>
    </row>
    <row r="2803" spans="1:5" x14ac:dyDescent="0.25">
      <c r="A2803" t="str">
        <f>HYPERLINK("https://www.773grp.com/globalSearch/74HC595DR2G/page-1", "74HC595DR2G")</f>
        <v>74HC595DR2G</v>
      </c>
      <c r="B2803" s="3" t="str">
        <f>HYPERLINK("https://www.773grp.com/manufacturer/onsemi?pageNo=106", "Onsemi")</f>
        <v>Onsemi</v>
      </c>
      <c r="C2803" s="6">
        <v>51500</v>
      </c>
      <c r="D2803" s="7">
        <v>0.48</v>
      </c>
      <c r="E2803" t="s">
        <v>28</v>
      </c>
    </row>
    <row r="2804" spans="1:5" x14ac:dyDescent="0.25">
      <c r="A2804" t="str">
        <f>HYPERLINK("https://www.773grp.com/globalSearch/74HC595DTR2G/page-1", "74HC595DTR2G")</f>
        <v>74HC595DTR2G</v>
      </c>
      <c r="B2804" s="3" t="str">
        <f>HYPERLINK("https://www.773grp.com/manufacturer/onsemi?pageNo=107", "Onsemi")</f>
        <v>Onsemi</v>
      </c>
      <c r="C2804" s="6">
        <v>11875</v>
      </c>
      <c r="D2804" s="7">
        <v>0.48</v>
      </c>
    </row>
    <row r="2805" spans="1:5" x14ac:dyDescent="0.25">
      <c r="A2805" t="str">
        <f>HYPERLINK("https://www.773grp.com/globalSearch/7SB3125BMX1TCG/page-1", "7SB3125BMX1TCG")</f>
        <v>7SB3125BMX1TCG</v>
      </c>
      <c r="B2805" s="3" t="str">
        <f>HYPERLINK("https://www.773grp.com/manufacturer/onsemi?pageNo=108", "Onsemi")</f>
        <v>Onsemi</v>
      </c>
      <c r="C2805" s="6">
        <v>6000</v>
      </c>
      <c r="D2805" s="7">
        <v>0.48</v>
      </c>
      <c r="E2805" t="s">
        <v>11</v>
      </c>
    </row>
    <row r="2806" spans="1:5" x14ac:dyDescent="0.25">
      <c r="A2806" t="str">
        <f>HYPERLINK("https://www.773grp.com/globalSearch/7SB3126CMX1TCG/page-1", "7SB3126CMX1TCG")</f>
        <v>7SB3126CMX1TCG</v>
      </c>
      <c r="B2806" s="3" t="str">
        <f>HYPERLINK("https://www.773grp.com/manufacturer/onsemi?pageNo=109", "Onsemi")</f>
        <v>Onsemi</v>
      </c>
      <c r="C2806" s="6">
        <v>3000</v>
      </c>
      <c r="D2806" s="7">
        <v>0.48</v>
      </c>
      <c r="E2806" t="s">
        <v>11</v>
      </c>
    </row>
    <row r="2807" spans="1:5" x14ac:dyDescent="0.25">
      <c r="A2807" t="str">
        <f>HYPERLINK("https://www.773grp.com/globalSearch/7SB3126MUTCG/page-1", "7SB3126MUTCG")</f>
        <v>7SB3126MUTCG</v>
      </c>
      <c r="B2807" s="3" t="str">
        <f>HYPERLINK("https://www.773grp.com/manufacturer/onsemi?pageNo=110", "Onsemi")</f>
        <v>Onsemi</v>
      </c>
      <c r="C2807" s="6">
        <v>3000</v>
      </c>
      <c r="D2807" s="7">
        <v>0.48</v>
      </c>
      <c r="E2807" t="s">
        <v>11</v>
      </c>
    </row>
    <row r="2808" spans="1:5" x14ac:dyDescent="0.25">
      <c r="A2808" t="str">
        <f>HYPERLINK("https://www.773grp.com/globalSearch/7SB3257BMX1TCG/page-1", "7SB3257BMX1TCG")</f>
        <v>7SB3257BMX1TCG</v>
      </c>
      <c r="B2808" s="3" t="str">
        <f>HYPERLINK("https://www.773grp.com/manufacturer/onsemi?pageNo=111", "Onsemi")</f>
        <v>Onsemi</v>
      </c>
      <c r="C2808" s="6">
        <v>144000</v>
      </c>
      <c r="D2808" s="7">
        <v>0.48</v>
      </c>
    </row>
    <row r="2809" spans="1:5" x14ac:dyDescent="0.25">
      <c r="A2809" t="str">
        <f>HYPERLINK("https://www.773grp.com/globalSearch/7SB3257MUTCG/page-1", "7SB3257MUTCG")</f>
        <v>7SB3257MUTCG</v>
      </c>
      <c r="B2809" s="3" t="str">
        <f>HYPERLINK("https://www.773grp.com/manufacturer/onsemi?pageNo=112", "Onsemi")</f>
        <v>Onsemi</v>
      </c>
      <c r="C2809" s="6">
        <v>75000</v>
      </c>
      <c r="D2809" s="7">
        <v>0.48</v>
      </c>
    </row>
    <row r="2810" spans="1:5" x14ac:dyDescent="0.25">
      <c r="A2810" t="str">
        <f>HYPERLINK("https://www.773grp.com/globalSearch/7SB384BMX1TCG/page-1", "7SB384BMX1TCG")</f>
        <v>7SB384BMX1TCG</v>
      </c>
      <c r="B2810" s="3" t="str">
        <f>HYPERLINK("https://www.773grp.com/manufacturer/onsemi?pageNo=113", "Onsemi")</f>
        <v>Onsemi</v>
      </c>
      <c r="C2810" s="6">
        <v>3000</v>
      </c>
      <c r="D2810" s="7">
        <v>0.48</v>
      </c>
      <c r="E2810" t="s">
        <v>11</v>
      </c>
    </row>
    <row r="2811" spans="1:5" x14ac:dyDescent="0.25">
      <c r="A2811" t="str">
        <f>HYPERLINK("https://www.773grp.com/globalSearch/7SB385AMX1TCG/page-1", "7SB385AMX1TCG")</f>
        <v>7SB385AMX1TCG</v>
      </c>
      <c r="B2811" s="3" t="str">
        <f>HYPERLINK("https://www.773grp.com/manufacturer/onsemi?pageNo=114", "Onsemi")</f>
        <v>Onsemi</v>
      </c>
      <c r="C2811" s="6">
        <v>6000</v>
      </c>
      <c r="D2811" s="7">
        <v>0.48</v>
      </c>
    </row>
    <row r="2812" spans="1:5" x14ac:dyDescent="0.25">
      <c r="A2812" t="str">
        <f>HYPERLINK("https://www.773grp.com/globalSearch/7SB385BMX1TCG/page-1", "7SB385BMX1TCG")</f>
        <v>7SB385BMX1TCG</v>
      </c>
      <c r="B2812" s="3" t="str">
        <f>HYPERLINK("https://www.773grp.com/manufacturer/onsemi?pageNo=115", "Onsemi")</f>
        <v>Onsemi</v>
      </c>
      <c r="C2812" s="6">
        <v>3000</v>
      </c>
      <c r="D2812" s="7">
        <v>0.48</v>
      </c>
      <c r="E2812" t="s">
        <v>11</v>
      </c>
    </row>
    <row r="2813" spans="1:5" x14ac:dyDescent="0.25">
      <c r="A2813" t="str">
        <f>HYPERLINK("https://www.773grp.com/globalSearch/BC327/page-1", "BC327")</f>
        <v>BC327</v>
      </c>
      <c r="B2813" s="3" t="str">
        <f>HYPERLINK("https://www.773grp.com/manufacturer/onsemi?pageNo=116", "Onsemi")</f>
        <v>Onsemi</v>
      </c>
      <c r="C2813" s="6">
        <v>57500</v>
      </c>
      <c r="D2813" s="7">
        <v>0.48</v>
      </c>
      <c r="E2813" t="s">
        <v>57</v>
      </c>
    </row>
    <row r="2814" spans="1:5" x14ac:dyDescent="0.25">
      <c r="A2814" t="str">
        <f>HYPERLINK("https://www.773grp.com/globalSearch/BC327-025G/page-1", "BC327-025G")</f>
        <v>BC327-025G</v>
      </c>
      <c r="B2814" s="3" t="str">
        <f>HYPERLINK("https://www.773grp.com/manufacturer/onsemi?pageNo=117", "Onsemi")</f>
        <v>Onsemi</v>
      </c>
      <c r="C2814" s="6">
        <v>97947</v>
      </c>
      <c r="D2814" s="7">
        <v>0.48</v>
      </c>
      <c r="E2814" t="s">
        <v>57</v>
      </c>
    </row>
    <row r="2815" spans="1:5" x14ac:dyDescent="0.25">
      <c r="A2815" t="str">
        <f>HYPERLINK("https://www.773grp.com/globalSearch/BC327-25RL1G/page-1", "BC327-25RL1G")</f>
        <v>BC327-25RL1G</v>
      </c>
      <c r="B2815" s="3" t="str">
        <f>HYPERLINK("https://www.773grp.com/manufacturer/onsemi?pageNo=118", "Onsemi")</f>
        <v>Onsemi</v>
      </c>
      <c r="C2815" s="6">
        <v>186000</v>
      </c>
      <c r="D2815" s="7">
        <v>0.48</v>
      </c>
      <c r="E2815" t="s">
        <v>57</v>
      </c>
    </row>
    <row r="2816" spans="1:5" x14ac:dyDescent="0.25">
      <c r="A2816" t="str">
        <f>HYPERLINK("https://www.773grp.com/globalSearch/BC489AZL1G/page-1", "BC489AZL1G")</f>
        <v>BC489AZL1G</v>
      </c>
      <c r="B2816" s="3" t="str">
        <f>HYPERLINK("https://www.773grp.com/manufacturer/onsemi?pageNo=119", "Onsemi")</f>
        <v>Onsemi</v>
      </c>
      <c r="C2816" s="6">
        <v>3725</v>
      </c>
      <c r="D2816" s="7">
        <v>0.48</v>
      </c>
    </row>
    <row r="2817" spans="1:5" x14ac:dyDescent="0.25">
      <c r="A2817" t="str">
        <f>HYPERLINK("https://www.773grp.com/globalSearch/BCP53-16T1/page-1", "BCP53-16T1")</f>
        <v>BCP53-16T1</v>
      </c>
      <c r="B2817" s="3" t="str">
        <f>HYPERLINK("https://www.773grp.com/manufacturer/onsemi?pageNo=120", "Onsemi")</f>
        <v>Onsemi</v>
      </c>
      <c r="C2817" s="6">
        <v>144608</v>
      </c>
      <c r="D2817" s="7">
        <v>0.48</v>
      </c>
      <c r="E2817" t="s">
        <v>47</v>
      </c>
    </row>
    <row r="2818" spans="1:5" x14ac:dyDescent="0.25">
      <c r="A2818" t="str">
        <f>HYPERLINK("https://www.773grp.com/globalSearch/BCP56-16T1/page-1", "BCP56-16T1")</f>
        <v>BCP56-16T1</v>
      </c>
      <c r="B2818" s="3" t="str">
        <f>HYPERLINK("https://www.773grp.com/manufacturer/onsemi?pageNo=121", "Onsemi")</f>
        <v>Onsemi</v>
      </c>
      <c r="C2818" s="6">
        <v>52455</v>
      </c>
      <c r="D2818" s="7">
        <v>0.48</v>
      </c>
      <c r="E2818" t="s">
        <v>47</v>
      </c>
    </row>
    <row r="2819" spans="1:5" x14ac:dyDescent="0.25">
      <c r="A2819" t="str">
        <f>HYPERLINK("https://www.773grp.com/globalSearch/BCP56T3/page-1", "BCP56T3")</f>
        <v>BCP56T3</v>
      </c>
      <c r="B2819" s="3" t="str">
        <f>HYPERLINK("https://www.773grp.com/manufacturer/onsemi?pageNo=122", "Onsemi")</f>
        <v>Onsemi</v>
      </c>
      <c r="C2819" s="6">
        <v>44000</v>
      </c>
      <c r="D2819" s="7">
        <v>0.48</v>
      </c>
      <c r="E2819" t="s">
        <v>47</v>
      </c>
    </row>
    <row r="2820" spans="1:5" x14ac:dyDescent="0.25">
      <c r="A2820" t="str">
        <f>HYPERLINK("https://www.773grp.com/globalSearch/BCP68T1/page-1", "BCP68T1")</f>
        <v>BCP68T1</v>
      </c>
      <c r="B2820" s="3" t="str">
        <f>HYPERLINK("https://www.773grp.com/manufacturer/onsemi?pageNo=123", "Onsemi")</f>
        <v>Onsemi</v>
      </c>
      <c r="C2820" s="6">
        <v>295949</v>
      </c>
      <c r="D2820" s="7">
        <v>0.48</v>
      </c>
      <c r="E2820" t="s">
        <v>47</v>
      </c>
    </row>
    <row r="2821" spans="1:5" x14ac:dyDescent="0.25">
      <c r="A2821" t="str">
        <f>HYPERLINK("https://www.773grp.com/globalSearch/BCP69T1/page-1", "BCP69T1")</f>
        <v>BCP69T1</v>
      </c>
      <c r="B2821" s="3" t="str">
        <f>HYPERLINK("https://www.773grp.com/manufacturer/onsemi?pageNo=124", "Onsemi")</f>
        <v>Onsemi</v>
      </c>
      <c r="C2821" s="6">
        <v>1246945</v>
      </c>
      <c r="D2821" s="7">
        <v>0.48</v>
      </c>
      <c r="E2821" t="s">
        <v>47</v>
      </c>
    </row>
    <row r="2822" spans="1:5" x14ac:dyDescent="0.25">
      <c r="A2822" t="str">
        <f>HYPERLINK("https://www.773grp.com/globalSearch/BS107ARL1G/page-1", "BS107ARL1G")</f>
        <v>BS107ARL1G</v>
      </c>
      <c r="B2822" s="3" t="str">
        <f>HYPERLINK("https://www.773grp.com/manufacturer/onsemi?pageNo=125", "Onsemi")</f>
        <v>Onsemi</v>
      </c>
      <c r="C2822" s="6">
        <v>30000</v>
      </c>
      <c r="D2822" s="7">
        <v>0.48</v>
      </c>
      <c r="E2822" t="s">
        <v>85</v>
      </c>
    </row>
    <row r="2823" spans="1:5" x14ac:dyDescent="0.25">
      <c r="A2823" t="str">
        <f>HYPERLINK("https://www.773grp.com/globalSearch/CAT24AA02WI-G/page-1", "CAT24AA02WI-G")</f>
        <v>CAT24AA02WI-G</v>
      </c>
      <c r="B2823" s="3" t="str">
        <f>HYPERLINK("https://www.773grp.com/manufacturer/onsemi?pageNo=126", "Onsemi")</f>
        <v>Onsemi</v>
      </c>
      <c r="C2823" s="6">
        <v>2185</v>
      </c>
      <c r="D2823" s="7">
        <v>0.48</v>
      </c>
    </row>
    <row r="2824" spans="1:5" x14ac:dyDescent="0.25">
      <c r="A2824" t="str">
        <f>HYPERLINK("https://www.773grp.com/globalSearch/CAT24C02WI-GT3A/page-1", "CAT24C02WI-GT3A")</f>
        <v>CAT24C02WI-GT3A</v>
      </c>
      <c r="B2824" s="3" t="str">
        <f>HYPERLINK("https://www.773grp.com/manufacturer/onsemi?pageNo=127", "Onsemi")</f>
        <v>Onsemi</v>
      </c>
      <c r="C2824" s="6">
        <v>29000</v>
      </c>
      <c r="D2824" s="7">
        <v>0.48</v>
      </c>
      <c r="E2824" t="s">
        <v>52</v>
      </c>
    </row>
    <row r="2825" spans="1:5" x14ac:dyDescent="0.25">
      <c r="A2825" t="str">
        <f>HYPERLINK("https://www.773grp.com/globalSearch/CAT24C02WI-GT3A/page-1", "CAT24C02WI-GT3A")</f>
        <v>CAT24C02WI-GT3A</v>
      </c>
      <c r="B2825" s="3" t="str">
        <f>HYPERLINK("https://www.773grp.com/manufacturer/onsemi?pageNo=128", "Onsemi")</f>
        <v>Onsemi</v>
      </c>
      <c r="C2825" s="6">
        <v>55566</v>
      </c>
      <c r="D2825" s="7">
        <v>0.48</v>
      </c>
      <c r="E2825" t="s">
        <v>52</v>
      </c>
    </row>
    <row r="2826" spans="1:5" x14ac:dyDescent="0.25">
      <c r="A2826" t="str">
        <f>HYPERLINK("https://www.773grp.com/globalSearch/CAT24C02YI-GT3A/page-1", "CAT24C02YI-GT3A")</f>
        <v>CAT24C02YI-GT3A</v>
      </c>
      <c r="B2826" s="3" t="str">
        <f>HYPERLINK("https://www.773grp.com/manufacturer/onsemi?pageNo=129", "Onsemi")</f>
        <v>Onsemi</v>
      </c>
      <c r="C2826" s="6">
        <v>441423</v>
      </c>
      <c r="D2826" s="7">
        <v>0.48</v>
      </c>
      <c r="E2826" t="s">
        <v>52</v>
      </c>
    </row>
    <row r="2827" spans="1:5" x14ac:dyDescent="0.25">
      <c r="A2827" t="str">
        <f>HYPERLINK("https://www.773grp.com/globalSearch/CAT24C04YI-G/page-1", "CAT24C04YI-G")</f>
        <v>CAT24C04YI-G</v>
      </c>
      <c r="B2827" s="3" t="str">
        <f>HYPERLINK("https://www.773grp.com/manufacturer/onsemi?pageNo=130", "Onsemi")</f>
        <v>Onsemi</v>
      </c>
      <c r="C2827" s="6">
        <v>3800</v>
      </c>
      <c r="D2827" s="7">
        <v>0.48</v>
      </c>
    </row>
    <row r="2828" spans="1:5" x14ac:dyDescent="0.25">
      <c r="A2828" t="str">
        <f>HYPERLINK("https://www.773grp.com/globalSearch/CM1204-03CP/page-1", "CM1204-03CP")</f>
        <v>CM1204-03CP</v>
      </c>
      <c r="B2828" s="3" t="str">
        <f>HYPERLINK("https://www.773grp.com/manufacturer/onsemi?pageNo=131", "Onsemi")</f>
        <v>Onsemi</v>
      </c>
      <c r="C2828" s="6">
        <v>511000</v>
      </c>
      <c r="D2828" s="7">
        <v>0.48</v>
      </c>
    </row>
    <row r="2829" spans="1:5" x14ac:dyDescent="0.25">
      <c r="A2829" t="str">
        <f>HYPERLINK("https://www.773grp.com/globalSearch/CM1219-05SE/page-1", "CM1219-05SE")</f>
        <v>CM1219-05SE</v>
      </c>
      <c r="B2829" s="3" t="str">
        <f>HYPERLINK("https://www.773grp.com/manufacturer/onsemi?pageNo=132", "Onsemi")</f>
        <v>Onsemi</v>
      </c>
      <c r="C2829" s="6">
        <v>3390</v>
      </c>
      <c r="D2829" s="7">
        <v>0.48</v>
      </c>
    </row>
    <row r="2830" spans="1:5" x14ac:dyDescent="0.25">
      <c r="A2830" t="str">
        <f>HYPERLINK("https://www.773grp.com/globalSearch/CPH3115-TL-E/page-1", "CPH3115-TL-E")</f>
        <v>CPH3115-TL-E</v>
      </c>
      <c r="B2830" s="3" t="str">
        <f>HYPERLINK("https://www.773grp.com/manufacturer/onsemi?pageNo=133", "Onsemi")</f>
        <v>Onsemi</v>
      </c>
      <c r="C2830" s="6">
        <v>18000</v>
      </c>
      <c r="D2830" s="7">
        <v>0.48</v>
      </c>
    </row>
    <row r="2831" spans="1:5" x14ac:dyDescent="0.25">
      <c r="A2831" t="str">
        <f>HYPERLINK("https://www.773grp.com/globalSearch/CPH3216-TL-E/page-1", "CPH3216-TL-E")</f>
        <v>CPH3216-TL-E</v>
      </c>
      <c r="B2831" s="3" t="str">
        <f>HYPERLINK("https://www.773grp.com/manufacturer/onsemi?pageNo=134", "Onsemi")</f>
        <v>Onsemi</v>
      </c>
      <c r="C2831" s="6">
        <v>90000</v>
      </c>
      <c r="D2831" s="7">
        <v>0.48</v>
      </c>
    </row>
    <row r="2832" spans="1:5" x14ac:dyDescent="0.25">
      <c r="A2832" t="str">
        <f>HYPERLINK("https://www.773grp.com/globalSearch/CSPESD304G/page-1", "CSPESD304G")</f>
        <v>CSPESD304G</v>
      </c>
      <c r="B2832" s="3" t="str">
        <f>HYPERLINK("https://www.773grp.com/manufacturer/onsemi?pageNo=135", "Onsemi")</f>
        <v>Onsemi</v>
      </c>
      <c r="C2832" s="6">
        <v>17500</v>
      </c>
      <c r="D2832" s="7">
        <v>0.48</v>
      </c>
      <c r="E2832" t="s">
        <v>75</v>
      </c>
    </row>
    <row r="2833" spans="1:5" x14ac:dyDescent="0.25">
      <c r="A2833" t="str">
        <f>HYPERLINK("https://www.773grp.com/globalSearch/J111RL1G/page-1", "J111RL1G")</f>
        <v>J111RL1G</v>
      </c>
      <c r="B2833" s="3" t="str">
        <f>HYPERLINK("https://www.773grp.com/manufacturer/onsemi?pageNo=136", "Onsemi")</f>
        <v>Onsemi</v>
      </c>
      <c r="C2833" s="6">
        <v>30000</v>
      </c>
      <c r="D2833" s="7">
        <v>0.48</v>
      </c>
      <c r="E2833" t="s">
        <v>85</v>
      </c>
    </row>
    <row r="2834" spans="1:5" x14ac:dyDescent="0.25">
      <c r="A2834" t="str">
        <f>HYPERLINK("https://www.773grp.com/globalSearch/J111RLRA/page-1", "J111RLRA")</f>
        <v>J111RLRA</v>
      </c>
      <c r="B2834" s="3" t="str">
        <f>HYPERLINK("https://www.773grp.com/manufacturer/onsemi?pageNo=137", "Onsemi")</f>
        <v>Onsemi</v>
      </c>
      <c r="C2834" s="6">
        <v>84000</v>
      </c>
      <c r="D2834" s="7">
        <v>0.48</v>
      </c>
      <c r="E2834" t="s">
        <v>85</v>
      </c>
    </row>
    <row r="2835" spans="1:5" x14ac:dyDescent="0.25">
      <c r="A2835" t="str">
        <f>HYPERLINK("https://www.773grp.com/globalSearch/J111RLRAG/page-1", "J111RLRAG")</f>
        <v>J111RLRAG</v>
      </c>
      <c r="B2835" s="3" t="str">
        <f>HYPERLINK("https://www.773grp.com/manufacturer/onsemi?pageNo=138", "Onsemi")</f>
        <v>Onsemi</v>
      </c>
      <c r="C2835" s="6">
        <v>8000</v>
      </c>
      <c r="D2835" s="7">
        <v>0.48</v>
      </c>
      <c r="E2835" t="s">
        <v>85</v>
      </c>
    </row>
    <row r="2836" spans="1:5" x14ac:dyDescent="0.25">
      <c r="A2836" t="str">
        <f>HYPERLINK("https://www.773grp.com/globalSearch/J112RL1/page-1", "J112RL1")</f>
        <v>J112RL1</v>
      </c>
      <c r="B2836" s="3" t="str">
        <f>HYPERLINK("https://www.773grp.com/manufacturer/onsemi?pageNo=139", "Onsemi")</f>
        <v>Onsemi</v>
      </c>
      <c r="C2836" s="6">
        <v>4000</v>
      </c>
      <c r="D2836" s="7">
        <v>0.48</v>
      </c>
      <c r="E2836" t="s">
        <v>85</v>
      </c>
    </row>
    <row r="2837" spans="1:5" x14ac:dyDescent="0.25">
      <c r="A2837" t="str">
        <f>HYPERLINK("https://www.773grp.com/globalSearch/J310RLRPG/page-1", "J310RLRPG")</f>
        <v>J310RLRPG</v>
      </c>
      <c r="B2837" s="3" t="str">
        <f>HYPERLINK("https://www.773grp.com/manufacturer/onsemi?pageNo=140", "Onsemi")</f>
        <v>Onsemi</v>
      </c>
      <c r="C2837" s="6">
        <v>23782</v>
      </c>
      <c r="D2837" s="7">
        <v>0.48</v>
      </c>
      <c r="E2837" t="s">
        <v>83</v>
      </c>
    </row>
    <row r="2838" spans="1:5" x14ac:dyDescent="0.25">
      <c r="A2838" t="str">
        <f>HYPERLINK("https://www.773grp.com/globalSearch/J310ZL1G/page-1", "J310ZL1G")</f>
        <v>J310ZL1G</v>
      </c>
      <c r="B2838" s="3" t="str">
        <f>HYPERLINK("https://www.773grp.com/manufacturer/onsemi?pageNo=141", "Onsemi")</f>
        <v>Onsemi</v>
      </c>
      <c r="C2838" s="6">
        <v>27782</v>
      </c>
      <c r="D2838" s="7">
        <v>0.48</v>
      </c>
      <c r="E2838" t="s">
        <v>83</v>
      </c>
    </row>
    <row r="2839" spans="1:5" x14ac:dyDescent="0.25">
      <c r="A2839" t="str">
        <f>HYPERLINK("https://www.773grp.com/globalSearch/LM2901VD/page-1", "LM2901VD")</f>
        <v>LM2901VD</v>
      </c>
      <c r="B2839" s="3" t="str">
        <f>HYPERLINK("https://www.773grp.com/manufacturer/onsemi?pageNo=142", "Onsemi")</f>
        <v>Onsemi</v>
      </c>
      <c r="C2839" s="6">
        <v>1595</v>
      </c>
      <c r="D2839" s="7">
        <v>0.48</v>
      </c>
      <c r="E2839" t="s">
        <v>6</v>
      </c>
    </row>
    <row r="2840" spans="1:5" x14ac:dyDescent="0.25">
      <c r="A2840" t="str">
        <f>HYPERLINK("https://www.773grp.com/globalSearch/LM2904VD/page-1", "LM2904VD")</f>
        <v>LM2904VD</v>
      </c>
      <c r="B2840" s="3" t="str">
        <f>HYPERLINK("https://www.773grp.com/manufacturer/onsemi?pageNo=143", "Onsemi")</f>
        <v>Onsemi</v>
      </c>
      <c r="C2840" s="6">
        <v>1</v>
      </c>
      <c r="D2840" s="7">
        <v>0.48</v>
      </c>
      <c r="E2840" t="s">
        <v>10</v>
      </c>
    </row>
    <row r="2841" spans="1:5" x14ac:dyDescent="0.25">
      <c r="A2841" t="str">
        <f>HYPERLINK("https://www.773grp.com/globalSearch/M74VHC1G09DFT2GH/page-1", "M74VHC1G09DFT2GH")</f>
        <v>M74VHC1G09DFT2GH</v>
      </c>
      <c r="B2841" s="3" t="str">
        <f>HYPERLINK("https://www.773grp.com/manufacturer/onsemi?pageNo=144", "Onsemi")</f>
        <v>Onsemi</v>
      </c>
      <c r="C2841" s="6">
        <v>4065000</v>
      </c>
      <c r="D2841" s="7">
        <v>0.48</v>
      </c>
    </row>
    <row r="2842" spans="1:5" x14ac:dyDescent="0.25">
      <c r="A2842" t="str">
        <f>HYPERLINK("https://www.773grp.com/globalSearch/M74VHC1G132DTT1G/page-1", "M74VHC1G132DTT1G")</f>
        <v>M74VHC1G132DTT1G</v>
      </c>
      <c r="B2842" s="3" t="str">
        <f>HYPERLINK("https://www.773grp.com/manufacturer/onsemi?pageNo=145", "Onsemi")</f>
        <v>Onsemi</v>
      </c>
      <c r="C2842" s="6">
        <v>15290</v>
      </c>
      <c r="D2842" s="7">
        <v>0.48</v>
      </c>
    </row>
    <row r="2843" spans="1:5" x14ac:dyDescent="0.25">
      <c r="A2843" t="str">
        <f>HYPERLINK("https://www.773grp.com/globalSearch/M74VHC1G135DTT1G/page-1", "M74VHC1G135DTT1G")</f>
        <v>M74VHC1G135DTT1G</v>
      </c>
      <c r="B2843" s="3" t="str">
        <f>HYPERLINK("https://www.773grp.com/manufacturer/onsemi?pageNo=146", "Onsemi")</f>
        <v>Onsemi</v>
      </c>
      <c r="C2843" s="6">
        <v>66000</v>
      </c>
      <c r="D2843" s="7">
        <v>0.48</v>
      </c>
      <c r="E2843" t="s">
        <v>27</v>
      </c>
    </row>
    <row r="2844" spans="1:5" x14ac:dyDescent="0.25">
      <c r="A2844" t="str">
        <f>HYPERLINK("https://www.773grp.com/globalSearch/M74VHC1GT00DTT1G/page-1", "M74VHC1GT00DTT1G")</f>
        <v>M74VHC1GT00DTT1G</v>
      </c>
      <c r="B2844" s="3" t="str">
        <f>HYPERLINK("https://www.773grp.com/manufacturer/onsemi?pageNo=147", "Onsemi")</f>
        <v>Onsemi</v>
      </c>
      <c r="C2844" s="6">
        <v>21000</v>
      </c>
      <c r="D2844" s="7">
        <v>0.48</v>
      </c>
      <c r="E2844" t="s">
        <v>27</v>
      </c>
    </row>
    <row r="2845" spans="1:5" x14ac:dyDescent="0.25">
      <c r="A2845" t="str">
        <f>HYPERLINK("https://www.773grp.com/globalSearch/M74VHC1GT02DTT1G/page-1", "M74VHC1GT02DTT1G")</f>
        <v>M74VHC1GT02DTT1G</v>
      </c>
      <c r="B2845" s="3" t="str">
        <f>HYPERLINK("https://www.773grp.com/manufacturer/onsemi?pageNo=148", "Onsemi")</f>
        <v>Onsemi</v>
      </c>
      <c r="C2845" s="6">
        <v>71198</v>
      </c>
      <c r="D2845" s="7">
        <v>0.48</v>
      </c>
      <c r="E2845" t="s">
        <v>27</v>
      </c>
    </row>
    <row r="2846" spans="1:5" x14ac:dyDescent="0.25">
      <c r="A2846" t="str">
        <f>HYPERLINK("https://www.773grp.com/globalSearch/M74VHC1GT04DTT1G/page-1", "M74VHC1GT04DTT1G")</f>
        <v>M74VHC1GT04DTT1G</v>
      </c>
      <c r="B2846" s="3" t="str">
        <f>HYPERLINK("https://www.773grp.com/manufacturer/onsemi?pageNo=149", "Onsemi")</f>
        <v>Onsemi</v>
      </c>
      <c r="C2846" s="6">
        <v>48934</v>
      </c>
      <c r="D2846" s="7">
        <v>0.48</v>
      </c>
      <c r="E2846" t="s">
        <v>27</v>
      </c>
    </row>
    <row r="2847" spans="1:5" x14ac:dyDescent="0.25">
      <c r="A2847" t="str">
        <f>HYPERLINK("https://www.773grp.com/globalSearch/M74VHC1GT08DTT1G/page-1", "M74VHC1GT08DTT1G")</f>
        <v>M74VHC1GT08DTT1G</v>
      </c>
      <c r="B2847" s="3" t="str">
        <f>HYPERLINK("https://www.773grp.com/manufacturer/onsemi?pageNo=150", "Onsemi")</f>
        <v>Onsemi</v>
      </c>
      <c r="C2847" s="6">
        <v>40654</v>
      </c>
      <c r="D2847" s="7">
        <v>0.48</v>
      </c>
      <c r="E2847" t="s">
        <v>27</v>
      </c>
    </row>
    <row r="2848" spans="1:5" x14ac:dyDescent="0.25">
      <c r="A2848" t="str">
        <f>HYPERLINK("https://www.773grp.com/globalSearch/M74VHC1GT14DTT1G/page-1", "M74VHC1GT14DTT1G")</f>
        <v>M74VHC1GT14DTT1G</v>
      </c>
      <c r="B2848" s="3" t="str">
        <f>HYPERLINK("https://www.773grp.com/manufacturer/onsemi?pageNo=151", "Onsemi")</f>
        <v>Onsemi</v>
      </c>
      <c r="C2848" s="6">
        <v>81927</v>
      </c>
      <c r="D2848" s="7">
        <v>0.48</v>
      </c>
      <c r="E2848" t="s">
        <v>27</v>
      </c>
    </row>
    <row r="2849" spans="1:5" x14ac:dyDescent="0.25">
      <c r="A2849" t="str">
        <f>HYPERLINK("https://www.773grp.com/globalSearch/M74VHC1GT32DTT1G/page-1", "M74VHC1GT32DTT1G")</f>
        <v>M74VHC1GT32DTT1G</v>
      </c>
      <c r="B2849" s="3" t="str">
        <f>HYPERLINK("https://www.773grp.com/manufacturer/onsemi?pageNo=152", "Onsemi")</f>
        <v>Onsemi</v>
      </c>
      <c r="C2849" s="6">
        <v>625440</v>
      </c>
      <c r="D2849" s="7">
        <v>0.48</v>
      </c>
      <c r="E2849" t="s">
        <v>27</v>
      </c>
    </row>
    <row r="2850" spans="1:5" x14ac:dyDescent="0.25">
      <c r="A2850" t="str">
        <f>HYPERLINK("https://www.773grp.com/globalSearch/M74VHC1GT50DTT1G/page-1", "M74VHC1GT50DTT1G")</f>
        <v>M74VHC1GT50DTT1G</v>
      </c>
      <c r="B2850" s="3" t="str">
        <f>HYPERLINK("https://www.773grp.com/manufacturer/onsemi?pageNo=153", "Onsemi")</f>
        <v>Onsemi</v>
      </c>
      <c r="C2850" s="6">
        <v>41555</v>
      </c>
      <c r="D2850" s="7">
        <v>0.48</v>
      </c>
      <c r="E2850" t="s">
        <v>27</v>
      </c>
    </row>
    <row r="2851" spans="1:5" x14ac:dyDescent="0.25">
      <c r="A2851" t="str">
        <f>HYPERLINK("https://www.773grp.com/globalSearch/M74VHC1GT66D/page-1", "M74VHC1GT66D")</f>
        <v>M74VHC1GT66D</v>
      </c>
      <c r="B2851" s="3" t="str">
        <f>HYPERLINK("https://www.773grp.com/manufacturer/onsemi?pageNo=154", "Onsemi")</f>
        <v>Onsemi</v>
      </c>
      <c r="C2851" s="6">
        <v>3000</v>
      </c>
      <c r="D2851" s="7">
        <v>0.48</v>
      </c>
    </row>
    <row r="2852" spans="1:5" x14ac:dyDescent="0.25">
      <c r="A2852" t="str">
        <f>HYPERLINK("https://www.773grp.com/globalSearch/M74VHC1GT86DTT1G/page-1", "M74VHC1GT86DTT1G")</f>
        <v>M74VHC1GT86DTT1G</v>
      </c>
      <c r="B2852" s="3" t="str">
        <f>HYPERLINK("https://www.773grp.com/manufacturer/onsemi?pageNo=155", "Onsemi")</f>
        <v>Onsemi</v>
      </c>
      <c r="C2852" s="6">
        <v>28895</v>
      </c>
      <c r="D2852" s="7">
        <v>0.48</v>
      </c>
    </row>
    <row r="2853" spans="1:5" x14ac:dyDescent="0.25">
      <c r="A2853" t="str">
        <f>HYPERLINK("https://www.773grp.com/globalSearch/M74VHC1GU04DFT2H/page-1", "M74VHC1GU04DFT2H")</f>
        <v>M74VHC1GU04DFT2H</v>
      </c>
      <c r="B2853" s="3" t="str">
        <f>HYPERLINK("https://www.773grp.com/manufacturer/onsemi?pageNo=156", "Onsemi")</f>
        <v>Onsemi</v>
      </c>
      <c r="C2853" s="6">
        <v>78000</v>
      </c>
      <c r="D2853" s="7">
        <v>0.48</v>
      </c>
    </row>
    <row r="2854" spans="1:5" x14ac:dyDescent="0.25">
      <c r="A2854" t="str">
        <f>HYPERLINK("https://www.773grp.com/globalSearch/M74VHC1GU04DTT1G/page-1", "M74VHC1GU04DTT1G")</f>
        <v>M74VHC1GU04DTT1G</v>
      </c>
      <c r="B2854" s="3" t="str">
        <f>HYPERLINK("https://www.773grp.com/manufacturer/onsemi?pageNo=157", "Onsemi")</f>
        <v>Onsemi</v>
      </c>
      <c r="C2854" s="6">
        <v>66000</v>
      </c>
      <c r="D2854" s="7">
        <v>0.48</v>
      </c>
    </row>
    <row r="2855" spans="1:5" x14ac:dyDescent="0.25">
      <c r="A2855" t="str">
        <f>HYPERLINK("https://www.773grp.com/globalSearch/MAX809SN490T1/page-1", "MAX809SN490T1")</f>
        <v>MAX809SN490T1</v>
      </c>
      <c r="B2855" s="3" t="str">
        <f>HYPERLINK("https://www.773grp.com/manufacturer/onsemi?pageNo=158", "Onsemi")</f>
        <v>Onsemi</v>
      </c>
      <c r="C2855" s="6">
        <v>5930</v>
      </c>
      <c r="D2855" s="7">
        <v>0.48</v>
      </c>
      <c r="E2855" t="s">
        <v>26</v>
      </c>
    </row>
    <row r="2856" spans="1:5" x14ac:dyDescent="0.25">
      <c r="A2856" t="str">
        <f>HYPERLINK("https://www.773grp.com/globalSearch/MBR0520LT1H/page-1", "MBR0520LT1H")</f>
        <v>MBR0520LT1H</v>
      </c>
      <c r="B2856" s="3" t="str">
        <f>HYPERLINK("https://www.773grp.com/manufacturer/onsemi?pageNo=159", "Onsemi")</f>
        <v>Onsemi</v>
      </c>
      <c r="C2856" s="6">
        <v>33000</v>
      </c>
      <c r="D2856" s="7">
        <v>0.48</v>
      </c>
    </row>
    <row r="2857" spans="1:5" x14ac:dyDescent="0.25">
      <c r="A2857" t="str">
        <f>HYPERLINK("https://www.773grp.com/globalSearch/MBRA120ET3G/page-1", "MBRA120ET3G")</f>
        <v>MBRA120ET3G</v>
      </c>
      <c r="B2857" s="3" t="str">
        <f>HYPERLINK("https://www.773grp.com/manufacturer/onsemi?pageNo=160", "Onsemi")</f>
        <v>Onsemi</v>
      </c>
      <c r="C2857" s="6">
        <v>25000</v>
      </c>
      <c r="D2857" s="7">
        <v>0.48</v>
      </c>
    </row>
    <row r="2858" spans="1:5" x14ac:dyDescent="0.25">
      <c r="A2858" t="str">
        <f>HYPERLINK("https://www.773grp.com/globalSearch/MBRM120LT1G/page-1", "MBRM120LT1G")</f>
        <v>MBRM120LT1G</v>
      </c>
      <c r="B2858" s="3" t="str">
        <f>HYPERLINK("https://www.773grp.com/manufacturer/onsemi?pageNo=161", "Onsemi")</f>
        <v>Onsemi</v>
      </c>
      <c r="C2858" s="6">
        <v>6000</v>
      </c>
      <c r="D2858" s="7">
        <v>0.48</v>
      </c>
    </row>
    <row r="2859" spans="1:5" x14ac:dyDescent="0.25">
      <c r="A2859" t="str">
        <f>HYPERLINK("https://www.773grp.com/globalSearch/MBRM120LT3G/page-1", "MBRM120LT3G")</f>
        <v>MBRM120LT3G</v>
      </c>
      <c r="B2859" s="3" t="str">
        <f>HYPERLINK("https://www.773grp.com/manufacturer/onsemi?pageNo=162", "Onsemi")</f>
        <v>Onsemi</v>
      </c>
      <c r="C2859" s="6">
        <v>618805</v>
      </c>
      <c r="D2859" s="7">
        <v>0.48</v>
      </c>
      <c r="E2859" t="s">
        <v>73</v>
      </c>
    </row>
    <row r="2860" spans="1:5" x14ac:dyDescent="0.25">
      <c r="A2860" t="str">
        <f>HYPERLINK("https://www.773grp.com/globalSearch/MBRM130LT1G/page-1", "MBRM130LT1G")</f>
        <v>MBRM130LT1G</v>
      </c>
      <c r="B2860" s="3" t="str">
        <f>HYPERLINK("https://www.773grp.com/manufacturer/onsemi?pageNo=163", "Onsemi")</f>
        <v>Onsemi</v>
      </c>
      <c r="C2860" s="6">
        <v>3000</v>
      </c>
      <c r="D2860" s="7">
        <v>0.48</v>
      </c>
    </row>
    <row r="2861" spans="1:5" x14ac:dyDescent="0.25">
      <c r="A2861" t="str">
        <f>HYPERLINK("https://www.773grp.com/globalSearch/MBRM130LT3G/page-1", "MBRM130LT3G")</f>
        <v>MBRM130LT3G</v>
      </c>
      <c r="B2861" s="3" t="str">
        <f>HYPERLINK("https://www.773grp.com/manufacturer/onsemi?pageNo=164", "Onsemi")</f>
        <v>Onsemi</v>
      </c>
      <c r="C2861" s="6">
        <v>24000</v>
      </c>
      <c r="D2861" s="7">
        <v>0.48</v>
      </c>
    </row>
    <row r="2862" spans="1:5" x14ac:dyDescent="0.25">
      <c r="A2862" t="str">
        <f>HYPERLINK("https://www.773grp.com/globalSearch/MBRM140T1G/page-1", "MBRM140T1G")</f>
        <v>MBRM140T1G</v>
      </c>
      <c r="B2862" s="3" t="str">
        <f>HYPERLINK("https://www.773grp.com/manufacturer/onsemi?pageNo=165", "Onsemi")</f>
        <v>Onsemi</v>
      </c>
      <c r="C2862" s="6">
        <v>15000</v>
      </c>
      <c r="D2862" s="7">
        <v>0.48</v>
      </c>
    </row>
    <row r="2863" spans="1:5" x14ac:dyDescent="0.25">
      <c r="A2863" t="str">
        <f>HYPERLINK("https://www.773grp.com/globalSearch/MBRM140T1H/page-1", "MBRM140T1H")</f>
        <v>MBRM140T1H</v>
      </c>
      <c r="B2863" s="3" t="str">
        <f>HYPERLINK("https://www.773grp.com/manufacturer/onsemi?pageNo=166", "Onsemi")</f>
        <v>Onsemi</v>
      </c>
      <c r="C2863" s="6">
        <v>9000</v>
      </c>
      <c r="D2863" s="7">
        <v>0.48</v>
      </c>
    </row>
    <row r="2864" spans="1:5" x14ac:dyDescent="0.25">
      <c r="A2864" t="str">
        <f>HYPERLINK("https://www.773grp.com/globalSearch/MBRM140T3G/page-1", "MBRM140T3G")</f>
        <v>MBRM140T3G</v>
      </c>
      <c r="B2864" s="3" t="str">
        <f>HYPERLINK("https://www.773grp.com/manufacturer/onsemi?pageNo=167", "Onsemi")</f>
        <v>Onsemi</v>
      </c>
      <c r="C2864" s="6">
        <v>24000</v>
      </c>
      <c r="D2864" s="7">
        <v>0.48</v>
      </c>
    </row>
    <row r="2865" spans="1:5" x14ac:dyDescent="0.25">
      <c r="A2865" t="str">
        <f>HYPERLINK("https://www.773grp.com/globalSearch/MC14012BF/page-1", "MC14012BF")</f>
        <v>MC14012BF</v>
      </c>
      <c r="B2865" s="3" t="str">
        <f>HYPERLINK("https://www.773grp.com/manufacturer/onsemi?pageNo=168", "Onsemi")</f>
        <v>Onsemi</v>
      </c>
      <c r="C2865" s="6">
        <v>3500</v>
      </c>
      <c r="D2865" s="7">
        <v>0.48</v>
      </c>
      <c r="E2865" t="s">
        <v>27</v>
      </c>
    </row>
    <row r="2866" spans="1:5" x14ac:dyDescent="0.25">
      <c r="A2866" t="str">
        <f>HYPERLINK("https://www.773grp.com/globalSearch/MC14014BD/page-1", "MC14014BD")</f>
        <v>MC14014BD</v>
      </c>
      <c r="B2866" s="3" t="str">
        <f>HYPERLINK("https://www.773grp.com/manufacturer/onsemi?pageNo=169", "Onsemi")</f>
        <v>Onsemi</v>
      </c>
      <c r="C2866" s="6">
        <v>6888</v>
      </c>
      <c r="D2866" s="7">
        <v>0.48</v>
      </c>
      <c r="E2866" t="s">
        <v>28</v>
      </c>
    </row>
    <row r="2867" spans="1:5" x14ac:dyDescent="0.25">
      <c r="A2867" t="str">
        <f>HYPERLINK("https://www.773grp.com/globalSearch/MC14021BD/page-1", "MC14021BD")</f>
        <v>MC14021BD</v>
      </c>
      <c r="B2867" s="3" t="str">
        <f>HYPERLINK("https://www.773grp.com/manufacturer/onsemi?pageNo=170", "Onsemi")</f>
        <v>Onsemi</v>
      </c>
      <c r="C2867" s="6">
        <v>8694</v>
      </c>
      <c r="D2867" s="7">
        <v>0.48</v>
      </c>
      <c r="E2867" t="s">
        <v>28</v>
      </c>
    </row>
    <row r="2868" spans="1:5" x14ac:dyDescent="0.25">
      <c r="A2868" t="str">
        <f>HYPERLINK("https://www.773grp.com/globalSearch/MC14024BFEL/page-1", "MC14024BFEL")</f>
        <v>MC14024BFEL</v>
      </c>
      <c r="B2868" s="3" t="str">
        <f>HYPERLINK("https://www.773grp.com/manufacturer/onsemi?pageNo=171", "Onsemi")</f>
        <v>Onsemi</v>
      </c>
      <c r="C2868" s="6">
        <v>2000</v>
      </c>
      <c r="D2868" s="7">
        <v>0.48</v>
      </c>
      <c r="E2868" t="s">
        <v>22</v>
      </c>
    </row>
    <row r="2869" spans="1:5" x14ac:dyDescent="0.25">
      <c r="A2869" t="str">
        <f>HYPERLINK("https://www.773grp.com/globalSearch/MC14029BD/page-1", "MC14029BD")</f>
        <v>MC14029BD</v>
      </c>
      <c r="B2869" s="3" t="str">
        <f>HYPERLINK("https://www.773grp.com/manufacturer/onsemi?pageNo=172", "Onsemi")</f>
        <v>Onsemi</v>
      </c>
      <c r="C2869" s="6">
        <v>21008</v>
      </c>
      <c r="D2869" s="7">
        <v>0.48</v>
      </c>
      <c r="E2869" t="s">
        <v>22</v>
      </c>
    </row>
    <row r="2870" spans="1:5" x14ac:dyDescent="0.25">
      <c r="A2870" t="str">
        <f>HYPERLINK("https://www.773grp.com/globalSearch/MC14049BCP/page-1", "MC14049BCP")</f>
        <v>MC14049BCP</v>
      </c>
      <c r="B2870" s="3" t="str">
        <f>HYPERLINK("https://www.773grp.com/manufacturer/onsemi?pageNo=173", "Onsemi")</f>
        <v>Onsemi</v>
      </c>
      <c r="C2870" s="6">
        <v>1</v>
      </c>
      <c r="D2870" s="7">
        <v>0.48</v>
      </c>
      <c r="E2870" t="s">
        <v>27</v>
      </c>
    </row>
    <row r="2871" spans="1:5" x14ac:dyDescent="0.25">
      <c r="A2871" t="str">
        <f>HYPERLINK("https://www.773grp.com/globalSearch/MC14049BFEL/page-1", "MC14049BFEL")</f>
        <v>MC14049BFEL</v>
      </c>
      <c r="B2871" s="3" t="str">
        <f>HYPERLINK("https://www.773grp.com/manufacturer/onsemi?pageNo=174", "Onsemi")</f>
        <v>Onsemi</v>
      </c>
      <c r="C2871" s="6">
        <v>20000</v>
      </c>
      <c r="D2871" s="7">
        <v>0.48</v>
      </c>
      <c r="E2871" t="s">
        <v>27</v>
      </c>
    </row>
    <row r="2872" spans="1:5" x14ac:dyDescent="0.25">
      <c r="A2872" t="str">
        <f>HYPERLINK("https://www.773grp.com/globalSearch/MC14050BCP/page-1", "MC14050BCP")</f>
        <v>MC14050BCP</v>
      </c>
      <c r="B2872" s="3" t="str">
        <f>HYPERLINK("https://www.773grp.com/manufacturer/onsemi?pageNo=175", "Onsemi")</f>
        <v>Onsemi</v>
      </c>
      <c r="C2872" s="6">
        <v>17647</v>
      </c>
      <c r="D2872" s="7">
        <v>0.48</v>
      </c>
      <c r="E2872" t="s">
        <v>27</v>
      </c>
    </row>
    <row r="2873" spans="1:5" x14ac:dyDescent="0.25">
      <c r="A2873" t="str">
        <f>HYPERLINK("https://www.773grp.com/globalSearch/MC14050BFEL/page-1", "MC14050BFEL")</f>
        <v>MC14050BFEL</v>
      </c>
      <c r="B2873" s="3" t="str">
        <f>HYPERLINK("https://www.773grp.com/manufacturer/onsemi?pageNo=176", "Onsemi")</f>
        <v>Onsemi</v>
      </c>
      <c r="C2873" s="6">
        <v>3700</v>
      </c>
      <c r="D2873" s="7">
        <v>0.48</v>
      </c>
      <c r="E2873" t="s">
        <v>27</v>
      </c>
    </row>
    <row r="2874" spans="1:5" x14ac:dyDescent="0.25">
      <c r="A2874" t="str">
        <f>HYPERLINK("https://www.773grp.com/globalSearch/MC14076BCP/page-1", "MC14076BCP")</f>
        <v>MC14076BCP</v>
      </c>
      <c r="B2874" s="3" t="str">
        <f>HYPERLINK("https://www.773grp.com/manufacturer/onsemi?pageNo=177", "Onsemi")</f>
        <v>Onsemi</v>
      </c>
      <c r="C2874" s="6">
        <v>1703</v>
      </c>
      <c r="D2874" s="7">
        <v>0.48</v>
      </c>
      <c r="E2874" t="s">
        <v>31</v>
      </c>
    </row>
    <row r="2875" spans="1:5" x14ac:dyDescent="0.25">
      <c r="A2875" t="str">
        <f>HYPERLINK("https://www.773grp.com/globalSearch/MC14078BCP/page-1", "MC14078BCP")</f>
        <v>MC14078BCP</v>
      </c>
      <c r="B2875" s="3" t="str">
        <f>HYPERLINK("https://www.773grp.com/manufacturer/onsemi?pageNo=178", "Onsemi")</f>
        <v>Onsemi</v>
      </c>
      <c r="C2875" s="6">
        <v>59249</v>
      </c>
      <c r="D2875" s="7">
        <v>0.48</v>
      </c>
      <c r="E2875" t="s">
        <v>27</v>
      </c>
    </row>
    <row r="2876" spans="1:5" x14ac:dyDescent="0.25">
      <c r="A2876" t="str">
        <f>HYPERLINK("https://www.773grp.com/globalSearch/MC14541BF/page-1", "MC14541BF")</f>
        <v>MC14541BF</v>
      </c>
      <c r="B2876" s="3" t="str">
        <f>HYPERLINK("https://www.773grp.com/manufacturer/onsemi?pageNo=179", "Onsemi")</f>
        <v>Onsemi</v>
      </c>
      <c r="C2876" s="6">
        <v>118</v>
      </c>
      <c r="D2876" s="7">
        <v>0.48</v>
      </c>
      <c r="E2876" t="s">
        <v>67</v>
      </c>
    </row>
    <row r="2877" spans="1:5" x14ac:dyDescent="0.25">
      <c r="A2877" t="str">
        <f>HYPERLINK("https://www.773grp.com/globalSearch/MC14584BFEL/page-1", "MC14584BFEL")</f>
        <v>MC14584BFEL</v>
      </c>
      <c r="B2877" s="3" t="str">
        <f>HYPERLINK("https://www.773grp.com/manufacturer/onsemi?pageNo=180", "Onsemi")</f>
        <v>Onsemi</v>
      </c>
      <c r="C2877" s="6">
        <v>6000</v>
      </c>
      <c r="D2877" s="7">
        <v>0.48</v>
      </c>
      <c r="E2877" t="s">
        <v>27</v>
      </c>
    </row>
    <row r="2878" spans="1:5" x14ac:dyDescent="0.25">
      <c r="A2878" t="str">
        <f>HYPERLINK("https://www.773grp.com/globalSearch/MC7411MEL/page-1", "MC7411MEL")</f>
        <v>MC7411MEL</v>
      </c>
      <c r="B2878" s="3" t="str">
        <f>HYPERLINK("https://www.773grp.com/manufacturer/onsemi?pageNo=181", "Onsemi")</f>
        <v>Onsemi</v>
      </c>
      <c r="C2878" s="6">
        <v>4000</v>
      </c>
      <c r="D2878" s="7">
        <v>0.48</v>
      </c>
    </row>
    <row r="2879" spans="1:5" x14ac:dyDescent="0.25">
      <c r="A2879" t="str">
        <f>HYPERLINK("https://www.773grp.com/globalSearch/MC74AC00M/page-1", "MC74AC00M")</f>
        <v>MC74AC00M</v>
      </c>
      <c r="B2879" s="3" t="str">
        <f>HYPERLINK("https://www.773grp.com/manufacturer/onsemi?pageNo=182", "Onsemi")</f>
        <v>Onsemi</v>
      </c>
      <c r="C2879" s="6">
        <v>1300</v>
      </c>
      <c r="D2879" s="7">
        <v>0.48</v>
      </c>
      <c r="E2879" t="s">
        <v>27</v>
      </c>
    </row>
    <row r="2880" spans="1:5" x14ac:dyDescent="0.25">
      <c r="A2880" t="str">
        <f>HYPERLINK("https://www.773grp.com/globalSearch/MC74AC00ML1/page-1", "MC74AC00ML1")</f>
        <v>MC74AC00ML1</v>
      </c>
      <c r="B2880" s="3" t="str">
        <f>HYPERLINK("https://www.773grp.com/manufacturer/onsemi?pageNo=183", "Onsemi")</f>
        <v>Onsemi</v>
      </c>
      <c r="C2880" s="6">
        <v>10000</v>
      </c>
      <c r="D2880" s="7">
        <v>0.48</v>
      </c>
      <c r="E2880" t="s">
        <v>27</v>
      </c>
    </row>
    <row r="2881" spans="1:5" x14ac:dyDescent="0.25">
      <c r="A2881" t="str">
        <f>HYPERLINK("https://www.773grp.com/globalSearch/MC74AC00MR1/page-1", "MC74AC00MR1")</f>
        <v>MC74AC00MR1</v>
      </c>
      <c r="B2881" s="3" t="str">
        <f>HYPERLINK("https://www.773grp.com/manufacturer/onsemi?pageNo=184", "Onsemi")</f>
        <v>Onsemi</v>
      </c>
      <c r="C2881" s="6">
        <v>8000</v>
      </c>
      <c r="D2881" s="7">
        <v>0.48</v>
      </c>
      <c r="E2881" t="s">
        <v>27</v>
      </c>
    </row>
    <row r="2882" spans="1:5" x14ac:dyDescent="0.25">
      <c r="A2882" t="str">
        <f>HYPERLINK("https://www.773grp.com/globalSearch/MC74AC02M/page-1", "MC74AC02M")</f>
        <v>MC74AC02M</v>
      </c>
      <c r="B2882" s="3" t="str">
        <f>HYPERLINK("https://www.773grp.com/manufacturer/onsemi?pageNo=185", "Onsemi")</f>
        <v>Onsemi</v>
      </c>
      <c r="C2882" s="6">
        <v>1750</v>
      </c>
      <c r="D2882" s="7">
        <v>0.48</v>
      </c>
      <c r="E2882" t="s">
        <v>27</v>
      </c>
    </row>
    <row r="2883" spans="1:5" x14ac:dyDescent="0.25">
      <c r="A2883" t="str">
        <f>HYPERLINK("https://www.773grp.com/globalSearch/MC74AC04M/page-1", "MC74AC04M")</f>
        <v>MC74AC04M</v>
      </c>
      <c r="B2883" s="3" t="str">
        <f>HYPERLINK("https://www.773grp.com/manufacturer/onsemi?pageNo=186", "Onsemi")</f>
        <v>Onsemi</v>
      </c>
      <c r="C2883" s="6">
        <v>5200</v>
      </c>
      <c r="D2883" s="7">
        <v>0.48</v>
      </c>
      <c r="E2883" t="s">
        <v>27</v>
      </c>
    </row>
    <row r="2884" spans="1:5" x14ac:dyDescent="0.25">
      <c r="A2884" t="str">
        <f>HYPERLINK("https://www.773grp.com/globalSearch/MC74AC04ML1/page-1", "MC74AC04ML1")</f>
        <v>MC74AC04ML1</v>
      </c>
      <c r="B2884" s="3" t="str">
        <f>HYPERLINK("https://www.773grp.com/manufacturer/onsemi?pageNo=187", "Onsemi")</f>
        <v>Onsemi</v>
      </c>
      <c r="C2884" s="6">
        <v>34000</v>
      </c>
      <c r="D2884" s="7">
        <v>0.48</v>
      </c>
    </row>
    <row r="2885" spans="1:5" x14ac:dyDescent="0.25">
      <c r="A2885" t="str">
        <f>HYPERLINK("https://www.773grp.com/globalSearch/MC74AC04MR1/page-1", "MC74AC04MR1")</f>
        <v>MC74AC04MR1</v>
      </c>
      <c r="B2885" s="3" t="str">
        <f>HYPERLINK("https://www.773grp.com/manufacturer/onsemi?pageNo=188", "Onsemi")</f>
        <v>Onsemi</v>
      </c>
      <c r="C2885" s="6">
        <v>16000</v>
      </c>
      <c r="D2885" s="7">
        <v>0.48</v>
      </c>
      <c r="E2885" t="s">
        <v>27</v>
      </c>
    </row>
    <row r="2886" spans="1:5" x14ac:dyDescent="0.25">
      <c r="A2886" t="str">
        <f>HYPERLINK("https://www.773grp.com/globalSearch/MC74AC08DT/page-1", "MC74AC08DT")</f>
        <v>MC74AC08DT</v>
      </c>
      <c r="B2886" s="3" t="str">
        <f>HYPERLINK("https://www.773grp.com/manufacturer/onsemi?pageNo=189", "Onsemi")</f>
        <v>Onsemi</v>
      </c>
      <c r="C2886" s="6">
        <v>8089</v>
      </c>
      <c r="D2886" s="7">
        <v>0.48</v>
      </c>
      <c r="E2886" t="s">
        <v>27</v>
      </c>
    </row>
    <row r="2887" spans="1:5" x14ac:dyDescent="0.25">
      <c r="A2887" t="str">
        <f>HYPERLINK("https://www.773grp.com/globalSearch/MC74AC08ML1/page-1", "MC74AC08ML1")</f>
        <v>MC74AC08ML1</v>
      </c>
      <c r="B2887" s="3" t="str">
        <f>HYPERLINK("https://www.773grp.com/manufacturer/onsemi?pageNo=190", "Onsemi")</f>
        <v>Onsemi</v>
      </c>
      <c r="C2887" s="6">
        <v>131000</v>
      </c>
      <c r="D2887" s="7">
        <v>0.48</v>
      </c>
      <c r="E2887" t="s">
        <v>27</v>
      </c>
    </row>
    <row r="2888" spans="1:5" x14ac:dyDescent="0.25">
      <c r="A2888" t="str">
        <f>HYPERLINK("https://www.773grp.com/globalSearch/MC74AC08MR1/page-1", "MC74AC08MR1")</f>
        <v>MC74AC08MR1</v>
      </c>
      <c r="B2888" s="3" t="str">
        <f>HYPERLINK("https://www.773grp.com/manufacturer/onsemi?pageNo=191", "Onsemi")</f>
        <v>Onsemi</v>
      </c>
      <c r="C2888" s="6">
        <v>9000</v>
      </c>
      <c r="D2888" s="7">
        <v>0.48</v>
      </c>
      <c r="E2888" t="s">
        <v>27</v>
      </c>
    </row>
    <row r="2889" spans="1:5" x14ac:dyDescent="0.25">
      <c r="A2889" t="str">
        <f>HYPERLINK("https://www.773grp.com/globalSearch/MC74AC10M/page-1", "MC74AC10M")</f>
        <v>MC74AC10M</v>
      </c>
      <c r="B2889" s="3" t="str">
        <f>HYPERLINK("https://www.773grp.com/manufacturer/onsemi?pageNo=192", "Onsemi")</f>
        <v>Onsemi</v>
      </c>
      <c r="C2889" s="6">
        <v>9300</v>
      </c>
      <c r="D2889" s="7">
        <v>0.48</v>
      </c>
      <c r="E2889" t="s">
        <v>27</v>
      </c>
    </row>
    <row r="2890" spans="1:5" x14ac:dyDescent="0.25">
      <c r="A2890" t="str">
        <f>HYPERLINK("https://www.773grp.com/globalSearch/MC74AC11ML1/page-1", "MC74AC11ML1")</f>
        <v>MC74AC11ML1</v>
      </c>
      <c r="B2890" s="3" t="str">
        <f>HYPERLINK("https://www.773grp.com/manufacturer/onsemi?pageNo=193", "Onsemi")</f>
        <v>Onsemi</v>
      </c>
      <c r="C2890" s="6">
        <v>19000</v>
      </c>
      <c r="D2890" s="7">
        <v>0.48</v>
      </c>
    </row>
    <row r="2891" spans="1:5" x14ac:dyDescent="0.25">
      <c r="A2891" t="str">
        <f>HYPERLINK("https://www.773grp.com/globalSearch/MC74AC125D/page-1", "MC74AC125D")</f>
        <v>MC74AC125D</v>
      </c>
      <c r="B2891" s="3" t="str">
        <f>HYPERLINK("https://www.773grp.com/manufacturer/onsemi?pageNo=194", "Onsemi")</f>
        <v>Onsemi</v>
      </c>
      <c r="C2891" s="6">
        <v>1365</v>
      </c>
      <c r="D2891" s="7">
        <v>0.48</v>
      </c>
      <c r="E2891" t="s">
        <v>11</v>
      </c>
    </row>
    <row r="2892" spans="1:5" x14ac:dyDescent="0.25">
      <c r="A2892" t="str">
        <f>HYPERLINK("https://www.773grp.com/globalSearch/MC74AC125DR2/page-1", "MC74AC125DR2")</f>
        <v>MC74AC125DR2</v>
      </c>
      <c r="B2892" s="3" t="str">
        <f>HYPERLINK("https://www.773grp.com/manufacturer/onsemi?pageNo=195", "Onsemi")</f>
        <v>Onsemi</v>
      </c>
      <c r="C2892" s="6">
        <v>27500</v>
      </c>
      <c r="D2892" s="7">
        <v>0.48</v>
      </c>
      <c r="E2892" t="s">
        <v>11</v>
      </c>
    </row>
    <row r="2893" spans="1:5" x14ac:dyDescent="0.25">
      <c r="A2893" t="str">
        <f>HYPERLINK("https://www.773grp.com/globalSearch/MC74AC125M/page-1", "MC74AC125M")</f>
        <v>MC74AC125M</v>
      </c>
      <c r="B2893" s="3" t="str">
        <f>HYPERLINK("https://www.773grp.com/manufacturer/onsemi?pageNo=196", "Onsemi")</f>
        <v>Onsemi</v>
      </c>
      <c r="C2893" s="6">
        <v>250</v>
      </c>
      <c r="D2893" s="7">
        <v>0.48</v>
      </c>
      <c r="E2893" t="s">
        <v>11</v>
      </c>
    </row>
    <row r="2894" spans="1:5" x14ac:dyDescent="0.25">
      <c r="A2894" t="str">
        <f>HYPERLINK("https://www.773grp.com/globalSearch/MC74AC125MEL/page-1", "MC74AC125MEL")</f>
        <v>MC74AC125MEL</v>
      </c>
      <c r="B2894" s="3" t="str">
        <f>HYPERLINK("https://www.773grp.com/manufacturer/onsemi?pageNo=197", "Onsemi")</f>
        <v>Onsemi</v>
      </c>
      <c r="C2894" s="6">
        <v>12000</v>
      </c>
      <c r="D2894" s="7">
        <v>0.48</v>
      </c>
      <c r="E2894" t="s">
        <v>11</v>
      </c>
    </row>
    <row r="2895" spans="1:5" x14ac:dyDescent="0.25">
      <c r="A2895" t="str">
        <f>HYPERLINK("https://www.773grp.com/globalSearch/MC74AC138MG/page-1", "MC74AC138MG")</f>
        <v>MC74AC138MG</v>
      </c>
      <c r="B2895" s="3" t="str">
        <f>HYPERLINK("https://www.773grp.com/manufacturer/onsemi?pageNo=198", "Onsemi")</f>
        <v>Onsemi</v>
      </c>
      <c r="C2895" s="6">
        <v>1700</v>
      </c>
      <c r="D2895" s="7">
        <v>0.48</v>
      </c>
      <c r="E2895" t="s">
        <v>32</v>
      </c>
    </row>
    <row r="2896" spans="1:5" x14ac:dyDescent="0.25">
      <c r="A2896" t="str">
        <f>HYPERLINK("https://www.773grp.com/globalSearch/MC74AC161D/page-1", "MC74AC161D")</f>
        <v>MC74AC161D</v>
      </c>
      <c r="B2896" s="3" t="str">
        <f>HYPERLINK("https://www.773grp.com/manufacturer/onsemi?pageNo=199", "Onsemi")</f>
        <v>Onsemi</v>
      </c>
      <c r="C2896" s="6">
        <v>7142</v>
      </c>
      <c r="D2896" s="7">
        <v>0.48</v>
      </c>
      <c r="E2896" t="s">
        <v>22</v>
      </c>
    </row>
    <row r="2897" spans="1:5" x14ac:dyDescent="0.25">
      <c r="A2897" t="str">
        <f>HYPERLINK("https://www.773grp.com/globalSearch/MC74AC161DR2/page-1", "MC74AC161DR2")</f>
        <v>MC74AC161DR2</v>
      </c>
      <c r="B2897" s="3" t="str">
        <f>HYPERLINK("https://www.773grp.com/manufacturer/onsemi?pageNo=200", "Onsemi")</f>
        <v>Onsemi</v>
      </c>
      <c r="C2897" s="6">
        <v>15000</v>
      </c>
      <c r="D2897" s="7">
        <v>0.48</v>
      </c>
      <c r="E2897" t="s">
        <v>22</v>
      </c>
    </row>
    <row r="2898" spans="1:5" x14ac:dyDescent="0.25">
      <c r="A2898" t="str">
        <f>HYPERLINK("https://www.773grp.com/globalSearch/MC74AC161M/page-1", "MC74AC161M")</f>
        <v>MC74AC161M</v>
      </c>
      <c r="B2898" s="3" t="str">
        <f>HYPERLINK("https://www.773grp.com/manufacturer/onsemi?pageNo=201", "Onsemi")</f>
        <v>Onsemi</v>
      </c>
      <c r="C2898" s="6">
        <v>1200</v>
      </c>
      <c r="D2898" s="7">
        <v>0.48</v>
      </c>
      <c r="E2898" t="s">
        <v>22</v>
      </c>
    </row>
    <row r="2899" spans="1:5" x14ac:dyDescent="0.25">
      <c r="A2899" t="str">
        <f>HYPERLINK("https://www.773grp.com/globalSearch/MC74AC240DW/page-1", "MC74AC240DW")</f>
        <v>MC74AC240DW</v>
      </c>
      <c r="B2899" s="3" t="str">
        <f>HYPERLINK("https://www.773grp.com/manufacturer/onsemi?pageNo=202", "Onsemi")</f>
        <v>Onsemi</v>
      </c>
      <c r="C2899" s="6">
        <v>150</v>
      </c>
      <c r="D2899" s="7">
        <v>0.48</v>
      </c>
      <c r="E2899" t="s">
        <v>11</v>
      </c>
    </row>
    <row r="2900" spans="1:5" x14ac:dyDescent="0.25">
      <c r="A2900" t="str">
        <f>HYPERLINK("https://www.773grp.com/globalSearch/MC74AC244DW/page-1", "MC74AC244DW")</f>
        <v>MC74AC244DW</v>
      </c>
      <c r="B2900" s="3" t="str">
        <f>HYPERLINK("https://www.773grp.com/manufacturer/onsemi?pageNo=203", "Onsemi")</f>
        <v>Onsemi</v>
      </c>
      <c r="C2900" s="6">
        <v>982</v>
      </c>
      <c r="D2900" s="7">
        <v>0.48</v>
      </c>
      <c r="E2900" t="s">
        <v>11</v>
      </c>
    </row>
    <row r="2901" spans="1:5" x14ac:dyDescent="0.25">
      <c r="A2901" t="str">
        <f>HYPERLINK("https://www.773grp.com/globalSearch/MC74AC245DT/page-1", "MC74AC245DT")</f>
        <v>MC74AC245DT</v>
      </c>
      <c r="B2901" s="3" t="str">
        <f>HYPERLINK("https://www.773grp.com/manufacturer/onsemi?pageNo=204", "Onsemi")</f>
        <v>Onsemi</v>
      </c>
      <c r="C2901" s="6">
        <v>9913</v>
      </c>
      <c r="D2901" s="7">
        <v>0.48</v>
      </c>
      <c r="E2901" t="s">
        <v>11</v>
      </c>
    </row>
    <row r="2902" spans="1:5" x14ac:dyDescent="0.25">
      <c r="A2902" t="str">
        <f>HYPERLINK("https://www.773grp.com/globalSearch/MC74AC273DW/page-1", "MC74AC273DW")</f>
        <v>MC74AC273DW</v>
      </c>
      <c r="B2902" s="3" t="str">
        <f>HYPERLINK("https://www.773grp.com/manufacturer/onsemi?pageNo=205", "Onsemi")</f>
        <v>Onsemi</v>
      </c>
      <c r="C2902" s="6">
        <v>8514</v>
      </c>
      <c r="D2902" s="7">
        <v>0.48</v>
      </c>
      <c r="E2902" t="s">
        <v>31</v>
      </c>
    </row>
    <row r="2903" spans="1:5" x14ac:dyDescent="0.25">
      <c r="A2903" t="str">
        <f>HYPERLINK("https://www.773grp.com/globalSearch/MC74AC273DWR2/page-1", "MC74AC273DWR2")</f>
        <v>MC74AC273DWR2</v>
      </c>
      <c r="B2903" s="3" t="str">
        <f>HYPERLINK("https://www.773grp.com/manufacturer/onsemi?pageNo=206", "Onsemi")</f>
        <v>Onsemi</v>
      </c>
      <c r="C2903" s="6">
        <v>4000</v>
      </c>
      <c r="D2903" s="7">
        <v>0.48</v>
      </c>
      <c r="E2903" t="s">
        <v>31</v>
      </c>
    </row>
    <row r="2904" spans="1:5" x14ac:dyDescent="0.25">
      <c r="A2904" t="str">
        <f>HYPERLINK("https://www.773grp.com/globalSearch/MC74AC32DT/page-1", "MC74AC32DT")</f>
        <v>MC74AC32DT</v>
      </c>
      <c r="B2904" s="3" t="str">
        <f>HYPERLINK("https://www.773grp.com/manufacturer/onsemi?pageNo=207", "Onsemi")</f>
        <v>Onsemi</v>
      </c>
      <c r="C2904" s="6">
        <v>7120</v>
      </c>
      <c r="D2904" s="7">
        <v>0.48</v>
      </c>
      <c r="E2904" t="s">
        <v>27</v>
      </c>
    </row>
    <row r="2905" spans="1:5" x14ac:dyDescent="0.25">
      <c r="A2905" t="str">
        <f>HYPERLINK("https://www.773grp.com/globalSearch/MC74AC32DTEL/page-1", "MC74AC32DTEL")</f>
        <v>MC74AC32DTEL</v>
      </c>
      <c r="B2905" s="3" t="str">
        <f>HYPERLINK("https://www.773grp.com/manufacturer/onsemi?pageNo=208", "Onsemi")</f>
        <v>Onsemi</v>
      </c>
      <c r="C2905" s="6">
        <v>2000</v>
      </c>
      <c r="D2905" s="7">
        <v>0.48</v>
      </c>
    </row>
    <row r="2906" spans="1:5" x14ac:dyDescent="0.25">
      <c r="A2906" t="str">
        <f>HYPERLINK("https://www.773grp.com/globalSearch/MC74AC32M/page-1", "MC74AC32M")</f>
        <v>MC74AC32M</v>
      </c>
      <c r="B2906" s="3" t="str">
        <f>HYPERLINK("https://www.773grp.com/manufacturer/onsemi?pageNo=209", "Onsemi")</f>
        <v>Onsemi</v>
      </c>
      <c r="C2906" s="6">
        <v>580</v>
      </c>
      <c r="D2906" s="7">
        <v>0.48</v>
      </c>
      <c r="E2906" t="s">
        <v>27</v>
      </c>
    </row>
    <row r="2907" spans="1:5" x14ac:dyDescent="0.25">
      <c r="A2907" t="str">
        <f>HYPERLINK("https://www.773grp.com/globalSearch/MC74AC32ML1/page-1", "MC74AC32ML1")</f>
        <v>MC74AC32ML1</v>
      </c>
      <c r="B2907" s="3" t="str">
        <f>HYPERLINK("https://www.773grp.com/manufacturer/onsemi?pageNo=210", "Onsemi")</f>
        <v>Onsemi</v>
      </c>
      <c r="C2907" s="6">
        <v>10000</v>
      </c>
      <c r="D2907" s="7">
        <v>0.48</v>
      </c>
    </row>
    <row r="2908" spans="1:5" x14ac:dyDescent="0.25">
      <c r="A2908" t="str">
        <f>HYPERLINK("https://www.773grp.com/globalSearch/MC74AC32MR1/page-1", "MC74AC32MR1")</f>
        <v>MC74AC32MR1</v>
      </c>
      <c r="B2908" s="3" t="str">
        <f>HYPERLINK("https://www.773grp.com/manufacturer/onsemi?pageNo=211", "Onsemi")</f>
        <v>Onsemi</v>
      </c>
      <c r="C2908" s="6">
        <v>9000</v>
      </c>
      <c r="D2908" s="7">
        <v>0.48</v>
      </c>
      <c r="E2908" t="s">
        <v>27</v>
      </c>
    </row>
    <row r="2909" spans="1:5" x14ac:dyDescent="0.25">
      <c r="A2909" t="str">
        <f>HYPERLINK("https://www.773grp.com/globalSearch/MC74AC373DW/page-1", "MC74AC373DW")</f>
        <v>MC74AC373DW</v>
      </c>
      <c r="B2909" s="3" t="str">
        <f>HYPERLINK("https://www.773grp.com/manufacturer/onsemi?pageNo=212", "Onsemi")</f>
        <v>Onsemi</v>
      </c>
      <c r="C2909" s="6">
        <v>190</v>
      </c>
      <c r="D2909" s="7">
        <v>0.48</v>
      </c>
      <c r="E2909" t="s">
        <v>11</v>
      </c>
    </row>
    <row r="2910" spans="1:5" x14ac:dyDescent="0.25">
      <c r="A2910" t="str">
        <f>HYPERLINK("https://www.773grp.com/globalSearch/MC74AC373DWR2/page-1", "MC74AC373DWR2")</f>
        <v>MC74AC373DWR2</v>
      </c>
      <c r="B2910" s="3" t="str">
        <f>HYPERLINK("https://www.773grp.com/manufacturer/onsemi?pageNo=213", "Onsemi")</f>
        <v>Onsemi</v>
      </c>
      <c r="C2910" s="6">
        <v>3000</v>
      </c>
      <c r="D2910" s="7">
        <v>0.48</v>
      </c>
      <c r="E2910" t="s">
        <v>11</v>
      </c>
    </row>
    <row r="2911" spans="1:5" x14ac:dyDescent="0.25">
      <c r="A2911" t="str">
        <f>HYPERLINK("https://www.773grp.com/globalSearch/MC74AC374DW/page-1", "MC74AC374DW")</f>
        <v>MC74AC374DW</v>
      </c>
      <c r="B2911" s="3" t="str">
        <f>HYPERLINK("https://www.773grp.com/manufacturer/onsemi?pageNo=214", "Onsemi")</f>
        <v>Onsemi</v>
      </c>
      <c r="C2911" s="6">
        <v>114</v>
      </c>
      <c r="D2911" s="7">
        <v>0.48</v>
      </c>
      <c r="E2911" t="s">
        <v>11</v>
      </c>
    </row>
    <row r="2912" spans="1:5" x14ac:dyDescent="0.25">
      <c r="A2912" t="str">
        <f>HYPERLINK("https://www.773grp.com/globalSearch/MC74AC573DT/page-1", "MC74AC573DT")</f>
        <v>MC74AC573DT</v>
      </c>
      <c r="B2912" s="3" t="str">
        <f>HYPERLINK("https://www.773grp.com/manufacturer/onsemi?pageNo=215", "Onsemi")</f>
        <v>Onsemi</v>
      </c>
      <c r="C2912" s="6">
        <v>9350</v>
      </c>
      <c r="D2912" s="7">
        <v>0.48</v>
      </c>
      <c r="E2912" t="s">
        <v>11</v>
      </c>
    </row>
    <row r="2913" spans="1:5" x14ac:dyDescent="0.25">
      <c r="A2913" t="str">
        <f>HYPERLINK("https://www.773grp.com/globalSearch/MC74AC574DW/page-1", "MC74AC574DW")</f>
        <v>MC74AC574DW</v>
      </c>
      <c r="B2913" s="3" t="str">
        <f>HYPERLINK("https://www.773grp.com/manufacturer/onsemi?pageNo=216", "Onsemi")</f>
        <v>Onsemi</v>
      </c>
      <c r="C2913" s="6">
        <v>18122</v>
      </c>
      <c r="D2913" s="7">
        <v>0.48</v>
      </c>
      <c r="E2913" t="s">
        <v>11</v>
      </c>
    </row>
    <row r="2914" spans="1:5" x14ac:dyDescent="0.25">
      <c r="A2914" t="str">
        <f>HYPERLINK("https://www.773grp.com/globalSearch/MC74AC574DWR2/page-1", "MC74AC574DWR2")</f>
        <v>MC74AC574DWR2</v>
      </c>
      <c r="B2914" s="3" t="str">
        <f>HYPERLINK("https://www.773grp.com/manufacturer/onsemi?pageNo=217", "Onsemi")</f>
        <v>Onsemi</v>
      </c>
      <c r="C2914" s="6">
        <v>2000</v>
      </c>
      <c r="D2914" s="7">
        <v>0.48</v>
      </c>
      <c r="E2914" t="s">
        <v>11</v>
      </c>
    </row>
    <row r="2915" spans="1:5" x14ac:dyDescent="0.25">
      <c r="A2915" t="str">
        <f>HYPERLINK("https://www.773grp.com/globalSearch/MC74AC74M/page-1", "MC74AC74M")</f>
        <v>MC74AC74M</v>
      </c>
      <c r="B2915" s="3" t="str">
        <f>HYPERLINK("https://www.773grp.com/manufacturer/onsemi?pageNo=218", "Onsemi")</f>
        <v>Onsemi</v>
      </c>
      <c r="C2915" s="6">
        <v>10070</v>
      </c>
      <c r="D2915" s="7">
        <v>0.48</v>
      </c>
      <c r="E2915" t="s">
        <v>31</v>
      </c>
    </row>
    <row r="2916" spans="1:5" x14ac:dyDescent="0.25">
      <c r="A2916" t="str">
        <f>HYPERLINK("https://www.773grp.com/globalSearch/MC74AC74ML1/page-1", "MC74AC74ML1")</f>
        <v>MC74AC74ML1</v>
      </c>
      <c r="B2916" s="3" t="str">
        <f>HYPERLINK("https://www.773grp.com/manufacturer/onsemi?pageNo=219", "Onsemi")</f>
        <v>Onsemi</v>
      </c>
      <c r="C2916" s="6">
        <v>4000</v>
      </c>
      <c r="D2916" s="7">
        <v>0.48</v>
      </c>
    </row>
    <row r="2917" spans="1:5" x14ac:dyDescent="0.25">
      <c r="A2917" t="str">
        <f>HYPERLINK("https://www.773grp.com/globalSearch/MC74ACT00DT/page-1", "MC74ACT00DT")</f>
        <v>MC74ACT00DT</v>
      </c>
      <c r="B2917" s="3" t="str">
        <f>HYPERLINK("https://www.773grp.com/manufacturer/onsemi?pageNo=220", "Onsemi")</f>
        <v>Onsemi</v>
      </c>
      <c r="C2917" s="6">
        <v>7258</v>
      </c>
      <c r="D2917" s="7">
        <v>0.48</v>
      </c>
      <c r="E2917" t="s">
        <v>27</v>
      </c>
    </row>
    <row r="2918" spans="1:5" x14ac:dyDescent="0.25">
      <c r="A2918" t="str">
        <f>HYPERLINK("https://www.773grp.com/globalSearch/MC74ACT00DTEL/page-1", "MC74ACT00DTEL")</f>
        <v>MC74ACT00DTEL</v>
      </c>
      <c r="B2918" s="3" t="str">
        <f>HYPERLINK("https://www.773grp.com/manufacturer/onsemi?pageNo=221", "Onsemi")</f>
        <v>Onsemi</v>
      </c>
      <c r="C2918" s="6">
        <v>6000</v>
      </c>
      <c r="D2918" s="7">
        <v>0.48</v>
      </c>
    </row>
    <row r="2919" spans="1:5" x14ac:dyDescent="0.25">
      <c r="A2919" t="str">
        <f>HYPERLINK("https://www.773grp.com/globalSearch/MC74ACT00ML1/page-1", "MC74ACT00ML1")</f>
        <v>MC74ACT00ML1</v>
      </c>
      <c r="B2919" s="3" t="str">
        <f>HYPERLINK("https://www.773grp.com/manufacturer/onsemi?pageNo=222", "Onsemi")</f>
        <v>Onsemi</v>
      </c>
      <c r="C2919" s="6">
        <v>13000</v>
      </c>
      <c r="D2919" s="7">
        <v>0.48</v>
      </c>
    </row>
    <row r="2920" spans="1:5" x14ac:dyDescent="0.25">
      <c r="A2920" t="str">
        <f>HYPERLINK("https://www.773grp.com/globalSearch/MC74ACT02DT/page-1", "MC74ACT02DT")</f>
        <v>MC74ACT02DT</v>
      </c>
      <c r="B2920" s="3" t="str">
        <f>HYPERLINK("https://www.773grp.com/manufacturer/onsemi?pageNo=223", "Onsemi")</f>
        <v>Onsemi</v>
      </c>
      <c r="C2920" s="6">
        <v>29856</v>
      </c>
      <c r="D2920" s="7">
        <v>0.48</v>
      </c>
      <c r="E2920" t="s">
        <v>27</v>
      </c>
    </row>
    <row r="2921" spans="1:5" x14ac:dyDescent="0.25">
      <c r="A2921" t="str">
        <f>HYPERLINK("https://www.773grp.com/globalSearch/MC74ACT02M/page-1", "MC74ACT02M")</f>
        <v>MC74ACT02M</v>
      </c>
      <c r="B2921" s="3" t="str">
        <f>HYPERLINK("https://www.773grp.com/manufacturer/onsemi?pageNo=224", "Onsemi")</f>
        <v>Onsemi</v>
      </c>
      <c r="C2921" s="6">
        <v>27450</v>
      </c>
      <c r="D2921" s="7">
        <v>0.48</v>
      </c>
      <c r="E2921" t="s">
        <v>27</v>
      </c>
    </row>
    <row r="2922" spans="1:5" x14ac:dyDescent="0.25">
      <c r="A2922" t="str">
        <f>HYPERLINK("https://www.773grp.com/globalSearch/MC74ACT02ML1/page-1", "MC74ACT02ML1")</f>
        <v>MC74ACT02ML1</v>
      </c>
      <c r="B2922" s="3" t="str">
        <f>HYPERLINK("https://www.773grp.com/manufacturer/onsemi?pageNo=225", "Onsemi")</f>
        <v>Onsemi</v>
      </c>
      <c r="C2922" s="6">
        <v>1000</v>
      </c>
      <c r="D2922" s="7">
        <v>0.48</v>
      </c>
    </row>
    <row r="2923" spans="1:5" x14ac:dyDescent="0.25">
      <c r="A2923" t="str">
        <f>HYPERLINK("https://www.773grp.com/globalSearch/MC74ACT04DT/page-1", "MC74ACT04DT")</f>
        <v>MC74ACT04DT</v>
      </c>
      <c r="B2923" s="3" t="str">
        <f>HYPERLINK("https://www.773grp.com/manufacturer/onsemi?pageNo=226", "Onsemi")</f>
        <v>Onsemi</v>
      </c>
      <c r="C2923" s="6">
        <v>10297</v>
      </c>
      <c r="D2923" s="7">
        <v>0.48</v>
      </c>
      <c r="E2923" t="s">
        <v>27</v>
      </c>
    </row>
    <row r="2924" spans="1:5" x14ac:dyDescent="0.25">
      <c r="A2924" t="str">
        <f>HYPERLINK("https://www.773grp.com/globalSearch/MC74ACT04ML1/page-1", "MC74ACT04ML1")</f>
        <v>MC74ACT04ML1</v>
      </c>
      <c r="B2924" s="3" t="str">
        <f>HYPERLINK("https://www.773grp.com/manufacturer/onsemi?pageNo=227", "Onsemi")</f>
        <v>Onsemi</v>
      </c>
      <c r="C2924" s="6">
        <v>10000</v>
      </c>
      <c r="D2924" s="7">
        <v>0.48</v>
      </c>
    </row>
    <row r="2925" spans="1:5" x14ac:dyDescent="0.25">
      <c r="A2925" t="str">
        <f>HYPERLINK("https://www.773grp.com/globalSearch/MC74ACT04MR1/page-1", "MC74ACT04MR1")</f>
        <v>MC74ACT04MR1</v>
      </c>
      <c r="B2925" s="3" t="str">
        <f>HYPERLINK("https://www.773grp.com/manufacturer/onsemi?pageNo=228", "Onsemi")</f>
        <v>Onsemi</v>
      </c>
      <c r="C2925" s="6">
        <v>11000</v>
      </c>
      <c r="D2925" s="7">
        <v>0.48</v>
      </c>
      <c r="E2925" t="s">
        <v>27</v>
      </c>
    </row>
    <row r="2926" spans="1:5" x14ac:dyDescent="0.25">
      <c r="A2926" t="str">
        <f>HYPERLINK("https://www.773grp.com/globalSearch/MC74ACT05M/page-1", "MC74ACT05M")</f>
        <v>MC74ACT05M</v>
      </c>
      <c r="B2926" s="3" t="str">
        <f>HYPERLINK("https://www.773grp.com/manufacturer/onsemi?pageNo=229", "Onsemi")</f>
        <v>Onsemi</v>
      </c>
      <c r="C2926" s="6">
        <v>400</v>
      </c>
      <c r="D2926" s="7">
        <v>0.48</v>
      </c>
      <c r="E2926" t="s">
        <v>27</v>
      </c>
    </row>
    <row r="2927" spans="1:5" x14ac:dyDescent="0.25">
      <c r="A2927" t="str">
        <f>HYPERLINK("https://www.773grp.com/globalSearch/MC74ACT08M/page-1", "MC74ACT08M")</f>
        <v>MC74ACT08M</v>
      </c>
      <c r="B2927" s="3" t="str">
        <f>HYPERLINK("https://www.773grp.com/manufacturer/onsemi?pageNo=230", "Onsemi")</f>
        <v>Onsemi</v>
      </c>
      <c r="C2927" s="6">
        <v>25782</v>
      </c>
      <c r="D2927" s="7">
        <v>0.48</v>
      </c>
      <c r="E2927" t="s">
        <v>27</v>
      </c>
    </row>
    <row r="2928" spans="1:5" x14ac:dyDescent="0.25">
      <c r="A2928" t="str">
        <f>HYPERLINK("https://www.773grp.com/globalSearch/MC74ACT08ML1/page-1", "MC74ACT08ML1")</f>
        <v>MC74ACT08ML1</v>
      </c>
      <c r="B2928" s="3" t="str">
        <f>HYPERLINK("https://www.773grp.com/manufacturer/onsemi?pageNo=231", "Onsemi")</f>
        <v>Onsemi</v>
      </c>
      <c r="C2928" s="6">
        <v>16000</v>
      </c>
      <c r="D2928" s="7">
        <v>0.48</v>
      </c>
    </row>
    <row r="2929" spans="1:5" x14ac:dyDescent="0.25">
      <c r="A2929" t="str">
        <f>HYPERLINK("https://www.773grp.com/globalSearch/MC74ACT10M/page-1", "MC74ACT10M")</f>
        <v>MC74ACT10M</v>
      </c>
      <c r="B2929" s="3" t="str">
        <f>HYPERLINK("https://www.773grp.com/manufacturer/onsemi?pageNo=232", "Onsemi")</f>
        <v>Onsemi</v>
      </c>
      <c r="C2929" s="6">
        <v>11855</v>
      </c>
      <c r="D2929" s="7">
        <v>0.48</v>
      </c>
      <c r="E2929" t="s">
        <v>27</v>
      </c>
    </row>
    <row r="2930" spans="1:5" x14ac:dyDescent="0.25">
      <c r="A2930" t="str">
        <f>HYPERLINK("https://www.773grp.com/globalSearch/MC74ACT10ML1/page-1", "MC74ACT10ML1")</f>
        <v>MC74ACT10ML1</v>
      </c>
      <c r="B2930" s="3" t="str">
        <f>HYPERLINK("https://www.773grp.com/manufacturer/onsemi?pageNo=233", "Onsemi")</f>
        <v>Onsemi</v>
      </c>
      <c r="C2930" s="6">
        <v>12000</v>
      </c>
      <c r="D2930" s="7">
        <v>0.48</v>
      </c>
      <c r="E2930" t="s">
        <v>27</v>
      </c>
    </row>
    <row r="2931" spans="1:5" x14ac:dyDescent="0.25">
      <c r="A2931" t="str">
        <f>HYPERLINK("https://www.773grp.com/globalSearch/MC74ACT11ML1/page-1", "MC74ACT11ML1")</f>
        <v>MC74ACT11ML1</v>
      </c>
      <c r="B2931" s="3" t="str">
        <f>HYPERLINK("https://www.773grp.com/manufacturer/onsemi?pageNo=234", "Onsemi")</f>
        <v>Onsemi</v>
      </c>
      <c r="C2931" s="6">
        <v>9000</v>
      </c>
      <c r="D2931" s="7">
        <v>0.48</v>
      </c>
      <c r="E2931" t="s">
        <v>27</v>
      </c>
    </row>
    <row r="2932" spans="1:5" x14ac:dyDescent="0.25">
      <c r="A2932" t="str">
        <f>HYPERLINK("https://www.773grp.com/globalSearch/MC74ACT161DR2/page-1", "MC74ACT161DR2")</f>
        <v>MC74ACT161DR2</v>
      </c>
      <c r="B2932" s="3" t="str">
        <f>HYPERLINK("https://www.773grp.com/manufacturer/onsemi?pageNo=235", "Onsemi")</f>
        <v>Onsemi</v>
      </c>
      <c r="C2932" s="6">
        <v>10000</v>
      </c>
      <c r="D2932" s="7">
        <v>0.48</v>
      </c>
      <c r="E2932" t="s">
        <v>22</v>
      </c>
    </row>
    <row r="2933" spans="1:5" x14ac:dyDescent="0.25">
      <c r="A2933" t="str">
        <f>HYPERLINK("https://www.773grp.com/globalSearch/MC74ACT163D/page-1", "MC74ACT163D")</f>
        <v>MC74ACT163D</v>
      </c>
      <c r="B2933" s="3" t="str">
        <f>HYPERLINK("https://www.773grp.com/manufacturer/onsemi?pageNo=236", "Onsemi")</f>
        <v>Onsemi</v>
      </c>
      <c r="C2933" s="6">
        <v>4232</v>
      </c>
      <c r="D2933" s="7">
        <v>0.48</v>
      </c>
      <c r="E2933" t="s">
        <v>22</v>
      </c>
    </row>
    <row r="2934" spans="1:5" x14ac:dyDescent="0.25">
      <c r="A2934" t="str">
        <f>HYPERLINK("https://www.773grp.com/globalSearch/MC74ACT163DR2/page-1", "MC74ACT163DR2")</f>
        <v>MC74ACT163DR2</v>
      </c>
      <c r="B2934" s="3" t="str">
        <f>HYPERLINK("https://www.773grp.com/manufacturer/onsemi?pageNo=237", "Onsemi")</f>
        <v>Onsemi</v>
      </c>
      <c r="C2934" s="6">
        <v>47500</v>
      </c>
      <c r="D2934" s="7">
        <v>0.48</v>
      </c>
      <c r="E2934" t="s">
        <v>22</v>
      </c>
    </row>
    <row r="2935" spans="1:5" x14ac:dyDescent="0.25">
      <c r="A2935" t="str">
        <f>HYPERLINK("https://www.773grp.com/globalSearch/MC74ACT20ML1/page-1", "MC74ACT20ML1")</f>
        <v>MC74ACT20ML1</v>
      </c>
      <c r="B2935" s="3" t="str">
        <f>HYPERLINK("https://www.773grp.com/manufacturer/onsemi?pageNo=238", "Onsemi")</f>
        <v>Onsemi</v>
      </c>
      <c r="C2935" s="6">
        <v>4000</v>
      </c>
      <c r="D2935" s="7">
        <v>0.48</v>
      </c>
    </row>
    <row r="2936" spans="1:5" x14ac:dyDescent="0.25">
      <c r="A2936" t="str">
        <f>HYPERLINK("https://www.773grp.com/globalSearch/MC74ACT240DWR2/page-1", "MC74ACT240DWR2")</f>
        <v>MC74ACT240DWR2</v>
      </c>
      <c r="B2936" s="3" t="str">
        <f>HYPERLINK("https://www.773grp.com/manufacturer/onsemi?pageNo=239", "Onsemi")</f>
        <v>Onsemi</v>
      </c>
      <c r="C2936" s="6">
        <v>474</v>
      </c>
      <c r="D2936" s="7">
        <v>0.48</v>
      </c>
      <c r="E2936" t="s">
        <v>11</v>
      </c>
    </row>
    <row r="2937" spans="1:5" x14ac:dyDescent="0.25">
      <c r="A2937" t="str">
        <f>HYPERLINK("https://www.773grp.com/globalSearch/MC74ACT241DW/page-1", "MC74ACT241DW")</f>
        <v>MC74ACT241DW</v>
      </c>
      <c r="B2937" s="3" t="str">
        <f>HYPERLINK("https://www.773grp.com/manufacturer/onsemi?pageNo=240", "Onsemi")</f>
        <v>Onsemi</v>
      </c>
      <c r="C2937" s="6">
        <v>152</v>
      </c>
      <c r="D2937" s="7">
        <v>0.48</v>
      </c>
      <c r="E2937" t="s">
        <v>11</v>
      </c>
    </row>
    <row r="2938" spans="1:5" x14ac:dyDescent="0.25">
      <c r="A2938" t="str">
        <f>HYPERLINK("https://www.773grp.com/globalSearch/MC74ACT241DWR2/page-1", "MC74ACT241DWR2")</f>
        <v>MC74ACT241DWR2</v>
      </c>
      <c r="B2938" s="3" t="str">
        <f>HYPERLINK("https://www.773grp.com/manufacturer/onsemi?pageNo=241", "Onsemi")</f>
        <v>Onsemi</v>
      </c>
      <c r="C2938" s="6">
        <v>3000</v>
      </c>
      <c r="D2938" s="7">
        <v>0.48</v>
      </c>
      <c r="E2938" t="s">
        <v>11</v>
      </c>
    </row>
    <row r="2939" spans="1:5" x14ac:dyDescent="0.25">
      <c r="A2939" t="str">
        <f>HYPERLINK("https://www.773grp.com/globalSearch/MC74ACT244DT/page-1", "MC74ACT244DT")</f>
        <v>MC74ACT244DT</v>
      </c>
      <c r="B2939" s="3" t="str">
        <f>HYPERLINK("https://www.773grp.com/manufacturer/onsemi?pageNo=242", "Onsemi")</f>
        <v>Onsemi</v>
      </c>
      <c r="C2939" s="6">
        <v>11000</v>
      </c>
      <c r="D2939" s="7">
        <v>0.48</v>
      </c>
      <c r="E2939" t="s">
        <v>11</v>
      </c>
    </row>
    <row r="2940" spans="1:5" x14ac:dyDescent="0.25">
      <c r="A2940" t="str">
        <f>HYPERLINK("https://www.773grp.com/globalSearch/MC74ACT244DW/page-1", "MC74ACT244DW")</f>
        <v>MC74ACT244DW</v>
      </c>
      <c r="B2940" s="3" t="str">
        <f>HYPERLINK("https://www.773grp.com/manufacturer/onsemi?pageNo=243", "Onsemi")</f>
        <v>Onsemi</v>
      </c>
      <c r="C2940" s="6">
        <v>827</v>
      </c>
      <c r="D2940" s="7">
        <v>0.48</v>
      </c>
      <c r="E2940" t="s">
        <v>11</v>
      </c>
    </row>
    <row r="2941" spans="1:5" x14ac:dyDescent="0.25">
      <c r="A2941" t="str">
        <f>HYPERLINK("https://www.773grp.com/globalSearch/MC74ACT245DT/page-1", "MC74ACT245DT")</f>
        <v>MC74ACT245DT</v>
      </c>
      <c r="B2941" s="3" t="str">
        <f>HYPERLINK("https://www.773grp.com/manufacturer/onsemi?pageNo=244", "Onsemi")</f>
        <v>Onsemi</v>
      </c>
      <c r="C2941" s="6">
        <v>1515</v>
      </c>
      <c r="D2941" s="7">
        <v>0.48</v>
      </c>
      <c r="E2941" t="s">
        <v>11</v>
      </c>
    </row>
    <row r="2942" spans="1:5" x14ac:dyDescent="0.25">
      <c r="A2942" t="str">
        <f>HYPERLINK("https://www.773grp.com/globalSearch/MC74ACT245DTR2/page-1", "MC74ACT245DTR2")</f>
        <v>MC74ACT245DTR2</v>
      </c>
      <c r="B2942" s="3" t="str">
        <f>HYPERLINK("https://www.773grp.com/manufacturer/onsemi?pageNo=245", "Onsemi")</f>
        <v>Onsemi</v>
      </c>
      <c r="C2942" s="6">
        <v>7500</v>
      </c>
      <c r="D2942" s="7">
        <v>0.48</v>
      </c>
      <c r="E2942" t="s">
        <v>11</v>
      </c>
    </row>
    <row r="2943" spans="1:5" x14ac:dyDescent="0.25">
      <c r="A2943" t="str">
        <f>HYPERLINK("https://www.773grp.com/globalSearch/MC74ACT273DTR2/page-1", "MC74ACT273DTR2")</f>
        <v>MC74ACT273DTR2</v>
      </c>
      <c r="B2943" s="3" t="str">
        <f>HYPERLINK("https://www.773grp.com/manufacturer/onsemi?pageNo=246", "Onsemi")</f>
        <v>Onsemi</v>
      </c>
      <c r="C2943" s="6">
        <v>37500</v>
      </c>
      <c r="D2943" s="7">
        <v>0.48</v>
      </c>
      <c r="E2943" t="s">
        <v>31</v>
      </c>
    </row>
    <row r="2944" spans="1:5" x14ac:dyDescent="0.25">
      <c r="A2944" t="str">
        <f>HYPERLINK("https://www.773grp.com/globalSearch/MC74ACT32DT/page-1", "MC74ACT32DT")</f>
        <v>MC74ACT32DT</v>
      </c>
      <c r="B2944" s="3" t="str">
        <f>HYPERLINK("https://www.773grp.com/manufacturer/onsemi?pageNo=247", "Onsemi")</f>
        <v>Onsemi</v>
      </c>
      <c r="C2944" s="6">
        <v>17078</v>
      </c>
      <c r="D2944" s="7">
        <v>0.48</v>
      </c>
      <c r="E2944" t="s">
        <v>27</v>
      </c>
    </row>
    <row r="2945" spans="1:5" x14ac:dyDescent="0.25">
      <c r="A2945" t="str">
        <f>HYPERLINK("https://www.773grp.com/globalSearch/MC74ACT32DTEL/page-1", "MC74ACT32DTEL")</f>
        <v>MC74ACT32DTEL</v>
      </c>
      <c r="B2945" s="3" t="str">
        <f>HYPERLINK("https://www.773grp.com/manufacturer/onsemi?pageNo=248", "Onsemi")</f>
        <v>Onsemi</v>
      </c>
      <c r="C2945" s="6">
        <v>50000</v>
      </c>
      <c r="D2945" s="7">
        <v>0.48</v>
      </c>
    </row>
    <row r="2946" spans="1:5" x14ac:dyDescent="0.25">
      <c r="A2946" t="str">
        <f>HYPERLINK("https://www.773grp.com/globalSearch/MC74ACT32M/page-1", "MC74ACT32M")</f>
        <v>MC74ACT32M</v>
      </c>
      <c r="B2946" s="3" t="str">
        <f>HYPERLINK("https://www.773grp.com/manufacturer/onsemi?pageNo=249", "Onsemi")</f>
        <v>Onsemi</v>
      </c>
      <c r="C2946" s="6">
        <v>1450</v>
      </c>
      <c r="D2946" s="7">
        <v>0.48</v>
      </c>
      <c r="E2946" t="s">
        <v>27</v>
      </c>
    </row>
    <row r="2947" spans="1:5" x14ac:dyDescent="0.25">
      <c r="A2947" t="str">
        <f>HYPERLINK("https://www.773grp.com/globalSearch/MC74ACT32ML1/page-1", "MC74ACT32ML1")</f>
        <v>MC74ACT32ML1</v>
      </c>
      <c r="B2947" s="3" t="str">
        <f>HYPERLINK("https://www.773grp.com/manufacturer/onsemi?pageNo=250", "Onsemi")</f>
        <v>Onsemi</v>
      </c>
      <c r="C2947" s="6">
        <v>26000</v>
      </c>
      <c r="D2947" s="7">
        <v>0.48</v>
      </c>
    </row>
    <row r="2948" spans="1:5" x14ac:dyDescent="0.25">
      <c r="A2948" t="str">
        <f>HYPERLINK("https://www.773grp.com/globalSearch/MC74ACT32ML2/page-1", "MC74ACT32ML2")</f>
        <v>MC74ACT32ML2</v>
      </c>
      <c r="B2948" s="3" t="str">
        <f>HYPERLINK("https://www.773grp.com/manufacturer/onsemi?pageNo=251", "Onsemi")</f>
        <v>Onsemi</v>
      </c>
      <c r="C2948" s="6">
        <v>2000</v>
      </c>
      <c r="D2948" s="7">
        <v>0.48</v>
      </c>
    </row>
    <row r="2949" spans="1:5" x14ac:dyDescent="0.25">
      <c r="A2949" t="str">
        <f>HYPERLINK("https://www.773grp.com/globalSearch/MC74ACT374DW/page-1", "MC74ACT374DW")</f>
        <v>MC74ACT374DW</v>
      </c>
      <c r="B2949" s="3" t="str">
        <f>HYPERLINK("https://www.773grp.com/manufacturer/onsemi?pageNo=252", "Onsemi")</f>
        <v>Onsemi</v>
      </c>
      <c r="C2949" s="6">
        <v>5092</v>
      </c>
      <c r="D2949" s="7">
        <v>0.48</v>
      </c>
      <c r="E2949" t="s">
        <v>11</v>
      </c>
    </row>
    <row r="2950" spans="1:5" x14ac:dyDescent="0.25">
      <c r="A2950" t="str">
        <f>HYPERLINK("https://www.773grp.com/globalSearch/MC74ACT374DWR2/page-1", "MC74ACT374DWR2")</f>
        <v>MC74ACT374DWR2</v>
      </c>
      <c r="B2950" s="3" t="str">
        <f>HYPERLINK("https://www.773grp.com/manufacturer/onsemi?pageNo=253", "Onsemi")</f>
        <v>Onsemi</v>
      </c>
      <c r="C2950" s="6">
        <v>1500</v>
      </c>
      <c r="D2950" s="7">
        <v>0.48</v>
      </c>
      <c r="E2950" t="s">
        <v>11</v>
      </c>
    </row>
    <row r="2951" spans="1:5" x14ac:dyDescent="0.25">
      <c r="A2951" t="str">
        <f>HYPERLINK("https://www.773grp.com/globalSearch/MC74ACT573DW/page-1", "MC74ACT573DW")</f>
        <v>MC74ACT573DW</v>
      </c>
      <c r="B2951" s="3" t="str">
        <f>HYPERLINK("https://www.773grp.com/manufacturer/onsemi?pageNo=254", "Onsemi")</f>
        <v>Onsemi</v>
      </c>
      <c r="C2951" s="6">
        <v>1672</v>
      </c>
      <c r="D2951" s="7">
        <v>0.48</v>
      </c>
      <c r="E2951" t="s">
        <v>11</v>
      </c>
    </row>
    <row r="2952" spans="1:5" x14ac:dyDescent="0.25">
      <c r="A2952" t="str">
        <f>HYPERLINK("https://www.773grp.com/globalSearch/MC74ACT573DWR2/page-1", "MC74ACT573DWR2")</f>
        <v>MC74ACT573DWR2</v>
      </c>
      <c r="B2952" s="3" t="str">
        <f>HYPERLINK("https://www.773grp.com/manufacturer/onsemi?pageNo=255", "Onsemi")</f>
        <v>Onsemi</v>
      </c>
      <c r="C2952" s="6">
        <v>75000</v>
      </c>
      <c r="D2952" s="7">
        <v>0.48</v>
      </c>
      <c r="E2952" t="s">
        <v>11</v>
      </c>
    </row>
    <row r="2953" spans="1:5" x14ac:dyDescent="0.25">
      <c r="A2953" t="str">
        <f>HYPERLINK("https://www.773grp.com/globalSearch/MC74ACT574DTR2/page-1", "MC74ACT574DTR2")</f>
        <v>MC74ACT574DTR2</v>
      </c>
      <c r="B2953" s="3" t="str">
        <f>HYPERLINK("https://www.773grp.com/manufacturer/onsemi?pageNo=256", "Onsemi")</f>
        <v>Onsemi</v>
      </c>
      <c r="C2953" s="6">
        <v>2425</v>
      </c>
      <c r="D2953" s="7">
        <v>0.48</v>
      </c>
      <c r="E2953" t="s">
        <v>11</v>
      </c>
    </row>
    <row r="2954" spans="1:5" x14ac:dyDescent="0.25">
      <c r="A2954" t="str">
        <f>HYPERLINK("https://www.773grp.com/globalSearch/MC74ACT574DW/page-1", "MC74ACT574DW")</f>
        <v>MC74ACT574DW</v>
      </c>
      <c r="B2954" s="3" t="str">
        <f>HYPERLINK("https://www.773grp.com/manufacturer/onsemi?pageNo=257", "Onsemi")</f>
        <v>Onsemi</v>
      </c>
      <c r="C2954" s="6">
        <v>59</v>
      </c>
      <c r="D2954" s="7">
        <v>0.48</v>
      </c>
      <c r="E2954" t="s">
        <v>11</v>
      </c>
    </row>
    <row r="2955" spans="1:5" x14ac:dyDescent="0.25">
      <c r="A2955" t="str">
        <f>HYPERLINK("https://www.773grp.com/globalSearch/MC74ACT74DT/page-1", "MC74ACT74DT")</f>
        <v>MC74ACT74DT</v>
      </c>
      <c r="B2955" s="3" t="str">
        <f>HYPERLINK("https://www.773grp.com/manufacturer/onsemi?pageNo=258", "Onsemi")</f>
        <v>Onsemi</v>
      </c>
      <c r="C2955" s="6">
        <v>3536</v>
      </c>
      <c r="D2955" s="7">
        <v>0.48</v>
      </c>
      <c r="E2955" t="s">
        <v>31</v>
      </c>
    </row>
    <row r="2956" spans="1:5" x14ac:dyDescent="0.25">
      <c r="A2956" t="str">
        <f>HYPERLINK("https://www.773grp.com/globalSearch/MC74ACT74DT/page-1", "MC74ACT74DT")</f>
        <v>MC74ACT74DT</v>
      </c>
      <c r="B2956" s="3" t="str">
        <f>HYPERLINK("https://www.773grp.com/manufacturer/onsemi?pageNo=259", "Onsemi")</f>
        <v>Onsemi</v>
      </c>
      <c r="C2956" s="6">
        <v>1440</v>
      </c>
      <c r="D2956" s="7">
        <v>0.48</v>
      </c>
      <c r="E2956" t="s">
        <v>31</v>
      </c>
    </row>
    <row r="2957" spans="1:5" x14ac:dyDescent="0.25">
      <c r="A2957" t="str">
        <f>HYPERLINK("https://www.773grp.com/globalSearch/MC74ACT74ML1/page-1", "MC74ACT74ML1")</f>
        <v>MC74ACT74ML1</v>
      </c>
      <c r="B2957" s="3" t="str">
        <f>HYPERLINK("https://www.773grp.com/manufacturer/onsemi?pageNo=260", "Onsemi")</f>
        <v>Onsemi</v>
      </c>
      <c r="C2957" s="6">
        <v>5695</v>
      </c>
      <c r="D2957" s="7">
        <v>0.48</v>
      </c>
    </row>
    <row r="2958" spans="1:5" x14ac:dyDescent="0.25">
      <c r="A2958" t="str">
        <f>HYPERLINK("https://www.773grp.com/globalSearch/MC74ACT74MR1/page-1", "MC74ACT74MR1")</f>
        <v>MC74ACT74MR1</v>
      </c>
      <c r="B2958" s="3" t="str">
        <f>HYPERLINK("https://www.773grp.com/manufacturer/onsemi?pageNo=261", "Onsemi")</f>
        <v>Onsemi</v>
      </c>
      <c r="C2958" s="6">
        <v>9000</v>
      </c>
      <c r="D2958" s="7">
        <v>0.48</v>
      </c>
      <c r="E2958" t="s">
        <v>31</v>
      </c>
    </row>
    <row r="2959" spans="1:5" x14ac:dyDescent="0.25">
      <c r="A2959" t="str">
        <f>HYPERLINK("https://www.773grp.com/globalSearch/MC74F00M/page-1", "MC74F00M")</f>
        <v>MC74F00M</v>
      </c>
      <c r="B2959" s="3" t="str">
        <f>HYPERLINK("https://www.773grp.com/manufacturer/onsemi?pageNo=262", "Onsemi")</f>
        <v>Onsemi</v>
      </c>
      <c r="C2959" s="6">
        <v>4156</v>
      </c>
      <c r="D2959" s="7">
        <v>0.48</v>
      </c>
    </row>
    <row r="2960" spans="1:5" x14ac:dyDescent="0.25">
      <c r="A2960" t="str">
        <f>HYPERLINK("https://www.773grp.com/globalSearch/MC74F00MR1/page-1", "MC74F00MR1")</f>
        <v>MC74F00MR1</v>
      </c>
      <c r="B2960" s="3" t="str">
        <f>HYPERLINK("https://www.773grp.com/manufacturer/onsemi?pageNo=263", "Onsemi")</f>
        <v>Onsemi</v>
      </c>
      <c r="C2960" s="6">
        <v>3000</v>
      </c>
      <c r="D2960" s="7">
        <v>0.48</v>
      </c>
    </row>
    <row r="2961" spans="1:5" x14ac:dyDescent="0.25">
      <c r="A2961" t="str">
        <f>HYPERLINK("https://www.773grp.com/globalSearch/MC74F00N/page-1", "MC74F00N")</f>
        <v>MC74F00N</v>
      </c>
      <c r="B2961" s="3" t="str">
        <f>HYPERLINK("https://www.773grp.com/manufacturer/onsemi?pageNo=264", "Onsemi")</f>
        <v>Onsemi</v>
      </c>
      <c r="C2961" s="6">
        <v>2030</v>
      </c>
      <c r="D2961" s="7">
        <v>0.48</v>
      </c>
      <c r="E2961" t="s">
        <v>27</v>
      </c>
    </row>
    <row r="2962" spans="1:5" x14ac:dyDescent="0.25">
      <c r="A2962" t="str">
        <f>HYPERLINK("https://www.773grp.com/globalSearch/MC74F02D/page-1", "MC74F02D")</f>
        <v>MC74F02D</v>
      </c>
      <c r="B2962" s="3" t="str">
        <f>HYPERLINK("https://www.773grp.com/manufacturer/onsemi?pageNo=265", "Onsemi")</f>
        <v>Onsemi</v>
      </c>
      <c r="C2962" s="6">
        <v>5</v>
      </c>
      <c r="D2962" s="7">
        <v>0.48</v>
      </c>
      <c r="E2962" t="s">
        <v>27</v>
      </c>
    </row>
    <row r="2963" spans="1:5" x14ac:dyDescent="0.25">
      <c r="A2963" t="str">
        <f>HYPERLINK("https://www.773grp.com/globalSearch/MC74F02DR2/page-1", "MC74F02DR2")</f>
        <v>MC74F02DR2</v>
      </c>
      <c r="B2963" s="3" t="str">
        <f>HYPERLINK("https://www.773grp.com/manufacturer/onsemi?pageNo=266", "Onsemi")</f>
        <v>Onsemi</v>
      </c>
      <c r="C2963" s="6">
        <v>1944</v>
      </c>
      <c r="D2963" s="7">
        <v>0.48</v>
      </c>
      <c r="E2963" t="s">
        <v>27</v>
      </c>
    </row>
    <row r="2964" spans="1:5" x14ac:dyDescent="0.25">
      <c r="A2964" t="str">
        <f>HYPERLINK("https://www.773grp.com/globalSearch/MC74F02N/page-1", "MC74F02N")</f>
        <v>MC74F02N</v>
      </c>
      <c r="B2964" s="3" t="str">
        <f>HYPERLINK("https://www.773grp.com/manufacturer/onsemi?pageNo=267", "Onsemi")</f>
        <v>Onsemi</v>
      </c>
      <c r="C2964" s="6">
        <v>70</v>
      </c>
      <c r="D2964" s="7">
        <v>0.48</v>
      </c>
      <c r="E2964" t="s">
        <v>27</v>
      </c>
    </row>
    <row r="2965" spans="1:5" x14ac:dyDescent="0.25">
      <c r="A2965" t="str">
        <f>HYPERLINK("https://www.773grp.com/globalSearch/MC74F04D/page-1", "MC74F04D")</f>
        <v>MC74F04D</v>
      </c>
      <c r="B2965" s="3" t="str">
        <f>HYPERLINK("https://www.773grp.com/manufacturer/onsemi?pageNo=268", "Onsemi")</f>
        <v>Onsemi</v>
      </c>
      <c r="C2965" s="6">
        <v>463027</v>
      </c>
      <c r="D2965" s="7">
        <v>0.48</v>
      </c>
      <c r="E2965" t="s">
        <v>27</v>
      </c>
    </row>
    <row r="2966" spans="1:5" x14ac:dyDescent="0.25">
      <c r="A2966" t="str">
        <f>HYPERLINK("https://www.773grp.com/globalSearch/MC74F04DR2/page-1", "MC74F04DR2")</f>
        <v>MC74F04DR2</v>
      </c>
      <c r="B2966" s="3" t="str">
        <f>HYPERLINK("https://www.773grp.com/manufacturer/onsemi?pageNo=269", "Onsemi")</f>
        <v>Onsemi</v>
      </c>
      <c r="C2966" s="6">
        <v>27500</v>
      </c>
      <c r="D2966" s="7">
        <v>0.48</v>
      </c>
      <c r="E2966" t="s">
        <v>27</v>
      </c>
    </row>
    <row r="2967" spans="1:5" x14ac:dyDescent="0.25">
      <c r="A2967" t="str">
        <f>HYPERLINK("https://www.773grp.com/globalSearch/MC74F08DR2/page-1", "MC74F08DR2")</f>
        <v>MC74F08DR2</v>
      </c>
      <c r="B2967" s="3" t="str">
        <f>HYPERLINK("https://www.773grp.com/manufacturer/onsemi?pageNo=270", "Onsemi")</f>
        <v>Onsemi</v>
      </c>
      <c r="C2967" s="6">
        <v>189521</v>
      </c>
      <c r="D2967" s="7">
        <v>0.48</v>
      </c>
      <c r="E2967" t="s">
        <v>27</v>
      </c>
    </row>
    <row r="2968" spans="1:5" x14ac:dyDescent="0.25">
      <c r="A2968" t="str">
        <f>HYPERLINK("https://www.773grp.com/globalSearch/MC74F10D/page-1", "MC74F10D")</f>
        <v>MC74F10D</v>
      </c>
      <c r="B2968" s="3" t="str">
        <f>HYPERLINK("https://www.773grp.com/manufacturer/onsemi?pageNo=271", "Onsemi")</f>
        <v>Onsemi</v>
      </c>
      <c r="C2968" s="6">
        <v>6105</v>
      </c>
      <c r="D2968" s="7">
        <v>0.48</v>
      </c>
      <c r="E2968" t="s">
        <v>27</v>
      </c>
    </row>
    <row r="2969" spans="1:5" x14ac:dyDescent="0.25">
      <c r="A2969" t="str">
        <f>HYPERLINK("https://www.773grp.com/globalSearch/MC74F10N/page-1", "MC74F10N")</f>
        <v>MC74F10N</v>
      </c>
      <c r="B2969" s="3" t="str">
        <f>HYPERLINK("https://www.773grp.com/manufacturer/onsemi?pageNo=272", "Onsemi")</f>
        <v>Onsemi</v>
      </c>
      <c r="C2969" s="6">
        <v>11835</v>
      </c>
      <c r="D2969" s="7">
        <v>0.48</v>
      </c>
      <c r="E2969" t="s">
        <v>27</v>
      </c>
    </row>
    <row r="2970" spans="1:5" x14ac:dyDescent="0.25">
      <c r="A2970" t="str">
        <f>HYPERLINK("https://www.773grp.com/globalSearch/MC74F11D/page-1", "MC74F11D")</f>
        <v>MC74F11D</v>
      </c>
      <c r="B2970" s="3" t="str">
        <f>HYPERLINK("https://www.773grp.com/manufacturer/onsemi?pageNo=273", "Onsemi")</f>
        <v>Onsemi</v>
      </c>
      <c r="C2970" s="6">
        <v>46470</v>
      </c>
      <c r="D2970" s="7">
        <v>0.48</v>
      </c>
      <c r="E2970" t="s">
        <v>27</v>
      </c>
    </row>
    <row r="2971" spans="1:5" x14ac:dyDescent="0.25">
      <c r="A2971" t="str">
        <f>HYPERLINK("https://www.773grp.com/globalSearch/MC74F11DR2/page-1", "MC74F11DR2")</f>
        <v>MC74F11DR2</v>
      </c>
      <c r="B2971" s="3" t="str">
        <f>HYPERLINK("https://www.773grp.com/manufacturer/onsemi?pageNo=274", "Onsemi")</f>
        <v>Onsemi</v>
      </c>
      <c r="C2971" s="6">
        <v>235000</v>
      </c>
      <c r="D2971" s="7">
        <v>0.48</v>
      </c>
      <c r="E2971" t="s">
        <v>27</v>
      </c>
    </row>
    <row r="2972" spans="1:5" x14ac:dyDescent="0.25">
      <c r="A2972" t="str">
        <f>HYPERLINK("https://www.773grp.com/globalSearch/MC74F11ML1/page-1", "MC74F11ML1")</f>
        <v>MC74F11ML1</v>
      </c>
      <c r="B2972" s="3" t="str">
        <f>HYPERLINK("https://www.773grp.com/manufacturer/onsemi?pageNo=275", "Onsemi")</f>
        <v>Onsemi</v>
      </c>
      <c r="C2972" s="6">
        <v>1000</v>
      </c>
      <c r="D2972" s="7">
        <v>0.48</v>
      </c>
    </row>
    <row r="2973" spans="1:5" x14ac:dyDescent="0.25">
      <c r="A2973" t="str">
        <f>HYPERLINK("https://www.773grp.com/globalSearch/MC74F11N/page-1", "MC74F11N")</f>
        <v>MC74F11N</v>
      </c>
      <c r="B2973" s="3" t="str">
        <f>HYPERLINK("https://www.773grp.com/manufacturer/onsemi?pageNo=276", "Onsemi")</f>
        <v>Onsemi</v>
      </c>
      <c r="C2973" s="6">
        <v>3975</v>
      </c>
      <c r="D2973" s="7">
        <v>0.48</v>
      </c>
      <c r="E2973" t="s">
        <v>27</v>
      </c>
    </row>
    <row r="2974" spans="1:5" x14ac:dyDescent="0.25">
      <c r="A2974" t="str">
        <f>HYPERLINK("https://www.773grp.com/globalSearch/MC74F20D/page-1", "MC74F20D")</f>
        <v>MC74F20D</v>
      </c>
      <c r="B2974" s="3" t="str">
        <f>HYPERLINK("https://www.773grp.com/manufacturer/onsemi?pageNo=277", "Onsemi")</f>
        <v>Onsemi</v>
      </c>
      <c r="C2974" s="6">
        <v>21085</v>
      </c>
      <c r="D2974" s="7">
        <v>0.48</v>
      </c>
      <c r="E2974" t="s">
        <v>27</v>
      </c>
    </row>
    <row r="2975" spans="1:5" x14ac:dyDescent="0.25">
      <c r="A2975" t="str">
        <f>HYPERLINK("https://www.773grp.com/globalSearch/MC74F20DR2/page-1", "MC74F20DR2")</f>
        <v>MC74F20DR2</v>
      </c>
      <c r="B2975" s="3" t="str">
        <f>HYPERLINK("https://www.773grp.com/manufacturer/onsemi?pageNo=278", "Onsemi")</f>
        <v>Onsemi</v>
      </c>
      <c r="C2975" s="6">
        <v>7500</v>
      </c>
      <c r="D2975" s="7">
        <v>0.48</v>
      </c>
      <c r="E2975" t="s">
        <v>27</v>
      </c>
    </row>
    <row r="2976" spans="1:5" x14ac:dyDescent="0.25">
      <c r="A2976" t="str">
        <f>HYPERLINK("https://www.773grp.com/globalSearch/MC74F20M/page-1", "MC74F20M")</f>
        <v>MC74F20M</v>
      </c>
      <c r="B2976" s="3" t="str">
        <f>HYPERLINK("https://www.773grp.com/manufacturer/onsemi?pageNo=279", "Onsemi")</f>
        <v>Onsemi</v>
      </c>
      <c r="C2976" s="6">
        <v>7571</v>
      </c>
      <c r="D2976" s="7">
        <v>0.48</v>
      </c>
    </row>
    <row r="2977" spans="1:5" x14ac:dyDescent="0.25">
      <c r="A2977" t="str">
        <f>HYPERLINK("https://www.773grp.com/globalSearch/MC74F20MEL/page-1", "MC74F20MEL")</f>
        <v>MC74F20MEL</v>
      </c>
      <c r="B2977" s="3" t="str">
        <f>HYPERLINK("https://www.773grp.com/manufacturer/onsemi?pageNo=280", "Onsemi")</f>
        <v>Onsemi</v>
      </c>
      <c r="C2977" s="6">
        <v>4000</v>
      </c>
      <c r="D2977" s="7">
        <v>0.48</v>
      </c>
    </row>
    <row r="2978" spans="1:5" x14ac:dyDescent="0.25">
      <c r="A2978" t="str">
        <f>HYPERLINK("https://www.773grp.com/globalSearch/MC74F20N/page-1", "MC74F20N")</f>
        <v>MC74F20N</v>
      </c>
      <c r="B2978" s="3" t="str">
        <f>HYPERLINK("https://www.773grp.com/manufacturer/onsemi?pageNo=281", "Onsemi")</f>
        <v>Onsemi</v>
      </c>
      <c r="C2978" s="6">
        <v>1635</v>
      </c>
      <c r="D2978" s="7">
        <v>0.48</v>
      </c>
      <c r="E2978" t="s">
        <v>27</v>
      </c>
    </row>
    <row r="2979" spans="1:5" x14ac:dyDescent="0.25">
      <c r="A2979" t="str">
        <f>HYPERLINK("https://www.773grp.com/globalSearch/MC74F32D/page-1", "MC74F32D")</f>
        <v>MC74F32D</v>
      </c>
      <c r="B2979" s="3" t="str">
        <f>HYPERLINK("https://www.773grp.com/manufacturer/onsemi?pageNo=282", "Onsemi")</f>
        <v>Onsemi</v>
      </c>
      <c r="C2979" s="6">
        <v>19</v>
      </c>
      <c r="D2979" s="7">
        <v>0.48</v>
      </c>
      <c r="E2979" t="s">
        <v>27</v>
      </c>
    </row>
    <row r="2980" spans="1:5" x14ac:dyDescent="0.25">
      <c r="A2980" t="str">
        <f>HYPERLINK("https://www.773grp.com/globalSearch/MC74F32M/page-1", "MC74F32M")</f>
        <v>MC74F32M</v>
      </c>
      <c r="B2980" s="3" t="str">
        <f>HYPERLINK("https://www.773grp.com/manufacturer/onsemi?pageNo=283", "Onsemi")</f>
        <v>Onsemi</v>
      </c>
      <c r="C2980" s="6">
        <v>100</v>
      </c>
      <c r="D2980" s="7">
        <v>0.48</v>
      </c>
    </row>
    <row r="2981" spans="1:5" x14ac:dyDescent="0.25">
      <c r="A2981" t="str">
        <f>HYPERLINK("https://www.773grp.com/globalSearch/MC74F32MEL/page-1", "MC74F32MEL")</f>
        <v>MC74F32MEL</v>
      </c>
      <c r="B2981" s="3" t="str">
        <f>HYPERLINK("https://www.773grp.com/manufacturer/onsemi?pageNo=284", "Onsemi")</f>
        <v>Onsemi</v>
      </c>
      <c r="C2981" s="6">
        <v>2000</v>
      </c>
      <c r="D2981" s="7">
        <v>0.48</v>
      </c>
    </row>
    <row r="2982" spans="1:5" x14ac:dyDescent="0.25">
      <c r="A2982" t="str">
        <f>HYPERLINK("https://www.773grp.com/globalSearch/MC74F32MR1/page-1", "MC74F32MR1")</f>
        <v>MC74F32MR1</v>
      </c>
      <c r="B2982" s="3" t="str">
        <f>HYPERLINK("https://www.773grp.com/manufacturer/onsemi?pageNo=285", "Onsemi")</f>
        <v>Onsemi</v>
      </c>
      <c r="C2982" s="6">
        <v>7000</v>
      </c>
      <c r="D2982" s="7">
        <v>0.48</v>
      </c>
    </row>
    <row r="2983" spans="1:5" x14ac:dyDescent="0.25">
      <c r="A2983" t="str">
        <f>HYPERLINK("https://www.773grp.com/globalSearch/MC74F32MR2/page-1", "MC74F32MR2")</f>
        <v>MC74F32MR2</v>
      </c>
      <c r="B2983" s="3" t="str">
        <f>HYPERLINK("https://www.773grp.com/manufacturer/onsemi?pageNo=286", "Onsemi")</f>
        <v>Onsemi</v>
      </c>
      <c r="C2983" s="6">
        <v>10000</v>
      </c>
      <c r="D2983" s="7">
        <v>0.48</v>
      </c>
    </row>
    <row r="2984" spans="1:5" x14ac:dyDescent="0.25">
      <c r="A2984" t="str">
        <f>HYPERLINK("https://www.773grp.com/globalSearch/MC74F32N/page-1", "MC74F32N")</f>
        <v>MC74F32N</v>
      </c>
      <c r="B2984" s="3" t="str">
        <f>HYPERLINK("https://www.773grp.com/manufacturer/onsemi?pageNo=287", "Onsemi")</f>
        <v>Onsemi</v>
      </c>
      <c r="C2984" s="6">
        <v>1583</v>
      </c>
      <c r="D2984" s="7">
        <v>0.48</v>
      </c>
      <c r="E2984" t="s">
        <v>27</v>
      </c>
    </row>
    <row r="2985" spans="1:5" x14ac:dyDescent="0.25">
      <c r="A2985" t="str">
        <f>HYPERLINK("https://www.773grp.com/globalSearch/MC74HC125AF/page-1", "MC74HC125AF")</f>
        <v>MC74HC125AF</v>
      </c>
      <c r="B2985" s="3" t="str">
        <f>HYPERLINK("https://www.773grp.com/manufacturer/onsemi?pageNo=288", "Onsemi")</f>
        <v>Onsemi</v>
      </c>
      <c r="C2985" s="6">
        <v>11613</v>
      </c>
      <c r="D2985" s="7">
        <v>0.48</v>
      </c>
      <c r="E2985" t="s">
        <v>11</v>
      </c>
    </row>
    <row r="2986" spans="1:5" x14ac:dyDescent="0.25">
      <c r="A2986" t="str">
        <f>HYPERLINK("https://www.773grp.com/globalSearch/MC74HC125AFEL/page-1", "MC74HC125AFEL")</f>
        <v>MC74HC125AFEL</v>
      </c>
      <c r="B2986" s="3" t="str">
        <f>HYPERLINK("https://www.773grp.com/manufacturer/onsemi?pageNo=289", "Onsemi")</f>
        <v>Onsemi</v>
      </c>
      <c r="C2986" s="6">
        <v>10000</v>
      </c>
      <c r="D2986" s="7">
        <v>0.48</v>
      </c>
      <c r="E2986" t="s">
        <v>11</v>
      </c>
    </row>
    <row r="2987" spans="1:5" x14ac:dyDescent="0.25">
      <c r="A2987" t="str">
        <f>HYPERLINK("https://www.773grp.com/globalSearch/MC74HC126AFEL/page-1", "MC74HC126AFEL")</f>
        <v>MC74HC126AFEL</v>
      </c>
      <c r="B2987" s="3" t="str">
        <f>HYPERLINK("https://www.773grp.com/manufacturer/onsemi?pageNo=290", "Onsemi")</f>
        <v>Onsemi</v>
      </c>
      <c r="C2987" s="6">
        <v>2000</v>
      </c>
      <c r="D2987" s="7">
        <v>0.48</v>
      </c>
      <c r="E2987" t="s">
        <v>11</v>
      </c>
    </row>
    <row r="2988" spans="1:5" x14ac:dyDescent="0.25">
      <c r="A2988" t="str">
        <f>HYPERLINK("https://www.773grp.com/globalSearch/MC74HC138ADT/page-1", "MC74HC138ADT")</f>
        <v>MC74HC138ADT</v>
      </c>
      <c r="B2988" s="3" t="str">
        <f>HYPERLINK("https://www.773grp.com/manufacturer/onsemi?pageNo=291", "Onsemi")</f>
        <v>Onsemi</v>
      </c>
      <c r="C2988" s="6">
        <v>3979</v>
      </c>
      <c r="D2988" s="7">
        <v>0.48</v>
      </c>
      <c r="E2988" t="s">
        <v>32</v>
      </c>
    </row>
    <row r="2989" spans="1:5" x14ac:dyDescent="0.25">
      <c r="A2989" t="str">
        <f>HYPERLINK("https://www.773grp.com/globalSearch/MC74HC139AF/page-1", "MC74HC139AF")</f>
        <v>MC74HC139AF</v>
      </c>
      <c r="B2989" s="3" t="str">
        <f>HYPERLINK("https://www.773grp.com/manufacturer/onsemi?pageNo=292", "Onsemi")</f>
        <v>Onsemi</v>
      </c>
      <c r="C2989" s="6">
        <v>1</v>
      </c>
      <c r="D2989" s="7">
        <v>0.48</v>
      </c>
    </row>
    <row r="2990" spans="1:5" x14ac:dyDescent="0.25">
      <c r="A2990" t="str">
        <f>HYPERLINK("https://www.773grp.com/globalSearch/MC74HC14AF/page-1", "MC74HC14AF")</f>
        <v>MC74HC14AF</v>
      </c>
      <c r="B2990" s="3" t="str">
        <f>HYPERLINK("https://www.773grp.com/manufacturer/onsemi?pageNo=293", "Onsemi")</f>
        <v>Onsemi</v>
      </c>
      <c r="C2990" s="6">
        <v>3768</v>
      </c>
      <c r="D2990" s="7">
        <v>0.48</v>
      </c>
      <c r="E2990" t="s">
        <v>27</v>
      </c>
    </row>
    <row r="2991" spans="1:5" x14ac:dyDescent="0.25">
      <c r="A2991" t="str">
        <f>HYPERLINK("https://www.773grp.com/globalSearch/MC74HC14AFEL/page-1", "MC74HC14AFEL")</f>
        <v>MC74HC14AFEL</v>
      </c>
      <c r="B2991" s="3" t="str">
        <f>HYPERLINK("https://www.773grp.com/manufacturer/onsemi?pageNo=294", "Onsemi")</f>
        <v>Onsemi</v>
      </c>
      <c r="C2991" s="6">
        <v>22000</v>
      </c>
      <c r="D2991" s="7">
        <v>0.48</v>
      </c>
      <c r="E2991" t="s">
        <v>27</v>
      </c>
    </row>
    <row r="2992" spans="1:5" x14ac:dyDescent="0.25">
      <c r="A2992" t="str">
        <f>HYPERLINK("https://www.773grp.com/globalSearch/MC74HC161ADG/page-1", "MC74HC161ADG")</f>
        <v>MC74HC161ADG</v>
      </c>
      <c r="B2992" s="3" t="str">
        <f>HYPERLINK("https://www.773grp.com/manufacturer/onsemi?pageNo=295", "Onsemi")</f>
        <v>Onsemi</v>
      </c>
      <c r="C2992" s="6">
        <v>23952</v>
      </c>
      <c r="D2992" s="7">
        <v>0.48</v>
      </c>
    </row>
    <row r="2993" spans="1:5" x14ac:dyDescent="0.25">
      <c r="A2993" t="str">
        <f>HYPERLINK("https://www.773grp.com/globalSearch/MC74HC161ADR2G/page-1", "MC74HC161ADR2G")</f>
        <v>MC74HC161ADR2G</v>
      </c>
      <c r="B2993" s="3" t="str">
        <f>HYPERLINK("https://www.773grp.com/manufacturer/onsemi?pageNo=296", "Onsemi")</f>
        <v>Onsemi</v>
      </c>
      <c r="C2993" s="6">
        <v>12250</v>
      </c>
      <c r="D2993" s="7">
        <v>0.48</v>
      </c>
      <c r="E2993" t="s">
        <v>22</v>
      </c>
    </row>
    <row r="2994" spans="1:5" x14ac:dyDescent="0.25">
      <c r="A2994" t="str">
        <f>HYPERLINK("https://www.773grp.com/globalSearch/MC74HC161ADTG/page-1", "MC74HC161ADTG")</f>
        <v>MC74HC161ADTG</v>
      </c>
      <c r="B2994" s="3" t="str">
        <f>HYPERLINK("https://www.773grp.com/manufacturer/onsemi?pageNo=297", "Onsemi")</f>
        <v>Onsemi</v>
      </c>
      <c r="C2994" s="6">
        <v>17564</v>
      </c>
      <c r="D2994" s="7">
        <v>0.48</v>
      </c>
      <c r="E2994" t="s">
        <v>22</v>
      </c>
    </row>
    <row r="2995" spans="1:5" x14ac:dyDescent="0.25">
      <c r="A2995" t="str">
        <f>HYPERLINK("https://www.773grp.com/globalSearch/MC74HC161ADTR2G/page-1", "MC74HC161ADTR2G")</f>
        <v>MC74HC161ADTR2G</v>
      </c>
      <c r="B2995" s="3" t="str">
        <f>HYPERLINK("https://www.773grp.com/manufacturer/onsemi?pageNo=298", "Onsemi")</f>
        <v>Onsemi</v>
      </c>
      <c r="C2995" s="6">
        <v>205483</v>
      </c>
      <c r="D2995" s="7">
        <v>0.48</v>
      </c>
      <c r="E2995" t="s">
        <v>22</v>
      </c>
    </row>
    <row r="2996" spans="1:5" x14ac:dyDescent="0.25">
      <c r="A2996" t="str">
        <f>HYPERLINK("https://www.773grp.com/globalSearch/MC74HC164AD/page-1", "MC74HC164AD")</f>
        <v>MC74HC164AD</v>
      </c>
      <c r="B2996" s="3" t="str">
        <f>HYPERLINK("https://www.773grp.com/manufacturer/onsemi?pageNo=299", "Onsemi")</f>
        <v>Onsemi</v>
      </c>
      <c r="C2996" s="6">
        <v>43355</v>
      </c>
      <c r="D2996" s="7">
        <v>0.48</v>
      </c>
      <c r="E2996" t="s">
        <v>28</v>
      </c>
    </row>
    <row r="2997" spans="1:5" x14ac:dyDescent="0.25">
      <c r="A2997" t="str">
        <f>HYPERLINK("https://www.773grp.com/globalSearch/MC74HC164ADR2/page-1", "MC74HC164ADR2")</f>
        <v>MC74HC164ADR2</v>
      </c>
      <c r="B2997" s="3" t="str">
        <f>HYPERLINK("https://www.773grp.com/manufacturer/onsemi?pageNo=300", "Onsemi")</f>
        <v>Onsemi</v>
      </c>
      <c r="C2997" s="6">
        <v>42400</v>
      </c>
      <c r="D2997" s="7">
        <v>0.48</v>
      </c>
      <c r="E2997" t="s">
        <v>28</v>
      </c>
    </row>
    <row r="2998" spans="1:5" x14ac:dyDescent="0.25">
      <c r="A2998" t="str">
        <f>HYPERLINK("https://www.773grp.com/globalSearch/MC74HC164AN/page-1", "MC74HC164AN")</f>
        <v>MC74HC164AN</v>
      </c>
      <c r="B2998" s="3" t="str">
        <f>HYPERLINK("https://www.773grp.com/manufacturer/onsemi?pageNo=301", "Onsemi")</f>
        <v>Onsemi</v>
      </c>
      <c r="C2998" s="6">
        <v>56585</v>
      </c>
      <c r="D2998" s="7">
        <v>0.48</v>
      </c>
      <c r="E2998" t="s">
        <v>28</v>
      </c>
    </row>
    <row r="2999" spans="1:5" x14ac:dyDescent="0.25">
      <c r="A2999" t="str">
        <f>HYPERLINK("https://www.773grp.com/globalSearch/MC74HC165AF/page-1", "MC74HC165AF")</f>
        <v>MC74HC165AF</v>
      </c>
      <c r="B2999" s="3" t="str">
        <f>HYPERLINK("https://www.773grp.com/manufacturer/onsemi?pageNo=302", "Onsemi")</f>
        <v>Onsemi</v>
      </c>
      <c r="C2999" s="6">
        <v>300</v>
      </c>
      <c r="D2999" s="7">
        <v>0.48</v>
      </c>
      <c r="E2999" t="s">
        <v>28</v>
      </c>
    </row>
    <row r="3000" spans="1:5" x14ac:dyDescent="0.25">
      <c r="A3000" t="str">
        <f>HYPERLINK("https://www.773grp.com/globalSearch/MC74HC165AFEL/page-1", "MC74HC165AFEL")</f>
        <v>MC74HC165AFEL</v>
      </c>
      <c r="B3000" s="3" t="str">
        <f>HYPERLINK("https://www.773grp.com/manufacturer/onsemi?pageNo=303", "Onsemi")</f>
        <v>Onsemi</v>
      </c>
      <c r="C3000" s="6">
        <v>6789</v>
      </c>
      <c r="D3000" s="7">
        <v>0.48</v>
      </c>
      <c r="E3000" t="s">
        <v>28</v>
      </c>
    </row>
    <row r="3001" spans="1:5" x14ac:dyDescent="0.25">
      <c r="A3001" t="str">
        <f>HYPERLINK("https://www.773grp.com/globalSearch/MC74HC165AN/page-1", "MC74HC165AN")</f>
        <v>MC74HC165AN</v>
      </c>
      <c r="B3001" s="3" t="str">
        <f>HYPERLINK("https://www.773grp.com/manufacturer/onsemi?pageNo=304", "Onsemi")</f>
        <v>Onsemi</v>
      </c>
      <c r="C3001" s="6">
        <v>4225</v>
      </c>
      <c r="D3001" s="7">
        <v>0.48</v>
      </c>
      <c r="E3001" t="s">
        <v>28</v>
      </c>
    </row>
    <row r="3002" spans="1:5" x14ac:dyDescent="0.25">
      <c r="A3002" t="str">
        <f>HYPERLINK("https://www.773grp.com/globalSearch/MC74HC174AD/page-1", "MC74HC174AD")</f>
        <v>MC74HC174AD</v>
      </c>
      <c r="B3002" s="3" t="str">
        <f>HYPERLINK("https://www.773grp.com/manufacturer/onsemi?pageNo=305", "Onsemi")</f>
        <v>Onsemi</v>
      </c>
      <c r="C3002" s="6">
        <v>1052</v>
      </c>
      <c r="D3002" s="7">
        <v>0.48</v>
      </c>
      <c r="E3002" t="s">
        <v>31</v>
      </c>
    </row>
    <row r="3003" spans="1:5" x14ac:dyDescent="0.25">
      <c r="A3003" t="str">
        <f>HYPERLINK("https://www.773grp.com/globalSearch/MC74HC174ADR2/page-1", "MC74HC174ADR2")</f>
        <v>MC74HC174ADR2</v>
      </c>
      <c r="B3003" s="3" t="str">
        <f>HYPERLINK("https://www.773grp.com/manufacturer/onsemi?pageNo=306", "Onsemi")</f>
        <v>Onsemi</v>
      </c>
      <c r="C3003" s="6">
        <v>8507</v>
      </c>
      <c r="D3003" s="7">
        <v>0.48</v>
      </c>
      <c r="E3003" t="s">
        <v>31</v>
      </c>
    </row>
    <row r="3004" spans="1:5" x14ac:dyDescent="0.25">
      <c r="A3004" t="str">
        <f>HYPERLINK("https://www.773grp.com/globalSearch/MC74HC174ADT/page-1", "MC74HC174ADT")</f>
        <v>MC74HC174ADT</v>
      </c>
      <c r="B3004" s="3" t="str">
        <f>HYPERLINK("https://www.773grp.com/manufacturer/onsemi?pageNo=307", "Onsemi")</f>
        <v>Onsemi</v>
      </c>
      <c r="C3004" s="6">
        <v>3280</v>
      </c>
      <c r="D3004" s="7">
        <v>0.48</v>
      </c>
      <c r="E3004" t="s">
        <v>31</v>
      </c>
    </row>
    <row r="3005" spans="1:5" x14ac:dyDescent="0.25">
      <c r="A3005" t="str">
        <f>HYPERLINK("https://www.773grp.com/globalSearch/MC74HC174AN/page-1", "MC74HC174AN")</f>
        <v>MC74HC174AN</v>
      </c>
      <c r="B3005" s="3" t="str">
        <f>HYPERLINK("https://www.773grp.com/manufacturer/onsemi?pageNo=308", "Onsemi")</f>
        <v>Onsemi</v>
      </c>
      <c r="C3005" s="6">
        <v>815</v>
      </c>
      <c r="D3005" s="7">
        <v>0.48</v>
      </c>
      <c r="E3005" t="s">
        <v>31</v>
      </c>
    </row>
    <row r="3006" spans="1:5" x14ac:dyDescent="0.25">
      <c r="A3006" t="str">
        <f>HYPERLINK("https://www.773grp.com/globalSearch/MC74HC175AD/page-1", "MC74HC175AD")</f>
        <v>MC74HC175AD</v>
      </c>
      <c r="B3006" s="3" t="str">
        <f>HYPERLINK("https://www.773grp.com/manufacturer/onsemi?pageNo=309", "Onsemi")</f>
        <v>Onsemi</v>
      </c>
      <c r="C3006" s="6">
        <v>2448</v>
      </c>
      <c r="D3006" s="7">
        <v>0.48</v>
      </c>
      <c r="E3006" t="s">
        <v>31</v>
      </c>
    </row>
    <row r="3007" spans="1:5" x14ac:dyDescent="0.25">
      <c r="A3007" t="str">
        <f>HYPERLINK("https://www.773grp.com/globalSearch/MC74HC175ADR2/page-1", "MC74HC175ADR2")</f>
        <v>MC74HC175ADR2</v>
      </c>
      <c r="B3007" s="3" t="str">
        <f>HYPERLINK("https://www.773grp.com/manufacturer/onsemi?pageNo=310", "Onsemi")</f>
        <v>Onsemi</v>
      </c>
      <c r="C3007" s="6">
        <v>5000</v>
      </c>
      <c r="D3007" s="7">
        <v>0.48</v>
      </c>
      <c r="E3007" t="s">
        <v>31</v>
      </c>
    </row>
    <row r="3008" spans="1:5" x14ac:dyDescent="0.25">
      <c r="A3008" t="str">
        <f>HYPERLINK("https://www.773grp.com/globalSearch/MC74HC175ADTR2/page-1", "MC74HC175ADTR2")</f>
        <v>MC74HC175ADTR2</v>
      </c>
      <c r="B3008" s="3" t="str">
        <f>HYPERLINK("https://www.773grp.com/manufacturer/onsemi?pageNo=311", "Onsemi")</f>
        <v>Onsemi</v>
      </c>
      <c r="C3008" s="6">
        <v>2500</v>
      </c>
      <c r="D3008" s="7">
        <v>0.48</v>
      </c>
      <c r="E3008" t="s">
        <v>31</v>
      </c>
    </row>
    <row r="3009" spans="1:5" x14ac:dyDescent="0.25">
      <c r="A3009" t="str">
        <f>HYPERLINK("https://www.773grp.com/globalSearch/MC74HC175AF/page-1", "MC74HC175AF")</f>
        <v>MC74HC175AF</v>
      </c>
      <c r="B3009" s="3" t="str">
        <f>HYPERLINK("https://www.773grp.com/manufacturer/onsemi?pageNo=312", "Onsemi")</f>
        <v>Onsemi</v>
      </c>
      <c r="C3009" s="6">
        <v>471</v>
      </c>
      <c r="D3009" s="7">
        <v>0.48</v>
      </c>
    </row>
    <row r="3010" spans="1:5" x14ac:dyDescent="0.25">
      <c r="A3010" t="str">
        <f>HYPERLINK("https://www.773grp.com/globalSearch/MC74HC175AN/page-1", "MC74HC175AN")</f>
        <v>MC74HC175AN</v>
      </c>
      <c r="B3010" s="3" t="str">
        <f>HYPERLINK("https://www.773grp.com/manufacturer/onsemi?pageNo=313", "Onsemi")</f>
        <v>Onsemi</v>
      </c>
      <c r="C3010" s="6">
        <v>4986</v>
      </c>
      <c r="D3010" s="7">
        <v>0.48</v>
      </c>
      <c r="E3010" t="s">
        <v>31</v>
      </c>
    </row>
    <row r="3011" spans="1:5" x14ac:dyDescent="0.25">
      <c r="A3011" t="str">
        <f>HYPERLINK("https://www.773grp.com/globalSearch/MC74HC1G00DFT1GH/page-1", "MC74HC1G00DFT1GH")</f>
        <v>MC74HC1G00DFT1GH</v>
      </c>
      <c r="B3011" s="3" t="str">
        <f>HYPERLINK("https://www.773grp.com/manufacturer/onsemi?pageNo=314", "Onsemi")</f>
        <v>Onsemi</v>
      </c>
      <c r="C3011" s="6">
        <v>12000</v>
      </c>
      <c r="D3011" s="7">
        <v>0.48</v>
      </c>
    </row>
    <row r="3012" spans="1:5" x14ac:dyDescent="0.25">
      <c r="A3012" t="str">
        <f>HYPERLINK("https://www.773grp.com/globalSearch/MC74HC1G00DFT2GH/page-1", "MC74HC1G00DFT2GH")</f>
        <v>MC74HC1G00DFT2GH</v>
      </c>
      <c r="B3012" s="3" t="str">
        <f>HYPERLINK("https://www.773grp.com/manufacturer/onsemi?pageNo=315", "Onsemi")</f>
        <v>Onsemi</v>
      </c>
      <c r="C3012" s="6">
        <v>1041000</v>
      </c>
      <c r="D3012" s="7">
        <v>0.48</v>
      </c>
    </row>
    <row r="3013" spans="1:5" x14ac:dyDescent="0.25">
      <c r="A3013" t="str">
        <f>HYPERLINK("https://www.773grp.com/globalSearch/MC74HC1G00DTT1G/page-1", "MC74HC1G00DTT1G")</f>
        <v>MC74HC1G00DTT1G</v>
      </c>
      <c r="B3013" s="3" t="str">
        <f>HYPERLINK("https://www.773grp.com/manufacturer/onsemi?pageNo=316", "Onsemi")</f>
        <v>Onsemi</v>
      </c>
      <c r="C3013" s="6">
        <v>63858</v>
      </c>
      <c r="D3013" s="7">
        <v>0.48</v>
      </c>
      <c r="E3013" t="s">
        <v>27</v>
      </c>
    </row>
    <row r="3014" spans="1:5" x14ac:dyDescent="0.25">
      <c r="A3014" t="str">
        <f>HYPERLINK("https://www.773grp.com/globalSearch/MC74HC1G02DFT1G/page-1", "MC74HC1G02DFT1G")</f>
        <v>MC74HC1G02DFT1G</v>
      </c>
      <c r="B3014" s="3" t="str">
        <f>HYPERLINK("https://www.773grp.com/manufacturer/onsemi?pageNo=317", "Onsemi")</f>
        <v>Onsemi</v>
      </c>
      <c r="C3014" s="6">
        <v>6000</v>
      </c>
      <c r="D3014" s="7">
        <v>0.48</v>
      </c>
      <c r="E3014" t="s">
        <v>27</v>
      </c>
    </row>
    <row r="3015" spans="1:5" x14ac:dyDescent="0.25">
      <c r="A3015" t="str">
        <f>HYPERLINK("https://www.773grp.com/globalSearch/MC74HC1G02DTT1G/page-1", "MC74HC1G02DTT1G")</f>
        <v>MC74HC1G02DTT1G</v>
      </c>
      <c r="B3015" s="3" t="str">
        <f>HYPERLINK("https://www.773grp.com/manufacturer/onsemi?pageNo=318", "Onsemi")</f>
        <v>Onsemi</v>
      </c>
      <c r="C3015" s="6">
        <v>88086</v>
      </c>
      <c r="D3015" s="7">
        <v>0.48</v>
      </c>
      <c r="E3015" t="s">
        <v>27</v>
      </c>
    </row>
    <row r="3016" spans="1:5" x14ac:dyDescent="0.25">
      <c r="A3016" t="str">
        <f>HYPERLINK("https://www.773grp.com/globalSearch/MC74HC1G04DTT1G/page-1", "MC74HC1G04DTT1G")</f>
        <v>MC74HC1G04DTT1G</v>
      </c>
      <c r="B3016" s="3" t="str">
        <f>HYPERLINK("https://www.773grp.com/manufacturer/onsemi?pageNo=319", "Onsemi")</f>
        <v>Onsemi</v>
      </c>
      <c r="C3016" s="6">
        <v>354000</v>
      </c>
      <c r="D3016" s="7">
        <v>0.48</v>
      </c>
      <c r="E3016" t="s">
        <v>27</v>
      </c>
    </row>
    <row r="3017" spans="1:5" x14ac:dyDescent="0.25">
      <c r="A3017" t="str">
        <f>HYPERLINK("https://www.773grp.com/globalSearch/MC74HC1G08DFT2GH/page-1", "MC74HC1G08DFT2GH")</f>
        <v>MC74HC1G08DFT2GH</v>
      </c>
      <c r="B3017" s="3" t="str">
        <f>HYPERLINK("https://www.773grp.com/manufacturer/onsemi?pageNo=320", "Onsemi")</f>
        <v>Onsemi</v>
      </c>
      <c r="C3017" s="6">
        <v>18000</v>
      </c>
      <c r="D3017" s="7">
        <v>0.48</v>
      </c>
    </row>
    <row r="3018" spans="1:5" x14ac:dyDescent="0.25">
      <c r="A3018" t="str">
        <f>HYPERLINK("https://www.773grp.com/globalSearch/MC74HC1G08DTT1G/page-1", "MC74HC1G08DTT1G")</f>
        <v>MC74HC1G08DTT1G</v>
      </c>
      <c r="B3018" s="3" t="str">
        <f>HYPERLINK("https://www.773grp.com/manufacturer/onsemi?pageNo=321", "Onsemi")</f>
        <v>Onsemi</v>
      </c>
      <c r="C3018" s="6">
        <v>123000</v>
      </c>
      <c r="D3018" s="7">
        <v>0.48</v>
      </c>
      <c r="E3018" t="s">
        <v>27</v>
      </c>
    </row>
    <row r="3019" spans="1:5" x14ac:dyDescent="0.25">
      <c r="A3019" t="str">
        <f>HYPERLINK("https://www.773grp.com/globalSearch/MC74HC1G14DTT1G/page-1", "MC74HC1G14DTT1G")</f>
        <v>MC74HC1G14DTT1G</v>
      </c>
      <c r="B3019" s="3" t="str">
        <f>HYPERLINK("https://www.773grp.com/manufacturer/onsemi?pageNo=322", "Onsemi")</f>
        <v>Onsemi</v>
      </c>
      <c r="C3019" s="6">
        <v>132000</v>
      </c>
      <c r="D3019" s="7">
        <v>0.48</v>
      </c>
      <c r="E3019" t="s">
        <v>27</v>
      </c>
    </row>
    <row r="3020" spans="1:5" x14ac:dyDescent="0.25">
      <c r="A3020" t="str">
        <f>HYPERLINK("https://www.773grp.com/globalSearch/MC74HC1G32DFT1/page-1", "MC74HC1G32DFT1")</f>
        <v>MC74HC1G32DFT1</v>
      </c>
      <c r="B3020" s="3" t="str">
        <f>HYPERLINK("https://www.773grp.com/manufacturer/onsemi?pageNo=323", "Onsemi")</f>
        <v>Onsemi</v>
      </c>
      <c r="C3020" s="6">
        <v>57000</v>
      </c>
      <c r="D3020" s="7">
        <v>0.48</v>
      </c>
      <c r="E3020" t="s">
        <v>27</v>
      </c>
    </row>
    <row r="3021" spans="1:5" x14ac:dyDescent="0.25">
      <c r="A3021" t="str">
        <f>HYPERLINK("https://www.773grp.com/globalSearch/MC74HC1G32DTT1G/page-1", "MC74HC1G32DTT1G")</f>
        <v>MC74HC1G32DTT1G</v>
      </c>
      <c r="B3021" s="3" t="str">
        <f>HYPERLINK("https://www.773grp.com/manufacturer/onsemi?pageNo=324", "Onsemi")</f>
        <v>Onsemi</v>
      </c>
      <c r="C3021" s="6">
        <v>83500</v>
      </c>
      <c r="D3021" s="7">
        <v>0.48</v>
      </c>
      <c r="E3021" t="s">
        <v>27</v>
      </c>
    </row>
    <row r="3022" spans="1:5" x14ac:dyDescent="0.25">
      <c r="A3022" t="str">
        <f>HYPERLINK("https://www.773grp.com/globalSearch/MC74HC1GU04DTT1G/page-1", "MC74HC1GU04DTT1G")</f>
        <v>MC74HC1GU04DTT1G</v>
      </c>
      <c r="B3022" s="3" t="str">
        <f>HYPERLINK("https://www.773grp.com/manufacturer/onsemi?pageNo=325", "Onsemi")</f>
        <v>Onsemi</v>
      </c>
      <c r="C3022" s="6">
        <v>145448</v>
      </c>
      <c r="D3022" s="7">
        <v>0.48</v>
      </c>
      <c r="E3022" t="s">
        <v>27</v>
      </c>
    </row>
    <row r="3023" spans="1:5" x14ac:dyDescent="0.25">
      <c r="A3023" t="str">
        <f>HYPERLINK("https://www.773grp.com/globalSearch/MC74HC238ADG/page-1", "MC74HC238ADG")</f>
        <v>MC74HC238ADG</v>
      </c>
      <c r="B3023" s="3" t="str">
        <f>HYPERLINK("https://www.773grp.com/manufacturer/onsemi?pageNo=326", "Onsemi")</f>
        <v>Onsemi</v>
      </c>
      <c r="C3023" s="6">
        <v>30048</v>
      </c>
      <c r="D3023" s="7">
        <v>0.48</v>
      </c>
    </row>
    <row r="3024" spans="1:5" x14ac:dyDescent="0.25">
      <c r="A3024" t="str">
        <f>HYPERLINK("https://www.773grp.com/globalSearch/MC74HC238ADR2G/page-1", "MC74HC238ADR2G")</f>
        <v>MC74HC238ADR2G</v>
      </c>
      <c r="B3024" s="3" t="str">
        <f>HYPERLINK("https://www.773grp.com/manufacturer/onsemi?pageNo=327", "Onsemi")</f>
        <v>Onsemi</v>
      </c>
      <c r="C3024" s="6">
        <v>36641</v>
      </c>
      <c r="D3024" s="7">
        <v>0.48</v>
      </c>
      <c r="E3024" t="s">
        <v>32</v>
      </c>
    </row>
    <row r="3025" spans="1:5" x14ac:dyDescent="0.25">
      <c r="A3025" t="str">
        <f>HYPERLINK("https://www.773grp.com/globalSearch/MC74HC238ADTG/page-1", "MC74HC238ADTG")</f>
        <v>MC74HC238ADTG</v>
      </c>
      <c r="B3025" s="3" t="str">
        <f>HYPERLINK("https://www.773grp.com/manufacturer/onsemi?pageNo=328", "Onsemi")</f>
        <v>Onsemi</v>
      </c>
      <c r="C3025" s="6">
        <v>29280</v>
      </c>
      <c r="D3025" s="7">
        <v>0.48</v>
      </c>
    </row>
    <row r="3026" spans="1:5" x14ac:dyDescent="0.25">
      <c r="A3026" t="str">
        <f>HYPERLINK("https://www.773grp.com/globalSearch/MC74HC238ADTR2G/page-1", "MC74HC238ADTR2G")</f>
        <v>MC74HC238ADTR2G</v>
      </c>
      <c r="B3026" s="3" t="str">
        <f>HYPERLINK("https://www.773grp.com/manufacturer/onsemi?pageNo=329", "Onsemi")</f>
        <v>Onsemi</v>
      </c>
      <c r="C3026" s="6">
        <v>17000</v>
      </c>
      <c r="D3026" s="7">
        <v>0.48</v>
      </c>
      <c r="E3026" t="s">
        <v>32</v>
      </c>
    </row>
    <row r="3027" spans="1:5" x14ac:dyDescent="0.25">
      <c r="A3027" t="str">
        <f>HYPERLINK("https://www.773grp.com/globalSearch/MC74HC365ADG/page-1", "MC74HC365ADG")</f>
        <v>MC74HC365ADG</v>
      </c>
      <c r="B3027" s="3" t="str">
        <f>HYPERLINK("https://www.773grp.com/manufacturer/onsemi?pageNo=330", "Onsemi")</f>
        <v>Onsemi</v>
      </c>
      <c r="C3027" s="6">
        <v>10203</v>
      </c>
      <c r="D3027" s="7">
        <v>0.48</v>
      </c>
    </row>
    <row r="3028" spans="1:5" x14ac:dyDescent="0.25">
      <c r="A3028" t="str">
        <f>HYPERLINK("https://www.773grp.com/globalSearch/MC74HC365ADR2G/page-1", "MC74HC365ADR2G")</f>
        <v>MC74HC365ADR2G</v>
      </c>
      <c r="B3028" s="3" t="str">
        <f>HYPERLINK("https://www.773grp.com/manufacturer/onsemi?pageNo=331", "Onsemi")</f>
        <v>Onsemi</v>
      </c>
      <c r="C3028" s="6">
        <v>5000</v>
      </c>
      <c r="D3028" s="7">
        <v>0.48</v>
      </c>
      <c r="E3028" t="s">
        <v>11</v>
      </c>
    </row>
    <row r="3029" spans="1:5" x14ac:dyDescent="0.25">
      <c r="A3029" t="str">
        <f>HYPERLINK("https://www.773grp.com/globalSearch/MC74HC365ADTG/page-1", "MC74HC365ADTG")</f>
        <v>MC74HC365ADTG</v>
      </c>
      <c r="B3029" s="3" t="str">
        <f>HYPERLINK("https://www.773grp.com/manufacturer/onsemi?pageNo=332", "Onsemi")</f>
        <v>Onsemi</v>
      </c>
      <c r="C3029" s="6">
        <v>29184</v>
      </c>
      <c r="D3029" s="7">
        <v>0.48</v>
      </c>
    </row>
    <row r="3030" spans="1:5" x14ac:dyDescent="0.25">
      <c r="A3030" t="str">
        <f>HYPERLINK("https://www.773grp.com/globalSearch/MC74HC365ADTR2G/page-1", "MC74HC365ADTR2G")</f>
        <v>MC74HC365ADTR2G</v>
      </c>
      <c r="B3030" s="3" t="str">
        <f>HYPERLINK("https://www.773grp.com/manufacturer/onsemi?pageNo=333", "Onsemi")</f>
        <v>Onsemi</v>
      </c>
      <c r="C3030" s="6">
        <v>10550</v>
      </c>
      <c r="D3030" s="7">
        <v>0.48</v>
      </c>
      <c r="E3030" t="s">
        <v>11</v>
      </c>
    </row>
    <row r="3031" spans="1:5" x14ac:dyDescent="0.25">
      <c r="A3031" t="str">
        <f>HYPERLINK("https://www.773grp.com/globalSearch/MC74HC368ADG/page-1", "MC74HC368ADG")</f>
        <v>MC74HC368ADG</v>
      </c>
      <c r="B3031" s="3" t="str">
        <f>HYPERLINK("https://www.773grp.com/manufacturer/onsemi?pageNo=334", "Onsemi")</f>
        <v>Onsemi</v>
      </c>
      <c r="C3031" s="6">
        <v>96</v>
      </c>
      <c r="D3031" s="7">
        <v>0.48</v>
      </c>
    </row>
    <row r="3032" spans="1:5" x14ac:dyDescent="0.25">
      <c r="A3032" t="str">
        <f>HYPERLINK("https://www.773grp.com/globalSearch/MC74HC368ADR2G/page-1", "MC74HC368ADR2G")</f>
        <v>MC74HC368ADR2G</v>
      </c>
      <c r="B3032" s="3" t="str">
        <f>HYPERLINK("https://www.773grp.com/manufacturer/onsemi?pageNo=335", "Onsemi")</f>
        <v>Onsemi</v>
      </c>
      <c r="C3032" s="6">
        <v>24700</v>
      </c>
      <c r="D3032" s="7">
        <v>0.48</v>
      </c>
      <c r="E3032" t="s">
        <v>11</v>
      </c>
    </row>
    <row r="3033" spans="1:5" x14ac:dyDescent="0.25">
      <c r="A3033" t="str">
        <f>HYPERLINK("https://www.773grp.com/globalSearch/MC74HC368ADTG/page-1", "MC74HC368ADTG")</f>
        <v>MC74HC368ADTG</v>
      </c>
      <c r="B3033" s="3" t="str">
        <f>HYPERLINK("https://www.773grp.com/manufacturer/onsemi?pageNo=336", "Onsemi")</f>
        <v>Onsemi</v>
      </c>
      <c r="C3033" s="6">
        <v>5184</v>
      </c>
      <c r="D3033" s="7">
        <v>0.48</v>
      </c>
    </row>
    <row r="3034" spans="1:5" x14ac:dyDescent="0.25">
      <c r="A3034" t="str">
        <f>HYPERLINK("https://www.773grp.com/globalSearch/MC74HC368ADTR2G/page-1", "MC74HC368ADTR2G")</f>
        <v>MC74HC368ADTR2G</v>
      </c>
      <c r="B3034" s="3" t="str">
        <f>HYPERLINK("https://www.773grp.com/manufacturer/onsemi?pageNo=337", "Onsemi")</f>
        <v>Onsemi</v>
      </c>
      <c r="C3034" s="6">
        <v>67500</v>
      </c>
      <c r="D3034" s="7">
        <v>0.48</v>
      </c>
      <c r="E3034" t="s">
        <v>11</v>
      </c>
    </row>
    <row r="3035" spans="1:5" x14ac:dyDescent="0.25">
      <c r="A3035" t="str">
        <f>HYPERLINK("https://www.773grp.com/globalSearch/MC74HC390ADTR2/page-1", "MC74HC390ADTR2")</f>
        <v>MC74HC390ADTR2</v>
      </c>
      <c r="B3035" s="3" t="str">
        <f>HYPERLINK("https://www.773grp.com/manufacturer/onsemi?pageNo=338", "Onsemi")</f>
        <v>Onsemi</v>
      </c>
      <c r="C3035" s="6">
        <v>136441</v>
      </c>
      <c r="D3035" s="7">
        <v>0.48</v>
      </c>
      <c r="E3035" t="s">
        <v>22</v>
      </c>
    </row>
    <row r="3036" spans="1:5" x14ac:dyDescent="0.25">
      <c r="A3036" t="str">
        <f>HYPERLINK("https://www.773grp.com/globalSearch/MC74HC390AN/page-1", "MC74HC390AN")</f>
        <v>MC74HC390AN</v>
      </c>
      <c r="B3036" s="3" t="str">
        <f>HYPERLINK("https://www.773grp.com/manufacturer/onsemi?pageNo=339", "Onsemi")</f>
        <v>Onsemi</v>
      </c>
      <c r="C3036" s="6">
        <v>145</v>
      </c>
      <c r="D3036" s="7">
        <v>0.48</v>
      </c>
      <c r="E3036" t="s">
        <v>22</v>
      </c>
    </row>
    <row r="3037" spans="1:5" x14ac:dyDescent="0.25">
      <c r="A3037" t="str">
        <f>HYPERLINK("https://www.773grp.com/globalSearch/MC74HC4020AN/page-1", "MC74HC4020AN")</f>
        <v>MC74HC4020AN</v>
      </c>
      <c r="B3037" s="3" t="str">
        <f>HYPERLINK("https://www.773grp.com/manufacturer/onsemi?pageNo=340", "Onsemi")</f>
        <v>Onsemi</v>
      </c>
      <c r="C3037" s="6">
        <v>27091</v>
      </c>
      <c r="D3037" s="7">
        <v>0.48</v>
      </c>
      <c r="E3037" t="s">
        <v>22</v>
      </c>
    </row>
    <row r="3038" spans="1:5" x14ac:dyDescent="0.25">
      <c r="A3038" t="str">
        <f>HYPERLINK("https://www.773grp.com/globalSearch/MC74HC4066AN/page-1", "MC74HC4066AN")</f>
        <v>MC74HC4066AN</v>
      </c>
      <c r="B3038" s="3" t="str">
        <f>HYPERLINK("https://www.773grp.com/manufacturer/onsemi?pageNo=341", "Onsemi")</f>
        <v>Onsemi</v>
      </c>
      <c r="C3038" s="6">
        <v>783</v>
      </c>
      <c r="D3038" s="7">
        <v>0.48</v>
      </c>
      <c r="E3038" t="s">
        <v>46</v>
      </c>
    </row>
    <row r="3039" spans="1:5" x14ac:dyDescent="0.25">
      <c r="A3039" t="str">
        <f>HYPERLINK("https://www.773grp.com/globalSearch/MC74HC4075N/page-1", "MC74HC4075N")</f>
        <v>MC74HC4075N</v>
      </c>
      <c r="B3039" s="3" t="str">
        <f>HYPERLINK("https://www.773grp.com/manufacturer/onsemi?pageNo=342", "Onsemi")</f>
        <v>Onsemi</v>
      </c>
      <c r="C3039" s="6">
        <v>2429</v>
      </c>
      <c r="D3039" s="7">
        <v>0.48</v>
      </c>
      <c r="E3039" t="s">
        <v>27</v>
      </c>
    </row>
    <row r="3040" spans="1:5" x14ac:dyDescent="0.25">
      <c r="A3040" t="str">
        <f>HYPERLINK("https://www.773grp.com/globalSearch/MC74HC4316AN/page-1", "MC74HC4316AN")</f>
        <v>MC74HC4316AN</v>
      </c>
      <c r="B3040" s="3" t="str">
        <f>HYPERLINK("https://www.773grp.com/manufacturer/onsemi?pageNo=343", "Onsemi")</f>
        <v>Onsemi</v>
      </c>
      <c r="C3040" s="6">
        <v>18</v>
      </c>
      <c r="D3040" s="7">
        <v>0.48</v>
      </c>
      <c r="E3040" t="s">
        <v>46</v>
      </c>
    </row>
    <row r="3041" spans="1:5" x14ac:dyDescent="0.25">
      <c r="A3041" t="str">
        <f>HYPERLINK("https://www.773grp.com/globalSearch/MC74HC73F/page-1", "MC74HC73F")</f>
        <v>MC74HC73F</v>
      </c>
      <c r="B3041" s="3" t="str">
        <f>HYPERLINK("https://www.773grp.com/manufacturer/onsemi?pageNo=344", "Onsemi")</f>
        <v>Onsemi</v>
      </c>
      <c r="C3041" s="6">
        <v>880</v>
      </c>
      <c r="D3041" s="7">
        <v>0.48</v>
      </c>
    </row>
    <row r="3042" spans="1:5" x14ac:dyDescent="0.25">
      <c r="A3042" t="str">
        <f>HYPERLINK("https://www.773grp.com/globalSearch/MC74HC74AF/page-1", "MC74HC74AF")</f>
        <v>MC74HC74AF</v>
      </c>
      <c r="B3042" s="3" t="str">
        <f>HYPERLINK("https://www.773grp.com/manufacturer/onsemi?pageNo=345", "Onsemi")</f>
        <v>Onsemi</v>
      </c>
      <c r="C3042" s="6">
        <v>1335</v>
      </c>
      <c r="D3042" s="7">
        <v>0.48</v>
      </c>
      <c r="E3042" t="s">
        <v>31</v>
      </c>
    </row>
    <row r="3043" spans="1:5" x14ac:dyDescent="0.25">
      <c r="A3043" t="str">
        <f>HYPERLINK("https://www.773grp.com/globalSearch/MC74HC74AFL1/page-1", "MC74HC74AFL1")</f>
        <v>MC74HC74AFL1</v>
      </c>
      <c r="B3043" s="3" t="str">
        <f>HYPERLINK("https://www.773grp.com/manufacturer/onsemi?pageNo=346", "Onsemi")</f>
        <v>Onsemi</v>
      </c>
      <c r="C3043" s="6">
        <v>47000</v>
      </c>
      <c r="D3043" s="7">
        <v>0.48</v>
      </c>
    </row>
    <row r="3044" spans="1:5" x14ac:dyDescent="0.25">
      <c r="A3044" t="str">
        <f>HYPERLINK("https://www.773grp.com/globalSearch/MC74HC74AFR1/page-1", "MC74HC74AFR1")</f>
        <v>MC74HC74AFR1</v>
      </c>
      <c r="B3044" s="3" t="str">
        <f>HYPERLINK("https://www.773grp.com/manufacturer/onsemi?pageNo=347", "Onsemi")</f>
        <v>Onsemi</v>
      </c>
      <c r="C3044" s="6">
        <v>13000</v>
      </c>
      <c r="D3044" s="7">
        <v>0.48</v>
      </c>
    </row>
    <row r="3045" spans="1:5" x14ac:dyDescent="0.25">
      <c r="A3045" t="str">
        <f>HYPERLINK("https://www.773grp.com/globalSearch/MC74HC74AFR2/page-1", "MC74HC74AFR2")</f>
        <v>MC74HC74AFR2</v>
      </c>
      <c r="B3045" s="3" t="str">
        <f>HYPERLINK("https://www.773grp.com/manufacturer/onsemi?pageNo=348", "Onsemi")</f>
        <v>Onsemi</v>
      </c>
      <c r="C3045" s="6">
        <v>6000</v>
      </c>
      <c r="D3045" s="7">
        <v>0.48</v>
      </c>
    </row>
    <row r="3046" spans="1:5" x14ac:dyDescent="0.25">
      <c r="A3046" t="str">
        <f>HYPERLINK("https://www.773grp.com/globalSearch/MC74HCT08HDTR2/page-1", "MC74HCT08HDTR2")</f>
        <v>MC74HCT08HDTR2</v>
      </c>
      <c r="B3046" s="3" t="str">
        <f>HYPERLINK("https://www.773grp.com/manufacturer/onsemi?pageNo=349", "Onsemi")</f>
        <v>Onsemi</v>
      </c>
      <c r="C3046" s="6">
        <v>25000</v>
      </c>
      <c r="D3046" s="7">
        <v>0.48</v>
      </c>
    </row>
    <row r="3047" spans="1:5" x14ac:dyDescent="0.25">
      <c r="A3047" t="str">
        <f>HYPERLINK("https://www.773grp.com/globalSearch/MC74HCT125ADG/page-1", "MC74HCT125ADG")</f>
        <v>MC74HCT125ADG</v>
      </c>
      <c r="B3047" s="3" t="str">
        <f>HYPERLINK("https://www.773grp.com/manufacturer/onsemi?pageNo=350", "Onsemi")</f>
        <v>Onsemi</v>
      </c>
      <c r="C3047" s="6">
        <v>34950</v>
      </c>
      <c r="D3047" s="7">
        <v>0.48</v>
      </c>
    </row>
    <row r="3048" spans="1:5" x14ac:dyDescent="0.25">
      <c r="A3048" t="str">
        <f>HYPERLINK("https://www.773grp.com/globalSearch/MC74HCT125ADR2G/page-1", "MC74HCT125ADR2G")</f>
        <v>MC74HCT125ADR2G</v>
      </c>
      <c r="B3048" s="3" t="str">
        <f>HYPERLINK("https://www.773grp.com/manufacturer/onsemi?pageNo=351", "Onsemi")</f>
        <v>Onsemi</v>
      </c>
      <c r="C3048" s="6">
        <v>19947</v>
      </c>
      <c r="D3048" s="7">
        <v>0.48</v>
      </c>
      <c r="E3048" t="s">
        <v>32</v>
      </c>
    </row>
    <row r="3049" spans="1:5" x14ac:dyDescent="0.25">
      <c r="A3049" t="str">
        <f>HYPERLINK("https://www.773grp.com/globalSearch/MC74HCT125ADTG/page-1", "MC74HCT125ADTG")</f>
        <v>MC74HCT125ADTG</v>
      </c>
      <c r="B3049" s="3" t="str">
        <f>HYPERLINK("https://www.773grp.com/manufacturer/onsemi?pageNo=352", "Onsemi")</f>
        <v>Onsemi</v>
      </c>
      <c r="C3049" s="6">
        <v>73032</v>
      </c>
      <c r="D3049" s="7">
        <v>0.48</v>
      </c>
      <c r="E3049" t="s">
        <v>32</v>
      </c>
    </row>
    <row r="3050" spans="1:5" x14ac:dyDescent="0.25">
      <c r="A3050" t="str">
        <f>HYPERLINK("https://www.773grp.com/globalSearch/MC74HCT125ADTR2G/page-1", "MC74HCT125ADTR2G")</f>
        <v>MC74HCT125ADTR2G</v>
      </c>
      <c r="B3050" s="3" t="str">
        <f>HYPERLINK("https://www.773grp.com/manufacturer/onsemi?pageNo=353", "Onsemi")</f>
        <v>Onsemi</v>
      </c>
      <c r="C3050" s="6">
        <v>4848</v>
      </c>
      <c r="D3050" s="7">
        <v>0.48</v>
      </c>
      <c r="E3050" t="s">
        <v>32</v>
      </c>
    </row>
    <row r="3051" spans="1:5" x14ac:dyDescent="0.25">
      <c r="A3051" t="str">
        <f>HYPERLINK("https://www.773grp.com/globalSearch/MC74HCT138AD/page-1", "MC74HCT138AD")</f>
        <v>MC74HCT138AD</v>
      </c>
      <c r="B3051" s="3" t="str">
        <f>HYPERLINK("https://www.773grp.com/manufacturer/onsemi?pageNo=354", "Onsemi")</f>
        <v>Onsemi</v>
      </c>
      <c r="C3051" s="6">
        <v>2830</v>
      </c>
      <c r="D3051" s="7">
        <v>0.48</v>
      </c>
      <c r="E3051" t="s">
        <v>32</v>
      </c>
    </row>
    <row r="3052" spans="1:5" x14ac:dyDescent="0.25">
      <c r="A3052" t="str">
        <f>HYPERLINK("https://www.773grp.com/globalSearch/MC74HCT138ADT/page-1", "MC74HCT138ADT")</f>
        <v>MC74HCT138ADT</v>
      </c>
      <c r="B3052" s="3" t="str">
        <f>HYPERLINK("https://www.773grp.com/manufacturer/onsemi?pageNo=355", "Onsemi")</f>
        <v>Onsemi</v>
      </c>
      <c r="C3052" s="6">
        <v>392</v>
      </c>
      <c r="D3052" s="7">
        <v>0.48</v>
      </c>
      <c r="E3052" t="s">
        <v>32</v>
      </c>
    </row>
    <row r="3053" spans="1:5" x14ac:dyDescent="0.25">
      <c r="A3053" t="str">
        <f>HYPERLINK("https://www.773grp.com/globalSearch/MC74HCT138ADTR2G/page-1", "MC74HCT138ADTR2G")</f>
        <v>MC74HCT138ADTR2G</v>
      </c>
      <c r="B3053" s="3" t="str">
        <f>HYPERLINK("https://www.773grp.com/manufacturer/onsemi?pageNo=356", "Onsemi")</f>
        <v>Onsemi</v>
      </c>
      <c r="C3053" s="6">
        <v>46330</v>
      </c>
      <c r="D3053" s="7">
        <v>0.48</v>
      </c>
    </row>
    <row r="3054" spans="1:5" x14ac:dyDescent="0.25">
      <c r="A3054" t="str">
        <f>HYPERLINK("https://www.773grp.com/globalSearch/MC74HCT14AN/page-1", "MC74HCT14AN")</f>
        <v>MC74HCT14AN</v>
      </c>
      <c r="B3054" s="3" t="str">
        <f>HYPERLINK("https://www.773grp.com/manufacturer/onsemi?pageNo=357", "Onsemi")</f>
        <v>Onsemi</v>
      </c>
      <c r="C3054" s="6">
        <v>251</v>
      </c>
      <c r="D3054" s="7">
        <v>0.48</v>
      </c>
      <c r="E3054" t="s">
        <v>27</v>
      </c>
    </row>
    <row r="3055" spans="1:5" x14ac:dyDescent="0.25">
      <c r="A3055" t="str">
        <f>HYPERLINK("https://www.773grp.com/globalSearch/MC74HCT74AN/page-1", "MC74HCT74AN")</f>
        <v>MC74HCT74AN</v>
      </c>
      <c r="B3055" s="3" t="str">
        <f>HYPERLINK("https://www.773grp.com/manufacturer/onsemi?pageNo=358", "Onsemi")</f>
        <v>Onsemi</v>
      </c>
      <c r="C3055" s="6">
        <v>10370</v>
      </c>
      <c r="D3055" s="7">
        <v>0.48</v>
      </c>
      <c r="E3055" t="s">
        <v>31</v>
      </c>
    </row>
    <row r="3056" spans="1:5" x14ac:dyDescent="0.25">
      <c r="A3056" t="str">
        <f>HYPERLINK("https://www.773grp.com/globalSearch/MC74LCX00MEL/page-1", "MC74LCX00MEL")</f>
        <v>MC74LCX00MEL</v>
      </c>
      <c r="B3056" s="3" t="str">
        <f>HYPERLINK("https://www.773grp.com/manufacturer/onsemi?pageNo=359", "Onsemi")</f>
        <v>Onsemi</v>
      </c>
      <c r="C3056" s="6">
        <v>12398</v>
      </c>
      <c r="D3056" s="7">
        <v>0.48</v>
      </c>
      <c r="E3056" t="s">
        <v>27</v>
      </c>
    </row>
    <row r="3057" spans="1:5" x14ac:dyDescent="0.25">
      <c r="A3057" t="str">
        <f>HYPERLINK("https://www.773grp.com/globalSearch/MC74LCX07M/page-1", "MC74LCX07M")</f>
        <v>MC74LCX07M</v>
      </c>
      <c r="B3057" s="3" t="str">
        <f>HYPERLINK("https://www.773grp.com/manufacturer/onsemi?pageNo=360", "Onsemi")</f>
        <v>Onsemi</v>
      </c>
      <c r="C3057" s="6">
        <v>11600</v>
      </c>
      <c r="D3057" s="7">
        <v>0.48</v>
      </c>
      <c r="E3057" t="s">
        <v>27</v>
      </c>
    </row>
    <row r="3058" spans="1:5" x14ac:dyDescent="0.25">
      <c r="A3058" t="str">
        <f>HYPERLINK("https://www.773grp.com/globalSearch/MC74LCX125DT/page-1", "MC74LCX125DT")</f>
        <v>MC74LCX125DT</v>
      </c>
      <c r="B3058" s="3" t="str">
        <f>HYPERLINK("https://www.773grp.com/manufacturer/onsemi?pageNo=361", "Onsemi")</f>
        <v>Onsemi</v>
      </c>
      <c r="C3058" s="6">
        <v>1679</v>
      </c>
      <c r="D3058" s="7">
        <v>0.48</v>
      </c>
      <c r="E3058" t="s">
        <v>11</v>
      </c>
    </row>
    <row r="3059" spans="1:5" x14ac:dyDescent="0.25">
      <c r="A3059" t="str">
        <f>HYPERLINK("https://www.773grp.com/globalSearch/MC74LCX125DTR2/page-1", "MC74LCX125DTR2")</f>
        <v>MC74LCX125DTR2</v>
      </c>
      <c r="B3059" s="3" t="str">
        <f>HYPERLINK("https://www.773grp.com/manufacturer/onsemi?pageNo=362", "Onsemi")</f>
        <v>Onsemi</v>
      </c>
      <c r="C3059" s="6">
        <v>11564</v>
      </c>
      <c r="D3059" s="7">
        <v>0.48</v>
      </c>
      <c r="E3059" t="s">
        <v>11</v>
      </c>
    </row>
    <row r="3060" spans="1:5" x14ac:dyDescent="0.25">
      <c r="A3060" t="str">
        <f>HYPERLINK("https://www.773grp.com/globalSearch/MC74LCX138DT/page-1", "MC74LCX138DT")</f>
        <v>MC74LCX138DT</v>
      </c>
      <c r="B3060" s="3" t="str">
        <f>HYPERLINK("https://www.773grp.com/manufacturer/onsemi?pageNo=363", "Onsemi")</f>
        <v>Onsemi</v>
      </c>
      <c r="C3060" s="6">
        <v>864</v>
      </c>
      <c r="D3060" s="7">
        <v>0.48</v>
      </c>
      <c r="E3060" t="s">
        <v>32</v>
      </c>
    </row>
    <row r="3061" spans="1:5" x14ac:dyDescent="0.25">
      <c r="A3061" t="str">
        <f>HYPERLINK("https://www.773grp.com/globalSearch/MC74LCX139DR2/page-1", "MC74LCX139DR2")</f>
        <v>MC74LCX139DR2</v>
      </c>
      <c r="B3061" s="3" t="str">
        <f>HYPERLINK("https://www.773grp.com/manufacturer/onsemi?pageNo=364", "Onsemi")</f>
        <v>Onsemi</v>
      </c>
      <c r="C3061" s="6">
        <v>2500</v>
      </c>
      <c r="D3061" s="7">
        <v>0.48</v>
      </c>
      <c r="E3061" t="s">
        <v>32</v>
      </c>
    </row>
    <row r="3062" spans="1:5" x14ac:dyDescent="0.25">
      <c r="A3062" t="str">
        <f>HYPERLINK("https://www.773grp.com/globalSearch/MC74LCX139DT/page-1", "MC74LCX139DT")</f>
        <v>MC74LCX139DT</v>
      </c>
      <c r="B3062" s="3" t="str">
        <f>HYPERLINK("https://www.773grp.com/manufacturer/onsemi?pageNo=365", "Onsemi")</f>
        <v>Onsemi</v>
      </c>
      <c r="C3062" s="6">
        <v>31</v>
      </c>
      <c r="D3062" s="7">
        <v>0.48</v>
      </c>
      <c r="E3062" t="s">
        <v>32</v>
      </c>
    </row>
    <row r="3063" spans="1:5" x14ac:dyDescent="0.25">
      <c r="A3063" t="str">
        <f>HYPERLINK("https://www.773grp.com/globalSearch/MC74LCX14M/page-1", "MC74LCX14M")</f>
        <v>MC74LCX14M</v>
      </c>
      <c r="B3063" s="3" t="str">
        <f>HYPERLINK("https://www.773grp.com/manufacturer/onsemi?pageNo=366", "Onsemi")</f>
        <v>Onsemi</v>
      </c>
      <c r="C3063" s="6">
        <v>18000</v>
      </c>
      <c r="D3063" s="7">
        <v>0.48</v>
      </c>
      <c r="E3063" t="s">
        <v>27</v>
      </c>
    </row>
    <row r="3064" spans="1:5" x14ac:dyDescent="0.25">
      <c r="A3064" t="str">
        <f>HYPERLINK("https://www.773grp.com/globalSearch/MC74LCX157D/page-1", "MC74LCX157D")</f>
        <v>MC74LCX157D</v>
      </c>
      <c r="B3064" s="3" t="str">
        <f>HYPERLINK("https://www.773grp.com/manufacturer/onsemi?pageNo=367", "Onsemi")</f>
        <v>Onsemi</v>
      </c>
      <c r="C3064" s="6">
        <v>6384</v>
      </c>
      <c r="D3064" s="7">
        <v>0.48</v>
      </c>
      <c r="E3064" t="s">
        <v>16</v>
      </c>
    </row>
    <row r="3065" spans="1:5" x14ac:dyDescent="0.25">
      <c r="A3065" t="str">
        <f>HYPERLINK("https://www.773grp.com/globalSearch/MC74LCX157DT/page-1", "MC74LCX157DT")</f>
        <v>MC74LCX157DT</v>
      </c>
      <c r="B3065" s="3" t="str">
        <f>HYPERLINK("https://www.773grp.com/manufacturer/onsemi?pageNo=368", "Onsemi")</f>
        <v>Onsemi</v>
      </c>
      <c r="C3065" s="6">
        <v>17184</v>
      </c>
      <c r="D3065" s="7">
        <v>0.48</v>
      </c>
      <c r="E3065" t="s">
        <v>16</v>
      </c>
    </row>
    <row r="3066" spans="1:5" x14ac:dyDescent="0.25">
      <c r="A3066" t="str">
        <f>HYPERLINK("https://www.773grp.com/globalSearch/MC74LCX158D/page-1", "MC74LCX158D")</f>
        <v>MC74LCX158D</v>
      </c>
      <c r="B3066" s="3" t="str">
        <f>HYPERLINK("https://www.773grp.com/manufacturer/onsemi?pageNo=369", "Onsemi")</f>
        <v>Onsemi</v>
      </c>
      <c r="C3066" s="6">
        <v>2432</v>
      </c>
      <c r="D3066" s="7">
        <v>0.48</v>
      </c>
      <c r="E3066" t="s">
        <v>16</v>
      </c>
    </row>
    <row r="3067" spans="1:5" x14ac:dyDescent="0.25">
      <c r="A3067" t="str">
        <f>HYPERLINK("https://www.773grp.com/globalSearch/MC74LCX158DT/page-1", "MC74LCX158DT")</f>
        <v>MC74LCX158DT</v>
      </c>
      <c r="B3067" s="3" t="str">
        <f>HYPERLINK("https://www.773grp.com/manufacturer/onsemi?pageNo=370", "Onsemi")</f>
        <v>Onsemi</v>
      </c>
      <c r="C3067" s="6">
        <v>1774</v>
      </c>
      <c r="D3067" s="7">
        <v>0.48</v>
      </c>
      <c r="E3067" t="s">
        <v>16</v>
      </c>
    </row>
    <row r="3068" spans="1:5" x14ac:dyDescent="0.25">
      <c r="A3068" t="str">
        <f>HYPERLINK("https://www.773grp.com/globalSearch/MC74LCX257DR2/page-1", "MC74LCX257DR2")</f>
        <v>MC74LCX257DR2</v>
      </c>
      <c r="B3068" s="3" t="str">
        <f>HYPERLINK("https://www.773grp.com/manufacturer/onsemi?pageNo=371", "Onsemi")</f>
        <v>Onsemi</v>
      </c>
      <c r="C3068" s="6">
        <v>2500</v>
      </c>
      <c r="D3068" s="7">
        <v>0.48</v>
      </c>
      <c r="E3068" t="s">
        <v>16</v>
      </c>
    </row>
    <row r="3069" spans="1:5" x14ac:dyDescent="0.25">
      <c r="A3069" t="str">
        <f>HYPERLINK("https://www.773grp.com/globalSearch/MC74LCX257DT/page-1", "MC74LCX257DT")</f>
        <v>MC74LCX257DT</v>
      </c>
      <c r="B3069" s="3" t="str">
        <f>HYPERLINK("https://www.773grp.com/manufacturer/onsemi?pageNo=372", "Onsemi")</f>
        <v>Onsemi</v>
      </c>
      <c r="C3069" s="6">
        <v>864</v>
      </c>
      <c r="D3069" s="7">
        <v>0.48</v>
      </c>
      <c r="E3069" t="s">
        <v>16</v>
      </c>
    </row>
    <row r="3070" spans="1:5" x14ac:dyDescent="0.25">
      <c r="A3070" t="str">
        <f>HYPERLINK("https://www.773grp.com/globalSearch/MC74LCX74MEL/page-1", "MC74LCX74MEL")</f>
        <v>MC74LCX74MEL</v>
      </c>
      <c r="B3070" s="3" t="str">
        <f>HYPERLINK("https://www.773grp.com/manufacturer/onsemi?pageNo=373", "Onsemi")</f>
        <v>Onsemi</v>
      </c>
      <c r="C3070" s="6">
        <v>6000</v>
      </c>
      <c r="D3070" s="7">
        <v>0.48</v>
      </c>
      <c r="E3070" t="s">
        <v>31</v>
      </c>
    </row>
    <row r="3071" spans="1:5" x14ac:dyDescent="0.25">
      <c r="A3071" t="str">
        <f>HYPERLINK("https://www.773grp.com/globalSearch/MC74LVC139DT/page-1", "MC74LVC139DT")</f>
        <v>MC74LVC139DT</v>
      </c>
      <c r="B3071" s="3" t="str">
        <f>HYPERLINK("https://www.773grp.com/manufacturer/onsemi?pageNo=374", "Onsemi")</f>
        <v>Onsemi</v>
      </c>
      <c r="C3071" s="6">
        <v>1248</v>
      </c>
      <c r="D3071" s="7">
        <v>0.48</v>
      </c>
    </row>
    <row r="3072" spans="1:5" x14ac:dyDescent="0.25">
      <c r="A3072" t="str">
        <f>HYPERLINK("https://www.773grp.com/globalSearch/MC74LVX132D/page-1", "MC74LVX132D")</f>
        <v>MC74LVX132D</v>
      </c>
      <c r="B3072" s="3" t="str">
        <f>HYPERLINK("https://www.773grp.com/manufacturer/onsemi?pageNo=375", "Onsemi")</f>
        <v>Onsemi</v>
      </c>
      <c r="C3072" s="6">
        <v>4785</v>
      </c>
      <c r="D3072" s="7">
        <v>0.48</v>
      </c>
      <c r="E3072" t="s">
        <v>27</v>
      </c>
    </row>
    <row r="3073" spans="1:5" x14ac:dyDescent="0.25">
      <c r="A3073" t="str">
        <f>HYPERLINK("https://www.773grp.com/globalSearch/MC74LVX138D/page-1", "MC74LVX138D")</f>
        <v>MC74LVX138D</v>
      </c>
      <c r="B3073" s="3" t="str">
        <f>HYPERLINK("https://www.773grp.com/manufacturer/onsemi?pageNo=376", "Onsemi")</f>
        <v>Onsemi</v>
      </c>
      <c r="C3073" s="6">
        <v>12432</v>
      </c>
      <c r="D3073" s="7">
        <v>0.48</v>
      </c>
      <c r="E3073" t="s">
        <v>32</v>
      </c>
    </row>
    <row r="3074" spans="1:5" x14ac:dyDescent="0.25">
      <c r="A3074" t="str">
        <f>HYPERLINK("https://www.773grp.com/globalSearch/MC74LVX139D/page-1", "MC74LVX139D")</f>
        <v>MC74LVX139D</v>
      </c>
      <c r="B3074" s="3" t="str">
        <f>HYPERLINK("https://www.773grp.com/manufacturer/onsemi?pageNo=377", "Onsemi")</f>
        <v>Onsemi</v>
      </c>
      <c r="C3074" s="6">
        <v>11336</v>
      </c>
      <c r="D3074" s="7">
        <v>0.48</v>
      </c>
      <c r="E3074" t="s">
        <v>32</v>
      </c>
    </row>
    <row r="3075" spans="1:5" x14ac:dyDescent="0.25">
      <c r="A3075" t="str">
        <f>HYPERLINK("https://www.773grp.com/globalSearch/MC74LVX139DT/page-1", "MC74LVX139DT")</f>
        <v>MC74LVX139DT</v>
      </c>
      <c r="B3075" s="3" t="str">
        <f>HYPERLINK("https://www.773grp.com/manufacturer/onsemi?pageNo=378", "Onsemi")</f>
        <v>Onsemi</v>
      </c>
      <c r="C3075" s="6">
        <v>2764</v>
      </c>
      <c r="D3075" s="7">
        <v>0.48</v>
      </c>
      <c r="E3075" t="s">
        <v>32</v>
      </c>
    </row>
    <row r="3076" spans="1:5" x14ac:dyDescent="0.25">
      <c r="A3076" t="str">
        <f>HYPERLINK("https://www.773grp.com/globalSearch/MC74VHC125DT/page-1", "MC74VHC125DT")</f>
        <v>MC74VHC125DT</v>
      </c>
      <c r="B3076" s="3" t="str">
        <f>HYPERLINK("https://www.773grp.com/manufacturer/onsemi?pageNo=379", "Onsemi")</f>
        <v>Onsemi</v>
      </c>
      <c r="C3076" s="6">
        <v>24358</v>
      </c>
      <c r="D3076" s="7">
        <v>0.48</v>
      </c>
      <c r="E3076" t="s">
        <v>11</v>
      </c>
    </row>
    <row r="3077" spans="1:5" x14ac:dyDescent="0.25">
      <c r="A3077" t="str">
        <f>HYPERLINK("https://www.773grp.com/globalSearch/MC74VHC126D/page-1", "MC74VHC126D")</f>
        <v>MC74VHC126D</v>
      </c>
      <c r="B3077" s="3" t="str">
        <f>HYPERLINK("https://www.773grp.com/manufacturer/onsemi?pageNo=380", "Onsemi")</f>
        <v>Onsemi</v>
      </c>
      <c r="C3077" s="6">
        <v>12665</v>
      </c>
      <c r="D3077" s="7">
        <v>0.48</v>
      </c>
      <c r="E3077" t="s">
        <v>11</v>
      </c>
    </row>
    <row r="3078" spans="1:5" x14ac:dyDescent="0.25">
      <c r="A3078" t="str">
        <f>HYPERLINK("https://www.773grp.com/globalSearch/MC74VHC1G00DTT1G/page-1", "MC74VHC1G00DTT1G")</f>
        <v>MC74VHC1G00DTT1G</v>
      </c>
      <c r="B3078" s="3" t="str">
        <f>HYPERLINK("https://www.773grp.com/manufacturer/onsemi?pageNo=381", "Onsemi")</f>
        <v>Onsemi</v>
      </c>
      <c r="C3078" s="6">
        <v>1401000</v>
      </c>
      <c r="D3078" s="7">
        <v>0.48</v>
      </c>
      <c r="E3078" t="s">
        <v>27</v>
      </c>
    </row>
    <row r="3079" spans="1:5" x14ac:dyDescent="0.25">
      <c r="A3079" t="str">
        <f>HYPERLINK("https://www.773grp.com/globalSearch/MC74VHC1G01DTT1G/page-1", "MC74VHC1G01DTT1G")</f>
        <v>MC74VHC1G01DTT1G</v>
      </c>
      <c r="B3079" s="3" t="str">
        <f>HYPERLINK("https://www.773grp.com/manufacturer/onsemi?pageNo=382", "Onsemi")</f>
        <v>Onsemi</v>
      </c>
      <c r="C3079" s="6">
        <v>42000</v>
      </c>
      <c r="D3079" s="7">
        <v>0.48</v>
      </c>
      <c r="E3079" t="s">
        <v>27</v>
      </c>
    </row>
    <row r="3080" spans="1:5" x14ac:dyDescent="0.25">
      <c r="A3080" t="str">
        <f>HYPERLINK("https://www.773grp.com/globalSearch/MC74VHC1G02DTT1G/page-1", "MC74VHC1G02DTT1G")</f>
        <v>MC74VHC1G02DTT1G</v>
      </c>
      <c r="B3080" s="3" t="str">
        <f>HYPERLINK("https://www.773grp.com/manufacturer/onsemi?pageNo=383", "Onsemi")</f>
        <v>Onsemi</v>
      </c>
      <c r="C3080" s="6">
        <v>287644</v>
      </c>
      <c r="D3080" s="7">
        <v>0.48</v>
      </c>
      <c r="E3080" t="s">
        <v>27</v>
      </c>
    </row>
    <row r="3081" spans="1:5" x14ac:dyDescent="0.25">
      <c r="A3081" t="str">
        <f>HYPERLINK("https://www.773grp.com/globalSearch/MC74VHC1G03DTT1G/page-1", "MC74VHC1G03DTT1G")</f>
        <v>MC74VHC1G03DTT1G</v>
      </c>
      <c r="B3081" s="3" t="str">
        <f>HYPERLINK("https://www.773grp.com/manufacturer/onsemi?pageNo=384", "Onsemi")</f>
        <v>Onsemi</v>
      </c>
      <c r="C3081" s="6">
        <v>21000</v>
      </c>
      <c r="D3081" s="7">
        <v>0.48</v>
      </c>
      <c r="E3081" t="s">
        <v>27</v>
      </c>
    </row>
    <row r="3082" spans="1:5" x14ac:dyDescent="0.25">
      <c r="A3082" t="str">
        <f>HYPERLINK("https://www.773grp.com/globalSearch/MC74VHC1G04DFT1/page-1", "MC74VHC1G04DFT1")</f>
        <v>MC74VHC1G04DFT1</v>
      </c>
      <c r="B3082" s="3" t="str">
        <f>HYPERLINK("https://www.773grp.com/manufacturer/onsemi?pageNo=385", "Onsemi")</f>
        <v>Onsemi</v>
      </c>
      <c r="C3082" s="6">
        <v>72000</v>
      </c>
      <c r="D3082" s="7">
        <v>0.48</v>
      </c>
    </row>
    <row r="3083" spans="1:5" x14ac:dyDescent="0.25">
      <c r="A3083" t="str">
        <f>HYPERLINK("https://www.773grp.com/globalSearch/MC74VHC1G04DTT1G/page-1", "MC74VHC1G04DTT1G")</f>
        <v>MC74VHC1G04DTT1G</v>
      </c>
      <c r="B3083" s="3" t="str">
        <f>HYPERLINK("https://www.773grp.com/manufacturer/onsemi?pageNo=386", "Onsemi")</f>
        <v>Onsemi</v>
      </c>
      <c r="C3083" s="6">
        <v>191035</v>
      </c>
      <c r="D3083" s="7">
        <v>0.48</v>
      </c>
      <c r="E3083" t="s">
        <v>27</v>
      </c>
    </row>
    <row r="3084" spans="1:5" x14ac:dyDescent="0.25">
      <c r="A3084" t="str">
        <f>HYPERLINK("https://www.773grp.com/globalSearch/MC74VHC1G05DTT1G/page-1", "MC74VHC1G05DTT1G")</f>
        <v>MC74VHC1G05DTT1G</v>
      </c>
      <c r="B3084" s="3" t="str">
        <f>HYPERLINK("https://www.773grp.com/manufacturer/onsemi?pageNo=387", "Onsemi")</f>
        <v>Onsemi</v>
      </c>
      <c r="C3084" s="6">
        <v>141000</v>
      </c>
      <c r="D3084" s="7">
        <v>0.48</v>
      </c>
      <c r="E3084" t="s">
        <v>27</v>
      </c>
    </row>
    <row r="3085" spans="1:5" x14ac:dyDescent="0.25">
      <c r="A3085" t="str">
        <f>HYPERLINK("https://www.773grp.com/globalSearch/MC74VHC1G07DTT1G/page-1", "MC74VHC1G07DTT1G")</f>
        <v>MC74VHC1G07DTT1G</v>
      </c>
      <c r="B3085" s="3" t="str">
        <f>HYPERLINK("https://www.773grp.com/manufacturer/onsemi?pageNo=388", "Onsemi")</f>
        <v>Onsemi</v>
      </c>
      <c r="C3085" s="6">
        <v>255000</v>
      </c>
      <c r="D3085" s="7">
        <v>0.48</v>
      </c>
      <c r="E3085" t="s">
        <v>27</v>
      </c>
    </row>
    <row r="3086" spans="1:5" x14ac:dyDescent="0.25">
      <c r="A3086" t="str">
        <f>HYPERLINK("https://www.773grp.com/globalSearch/MC74VHC1G08DTT1G/page-1", "MC74VHC1G08DTT1G")</f>
        <v>MC74VHC1G08DTT1G</v>
      </c>
      <c r="B3086" s="3" t="str">
        <f>HYPERLINK("https://www.773grp.com/manufacturer/onsemi?pageNo=389", "Onsemi")</f>
        <v>Onsemi</v>
      </c>
      <c r="C3086" s="6">
        <v>1074887</v>
      </c>
      <c r="D3086" s="7">
        <v>0.48</v>
      </c>
      <c r="E3086" t="s">
        <v>27</v>
      </c>
    </row>
    <row r="3087" spans="1:5" x14ac:dyDescent="0.25">
      <c r="A3087" t="str">
        <f>HYPERLINK("https://www.773grp.com/globalSearch/MC74VHC1G09DTT1G/page-1", "MC74VHC1G09DTT1G")</f>
        <v>MC74VHC1G09DTT1G</v>
      </c>
      <c r="B3087" s="3" t="str">
        <f>HYPERLINK("https://www.773grp.com/manufacturer/onsemi?pageNo=390", "Onsemi")</f>
        <v>Onsemi</v>
      </c>
      <c r="C3087" s="6">
        <v>76856</v>
      </c>
      <c r="D3087" s="7">
        <v>0.48</v>
      </c>
      <c r="E3087" t="s">
        <v>27</v>
      </c>
    </row>
    <row r="3088" spans="1:5" x14ac:dyDescent="0.25">
      <c r="A3088" t="str">
        <f>HYPERLINK("https://www.773grp.com/globalSearch/MC74VHC1G132DF2G/page-1", "MC74VHC1G132DF2G")</f>
        <v>MC74VHC1G132DF2G</v>
      </c>
      <c r="B3088" s="3" t="str">
        <f>HYPERLINK("https://www.773grp.com/manufacturer/onsemi?pageNo=391", "Onsemi")</f>
        <v>Onsemi</v>
      </c>
      <c r="C3088" s="6">
        <v>17386</v>
      </c>
      <c r="D3088" s="7">
        <v>0.48</v>
      </c>
    </row>
    <row r="3089" spans="1:5" x14ac:dyDescent="0.25">
      <c r="A3089" t="str">
        <f>HYPERLINK("https://www.773grp.com/globalSearch/MC74VHC1G14DTT1/page-1", "MC74VHC1G14DTT1")</f>
        <v>MC74VHC1G14DTT1</v>
      </c>
      <c r="B3089" s="3" t="str">
        <f>HYPERLINK("https://www.773grp.com/manufacturer/onsemi?pageNo=392", "Onsemi")</f>
        <v>Onsemi</v>
      </c>
      <c r="C3089" s="6">
        <v>57000</v>
      </c>
      <c r="D3089" s="7">
        <v>0.48</v>
      </c>
      <c r="E3089" t="s">
        <v>27</v>
      </c>
    </row>
    <row r="3090" spans="1:5" x14ac:dyDescent="0.25">
      <c r="A3090" t="str">
        <f>HYPERLINK("https://www.773grp.com/globalSearch/MC74VHC1G14DTT1G/page-1", "MC74VHC1G14DTT1G")</f>
        <v>MC74VHC1G14DTT1G</v>
      </c>
      <c r="B3090" s="3" t="str">
        <f>HYPERLINK("https://www.773grp.com/manufacturer/onsemi?pageNo=393", "Onsemi")</f>
        <v>Onsemi</v>
      </c>
      <c r="C3090" s="6">
        <v>834000</v>
      </c>
      <c r="D3090" s="7">
        <v>0.48</v>
      </c>
      <c r="E3090" t="s">
        <v>27</v>
      </c>
    </row>
    <row r="3091" spans="1:5" x14ac:dyDescent="0.25">
      <c r="A3091" t="str">
        <f>HYPERLINK("https://www.773grp.com/globalSearch/MC74VHC1G32DTT1G/page-1", "MC74VHC1G32DTT1G")</f>
        <v>MC74VHC1G32DTT1G</v>
      </c>
      <c r="B3091" s="3" t="str">
        <f>HYPERLINK("https://www.773grp.com/manufacturer/onsemi?pageNo=394", "Onsemi")</f>
        <v>Onsemi</v>
      </c>
      <c r="C3091" s="6">
        <v>262274</v>
      </c>
      <c r="D3091" s="7">
        <v>0.48</v>
      </c>
      <c r="E3091" t="s">
        <v>27</v>
      </c>
    </row>
    <row r="3092" spans="1:5" x14ac:dyDescent="0.25">
      <c r="A3092" t="str">
        <f>HYPERLINK("https://www.773grp.com/globalSearch/MC74VHC1G50DTT1G/page-1", "MC74VHC1G50DTT1G")</f>
        <v>MC74VHC1G50DTT1G</v>
      </c>
      <c r="B3092" s="3" t="str">
        <f>HYPERLINK("https://www.773grp.com/manufacturer/onsemi?pageNo=395", "Onsemi")</f>
        <v>Onsemi</v>
      </c>
      <c r="C3092" s="6">
        <v>42000</v>
      </c>
      <c r="D3092" s="7">
        <v>0.48</v>
      </c>
      <c r="E3092" t="s">
        <v>27</v>
      </c>
    </row>
    <row r="3093" spans="1:5" x14ac:dyDescent="0.25">
      <c r="A3093" t="str">
        <f>HYPERLINK("https://www.773grp.com/globalSearch/MC74VHC1G66DTT1G/page-1", "MC74VHC1G66DTT1G")</f>
        <v>MC74VHC1G66DTT1G</v>
      </c>
      <c r="B3093" s="3" t="str">
        <f>HYPERLINK("https://www.773grp.com/manufacturer/onsemi?pageNo=396", "Onsemi")</f>
        <v>Onsemi</v>
      </c>
      <c r="C3093" s="6">
        <v>129000</v>
      </c>
      <c r="D3093" s="7">
        <v>0.48</v>
      </c>
      <c r="E3093" t="s">
        <v>46</v>
      </c>
    </row>
    <row r="3094" spans="1:5" x14ac:dyDescent="0.25">
      <c r="A3094" t="str">
        <f>HYPERLINK("https://www.773grp.com/globalSearch/MC74VHC1G86DTT1G/page-1", "MC74VHC1G86DTT1G")</f>
        <v>MC74VHC1G86DTT1G</v>
      </c>
      <c r="B3094" s="3" t="str">
        <f>HYPERLINK("https://www.773grp.com/manufacturer/onsemi?pageNo=397", "Onsemi")</f>
        <v>Onsemi</v>
      </c>
      <c r="C3094" s="6">
        <v>111000</v>
      </c>
      <c r="D3094" s="7">
        <v>0.48</v>
      </c>
      <c r="E3094" t="s">
        <v>27</v>
      </c>
    </row>
    <row r="3095" spans="1:5" x14ac:dyDescent="0.25">
      <c r="A3095" t="str">
        <f>HYPERLINK("https://www.773grp.com/globalSearch/MC74VHC1GT00DFT1/page-1", "MC74VHC1GT00DFT1")</f>
        <v>MC74VHC1GT00DFT1</v>
      </c>
      <c r="B3095" s="3" t="str">
        <f>HYPERLINK("https://www.773grp.com/manufacturer/onsemi?pageNo=398", "Onsemi")</f>
        <v>Onsemi</v>
      </c>
      <c r="C3095" s="6">
        <v>72000</v>
      </c>
      <c r="D3095" s="7">
        <v>0.48</v>
      </c>
      <c r="E3095" t="s">
        <v>27</v>
      </c>
    </row>
    <row r="3096" spans="1:5" x14ac:dyDescent="0.25">
      <c r="A3096" t="str">
        <f>HYPERLINK("https://www.773grp.com/globalSearch/MC74VHC1GT02DF2G/page-1", "MC74VHC1GT02DF2G")</f>
        <v>MC74VHC1GT02DF2G</v>
      </c>
      <c r="B3096" s="3" t="str">
        <f>HYPERLINK("https://www.773grp.com/manufacturer/onsemi?pageNo=399", "Onsemi")</f>
        <v>Onsemi</v>
      </c>
      <c r="C3096" s="6">
        <v>15000</v>
      </c>
      <c r="D3096" s="7">
        <v>0.48</v>
      </c>
    </row>
    <row r="3097" spans="1:5" x14ac:dyDescent="0.25">
      <c r="A3097" t="str">
        <f>HYPERLINK("https://www.773grp.com/globalSearch/MC74VHC1GT04DTT1/page-1", "MC74VHC1GT04DTT1")</f>
        <v>MC74VHC1GT04DTT1</v>
      </c>
      <c r="B3097" s="3" t="str">
        <f>HYPERLINK("https://www.773grp.com/manufacturer/onsemi?pageNo=400", "Onsemi")</f>
        <v>Onsemi</v>
      </c>
      <c r="C3097" s="6">
        <v>72000</v>
      </c>
      <c r="D3097" s="7">
        <v>0.48</v>
      </c>
    </row>
    <row r="3098" spans="1:5" x14ac:dyDescent="0.25">
      <c r="A3098" t="str">
        <f>HYPERLINK("https://www.773grp.com/globalSearch/MC74VHC1GT14DF2G/page-1", "MC74VHC1GT14DF2G")</f>
        <v>MC74VHC1GT14DF2G</v>
      </c>
      <c r="B3098" s="3" t="str">
        <f>HYPERLINK("https://www.773grp.com/manufacturer/onsemi?pageNo=401", "Onsemi")</f>
        <v>Onsemi</v>
      </c>
      <c r="C3098" s="6">
        <v>36000</v>
      </c>
      <c r="D3098" s="7">
        <v>0.48</v>
      </c>
    </row>
    <row r="3099" spans="1:5" x14ac:dyDescent="0.25">
      <c r="A3099" t="str">
        <f>HYPERLINK("https://www.773grp.com/globalSearch/MC74VHC1GT14DTT1/page-1", "MC74VHC1GT14DTT1")</f>
        <v>MC74VHC1GT14DTT1</v>
      </c>
      <c r="B3099" s="3" t="str">
        <f>HYPERLINK("https://www.773grp.com/manufacturer/onsemi?pageNo=402", "Onsemi")</f>
        <v>Onsemi</v>
      </c>
      <c r="C3099" s="6">
        <v>75000</v>
      </c>
      <c r="D3099" s="7">
        <v>0.48</v>
      </c>
      <c r="E3099" t="s">
        <v>27</v>
      </c>
    </row>
    <row r="3100" spans="1:5" x14ac:dyDescent="0.25">
      <c r="A3100" t="str">
        <f>HYPERLINK("https://www.773grp.com/globalSearch/MC74VHC1GU04DFT1/page-1", "MC74VHC1GU04DFT1")</f>
        <v>MC74VHC1GU04DFT1</v>
      </c>
      <c r="B3100" s="3" t="str">
        <f>HYPERLINK("https://www.773grp.com/manufacturer/onsemi?pageNo=403", "Onsemi")</f>
        <v>Onsemi</v>
      </c>
      <c r="C3100" s="6">
        <v>21000</v>
      </c>
      <c r="D3100" s="7">
        <v>0.48</v>
      </c>
      <c r="E3100" t="s">
        <v>27</v>
      </c>
    </row>
    <row r="3101" spans="1:5" x14ac:dyDescent="0.25">
      <c r="A3101" t="str">
        <f>HYPERLINK("https://www.773grp.com/globalSearch/MC74VHC4053DTR2/page-1", "MC74VHC4053DTR2")</f>
        <v>MC74VHC4053DTR2</v>
      </c>
      <c r="B3101" s="3" t="str">
        <f>HYPERLINK("https://www.773grp.com/manufacturer/onsemi?pageNo=404", "Onsemi")</f>
        <v>Onsemi</v>
      </c>
      <c r="C3101" s="6">
        <v>4925</v>
      </c>
      <c r="D3101" s="7">
        <v>0.48</v>
      </c>
      <c r="E3101" t="s">
        <v>46</v>
      </c>
    </row>
    <row r="3102" spans="1:5" x14ac:dyDescent="0.25">
      <c r="A3102" t="str">
        <f>HYPERLINK("https://www.773grp.com/globalSearch/MC74VHC4066D/page-1", "MC74VHC4066D")</f>
        <v>MC74VHC4066D</v>
      </c>
      <c r="B3102" s="3" t="str">
        <f>HYPERLINK("https://www.773grp.com/manufacturer/onsemi?pageNo=405", "Onsemi")</f>
        <v>Onsemi</v>
      </c>
      <c r="C3102" s="6">
        <v>12870</v>
      </c>
      <c r="D3102" s="7">
        <v>0.48</v>
      </c>
      <c r="E3102" t="s">
        <v>46</v>
      </c>
    </row>
    <row r="3103" spans="1:5" x14ac:dyDescent="0.25">
      <c r="A3103" t="str">
        <f>HYPERLINK("https://www.773grp.com/globalSearch/MC74VHC4316D/page-1", "MC74VHC4316D")</f>
        <v>MC74VHC4316D</v>
      </c>
      <c r="B3103" s="3" t="str">
        <f>HYPERLINK("https://www.773grp.com/manufacturer/onsemi?pageNo=406", "Onsemi")</f>
        <v>Onsemi</v>
      </c>
      <c r="C3103" s="6">
        <v>4272</v>
      </c>
      <c r="D3103" s="7">
        <v>0.48</v>
      </c>
      <c r="E3103" t="s">
        <v>46</v>
      </c>
    </row>
    <row r="3104" spans="1:5" x14ac:dyDescent="0.25">
      <c r="A3104" t="str">
        <f>HYPERLINK("https://www.773grp.com/globalSearch/MC74VHC4316DR2/page-1", "MC74VHC4316DR2")</f>
        <v>MC74VHC4316DR2</v>
      </c>
      <c r="B3104" s="3" t="str">
        <f>HYPERLINK("https://www.773grp.com/manufacturer/onsemi?pageNo=407", "Onsemi")</f>
        <v>Onsemi</v>
      </c>
      <c r="C3104" s="6">
        <v>7500</v>
      </c>
      <c r="D3104" s="7">
        <v>0.48</v>
      </c>
      <c r="E3104" t="s">
        <v>46</v>
      </c>
    </row>
    <row r="3105" spans="1:5" x14ac:dyDescent="0.25">
      <c r="A3105" t="str">
        <f>HYPERLINK("https://www.773grp.com/globalSearch/MC74VHCT126AD/page-1", "MC74VHCT126AD")</f>
        <v>MC74VHCT126AD</v>
      </c>
      <c r="B3105" s="3" t="str">
        <f>HYPERLINK("https://www.773grp.com/manufacturer/onsemi?pageNo=408", "Onsemi")</f>
        <v>Onsemi</v>
      </c>
      <c r="C3105" s="6">
        <v>29465</v>
      </c>
      <c r="D3105" s="7">
        <v>0.48</v>
      </c>
      <c r="E3105" t="s">
        <v>11</v>
      </c>
    </row>
    <row r="3106" spans="1:5" x14ac:dyDescent="0.25">
      <c r="A3106" t="str">
        <f>HYPERLINK("https://www.773grp.com/globalSearch/MC74VHCT132AD/page-1", "MC74VHCT132AD")</f>
        <v>MC74VHCT132AD</v>
      </c>
      <c r="B3106" s="3" t="str">
        <f>HYPERLINK("https://www.773grp.com/manufacturer/onsemi?pageNo=409", "Onsemi")</f>
        <v>Onsemi</v>
      </c>
      <c r="C3106" s="6">
        <v>30520</v>
      </c>
      <c r="D3106" s="7">
        <v>0.48</v>
      </c>
      <c r="E3106" t="s">
        <v>27</v>
      </c>
    </row>
    <row r="3107" spans="1:5" x14ac:dyDescent="0.25">
      <c r="A3107" t="str">
        <f>HYPERLINK("https://www.773grp.com/globalSearch/MC7805.2CT/page-1", "MC7805.2CT")</f>
        <v>MC7805.2CT</v>
      </c>
      <c r="B3107" s="3" t="str">
        <f>HYPERLINK("https://www.773grp.com/manufacturer/onsemi?pageNo=410", "Onsemi")</f>
        <v>Onsemi</v>
      </c>
      <c r="C3107" s="6">
        <v>258</v>
      </c>
      <c r="D3107" s="7">
        <v>0.48</v>
      </c>
      <c r="E3107" t="s">
        <v>24</v>
      </c>
    </row>
    <row r="3108" spans="1:5" x14ac:dyDescent="0.25">
      <c r="A3108" t="str">
        <f>HYPERLINK("https://www.773grp.com/globalSearch/MC78L05ABD/page-1", "MC78L05ABD")</f>
        <v>MC78L05ABD</v>
      </c>
      <c r="B3108" s="3" t="str">
        <f>HYPERLINK("https://www.773grp.com/manufacturer/onsemi?pageNo=411", "Onsemi")</f>
        <v>Onsemi</v>
      </c>
      <c r="C3108" s="6">
        <v>12986</v>
      </c>
      <c r="D3108" s="7">
        <v>0.48</v>
      </c>
      <c r="E3108" t="s">
        <v>24</v>
      </c>
    </row>
    <row r="3109" spans="1:5" x14ac:dyDescent="0.25">
      <c r="A3109" t="str">
        <f>HYPERLINK("https://www.773grp.com/globalSearch/MC78L05ABP/page-1", "MC78L05ABP")</f>
        <v>MC78L05ABP</v>
      </c>
      <c r="B3109" s="3" t="str">
        <f>HYPERLINK("https://www.773grp.com/manufacturer/onsemi?pageNo=412", "Onsemi")</f>
        <v>Onsemi</v>
      </c>
      <c r="C3109" s="6">
        <v>3395</v>
      </c>
      <c r="D3109" s="7">
        <v>0.48</v>
      </c>
      <c r="E3109" t="s">
        <v>24</v>
      </c>
    </row>
    <row r="3110" spans="1:5" x14ac:dyDescent="0.25">
      <c r="A3110" t="str">
        <f>HYPERLINK("https://www.773grp.com/globalSearch/MC78L05ABPRE/page-1", "MC78L05ABPRE")</f>
        <v>MC78L05ABPRE</v>
      </c>
      <c r="B3110" s="3" t="str">
        <f>HYPERLINK("https://www.773grp.com/manufacturer/onsemi?pageNo=413", "Onsemi")</f>
        <v>Onsemi</v>
      </c>
      <c r="C3110" s="6">
        <v>2000</v>
      </c>
      <c r="D3110" s="7">
        <v>0.48</v>
      </c>
      <c r="E3110" t="s">
        <v>24</v>
      </c>
    </row>
    <row r="3111" spans="1:5" x14ac:dyDescent="0.25">
      <c r="A3111" t="str">
        <f>HYPERLINK("https://www.773grp.com/globalSearch/MC78L05ACD/page-1", "MC78L05ACD")</f>
        <v>MC78L05ACD</v>
      </c>
      <c r="B3111" s="3" t="str">
        <f>HYPERLINK("https://www.773grp.com/manufacturer/onsemi?pageNo=414", "Onsemi")</f>
        <v>Onsemi</v>
      </c>
      <c r="C3111" s="6">
        <v>2660</v>
      </c>
      <c r="D3111" s="7">
        <v>0.48</v>
      </c>
      <c r="E3111" t="s">
        <v>24</v>
      </c>
    </row>
    <row r="3112" spans="1:5" x14ac:dyDescent="0.25">
      <c r="A3112" t="str">
        <f>HYPERLINK("https://www.773grp.com/globalSearch/MC78L08ABP/page-1", "MC78L08ABP")</f>
        <v>MC78L08ABP</v>
      </c>
      <c r="B3112" s="3" t="str">
        <f>HYPERLINK("https://www.773grp.com/manufacturer/onsemi?pageNo=415", "Onsemi")</f>
        <v>Onsemi</v>
      </c>
      <c r="C3112" s="6">
        <v>3459</v>
      </c>
      <c r="D3112" s="7">
        <v>0.48</v>
      </c>
      <c r="E3112" t="s">
        <v>24</v>
      </c>
    </row>
    <row r="3113" spans="1:5" x14ac:dyDescent="0.25">
      <c r="A3113" t="str">
        <f>HYPERLINK("https://www.773grp.com/globalSearch/MC78L08ABPRA/page-1", "MC78L08ABPRA")</f>
        <v>MC78L08ABPRA</v>
      </c>
      <c r="B3113" s="3" t="str">
        <f>HYPERLINK("https://www.773grp.com/manufacturer/onsemi?pageNo=416", "Onsemi")</f>
        <v>Onsemi</v>
      </c>
      <c r="C3113" s="6">
        <v>2161</v>
      </c>
      <c r="D3113" s="7">
        <v>0.48</v>
      </c>
      <c r="E3113" t="s">
        <v>24</v>
      </c>
    </row>
    <row r="3114" spans="1:5" x14ac:dyDescent="0.25">
      <c r="A3114" t="str">
        <f>HYPERLINK("https://www.773grp.com/globalSearch/MC78L08ACD/page-1", "MC78L08ACD")</f>
        <v>MC78L08ACD</v>
      </c>
      <c r="B3114" s="3" t="str">
        <f>HYPERLINK("https://www.773grp.com/manufacturer/onsemi?pageNo=417", "Onsemi")</f>
        <v>Onsemi</v>
      </c>
      <c r="C3114" s="6">
        <v>1208</v>
      </c>
      <c r="D3114" s="7">
        <v>0.48</v>
      </c>
      <c r="E3114" t="s">
        <v>24</v>
      </c>
    </row>
    <row r="3115" spans="1:5" x14ac:dyDescent="0.25">
      <c r="A3115" t="str">
        <f>HYPERLINK("https://www.773grp.com/globalSearch/MC78L08ACDR2/page-1", "MC78L08ACDR2")</f>
        <v>MC78L08ACDR2</v>
      </c>
      <c r="B3115" s="3" t="str">
        <f>HYPERLINK("https://www.773grp.com/manufacturer/onsemi?pageNo=418", "Onsemi")</f>
        <v>Onsemi</v>
      </c>
      <c r="C3115" s="6">
        <v>61605</v>
      </c>
      <c r="D3115" s="7">
        <v>0.48</v>
      </c>
      <c r="E3115" t="s">
        <v>24</v>
      </c>
    </row>
    <row r="3116" spans="1:5" x14ac:dyDescent="0.25">
      <c r="A3116" t="str">
        <f>HYPERLINK("https://www.773grp.com/globalSearch/MC78L09ABDR2/page-1", "MC78L09ABDR2")</f>
        <v>MC78L09ABDR2</v>
      </c>
      <c r="B3116" s="3" t="str">
        <f>HYPERLINK("https://www.773grp.com/manufacturer/onsemi?pageNo=419", "Onsemi")</f>
        <v>Onsemi</v>
      </c>
      <c r="C3116" s="6">
        <v>1000</v>
      </c>
      <c r="D3116" s="7">
        <v>0.48</v>
      </c>
      <c r="E3116" t="s">
        <v>24</v>
      </c>
    </row>
    <row r="3117" spans="1:5" x14ac:dyDescent="0.25">
      <c r="A3117" t="str">
        <f>HYPERLINK("https://www.773grp.com/globalSearch/MC78L09ABPRA/page-1", "MC78L09ABPRA")</f>
        <v>MC78L09ABPRA</v>
      </c>
      <c r="B3117" s="3" t="str">
        <f>HYPERLINK("https://www.773grp.com/manufacturer/onsemi?pageNo=420", "Onsemi")</f>
        <v>Onsemi</v>
      </c>
      <c r="C3117" s="6">
        <v>623</v>
      </c>
      <c r="D3117" s="7">
        <v>0.48</v>
      </c>
      <c r="E3117" t="s">
        <v>24</v>
      </c>
    </row>
    <row r="3118" spans="1:5" x14ac:dyDescent="0.25">
      <c r="A3118" t="str">
        <f>HYPERLINK("https://www.773grp.com/globalSearch/MC78L09ACDR2/page-1", "MC78L09ACDR2")</f>
        <v>MC78L09ACDR2</v>
      </c>
      <c r="B3118" s="3" t="str">
        <f>HYPERLINK("https://www.773grp.com/manufacturer/onsemi?pageNo=421", "Onsemi")</f>
        <v>Onsemi</v>
      </c>
      <c r="C3118" s="6">
        <v>145000</v>
      </c>
      <c r="D3118" s="7">
        <v>0.48</v>
      </c>
      <c r="E3118" t="s">
        <v>24</v>
      </c>
    </row>
    <row r="3119" spans="1:5" x14ac:dyDescent="0.25">
      <c r="A3119" t="str">
        <f>HYPERLINK("https://www.773grp.com/globalSearch/MC78L12ABPRP/page-1", "MC78L12ABPRP")</f>
        <v>MC78L12ABPRP</v>
      </c>
      <c r="B3119" s="3" t="str">
        <f>HYPERLINK("https://www.773grp.com/manufacturer/onsemi?pageNo=422", "Onsemi")</f>
        <v>Onsemi</v>
      </c>
      <c r="C3119" s="6">
        <v>10223</v>
      </c>
      <c r="D3119" s="7">
        <v>0.48</v>
      </c>
      <c r="E3119" t="s">
        <v>24</v>
      </c>
    </row>
    <row r="3120" spans="1:5" x14ac:dyDescent="0.25">
      <c r="A3120" t="str">
        <f>HYPERLINK("https://www.773grp.com/globalSearch/MC78L12ACD/page-1", "MC78L12ACD")</f>
        <v>MC78L12ACD</v>
      </c>
      <c r="B3120" s="3" t="str">
        <f>HYPERLINK("https://www.773grp.com/manufacturer/onsemi?pageNo=423", "Onsemi")</f>
        <v>Onsemi</v>
      </c>
      <c r="C3120" s="6">
        <v>443</v>
      </c>
      <c r="D3120" s="7">
        <v>0.48</v>
      </c>
      <c r="E3120" t="s">
        <v>24</v>
      </c>
    </row>
    <row r="3121" spans="1:5" x14ac:dyDescent="0.25">
      <c r="A3121" t="str">
        <f>HYPERLINK("https://www.773grp.com/globalSearch/MC78L15ABP/page-1", "MC78L15ABP")</f>
        <v>MC78L15ABP</v>
      </c>
      <c r="B3121" s="3" t="str">
        <f>HYPERLINK("https://www.773grp.com/manufacturer/onsemi?pageNo=424", "Onsemi")</f>
        <v>Onsemi</v>
      </c>
      <c r="C3121" s="6">
        <v>8761</v>
      </c>
      <c r="D3121" s="7">
        <v>0.48</v>
      </c>
      <c r="E3121" t="s">
        <v>24</v>
      </c>
    </row>
    <row r="3122" spans="1:5" x14ac:dyDescent="0.25">
      <c r="A3122" t="str">
        <f>HYPERLINK("https://www.773grp.com/globalSearch/MC78L15ABPRA/page-1", "MC78L15ABPRA")</f>
        <v>MC78L15ABPRA</v>
      </c>
      <c r="B3122" s="3" t="str">
        <f>HYPERLINK("https://www.773grp.com/manufacturer/onsemi?pageNo=425", "Onsemi")</f>
        <v>Onsemi</v>
      </c>
      <c r="C3122" s="6">
        <v>12000</v>
      </c>
      <c r="D3122" s="7">
        <v>0.48</v>
      </c>
      <c r="E3122" t="s">
        <v>24</v>
      </c>
    </row>
    <row r="3123" spans="1:5" x14ac:dyDescent="0.25">
      <c r="A3123" t="str">
        <f>HYPERLINK("https://www.773grp.com/globalSearch/MC78L15ACD/page-1", "MC78L15ACD")</f>
        <v>MC78L15ACD</v>
      </c>
      <c r="B3123" s="3" t="str">
        <f>HYPERLINK("https://www.773grp.com/manufacturer/onsemi?pageNo=426", "Onsemi")</f>
        <v>Onsemi</v>
      </c>
      <c r="C3123" s="6">
        <v>8556</v>
      </c>
      <c r="D3123" s="7">
        <v>0.48</v>
      </c>
      <c r="E3123" t="s">
        <v>24</v>
      </c>
    </row>
    <row r="3124" spans="1:5" x14ac:dyDescent="0.25">
      <c r="A3124" t="str">
        <f>HYPERLINK("https://www.773grp.com/globalSearch/MC78L18ABP/page-1", "MC78L18ABP")</f>
        <v>MC78L18ABP</v>
      </c>
      <c r="B3124" s="3" t="str">
        <f>HYPERLINK("https://www.773grp.com/manufacturer/onsemi?pageNo=427", "Onsemi")</f>
        <v>Onsemi</v>
      </c>
      <c r="C3124" s="6">
        <v>1000</v>
      </c>
      <c r="D3124" s="7">
        <v>0.48</v>
      </c>
      <c r="E3124" t="s">
        <v>24</v>
      </c>
    </row>
    <row r="3125" spans="1:5" x14ac:dyDescent="0.25">
      <c r="A3125" t="str">
        <f>HYPERLINK("https://www.773grp.com/globalSearch/MC79L05ABPRA/page-1", "MC79L05ABPRA")</f>
        <v>MC79L05ABPRA</v>
      </c>
      <c r="B3125" s="3" t="str">
        <f>HYPERLINK("https://www.773grp.com/manufacturer/onsemi?pageNo=428", "Onsemi")</f>
        <v>Onsemi</v>
      </c>
      <c r="C3125" s="6">
        <v>831</v>
      </c>
      <c r="D3125" s="7">
        <v>0.48</v>
      </c>
      <c r="E3125" t="s">
        <v>53</v>
      </c>
    </row>
    <row r="3126" spans="1:5" x14ac:dyDescent="0.25">
      <c r="A3126" t="str">
        <f>HYPERLINK("https://www.773grp.com/globalSearch/MC79L12ABP/page-1", "MC79L12ABP")</f>
        <v>MC79L12ABP</v>
      </c>
      <c r="B3126" s="3" t="str">
        <f>HYPERLINK("https://www.773grp.com/manufacturer/onsemi?pageNo=429", "Onsemi")</f>
        <v>Onsemi</v>
      </c>
      <c r="C3126" s="6">
        <v>897</v>
      </c>
      <c r="D3126" s="7">
        <v>0.48</v>
      </c>
      <c r="E3126" t="s">
        <v>53</v>
      </c>
    </row>
    <row r="3127" spans="1:5" x14ac:dyDescent="0.25">
      <c r="A3127" t="str">
        <f>HYPERLINK("https://www.773grp.com/globalSearch/MC79L12ABPRA/page-1", "MC79L12ABPRA")</f>
        <v>MC79L12ABPRA</v>
      </c>
      <c r="B3127" s="3" t="str">
        <f>HYPERLINK("https://www.773grp.com/manufacturer/onsemi?pageNo=430", "Onsemi")</f>
        <v>Onsemi</v>
      </c>
      <c r="C3127" s="6">
        <v>676</v>
      </c>
      <c r="D3127" s="7">
        <v>0.48</v>
      </c>
      <c r="E3127" t="s">
        <v>53</v>
      </c>
    </row>
    <row r="3128" spans="1:5" x14ac:dyDescent="0.25">
      <c r="A3128" t="str">
        <f>HYPERLINK("https://www.773grp.com/globalSearch/MC79L12ACD/page-1", "MC79L12ACD")</f>
        <v>MC79L12ACD</v>
      </c>
      <c r="B3128" s="3" t="str">
        <f>HYPERLINK("https://www.773grp.com/manufacturer/onsemi?pageNo=431", "Onsemi")</f>
        <v>Onsemi</v>
      </c>
      <c r="C3128" s="6">
        <v>2553</v>
      </c>
      <c r="D3128" s="7">
        <v>0.48</v>
      </c>
      <c r="E3128" t="s">
        <v>53</v>
      </c>
    </row>
    <row r="3129" spans="1:5" x14ac:dyDescent="0.25">
      <c r="A3129" t="str">
        <f>HYPERLINK("https://www.773grp.com/globalSearch/MC79L15ABP/page-1", "MC79L15ABP")</f>
        <v>MC79L15ABP</v>
      </c>
      <c r="B3129" s="3" t="str">
        <f>HYPERLINK("https://www.773grp.com/manufacturer/onsemi?pageNo=432", "Onsemi")</f>
        <v>Onsemi</v>
      </c>
      <c r="C3129" s="6">
        <v>4436</v>
      </c>
      <c r="D3129" s="7">
        <v>0.48</v>
      </c>
      <c r="E3129" t="s">
        <v>53</v>
      </c>
    </row>
    <row r="3130" spans="1:5" x14ac:dyDescent="0.25">
      <c r="A3130" t="str">
        <f>HYPERLINK("https://www.773grp.com/globalSearch/MC79L15ABPRP/page-1", "MC79L15ABPRP")</f>
        <v>MC79L15ABPRP</v>
      </c>
      <c r="B3130" s="3" t="str">
        <f>HYPERLINK("https://www.773grp.com/manufacturer/onsemi?pageNo=433", "Onsemi")</f>
        <v>Onsemi</v>
      </c>
      <c r="C3130" s="6">
        <v>4730</v>
      </c>
      <c r="D3130" s="7">
        <v>0.48</v>
      </c>
      <c r="E3130" t="s">
        <v>53</v>
      </c>
    </row>
    <row r="3131" spans="1:5" x14ac:dyDescent="0.25">
      <c r="A3131" t="str">
        <f>HYPERLINK("https://www.773grp.com/globalSearch/MC79L15ACD/page-1", "MC79L15ACD")</f>
        <v>MC79L15ACD</v>
      </c>
      <c r="B3131" s="3" t="str">
        <f>HYPERLINK("https://www.773grp.com/manufacturer/onsemi?pageNo=434", "Onsemi")</f>
        <v>Onsemi</v>
      </c>
      <c r="C3131" s="6">
        <v>16064</v>
      </c>
      <c r="D3131" s="7">
        <v>0.48</v>
      </c>
      <c r="E3131" t="s">
        <v>53</v>
      </c>
    </row>
    <row r="3132" spans="1:5" x14ac:dyDescent="0.25">
      <c r="A3132" t="str">
        <f>HYPERLINK("https://www.773grp.com/globalSearch/MCH6602-TL-E/page-1", "MCH6602-TL-E")</f>
        <v>MCH6602-TL-E</v>
      </c>
      <c r="B3132" s="3" t="str">
        <f>HYPERLINK("https://www.773grp.com/manufacturer/onsemi?pageNo=435", "Onsemi")</f>
        <v>Onsemi</v>
      </c>
      <c r="C3132" s="6">
        <v>3000</v>
      </c>
      <c r="D3132" s="7">
        <v>0.48</v>
      </c>
    </row>
    <row r="3133" spans="1:5" x14ac:dyDescent="0.25">
      <c r="A3133" t="str">
        <f>HYPERLINK("https://www.773grp.com/globalSearch/MJD2955-001/page-1", "MJD2955-001")</f>
        <v>MJD2955-001</v>
      </c>
      <c r="B3133" s="3" t="str">
        <f>HYPERLINK("https://www.773grp.com/manufacturer/onsemi?pageNo=436", "Onsemi")</f>
        <v>Onsemi</v>
      </c>
      <c r="C3133" s="6">
        <v>6300</v>
      </c>
      <c r="D3133" s="7">
        <v>0.48</v>
      </c>
      <c r="E3133" t="s">
        <v>47</v>
      </c>
    </row>
    <row r="3134" spans="1:5" x14ac:dyDescent="0.25">
      <c r="A3134" t="str">
        <f>HYPERLINK("https://www.773grp.com/globalSearch/MJE200/page-1", "MJE200")</f>
        <v>MJE200</v>
      </c>
      <c r="B3134" s="3" t="str">
        <f>HYPERLINK("https://www.773grp.com/manufacturer/onsemi?pageNo=437", "Onsemi")</f>
        <v>Onsemi</v>
      </c>
      <c r="C3134" s="6">
        <v>9500</v>
      </c>
      <c r="D3134" s="7">
        <v>0.48</v>
      </c>
      <c r="E3134" t="s">
        <v>47</v>
      </c>
    </row>
    <row r="3135" spans="1:5" x14ac:dyDescent="0.25">
      <c r="A3135" t="str">
        <f>HYPERLINK("https://www.773grp.com/globalSearch/MJE210/page-1", "MJE210")</f>
        <v>MJE210</v>
      </c>
      <c r="B3135" s="3" t="str">
        <f>HYPERLINK("https://www.773grp.com/manufacturer/onsemi?pageNo=438", "Onsemi")</f>
        <v>Onsemi</v>
      </c>
      <c r="C3135" s="6">
        <v>900</v>
      </c>
      <c r="D3135" s="7">
        <v>0.48</v>
      </c>
      <c r="E3135" t="s">
        <v>47</v>
      </c>
    </row>
    <row r="3136" spans="1:5" x14ac:dyDescent="0.25">
      <c r="A3136" t="str">
        <f>HYPERLINK("https://www.773grp.com/globalSearch/MJE3439/page-1", "MJE3439")</f>
        <v>MJE3439</v>
      </c>
      <c r="B3136" s="3" t="str">
        <f>HYPERLINK("https://www.773grp.com/manufacturer/onsemi?pageNo=439", "Onsemi")</f>
        <v>Onsemi</v>
      </c>
      <c r="C3136" s="6">
        <v>5500</v>
      </c>
      <c r="D3136" s="7">
        <v>0.48</v>
      </c>
      <c r="E3136" t="s">
        <v>47</v>
      </c>
    </row>
    <row r="3137" spans="1:5" x14ac:dyDescent="0.25">
      <c r="A3137" t="str">
        <f>HYPERLINK("https://www.773grp.com/globalSearch/MJE344/page-1", "MJE344")</f>
        <v>MJE344</v>
      </c>
      <c r="B3137" s="3" t="str">
        <f>HYPERLINK("https://www.773grp.com/manufacturer/onsemi?pageNo=440", "Onsemi")</f>
        <v>Onsemi</v>
      </c>
      <c r="C3137" s="6">
        <v>500</v>
      </c>
      <c r="D3137" s="7">
        <v>0.48</v>
      </c>
      <c r="E3137" t="s">
        <v>47</v>
      </c>
    </row>
    <row r="3138" spans="1:5" x14ac:dyDescent="0.25">
      <c r="A3138" t="str">
        <f>HYPERLINK("https://www.773grp.com/globalSearch/MMBD352LT1G/page-1", "MMBD352LT1G")</f>
        <v>MMBD352LT1G</v>
      </c>
      <c r="B3138" s="3" t="str">
        <f>HYPERLINK("https://www.773grp.com/manufacturer/onsemi?pageNo=441", "Onsemi")</f>
        <v>Onsemi</v>
      </c>
      <c r="C3138" s="6">
        <v>97884</v>
      </c>
      <c r="D3138" s="7">
        <v>0.48</v>
      </c>
      <c r="E3138" t="s">
        <v>87</v>
      </c>
    </row>
    <row r="3139" spans="1:5" x14ac:dyDescent="0.25">
      <c r="A3139" t="str">
        <f>HYPERLINK("https://www.773grp.com/globalSearch/MMBD353LT1G/page-1", "MMBD353LT1G")</f>
        <v>MMBD353LT1G</v>
      </c>
      <c r="B3139" s="3" t="str">
        <f>HYPERLINK("https://www.773grp.com/manufacturer/onsemi?pageNo=442", "Onsemi")</f>
        <v>Onsemi</v>
      </c>
      <c r="C3139" s="6">
        <v>31306</v>
      </c>
      <c r="D3139" s="7">
        <v>0.48</v>
      </c>
      <c r="E3139" t="s">
        <v>87</v>
      </c>
    </row>
    <row r="3140" spans="1:5" x14ac:dyDescent="0.25">
      <c r="A3140" t="str">
        <f>HYPERLINK("https://www.773grp.com/globalSearch/MMBD354LT1G/page-1", "MMBD354LT1G")</f>
        <v>MMBD354LT1G</v>
      </c>
      <c r="B3140" s="3" t="str">
        <f>HYPERLINK("https://www.773grp.com/manufacturer/onsemi?pageNo=443", "Onsemi")</f>
        <v>Onsemi</v>
      </c>
      <c r="C3140" s="6">
        <v>48000</v>
      </c>
      <c r="D3140" s="7">
        <v>0.48</v>
      </c>
      <c r="E3140" t="s">
        <v>87</v>
      </c>
    </row>
    <row r="3141" spans="1:5" x14ac:dyDescent="0.25">
      <c r="A3141" t="str">
        <f>HYPERLINK("https://www.773grp.com/globalSearch/MMBD355LT1G/page-1", "MMBD355LT1G")</f>
        <v>MMBD355LT1G</v>
      </c>
      <c r="B3141" s="3" t="str">
        <f>HYPERLINK("https://www.773grp.com/manufacturer/onsemi?pageNo=444", "Onsemi")</f>
        <v>Onsemi</v>
      </c>
      <c r="C3141" s="6">
        <v>21000</v>
      </c>
      <c r="D3141" s="7">
        <v>0.48</v>
      </c>
      <c r="E3141" t="s">
        <v>87</v>
      </c>
    </row>
    <row r="3142" spans="1:5" x14ac:dyDescent="0.25">
      <c r="A3142" t="str">
        <f>HYPERLINK("https://www.773grp.com/globalSearch/MMBD452LT1G/page-1", "MMBD452LT1G")</f>
        <v>MMBD452LT1G</v>
      </c>
      <c r="B3142" s="3" t="str">
        <f>HYPERLINK("https://www.773grp.com/manufacturer/onsemi?pageNo=445", "Onsemi")</f>
        <v>Onsemi</v>
      </c>
      <c r="C3142" s="6">
        <v>936000</v>
      </c>
      <c r="D3142" s="7">
        <v>0.48</v>
      </c>
      <c r="E3142" t="s">
        <v>87</v>
      </c>
    </row>
    <row r="3143" spans="1:5" x14ac:dyDescent="0.25">
      <c r="A3143" t="str">
        <f>HYPERLINK("https://www.773grp.com/globalSearch/MMBT6520LT1G/page-1", "MMBT6520LT1G")</f>
        <v>MMBT6520LT1G</v>
      </c>
      <c r="B3143" s="3" t="str">
        <f>HYPERLINK("https://www.773grp.com/manufacturer/onsemi?pageNo=446", "Onsemi")</f>
        <v>Onsemi</v>
      </c>
      <c r="C3143" s="6">
        <v>768000</v>
      </c>
      <c r="D3143" s="7">
        <v>0.48</v>
      </c>
      <c r="E3143" t="s">
        <v>57</v>
      </c>
    </row>
    <row r="3144" spans="1:5" x14ac:dyDescent="0.25">
      <c r="A3144" t="str">
        <f>HYPERLINK("https://www.773grp.com/globalSearch/MMBV2108LT1G/page-1", "MMBV2108LT1G")</f>
        <v>MMBV2108LT1G</v>
      </c>
      <c r="B3144" s="3" t="str">
        <f>HYPERLINK("https://www.773grp.com/manufacturer/onsemi?pageNo=447", "Onsemi")</f>
        <v>Onsemi</v>
      </c>
      <c r="C3144" s="6">
        <v>3000</v>
      </c>
      <c r="D3144" s="7">
        <v>0.48</v>
      </c>
      <c r="E3144" t="s">
        <v>80</v>
      </c>
    </row>
    <row r="3145" spans="1:5" x14ac:dyDescent="0.25">
      <c r="A3145" t="str">
        <f>HYPERLINK("https://www.773grp.com/globalSearch/MMBV2109LT1/page-1", "MMBV2109LT1")</f>
        <v>MMBV2109LT1</v>
      </c>
      <c r="B3145" s="3" t="str">
        <f>HYPERLINK("https://www.773grp.com/manufacturer/onsemi?pageNo=448", "Onsemi")</f>
        <v>Onsemi</v>
      </c>
      <c r="C3145" s="6">
        <v>3000</v>
      </c>
      <c r="D3145" s="7">
        <v>0.48</v>
      </c>
      <c r="E3145" t="s">
        <v>80</v>
      </c>
    </row>
    <row r="3146" spans="1:5" x14ac:dyDescent="0.25">
      <c r="A3146" t="str">
        <f>HYPERLINK("https://www.773grp.com/globalSearch/MMBV2109LT1G/page-1", "MMBV2109LT1G")</f>
        <v>MMBV2109LT1G</v>
      </c>
      <c r="B3146" s="3" t="str">
        <f>HYPERLINK("https://www.773grp.com/manufacturer/onsemi?pageNo=449", "Onsemi")</f>
        <v>Onsemi</v>
      </c>
      <c r="C3146" s="6">
        <v>60475</v>
      </c>
      <c r="D3146" s="7">
        <v>0.48</v>
      </c>
      <c r="E3146" t="s">
        <v>80</v>
      </c>
    </row>
    <row r="3147" spans="1:5" x14ac:dyDescent="0.25">
      <c r="A3147" t="str">
        <f>HYPERLINK("https://www.773grp.com/globalSearch/MMBV3102LT1/page-1", "MMBV3102LT1")</f>
        <v>MMBV3102LT1</v>
      </c>
      <c r="B3147" s="3" t="str">
        <f>HYPERLINK("https://www.773grp.com/manufacturer/onsemi?pageNo=450", "Onsemi")</f>
        <v>Onsemi</v>
      </c>
      <c r="C3147" s="6">
        <v>11999</v>
      </c>
      <c r="D3147" s="7">
        <v>0.48</v>
      </c>
      <c r="E3147" t="s">
        <v>80</v>
      </c>
    </row>
    <row r="3148" spans="1:5" x14ac:dyDescent="0.25">
      <c r="A3148" t="str">
        <f>HYPERLINK("https://www.773grp.com/globalSearch/MMBV809LT1/page-1", "MMBV809LT1")</f>
        <v>MMBV809LT1</v>
      </c>
      <c r="B3148" s="3" t="str">
        <f>HYPERLINK("https://www.773grp.com/manufacturer/onsemi?pageNo=451", "Onsemi")</f>
        <v>Onsemi</v>
      </c>
      <c r="C3148" s="6">
        <v>6359</v>
      </c>
      <c r="D3148" s="7">
        <v>0.48</v>
      </c>
      <c r="E3148" t="s">
        <v>80</v>
      </c>
    </row>
    <row r="3149" spans="1:5" x14ac:dyDescent="0.25">
      <c r="A3149" t="str">
        <f>HYPERLINK("https://www.773grp.com/globalSearch/MMBV809LT1G/page-1", "MMBV809LT1G")</f>
        <v>MMBV809LT1G</v>
      </c>
      <c r="B3149" s="3" t="str">
        <f>HYPERLINK("https://www.773grp.com/manufacturer/onsemi?pageNo=452", "Onsemi")</f>
        <v>Onsemi</v>
      </c>
      <c r="C3149" s="6">
        <v>99000</v>
      </c>
      <c r="D3149" s="7">
        <v>0.48</v>
      </c>
      <c r="E3149" t="s">
        <v>80</v>
      </c>
    </row>
    <row r="3150" spans="1:5" x14ac:dyDescent="0.25">
      <c r="A3150" t="str">
        <f>HYPERLINK("https://www.773grp.com/globalSearch/MMSZ5248T1/page-1", "MMSZ5248T1")</f>
        <v>MMSZ5248T1</v>
      </c>
      <c r="B3150" s="3" t="str">
        <f>HYPERLINK("https://www.773grp.com/manufacturer/onsemi?pageNo=453", "Onsemi")</f>
        <v>Onsemi</v>
      </c>
      <c r="C3150" s="6">
        <v>8615</v>
      </c>
      <c r="D3150" s="7">
        <v>0.48</v>
      </c>
    </row>
    <row r="3151" spans="1:5" x14ac:dyDescent="0.25">
      <c r="A3151" t="str">
        <f>HYPERLINK("https://www.773grp.com/globalSearch/MMT10B350T3/page-1", "MMT10B350T3")</f>
        <v>MMT10B350T3</v>
      </c>
      <c r="B3151" s="3" t="str">
        <f>HYPERLINK("https://www.773grp.com/manufacturer/onsemi?pageNo=454", "Onsemi")</f>
        <v>Onsemi</v>
      </c>
      <c r="C3151" s="6">
        <v>32313</v>
      </c>
      <c r="D3151" s="7">
        <v>0.48</v>
      </c>
      <c r="E3151" t="s">
        <v>88</v>
      </c>
    </row>
    <row r="3152" spans="1:5" x14ac:dyDescent="0.25">
      <c r="A3152" t="str">
        <f>HYPERLINK("https://www.773grp.com/globalSearch/MPF4392G/page-1", "MPF4392G")</f>
        <v>MPF4392G</v>
      </c>
      <c r="B3152" s="3" t="str">
        <f>HYPERLINK("https://www.773grp.com/manufacturer/onsemi?pageNo=455", "Onsemi")</f>
        <v>Onsemi</v>
      </c>
      <c r="C3152" s="6">
        <v>7367</v>
      </c>
      <c r="D3152" s="7">
        <v>0.48</v>
      </c>
      <c r="E3152" t="s">
        <v>85</v>
      </c>
    </row>
    <row r="3153" spans="1:5" x14ac:dyDescent="0.25">
      <c r="A3153" t="str">
        <f>HYPERLINK("https://www.773grp.com/globalSearch/MPF4393/page-1", "MPF4393")</f>
        <v>MPF4393</v>
      </c>
      <c r="B3153" s="3" t="str">
        <f>HYPERLINK("https://www.773grp.com/manufacturer/onsemi?pageNo=456", "Onsemi")</f>
        <v>Onsemi</v>
      </c>
      <c r="C3153" s="6">
        <v>35197</v>
      </c>
      <c r="D3153" s="7">
        <v>0.48</v>
      </c>
      <c r="E3153" t="s">
        <v>85</v>
      </c>
    </row>
    <row r="3154" spans="1:5" x14ac:dyDescent="0.25">
      <c r="A3154" t="str">
        <f>HYPERLINK("https://www.773grp.com/globalSearch/MPF4393G/page-1", "MPF4393G")</f>
        <v>MPF4393G</v>
      </c>
      <c r="B3154" s="3" t="str">
        <f>HYPERLINK("https://www.773grp.com/manufacturer/onsemi?pageNo=457", "Onsemi")</f>
        <v>Onsemi</v>
      </c>
      <c r="C3154" s="6">
        <v>16000</v>
      </c>
      <c r="D3154" s="7">
        <v>0.48</v>
      </c>
      <c r="E3154" t="s">
        <v>85</v>
      </c>
    </row>
    <row r="3155" spans="1:5" x14ac:dyDescent="0.25">
      <c r="A3155" t="str">
        <f>HYPERLINK("https://www.773grp.com/globalSearch/MPS2222G/page-1", "MPS2222G")</f>
        <v>MPS2222G</v>
      </c>
      <c r="B3155" s="3" t="str">
        <f>HYPERLINK("https://www.773grp.com/manufacturer/onsemi?pageNo=458", "Onsemi")</f>
        <v>Onsemi</v>
      </c>
      <c r="C3155" s="6">
        <v>72115</v>
      </c>
      <c r="D3155" s="7">
        <v>0.48</v>
      </c>
      <c r="E3155" t="s">
        <v>57</v>
      </c>
    </row>
    <row r="3156" spans="1:5" x14ac:dyDescent="0.25">
      <c r="A3156" t="str">
        <f>HYPERLINK("https://www.773grp.com/globalSearch/MPS2222RLRPG/page-1", "MPS2222RLRPG")</f>
        <v>MPS2222RLRPG</v>
      </c>
      <c r="B3156" s="3" t="str">
        <f>HYPERLINK("https://www.773grp.com/manufacturer/onsemi?pageNo=459", "Onsemi")</f>
        <v>Onsemi</v>
      </c>
      <c r="C3156" s="6">
        <v>84000</v>
      </c>
      <c r="D3156" s="7">
        <v>0.48</v>
      </c>
      <c r="E3156" t="s">
        <v>57</v>
      </c>
    </row>
    <row r="3157" spans="1:5" x14ac:dyDescent="0.25">
      <c r="A3157" t="str">
        <f>HYPERLINK("https://www.773grp.com/globalSearch/MPS3702/page-1", "MPS3702")</f>
        <v>MPS3702</v>
      </c>
      <c r="B3157" s="3" t="str">
        <f>HYPERLINK("https://www.773grp.com/manufacturer/onsemi?pageNo=460", "Onsemi")</f>
        <v>Onsemi</v>
      </c>
      <c r="C3157" s="6">
        <v>1775</v>
      </c>
      <c r="D3157" s="7">
        <v>0.48</v>
      </c>
      <c r="E3157" t="s">
        <v>57</v>
      </c>
    </row>
    <row r="3158" spans="1:5" x14ac:dyDescent="0.25">
      <c r="A3158" t="str">
        <f>HYPERLINK("https://www.773grp.com/globalSearch/MPS6652RLRAG/page-1", "MPS6652RLRAG")</f>
        <v>MPS6652RLRAG</v>
      </c>
      <c r="B3158" s="3" t="str">
        <f>HYPERLINK("https://www.773grp.com/manufacturer/onsemi?pageNo=461", "Onsemi")</f>
        <v>Onsemi</v>
      </c>
      <c r="C3158" s="6">
        <v>6000</v>
      </c>
      <c r="D3158" s="7">
        <v>0.48</v>
      </c>
      <c r="E3158" t="s">
        <v>57</v>
      </c>
    </row>
    <row r="3159" spans="1:5" x14ac:dyDescent="0.25">
      <c r="A3159" t="str">
        <f>HYPERLINK("https://www.773grp.com/globalSearch/MPS8599RLRAG/page-1", "MPS8599RLRAG")</f>
        <v>MPS8599RLRAG</v>
      </c>
      <c r="B3159" s="3" t="str">
        <f>HYPERLINK("https://www.773grp.com/manufacturer/onsemi?pageNo=462", "Onsemi")</f>
        <v>Onsemi</v>
      </c>
      <c r="C3159" s="6">
        <v>24155</v>
      </c>
      <c r="D3159" s="7">
        <v>0.48</v>
      </c>
      <c r="E3159" t="s">
        <v>57</v>
      </c>
    </row>
    <row r="3160" spans="1:5" x14ac:dyDescent="0.25">
      <c r="A3160" t="str">
        <f>HYPERLINK("https://www.773grp.com/globalSearch/MPSH11/page-1", "MPSH11")</f>
        <v>MPSH11</v>
      </c>
      <c r="B3160" s="3" t="str">
        <f>HYPERLINK("https://www.773grp.com/manufacturer/onsemi?pageNo=463", "Onsemi")</f>
        <v>Onsemi</v>
      </c>
      <c r="C3160" s="6">
        <v>18500</v>
      </c>
      <c r="D3160" s="7">
        <v>0.48</v>
      </c>
      <c r="E3160" t="s">
        <v>49</v>
      </c>
    </row>
    <row r="3161" spans="1:5" x14ac:dyDescent="0.25">
      <c r="A3161" t="str">
        <f>HYPERLINK("https://www.773grp.com/globalSearch/MUR210G/page-1", "MUR210G")</f>
        <v>MUR210G</v>
      </c>
      <c r="B3161" s="3" t="str">
        <f>HYPERLINK("https://www.773grp.com/manufacturer/onsemi?pageNo=464", "Onsemi")</f>
        <v>Onsemi</v>
      </c>
      <c r="C3161" s="6">
        <v>8462</v>
      </c>
      <c r="D3161" s="7">
        <v>0.48</v>
      </c>
      <c r="E3161" t="s">
        <v>82</v>
      </c>
    </row>
    <row r="3162" spans="1:5" x14ac:dyDescent="0.25">
      <c r="A3162" t="str">
        <f>HYPERLINK("https://www.773grp.com/globalSearch/MUR210RLG/page-1", "MUR210RLG")</f>
        <v>MUR210RLG</v>
      </c>
      <c r="B3162" s="3" t="str">
        <f>HYPERLINK("https://www.773grp.com/manufacturer/onsemi?pageNo=465", "Onsemi")</f>
        <v>Onsemi</v>
      </c>
      <c r="C3162" s="6">
        <v>5000</v>
      </c>
      <c r="D3162" s="7">
        <v>0.48</v>
      </c>
    </row>
    <row r="3163" spans="1:5" x14ac:dyDescent="0.25">
      <c r="A3163" t="str">
        <f>HYPERLINK("https://www.773grp.com/globalSearch/MUR220G/page-1", "MUR220G")</f>
        <v>MUR220G</v>
      </c>
      <c r="B3163" s="3" t="str">
        <f>HYPERLINK("https://www.773grp.com/manufacturer/onsemi?pageNo=466", "Onsemi")</f>
        <v>Onsemi</v>
      </c>
      <c r="C3163" s="6">
        <v>26180</v>
      </c>
      <c r="D3163" s="7">
        <v>0.48</v>
      </c>
      <c r="E3163" t="s">
        <v>82</v>
      </c>
    </row>
    <row r="3164" spans="1:5" x14ac:dyDescent="0.25">
      <c r="A3164" t="str">
        <f>HYPERLINK("https://www.773grp.com/globalSearch/MUR220RLG/page-1", "MUR220RLG")</f>
        <v>MUR220RLG</v>
      </c>
      <c r="B3164" s="3" t="str">
        <f>HYPERLINK("https://www.773grp.com/manufacturer/onsemi?pageNo=467", "Onsemi")</f>
        <v>Onsemi</v>
      </c>
      <c r="C3164" s="6">
        <v>225000</v>
      </c>
      <c r="D3164" s="7">
        <v>0.48</v>
      </c>
      <c r="E3164" t="s">
        <v>82</v>
      </c>
    </row>
    <row r="3165" spans="1:5" x14ac:dyDescent="0.25">
      <c r="A3165" t="str">
        <f>HYPERLINK("https://www.773grp.com/globalSearch/MUR240G/page-1", "MUR240G")</f>
        <v>MUR240G</v>
      </c>
      <c r="B3165" s="3" t="str">
        <f>HYPERLINK("https://www.773grp.com/manufacturer/onsemi?pageNo=468", "Onsemi")</f>
        <v>Onsemi</v>
      </c>
      <c r="C3165" s="6">
        <v>22800</v>
      </c>
      <c r="D3165" s="7">
        <v>0.48</v>
      </c>
      <c r="E3165" t="s">
        <v>82</v>
      </c>
    </row>
    <row r="3166" spans="1:5" x14ac:dyDescent="0.25">
      <c r="A3166" t="str">
        <f>HYPERLINK("https://www.773grp.com/globalSearch/MUR240RLG/page-1", "MUR240RLG")</f>
        <v>MUR240RLG</v>
      </c>
      <c r="B3166" s="3" t="str">
        <f>HYPERLINK("https://www.773grp.com/manufacturer/onsemi?pageNo=469", "Onsemi")</f>
        <v>Onsemi</v>
      </c>
      <c r="C3166" s="6">
        <v>476424</v>
      </c>
      <c r="D3166" s="7">
        <v>0.48</v>
      </c>
      <c r="E3166" t="s">
        <v>82</v>
      </c>
    </row>
    <row r="3167" spans="1:5" x14ac:dyDescent="0.25">
      <c r="A3167" t="str">
        <f>HYPERLINK("https://www.773grp.com/globalSearch/MUR260G/page-1", "MUR260G")</f>
        <v>MUR260G</v>
      </c>
      <c r="B3167" s="3" t="str">
        <f>HYPERLINK("https://www.773grp.com/manufacturer/onsemi?pageNo=470", "Onsemi")</f>
        <v>Onsemi</v>
      </c>
      <c r="C3167" s="6">
        <v>6000</v>
      </c>
      <c r="D3167" s="7">
        <v>0.48</v>
      </c>
      <c r="E3167" t="s">
        <v>82</v>
      </c>
    </row>
    <row r="3168" spans="1:5" x14ac:dyDescent="0.25">
      <c r="A3168" t="str">
        <f>HYPERLINK("https://www.773grp.com/globalSearch/MUR260RLG/page-1", "MUR260RLG")</f>
        <v>MUR260RLG</v>
      </c>
      <c r="B3168" s="3" t="str">
        <f>HYPERLINK("https://www.773grp.com/manufacturer/onsemi?pageNo=471", "Onsemi")</f>
        <v>Onsemi</v>
      </c>
      <c r="C3168" s="6">
        <v>76518</v>
      </c>
      <c r="D3168" s="7">
        <v>0.48</v>
      </c>
      <c r="E3168" t="s">
        <v>82</v>
      </c>
    </row>
    <row r="3169" spans="1:5" x14ac:dyDescent="0.25">
      <c r="A3169" t="str">
        <f>HYPERLINK("https://www.773grp.com/globalSearch/MURA215T3G/page-1", "MURA215T3G")</f>
        <v>MURA215T3G</v>
      </c>
      <c r="B3169" s="3" t="str">
        <f>HYPERLINK("https://www.773grp.com/manufacturer/onsemi?pageNo=472", "Onsemi")</f>
        <v>Onsemi</v>
      </c>
      <c r="C3169" s="6">
        <v>5000</v>
      </c>
      <c r="D3169" s="7">
        <v>0.48</v>
      </c>
      <c r="E3169" t="s">
        <v>82</v>
      </c>
    </row>
    <row r="3170" spans="1:5" x14ac:dyDescent="0.25">
      <c r="A3170" t="str">
        <f>HYPERLINK("https://www.773grp.com/globalSearch/MURA220T3G/page-1", "MURA220T3G")</f>
        <v>MURA220T3G</v>
      </c>
      <c r="B3170" s="3" t="str">
        <f>HYPERLINK("https://www.773grp.com/manufacturer/onsemi?pageNo=473", "Onsemi")</f>
        <v>Onsemi</v>
      </c>
      <c r="C3170" s="6">
        <v>290000</v>
      </c>
      <c r="D3170" s="7">
        <v>0.48</v>
      </c>
      <c r="E3170" t="s">
        <v>82</v>
      </c>
    </row>
    <row r="3171" spans="1:5" x14ac:dyDescent="0.25">
      <c r="A3171" t="str">
        <f>HYPERLINK("https://www.773grp.com/globalSearch/MURA230T3G/page-1", "MURA230T3G")</f>
        <v>MURA230T3G</v>
      </c>
      <c r="B3171" s="3" t="str">
        <f>HYPERLINK("https://www.773grp.com/manufacturer/onsemi?pageNo=474", "Onsemi")</f>
        <v>Onsemi</v>
      </c>
      <c r="C3171" s="6">
        <v>5000</v>
      </c>
      <c r="D3171" s="7">
        <v>0.48</v>
      </c>
    </row>
    <row r="3172" spans="1:5" x14ac:dyDescent="0.25">
      <c r="A3172" t="str">
        <f>HYPERLINK("https://www.773grp.com/globalSearch/MZP4729ARL/page-1", "MZP4729ARL")</f>
        <v>MZP4729ARL</v>
      </c>
      <c r="B3172" s="3" t="str">
        <f>HYPERLINK("https://www.773grp.com/manufacturer/onsemi?pageNo=475", "Onsemi")</f>
        <v>Onsemi</v>
      </c>
      <c r="C3172" s="6">
        <v>108000</v>
      </c>
      <c r="D3172" s="7">
        <v>0.48</v>
      </c>
      <c r="E3172" t="s">
        <v>77</v>
      </c>
    </row>
    <row r="3173" spans="1:5" x14ac:dyDescent="0.25">
      <c r="A3173" t="str">
        <f>HYPERLINK("https://www.773grp.com/globalSearch/MZP4734ARL/page-1", "MZP4734ARL")</f>
        <v>MZP4734ARL</v>
      </c>
      <c r="B3173" s="3" t="str">
        <f>HYPERLINK("https://www.773grp.com/manufacturer/onsemi?pageNo=476", "Onsemi")</f>
        <v>Onsemi</v>
      </c>
      <c r="C3173" s="6">
        <v>36000</v>
      </c>
      <c r="D3173" s="7">
        <v>0.48</v>
      </c>
      <c r="E3173" t="s">
        <v>77</v>
      </c>
    </row>
    <row r="3174" spans="1:5" x14ac:dyDescent="0.25">
      <c r="A3174" t="str">
        <f>HYPERLINK("https://www.773grp.com/globalSearch/MZP4741ARL/page-1", "MZP4741ARL")</f>
        <v>MZP4741ARL</v>
      </c>
      <c r="B3174" s="3" t="str">
        <f>HYPERLINK("https://www.773grp.com/manufacturer/onsemi?pageNo=477", "Onsemi")</f>
        <v>Onsemi</v>
      </c>
      <c r="C3174" s="6">
        <v>6000</v>
      </c>
      <c r="D3174" s="7">
        <v>0.48</v>
      </c>
      <c r="E3174" t="s">
        <v>77</v>
      </c>
    </row>
    <row r="3175" spans="1:5" x14ac:dyDescent="0.25">
      <c r="A3175" t="str">
        <f>HYPERLINK("https://www.773grp.com/globalSearch/MZP4744ARLG/page-1", "MZP4744ARLG")</f>
        <v>MZP4744ARLG</v>
      </c>
      <c r="B3175" s="3" t="str">
        <f>HYPERLINK("https://www.773grp.com/manufacturer/onsemi?pageNo=478", "Onsemi")</f>
        <v>Onsemi</v>
      </c>
      <c r="C3175" s="6">
        <v>6000</v>
      </c>
      <c r="D3175" s="7">
        <v>0.48</v>
      </c>
    </row>
    <row r="3176" spans="1:5" x14ac:dyDescent="0.25">
      <c r="A3176" t="str">
        <f>HYPERLINK("https://www.773grp.com/globalSearch/MZP4746ATA/page-1", "MZP4746ATA")</f>
        <v>MZP4746ATA</v>
      </c>
      <c r="B3176" s="3" t="str">
        <f>HYPERLINK("https://www.773grp.com/manufacturer/onsemi?pageNo=479", "Onsemi")</f>
        <v>Onsemi</v>
      </c>
      <c r="C3176" s="6">
        <v>8500</v>
      </c>
      <c r="D3176" s="7">
        <v>0.48</v>
      </c>
      <c r="E3176" t="s">
        <v>77</v>
      </c>
    </row>
    <row r="3177" spans="1:5" x14ac:dyDescent="0.25">
      <c r="A3177" t="str">
        <f>HYPERLINK("https://www.773grp.com/globalSearch/MZP4750ARL/page-1", "MZP4750ARL")</f>
        <v>MZP4750ARL</v>
      </c>
      <c r="B3177" s="3" t="str">
        <f>HYPERLINK("https://www.773grp.com/manufacturer/onsemi?pageNo=480", "Onsemi")</f>
        <v>Onsemi</v>
      </c>
      <c r="C3177" s="6">
        <v>9500</v>
      </c>
      <c r="D3177" s="7">
        <v>0.48</v>
      </c>
      <c r="E3177" t="s">
        <v>77</v>
      </c>
    </row>
    <row r="3178" spans="1:5" x14ac:dyDescent="0.25">
      <c r="A3178" t="str">
        <f>HYPERLINK("https://www.773grp.com/globalSearch/MZP4751ARL/page-1", "MZP4751ARL")</f>
        <v>MZP4751ARL</v>
      </c>
      <c r="B3178" s="3" t="str">
        <f>HYPERLINK("https://www.773grp.com/manufacturer/onsemi?pageNo=481", "Onsemi")</f>
        <v>Onsemi</v>
      </c>
      <c r="C3178" s="6">
        <v>2000</v>
      </c>
      <c r="D3178" s="7">
        <v>0.48</v>
      </c>
      <c r="E3178" t="s">
        <v>77</v>
      </c>
    </row>
    <row r="3179" spans="1:5" x14ac:dyDescent="0.25">
      <c r="A3179" t="str">
        <f>HYPERLINK("https://www.773grp.com/globalSearch/MZP4751ARLG/page-1", "MZP4751ARLG")</f>
        <v>MZP4751ARLG</v>
      </c>
      <c r="B3179" s="3" t="str">
        <f>HYPERLINK("https://www.773grp.com/manufacturer/onsemi?pageNo=482", "Onsemi")</f>
        <v>Onsemi</v>
      </c>
      <c r="C3179" s="6">
        <v>12000</v>
      </c>
      <c r="D3179" s="7">
        <v>0.48</v>
      </c>
    </row>
    <row r="3180" spans="1:5" x14ac:dyDescent="0.25">
      <c r="A3180" t="str">
        <f>HYPERLINK("https://www.773grp.com/globalSearch/NC17SZ08XV5T2/page-1", "NC17SZ08XV5T2")</f>
        <v>NC17SZ08XV5T2</v>
      </c>
      <c r="B3180" s="3" t="str">
        <f>HYPERLINK("https://www.773grp.com/manufacturer/onsemi?pageNo=483", "Onsemi")</f>
        <v>Onsemi</v>
      </c>
      <c r="C3180" s="6">
        <v>1190</v>
      </c>
      <c r="D3180" s="7">
        <v>0.48</v>
      </c>
    </row>
    <row r="3181" spans="1:5" x14ac:dyDescent="0.25">
      <c r="A3181" t="str">
        <f>HYPERLINK("https://www.773grp.com/globalSearch/NCP301LSN12T1/page-1", "NCP301LSN12T1")</f>
        <v>NCP301LSN12T1</v>
      </c>
      <c r="B3181" s="3" t="str">
        <f>HYPERLINK("https://www.773grp.com/manufacturer/onsemi?pageNo=484", "Onsemi")</f>
        <v>Onsemi</v>
      </c>
      <c r="C3181" s="6">
        <v>2870</v>
      </c>
      <c r="D3181" s="7">
        <v>0.48</v>
      </c>
      <c r="E3181" t="s">
        <v>26</v>
      </c>
    </row>
    <row r="3182" spans="1:5" x14ac:dyDescent="0.25">
      <c r="A3182" t="str">
        <f>HYPERLINK("https://www.773grp.com/globalSearch/NCP500SN185T1/page-1", "NCP500SN185T1")</f>
        <v>NCP500SN185T1</v>
      </c>
      <c r="B3182" s="3" t="str">
        <f>HYPERLINK("https://www.773grp.com/manufacturer/onsemi?pageNo=485", "Onsemi")</f>
        <v>Onsemi</v>
      </c>
      <c r="C3182" s="6">
        <v>3000</v>
      </c>
      <c r="D3182" s="7">
        <v>0.48</v>
      </c>
      <c r="E3182" t="s">
        <v>15</v>
      </c>
    </row>
    <row r="3183" spans="1:5" x14ac:dyDescent="0.25">
      <c r="A3183" t="str">
        <f>HYPERLINK("https://www.773grp.com/globalSearch/NCP500SN18T1/page-1", "NCP500SN18T1")</f>
        <v>NCP500SN18T1</v>
      </c>
      <c r="B3183" s="3" t="str">
        <f>HYPERLINK("https://www.773grp.com/manufacturer/onsemi?pageNo=486", "Onsemi")</f>
        <v>Onsemi</v>
      </c>
      <c r="C3183" s="6">
        <v>34933</v>
      </c>
      <c r="D3183" s="7">
        <v>0.48</v>
      </c>
      <c r="E3183" t="s">
        <v>15</v>
      </c>
    </row>
    <row r="3184" spans="1:5" x14ac:dyDescent="0.25">
      <c r="A3184" t="str">
        <f>HYPERLINK("https://www.773grp.com/globalSearch/NCP500SN25T1/page-1", "NCP500SN25T1")</f>
        <v>NCP500SN25T1</v>
      </c>
      <c r="B3184" s="3" t="str">
        <f>HYPERLINK("https://www.773grp.com/manufacturer/onsemi?pageNo=487", "Onsemi")</f>
        <v>Onsemi</v>
      </c>
      <c r="C3184" s="6">
        <v>72329</v>
      </c>
      <c r="D3184" s="7">
        <v>0.48</v>
      </c>
      <c r="E3184" t="s">
        <v>15</v>
      </c>
    </row>
    <row r="3185" spans="1:5" x14ac:dyDescent="0.25">
      <c r="A3185" t="str">
        <f>HYPERLINK("https://www.773grp.com/globalSearch/NCP500SN26T1/page-1", "NCP500SN26T1")</f>
        <v>NCP500SN26T1</v>
      </c>
      <c r="B3185" s="3" t="str">
        <f>HYPERLINK("https://www.773grp.com/manufacturer/onsemi?pageNo=488", "Onsemi")</f>
        <v>Onsemi</v>
      </c>
      <c r="C3185" s="6">
        <v>6000</v>
      </c>
      <c r="D3185" s="7">
        <v>0.48</v>
      </c>
      <c r="E3185" t="s">
        <v>15</v>
      </c>
    </row>
    <row r="3186" spans="1:5" x14ac:dyDescent="0.25">
      <c r="A3186" t="str">
        <f>HYPERLINK("https://www.773grp.com/globalSearch/NCP500SN27T1/page-1", "NCP500SN27T1")</f>
        <v>NCP500SN27T1</v>
      </c>
      <c r="B3186" s="3" t="str">
        <f>HYPERLINK("https://www.773grp.com/manufacturer/onsemi?pageNo=489", "Onsemi")</f>
        <v>Onsemi</v>
      </c>
      <c r="C3186" s="6">
        <v>5980</v>
      </c>
      <c r="D3186" s="7">
        <v>0.48</v>
      </c>
      <c r="E3186" t="s">
        <v>15</v>
      </c>
    </row>
    <row r="3187" spans="1:5" x14ac:dyDescent="0.25">
      <c r="A3187" t="str">
        <f>HYPERLINK("https://www.773grp.com/globalSearch/NCP500SN28T1/page-1", "NCP500SN28T1")</f>
        <v>NCP500SN28T1</v>
      </c>
      <c r="B3187" s="3" t="str">
        <f>HYPERLINK("https://www.773grp.com/manufacturer/onsemi?pageNo=490", "Onsemi")</f>
        <v>Onsemi</v>
      </c>
      <c r="C3187" s="6">
        <v>20898</v>
      </c>
      <c r="D3187" s="7">
        <v>0.48</v>
      </c>
      <c r="E3187" t="s">
        <v>15</v>
      </c>
    </row>
    <row r="3188" spans="1:5" x14ac:dyDescent="0.25">
      <c r="A3188" t="str">
        <f>HYPERLINK("https://www.773grp.com/globalSearch/NCP500SN50T1/page-1", "NCP500SN50T1")</f>
        <v>NCP500SN50T1</v>
      </c>
      <c r="B3188" s="3" t="str">
        <f>HYPERLINK("https://www.773grp.com/manufacturer/onsemi?pageNo=491", "Onsemi")</f>
        <v>Onsemi</v>
      </c>
      <c r="C3188" s="6">
        <v>10</v>
      </c>
      <c r="D3188" s="7">
        <v>0.48</v>
      </c>
      <c r="E3188" t="s">
        <v>15</v>
      </c>
    </row>
    <row r="3189" spans="1:5" x14ac:dyDescent="0.25">
      <c r="A3189" t="str">
        <f>HYPERLINK("https://www.773grp.com/globalSearch/NCP511SN15T1/page-1", "NCP511SN15T1")</f>
        <v>NCP511SN15T1</v>
      </c>
      <c r="B3189" s="3" t="str">
        <f>HYPERLINK("https://www.773grp.com/manufacturer/onsemi?pageNo=492", "Onsemi")</f>
        <v>Onsemi</v>
      </c>
      <c r="C3189" s="6">
        <v>6000</v>
      </c>
      <c r="D3189" s="7">
        <v>0.48</v>
      </c>
      <c r="E3189" t="s">
        <v>15</v>
      </c>
    </row>
    <row r="3190" spans="1:5" x14ac:dyDescent="0.25">
      <c r="A3190" t="str">
        <f>HYPERLINK("https://www.773grp.com/globalSearch/NCP511SN18T1/page-1", "NCP511SN18T1")</f>
        <v>NCP511SN18T1</v>
      </c>
      <c r="B3190" s="3" t="str">
        <f>HYPERLINK("https://www.773grp.com/manufacturer/onsemi?pageNo=493", "Onsemi")</f>
        <v>Onsemi</v>
      </c>
      <c r="C3190" s="6">
        <v>26831</v>
      </c>
      <c r="D3190" s="7">
        <v>0.48</v>
      </c>
      <c r="E3190" t="s">
        <v>15</v>
      </c>
    </row>
    <row r="3191" spans="1:5" x14ac:dyDescent="0.25">
      <c r="A3191" t="str">
        <f>HYPERLINK("https://www.773grp.com/globalSearch/NCP511SN25T1/page-1", "NCP511SN25T1")</f>
        <v>NCP511SN25T1</v>
      </c>
      <c r="B3191" s="3" t="str">
        <f>HYPERLINK("https://www.773grp.com/manufacturer/onsemi?pageNo=494", "Onsemi")</f>
        <v>Onsemi</v>
      </c>
      <c r="C3191" s="6">
        <v>67973</v>
      </c>
      <c r="D3191" s="7">
        <v>0.48</v>
      </c>
      <c r="E3191" t="s">
        <v>15</v>
      </c>
    </row>
    <row r="3192" spans="1:5" x14ac:dyDescent="0.25">
      <c r="A3192" t="str">
        <f>HYPERLINK("https://www.773grp.com/globalSearch/NCP511SN28T1/page-1", "NCP511SN28T1")</f>
        <v>NCP511SN28T1</v>
      </c>
      <c r="B3192" s="3" t="str">
        <f>HYPERLINK("https://www.773grp.com/manufacturer/onsemi?pageNo=495", "Onsemi")</f>
        <v>Onsemi</v>
      </c>
      <c r="C3192" s="6">
        <v>21000</v>
      </c>
      <c r="D3192" s="7">
        <v>0.48</v>
      </c>
      <c r="E3192" t="s">
        <v>15</v>
      </c>
    </row>
    <row r="3193" spans="1:5" x14ac:dyDescent="0.25">
      <c r="A3193" t="str">
        <f>HYPERLINK("https://www.773grp.com/globalSearch/NCP511SN30T1/page-1", "NCP511SN30T1")</f>
        <v>NCP511SN30T1</v>
      </c>
      <c r="B3193" s="3" t="str">
        <f>HYPERLINK("https://www.773grp.com/manufacturer/onsemi?pageNo=496", "Onsemi")</f>
        <v>Onsemi</v>
      </c>
      <c r="C3193" s="6">
        <v>95850</v>
      </c>
      <c r="D3193" s="7">
        <v>0.48</v>
      </c>
      <c r="E3193" t="s">
        <v>15</v>
      </c>
    </row>
    <row r="3194" spans="1:5" x14ac:dyDescent="0.25">
      <c r="A3194" t="str">
        <f>HYPERLINK("https://www.773grp.com/globalSearch/NCP511SN33T1/page-1", "NCP511SN33T1")</f>
        <v>NCP511SN33T1</v>
      </c>
      <c r="B3194" s="3" t="str">
        <f>HYPERLINK("https://www.773grp.com/manufacturer/onsemi?pageNo=497", "Onsemi")</f>
        <v>Onsemi</v>
      </c>
      <c r="C3194" s="6">
        <v>11570</v>
      </c>
      <c r="D3194" s="7">
        <v>0.48</v>
      </c>
      <c r="E3194" t="s">
        <v>15</v>
      </c>
    </row>
    <row r="3195" spans="1:5" x14ac:dyDescent="0.25">
      <c r="A3195" t="str">
        <f>HYPERLINK("https://www.773grp.com/globalSearch/NCP551SN25T1/page-1", "NCP551SN25T1")</f>
        <v>NCP551SN25T1</v>
      </c>
      <c r="B3195" s="3" t="str">
        <f>HYPERLINK("https://www.773grp.com/manufacturer/onsemi?pageNo=498", "Onsemi")</f>
        <v>Onsemi</v>
      </c>
      <c r="C3195" s="6">
        <v>202</v>
      </c>
      <c r="D3195" s="7">
        <v>0.48</v>
      </c>
      <c r="E3195" t="s">
        <v>15</v>
      </c>
    </row>
    <row r="3196" spans="1:5" x14ac:dyDescent="0.25">
      <c r="A3196" t="str">
        <f>HYPERLINK("https://www.773grp.com/globalSearch/NCP551SN27T1/page-1", "NCP551SN27T1")</f>
        <v>NCP551SN27T1</v>
      </c>
      <c r="B3196" s="3" t="str">
        <f>HYPERLINK("https://www.773grp.com/manufacturer/onsemi?pageNo=499", "Onsemi")</f>
        <v>Onsemi</v>
      </c>
      <c r="C3196" s="6">
        <v>2890</v>
      </c>
      <c r="D3196" s="7">
        <v>0.48</v>
      </c>
      <c r="E3196" t="s">
        <v>15</v>
      </c>
    </row>
    <row r="3197" spans="1:5" x14ac:dyDescent="0.25">
      <c r="A3197" t="str">
        <f>HYPERLINK("https://www.773grp.com/globalSearch/NCP551SN28T1/page-1", "NCP551SN28T1")</f>
        <v>NCP551SN28T1</v>
      </c>
      <c r="B3197" s="3" t="str">
        <f>HYPERLINK("https://www.773grp.com/manufacturer/onsemi?pageNo=500", "Onsemi")</f>
        <v>Onsemi</v>
      </c>
      <c r="C3197" s="6">
        <v>11987</v>
      </c>
      <c r="D3197" s="7">
        <v>0.48</v>
      </c>
      <c r="E3197" t="s">
        <v>15</v>
      </c>
    </row>
    <row r="3198" spans="1:5" x14ac:dyDescent="0.25">
      <c r="A3198" t="str">
        <f>HYPERLINK("https://www.773grp.com/globalSearch/NCP551SN33T1/page-1", "NCP551SN33T1")</f>
        <v>NCP551SN33T1</v>
      </c>
      <c r="B3198" s="3" t="str">
        <f>HYPERLINK("https://www.773grp.com/manufacturer/onsemi?pageNo=501", "Onsemi")</f>
        <v>Onsemi</v>
      </c>
      <c r="C3198" s="6">
        <v>165279</v>
      </c>
      <c r="D3198" s="7">
        <v>0.48</v>
      </c>
      <c r="E3198" t="s">
        <v>15</v>
      </c>
    </row>
    <row r="3199" spans="1:5" x14ac:dyDescent="0.25">
      <c r="A3199" t="str">
        <f>HYPERLINK("https://www.773grp.com/globalSearch/NCP552SQ15T1/page-1", "NCP552SQ15T1")</f>
        <v>NCP552SQ15T1</v>
      </c>
      <c r="B3199" s="3" t="str">
        <f>HYPERLINK("https://www.773grp.com/manufacturer/onsemi?pageNo=502", "Onsemi")</f>
        <v>Onsemi</v>
      </c>
      <c r="C3199" s="6">
        <v>3000</v>
      </c>
      <c r="D3199" s="7">
        <v>0.48</v>
      </c>
      <c r="E3199" t="s">
        <v>15</v>
      </c>
    </row>
    <row r="3200" spans="1:5" x14ac:dyDescent="0.25">
      <c r="A3200" t="str">
        <f>HYPERLINK("https://www.773grp.com/globalSearch/NCP552SQ25T1/page-1", "NCP552SQ25T1")</f>
        <v>NCP552SQ25T1</v>
      </c>
      <c r="B3200" s="3" t="str">
        <f>HYPERLINK("https://www.773grp.com/manufacturer/onsemi?pageNo=503", "Onsemi")</f>
        <v>Onsemi</v>
      </c>
      <c r="C3200" s="6">
        <v>6000</v>
      </c>
      <c r="D3200" s="7">
        <v>0.48</v>
      </c>
      <c r="E3200" t="s">
        <v>15</v>
      </c>
    </row>
    <row r="3201" spans="1:5" x14ac:dyDescent="0.25">
      <c r="A3201" t="str">
        <f>HYPERLINK("https://www.773grp.com/globalSearch/NCP552SQ27T1/page-1", "NCP552SQ27T1")</f>
        <v>NCP552SQ27T1</v>
      </c>
      <c r="B3201" s="3" t="str">
        <f>HYPERLINK("https://www.773grp.com/manufacturer/onsemi?pageNo=504", "Onsemi")</f>
        <v>Onsemi</v>
      </c>
      <c r="C3201" s="6">
        <v>3000</v>
      </c>
      <c r="D3201" s="7">
        <v>0.48</v>
      </c>
      <c r="E3201" t="s">
        <v>15</v>
      </c>
    </row>
    <row r="3202" spans="1:5" x14ac:dyDescent="0.25">
      <c r="A3202" t="str">
        <f>HYPERLINK("https://www.773grp.com/globalSearch/NCP552SQ28T1/page-1", "NCP552SQ28T1")</f>
        <v>NCP552SQ28T1</v>
      </c>
      <c r="B3202" s="3" t="str">
        <f>HYPERLINK("https://www.773grp.com/manufacturer/onsemi?pageNo=505", "Onsemi")</f>
        <v>Onsemi</v>
      </c>
      <c r="C3202" s="6">
        <v>6000</v>
      </c>
      <c r="D3202" s="7">
        <v>0.48</v>
      </c>
      <c r="E3202" t="s">
        <v>15</v>
      </c>
    </row>
    <row r="3203" spans="1:5" x14ac:dyDescent="0.25">
      <c r="A3203" t="str">
        <f>HYPERLINK("https://www.773grp.com/globalSearch/NCP553SQ15T1/page-1", "NCP553SQ15T1")</f>
        <v>NCP553SQ15T1</v>
      </c>
      <c r="B3203" s="3" t="str">
        <f>HYPERLINK("https://www.773grp.com/manufacturer/onsemi?pageNo=506", "Onsemi")</f>
        <v>Onsemi</v>
      </c>
      <c r="C3203" s="6">
        <v>500</v>
      </c>
      <c r="D3203" s="7">
        <v>0.48</v>
      </c>
      <c r="E3203" t="s">
        <v>15</v>
      </c>
    </row>
    <row r="3204" spans="1:5" x14ac:dyDescent="0.25">
      <c r="A3204" t="str">
        <f>HYPERLINK("https://www.773grp.com/globalSearch/NCP553SQ18T1/page-1", "NCP553SQ18T1")</f>
        <v>NCP553SQ18T1</v>
      </c>
      <c r="B3204" s="3" t="str">
        <f>HYPERLINK("https://www.773grp.com/manufacturer/onsemi?pageNo=507", "Onsemi")</f>
        <v>Onsemi</v>
      </c>
      <c r="C3204" s="6">
        <v>6700</v>
      </c>
      <c r="D3204" s="7">
        <v>0.48</v>
      </c>
      <c r="E3204" t="s">
        <v>15</v>
      </c>
    </row>
    <row r="3205" spans="1:5" x14ac:dyDescent="0.25">
      <c r="A3205" t="str">
        <f>HYPERLINK("https://www.773grp.com/globalSearch/NCP553SQ25T1/page-1", "NCP553SQ25T1")</f>
        <v>NCP553SQ25T1</v>
      </c>
      <c r="B3205" s="3" t="str">
        <f>HYPERLINK("https://www.773grp.com/manufacturer/onsemi?pageNo=508", "Onsemi")</f>
        <v>Onsemi</v>
      </c>
      <c r="C3205" s="6">
        <v>6000</v>
      </c>
      <c r="D3205" s="7">
        <v>0.48</v>
      </c>
      <c r="E3205" t="s">
        <v>15</v>
      </c>
    </row>
    <row r="3206" spans="1:5" x14ac:dyDescent="0.25">
      <c r="A3206" t="str">
        <f>HYPERLINK("https://www.773grp.com/globalSearch/NCP553SQ27T1/page-1", "NCP553SQ27T1")</f>
        <v>NCP553SQ27T1</v>
      </c>
      <c r="B3206" s="3" t="str">
        <f>HYPERLINK("https://www.773grp.com/manufacturer/onsemi?pageNo=509", "Onsemi")</f>
        <v>Onsemi</v>
      </c>
      <c r="C3206" s="6">
        <v>12000</v>
      </c>
      <c r="D3206" s="7">
        <v>0.48</v>
      </c>
      <c r="E3206" t="s">
        <v>15</v>
      </c>
    </row>
    <row r="3207" spans="1:5" x14ac:dyDescent="0.25">
      <c r="A3207" t="str">
        <f>HYPERLINK("https://www.773grp.com/globalSearch/NCP561SN15T1/page-1", "NCP561SN15T1")</f>
        <v>NCP561SN15T1</v>
      </c>
      <c r="B3207" s="3" t="str">
        <f>HYPERLINK("https://www.773grp.com/manufacturer/onsemi?pageNo=510", "Onsemi")</f>
        <v>Onsemi</v>
      </c>
      <c r="C3207" s="6">
        <v>21000</v>
      </c>
      <c r="D3207" s="7">
        <v>0.48</v>
      </c>
      <c r="E3207" t="s">
        <v>15</v>
      </c>
    </row>
    <row r="3208" spans="1:5" x14ac:dyDescent="0.25">
      <c r="A3208" t="str">
        <f>HYPERLINK("https://www.773grp.com/globalSearch/NCP561SN18T1/page-1", "NCP561SN18T1")</f>
        <v>NCP561SN18T1</v>
      </c>
      <c r="B3208" s="3" t="str">
        <f>HYPERLINK("https://www.773grp.com/manufacturer/onsemi?pageNo=511", "Onsemi")</f>
        <v>Onsemi</v>
      </c>
      <c r="C3208" s="6">
        <v>39000</v>
      </c>
      <c r="D3208" s="7">
        <v>0.48</v>
      </c>
      <c r="E3208" t="s">
        <v>15</v>
      </c>
    </row>
    <row r="3209" spans="1:5" x14ac:dyDescent="0.25">
      <c r="A3209" t="str">
        <f>HYPERLINK("https://www.773grp.com/globalSearch/NCP561SN25T1/page-1", "NCP561SN25T1")</f>
        <v>NCP561SN25T1</v>
      </c>
      <c r="B3209" s="3" t="str">
        <f>HYPERLINK("https://www.773grp.com/manufacturer/onsemi?pageNo=512", "Onsemi")</f>
        <v>Onsemi</v>
      </c>
      <c r="C3209" s="6">
        <v>5490</v>
      </c>
      <c r="D3209" s="7">
        <v>0.48</v>
      </c>
      <c r="E3209" t="s">
        <v>15</v>
      </c>
    </row>
    <row r="3210" spans="1:5" x14ac:dyDescent="0.25">
      <c r="A3210" t="str">
        <f>HYPERLINK("https://www.773grp.com/globalSearch/NCP561SN28T1/page-1", "NCP561SN28T1")</f>
        <v>NCP561SN28T1</v>
      </c>
      <c r="B3210" s="3" t="str">
        <f>HYPERLINK("https://www.773grp.com/manufacturer/onsemi?pageNo=513", "Onsemi")</f>
        <v>Onsemi</v>
      </c>
      <c r="C3210" s="6">
        <v>5989</v>
      </c>
      <c r="D3210" s="7">
        <v>0.48</v>
      </c>
      <c r="E3210" t="s">
        <v>15</v>
      </c>
    </row>
    <row r="3211" spans="1:5" x14ac:dyDescent="0.25">
      <c r="A3211" t="str">
        <f>HYPERLINK("https://www.773grp.com/globalSearch/NCP561SN33T1/page-1", "NCP561SN33T1")</f>
        <v>NCP561SN33T1</v>
      </c>
      <c r="B3211" s="3" t="str">
        <f>HYPERLINK("https://www.773grp.com/manufacturer/onsemi?pageNo=514", "Onsemi")</f>
        <v>Onsemi</v>
      </c>
      <c r="C3211" s="6">
        <v>20</v>
      </c>
      <c r="D3211" s="7">
        <v>0.48</v>
      </c>
      <c r="E3211" t="s">
        <v>15</v>
      </c>
    </row>
    <row r="3212" spans="1:5" x14ac:dyDescent="0.25">
      <c r="A3212" t="str">
        <f>HYPERLINK("https://www.773grp.com/globalSearch/NCP561SN50T1/page-1", "NCP561SN50T1")</f>
        <v>NCP561SN50T1</v>
      </c>
      <c r="B3212" s="3" t="str">
        <f>HYPERLINK("https://www.773grp.com/manufacturer/onsemi?pageNo=515", "Onsemi")</f>
        <v>Onsemi</v>
      </c>
      <c r="C3212" s="6">
        <v>3000</v>
      </c>
      <c r="D3212" s="7">
        <v>0.48</v>
      </c>
      <c r="E3212" t="s">
        <v>15</v>
      </c>
    </row>
    <row r="3213" spans="1:5" x14ac:dyDescent="0.25">
      <c r="A3213" t="str">
        <f>HYPERLINK("https://www.773grp.com/globalSearch/NCP562SQ15T1/page-1", "NCP562SQ15T1")</f>
        <v>NCP562SQ15T1</v>
      </c>
      <c r="B3213" s="3" t="str">
        <f>HYPERLINK("https://www.773grp.com/manufacturer/onsemi?pageNo=516", "Onsemi")</f>
        <v>Onsemi</v>
      </c>
      <c r="C3213" s="6">
        <v>38970</v>
      </c>
      <c r="D3213" s="7">
        <v>0.48</v>
      </c>
      <c r="E3213" t="s">
        <v>15</v>
      </c>
    </row>
    <row r="3214" spans="1:5" x14ac:dyDescent="0.25">
      <c r="A3214" t="str">
        <f>HYPERLINK("https://www.773grp.com/globalSearch/NCP562SQ18T1/page-1", "NCP562SQ18T1")</f>
        <v>NCP562SQ18T1</v>
      </c>
      <c r="B3214" s="3" t="str">
        <f>HYPERLINK("https://www.773grp.com/manufacturer/onsemi?pageNo=517", "Onsemi")</f>
        <v>Onsemi</v>
      </c>
      <c r="C3214" s="6">
        <v>3310</v>
      </c>
      <c r="D3214" s="7">
        <v>0.48</v>
      </c>
      <c r="E3214" t="s">
        <v>15</v>
      </c>
    </row>
    <row r="3215" spans="1:5" x14ac:dyDescent="0.25">
      <c r="A3215" t="str">
        <f>HYPERLINK("https://www.773grp.com/globalSearch/NCP562SQ27T1/page-1", "NCP562SQ27T1")</f>
        <v>NCP562SQ27T1</v>
      </c>
      <c r="B3215" s="3" t="str">
        <f>HYPERLINK("https://www.773grp.com/manufacturer/onsemi?pageNo=518", "Onsemi")</f>
        <v>Onsemi</v>
      </c>
      <c r="C3215" s="6">
        <v>8990</v>
      </c>
      <c r="D3215" s="7">
        <v>0.48</v>
      </c>
      <c r="E3215" t="s">
        <v>15</v>
      </c>
    </row>
    <row r="3216" spans="1:5" x14ac:dyDescent="0.25">
      <c r="A3216" t="str">
        <f>HYPERLINK("https://www.773grp.com/globalSearch/NCP562SQ28T1/page-1", "NCP562SQ28T1")</f>
        <v>NCP562SQ28T1</v>
      </c>
      <c r="B3216" s="3" t="str">
        <f>HYPERLINK("https://www.773grp.com/manufacturer/onsemi?pageNo=519", "Onsemi")</f>
        <v>Onsemi</v>
      </c>
      <c r="C3216" s="6">
        <v>126000</v>
      </c>
      <c r="D3216" s="7">
        <v>0.48</v>
      </c>
      <c r="E3216" t="s">
        <v>15</v>
      </c>
    </row>
    <row r="3217" spans="1:5" x14ac:dyDescent="0.25">
      <c r="A3217" t="str">
        <f>HYPERLINK("https://www.773grp.com/globalSearch/NCP562SQ30T1/page-1", "NCP562SQ30T1")</f>
        <v>NCP562SQ30T1</v>
      </c>
      <c r="B3217" s="3" t="str">
        <f>HYPERLINK("https://www.773grp.com/manufacturer/onsemi?pageNo=520", "Onsemi")</f>
        <v>Onsemi</v>
      </c>
      <c r="C3217" s="6">
        <v>83940</v>
      </c>
      <c r="D3217" s="7">
        <v>0.48</v>
      </c>
      <c r="E3217" t="s">
        <v>15</v>
      </c>
    </row>
    <row r="3218" spans="1:5" x14ac:dyDescent="0.25">
      <c r="A3218" t="str">
        <f>HYPERLINK("https://www.773grp.com/globalSearch/NCP562SQ33T1/page-1", "NCP562SQ33T1")</f>
        <v>NCP562SQ33T1</v>
      </c>
      <c r="B3218" s="3" t="str">
        <f>HYPERLINK("https://www.773grp.com/manufacturer/onsemi?pageNo=521", "Onsemi")</f>
        <v>Onsemi</v>
      </c>
      <c r="C3218" s="6">
        <v>101988</v>
      </c>
      <c r="D3218" s="7">
        <v>0.48</v>
      </c>
      <c r="E3218" t="s">
        <v>15</v>
      </c>
    </row>
    <row r="3219" spans="1:5" x14ac:dyDescent="0.25">
      <c r="A3219" t="str">
        <f>HYPERLINK("https://www.773grp.com/globalSearch/NCP562SQ50T1/page-1", "NCP562SQ50T1")</f>
        <v>NCP562SQ50T1</v>
      </c>
      <c r="B3219" s="3" t="str">
        <f>HYPERLINK("https://www.773grp.com/manufacturer/onsemi?pageNo=522", "Onsemi")</f>
        <v>Onsemi</v>
      </c>
      <c r="C3219" s="6">
        <v>8990</v>
      </c>
      <c r="D3219" s="7">
        <v>0.48</v>
      </c>
      <c r="E3219" t="s">
        <v>15</v>
      </c>
    </row>
    <row r="3220" spans="1:5" x14ac:dyDescent="0.25">
      <c r="A3220" t="str">
        <f>HYPERLINK("https://www.773grp.com/globalSearch/NCP563SQ25T1/page-1", "NCP563SQ25T1")</f>
        <v>NCP563SQ25T1</v>
      </c>
      <c r="B3220" s="3" t="str">
        <f>HYPERLINK("https://www.773grp.com/manufacturer/onsemi?pageNo=523", "Onsemi")</f>
        <v>Onsemi</v>
      </c>
      <c r="C3220" s="6">
        <v>2990</v>
      </c>
      <c r="D3220" s="7">
        <v>0.48</v>
      </c>
      <c r="E3220" t="s">
        <v>15</v>
      </c>
    </row>
    <row r="3221" spans="1:5" x14ac:dyDescent="0.25">
      <c r="A3221" t="str">
        <f>HYPERLINK("https://www.773grp.com/globalSearch/NCP563SQ27T1/page-1", "NCP563SQ27T1")</f>
        <v>NCP563SQ27T1</v>
      </c>
      <c r="B3221" s="3" t="str">
        <f>HYPERLINK("https://www.773grp.com/manufacturer/onsemi?pageNo=524", "Onsemi")</f>
        <v>Onsemi</v>
      </c>
      <c r="C3221" s="6">
        <v>6000</v>
      </c>
      <c r="D3221" s="7">
        <v>0.48</v>
      </c>
      <c r="E3221" t="s">
        <v>15</v>
      </c>
    </row>
    <row r="3222" spans="1:5" x14ac:dyDescent="0.25">
      <c r="A3222" t="str">
        <f>HYPERLINK("https://www.773grp.com/globalSearch/NCP563SQ30T1/page-1", "NCP563SQ30T1")</f>
        <v>NCP563SQ30T1</v>
      </c>
      <c r="B3222" s="3" t="str">
        <f>HYPERLINK("https://www.773grp.com/manufacturer/onsemi?pageNo=525", "Onsemi")</f>
        <v>Onsemi</v>
      </c>
      <c r="C3222" s="6">
        <v>2980</v>
      </c>
      <c r="D3222" s="7">
        <v>0.48</v>
      </c>
      <c r="E3222" t="s">
        <v>15</v>
      </c>
    </row>
    <row r="3223" spans="1:5" x14ac:dyDescent="0.25">
      <c r="A3223" t="str">
        <f>HYPERLINK("https://www.773grp.com/globalSearch/NCP563SQ50T1/page-1", "NCP563SQ50T1")</f>
        <v>NCP563SQ50T1</v>
      </c>
      <c r="B3223" s="3" t="str">
        <f>HYPERLINK("https://www.773grp.com/manufacturer/onsemi?pageNo=526", "Onsemi")</f>
        <v>Onsemi</v>
      </c>
      <c r="C3223" s="6">
        <v>3000</v>
      </c>
      <c r="D3223" s="7">
        <v>0.48</v>
      </c>
      <c r="E3223" t="s">
        <v>15</v>
      </c>
    </row>
    <row r="3224" spans="1:5" x14ac:dyDescent="0.25">
      <c r="A3224" t="str">
        <f>HYPERLINK("https://www.773grp.com/globalSearch/NCP580SQ15T1G/page-1", "NCP580SQ15T1G")</f>
        <v>NCP580SQ15T1G</v>
      </c>
      <c r="B3224" s="3" t="str">
        <f>HYPERLINK("https://www.773grp.com/manufacturer/onsemi?pageNo=527", "Onsemi")</f>
        <v>Onsemi</v>
      </c>
      <c r="C3224" s="6">
        <v>29494</v>
      </c>
      <c r="D3224" s="7">
        <v>0.48</v>
      </c>
      <c r="E3224" t="s">
        <v>15</v>
      </c>
    </row>
    <row r="3225" spans="1:5" x14ac:dyDescent="0.25">
      <c r="A3225" t="str">
        <f>HYPERLINK("https://www.773grp.com/globalSearch/NCP580SQ25T1G/page-1", "NCP580SQ25T1G")</f>
        <v>NCP580SQ25T1G</v>
      </c>
      <c r="B3225" s="3" t="str">
        <f>HYPERLINK("https://www.773grp.com/manufacturer/onsemi?pageNo=528", "Onsemi")</f>
        <v>Onsemi</v>
      </c>
      <c r="C3225" s="6">
        <v>17489</v>
      </c>
      <c r="D3225" s="7">
        <v>0.48</v>
      </c>
      <c r="E3225" t="s">
        <v>15</v>
      </c>
    </row>
    <row r="3226" spans="1:5" x14ac:dyDescent="0.25">
      <c r="A3226" t="str">
        <f>HYPERLINK("https://www.773grp.com/globalSearch/NCP629FC18T2G/page-1", "NCP629FC18T2G")</f>
        <v>NCP629FC18T2G</v>
      </c>
      <c r="B3226" s="3" t="str">
        <f>HYPERLINK("https://www.773grp.com/manufacturer/onsemi?pageNo=529", "Onsemi")</f>
        <v>Onsemi</v>
      </c>
      <c r="C3226" s="6">
        <v>710932</v>
      </c>
      <c r="D3226" s="7">
        <v>0.48</v>
      </c>
      <c r="E3226" t="s">
        <v>15</v>
      </c>
    </row>
    <row r="3227" spans="1:5" x14ac:dyDescent="0.25">
      <c r="A3227" t="str">
        <f>HYPERLINK("https://www.773grp.com/globalSearch/NCP803SN463T1/page-1", "NCP803SN463T1")</f>
        <v>NCP803SN463T1</v>
      </c>
      <c r="B3227" s="3" t="str">
        <f>HYPERLINK("https://www.773grp.com/manufacturer/onsemi?pageNo=530", "Onsemi")</f>
        <v>Onsemi</v>
      </c>
      <c r="C3227" s="6">
        <v>1316</v>
      </c>
      <c r="D3227" s="7">
        <v>0.48</v>
      </c>
      <c r="E3227" t="s">
        <v>26</v>
      </c>
    </row>
    <row r="3228" spans="1:5" x14ac:dyDescent="0.25">
      <c r="A3228" t="str">
        <f>HYPERLINK("https://www.773grp.com/globalSearch/NCS1002DR2G/page-1", "NCS1002DR2G")</f>
        <v>NCS1002DR2G</v>
      </c>
      <c r="B3228" s="3" t="str">
        <f>HYPERLINK("https://www.773grp.com/manufacturer/onsemi?pageNo=531", "Onsemi")</f>
        <v>Onsemi</v>
      </c>
      <c r="C3228" s="6">
        <v>40000</v>
      </c>
      <c r="D3228" s="7">
        <v>0.48</v>
      </c>
    </row>
    <row r="3229" spans="1:5" x14ac:dyDescent="0.25">
      <c r="A3229" t="str">
        <f>HYPERLINK("https://www.773grp.com/globalSearch/NL17SZ00XV5T2G/page-1", "NL17SZ00XV5T2G")</f>
        <v>NL17SZ00XV5T2G</v>
      </c>
      <c r="B3229" s="3" t="str">
        <f>HYPERLINK("https://www.773grp.com/manufacturer/onsemi?pageNo=532", "Onsemi")</f>
        <v>Onsemi</v>
      </c>
      <c r="C3229" s="6">
        <v>374000</v>
      </c>
      <c r="D3229" s="7">
        <v>0.48</v>
      </c>
      <c r="E3229" t="s">
        <v>27</v>
      </c>
    </row>
    <row r="3230" spans="1:5" x14ac:dyDescent="0.25">
      <c r="A3230" t="str">
        <f>HYPERLINK("https://www.773grp.com/globalSearch/NL17SZ02XV5T2G/page-1", "NL17SZ02XV5T2G")</f>
        <v>NL17SZ02XV5T2G</v>
      </c>
      <c r="B3230" s="3" t="str">
        <f>HYPERLINK("https://www.773grp.com/manufacturer/onsemi?pageNo=533", "Onsemi")</f>
        <v>Onsemi</v>
      </c>
      <c r="C3230" s="6">
        <v>44000</v>
      </c>
      <c r="D3230" s="7">
        <v>0.48</v>
      </c>
      <c r="E3230" t="s">
        <v>27</v>
      </c>
    </row>
    <row r="3231" spans="1:5" x14ac:dyDescent="0.25">
      <c r="A3231" t="str">
        <f>HYPERLINK("https://www.773grp.com/globalSearch/NL17SZ04XV5T2G/page-1", "NL17SZ04XV5T2G")</f>
        <v>NL17SZ04XV5T2G</v>
      </c>
      <c r="B3231" s="3" t="str">
        <f>HYPERLINK("https://www.773grp.com/manufacturer/onsemi?pageNo=534", "Onsemi")</f>
        <v>Onsemi</v>
      </c>
      <c r="C3231" s="6">
        <v>174099</v>
      </c>
      <c r="D3231" s="7">
        <v>0.48</v>
      </c>
      <c r="E3231" t="s">
        <v>27</v>
      </c>
    </row>
    <row r="3232" spans="1:5" x14ac:dyDescent="0.25">
      <c r="A3232" t="str">
        <f>HYPERLINK("https://www.773grp.com/globalSearch/NL17SZ06XV5T2G/page-1", "NL17SZ06XV5T2G")</f>
        <v>NL17SZ06XV5T2G</v>
      </c>
      <c r="B3232" s="3" t="str">
        <f>HYPERLINK("https://www.773grp.com/manufacturer/onsemi?pageNo=535", "Onsemi")</f>
        <v>Onsemi</v>
      </c>
      <c r="C3232" s="6">
        <v>83308</v>
      </c>
      <c r="D3232" s="7">
        <v>0.48</v>
      </c>
      <c r="E3232" t="s">
        <v>27</v>
      </c>
    </row>
    <row r="3233" spans="1:5" x14ac:dyDescent="0.25">
      <c r="A3233" t="str">
        <f>HYPERLINK("https://www.773grp.com/globalSearch/NL17SZ07XV5T2G/page-1", "NL17SZ07XV5T2G")</f>
        <v>NL17SZ07XV5T2G</v>
      </c>
      <c r="B3233" s="3" t="str">
        <f>HYPERLINK("https://www.773grp.com/manufacturer/onsemi?pageNo=536", "Onsemi")</f>
        <v>Onsemi</v>
      </c>
      <c r="C3233" s="6">
        <v>111141</v>
      </c>
      <c r="D3233" s="7">
        <v>0.48</v>
      </c>
      <c r="E3233" t="s">
        <v>27</v>
      </c>
    </row>
    <row r="3234" spans="1:5" x14ac:dyDescent="0.25">
      <c r="A3234" t="str">
        <f>HYPERLINK("https://www.773grp.com/globalSearch/NL17SZ08DFT2GH/page-1", "NL17SZ08DFT2GH")</f>
        <v>NL17SZ08DFT2GH</v>
      </c>
      <c r="B3234" s="3" t="str">
        <f>HYPERLINK("https://www.773grp.com/manufacturer/onsemi?pageNo=537", "Onsemi")</f>
        <v>Onsemi</v>
      </c>
      <c r="C3234" s="6">
        <v>12000</v>
      </c>
      <c r="D3234" s="7">
        <v>0.48</v>
      </c>
    </row>
    <row r="3235" spans="1:5" x14ac:dyDescent="0.25">
      <c r="A3235" t="str">
        <f>HYPERLINK("https://www.773grp.com/globalSearch/NL17SZ08XV5T2G/page-1", "NL17SZ08XV5T2G")</f>
        <v>NL17SZ08XV5T2G</v>
      </c>
      <c r="B3235" s="3" t="str">
        <f>HYPERLINK("https://www.773grp.com/manufacturer/onsemi?pageNo=538", "Onsemi")</f>
        <v>Onsemi</v>
      </c>
      <c r="C3235" s="6">
        <v>534690</v>
      </c>
      <c r="D3235" s="7">
        <v>0.48</v>
      </c>
      <c r="E3235" t="s">
        <v>27</v>
      </c>
    </row>
    <row r="3236" spans="1:5" x14ac:dyDescent="0.25">
      <c r="A3236" t="str">
        <f>HYPERLINK("https://www.773grp.com/globalSearch/NL17SZ125DTT1G/page-1", "NL17SZ125DTT1G")</f>
        <v>NL17SZ125DTT1G</v>
      </c>
      <c r="B3236" s="3" t="str">
        <f>HYPERLINK("https://www.773grp.com/manufacturer/onsemi?pageNo=539", "Onsemi")</f>
        <v>Onsemi</v>
      </c>
      <c r="C3236" s="6">
        <v>12000</v>
      </c>
      <c r="D3236" s="7">
        <v>0.48</v>
      </c>
    </row>
    <row r="3237" spans="1:5" x14ac:dyDescent="0.25">
      <c r="A3237" t="str">
        <f>HYPERLINK("https://www.773grp.com/globalSearch/NL17SZ125XV5T2G/page-1", "NL17SZ125XV5T2G")</f>
        <v>NL17SZ125XV5T2G</v>
      </c>
      <c r="B3237" s="3" t="str">
        <f>HYPERLINK("https://www.773grp.com/manufacturer/onsemi?pageNo=540", "Onsemi")</f>
        <v>Onsemi</v>
      </c>
      <c r="C3237" s="6">
        <v>4000</v>
      </c>
      <c r="D3237" s="7">
        <v>0.48</v>
      </c>
      <c r="E3237" t="s">
        <v>11</v>
      </c>
    </row>
    <row r="3238" spans="1:5" x14ac:dyDescent="0.25">
      <c r="A3238" t="str">
        <f>HYPERLINK("https://www.773grp.com/globalSearch/NL17SZ14DFT2/page-1", "NL17SZ14DFT2")</f>
        <v>NL17SZ14DFT2</v>
      </c>
      <c r="B3238" s="3" t="str">
        <f>HYPERLINK("https://www.773grp.com/manufacturer/onsemi?pageNo=541", "Onsemi")</f>
        <v>Onsemi</v>
      </c>
      <c r="C3238" s="6">
        <v>105000</v>
      </c>
      <c r="D3238" s="7">
        <v>0.48</v>
      </c>
      <c r="E3238" t="s">
        <v>27</v>
      </c>
    </row>
    <row r="3239" spans="1:5" x14ac:dyDescent="0.25">
      <c r="A3239" t="str">
        <f>HYPERLINK("https://www.773grp.com/globalSearch/NL17SZ14XV5T2G/page-1", "NL17SZ14XV5T2G")</f>
        <v>NL17SZ14XV5T2G</v>
      </c>
      <c r="B3239" s="3" t="str">
        <f>HYPERLINK("https://www.773grp.com/manufacturer/onsemi?pageNo=542", "Onsemi")</f>
        <v>Onsemi</v>
      </c>
      <c r="C3239" s="6">
        <v>35880</v>
      </c>
      <c r="D3239" s="7">
        <v>0.48</v>
      </c>
      <c r="E3239" t="s">
        <v>27</v>
      </c>
    </row>
    <row r="3240" spans="1:5" x14ac:dyDescent="0.25">
      <c r="A3240" t="str">
        <f>HYPERLINK("https://www.773grp.com/globalSearch/NL17SZ16XV5T2G/page-1", "NL17SZ16XV5T2G")</f>
        <v>NL17SZ16XV5T2G</v>
      </c>
      <c r="B3240" s="3" t="str">
        <f>HYPERLINK("https://www.773grp.com/manufacturer/onsemi?pageNo=543", "Onsemi")</f>
        <v>Onsemi</v>
      </c>
      <c r="C3240" s="6">
        <v>451850</v>
      </c>
      <c r="D3240" s="7">
        <v>0.48</v>
      </c>
      <c r="E3240" t="s">
        <v>27</v>
      </c>
    </row>
    <row r="3241" spans="1:5" x14ac:dyDescent="0.25">
      <c r="A3241" t="str">
        <f>HYPERLINK("https://www.773grp.com/globalSearch/NL17SZ17XV5T2G/page-1", "NL17SZ17XV5T2G")</f>
        <v>NL17SZ17XV5T2G</v>
      </c>
      <c r="B3241" s="3" t="str">
        <f>HYPERLINK("https://www.773grp.com/manufacturer/onsemi?pageNo=544", "Onsemi")</f>
        <v>Onsemi</v>
      </c>
      <c r="C3241" s="6">
        <v>24875</v>
      </c>
      <c r="D3241" s="7">
        <v>0.48</v>
      </c>
      <c r="E3241" t="s">
        <v>27</v>
      </c>
    </row>
    <row r="3242" spans="1:5" x14ac:dyDescent="0.25">
      <c r="A3242" t="str">
        <f>HYPERLINK("https://www.773grp.com/globalSearch/NL17SZ32DFT2GH/page-1", "NL17SZ32DFT2GH")</f>
        <v>NL17SZ32DFT2GH</v>
      </c>
      <c r="B3242" s="3" t="str">
        <f>HYPERLINK("https://www.773grp.com/manufacturer/onsemi?pageNo=545", "Onsemi")</f>
        <v>Onsemi</v>
      </c>
      <c r="C3242" s="6">
        <v>2373000</v>
      </c>
      <c r="D3242" s="7">
        <v>0.48</v>
      </c>
    </row>
    <row r="3243" spans="1:5" x14ac:dyDescent="0.25">
      <c r="A3243" t="str">
        <f>HYPERLINK("https://www.773grp.com/globalSearch/NL17SZ32XV5T2G/page-1", "NL17SZ32XV5T2G")</f>
        <v>NL17SZ32XV5T2G</v>
      </c>
      <c r="B3243" s="3" t="str">
        <f>HYPERLINK("https://www.773grp.com/manufacturer/onsemi?pageNo=546", "Onsemi")</f>
        <v>Onsemi</v>
      </c>
      <c r="C3243" s="6">
        <v>422391</v>
      </c>
      <c r="D3243" s="7">
        <v>0.48</v>
      </c>
      <c r="E3243" t="s">
        <v>27</v>
      </c>
    </row>
    <row r="3244" spans="1:5" x14ac:dyDescent="0.25">
      <c r="A3244" t="str">
        <f>HYPERLINK("https://www.773grp.com/globalSearch/NL17SZU04XV5T2G/page-1", "NL17SZU04XV5T2G")</f>
        <v>NL17SZU04XV5T2G</v>
      </c>
      <c r="B3244" s="3" t="str">
        <f>HYPERLINK("https://www.773grp.com/manufacturer/onsemi?pageNo=547", "Onsemi")</f>
        <v>Onsemi</v>
      </c>
      <c r="C3244" s="6">
        <v>35594</v>
      </c>
      <c r="D3244" s="7">
        <v>0.48</v>
      </c>
    </row>
    <row r="3245" spans="1:5" x14ac:dyDescent="0.25">
      <c r="A3245" t="str">
        <f>HYPERLINK("https://www.773grp.com/globalSearch/NL17VHC1G07DTT1G/page-1", "NL17VHC1G07DTT1G")</f>
        <v>NL17VHC1G07DTT1G</v>
      </c>
      <c r="B3245" s="3" t="str">
        <f>HYPERLINK("https://www.773grp.com/manufacturer/onsemi?pageNo=548", "Onsemi")</f>
        <v>Onsemi</v>
      </c>
      <c r="C3245" s="6">
        <v>63000</v>
      </c>
      <c r="D3245" s="7">
        <v>0.48</v>
      </c>
    </row>
    <row r="3246" spans="1:5" x14ac:dyDescent="0.25">
      <c r="A3246" t="str">
        <f>HYPERLINK("https://www.773grp.com/globalSearch/NL17VHC1GT50DF1G/page-1", "NL17VHC1GT50DF1G")</f>
        <v>NL17VHC1GT50DF1G</v>
      </c>
      <c r="B3246" s="3" t="str">
        <f>HYPERLINK("https://www.773grp.com/manufacturer/onsemi?pageNo=549", "Onsemi")</f>
        <v>Onsemi</v>
      </c>
      <c r="C3246" s="6">
        <v>180000</v>
      </c>
      <c r="D3246" s="7">
        <v>0.48</v>
      </c>
    </row>
    <row r="3247" spans="1:5" x14ac:dyDescent="0.25">
      <c r="A3247" t="str">
        <f>HYPERLINK("https://www.773grp.com/globalSearch/NL37WZ04US/page-1", "NL37WZ04US")</f>
        <v>NL37WZ04US</v>
      </c>
      <c r="B3247" s="3" t="str">
        <f>HYPERLINK("https://www.773grp.com/manufacturer/onsemi?pageNo=550", "Onsemi")</f>
        <v>Onsemi</v>
      </c>
      <c r="C3247" s="6">
        <v>128825</v>
      </c>
      <c r="D3247" s="7">
        <v>0.48</v>
      </c>
      <c r="E3247" t="s">
        <v>27</v>
      </c>
    </row>
    <row r="3248" spans="1:5" x14ac:dyDescent="0.25">
      <c r="A3248" t="str">
        <f>HYPERLINK("https://www.773grp.com/globalSearch/NL37WZ06US/page-1", "NL37WZ06US")</f>
        <v>NL37WZ06US</v>
      </c>
      <c r="B3248" s="3" t="str">
        <f>HYPERLINK("https://www.773grp.com/manufacturer/onsemi?pageNo=551", "Onsemi")</f>
        <v>Onsemi</v>
      </c>
      <c r="C3248" s="6">
        <v>8778</v>
      </c>
      <c r="D3248" s="7">
        <v>0.48</v>
      </c>
      <c r="E3248" t="s">
        <v>27</v>
      </c>
    </row>
    <row r="3249" spans="1:5" x14ac:dyDescent="0.25">
      <c r="A3249" t="str">
        <f>HYPERLINK("https://www.773grp.com/globalSearch/NL37WZ07US/page-1", "NL37WZ07US")</f>
        <v>NL37WZ07US</v>
      </c>
      <c r="B3249" s="3" t="str">
        <f>HYPERLINK("https://www.773grp.com/manufacturer/onsemi?pageNo=552", "Onsemi")</f>
        <v>Onsemi</v>
      </c>
      <c r="C3249" s="6">
        <v>278845</v>
      </c>
      <c r="D3249" s="7">
        <v>0.48</v>
      </c>
      <c r="E3249" t="s">
        <v>27</v>
      </c>
    </row>
    <row r="3250" spans="1:5" x14ac:dyDescent="0.25">
      <c r="A3250" t="str">
        <f>HYPERLINK("https://www.773grp.com/globalSearch/NL37WZ14US/page-1", "NL37WZ14US")</f>
        <v>NL37WZ14US</v>
      </c>
      <c r="B3250" s="3" t="str">
        <f>HYPERLINK("https://www.773grp.com/manufacturer/onsemi?pageNo=553", "Onsemi")</f>
        <v>Onsemi</v>
      </c>
      <c r="C3250" s="6">
        <v>377349</v>
      </c>
      <c r="D3250" s="7">
        <v>0.48</v>
      </c>
      <c r="E3250" t="s">
        <v>27</v>
      </c>
    </row>
    <row r="3251" spans="1:5" x14ac:dyDescent="0.25">
      <c r="A3251" t="str">
        <f>HYPERLINK("https://www.773grp.com/globalSearch/NL37WZ16US/page-1", "NL37WZ16US")</f>
        <v>NL37WZ16US</v>
      </c>
      <c r="B3251" s="3" t="str">
        <f>HYPERLINK("https://www.773grp.com/manufacturer/onsemi?pageNo=554", "Onsemi")</f>
        <v>Onsemi</v>
      </c>
      <c r="C3251" s="6">
        <v>622</v>
      </c>
      <c r="D3251" s="7">
        <v>0.48</v>
      </c>
      <c r="E3251" t="s">
        <v>27</v>
      </c>
    </row>
    <row r="3252" spans="1:5" x14ac:dyDescent="0.25">
      <c r="A3252" t="str">
        <f>HYPERLINK("https://www.773grp.com/globalSearch/NL37WZ17US/page-1", "NL37WZ17US")</f>
        <v>NL37WZ17US</v>
      </c>
      <c r="B3252" s="3" t="str">
        <f>HYPERLINK("https://www.773grp.com/manufacturer/onsemi?pageNo=555", "Onsemi")</f>
        <v>Onsemi</v>
      </c>
      <c r="C3252" s="6">
        <v>14773</v>
      </c>
      <c r="D3252" s="7">
        <v>0.48</v>
      </c>
      <c r="E3252" t="s">
        <v>27</v>
      </c>
    </row>
    <row r="3253" spans="1:5" x14ac:dyDescent="0.25">
      <c r="A3253" t="str">
        <f>HYPERLINK("https://www.773grp.com/globalSearch/NL7WB66US/page-1", "NL7WB66US")</f>
        <v>NL7WB66US</v>
      </c>
      <c r="B3253" s="3" t="str">
        <f>HYPERLINK("https://www.773grp.com/manufacturer/onsemi?pageNo=556", "Onsemi")</f>
        <v>Onsemi</v>
      </c>
      <c r="C3253" s="6">
        <v>165122</v>
      </c>
      <c r="D3253" s="7">
        <v>0.48</v>
      </c>
      <c r="E3253" t="s">
        <v>46</v>
      </c>
    </row>
    <row r="3254" spans="1:5" x14ac:dyDescent="0.25">
      <c r="A3254" t="str">
        <f>HYPERLINK("https://www.773grp.com/globalSearch/NLU3G14CMX1TCG/page-1", "NLU3G14CMX1TCG")</f>
        <v>NLU3G14CMX1TCG</v>
      </c>
      <c r="B3254" s="3" t="str">
        <f>HYPERLINK("https://www.773grp.com/manufacturer/onsemi?pageNo=557", "Onsemi")</f>
        <v>Onsemi</v>
      </c>
      <c r="C3254" s="6">
        <v>87000</v>
      </c>
      <c r="D3254" s="7">
        <v>0.48</v>
      </c>
      <c r="E3254" t="s">
        <v>27</v>
      </c>
    </row>
    <row r="3255" spans="1:5" x14ac:dyDescent="0.25">
      <c r="A3255" t="str">
        <f>HYPERLINK("https://www.773grp.com/globalSearch/NLU3G16CMX1TCG/page-1", "NLU3G16CMX1TCG")</f>
        <v>NLU3G16CMX1TCG</v>
      </c>
      <c r="B3255" s="3" t="str">
        <f>HYPERLINK("https://www.773grp.com/manufacturer/onsemi?pageNo=558", "Onsemi")</f>
        <v>Onsemi</v>
      </c>
      <c r="C3255" s="6">
        <v>80990</v>
      </c>
      <c r="D3255" s="7">
        <v>0.48</v>
      </c>
      <c r="E3255" t="s">
        <v>27</v>
      </c>
    </row>
    <row r="3256" spans="1:5" x14ac:dyDescent="0.25">
      <c r="A3256" t="str">
        <f>HYPERLINK("https://www.773grp.com/globalSearch/NLU3G17CMX1TCG/page-1", "NLU3G17CMX1TCG")</f>
        <v>NLU3G17CMX1TCG</v>
      </c>
      <c r="B3256" s="3" t="str">
        <f>HYPERLINK("https://www.773grp.com/manufacturer/onsemi?pageNo=559", "Onsemi")</f>
        <v>Onsemi</v>
      </c>
      <c r="C3256" s="6">
        <v>90000</v>
      </c>
      <c r="D3256" s="7">
        <v>0.48</v>
      </c>
      <c r="E3256" t="s">
        <v>27</v>
      </c>
    </row>
    <row r="3257" spans="1:5" x14ac:dyDescent="0.25">
      <c r="A3257" t="str">
        <f>HYPERLINK("https://www.773grp.com/globalSearch/NLVVHC1G04DFT1G/page-1", "NLVVHC1G04DFT1G")</f>
        <v>NLVVHC1G04DFT1G</v>
      </c>
      <c r="B3257" s="3" t="str">
        <f>HYPERLINK("https://www.773grp.com/manufacturer/onsemi?pageNo=560", "Onsemi")</f>
        <v>Onsemi</v>
      </c>
      <c r="C3257" s="6">
        <v>63000</v>
      </c>
      <c r="D3257" s="7">
        <v>0.48</v>
      </c>
    </row>
    <row r="3258" spans="1:5" x14ac:dyDescent="0.25">
      <c r="A3258" t="str">
        <f>HYPERLINK("https://www.773grp.com/globalSearch/NLVVHC1G05DFT2G/page-1", "NLVVHC1G05DFT2G")</f>
        <v>NLVVHC1G05DFT2G</v>
      </c>
      <c r="B3258" s="3" t="str">
        <f>HYPERLINK("https://www.773grp.com/manufacturer/onsemi?pageNo=561", "Onsemi")</f>
        <v>Onsemi</v>
      </c>
      <c r="C3258" s="6">
        <v>75000</v>
      </c>
      <c r="D3258" s="7">
        <v>0.48</v>
      </c>
    </row>
    <row r="3259" spans="1:5" x14ac:dyDescent="0.25">
      <c r="A3259" t="str">
        <f>HYPERLINK("https://www.773grp.com/globalSearch/NLVVHC1GT04DFT2/page-1", "NLVVHC1GT04DFT2")</f>
        <v>NLVVHC1GT04DFT2</v>
      </c>
      <c r="B3259" s="3" t="str">
        <f>HYPERLINK("https://www.773grp.com/manufacturer/onsemi?pageNo=562", "Onsemi")</f>
        <v>Onsemi</v>
      </c>
      <c r="C3259" s="6">
        <v>84000</v>
      </c>
      <c r="D3259" s="7">
        <v>0.48</v>
      </c>
    </row>
    <row r="3260" spans="1:5" x14ac:dyDescent="0.25">
      <c r="A3260" t="str">
        <f>HYPERLINK("https://www.773grp.com/globalSearch/NLVVHC1GT14DFT1G/page-1", "NLVVHC1GT14DFT1G")</f>
        <v>NLVVHC1GT14DFT1G</v>
      </c>
      <c r="B3260" s="3" t="str">
        <f>HYPERLINK("https://www.773grp.com/manufacturer/onsemi?pageNo=563", "Onsemi")</f>
        <v>Onsemi</v>
      </c>
      <c r="C3260" s="6">
        <v>6000</v>
      </c>
      <c r="D3260" s="7">
        <v>0.48</v>
      </c>
    </row>
    <row r="3261" spans="1:5" x14ac:dyDescent="0.25">
      <c r="A3261" t="str">
        <f>HYPERLINK("https://www.773grp.com/globalSearch/NLVVHC1GT32DFT1G/page-1", "NLVVHC1GT32DFT1G")</f>
        <v>NLVVHC1GT32DFT1G</v>
      </c>
      <c r="B3261" s="3" t="str">
        <f>HYPERLINK("https://www.773grp.com/manufacturer/onsemi?pageNo=564", "Onsemi")</f>
        <v>Onsemi</v>
      </c>
      <c r="C3261" s="6">
        <v>18000</v>
      </c>
      <c r="D3261" s="7">
        <v>0.48</v>
      </c>
    </row>
    <row r="3262" spans="1:5" x14ac:dyDescent="0.25">
      <c r="A3262" t="str">
        <f>HYPERLINK("https://www.773grp.com/globalSearch/NLX1G99AMX1TCG/page-1", "NLX1G99AMX1TCG")</f>
        <v>NLX1G99AMX1TCG</v>
      </c>
      <c r="B3262" s="3" t="str">
        <f>HYPERLINK("https://www.773grp.com/manufacturer/onsemi?pageNo=565", "Onsemi")</f>
        <v>Onsemi</v>
      </c>
      <c r="C3262" s="6">
        <v>27000</v>
      </c>
      <c r="D3262" s="7">
        <v>0.48</v>
      </c>
      <c r="E3262" t="s">
        <v>68</v>
      </c>
    </row>
    <row r="3263" spans="1:5" x14ac:dyDescent="0.25">
      <c r="A3263" t="str">
        <f>HYPERLINK("https://www.773grp.com/globalSearch/NLX3G14CMX1TCG/page-1", "NLX3G14CMX1TCG")</f>
        <v>NLX3G14CMX1TCG</v>
      </c>
      <c r="B3263" s="3" t="str">
        <f>HYPERLINK("https://www.773grp.com/manufacturer/onsemi?pageNo=566", "Onsemi")</f>
        <v>Onsemi</v>
      </c>
      <c r="C3263" s="6">
        <v>81000</v>
      </c>
      <c r="D3263" s="7">
        <v>0.48</v>
      </c>
      <c r="E3263" t="s">
        <v>27</v>
      </c>
    </row>
    <row r="3264" spans="1:5" x14ac:dyDescent="0.25">
      <c r="A3264" t="str">
        <f>HYPERLINK("https://www.773grp.com/globalSearch/NLX3G16CMX1TCG/page-1", "NLX3G16CMX1TCG")</f>
        <v>NLX3G16CMX1TCG</v>
      </c>
      <c r="B3264" s="3" t="str">
        <f>HYPERLINK("https://www.773grp.com/manufacturer/onsemi?pageNo=567", "Onsemi")</f>
        <v>Onsemi</v>
      </c>
      <c r="C3264" s="6">
        <v>18000</v>
      </c>
      <c r="D3264" s="7">
        <v>0.48</v>
      </c>
      <c r="E3264" t="s">
        <v>27</v>
      </c>
    </row>
    <row r="3265" spans="1:5" x14ac:dyDescent="0.25">
      <c r="A3265" t="str">
        <f>HYPERLINK("https://www.773grp.com/globalSearch/NLX3G17CMX1TCG/page-1", "NLX3G17CMX1TCG")</f>
        <v>NLX3G17CMX1TCG</v>
      </c>
      <c r="B3265" s="3" t="str">
        <f>HYPERLINK("https://www.773grp.com/manufacturer/onsemi?pageNo=568", "Onsemi")</f>
        <v>Onsemi</v>
      </c>
      <c r="C3265" s="6">
        <v>90000</v>
      </c>
      <c r="D3265" s="7">
        <v>0.48</v>
      </c>
      <c r="E3265" t="s">
        <v>27</v>
      </c>
    </row>
    <row r="3266" spans="1:5" x14ac:dyDescent="0.25">
      <c r="A3266" t="str">
        <f>HYPERLINK("https://www.773grp.com/globalSearch/NSI45025AT1G/page-1", "NSI45025AT1G")</f>
        <v>NSI45025AT1G</v>
      </c>
      <c r="B3266" s="3" t="str">
        <f>HYPERLINK("https://www.773grp.com/manufacturer/onsemi?pageNo=569", "Onsemi")</f>
        <v>Onsemi</v>
      </c>
      <c r="C3266" s="6">
        <v>229</v>
      </c>
      <c r="D3266" s="7">
        <v>0.48</v>
      </c>
    </row>
    <row r="3267" spans="1:5" x14ac:dyDescent="0.25">
      <c r="A3267" t="str">
        <f>HYPERLINK("https://www.773grp.com/globalSearch/NSI45030AT1G/page-1", "NSI45030AT1G")</f>
        <v>NSI45030AT1G</v>
      </c>
      <c r="B3267" s="3" t="str">
        <f>HYPERLINK("https://www.773grp.com/manufacturer/onsemi?pageNo=570", "Onsemi")</f>
        <v>Onsemi</v>
      </c>
      <c r="C3267" s="6">
        <v>17340</v>
      </c>
      <c r="D3267" s="7">
        <v>0.48</v>
      </c>
      <c r="E3267" t="s">
        <v>7</v>
      </c>
    </row>
    <row r="3268" spans="1:5" x14ac:dyDescent="0.25">
      <c r="A3268" t="str">
        <f>HYPERLINK("https://www.773grp.com/globalSearch/NSR20F20NXT5G/page-1", "NSR20F20NXT5G")</f>
        <v>NSR20F20NXT5G</v>
      </c>
      <c r="B3268" s="3" t="str">
        <f>HYPERLINK("https://www.773grp.com/manufacturer/onsemi?pageNo=571", "Onsemi")</f>
        <v>Onsemi</v>
      </c>
      <c r="C3268" s="6">
        <v>2520</v>
      </c>
      <c r="D3268" s="7">
        <v>0.48</v>
      </c>
      <c r="E3268" t="s">
        <v>82</v>
      </c>
    </row>
    <row r="3269" spans="1:5" x14ac:dyDescent="0.25">
      <c r="A3269" t="str">
        <f>HYPERLINK("https://www.773grp.com/globalSearch/NSR20F30NXT5G/page-1", "NSR20F30NXT5G")</f>
        <v>NSR20F30NXT5G</v>
      </c>
      <c r="B3269" s="3" t="str">
        <f>HYPERLINK("https://www.773grp.com/manufacturer/onsemi?pageNo=572", "Onsemi")</f>
        <v>Onsemi</v>
      </c>
      <c r="C3269" s="6">
        <v>1</v>
      </c>
      <c r="D3269" s="7">
        <v>0.48</v>
      </c>
      <c r="E3269" t="s">
        <v>82</v>
      </c>
    </row>
    <row r="3270" spans="1:5" x14ac:dyDescent="0.25">
      <c r="A3270" t="str">
        <f>HYPERLINK("https://www.773grp.com/globalSearch/NSS20300MR6T1G/page-1", "NSS20300MR6T1G")</f>
        <v>NSS20300MR6T1G</v>
      </c>
      <c r="B3270" s="3" t="str">
        <f>HYPERLINK("https://www.773grp.com/manufacturer/onsemi?pageNo=573", "Onsemi")</f>
        <v>Onsemi</v>
      </c>
      <c r="C3270" s="6">
        <v>27000</v>
      </c>
      <c r="D3270" s="7">
        <v>0.48</v>
      </c>
      <c r="E3270" t="s">
        <v>47</v>
      </c>
    </row>
    <row r="3271" spans="1:5" x14ac:dyDescent="0.25">
      <c r="A3271" t="str">
        <f>HYPERLINK("https://www.773grp.com/globalSearch/NSS30071MR6T1G/page-1", "NSS30071MR6T1G")</f>
        <v>NSS30071MR6T1G</v>
      </c>
      <c r="B3271" s="3" t="str">
        <f>HYPERLINK("https://www.773grp.com/manufacturer/onsemi?pageNo=574", "Onsemi")</f>
        <v>Onsemi</v>
      </c>
      <c r="C3271" s="6">
        <v>299209</v>
      </c>
      <c r="D3271" s="7">
        <v>0.48</v>
      </c>
      <c r="E3271" t="s">
        <v>57</v>
      </c>
    </row>
    <row r="3272" spans="1:5" x14ac:dyDescent="0.25">
      <c r="A3272" t="str">
        <f>HYPERLINK("https://www.773grp.com/globalSearch/NTD14N03RG/page-1", "NTD14N03RG")</f>
        <v>NTD14N03RG</v>
      </c>
      <c r="B3272" s="3" t="str">
        <f>HYPERLINK("https://www.773grp.com/manufacturer/onsemi?pageNo=575", "Onsemi")</f>
        <v>Onsemi</v>
      </c>
      <c r="C3272" s="6">
        <v>1875</v>
      </c>
      <c r="D3272" s="7">
        <v>0.48</v>
      </c>
      <c r="E3272" t="s">
        <v>84</v>
      </c>
    </row>
    <row r="3273" spans="1:5" x14ac:dyDescent="0.25">
      <c r="A3273" t="str">
        <f>HYPERLINK("https://www.773grp.com/globalSearch/NTD23N03R-1G/page-1", "NTD23N03R-1G")</f>
        <v>NTD23N03R-1G</v>
      </c>
      <c r="B3273" s="3" t="str">
        <f>HYPERLINK("https://www.773grp.com/manufacturer/onsemi?pageNo=576", "Onsemi")</f>
        <v>Onsemi</v>
      </c>
      <c r="C3273" s="6">
        <v>13611</v>
      </c>
      <c r="D3273" s="7">
        <v>0.48</v>
      </c>
      <c r="E3273" t="s">
        <v>84</v>
      </c>
    </row>
    <row r="3274" spans="1:5" x14ac:dyDescent="0.25">
      <c r="A3274" t="str">
        <f>HYPERLINK("https://www.773grp.com/globalSearch/NTD40N03R-001/page-1", "NTD40N03R-001")</f>
        <v>NTD40N03R-001</v>
      </c>
      <c r="B3274" s="3" t="str">
        <f>HYPERLINK("https://www.773grp.com/manufacturer/onsemi?pageNo=577", "Onsemi")</f>
        <v>Onsemi</v>
      </c>
      <c r="C3274" s="6">
        <v>3540</v>
      </c>
      <c r="D3274" s="7">
        <v>0.48</v>
      </c>
    </row>
    <row r="3275" spans="1:5" x14ac:dyDescent="0.25">
      <c r="A3275" t="str">
        <f>HYPERLINK("https://www.773grp.com/globalSearch/NTD40N03RT4/page-1", "NTD40N03RT4")</f>
        <v>NTD40N03RT4</v>
      </c>
      <c r="B3275" s="3" t="str">
        <f>HYPERLINK("https://www.773grp.com/manufacturer/onsemi?pageNo=578", "Onsemi")</f>
        <v>Onsemi</v>
      </c>
      <c r="C3275" s="6">
        <v>12911</v>
      </c>
      <c r="D3275" s="7">
        <v>0.48</v>
      </c>
      <c r="E3275" t="s">
        <v>84</v>
      </c>
    </row>
    <row r="3276" spans="1:5" x14ac:dyDescent="0.25">
      <c r="A3276" t="str">
        <f>HYPERLINK("https://www.773grp.com/globalSearch/NTD60N02R-001/page-1", "NTD60N02R-001")</f>
        <v>NTD60N02R-001</v>
      </c>
      <c r="B3276" s="3" t="str">
        <f>HYPERLINK("https://www.773grp.com/manufacturer/onsemi?pageNo=579", "Onsemi")</f>
        <v>Onsemi</v>
      </c>
      <c r="C3276" s="6">
        <v>152772</v>
      </c>
      <c r="D3276" s="7">
        <v>0.48</v>
      </c>
      <c r="E3276" t="s">
        <v>84</v>
      </c>
    </row>
    <row r="3277" spans="1:5" x14ac:dyDescent="0.25">
      <c r="A3277" t="str">
        <f>HYPERLINK("https://www.773grp.com/globalSearch/NTD60N02RT4/page-1", "NTD60N02RT4")</f>
        <v>NTD60N02RT4</v>
      </c>
      <c r="B3277" s="3" t="str">
        <f>HYPERLINK("https://www.773grp.com/manufacturer/onsemi?pageNo=580", "Onsemi")</f>
        <v>Onsemi</v>
      </c>
      <c r="C3277" s="6">
        <v>8421</v>
      </c>
      <c r="D3277" s="7">
        <v>0.48</v>
      </c>
      <c r="E3277" t="s">
        <v>84</v>
      </c>
    </row>
    <row r="3278" spans="1:5" x14ac:dyDescent="0.25">
      <c r="A3278" t="str">
        <f>HYPERLINK("https://www.773grp.com/globalSearch/NTE4153NT1G/page-1", "NTE4153NT1G")</f>
        <v>NTE4153NT1G</v>
      </c>
      <c r="B3278" s="3" t="str">
        <f>HYPERLINK("https://www.773grp.com/manufacturer/onsemi?pageNo=581", "Onsemi")</f>
        <v>Onsemi</v>
      </c>
      <c r="C3278" s="6">
        <v>172700</v>
      </c>
      <c r="D3278" s="7">
        <v>0.48</v>
      </c>
      <c r="E3278" t="s">
        <v>85</v>
      </c>
    </row>
    <row r="3279" spans="1:5" x14ac:dyDescent="0.25">
      <c r="A3279" t="str">
        <f>HYPERLINK("https://www.773grp.com/globalSearch/NTHD4401PT1/page-1", "NTHD4401PT1")</f>
        <v>NTHD4401PT1</v>
      </c>
      <c r="B3279" s="3" t="str">
        <f>HYPERLINK("https://www.773grp.com/manufacturer/onsemi?pageNo=582", "Onsemi")</f>
        <v>Onsemi</v>
      </c>
      <c r="C3279" s="6">
        <v>3000</v>
      </c>
      <c r="D3279" s="7">
        <v>0.48</v>
      </c>
      <c r="E3279" t="s">
        <v>85</v>
      </c>
    </row>
    <row r="3280" spans="1:5" x14ac:dyDescent="0.25">
      <c r="A3280" t="str">
        <f>HYPERLINK("https://www.773grp.com/globalSearch/NTHD4508NT1/page-1", "NTHD4508NT1")</f>
        <v>NTHD4508NT1</v>
      </c>
      <c r="B3280" s="3" t="str">
        <f>HYPERLINK("https://www.773grp.com/manufacturer/onsemi?pageNo=583", "Onsemi")</f>
        <v>Onsemi</v>
      </c>
      <c r="C3280" s="6">
        <v>5895</v>
      </c>
      <c r="D3280" s="7">
        <v>0.48</v>
      </c>
      <c r="E3280" t="s">
        <v>84</v>
      </c>
    </row>
    <row r="3281" spans="1:5" x14ac:dyDescent="0.25">
      <c r="A3281" t="str">
        <f>HYPERLINK("https://www.773grp.com/globalSearch/NTHS5443T1/page-1", "NTHS5443T1")</f>
        <v>NTHS5443T1</v>
      </c>
      <c r="B3281" s="3" t="str">
        <f>HYPERLINK("https://www.773grp.com/manufacturer/onsemi?pageNo=584", "Onsemi")</f>
        <v>Onsemi</v>
      </c>
      <c r="C3281" s="6">
        <v>5994</v>
      </c>
      <c r="D3281" s="7">
        <v>0.48</v>
      </c>
      <c r="E3281" t="s">
        <v>85</v>
      </c>
    </row>
    <row r="3282" spans="1:5" x14ac:dyDescent="0.25">
      <c r="A3282" t="str">
        <f>HYPERLINK("https://www.773grp.com/globalSearch/NTMFS4921NT1G/page-1", "NTMFS4921NT1G")</f>
        <v>NTMFS4921NT1G</v>
      </c>
      <c r="B3282" s="3" t="str">
        <f>HYPERLINK("https://www.773grp.com/manufacturer/onsemi?pageNo=585", "Onsemi")</f>
        <v>Onsemi</v>
      </c>
      <c r="C3282" s="6">
        <v>253154</v>
      </c>
      <c r="D3282" s="7">
        <v>0.48</v>
      </c>
      <c r="E3282" t="s">
        <v>85</v>
      </c>
    </row>
    <row r="3283" spans="1:5" x14ac:dyDescent="0.25">
      <c r="A3283" t="str">
        <f>HYPERLINK("https://www.773grp.com/globalSearch/NTR2101PT1G/page-1", "NTR2101PT1G")</f>
        <v>NTR2101PT1G</v>
      </c>
      <c r="B3283" s="3" t="str">
        <f>HYPERLINK("https://www.773grp.com/manufacturer/onsemi?pageNo=586", "Onsemi")</f>
        <v>Onsemi</v>
      </c>
      <c r="C3283" s="6">
        <v>68413</v>
      </c>
      <c r="D3283" s="7">
        <v>0.48</v>
      </c>
      <c r="E3283" t="s">
        <v>85</v>
      </c>
    </row>
    <row r="3284" spans="1:5" x14ac:dyDescent="0.25">
      <c r="A3284" t="str">
        <f>HYPERLINK("https://www.773grp.com/globalSearch/NTR4101PT1G/page-1", "NTR4101PT1G")</f>
        <v>NTR4101PT1G</v>
      </c>
      <c r="B3284" s="3" t="str">
        <f>HYPERLINK("https://www.773grp.com/manufacturer/onsemi?pageNo=587", "Onsemi")</f>
        <v>Onsemi</v>
      </c>
      <c r="C3284" s="6">
        <v>134650</v>
      </c>
      <c r="D3284" s="7">
        <v>0.48</v>
      </c>
      <c r="E3284" t="s">
        <v>85</v>
      </c>
    </row>
    <row r="3285" spans="1:5" x14ac:dyDescent="0.25">
      <c r="A3285" t="str">
        <f>HYPERLINK("https://www.773grp.com/globalSearch/NUF6401MNT1G/page-1", "NUF6401MNT1G")</f>
        <v>NUF6401MNT1G</v>
      </c>
      <c r="B3285" s="3" t="str">
        <f>HYPERLINK("https://www.773grp.com/manufacturer/onsemi?pageNo=588", "Onsemi")</f>
        <v>Onsemi</v>
      </c>
      <c r="C3285" s="6">
        <v>1035531</v>
      </c>
      <c r="D3285" s="7">
        <v>0.48</v>
      </c>
      <c r="E3285" t="s">
        <v>79</v>
      </c>
    </row>
    <row r="3286" spans="1:5" x14ac:dyDescent="0.25">
      <c r="A3286" t="str">
        <f>HYPERLINK("https://www.773grp.com/globalSearch/NUP2114UCMR6T1G/page-1", "NUP2114UCMR6T1G")</f>
        <v>NUP2114UCMR6T1G</v>
      </c>
      <c r="B3286" s="3" t="str">
        <f>HYPERLINK("https://www.773grp.com/manufacturer/onsemi?pageNo=589", "Onsemi")</f>
        <v>Onsemi</v>
      </c>
      <c r="C3286" s="6">
        <v>21000</v>
      </c>
      <c r="D3286" s="7">
        <v>0.48</v>
      </c>
      <c r="E3286" t="s">
        <v>75</v>
      </c>
    </row>
    <row r="3287" spans="1:5" x14ac:dyDescent="0.25">
      <c r="A3287" t="str">
        <f>HYPERLINK("https://www.773grp.com/globalSearch/NUP2301MW6T1/page-1", "NUP2301MW6T1")</f>
        <v>NUP2301MW6T1</v>
      </c>
      <c r="B3287" s="3" t="str">
        <f>HYPERLINK("https://www.773grp.com/manufacturer/onsemi?pageNo=590", "Onsemi")</f>
        <v>Onsemi</v>
      </c>
      <c r="C3287" s="6">
        <v>54824</v>
      </c>
      <c r="D3287" s="7">
        <v>0.48</v>
      </c>
      <c r="E3287" t="s">
        <v>75</v>
      </c>
    </row>
    <row r="3288" spans="1:5" x14ac:dyDescent="0.25">
      <c r="A3288" t="str">
        <f>HYPERLINK("https://www.773grp.com/globalSearch/NVR1P02T1G/page-1", "NVR1P02T1G")</f>
        <v>NVR1P02T1G</v>
      </c>
      <c r="B3288" s="3" t="str">
        <f>HYPERLINK("https://www.773grp.com/manufacturer/onsemi?pageNo=591", "Onsemi")</f>
        <v>Onsemi</v>
      </c>
      <c r="C3288" s="6">
        <v>6000</v>
      </c>
      <c r="D3288" s="7">
        <v>0.48</v>
      </c>
    </row>
    <row r="3289" spans="1:5" x14ac:dyDescent="0.25">
      <c r="A3289" t="str">
        <f>HYPERLINK("https://www.773grp.com/globalSearch/NYC008-6JRLRAG/page-1", "NYC008-6JRLRAG")</f>
        <v>NYC008-6JRLRAG</v>
      </c>
      <c r="B3289" s="3" t="str">
        <f>HYPERLINK("https://www.773grp.com/manufacturer/onsemi?pageNo=592", "Onsemi")</f>
        <v>Onsemi</v>
      </c>
      <c r="C3289" s="6">
        <v>10000</v>
      </c>
      <c r="D3289" s="7">
        <v>0.48</v>
      </c>
      <c r="E3289" t="s">
        <v>76</v>
      </c>
    </row>
    <row r="3290" spans="1:5" x14ac:dyDescent="0.25">
      <c r="A3290" t="str">
        <f>HYPERLINK("https://www.773grp.com/globalSearch/NYC008-6JRLREG/page-1", "NYC008-6JRLREG")</f>
        <v>NYC008-6JRLREG</v>
      </c>
      <c r="B3290" s="3" t="str">
        <f>HYPERLINK("https://www.773grp.com/manufacturer/onsemi?pageNo=593", "Onsemi")</f>
        <v>Onsemi</v>
      </c>
      <c r="C3290" s="6">
        <v>10000</v>
      </c>
      <c r="D3290" s="7">
        <v>0.48</v>
      </c>
      <c r="E3290" t="s">
        <v>76</v>
      </c>
    </row>
    <row r="3291" spans="1:5" x14ac:dyDescent="0.25">
      <c r="A3291" t="str">
        <f>HYPERLINK("https://www.773grp.com/globalSearch/P6KE100ARLG/page-1", "P6KE100ARLG")</f>
        <v>P6KE100ARLG</v>
      </c>
      <c r="B3291" s="3" t="str">
        <f>HYPERLINK("https://www.773grp.com/manufacturer/onsemi?pageNo=594", "Onsemi")</f>
        <v>Onsemi</v>
      </c>
      <c r="C3291" s="6">
        <v>11300</v>
      </c>
      <c r="D3291" s="7">
        <v>0.48</v>
      </c>
      <c r="E3291" t="s">
        <v>75</v>
      </c>
    </row>
    <row r="3292" spans="1:5" x14ac:dyDescent="0.25">
      <c r="A3292" t="str">
        <f>HYPERLINK("https://www.773grp.com/globalSearch/P6KE180ARLG/page-1", "P6KE180ARLG")</f>
        <v>P6KE180ARLG</v>
      </c>
      <c r="B3292" s="3" t="str">
        <f>HYPERLINK("https://www.773grp.com/manufacturer/onsemi?pageNo=595", "Onsemi")</f>
        <v>Onsemi</v>
      </c>
      <c r="C3292" s="6">
        <v>43046</v>
      </c>
      <c r="D3292" s="7">
        <v>0.48</v>
      </c>
      <c r="E3292" t="s">
        <v>75</v>
      </c>
    </row>
    <row r="3293" spans="1:5" x14ac:dyDescent="0.25">
      <c r="A3293" t="str">
        <f>HYPERLINK("https://www.773grp.com/globalSearch/P6SMB10AT3/page-1", "P6SMB10AT3")</f>
        <v>P6SMB10AT3</v>
      </c>
      <c r="B3293" s="3" t="str">
        <f>HYPERLINK("https://www.773grp.com/manufacturer/onsemi?pageNo=596", "Onsemi")</f>
        <v>Onsemi</v>
      </c>
      <c r="C3293" s="6">
        <v>10000</v>
      </c>
      <c r="D3293" s="7">
        <v>0.48</v>
      </c>
      <c r="E3293" t="s">
        <v>75</v>
      </c>
    </row>
    <row r="3294" spans="1:5" x14ac:dyDescent="0.25">
      <c r="A3294" t="str">
        <f>HYPERLINK("https://www.773grp.com/globalSearch/P6SMB15AT3/page-1", "P6SMB15AT3")</f>
        <v>P6SMB15AT3</v>
      </c>
      <c r="B3294" s="3" t="str">
        <f>HYPERLINK("https://www.773grp.com/manufacturer/onsemi?pageNo=597", "Onsemi")</f>
        <v>Onsemi</v>
      </c>
      <c r="C3294" s="6">
        <v>2500</v>
      </c>
      <c r="D3294" s="7">
        <v>0.48</v>
      </c>
      <c r="E3294" t="s">
        <v>75</v>
      </c>
    </row>
    <row r="3295" spans="1:5" x14ac:dyDescent="0.25">
      <c r="A3295" t="str">
        <f>HYPERLINK("https://www.773grp.com/globalSearch/P6SMB24AT3/page-1", "P6SMB24AT3")</f>
        <v>P6SMB24AT3</v>
      </c>
      <c r="B3295" s="3" t="str">
        <f>HYPERLINK("https://www.773grp.com/manufacturer/onsemi?pageNo=598", "Onsemi")</f>
        <v>Onsemi</v>
      </c>
      <c r="C3295" s="6">
        <v>2500</v>
      </c>
      <c r="D3295" s="7">
        <v>0.48</v>
      </c>
      <c r="E3295" t="s">
        <v>75</v>
      </c>
    </row>
    <row r="3296" spans="1:5" x14ac:dyDescent="0.25">
      <c r="A3296" t="str">
        <f>HYPERLINK("https://www.773grp.com/globalSearch/P6SMB39AT3/page-1", "P6SMB39AT3")</f>
        <v>P6SMB39AT3</v>
      </c>
      <c r="B3296" s="3" t="str">
        <f>HYPERLINK("https://www.773grp.com/manufacturer/onsemi?pageNo=599", "Onsemi")</f>
        <v>Onsemi</v>
      </c>
      <c r="C3296" s="6">
        <v>212500</v>
      </c>
      <c r="D3296" s="7">
        <v>0.48</v>
      </c>
      <c r="E3296" t="s">
        <v>75</v>
      </c>
    </row>
    <row r="3297" spans="1:5" x14ac:dyDescent="0.25">
      <c r="A3297" t="str">
        <f>HYPERLINK("https://www.773grp.com/globalSearch/P6SMB51AT3/page-1", "P6SMB51AT3")</f>
        <v>P6SMB51AT3</v>
      </c>
      <c r="B3297" s="3" t="str">
        <f>HYPERLINK("https://www.773grp.com/manufacturer/onsemi?pageNo=600", "Onsemi")</f>
        <v>Onsemi</v>
      </c>
      <c r="C3297" s="6">
        <v>6687</v>
      </c>
      <c r="D3297" s="7">
        <v>0.48</v>
      </c>
      <c r="E3297" t="s">
        <v>75</v>
      </c>
    </row>
    <row r="3298" spans="1:5" x14ac:dyDescent="0.25">
      <c r="A3298" t="str">
        <f>HYPERLINK("https://www.773grp.com/globalSearch/P6SMB6.8AT3/page-1", "P6SMB6.8AT3")</f>
        <v>P6SMB6.8AT3</v>
      </c>
      <c r="B3298" s="3" t="str">
        <f>HYPERLINK("https://www.773grp.com/manufacturer/onsemi?pageNo=601", "Onsemi")</f>
        <v>Onsemi</v>
      </c>
      <c r="C3298" s="6">
        <v>37405</v>
      </c>
      <c r="D3298" s="7">
        <v>0.48</v>
      </c>
      <c r="E3298" t="s">
        <v>75</v>
      </c>
    </row>
    <row r="3299" spans="1:5" x14ac:dyDescent="0.25">
      <c r="A3299" t="str">
        <f>HYPERLINK("https://www.773grp.com/globalSearch/P6SMB62AT3/page-1", "P6SMB62AT3")</f>
        <v>P6SMB62AT3</v>
      </c>
      <c r="B3299" s="3" t="str">
        <f>HYPERLINK("https://www.773grp.com/manufacturer/onsemi?pageNo=602", "Onsemi")</f>
        <v>Onsemi</v>
      </c>
      <c r="C3299" s="6">
        <v>32500</v>
      </c>
      <c r="D3299" s="7">
        <v>0.48</v>
      </c>
      <c r="E3299" t="s">
        <v>75</v>
      </c>
    </row>
    <row r="3300" spans="1:5" x14ac:dyDescent="0.25">
      <c r="A3300" t="str">
        <f>HYPERLINK("https://www.773grp.com/globalSearch/P6SMB75AT3/page-1", "P6SMB75AT3")</f>
        <v>P6SMB75AT3</v>
      </c>
      <c r="B3300" s="3" t="str">
        <f>HYPERLINK("https://www.773grp.com/manufacturer/onsemi?pageNo=603", "Onsemi")</f>
        <v>Onsemi</v>
      </c>
      <c r="C3300" s="6">
        <v>10000</v>
      </c>
      <c r="D3300" s="7">
        <v>0.48</v>
      </c>
      <c r="E3300" t="s">
        <v>75</v>
      </c>
    </row>
    <row r="3301" spans="1:5" x14ac:dyDescent="0.25">
      <c r="A3301" t="str">
        <f>HYPERLINK("https://www.773grp.com/globalSearch/P6SMB9.1AT3/page-1", "P6SMB9.1AT3")</f>
        <v>P6SMB9.1AT3</v>
      </c>
      <c r="B3301" s="3" t="str">
        <f>HYPERLINK("https://www.773grp.com/manufacturer/onsemi?pageNo=604", "Onsemi")</f>
        <v>Onsemi</v>
      </c>
      <c r="C3301" s="6">
        <v>2500</v>
      </c>
      <c r="D3301" s="7">
        <v>0.48</v>
      </c>
      <c r="E3301" t="s">
        <v>75</v>
      </c>
    </row>
    <row r="3302" spans="1:5" x14ac:dyDescent="0.25">
      <c r="A3302" t="str">
        <f>HYPERLINK("https://www.773grp.com/globalSearch/PACDN042Y3R/page-1", "PACDN042Y3R")</f>
        <v>PACDN042Y3R</v>
      </c>
      <c r="B3302" s="3" t="str">
        <f>HYPERLINK("https://www.773grp.com/manufacturer/onsemi?pageNo=605", "Onsemi")</f>
        <v>Onsemi</v>
      </c>
      <c r="C3302" s="6">
        <v>192140</v>
      </c>
      <c r="D3302" s="7">
        <v>0.48</v>
      </c>
      <c r="E3302" t="s">
        <v>75</v>
      </c>
    </row>
    <row r="3303" spans="1:5" x14ac:dyDescent="0.25">
      <c r="A3303" t="str">
        <f>HYPERLINK("https://www.773grp.com/globalSearch/PZT2222AT1/page-1", "PZT2222AT1")</f>
        <v>PZT2222AT1</v>
      </c>
      <c r="B3303" s="3" t="str">
        <f>HYPERLINK("https://www.773grp.com/manufacturer/onsemi?pageNo=606", "Onsemi")</f>
        <v>Onsemi</v>
      </c>
      <c r="C3303" s="6">
        <v>139455</v>
      </c>
      <c r="D3303" s="7">
        <v>0.48</v>
      </c>
      <c r="E3303" t="s">
        <v>57</v>
      </c>
    </row>
    <row r="3304" spans="1:5" x14ac:dyDescent="0.25">
      <c r="A3304" t="str">
        <f>HYPERLINK("https://www.773grp.com/globalSearch/PZT3904T1/page-1", "PZT3904T1")</f>
        <v>PZT3904T1</v>
      </c>
      <c r="B3304" s="3" t="str">
        <f>HYPERLINK("https://www.773grp.com/manufacturer/onsemi?pageNo=607", "Onsemi")</f>
        <v>Onsemi</v>
      </c>
      <c r="C3304" s="6">
        <v>2785</v>
      </c>
      <c r="D3304" s="7">
        <v>0.48</v>
      </c>
      <c r="E3304" t="s">
        <v>57</v>
      </c>
    </row>
    <row r="3305" spans="1:5" x14ac:dyDescent="0.25">
      <c r="A3305" t="str">
        <f>HYPERLINK("https://www.773grp.com/globalSearch/SB07-03C-TB-H/page-1", "SB07-03C-TB-H")</f>
        <v>SB07-03C-TB-H</v>
      </c>
      <c r="B3305" s="3" t="str">
        <f>HYPERLINK("https://www.773grp.com/manufacturer/onsemi?pageNo=608", "Onsemi")</f>
        <v>Onsemi</v>
      </c>
      <c r="C3305" s="6">
        <v>3000</v>
      </c>
      <c r="D3305" s="7">
        <v>0.48</v>
      </c>
    </row>
    <row r="3306" spans="1:5" x14ac:dyDescent="0.25">
      <c r="A3306" t="str">
        <f>HYPERLINK("https://www.773grp.com/globalSearch/SBCP53T1G/page-1", "SBCP53T1G")</f>
        <v>SBCP53T1G</v>
      </c>
      <c r="B3306" s="3" t="str">
        <f>HYPERLINK("https://www.773grp.com/manufacturer/onsemi?pageNo=609", "Onsemi")</f>
        <v>Onsemi</v>
      </c>
      <c r="C3306" s="6">
        <v>52000</v>
      </c>
      <c r="D3306" s="7">
        <v>0.48</v>
      </c>
      <c r="E3306" t="s">
        <v>47</v>
      </c>
    </row>
    <row r="3307" spans="1:5" x14ac:dyDescent="0.25">
      <c r="A3307" t="str">
        <f>HYPERLINK("https://www.773grp.com/globalSearch/SBCP56-10T1G/page-1", "SBCP56-10T1G")</f>
        <v>SBCP56-10T1G</v>
      </c>
      <c r="B3307" s="3" t="str">
        <f>HYPERLINK("https://www.773grp.com/manufacturer/onsemi?pageNo=610", "Onsemi")</f>
        <v>Onsemi</v>
      </c>
      <c r="C3307" s="6">
        <v>91670</v>
      </c>
      <c r="D3307" s="7">
        <v>0.48</v>
      </c>
    </row>
    <row r="3308" spans="1:5" x14ac:dyDescent="0.25">
      <c r="A3308" t="str">
        <f>HYPERLINK("https://www.773grp.com/globalSearch/SBRA140T3/page-1", "SBRA140T3")</f>
        <v>SBRA140T3</v>
      </c>
      <c r="B3308" s="3" t="str">
        <f>HYPERLINK("https://www.773grp.com/manufacturer/onsemi?pageNo=611", "Onsemi")</f>
        <v>Onsemi</v>
      </c>
      <c r="C3308" s="6">
        <v>825000</v>
      </c>
      <c r="D3308" s="7">
        <v>0.48</v>
      </c>
    </row>
    <row r="3309" spans="1:5" x14ac:dyDescent="0.25">
      <c r="A3309" t="str">
        <f>HYPERLINK("https://www.773grp.com/globalSearch/SBRS5654T3/page-1", "SBRS5654T3")</f>
        <v>SBRS5654T3</v>
      </c>
      <c r="B3309" s="3" t="str">
        <f>HYPERLINK("https://www.773grp.com/manufacturer/onsemi?pageNo=612", "Onsemi")</f>
        <v>Onsemi</v>
      </c>
      <c r="C3309" s="6">
        <v>5000</v>
      </c>
      <c r="D3309" s="7">
        <v>0.48</v>
      </c>
    </row>
    <row r="3310" spans="1:5" x14ac:dyDescent="0.25">
      <c r="A3310" t="str">
        <f>HYPERLINK("https://www.773grp.com/globalSearch/SBZNUP2105LT1G/page-1", "SBZNUP2105LT1G")</f>
        <v>SBZNUP2105LT1G</v>
      </c>
      <c r="B3310" s="3" t="str">
        <f>HYPERLINK("https://www.773grp.com/manufacturer/onsemi?pageNo=613", "Onsemi")</f>
        <v>Onsemi</v>
      </c>
      <c r="C3310" s="6">
        <v>3000</v>
      </c>
      <c r="D3310" s="7">
        <v>0.48</v>
      </c>
    </row>
    <row r="3311" spans="1:5" x14ac:dyDescent="0.25">
      <c r="A3311" t="str">
        <f>HYPERLINK("https://www.773grp.com/globalSearch/SC14S66FEL/page-1", "SC14S66FEL")</f>
        <v>SC14S66FEL</v>
      </c>
      <c r="B3311" s="3" t="str">
        <f>HYPERLINK("https://www.773grp.com/manufacturer/onsemi?pageNo=614", "Onsemi")</f>
        <v>Onsemi</v>
      </c>
      <c r="C3311" s="6">
        <v>27000</v>
      </c>
      <c r="D3311" s="7">
        <v>0.48</v>
      </c>
    </row>
    <row r="3312" spans="1:5" x14ac:dyDescent="0.25">
      <c r="A3312" t="str">
        <f>HYPERLINK("https://www.773grp.com/globalSearch/SC14S66FER/page-1", "SC14S66FER")</f>
        <v>SC14S66FER</v>
      </c>
      <c r="B3312" s="3" t="str">
        <f>HYPERLINK("https://www.773grp.com/manufacturer/onsemi?pageNo=615", "Onsemi")</f>
        <v>Onsemi</v>
      </c>
      <c r="C3312" s="6">
        <v>54000</v>
      </c>
      <c r="D3312" s="7">
        <v>0.48</v>
      </c>
    </row>
    <row r="3313" spans="1:5" x14ac:dyDescent="0.25">
      <c r="A3313" t="str">
        <f>HYPERLINK("https://www.773grp.com/globalSearch/SC2901DR2/page-1", "SC2901DR2")</f>
        <v>SC2901DR2</v>
      </c>
      <c r="B3313" s="3" t="str">
        <f>HYPERLINK("https://www.773grp.com/manufacturer/onsemi?pageNo=616", "Onsemi")</f>
        <v>Onsemi</v>
      </c>
      <c r="C3313" s="6">
        <v>60000</v>
      </c>
      <c r="D3313" s="7">
        <v>0.48</v>
      </c>
    </row>
    <row r="3314" spans="1:5" x14ac:dyDescent="0.25">
      <c r="A3314" t="str">
        <f>HYPERLINK("https://www.773grp.com/globalSearch/SC78M09HT/page-1", "SC78M09HT")</f>
        <v>SC78M09HT</v>
      </c>
      <c r="B3314" s="3" t="str">
        <f>HYPERLINK("https://www.773grp.com/manufacturer/onsemi?pageNo=617", "Onsemi")</f>
        <v>Onsemi</v>
      </c>
      <c r="C3314" s="6">
        <v>8000</v>
      </c>
      <c r="D3314" s="7">
        <v>0.48</v>
      </c>
    </row>
    <row r="3315" spans="1:5" x14ac:dyDescent="0.25">
      <c r="A3315" t="str">
        <f>HYPERLINK("https://www.773grp.com/globalSearch/SCH1436-TL-H/page-1", "SCH1436-TL-H")</f>
        <v>SCH1436-TL-H</v>
      </c>
      <c r="B3315" s="3" t="str">
        <f>HYPERLINK("https://www.773grp.com/manufacturer/onsemi?pageNo=618", "Onsemi")</f>
        <v>Onsemi</v>
      </c>
      <c r="C3315" s="6">
        <v>478000</v>
      </c>
      <c r="D3315" s="7">
        <v>0.48</v>
      </c>
    </row>
    <row r="3316" spans="1:5" x14ac:dyDescent="0.25">
      <c r="A3316" t="str">
        <f>HYPERLINK("https://www.773grp.com/globalSearch/SMF10AT1G/page-1", "SMF10AT1G")</f>
        <v>SMF10AT1G</v>
      </c>
      <c r="B3316" s="3" t="str">
        <f>HYPERLINK("https://www.773grp.com/manufacturer/onsemi?pageNo=619", "Onsemi")</f>
        <v>Onsemi</v>
      </c>
      <c r="C3316" s="6">
        <v>4795</v>
      </c>
      <c r="D3316" s="7">
        <v>0.48</v>
      </c>
    </row>
    <row r="3317" spans="1:5" x14ac:dyDescent="0.25">
      <c r="A3317" t="str">
        <f>HYPERLINK("https://www.773grp.com/globalSearch/SMF11AT1G/page-1", "SMF11AT1G")</f>
        <v>SMF11AT1G</v>
      </c>
      <c r="B3317" s="3" t="str">
        <f>HYPERLINK("https://www.773grp.com/manufacturer/onsemi?pageNo=620", "Onsemi")</f>
        <v>Onsemi</v>
      </c>
      <c r="C3317" s="6">
        <v>97653</v>
      </c>
      <c r="D3317" s="7">
        <v>0.48</v>
      </c>
      <c r="E3317" t="s">
        <v>75</v>
      </c>
    </row>
    <row r="3318" spans="1:5" x14ac:dyDescent="0.25">
      <c r="A3318" t="str">
        <f>HYPERLINK("https://www.773grp.com/globalSearch/SMF12AT1G/page-1", "SMF12AT1G")</f>
        <v>SMF12AT1G</v>
      </c>
      <c r="B3318" s="3" t="str">
        <f>HYPERLINK("https://www.773grp.com/manufacturer/onsemi?pageNo=621", "Onsemi")</f>
        <v>Onsemi</v>
      </c>
      <c r="C3318" s="6">
        <v>3000</v>
      </c>
      <c r="D3318" s="7">
        <v>0.48</v>
      </c>
      <c r="E3318" t="s">
        <v>75</v>
      </c>
    </row>
    <row r="3319" spans="1:5" x14ac:dyDescent="0.25">
      <c r="A3319" t="str">
        <f>HYPERLINK("https://www.773grp.com/globalSearch/SMF12CT1/page-1", "SMF12CT1")</f>
        <v>SMF12CT1</v>
      </c>
      <c r="B3319" s="3" t="str">
        <f>HYPERLINK("https://www.773grp.com/manufacturer/onsemi?pageNo=622", "Onsemi")</f>
        <v>Onsemi</v>
      </c>
      <c r="C3319" s="6">
        <v>24000</v>
      </c>
      <c r="D3319" s="7">
        <v>0.48</v>
      </c>
      <c r="E3319" t="s">
        <v>75</v>
      </c>
    </row>
    <row r="3320" spans="1:5" x14ac:dyDescent="0.25">
      <c r="A3320" t="str">
        <f>HYPERLINK("https://www.773grp.com/globalSearch/SMF13AT1G/page-1", "SMF13AT1G")</f>
        <v>SMF13AT1G</v>
      </c>
      <c r="B3320" s="3" t="str">
        <f>HYPERLINK("https://www.773grp.com/manufacturer/onsemi?pageNo=623", "Onsemi")</f>
        <v>Onsemi</v>
      </c>
      <c r="C3320" s="6">
        <v>2710</v>
      </c>
      <c r="D3320" s="7">
        <v>0.48</v>
      </c>
      <c r="E3320" t="s">
        <v>75</v>
      </c>
    </row>
    <row r="3321" spans="1:5" x14ac:dyDescent="0.25">
      <c r="A3321" t="str">
        <f>HYPERLINK("https://www.773grp.com/globalSearch/SMF14AT1/page-1", "SMF14AT1")</f>
        <v>SMF14AT1</v>
      </c>
      <c r="B3321" s="3" t="str">
        <f>HYPERLINK("https://www.773grp.com/manufacturer/onsemi?pageNo=624", "Onsemi")</f>
        <v>Onsemi</v>
      </c>
      <c r="C3321" s="6">
        <v>2840</v>
      </c>
      <c r="D3321" s="7">
        <v>0.48</v>
      </c>
      <c r="E3321" t="s">
        <v>75</v>
      </c>
    </row>
    <row r="3322" spans="1:5" x14ac:dyDescent="0.25">
      <c r="A3322" t="str">
        <f>HYPERLINK("https://www.773grp.com/globalSearch/SMF14AT1G/page-1", "SMF14AT1G")</f>
        <v>SMF14AT1G</v>
      </c>
      <c r="B3322" s="3" t="str">
        <f>HYPERLINK("https://www.773grp.com/manufacturer/onsemi?pageNo=625", "Onsemi")</f>
        <v>Onsemi</v>
      </c>
      <c r="C3322" s="6">
        <v>5000</v>
      </c>
      <c r="D3322" s="7">
        <v>0.48</v>
      </c>
      <c r="E3322" t="s">
        <v>75</v>
      </c>
    </row>
    <row r="3323" spans="1:5" x14ac:dyDescent="0.25">
      <c r="A3323" t="str">
        <f>HYPERLINK("https://www.773grp.com/globalSearch/SMF18AT1G/page-1", "SMF18AT1G")</f>
        <v>SMF18AT1G</v>
      </c>
      <c r="B3323" s="3" t="str">
        <f>HYPERLINK("https://www.773grp.com/manufacturer/onsemi?pageNo=626", "Onsemi")</f>
        <v>Onsemi</v>
      </c>
      <c r="C3323" s="6">
        <v>257465</v>
      </c>
      <c r="D3323" s="7">
        <v>0.48</v>
      </c>
      <c r="E3323" t="s">
        <v>75</v>
      </c>
    </row>
    <row r="3324" spans="1:5" x14ac:dyDescent="0.25">
      <c r="A3324" t="str">
        <f>HYPERLINK("https://www.773grp.com/globalSearch/SMF36AT1G/page-1", "SMF36AT1G")</f>
        <v>SMF36AT1G</v>
      </c>
      <c r="B3324" s="3" t="str">
        <f>HYPERLINK("https://www.773grp.com/manufacturer/onsemi?pageNo=627", "Onsemi")</f>
        <v>Onsemi</v>
      </c>
      <c r="C3324" s="6">
        <v>60000</v>
      </c>
      <c r="D3324" s="7">
        <v>0.48</v>
      </c>
      <c r="E3324" t="s">
        <v>75</v>
      </c>
    </row>
    <row r="3325" spans="1:5" x14ac:dyDescent="0.25">
      <c r="A3325" t="str">
        <f>HYPERLINK("https://www.773grp.com/globalSearch/SMF5.0AT1G/page-1", "SMF5.0AT1G")</f>
        <v>SMF5.0AT1G</v>
      </c>
      <c r="B3325" s="3" t="str">
        <f>HYPERLINK("https://www.773grp.com/manufacturer/onsemi?pageNo=628", "Onsemi")</f>
        <v>Onsemi</v>
      </c>
      <c r="C3325" s="6">
        <v>24027</v>
      </c>
      <c r="D3325" s="7">
        <v>0.48</v>
      </c>
      <c r="E3325" t="s">
        <v>75</v>
      </c>
    </row>
    <row r="3326" spans="1:5" x14ac:dyDescent="0.25">
      <c r="A3326" t="str">
        <f>HYPERLINK("https://www.773grp.com/globalSearch/SMF6.0AT1G/page-1", "SMF6.0AT1G")</f>
        <v>SMF6.0AT1G</v>
      </c>
      <c r="B3326" s="3" t="str">
        <f>HYPERLINK("https://www.773grp.com/manufacturer/onsemi?pageNo=629", "Onsemi")</f>
        <v>Onsemi</v>
      </c>
      <c r="C3326" s="6">
        <v>32700</v>
      </c>
      <c r="D3326" s="7">
        <v>0.48</v>
      </c>
      <c r="E3326" t="s">
        <v>75</v>
      </c>
    </row>
    <row r="3327" spans="1:5" x14ac:dyDescent="0.25">
      <c r="A3327" t="str">
        <f>HYPERLINK("https://www.773grp.com/globalSearch/SMF7.5AT1G/page-1", "SMF7.5AT1G")</f>
        <v>SMF7.5AT1G</v>
      </c>
      <c r="B3327" s="3" t="str">
        <f>HYPERLINK("https://www.773grp.com/manufacturer/onsemi?pageNo=630", "Onsemi")</f>
        <v>Onsemi</v>
      </c>
      <c r="C3327" s="6">
        <v>18000</v>
      </c>
      <c r="D3327" s="7">
        <v>0.48</v>
      </c>
      <c r="E3327" t="s">
        <v>75</v>
      </c>
    </row>
    <row r="3328" spans="1:5" x14ac:dyDescent="0.25">
      <c r="A3328" t="str">
        <f>HYPERLINK("https://www.773grp.com/globalSearch/SN74LS00D/page-1", "SN74LS00D")</f>
        <v>SN74LS00D</v>
      </c>
      <c r="B3328" s="3" t="str">
        <f>HYPERLINK("https://www.773grp.com/manufacturer/onsemi?pageNo=631", "Onsemi")</f>
        <v>Onsemi</v>
      </c>
      <c r="C3328" s="6">
        <v>485</v>
      </c>
      <c r="D3328" s="7">
        <v>0.48</v>
      </c>
      <c r="E3328" t="s">
        <v>27</v>
      </c>
    </row>
    <row r="3329" spans="1:5" x14ac:dyDescent="0.25">
      <c r="A3329" t="str">
        <f>HYPERLINK("https://www.773grp.com/globalSearch/SN74LS00ML1/page-1", "SN74LS00ML1")</f>
        <v>SN74LS00ML1</v>
      </c>
      <c r="B3329" s="3" t="str">
        <f>HYPERLINK("https://www.773grp.com/manufacturer/onsemi?pageNo=632", "Onsemi")</f>
        <v>Onsemi</v>
      </c>
      <c r="C3329" s="6">
        <v>8000</v>
      </c>
      <c r="D3329" s="7">
        <v>0.48</v>
      </c>
    </row>
    <row r="3330" spans="1:5" x14ac:dyDescent="0.25">
      <c r="A3330" t="str">
        <f>HYPERLINK("https://www.773grp.com/globalSearch/SN74LS00MR1/page-1", "SN74LS00MR1")</f>
        <v>SN74LS00MR1</v>
      </c>
      <c r="B3330" s="3" t="str">
        <f>HYPERLINK("https://www.773grp.com/manufacturer/onsemi?pageNo=633", "Onsemi")</f>
        <v>Onsemi</v>
      </c>
      <c r="C3330" s="6">
        <v>2000</v>
      </c>
      <c r="D3330" s="7">
        <v>0.48</v>
      </c>
      <c r="E3330" t="s">
        <v>27</v>
      </c>
    </row>
    <row r="3331" spans="1:5" x14ac:dyDescent="0.25">
      <c r="A3331" t="str">
        <f>HYPERLINK("https://www.773grp.com/globalSearch/SN74LS02D/page-1", "SN74LS02D")</f>
        <v>SN74LS02D</v>
      </c>
      <c r="B3331" s="3" t="str">
        <f>HYPERLINK("https://www.773grp.com/manufacturer/onsemi?pageNo=634", "Onsemi")</f>
        <v>Onsemi</v>
      </c>
      <c r="C3331" s="6">
        <v>5765</v>
      </c>
      <c r="D3331" s="7">
        <v>0.48</v>
      </c>
      <c r="E3331" t="s">
        <v>27</v>
      </c>
    </row>
    <row r="3332" spans="1:5" x14ac:dyDescent="0.25">
      <c r="A3332" t="str">
        <f>HYPERLINK("https://www.773grp.com/globalSearch/SN74LS02DR2/page-1", "SN74LS02DR2")</f>
        <v>SN74LS02DR2</v>
      </c>
      <c r="B3332" s="3" t="str">
        <f>HYPERLINK("https://www.773grp.com/manufacturer/onsemi?pageNo=635", "Onsemi")</f>
        <v>Onsemi</v>
      </c>
      <c r="C3332" s="6">
        <v>125000</v>
      </c>
      <c r="D3332" s="7">
        <v>0.48</v>
      </c>
      <c r="E3332" t="s">
        <v>27</v>
      </c>
    </row>
    <row r="3333" spans="1:5" x14ac:dyDescent="0.25">
      <c r="A3333" t="str">
        <f>HYPERLINK("https://www.773grp.com/globalSearch/SN74LS02M/page-1", "SN74LS02M")</f>
        <v>SN74LS02M</v>
      </c>
      <c r="B3333" s="3" t="str">
        <f>HYPERLINK("https://www.773grp.com/manufacturer/onsemi?pageNo=636", "Onsemi")</f>
        <v>Onsemi</v>
      </c>
      <c r="C3333" s="6">
        <v>9296</v>
      </c>
      <c r="D3333" s="7">
        <v>0.48</v>
      </c>
    </row>
    <row r="3334" spans="1:5" x14ac:dyDescent="0.25">
      <c r="A3334" t="str">
        <f>HYPERLINK("https://www.773grp.com/globalSearch/SN74LS03D/page-1", "SN74LS03D")</f>
        <v>SN74LS03D</v>
      </c>
      <c r="B3334" s="3" t="str">
        <f>HYPERLINK("https://www.773grp.com/manufacturer/onsemi?pageNo=637", "Onsemi")</f>
        <v>Onsemi</v>
      </c>
      <c r="C3334" s="6">
        <v>13965</v>
      </c>
      <c r="D3334" s="7">
        <v>0.48</v>
      </c>
      <c r="E3334" t="s">
        <v>27</v>
      </c>
    </row>
    <row r="3335" spans="1:5" x14ac:dyDescent="0.25">
      <c r="A3335" t="str">
        <f>HYPERLINK("https://www.773grp.com/globalSearch/SN74LS03DR2/page-1", "SN74LS03DR2")</f>
        <v>SN74LS03DR2</v>
      </c>
      <c r="B3335" s="3" t="str">
        <f>HYPERLINK("https://www.773grp.com/manufacturer/onsemi?pageNo=638", "Onsemi")</f>
        <v>Onsemi</v>
      </c>
      <c r="C3335" s="6">
        <v>7500</v>
      </c>
      <c r="D3335" s="7">
        <v>0.48</v>
      </c>
      <c r="E3335" t="s">
        <v>27</v>
      </c>
    </row>
    <row r="3336" spans="1:5" x14ac:dyDescent="0.25">
      <c r="A3336" t="str">
        <f>HYPERLINK("https://www.773grp.com/globalSearch/SN74LS03M/page-1", "SN74LS03M")</f>
        <v>SN74LS03M</v>
      </c>
      <c r="B3336" s="3" t="str">
        <f>HYPERLINK("https://www.773grp.com/manufacturer/onsemi?pageNo=639", "Onsemi")</f>
        <v>Onsemi</v>
      </c>
      <c r="C3336" s="6">
        <v>8180</v>
      </c>
      <c r="D3336" s="7">
        <v>0.48</v>
      </c>
    </row>
    <row r="3337" spans="1:5" x14ac:dyDescent="0.25">
      <c r="A3337" t="str">
        <f>HYPERLINK("https://www.773grp.com/globalSearch/SN74LS03MEL/page-1", "SN74LS03MEL")</f>
        <v>SN74LS03MEL</v>
      </c>
      <c r="B3337" s="3" t="str">
        <f>HYPERLINK("https://www.773grp.com/manufacturer/onsemi?pageNo=640", "Onsemi")</f>
        <v>Onsemi</v>
      </c>
      <c r="C3337" s="6">
        <v>8000</v>
      </c>
      <c r="D3337" s="7">
        <v>0.48</v>
      </c>
    </row>
    <row r="3338" spans="1:5" x14ac:dyDescent="0.25">
      <c r="A3338" t="str">
        <f>HYPERLINK("https://www.773grp.com/globalSearch/SN74LS03N/page-1", "SN74LS03N")</f>
        <v>SN74LS03N</v>
      </c>
      <c r="B3338" s="3" t="str">
        <f>HYPERLINK("https://www.773grp.com/manufacturer/onsemi?pageNo=641", "Onsemi")</f>
        <v>Onsemi</v>
      </c>
      <c r="C3338" s="6">
        <v>33066</v>
      </c>
      <c r="D3338" s="7">
        <v>0.48</v>
      </c>
      <c r="E3338" t="s">
        <v>27</v>
      </c>
    </row>
    <row r="3339" spans="1:5" x14ac:dyDescent="0.25">
      <c r="A3339" t="str">
        <f>HYPERLINK("https://www.773grp.com/globalSearch/SN74LS04D/page-1", "SN74LS04D")</f>
        <v>SN74LS04D</v>
      </c>
      <c r="B3339" s="3" t="str">
        <f>HYPERLINK("https://www.773grp.com/manufacturer/onsemi?pageNo=642", "Onsemi")</f>
        <v>Onsemi</v>
      </c>
      <c r="C3339" s="6">
        <v>168967</v>
      </c>
      <c r="D3339" s="7">
        <v>0.48</v>
      </c>
      <c r="E3339" t="s">
        <v>27</v>
      </c>
    </row>
    <row r="3340" spans="1:5" x14ac:dyDescent="0.25">
      <c r="A3340" t="str">
        <f>HYPERLINK("https://www.773grp.com/globalSearch/SN74LS04M/page-1", "SN74LS04M")</f>
        <v>SN74LS04M</v>
      </c>
      <c r="B3340" s="3" t="str">
        <f>HYPERLINK("https://www.773grp.com/manufacturer/onsemi?pageNo=643", "Onsemi")</f>
        <v>Onsemi</v>
      </c>
      <c r="C3340" s="6">
        <v>1000</v>
      </c>
      <c r="D3340" s="7">
        <v>0.48</v>
      </c>
      <c r="E3340" t="s">
        <v>27</v>
      </c>
    </row>
    <row r="3341" spans="1:5" x14ac:dyDescent="0.25">
      <c r="A3341" t="str">
        <f>HYPERLINK("https://www.773grp.com/globalSearch/SN74LS04ML1/page-1", "SN74LS04ML1")</f>
        <v>SN74LS04ML1</v>
      </c>
      <c r="B3341" s="3" t="str">
        <f>HYPERLINK("https://www.773grp.com/manufacturer/onsemi?pageNo=644", "Onsemi")</f>
        <v>Onsemi</v>
      </c>
      <c r="C3341" s="6">
        <v>5000</v>
      </c>
      <c r="D3341" s="7">
        <v>0.48</v>
      </c>
    </row>
    <row r="3342" spans="1:5" x14ac:dyDescent="0.25">
      <c r="A3342" t="str">
        <f>HYPERLINK("https://www.773grp.com/globalSearch/SN74LS04MR1/page-1", "SN74LS04MR1")</f>
        <v>SN74LS04MR1</v>
      </c>
      <c r="B3342" s="3" t="str">
        <f>HYPERLINK("https://www.773grp.com/manufacturer/onsemi?pageNo=645", "Onsemi")</f>
        <v>Onsemi</v>
      </c>
      <c r="C3342" s="6">
        <v>34000</v>
      </c>
      <c r="D3342" s="7">
        <v>0.48</v>
      </c>
      <c r="E3342" t="s">
        <v>27</v>
      </c>
    </row>
    <row r="3343" spans="1:5" x14ac:dyDescent="0.25">
      <c r="A3343" t="str">
        <f>HYPERLINK("https://www.773grp.com/globalSearch/SN74LS05D/page-1", "SN74LS05D")</f>
        <v>SN74LS05D</v>
      </c>
      <c r="B3343" s="3" t="str">
        <f>HYPERLINK("https://www.773grp.com/manufacturer/onsemi?pageNo=646", "Onsemi")</f>
        <v>Onsemi</v>
      </c>
      <c r="C3343" s="6">
        <v>9400</v>
      </c>
      <c r="D3343" s="7">
        <v>0.48</v>
      </c>
      <c r="E3343" t="s">
        <v>27</v>
      </c>
    </row>
    <row r="3344" spans="1:5" x14ac:dyDescent="0.25">
      <c r="A3344" t="str">
        <f>HYPERLINK("https://www.773grp.com/globalSearch/SN74LS05M/page-1", "SN74LS05M")</f>
        <v>SN74LS05M</v>
      </c>
      <c r="B3344" s="3" t="str">
        <f>HYPERLINK("https://www.773grp.com/manufacturer/onsemi?pageNo=647", "Onsemi")</f>
        <v>Onsemi</v>
      </c>
      <c r="C3344" s="6">
        <v>4700</v>
      </c>
      <c r="D3344" s="7">
        <v>0.48</v>
      </c>
      <c r="E3344" t="s">
        <v>27</v>
      </c>
    </row>
    <row r="3345" spans="1:5" x14ac:dyDescent="0.25">
      <c r="A3345" t="str">
        <f>HYPERLINK("https://www.773grp.com/globalSearch/SN74LS05MEL/page-1", "SN74LS05MEL")</f>
        <v>SN74LS05MEL</v>
      </c>
      <c r="B3345" s="3" t="str">
        <f>HYPERLINK("https://www.773grp.com/manufacturer/onsemi?pageNo=648", "Onsemi")</f>
        <v>Onsemi</v>
      </c>
      <c r="C3345" s="6">
        <v>7940</v>
      </c>
      <c r="D3345" s="7">
        <v>0.48</v>
      </c>
      <c r="E3345" t="s">
        <v>27</v>
      </c>
    </row>
    <row r="3346" spans="1:5" x14ac:dyDescent="0.25">
      <c r="A3346" t="str">
        <f>HYPERLINK("https://www.773grp.com/globalSearch/SN74LS05ML1/page-1", "SN74LS05ML1")</f>
        <v>SN74LS05ML1</v>
      </c>
      <c r="B3346" s="3" t="str">
        <f>HYPERLINK("https://www.773grp.com/manufacturer/onsemi?pageNo=649", "Onsemi")</f>
        <v>Onsemi</v>
      </c>
      <c r="C3346" s="6">
        <v>10000</v>
      </c>
      <c r="D3346" s="7">
        <v>0.48</v>
      </c>
    </row>
    <row r="3347" spans="1:5" x14ac:dyDescent="0.25">
      <c r="A3347" t="str">
        <f>HYPERLINK("https://www.773grp.com/globalSearch/SN74LS08D/page-1", "SN74LS08D")</f>
        <v>SN74LS08D</v>
      </c>
      <c r="B3347" s="3" t="str">
        <f>HYPERLINK("https://www.773grp.com/manufacturer/onsemi?pageNo=650", "Onsemi")</f>
        <v>Onsemi</v>
      </c>
      <c r="C3347" s="6">
        <v>5965</v>
      </c>
      <c r="D3347" s="7">
        <v>0.48</v>
      </c>
      <c r="E3347" t="s">
        <v>27</v>
      </c>
    </row>
    <row r="3348" spans="1:5" x14ac:dyDescent="0.25">
      <c r="A3348" t="str">
        <f>HYPERLINK("https://www.773grp.com/globalSearch/SN74LS08MEL/page-1", "SN74LS08MEL")</f>
        <v>SN74LS08MEL</v>
      </c>
      <c r="B3348" s="3" t="str">
        <f>HYPERLINK("https://www.773grp.com/manufacturer/onsemi?pageNo=651", "Onsemi")</f>
        <v>Onsemi</v>
      </c>
      <c r="C3348" s="6">
        <v>4000</v>
      </c>
      <c r="D3348" s="7">
        <v>0.48</v>
      </c>
      <c r="E3348" t="s">
        <v>27</v>
      </c>
    </row>
    <row r="3349" spans="1:5" x14ac:dyDescent="0.25">
      <c r="A3349" t="str">
        <f>HYPERLINK("https://www.773grp.com/globalSearch/SN74LS09D/page-1", "SN74LS09D")</f>
        <v>SN74LS09D</v>
      </c>
      <c r="B3349" s="3" t="str">
        <f>HYPERLINK("https://www.773grp.com/manufacturer/onsemi?pageNo=652", "Onsemi")</f>
        <v>Onsemi</v>
      </c>
      <c r="C3349" s="6">
        <v>2655</v>
      </c>
      <c r="D3349" s="7">
        <v>0.48</v>
      </c>
      <c r="E3349" t="s">
        <v>27</v>
      </c>
    </row>
    <row r="3350" spans="1:5" x14ac:dyDescent="0.25">
      <c r="A3350" t="str">
        <f>HYPERLINK("https://www.773grp.com/globalSearch/SN74LS10D/page-1", "SN74LS10D")</f>
        <v>SN74LS10D</v>
      </c>
      <c r="B3350" s="3" t="str">
        <f>HYPERLINK("https://www.773grp.com/manufacturer/onsemi?pageNo=653", "Onsemi")</f>
        <v>Onsemi</v>
      </c>
      <c r="C3350" s="6">
        <v>104</v>
      </c>
      <c r="D3350" s="7">
        <v>0.48</v>
      </c>
      <c r="E3350" t="s">
        <v>27</v>
      </c>
    </row>
    <row r="3351" spans="1:5" x14ac:dyDescent="0.25">
      <c r="A3351" t="str">
        <f>HYPERLINK("https://www.773grp.com/globalSearch/SN74LS10M/page-1", "SN74LS10M")</f>
        <v>SN74LS10M</v>
      </c>
      <c r="B3351" s="3" t="str">
        <f>HYPERLINK("https://www.773grp.com/manufacturer/onsemi?pageNo=654", "Onsemi")</f>
        <v>Onsemi</v>
      </c>
      <c r="C3351" s="6">
        <v>2380</v>
      </c>
      <c r="D3351" s="7">
        <v>0.48</v>
      </c>
    </row>
    <row r="3352" spans="1:5" x14ac:dyDescent="0.25">
      <c r="A3352" t="str">
        <f>HYPERLINK("https://www.773grp.com/globalSearch/SN74LS10MEL/page-1", "SN74LS10MEL")</f>
        <v>SN74LS10MEL</v>
      </c>
      <c r="B3352" s="3" t="str">
        <f>HYPERLINK("https://www.773grp.com/manufacturer/onsemi?pageNo=655", "Onsemi")</f>
        <v>Onsemi</v>
      </c>
      <c r="C3352" s="6">
        <v>10000</v>
      </c>
      <c r="D3352" s="7">
        <v>0.48</v>
      </c>
    </row>
    <row r="3353" spans="1:5" x14ac:dyDescent="0.25">
      <c r="A3353" t="str">
        <f>HYPERLINK("https://www.773grp.com/globalSearch/SN74LS10ML1/page-1", "SN74LS10ML1")</f>
        <v>SN74LS10ML1</v>
      </c>
      <c r="B3353" s="3" t="str">
        <f>HYPERLINK("https://www.773grp.com/manufacturer/onsemi?pageNo=656", "Onsemi")</f>
        <v>Onsemi</v>
      </c>
      <c r="C3353" s="6">
        <v>1000</v>
      </c>
      <c r="D3353" s="7">
        <v>0.48</v>
      </c>
    </row>
    <row r="3354" spans="1:5" x14ac:dyDescent="0.25">
      <c r="A3354" t="str">
        <f>HYPERLINK("https://www.773grp.com/globalSearch/SN74LS10N/page-1", "SN74LS10N")</f>
        <v>SN74LS10N</v>
      </c>
      <c r="B3354" s="3" t="str">
        <f>HYPERLINK("https://www.773grp.com/manufacturer/onsemi?pageNo=657", "Onsemi")</f>
        <v>Onsemi</v>
      </c>
      <c r="C3354" s="6">
        <v>13258</v>
      </c>
      <c r="D3354" s="7">
        <v>0.48</v>
      </c>
      <c r="E3354" t="s">
        <v>27</v>
      </c>
    </row>
    <row r="3355" spans="1:5" x14ac:dyDescent="0.25">
      <c r="A3355" t="str">
        <f>HYPERLINK("https://www.773grp.com/globalSearch/SN74LS11M/page-1", "SN74LS11M")</f>
        <v>SN74LS11M</v>
      </c>
      <c r="B3355" s="3" t="str">
        <f>HYPERLINK("https://www.773grp.com/manufacturer/onsemi?pageNo=658", "Onsemi")</f>
        <v>Onsemi</v>
      </c>
      <c r="C3355" s="6">
        <v>400</v>
      </c>
      <c r="D3355" s="7">
        <v>0.48</v>
      </c>
    </row>
    <row r="3356" spans="1:5" x14ac:dyDescent="0.25">
      <c r="A3356" t="str">
        <f>HYPERLINK("https://www.773grp.com/globalSearch/SN74LS11ML1/page-1", "SN74LS11ML1")</f>
        <v>SN74LS11ML1</v>
      </c>
      <c r="B3356" s="3" t="str">
        <f>HYPERLINK("https://www.773grp.com/manufacturer/onsemi?pageNo=659", "Onsemi")</f>
        <v>Onsemi</v>
      </c>
      <c r="C3356" s="6">
        <v>7000</v>
      </c>
      <c r="D3356" s="7">
        <v>0.48</v>
      </c>
    </row>
    <row r="3357" spans="1:5" x14ac:dyDescent="0.25">
      <c r="A3357" t="str">
        <f>HYPERLINK("https://www.773grp.com/globalSearch/SN74LS11N/page-1", "SN74LS11N")</f>
        <v>SN74LS11N</v>
      </c>
      <c r="B3357" s="3" t="str">
        <f>HYPERLINK("https://www.773grp.com/manufacturer/onsemi?pageNo=660", "Onsemi")</f>
        <v>Onsemi</v>
      </c>
      <c r="C3357" s="6">
        <v>3279</v>
      </c>
      <c r="D3357" s="7">
        <v>0.48</v>
      </c>
      <c r="E3357" t="s">
        <v>27</v>
      </c>
    </row>
    <row r="3358" spans="1:5" x14ac:dyDescent="0.25">
      <c r="A3358" t="str">
        <f>HYPERLINK("https://www.773grp.com/globalSearch/SN74LS20MEL/page-1", "SN74LS20MEL")</f>
        <v>SN74LS20MEL</v>
      </c>
      <c r="B3358" s="3" t="str">
        <f>HYPERLINK("https://www.773grp.com/manufacturer/onsemi?pageNo=661", "Onsemi")</f>
        <v>Onsemi</v>
      </c>
      <c r="C3358" s="6">
        <v>4000</v>
      </c>
      <c r="D3358" s="7">
        <v>0.48</v>
      </c>
    </row>
    <row r="3359" spans="1:5" x14ac:dyDescent="0.25">
      <c r="A3359" t="str">
        <f>HYPERLINK("https://www.773grp.com/globalSearch/SN74LS20N/page-1", "SN74LS20N")</f>
        <v>SN74LS20N</v>
      </c>
      <c r="B3359" s="3" t="str">
        <f>HYPERLINK("https://www.773grp.com/manufacturer/onsemi?pageNo=662", "Onsemi")</f>
        <v>Onsemi</v>
      </c>
      <c r="C3359" s="6">
        <v>11156</v>
      </c>
      <c r="D3359" s="7">
        <v>0.48</v>
      </c>
      <c r="E3359" t="s">
        <v>27</v>
      </c>
    </row>
    <row r="3360" spans="1:5" x14ac:dyDescent="0.25">
      <c r="A3360" t="str">
        <f>HYPERLINK("https://www.773grp.com/globalSearch/SN74LS21M/page-1", "SN74LS21M")</f>
        <v>SN74LS21M</v>
      </c>
      <c r="B3360" s="3" t="str">
        <f>HYPERLINK("https://www.773grp.com/manufacturer/onsemi?pageNo=663", "Onsemi")</f>
        <v>Onsemi</v>
      </c>
      <c r="C3360" s="6">
        <v>350</v>
      </c>
      <c r="D3360" s="7">
        <v>0.48</v>
      </c>
    </row>
    <row r="3361" spans="1:5" x14ac:dyDescent="0.25">
      <c r="A3361" t="str">
        <f>HYPERLINK("https://www.773grp.com/globalSearch/SN74LS21MEL/page-1", "SN74LS21MEL")</f>
        <v>SN74LS21MEL</v>
      </c>
      <c r="B3361" s="3" t="str">
        <f>HYPERLINK("https://www.773grp.com/manufacturer/onsemi?pageNo=664", "Onsemi")</f>
        <v>Onsemi</v>
      </c>
      <c r="C3361" s="6">
        <v>10000</v>
      </c>
      <c r="D3361" s="7">
        <v>0.48</v>
      </c>
    </row>
    <row r="3362" spans="1:5" x14ac:dyDescent="0.25">
      <c r="A3362" t="str">
        <f>HYPERLINK("https://www.773grp.com/globalSearch/SN74LS26N/page-1", "SN74LS26N")</f>
        <v>SN74LS26N</v>
      </c>
      <c r="B3362" s="3" t="str">
        <f>HYPERLINK("https://www.773grp.com/manufacturer/onsemi?pageNo=665", "Onsemi")</f>
        <v>Onsemi</v>
      </c>
      <c r="C3362" s="6">
        <v>425</v>
      </c>
      <c r="D3362" s="7">
        <v>0.48</v>
      </c>
      <c r="E3362" t="s">
        <v>27</v>
      </c>
    </row>
    <row r="3363" spans="1:5" x14ac:dyDescent="0.25">
      <c r="A3363" t="str">
        <f>HYPERLINK("https://www.773grp.com/globalSearch/SN74LS27M/page-1", "SN74LS27M")</f>
        <v>SN74LS27M</v>
      </c>
      <c r="B3363" s="3" t="str">
        <f>HYPERLINK("https://www.773grp.com/manufacturer/onsemi?pageNo=666", "Onsemi")</f>
        <v>Onsemi</v>
      </c>
      <c r="C3363" s="6">
        <v>7800</v>
      </c>
      <c r="D3363" s="7">
        <v>0.48</v>
      </c>
    </row>
    <row r="3364" spans="1:5" x14ac:dyDescent="0.25">
      <c r="A3364" t="str">
        <f>HYPERLINK("https://www.773grp.com/globalSearch/SN74LS27ML1/page-1", "SN74LS27ML1")</f>
        <v>SN74LS27ML1</v>
      </c>
      <c r="B3364" s="3" t="str">
        <f>HYPERLINK("https://www.773grp.com/manufacturer/onsemi?pageNo=667", "Onsemi")</f>
        <v>Onsemi</v>
      </c>
      <c r="C3364" s="6">
        <v>15000</v>
      </c>
      <c r="D3364" s="7">
        <v>0.48</v>
      </c>
    </row>
    <row r="3365" spans="1:5" x14ac:dyDescent="0.25">
      <c r="A3365" t="str">
        <f>HYPERLINK("https://www.773grp.com/globalSearch/SN74LS27N/page-1", "SN74LS27N")</f>
        <v>SN74LS27N</v>
      </c>
      <c r="B3365" s="3" t="str">
        <f>HYPERLINK("https://www.773grp.com/manufacturer/onsemi?pageNo=668", "Onsemi")</f>
        <v>Onsemi</v>
      </c>
      <c r="C3365" s="6">
        <v>5875</v>
      </c>
      <c r="D3365" s="7">
        <v>0.48</v>
      </c>
      <c r="E3365" t="s">
        <v>27</v>
      </c>
    </row>
    <row r="3366" spans="1:5" x14ac:dyDescent="0.25">
      <c r="A3366" t="str">
        <f>HYPERLINK("https://www.773grp.com/globalSearch/SN74LS30D/page-1", "SN74LS30D")</f>
        <v>SN74LS30D</v>
      </c>
      <c r="B3366" s="3" t="str">
        <f>HYPERLINK("https://www.773grp.com/manufacturer/onsemi?pageNo=669", "Onsemi")</f>
        <v>Onsemi</v>
      </c>
      <c r="C3366" s="6">
        <v>4837</v>
      </c>
      <c r="D3366" s="7">
        <v>0.48</v>
      </c>
      <c r="E3366" t="s">
        <v>27</v>
      </c>
    </row>
    <row r="3367" spans="1:5" x14ac:dyDescent="0.25">
      <c r="A3367" t="str">
        <f>HYPERLINK("https://www.773grp.com/globalSearch/SN74LS30DR2/page-1", "SN74LS30DR2")</f>
        <v>SN74LS30DR2</v>
      </c>
      <c r="B3367" s="3" t="str">
        <f>HYPERLINK("https://www.773grp.com/manufacturer/onsemi?pageNo=670", "Onsemi")</f>
        <v>Onsemi</v>
      </c>
      <c r="C3367" s="6">
        <v>107500</v>
      </c>
      <c r="D3367" s="7">
        <v>0.48</v>
      </c>
      <c r="E3367" t="s">
        <v>27</v>
      </c>
    </row>
    <row r="3368" spans="1:5" x14ac:dyDescent="0.25">
      <c r="A3368" t="str">
        <f>HYPERLINK("https://www.773grp.com/globalSearch/SN74LS30MEL/page-1", "SN74LS30MEL")</f>
        <v>SN74LS30MEL</v>
      </c>
      <c r="B3368" s="3" t="str">
        <f>HYPERLINK("https://www.773grp.com/manufacturer/onsemi?pageNo=671", "Onsemi")</f>
        <v>Onsemi</v>
      </c>
      <c r="C3368" s="6">
        <v>2000</v>
      </c>
      <c r="D3368" s="7">
        <v>0.48</v>
      </c>
    </row>
    <row r="3369" spans="1:5" x14ac:dyDescent="0.25">
      <c r="A3369" t="str">
        <f>HYPERLINK("https://www.773grp.com/globalSearch/SN74LS30N/page-1", "SN74LS30N")</f>
        <v>SN74LS30N</v>
      </c>
      <c r="B3369" s="3" t="str">
        <f>HYPERLINK("https://www.773grp.com/manufacturer/onsemi?pageNo=672", "Onsemi")</f>
        <v>Onsemi</v>
      </c>
      <c r="C3369" s="6">
        <v>8176</v>
      </c>
      <c r="D3369" s="7">
        <v>0.48</v>
      </c>
      <c r="E3369" t="s">
        <v>27</v>
      </c>
    </row>
    <row r="3370" spans="1:5" x14ac:dyDescent="0.25">
      <c r="A3370" t="str">
        <f>HYPERLINK("https://www.773grp.com/globalSearch/SN74LS32ML1/page-1", "SN74LS32ML1")</f>
        <v>SN74LS32ML1</v>
      </c>
      <c r="B3370" s="3" t="str">
        <f>HYPERLINK("https://www.773grp.com/manufacturer/onsemi?pageNo=673", "Onsemi")</f>
        <v>Onsemi</v>
      </c>
      <c r="C3370" s="6">
        <v>7000</v>
      </c>
      <c r="D3370" s="7">
        <v>0.48</v>
      </c>
    </row>
    <row r="3371" spans="1:5" x14ac:dyDescent="0.25">
      <c r="A3371" t="str">
        <f>HYPERLINK("https://www.773grp.com/globalSearch/SN74LS51M/page-1", "SN74LS51M")</f>
        <v>SN74LS51M</v>
      </c>
      <c r="B3371" s="3" t="str">
        <f>HYPERLINK("https://www.773grp.com/manufacturer/onsemi?pageNo=674", "Onsemi")</f>
        <v>Onsemi</v>
      </c>
      <c r="C3371" s="6">
        <v>767</v>
      </c>
      <c r="D3371" s="7">
        <v>0.48</v>
      </c>
    </row>
    <row r="3372" spans="1:5" x14ac:dyDescent="0.25">
      <c r="A3372" t="str">
        <f>HYPERLINK("https://www.773grp.com/globalSearch/SN74LS51ML1/page-1", "SN74LS51ML1")</f>
        <v>SN74LS51ML1</v>
      </c>
      <c r="B3372" s="3" t="str">
        <f>HYPERLINK("https://www.773grp.com/manufacturer/onsemi?pageNo=675", "Onsemi")</f>
        <v>Onsemi</v>
      </c>
      <c r="C3372" s="6">
        <v>4000</v>
      </c>
      <c r="D3372" s="7">
        <v>0.48</v>
      </c>
    </row>
    <row r="3373" spans="1:5" x14ac:dyDescent="0.25">
      <c r="A3373" t="str">
        <f>HYPERLINK("https://www.773grp.com/globalSearch/SN74LS51N/page-1", "SN74LS51N")</f>
        <v>SN74LS51N</v>
      </c>
      <c r="B3373" s="3" t="str">
        <f>HYPERLINK("https://www.773grp.com/manufacturer/onsemi?pageNo=676", "Onsemi")</f>
        <v>Onsemi</v>
      </c>
      <c r="C3373" s="6">
        <v>4648</v>
      </c>
      <c r="D3373" s="7">
        <v>0.48</v>
      </c>
      <c r="E3373" t="s">
        <v>27</v>
      </c>
    </row>
    <row r="3374" spans="1:5" x14ac:dyDescent="0.25">
      <c r="A3374" t="str">
        <f>HYPERLINK("https://www.773grp.com/globalSearch/SN74LS74AD/page-1", "SN74LS74AD")</f>
        <v>SN74LS74AD</v>
      </c>
      <c r="B3374" s="3" t="str">
        <f>HYPERLINK("https://www.773grp.com/manufacturer/onsemi?pageNo=677", "Onsemi")</f>
        <v>Onsemi</v>
      </c>
      <c r="C3374" s="6">
        <v>3142</v>
      </c>
      <c r="D3374" s="7">
        <v>0.48</v>
      </c>
      <c r="E3374" t="s">
        <v>31</v>
      </c>
    </row>
    <row r="3375" spans="1:5" x14ac:dyDescent="0.25">
      <c r="A3375" t="str">
        <f>HYPERLINK("https://www.773grp.com/globalSearch/SN74LS74AML1/page-1", "SN74LS74AML1")</f>
        <v>SN74LS74AML1</v>
      </c>
      <c r="B3375" s="3" t="str">
        <f>HYPERLINK("https://www.773grp.com/manufacturer/onsemi?pageNo=678", "Onsemi")</f>
        <v>Onsemi</v>
      </c>
      <c r="C3375" s="6">
        <v>6000</v>
      </c>
      <c r="D3375" s="7">
        <v>0.48</v>
      </c>
    </row>
    <row r="3376" spans="1:5" x14ac:dyDescent="0.25">
      <c r="A3376" t="str">
        <f>HYPERLINK("https://www.773grp.com/globalSearch/SZNUP2105LT1/page-1", "SZNUP2105LT1")</f>
        <v>SZNUP2105LT1</v>
      </c>
      <c r="B3376" s="3" t="str">
        <f>HYPERLINK("https://www.773grp.com/manufacturer/onsemi?pageNo=679", "Onsemi")</f>
        <v>Onsemi</v>
      </c>
      <c r="C3376" s="6">
        <v>126000</v>
      </c>
      <c r="D3376" s="7">
        <v>0.48</v>
      </c>
    </row>
    <row r="3377" spans="1:5" x14ac:dyDescent="0.25">
      <c r="A3377" t="str">
        <f>HYPERLINK("https://www.773grp.com/globalSearch/SZP6SMB15AT3/page-1", "SZP6SMB15AT3")</f>
        <v>SZP6SMB15AT3</v>
      </c>
      <c r="B3377" s="3" t="str">
        <f>HYPERLINK("https://www.773grp.com/manufacturer/onsemi?pageNo=680", "Onsemi")</f>
        <v>Onsemi</v>
      </c>
      <c r="C3377" s="6">
        <v>20000</v>
      </c>
      <c r="D3377" s="7">
        <v>0.48</v>
      </c>
    </row>
    <row r="3378" spans="1:5" x14ac:dyDescent="0.25">
      <c r="A3378" t="str">
        <f>HYPERLINK("https://www.773grp.com/globalSearch/TH00483/page-1", "TH00483")</f>
        <v>TH00483</v>
      </c>
      <c r="B3378" s="3" t="str">
        <f>HYPERLINK("https://www.773grp.com/manufacturer/onsemi?pageNo=681", "Onsemi")</f>
        <v>Onsemi</v>
      </c>
      <c r="C3378" s="6">
        <v>48500</v>
      </c>
      <c r="D3378" s="7">
        <v>0.48</v>
      </c>
    </row>
    <row r="3379" spans="1:5" x14ac:dyDescent="0.25">
      <c r="A3379" t="str">
        <f>HYPERLINK("https://www.773grp.com/globalSearch/TL431ACDMR2G/page-1", "TL431ACDMR2G")</f>
        <v>TL431ACDMR2G</v>
      </c>
      <c r="B3379" s="3" t="str">
        <f>HYPERLINK("https://www.773grp.com/manufacturer/onsemi?pageNo=682", "Onsemi")</f>
        <v>Onsemi</v>
      </c>
      <c r="C3379" s="6">
        <v>7745</v>
      </c>
      <c r="D3379" s="7">
        <v>0.48</v>
      </c>
    </row>
    <row r="3380" spans="1:5" x14ac:dyDescent="0.25">
      <c r="A3380" t="str">
        <f>HYPERLINK("https://www.773grp.com/globalSearch/TL431ACLPREG/page-1", "TL431ACLPREG")</f>
        <v>TL431ACLPREG</v>
      </c>
      <c r="B3380" s="3" t="str">
        <f>HYPERLINK("https://www.773grp.com/manufacturer/onsemi?pageNo=683", "Onsemi")</f>
        <v>Onsemi</v>
      </c>
      <c r="C3380" s="6">
        <v>2226</v>
      </c>
      <c r="D3380" s="7">
        <v>0.48</v>
      </c>
      <c r="E3380" t="s">
        <v>13</v>
      </c>
    </row>
    <row r="3381" spans="1:5" x14ac:dyDescent="0.25">
      <c r="A3381" t="str">
        <f>HYPERLINK("https://www.773grp.com/globalSearch/TL431AIDG/page-1", "TL431AIDG")</f>
        <v>TL431AIDG</v>
      </c>
      <c r="B3381" s="3" t="str">
        <f>HYPERLINK("https://www.773grp.com/manufacturer/onsemi?pageNo=684", "Onsemi")</f>
        <v>Onsemi</v>
      </c>
      <c r="C3381" s="6">
        <v>7263</v>
      </c>
      <c r="D3381" s="7">
        <v>0.48</v>
      </c>
      <c r="E3381" t="s">
        <v>13</v>
      </c>
    </row>
    <row r="3382" spans="1:5" x14ac:dyDescent="0.25">
      <c r="A3382" t="str">
        <f>HYPERLINK("https://www.773grp.com/globalSearch/TL431AILPRPG/page-1", "TL431AILPRPG")</f>
        <v>TL431AILPRPG</v>
      </c>
      <c r="B3382" s="3" t="str">
        <f>HYPERLINK("https://www.773grp.com/manufacturer/onsemi?pageNo=685", "Onsemi")</f>
        <v>Onsemi</v>
      </c>
      <c r="C3382" s="6">
        <v>659</v>
      </c>
      <c r="D3382" s="7">
        <v>0.48</v>
      </c>
      <c r="E3382" t="s">
        <v>13</v>
      </c>
    </row>
    <row r="3383" spans="1:5" x14ac:dyDescent="0.25">
      <c r="A3383" t="str">
        <f>HYPERLINK("https://www.773grp.com/globalSearch/TL431BCLPRAG/page-1", "TL431BCLPRAG")</f>
        <v>TL431BCLPRAG</v>
      </c>
      <c r="B3383" s="3" t="str">
        <f>HYPERLINK("https://www.773grp.com/manufacturer/onsemi?pageNo=686", "Onsemi")</f>
        <v>Onsemi</v>
      </c>
      <c r="C3383" s="6">
        <v>112000</v>
      </c>
      <c r="D3383" s="7">
        <v>0.48</v>
      </c>
      <c r="E3383" t="s">
        <v>13</v>
      </c>
    </row>
    <row r="3384" spans="1:5" x14ac:dyDescent="0.25">
      <c r="A3384" t="str">
        <f>HYPERLINK("https://www.773grp.com/globalSearch/TL431BCLPREG/page-1", "TL431BCLPREG")</f>
        <v>TL431BCLPREG</v>
      </c>
      <c r="B3384" s="3" t="str">
        <f>HYPERLINK("https://www.773grp.com/manufacturer/onsemi?pageNo=687", "Onsemi")</f>
        <v>Onsemi</v>
      </c>
      <c r="C3384" s="6">
        <v>8000</v>
      </c>
      <c r="D3384" s="7">
        <v>0.48</v>
      </c>
    </row>
    <row r="3385" spans="1:5" x14ac:dyDescent="0.25">
      <c r="A3385" t="str">
        <f>HYPERLINK("https://www.773grp.com/globalSearch/1N4743CRL/page-1", "1N4743CRL")</f>
        <v>1N4743CRL</v>
      </c>
      <c r="B3385" s="3" t="str">
        <f>HYPERLINK("https://www.773grp.com/manufacturer/onsemi?pageNo=688", "Onsemi")</f>
        <v>Onsemi</v>
      </c>
      <c r="C3385" s="6">
        <v>42000</v>
      </c>
      <c r="D3385" s="7">
        <v>0.53</v>
      </c>
      <c r="E3385" t="s">
        <v>77</v>
      </c>
    </row>
    <row r="3386" spans="1:5" x14ac:dyDescent="0.25">
      <c r="A3386" t="str">
        <f>HYPERLINK("https://www.773grp.com/globalSearch/1N5277BRL/page-1", "1N5277BRL")</f>
        <v>1N5277BRL</v>
      </c>
      <c r="B3386" s="3" t="str">
        <f>HYPERLINK("https://www.773grp.com/manufacturer/onsemi?pageNo=689", "Onsemi")</f>
        <v>Onsemi</v>
      </c>
      <c r="C3386" s="6">
        <v>19050</v>
      </c>
      <c r="D3386" s="7">
        <v>0.53</v>
      </c>
      <c r="E3386" t="s">
        <v>77</v>
      </c>
    </row>
    <row r="3387" spans="1:5" x14ac:dyDescent="0.25">
      <c r="A3387" t="str">
        <f>HYPERLINK("https://www.773grp.com/globalSearch/1PMT16AT1/page-1", "1PMT16AT1")</f>
        <v>1PMT16AT1</v>
      </c>
      <c r="B3387" s="3" t="str">
        <f>HYPERLINK("https://www.773grp.com/manufacturer/onsemi?pageNo=690", "Onsemi")</f>
        <v>Onsemi</v>
      </c>
      <c r="C3387" s="6">
        <v>2880</v>
      </c>
      <c r="D3387" s="7">
        <v>0.53</v>
      </c>
      <c r="E3387" t="s">
        <v>75</v>
      </c>
    </row>
    <row r="3388" spans="1:5" x14ac:dyDescent="0.25">
      <c r="A3388" t="str">
        <f>HYPERLINK("https://www.773grp.com/globalSearch/1SMA18CAT3/page-1", "1SMA18CAT3")</f>
        <v>1SMA18CAT3</v>
      </c>
      <c r="B3388" s="3" t="str">
        <f>HYPERLINK("https://www.773grp.com/manufacturer/onsemi?pageNo=691", "Onsemi")</f>
        <v>Onsemi</v>
      </c>
      <c r="C3388" s="6">
        <v>34580</v>
      </c>
      <c r="D3388" s="7">
        <v>0.53</v>
      </c>
      <c r="E3388" t="s">
        <v>75</v>
      </c>
    </row>
    <row r="3389" spans="1:5" x14ac:dyDescent="0.25">
      <c r="A3389" t="str">
        <f>HYPERLINK("https://www.773grp.com/globalSearch/1SMA22CAT3/page-1", "1SMA22CAT3")</f>
        <v>1SMA22CAT3</v>
      </c>
      <c r="B3389" s="3" t="str">
        <f>HYPERLINK("https://www.773grp.com/manufacturer/onsemi?pageNo=692", "Onsemi")</f>
        <v>Onsemi</v>
      </c>
      <c r="C3389" s="6">
        <v>9800</v>
      </c>
      <c r="D3389" s="7">
        <v>0.53</v>
      </c>
      <c r="E3389" t="s">
        <v>75</v>
      </c>
    </row>
    <row r="3390" spans="1:5" x14ac:dyDescent="0.25">
      <c r="A3390" t="str">
        <f>HYPERLINK("https://www.773grp.com/globalSearch/1SMA51CAT3G/page-1", "1SMA51CAT3G")</f>
        <v>1SMA51CAT3G</v>
      </c>
      <c r="B3390" s="3" t="str">
        <f>HYPERLINK("https://www.773grp.com/manufacturer/onsemi?pageNo=693", "Onsemi")</f>
        <v>Onsemi</v>
      </c>
      <c r="C3390" s="6">
        <v>5000</v>
      </c>
      <c r="D3390" s="7">
        <v>0.53</v>
      </c>
      <c r="E3390" t="s">
        <v>75</v>
      </c>
    </row>
    <row r="3391" spans="1:5" x14ac:dyDescent="0.25">
      <c r="A3391" t="str">
        <f>HYPERLINK("https://www.773grp.com/globalSearch/1SMA70CAT3/page-1", "1SMA70CAT3")</f>
        <v>1SMA70CAT3</v>
      </c>
      <c r="B3391" s="3" t="str">
        <f>HYPERLINK("https://www.773grp.com/manufacturer/onsemi?pageNo=694", "Onsemi")</f>
        <v>Onsemi</v>
      </c>
      <c r="C3391" s="6">
        <v>9583</v>
      </c>
      <c r="D3391" s="7">
        <v>0.53</v>
      </c>
      <c r="E3391" t="s">
        <v>75</v>
      </c>
    </row>
    <row r="3392" spans="1:5" x14ac:dyDescent="0.25">
      <c r="A3392" t="str">
        <f>HYPERLINK("https://www.773grp.com/globalSearch/1SMB10CAT3/page-1", "1SMB10CAT3")</f>
        <v>1SMB10CAT3</v>
      </c>
      <c r="B3392" s="3" t="str">
        <f>HYPERLINK("https://www.773grp.com/manufacturer/onsemi?pageNo=695", "Onsemi")</f>
        <v>Onsemi</v>
      </c>
      <c r="C3392" s="6">
        <v>157500</v>
      </c>
      <c r="D3392" s="7">
        <v>0.53</v>
      </c>
      <c r="E3392" t="s">
        <v>75</v>
      </c>
    </row>
    <row r="3393" spans="1:5" x14ac:dyDescent="0.25">
      <c r="A3393" t="str">
        <f>HYPERLINK("https://www.773grp.com/globalSearch/1SMB14CAT3/page-1", "1SMB14CAT3")</f>
        <v>1SMB14CAT3</v>
      </c>
      <c r="B3393" s="3" t="str">
        <f>HYPERLINK("https://www.773grp.com/manufacturer/onsemi?pageNo=696", "Onsemi")</f>
        <v>Onsemi</v>
      </c>
      <c r="C3393" s="6">
        <v>12500</v>
      </c>
      <c r="D3393" s="7">
        <v>0.53</v>
      </c>
      <c r="E3393" t="s">
        <v>75</v>
      </c>
    </row>
    <row r="3394" spans="1:5" x14ac:dyDescent="0.25">
      <c r="A3394" t="str">
        <f>HYPERLINK("https://www.773grp.com/globalSearch/1SMB15CAT3/page-1", "1SMB15CAT3")</f>
        <v>1SMB15CAT3</v>
      </c>
      <c r="B3394" s="3" t="str">
        <f>HYPERLINK("https://www.773grp.com/manufacturer/onsemi?pageNo=697", "Onsemi")</f>
        <v>Onsemi</v>
      </c>
      <c r="C3394" s="6">
        <v>2500</v>
      </c>
      <c r="D3394" s="7">
        <v>0.53</v>
      </c>
      <c r="E3394" t="s">
        <v>75</v>
      </c>
    </row>
    <row r="3395" spans="1:5" x14ac:dyDescent="0.25">
      <c r="A3395" t="str">
        <f>HYPERLINK("https://www.773grp.com/globalSearch/1SMB24CAT3/page-1", "1SMB24CAT3")</f>
        <v>1SMB24CAT3</v>
      </c>
      <c r="B3395" s="3" t="str">
        <f>HYPERLINK("https://www.773grp.com/manufacturer/onsemi?pageNo=698", "Onsemi")</f>
        <v>Onsemi</v>
      </c>
      <c r="C3395" s="6">
        <v>40820</v>
      </c>
      <c r="D3395" s="7">
        <v>0.53</v>
      </c>
      <c r="E3395" t="s">
        <v>75</v>
      </c>
    </row>
    <row r="3396" spans="1:5" x14ac:dyDescent="0.25">
      <c r="A3396" t="str">
        <f>HYPERLINK("https://www.773grp.com/globalSearch/1SMB43CAT3/page-1", "1SMB43CAT3")</f>
        <v>1SMB43CAT3</v>
      </c>
      <c r="B3396" s="3" t="str">
        <f>HYPERLINK("https://www.773grp.com/manufacturer/onsemi?pageNo=699", "Onsemi")</f>
        <v>Onsemi</v>
      </c>
      <c r="C3396" s="6">
        <v>71700</v>
      </c>
      <c r="D3396" s="7">
        <v>0.53</v>
      </c>
      <c r="E3396" t="s">
        <v>75</v>
      </c>
    </row>
    <row r="3397" spans="1:5" x14ac:dyDescent="0.25">
      <c r="A3397" t="str">
        <f>HYPERLINK("https://www.773grp.com/globalSearch/1SMB48CAT3/page-1", "1SMB48CAT3")</f>
        <v>1SMB48CAT3</v>
      </c>
      <c r="B3397" s="3" t="str">
        <f>HYPERLINK("https://www.773grp.com/manufacturer/onsemi?pageNo=700", "Onsemi")</f>
        <v>Onsemi</v>
      </c>
      <c r="C3397" s="6">
        <v>5000</v>
      </c>
      <c r="D3397" s="7">
        <v>0.53</v>
      </c>
      <c r="E3397" t="s">
        <v>75</v>
      </c>
    </row>
    <row r="3398" spans="1:5" x14ac:dyDescent="0.25">
      <c r="A3398" t="str">
        <f>HYPERLINK("https://www.773grp.com/globalSearch/1SMB54CAT3/page-1", "1SMB54CAT3")</f>
        <v>1SMB54CAT3</v>
      </c>
      <c r="B3398" s="3" t="str">
        <f>HYPERLINK("https://www.773grp.com/manufacturer/onsemi?pageNo=701", "Onsemi")</f>
        <v>Onsemi</v>
      </c>
      <c r="C3398" s="6">
        <v>2500</v>
      </c>
      <c r="D3398" s="7">
        <v>0.53</v>
      </c>
      <c r="E3398" t="s">
        <v>75</v>
      </c>
    </row>
    <row r="3399" spans="1:5" x14ac:dyDescent="0.25">
      <c r="A3399" t="str">
        <f>HYPERLINK("https://www.773grp.com/globalSearch/1SMB60CAT3/page-1", "1SMB60CAT3")</f>
        <v>1SMB60CAT3</v>
      </c>
      <c r="B3399" s="3" t="str">
        <f>HYPERLINK("https://www.773grp.com/manufacturer/onsemi?pageNo=702", "Onsemi")</f>
        <v>Onsemi</v>
      </c>
      <c r="C3399" s="6">
        <v>2500</v>
      </c>
      <c r="D3399" s="7">
        <v>0.53</v>
      </c>
      <c r="E3399" t="s">
        <v>75</v>
      </c>
    </row>
    <row r="3400" spans="1:5" x14ac:dyDescent="0.25">
      <c r="A3400" t="str">
        <f>HYPERLINK("https://www.773grp.com/globalSearch/2N2907/page-1", "2N2907")</f>
        <v>2N2907</v>
      </c>
      <c r="B3400" s="3" t="str">
        <f>HYPERLINK("https://www.773grp.com/manufacturer/onsemi?pageNo=703", "Onsemi")</f>
        <v>Onsemi</v>
      </c>
      <c r="C3400" s="6">
        <v>1</v>
      </c>
      <c r="D3400" s="7">
        <v>0.53</v>
      </c>
      <c r="E3400" t="s">
        <v>57</v>
      </c>
    </row>
    <row r="3401" spans="1:5" x14ac:dyDescent="0.25">
      <c r="A3401" t="str">
        <f>HYPERLINK("https://www.773grp.com/globalSearch/2N5194/page-1", "2N5194")</f>
        <v>2N5194</v>
      </c>
      <c r="B3401" s="3" t="str">
        <f>HYPERLINK("https://www.773grp.com/manufacturer/onsemi?pageNo=704", "Onsemi")</f>
        <v>Onsemi</v>
      </c>
      <c r="C3401" s="6">
        <v>21416</v>
      </c>
      <c r="D3401" s="7">
        <v>0.53</v>
      </c>
      <c r="E3401" t="s">
        <v>47</v>
      </c>
    </row>
    <row r="3402" spans="1:5" x14ac:dyDescent="0.25">
      <c r="A3402" t="str">
        <f>HYPERLINK("https://www.773grp.com/globalSearch/2N6426G/page-1", "2N6426G")</f>
        <v>2N6426G</v>
      </c>
      <c r="B3402" s="3" t="str">
        <f>HYPERLINK("https://www.773grp.com/manufacturer/onsemi?pageNo=705", "Onsemi")</f>
        <v>Onsemi</v>
      </c>
      <c r="C3402" s="6">
        <v>37900</v>
      </c>
      <c r="D3402" s="7">
        <v>0.53</v>
      </c>
      <c r="E3402" t="s">
        <v>57</v>
      </c>
    </row>
    <row r="3403" spans="1:5" x14ac:dyDescent="0.25">
      <c r="A3403" t="str">
        <f>HYPERLINK("https://www.773grp.com/globalSearch/74FST3126DR2/page-1", "74FST3126DR2")</f>
        <v>74FST3126DR2</v>
      </c>
      <c r="B3403" s="3" t="str">
        <f>HYPERLINK("https://www.773grp.com/manufacturer/onsemi?pageNo=706", "Onsemi")</f>
        <v>Onsemi</v>
      </c>
      <c r="C3403" s="6">
        <v>50000</v>
      </c>
      <c r="D3403" s="7">
        <v>0.53</v>
      </c>
      <c r="E3403" t="s">
        <v>11</v>
      </c>
    </row>
    <row r="3404" spans="1:5" x14ac:dyDescent="0.25">
      <c r="A3404" t="str">
        <f>HYPERLINK("https://www.773grp.com/globalSearch/74FST3257DR2/page-1", "74FST3257DR2")</f>
        <v>74FST3257DR2</v>
      </c>
      <c r="B3404" s="3" t="str">
        <f>HYPERLINK("https://www.773grp.com/manufacturer/onsemi?pageNo=707", "Onsemi")</f>
        <v>Onsemi</v>
      </c>
      <c r="C3404" s="6">
        <v>4944</v>
      </c>
      <c r="D3404" s="7">
        <v>0.53</v>
      </c>
      <c r="E3404" t="s">
        <v>16</v>
      </c>
    </row>
    <row r="3405" spans="1:5" x14ac:dyDescent="0.25">
      <c r="A3405" t="str">
        <f>HYPERLINK("https://www.773grp.com/globalSearch/74FST3257DT/page-1", "74FST3257DT")</f>
        <v>74FST3257DT</v>
      </c>
      <c r="B3405" s="3" t="str">
        <f>HYPERLINK("https://www.773grp.com/manufacturer/onsemi?pageNo=708", "Onsemi")</f>
        <v>Onsemi</v>
      </c>
      <c r="C3405" s="6">
        <v>11752</v>
      </c>
      <c r="D3405" s="7">
        <v>0.53</v>
      </c>
      <c r="E3405" t="s">
        <v>16</v>
      </c>
    </row>
    <row r="3406" spans="1:5" x14ac:dyDescent="0.25">
      <c r="A3406" t="str">
        <f>HYPERLINK("https://www.773grp.com/globalSearch/74FST3257DTR2/page-1", "74FST3257DTR2")</f>
        <v>74FST3257DTR2</v>
      </c>
      <c r="B3406" s="3" t="str">
        <f>HYPERLINK("https://www.773grp.com/manufacturer/onsemi?pageNo=709", "Onsemi")</f>
        <v>Onsemi</v>
      </c>
      <c r="C3406" s="6">
        <v>9808</v>
      </c>
      <c r="D3406" s="7">
        <v>0.53</v>
      </c>
      <c r="E3406" t="s">
        <v>16</v>
      </c>
    </row>
    <row r="3407" spans="1:5" x14ac:dyDescent="0.25">
      <c r="A3407" t="str">
        <f>HYPERLINK("https://www.773grp.com/globalSearch/74HC373DTR2G/page-1", "74HC373DTR2G")</f>
        <v>74HC373DTR2G</v>
      </c>
      <c r="B3407" s="3" t="str">
        <f>HYPERLINK("https://www.773grp.com/manufacturer/onsemi?pageNo=710", "Onsemi")</f>
        <v>Onsemi</v>
      </c>
      <c r="C3407" s="6">
        <v>208271</v>
      </c>
      <c r="D3407" s="7">
        <v>0.53</v>
      </c>
      <c r="E3407" t="s">
        <v>11</v>
      </c>
    </row>
    <row r="3408" spans="1:5" x14ac:dyDescent="0.25">
      <c r="A3408" t="str">
        <f>HYPERLINK("https://www.773grp.com/globalSearch/74HC374DTR2G/page-1", "74HC374DTR2G")</f>
        <v>74HC374DTR2G</v>
      </c>
      <c r="B3408" s="3" t="str">
        <f>HYPERLINK("https://www.773grp.com/manufacturer/onsemi?pageNo=711", "Onsemi")</f>
        <v>Onsemi</v>
      </c>
      <c r="C3408" s="6">
        <v>63497</v>
      </c>
      <c r="D3408" s="7">
        <v>0.53</v>
      </c>
      <c r="E3408" t="s">
        <v>11</v>
      </c>
    </row>
    <row r="3409" spans="1:5" x14ac:dyDescent="0.25">
      <c r="A3409" t="str">
        <f>HYPERLINK("https://www.773grp.com/globalSearch/BAS40-04LT1/page-1", "BAS40-04LT1")</f>
        <v>BAS40-04LT1</v>
      </c>
      <c r="B3409" s="3" t="str">
        <f>HYPERLINK("https://www.773grp.com/manufacturer/onsemi?pageNo=712", "Onsemi")</f>
        <v>Onsemi</v>
      </c>
      <c r="C3409" s="6">
        <v>3000</v>
      </c>
      <c r="D3409" s="7">
        <v>0.53</v>
      </c>
    </row>
    <row r="3410" spans="1:5" x14ac:dyDescent="0.25">
      <c r="A3410" t="str">
        <f>HYPERLINK("https://www.773grp.com/globalSearch/BC369ZL1G/page-1", "BC369ZL1G")</f>
        <v>BC369ZL1G</v>
      </c>
      <c r="B3410" s="3" t="str">
        <f>HYPERLINK("https://www.773grp.com/manufacturer/onsemi?pageNo=713", "Onsemi")</f>
        <v>Onsemi</v>
      </c>
      <c r="C3410" s="6">
        <v>10000</v>
      </c>
      <c r="D3410" s="7">
        <v>0.53</v>
      </c>
    </row>
    <row r="3411" spans="1:5" x14ac:dyDescent="0.25">
      <c r="A3411" t="str">
        <f>HYPERLINK("https://www.773grp.com/globalSearch/BC373RL1G/page-1", "BC373RL1G")</f>
        <v>BC373RL1G</v>
      </c>
      <c r="B3411" s="3" t="str">
        <f>HYPERLINK("https://www.773grp.com/manufacturer/onsemi?pageNo=714", "Onsemi")</f>
        <v>Onsemi</v>
      </c>
      <c r="C3411" s="6">
        <v>6000</v>
      </c>
      <c r="D3411" s="7">
        <v>0.53</v>
      </c>
    </row>
    <row r="3412" spans="1:5" x14ac:dyDescent="0.25">
      <c r="A3412" t="str">
        <f>HYPERLINK("https://www.773grp.com/globalSearch/BC639-16ZL1G/page-1", "BC639-16ZL1G")</f>
        <v>BC639-16ZL1G</v>
      </c>
      <c r="B3412" s="3" t="str">
        <f>HYPERLINK("https://www.773grp.com/manufacturer/onsemi?pageNo=715", "Onsemi")</f>
        <v>Onsemi</v>
      </c>
      <c r="C3412" s="6">
        <v>30934</v>
      </c>
      <c r="D3412" s="7">
        <v>0.53</v>
      </c>
      <c r="E3412" t="s">
        <v>57</v>
      </c>
    </row>
    <row r="3413" spans="1:5" x14ac:dyDescent="0.25">
      <c r="A3413" t="str">
        <f>HYPERLINK("https://www.773grp.com/globalSearch/BC639G/page-1", "BC639G")</f>
        <v>BC639G</v>
      </c>
      <c r="B3413" s="3" t="str">
        <f>HYPERLINK("https://www.773grp.com/manufacturer/onsemi?pageNo=716", "Onsemi")</f>
        <v>Onsemi</v>
      </c>
      <c r="C3413" s="6">
        <v>25000</v>
      </c>
      <c r="D3413" s="7">
        <v>0.53</v>
      </c>
      <c r="E3413" t="s">
        <v>57</v>
      </c>
    </row>
    <row r="3414" spans="1:5" x14ac:dyDescent="0.25">
      <c r="A3414" t="str">
        <f>HYPERLINK("https://www.773grp.com/globalSearch/BC639RL1G/page-1", "BC639RL1G")</f>
        <v>BC639RL1G</v>
      </c>
      <c r="B3414" s="3" t="str">
        <f>HYPERLINK("https://www.773grp.com/manufacturer/onsemi?pageNo=717", "Onsemi")</f>
        <v>Onsemi</v>
      </c>
      <c r="C3414" s="6">
        <v>3113</v>
      </c>
      <c r="D3414" s="7">
        <v>0.53</v>
      </c>
      <c r="E3414" t="s">
        <v>57</v>
      </c>
    </row>
    <row r="3415" spans="1:5" x14ac:dyDescent="0.25">
      <c r="A3415" t="str">
        <f>HYPERLINK("https://www.773grp.com/globalSearch/BC639ZL1G/page-1", "BC639ZL1G")</f>
        <v>BC639ZL1G</v>
      </c>
      <c r="B3415" s="3" t="str">
        <f>HYPERLINK("https://www.773grp.com/manufacturer/onsemi?pageNo=718", "Onsemi")</f>
        <v>Onsemi</v>
      </c>
      <c r="C3415" s="6">
        <v>14000</v>
      </c>
      <c r="D3415" s="7">
        <v>0.53</v>
      </c>
      <c r="E3415" t="s">
        <v>57</v>
      </c>
    </row>
    <row r="3416" spans="1:5" x14ac:dyDescent="0.25">
      <c r="A3416" t="str">
        <f>HYPERLINK("https://www.773grp.com/globalSearch/BC640-016G/page-1", "BC640-016G")</f>
        <v>BC640-016G</v>
      </c>
      <c r="B3416" s="3" t="str">
        <f>HYPERLINK("https://www.773grp.com/manufacturer/onsemi?pageNo=719", "Onsemi")</f>
        <v>Onsemi</v>
      </c>
      <c r="C3416" s="6">
        <v>16293</v>
      </c>
      <c r="D3416" s="7">
        <v>0.53</v>
      </c>
    </row>
    <row r="3417" spans="1:5" x14ac:dyDescent="0.25">
      <c r="A3417" t="str">
        <f>HYPERLINK("https://www.773grp.com/globalSearch/BD234/page-1", "BD234")</f>
        <v>BD234</v>
      </c>
      <c r="B3417" s="3" t="str">
        <f>HYPERLINK("https://www.773grp.com/manufacturer/onsemi?pageNo=720", "Onsemi")</f>
        <v>Onsemi</v>
      </c>
      <c r="C3417" s="6">
        <v>3500</v>
      </c>
      <c r="D3417" s="7">
        <v>0.53</v>
      </c>
      <c r="E3417" t="s">
        <v>47</v>
      </c>
    </row>
    <row r="3418" spans="1:5" x14ac:dyDescent="0.25">
      <c r="A3418" t="str">
        <f>HYPERLINK("https://www.773grp.com/globalSearch/BD238/page-1", "BD238")</f>
        <v>BD238</v>
      </c>
      <c r="B3418" s="3" t="str">
        <f>HYPERLINK("https://www.773grp.com/manufacturer/onsemi?pageNo=721", "Onsemi")</f>
        <v>Onsemi</v>
      </c>
      <c r="C3418" s="6">
        <v>8816</v>
      </c>
      <c r="D3418" s="7">
        <v>0.53</v>
      </c>
      <c r="E3418" t="s">
        <v>47</v>
      </c>
    </row>
    <row r="3419" spans="1:5" x14ac:dyDescent="0.25">
      <c r="A3419" t="str">
        <f>HYPERLINK("https://www.773grp.com/globalSearch/BD238G/page-1", "BD238G")</f>
        <v>BD238G</v>
      </c>
      <c r="B3419" s="3" t="str">
        <f>HYPERLINK("https://www.773grp.com/manufacturer/onsemi?pageNo=722", "Onsemi")</f>
        <v>Onsemi</v>
      </c>
      <c r="C3419" s="6">
        <v>900</v>
      </c>
      <c r="D3419" s="7">
        <v>0.53</v>
      </c>
      <c r="E3419" t="s">
        <v>47</v>
      </c>
    </row>
    <row r="3420" spans="1:5" x14ac:dyDescent="0.25">
      <c r="A3420" t="str">
        <f>HYPERLINK("https://www.773grp.com/globalSearch/BD242B/page-1", "BD242B")</f>
        <v>BD242B</v>
      </c>
      <c r="B3420" s="3" t="str">
        <f>HYPERLINK("https://www.773grp.com/manufacturer/onsemi?pageNo=723", "Onsemi")</f>
        <v>Onsemi</v>
      </c>
      <c r="C3420" s="6">
        <v>1050</v>
      </c>
      <c r="D3420" s="7">
        <v>0.53</v>
      </c>
      <c r="E3420" t="s">
        <v>47</v>
      </c>
    </row>
    <row r="3421" spans="1:5" x14ac:dyDescent="0.25">
      <c r="A3421" t="str">
        <f>HYPERLINK("https://www.773grp.com/globalSearch/BD442/page-1", "BD442")</f>
        <v>BD442</v>
      </c>
      <c r="B3421" s="3" t="str">
        <f>HYPERLINK("https://www.773grp.com/manufacturer/onsemi?pageNo=724", "Onsemi")</f>
        <v>Onsemi</v>
      </c>
      <c r="C3421" s="6">
        <v>3000</v>
      </c>
      <c r="D3421" s="7">
        <v>0.53</v>
      </c>
      <c r="E3421" t="s">
        <v>47</v>
      </c>
    </row>
    <row r="3422" spans="1:5" x14ac:dyDescent="0.25">
      <c r="A3422" t="str">
        <f>HYPERLINK("https://www.773grp.com/globalSearch/BD675/page-1", "BD675")</f>
        <v>BD675</v>
      </c>
      <c r="B3422" s="3" t="str">
        <f>HYPERLINK("https://www.773grp.com/manufacturer/onsemi?pageNo=725", "Onsemi")</f>
        <v>Onsemi</v>
      </c>
      <c r="C3422" s="6">
        <v>79000</v>
      </c>
      <c r="D3422" s="7">
        <v>0.53</v>
      </c>
      <c r="E3422" t="s">
        <v>47</v>
      </c>
    </row>
    <row r="3423" spans="1:5" x14ac:dyDescent="0.25">
      <c r="A3423" t="str">
        <f>HYPERLINK("https://www.773grp.com/globalSearch/BD675A/page-1", "BD675A")</f>
        <v>BD675A</v>
      </c>
      <c r="B3423" s="3" t="str">
        <f>HYPERLINK("https://www.773grp.com/manufacturer/onsemi?pageNo=726", "Onsemi")</f>
        <v>Onsemi</v>
      </c>
      <c r="C3423" s="6">
        <v>500</v>
      </c>
      <c r="D3423" s="7">
        <v>0.53</v>
      </c>
      <c r="E3423" t="s">
        <v>47</v>
      </c>
    </row>
    <row r="3424" spans="1:5" x14ac:dyDescent="0.25">
      <c r="A3424" t="str">
        <f>HYPERLINK("https://www.773grp.com/globalSearch/BD676A/page-1", "BD676A")</f>
        <v>BD676A</v>
      </c>
      <c r="B3424" s="3" t="str">
        <f>HYPERLINK("https://www.773grp.com/manufacturer/onsemi?pageNo=727", "Onsemi")</f>
        <v>Onsemi</v>
      </c>
      <c r="C3424" s="6">
        <v>1500</v>
      </c>
      <c r="D3424" s="7">
        <v>0.53</v>
      </c>
      <c r="E3424" t="s">
        <v>47</v>
      </c>
    </row>
    <row r="3425" spans="1:5" x14ac:dyDescent="0.25">
      <c r="A3425" t="str">
        <f>HYPERLINK("https://www.773grp.com/globalSearch/BD679/page-1", "BD679")</f>
        <v>BD679</v>
      </c>
      <c r="B3425" s="3" t="str">
        <f>HYPERLINK("https://www.773grp.com/manufacturer/onsemi?pageNo=728", "Onsemi")</f>
        <v>Onsemi</v>
      </c>
      <c r="C3425" s="6">
        <v>1970</v>
      </c>
      <c r="D3425" s="7">
        <v>0.53</v>
      </c>
      <c r="E3425" t="s">
        <v>47</v>
      </c>
    </row>
    <row r="3426" spans="1:5" x14ac:dyDescent="0.25">
      <c r="A3426" t="str">
        <f>HYPERLINK("https://www.773grp.com/globalSearch/BD680/page-1", "BD680")</f>
        <v>BD680</v>
      </c>
      <c r="B3426" s="3" t="str">
        <f>HYPERLINK("https://www.773grp.com/manufacturer/onsemi?pageNo=729", "Onsemi")</f>
        <v>Onsemi</v>
      </c>
      <c r="C3426" s="6">
        <v>59</v>
      </c>
      <c r="D3426" s="7">
        <v>0.53</v>
      </c>
      <c r="E3426" t="s">
        <v>47</v>
      </c>
    </row>
    <row r="3427" spans="1:5" x14ac:dyDescent="0.25">
      <c r="A3427" t="str">
        <f>HYPERLINK("https://www.773grp.com/globalSearch/BD680A/page-1", "BD680A")</f>
        <v>BD680A</v>
      </c>
      <c r="B3427" s="3" t="str">
        <f>HYPERLINK("https://www.773grp.com/manufacturer/onsemi?pageNo=730", "Onsemi")</f>
        <v>Onsemi</v>
      </c>
      <c r="C3427" s="6">
        <v>1000</v>
      </c>
      <c r="D3427" s="7">
        <v>0.53</v>
      </c>
      <c r="E3427" t="s">
        <v>47</v>
      </c>
    </row>
    <row r="3428" spans="1:5" x14ac:dyDescent="0.25">
      <c r="A3428" t="str">
        <f>HYPERLINK("https://www.773grp.com/globalSearch/BF720T3/page-1", "BF720T3")</f>
        <v>BF720T3</v>
      </c>
      <c r="B3428" s="3" t="str">
        <f>HYPERLINK("https://www.773grp.com/manufacturer/onsemi?pageNo=731", "Onsemi")</f>
        <v>Onsemi</v>
      </c>
      <c r="C3428" s="6">
        <v>3000</v>
      </c>
      <c r="D3428" s="7">
        <v>0.53</v>
      </c>
      <c r="E3428" t="s">
        <v>47</v>
      </c>
    </row>
    <row r="3429" spans="1:5" x14ac:dyDescent="0.25">
      <c r="A3429" t="str">
        <f>HYPERLINK("https://www.773grp.com/globalSearch/C106D/page-1", "C106D")</f>
        <v>C106D</v>
      </c>
      <c r="B3429" s="3" t="str">
        <f>HYPERLINK("https://www.773grp.com/manufacturer/onsemi?pageNo=732", "Onsemi")</f>
        <v>Onsemi</v>
      </c>
      <c r="C3429" s="6">
        <v>3038</v>
      </c>
      <c r="D3429" s="7">
        <v>0.53</v>
      </c>
      <c r="E3429" t="s">
        <v>76</v>
      </c>
    </row>
    <row r="3430" spans="1:5" x14ac:dyDescent="0.25">
      <c r="A3430" t="str">
        <f>HYPERLINK("https://www.773grp.com/globalSearch/CAT24C02WI-GT3/page-1", "CAT24C02WI-GT3")</f>
        <v>CAT24C02WI-GT3</v>
      </c>
      <c r="B3430" s="3" t="str">
        <f>HYPERLINK("https://www.773grp.com/manufacturer/onsemi?pageNo=733", "Onsemi")</f>
        <v>Onsemi</v>
      </c>
      <c r="C3430" s="6">
        <v>154875</v>
      </c>
      <c r="D3430" s="7">
        <v>0.53</v>
      </c>
      <c r="E3430" t="s">
        <v>52</v>
      </c>
    </row>
    <row r="3431" spans="1:5" x14ac:dyDescent="0.25">
      <c r="A3431" t="str">
        <f>HYPERLINK("https://www.773grp.com/globalSearch/CAT24C02WI-GT3/page-1", "CAT24C02WI-GT3")</f>
        <v>CAT24C02WI-GT3</v>
      </c>
      <c r="B3431" s="3" t="str">
        <f>HYPERLINK("https://www.773grp.com/manufacturer/onsemi?pageNo=734", "Onsemi")</f>
        <v>Onsemi</v>
      </c>
      <c r="C3431" s="6">
        <v>12000</v>
      </c>
      <c r="D3431" s="7">
        <v>0.53</v>
      </c>
      <c r="E3431" t="s">
        <v>52</v>
      </c>
    </row>
    <row r="3432" spans="1:5" x14ac:dyDescent="0.25">
      <c r="A3432" t="str">
        <f>HYPERLINK("https://www.773grp.com/globalSearch/CAT24C02YI-G/page-1", "CAT24C02YI-G")</f>
        <v>CAT24C02YI-G</v>
      </c>
      <c r="B3432" s="3" t="str">
        <f>HYPERLINK("https://www.773grp.com/manufacturer/onsemi?pageNo=735", "Onsemi")</f>
        <v>Onsemi</v>
      </c>
      <c r="C3432" s="6">
        <v>135700</v>
      </c>
      <c r="D3432" s="7">
        <v>0.53</v>
      </c>
    </row>
    <row r="3433" spans="1:5" x14ac:dyDescent="0.25">
      <c r="A3433" t="str">
        <f>HYPERLINK("https://www.773grp.com/globalSearch/CAT24C02YI-GT3/page-1", "CAT24C02YI-GT3")</f>
        <v>CAT24C02YI-GT3</v>
      </c>
      <c r="B3433" s="3" t="str">
        <f>HYPERLINK("https://www.773grp.com/manufacturer/onsemi?pageNo=736", "Onsemi")</f>
        <v>Onsemi</v>
      </c>
      <c r="C3433" s="6">
        <v>222000</v>
      </c>
      <c r="D3433" s="7">
        <v>0.53</v>
      </c>
      <c r="E3433" t="s">
        <v>52</v>
      </c>
    </row>
    <row r="3434" spans="1:5" x14ac:dyDescent="0.25">
      <c r="A3434" t="str">
        <f>HYPERLINK("https://www.773grp.com/globalSearch/CAT24C04WI-GT3/page-1", "CAT24C04WI-GT3")</f>
        <v>CAT24C04WI-GT3</v>
      </c>
      <c r="B3434" s="3" t="str">
        <f>HYPERLINK("https://www.773grp.com/manufacturer/onsemi?pageNo=737", "Onsemi")</f>
        <v>Onsemi</v>
      </c>
      <c r="C3434" s="6">
        <v>15000</v>
      </c>
      <c r="D3434" s="7">
        <v>0.53</v>
      </c>
      <c r="E3434" t="s">
        <v>52</v>
      </c>
    </row>
    <row r="3435" spans="1:5" x14ac:dyDescent="0.25">
      <c r="A3435" t="str">
        <f>HYPERLINK("https://www.773grp.com/globalSearch/CAT24C04WI-GT3/page-1", "CAT24C04WI-GT3")</f>
        <v>CAT24C04WI-GT3</v>
      </c>
      <c r="B3435" s="3" t="str">
        <f>HYPERLINK("https://www.773grp.com/manufacturer/onsemi?pageNo=738", "Onsemi")</f>
        <v>Onsemi</v>
      </c>
      <c r="C3435" s="6">
        <v>85860</v>
      </c>
      <c r="D3435" s="7">
        <v>0.53</v>
      </c>
      <c r="E3435" t="s">
        <v>52</v>
      </c>
    </row>
    <row r="3436" spans="1:5" x14ac:dyDescent="0.25">
      <c r="A3436" t="str">
        <f>HYPERLINK("https://www.773grp.com/globalSearch/CAT24C04YI-GT3/page-1", "CAT24C04YI-GT3")</f>
        <v>CAT24C04YI-GT3</v>
      </c>
      <c r="B3436" s="3" t="str">
        <f>HYPERLINK("https://www.773grp.com/manufacturer/onsemi?pageNo=739", "Onsemi")</f>
        <v>Onsemi</v>
      </c>
      <c r="C3436" s="6">
        <v>135000</v>
      </c>
      <c r="D3436" s="7">
        <v>0.53</v>
      </c>
    </row>
    <row r="3437" spans="1:5" x14ac:dyDescent="0.25">
      <c r="A3437" t="str">
        <f>HYPERLINK("https://www.773grp.com/globalSearch/CAT24C08WI-G/page-1", "CAT24C08WI-G")</f>
        <v>CAT24C08WI-G</v>
      </c>
      <c r="B3437" s="3" t="str">
        <f>HYPERLINK("https://www.773grp.com/manufacturer/onsemi?pageNo=740", "Onsemi")</f>
        <v>Onsemi</v>
      </c>
      <c r="C3437" s="6">
        <v>1400</v>
      </c>
      <c r="D3437" s="7">
        <v>0.53</v>
      </c>
    </row>
    <row r="3438" spans="1:5" x14ac:dyDescent="0.25">
      <c r="A3438" t="str">
        <f>HYPERLINK("https://www.773grp.com/globalSearch/CAT24C08WI-G/page-1", "CAT24C08WI-G")</f>
        <v>CAT24C08WI-G</v>
      </c>
      <c r="B3438" s="3" t="str">
        <f>HYPERLINK("https://www.773grp.com/manufacturer/onsemi?pageNo=741", "Onsemi")</f>
        <v>Onsemi</v>
      </c>
      <c r="C3438" s="6">
        <v>684</v>
      </c>
      <c r="D3438" s="7">
        <v>0.53</v>
      </c>
    </row>
    <row r="3439" spans="1:5" x14ac:dyDescent="0.25">
      <c r="A3439" t="str">
        <f>HYPERLINK("https://www.773grp.com/globalSearch/CAT24C08YI-G/page-1", "CAT24C08YI-G")</f>
        <v>CAT24C08YI-G</v>
      </c>
      <c r="B3439" s="3" t="str">
        <f>HYPERLINK("https://www.773grp.com/manufacturer/onsemi?pageNo=742", "Onsemi")</f>
        <v>Onsemi</v>
      </c>
      <c r="C3439" s="6">
        <v>9400</v>
      </c>
      <c r="D3439" s="7">
        <v>0.53</v>
      </c>
    </row>
    <row r="3440" spans="1:5" x14ac:dyDescent="0.25">
      <c r="A3440" t="str">
        <f>HYPERLINK("https://www.773grp.com/globalSearch/CAT24C16YI-G/page-1", "CAT24C16YI-G")</f>
        <v>CAT24C16YI-G</v>
      </c>
      <c r="B3440" s="3" t="str">
        <f>HYPERLINK("https://www.773grp.com/manufacturer/onsemi?pageNo=743", "Onsemi")</f>
        <v>Onsemi</v>
      </c>
      <c r="C3440" s="6">
        <v>3187</v>
      </c>
      <c r="D3440" s="7">
        <v>0.53</v>
      </c>
    </row>
    <row r="3441" spans="1:5" x14ac:dyDescent="0.25">
      <c r="A3441" t="str">
        <f>HYPERLINK("https://www.773grp.com/globalSearch/CAT24C16YI-G/page-1", "CAT24C16YI-G")</f>
        <v>CAT24C16YI-G</v>
      </c>
      <c r="B3441" s="3" t="str">
        <f>HYPERLINK("https://www.773grp.com/manufacturer/onsemi?pageNo=744", "Onsemi")</f>
        <v>Onsemi</v>
      </c>
      <c r="C3441" s="6">
        <v>4300</v>
      </c>
      <c r="D3441" s="7">
        <v>0.53</v>
      </c>
    </row>
    <row r="3442" spans="1:5" x14ac:dyDescent="0.25">
      <c r="A3442" t="str">
        <f>HYPERLINK("https://www.773grp.com/globalSearch/CAT93C46WI-G/page-1", "CAT93C46WI-G")</f>
        <v>CAT93C46WI-G</v>
      </c>
      <c r="B3442" s="3" t="str">
        <f>HYPERLINK("https://www.773grp.com/manufacturer/onsemi?pageNo=745", "Onsemi")</f>
        <v>Onsemi</v>
      </c>
      <c r="C3442" s="6">
        <v>2100</v>
      </c>
      <c r="D3442" s="7">
        <v>0.53</v>
      </c>
    </row>
    <row r="3443" spans="1:5" x14ac:dyDescent="0.25">
      <c r="A3443" t="str">
        <f>HYPERLINK("https://www.773grp.com/globalSearch/CAT93C46YI-G/page-1", "CAT93C46YI-G")</f>
        <v>CAT93C46YI-G</v>
      </c>
      <c r="B3443" s="3" t="str">
        <f>HYPERLINK("https://www.773grp.com/manufacturer/onsemi?pageNo=746", "Onsemi")</f>
        <v>Onsemi</v>
      </c>
      <c r="C3443" s="6">
        <v>3900</v>
      </c>
      <c r="D3443" s="7">
        <v>0.53</v>
      </c>
    </row>
    <row r="3444" spans="1:5" x14ac:dyDescent="0.25">
      <c r="A3444" t="str">
        <f>HYPERLINK("https://www.773grp.com/globalSearch/CM1293A-04SO/page-1", "CM1293A-04SO")</f>
        <v>CM1293A-04SO</v>
      </c>
      <c r="B3444" s="3" t="str">
        <f>HYPERLINK("https://www.773grp.com/manufacturer/onsemi?pageNo=747", "Onsemi")</f>
        <v>Onsemi</v>
      </c>
      <c r="C3444" s="6">
        <v>50275</v>
      </c>
      <c r="D3444" s="7">
        <v>0.53</v>
      </c>
      <c r="E3444" t="s">
        <v>75</v>
      </c>
    </row>
    <row r="3445" spans="1:5" x14ac:dyDescent="0.25">
      <c r="A3445" t="str">
        <f>HYPERLINK("https://www.773grp.com/globalSearch/ESD7004MUTAG/page-1", "ESD7004MUTAG")</f>
        <v>ESD7004MUTAG</v>
      </c>
      <c r="B3445" s="3" t="str">
        <f>HYPERLINK("https://www.773grp.com/manufacturer/onsemi?pageNo=748", "Onsemi")</f>
        <v>Onsemi</v>
      </c>
      <c r="C3445" s="6">
        <v>186030</v>
      </c>
      <c r="D3445" s="7">
        <v>0.53</v>
      </c>
    </row>
    <row r="3446" spans="1:5" x14ac:dyDescent="0.25">
      <c r="A3446" t="str">
        <f>HYPERLINK("https://www.773grp.com/globalSearch/ESD7M5.0DT5G/page-1", "ESD7M5.0DT5G")</f>
        <v>ESD7M5.0DT5G</v>
      </c>
      <c r="B3446" s="3" t="str">
        <f>HYPERLINK("https://www.773grp.com/manufacturer/onsemi?pageNo=749", "Onsemi")</f>
        <v>Onsemi</v>
      </c>
      <c r="C3446" s="6">
        <v>74500</v>
      </c>
      <c r="D3446" s="7">
        <v>0.53</v>
      </c>
      <c r="E3446" t="s">
        <v>75</v>
      </c>
    </row>
    <row r="3447" spans="1:5" x14ac:dyDescent="0.25">
      <c r="A3447" t="str">
        <f>HYPERLINK("https://www.773grp.com/globalSearch/ESD9L3.3ST5G/page-1", "ESD9L3.3ST5G")</f>
        <v>ESD9L3.3ST5G</v>
      </c>
      <c r="B3447" s="3" t="str">
        <f>HYPERLINK("https://www.773grp.com/manufacturer/onsemi?pageNo=750", "Onsemi")</f>
        <v>Onsemi</v>
      </c>
      <c r="C3447" s="6">
        <v>602000</v>
      </c>
      <c r="D3447" s="7">
        <v>0.53</v>
      </c>
      <c r="E3447" t="s">
        <v>75</v>
      </c>
    </row>
    <row r="3448" spans="1:5" x14ac:dyDescent="0.25">
      <c r="A3448" t="str">
        <f>HYPERLINK("https://www.773grp.com/globalSearch/ESD9L5.0ST5G/page-1", "ESD9L5.0ST5G")</f>
        <v>ESD9L5.0ST5G</v>
      </c>
      <c r="B3448" s="3" t="str">
        <f>HYPERLINK("https://www.773grp.com/manufacturer/onsemi?pageNo=751", "Onsemi")</f>
        <v>Onsemi</v>
      </c>
      <c r="C3448" s="6">
        <v>613550</v>
      </c>
      <c r="D3448" s="7">
        <v>0.53</v>
      </c>
      <c r="E3448" t="s">
        <v>75</v>
      </c>
    </row>
    <row r="3449" spans="1:5" x14ac:dyDescent="0.25">
      <c r="A3449" t="str">
        <f>HYPERLINK("https://www.773grp.com/globalSearch/HATIP32CG/page-1", "HATIP32CG")</f>
        <v>HATIP32CG</v>
      </c>
      <c r="B3449" s="3" t="str">
        <f>HYPERLINK("https://www.773grp.com/manufacturer/onsemi?pageNo=752", "Onsemi")</f>
        <v>Onsemi</v>
      </c>
      <c r="C3449" s="6">
        <v>1000</v>
      </c>
      <c r="D3449" s="7">
        <v>0.53</v>
      </c>
    </row>
    <row r="3450" spans="1:5" x14ac:dyDescent="0.25">
      <c r="A3450" t="str">
        <f>HYPERLINK("https://www.773grp.com/globalSearch/LM2901VN/page-1", "LM2901VN")</f>
        <v>LM2901VN</v>
      </c>
      <c r="B3450" s="3" t="str">
        <f>HYPERLINK("https://www.773grp.com/manufacturer/onsemi?pageNo=753", "Onsemi")</f>
        <v>Onsemi</v>
      </c>
      <c r="C3450" s="6">
        <v>2365</v>
      </c>
      <c r="D3450" s="7">
        <v>0.53</v>
      </c>
      <c r="E3450" t="s">
        <v>6</v>
      </c>
    </row>
    <row r="3451" spans="1:5" x14ac:dyDescent="0.25">
      <c r="A3451" t="str">
        <f>HYPERLINK("https://www.773grp.com/globalSearch/LM2902VN/page-1", "LM2902VN")</f>
        <v>LM2902VN</v>
      </c>
      <c r="B3451" s="3" t="str">
        <f>HYPERLINK("https://www.773grp.com/manufacturer/onsemi?pageNo=754", "Onsemi")</f>
        <v>Onsemi</v>
      </c>
      <c r="C3451" s="6">
        <v>1146</v>
      </c>
      <c r="D3451" s="7">
        <v>0.53</v>
      </c>
      <c r="E3451" t="s">
        <v>10</v>
      </c>
    </row>
    <row r="3452" spans="1:5" x14ac:dyDescent="0.25">
      <c r="A3452" t="str">
        <f>HYPERLINK("https://www.773grp.com/globalSearch/LM2903DMR2/page-1", "LM2903DMR2")</f>
        <v>LM2903DMR2</v>
      </c>
      <c r="B3452" s="3" t="str">
        <f>HYPERLINK("https://www.773grp.com/manufacturer/onsemi?pageNo=755", "Onsemi")</f>
        <v>Onsemi</v>
      </c>
      <c r="C3452" s="6">
        <v>97349</v>
      </c>
      <c r="D3452" s="7">
        <v>0.53</v>
      </c>
      <c r="E3452" t="s">
        <v>6</v>
      </c>
    </row>
    <row r="3453" spans="1:5" x14ac:dyDescent="0.25">
      <c r="A3453" t="str">
        <f>HYPERLINK("https://www.773grp.com/globalSearch/LM2903VN/page-1", "LM2903VN")</f>
        <v>LM2903VN</v>
      </c>
      <c r="B3453" s="3" t="str">
        <f>HYPERLINK("https://www.773grp.com/manufacturer/onsemi?pageNo=756", "Onsemi")</f>
        <v>Onsemi</v>
      </c>
      <c r="C3453" s="6">
        <v>2825</v>
      </c>
      <c r="D3453" s="7">
        <v>0.53</v>
      </c>
      <c r="E3453" t="s">
        <v>6</v>
      </c>
    </row>
    <row r="3454" spans="1:5" x14ac:dyDescent="0.25">
      <c r="A3454" t="str">
        <f>HYPERLINK("https://www.773grp.com/globalSearch/LM2904VN/page-1", "LM2904VN")</f>
        <v>LM2904VN</v>
      </c>
      <c r="B3454" s="3" t="str">
        <f>HYPERLINK("https://www.773grp.com/manufacturer/onsemi?pageNo=757", "Onsemi")</f>
        <v>Onsemi</v>
      </c>
      <c r="C3454" s="6">
        <v>1857</v>
      </c>
      <c r="D3454" s="7">
        <v>0.53</v>
      </c>
      <c r="E3454" t="s">
        <v>10</v>
      </c>
    </row>
    <row r="3455" spans="1:5" x14ac:dyDescent="0.25">
      <c r="A3455" t="str">
        <f>HYPERLINK("https://www.773grp.com/globalSearch/LM317LZ/page-1", "LM317LZ")</f>
        <v>LM317LZ</v>
      </c>
      <c r="B3455" s="3" t="str">
        <f>HYPERLINK("https://www.773grp.com/manufacturer/onsemi?pageNo=758", "Onsemi")</f>
        <v>Onsemi</v>
      </c>
      <c r="C3455" s="6">
        <v>2512</v>
      </c>
      <c r="D3455" s="7">
        <v>0.53</v>
      </c>
      <c r="E3455" t="s">
        <v>18</v>
      </c>
    </row>
    <row r="3456" spans="1:5" x14ac:dyDescent="0.25">
      <c r="A3456" t="str">
        <f>HYPERLINK("https://www.773grp.com/globalSearch/LM317LZRA/page-1", "LM317LZRA")</f>
        <v>LM317LZRA</v>
      </c>
      <c r="B3456" s="3" t="str">
        <f>HYPERLINK("https://www.773grp.com/manufacturer/onsemi?pageNo=759", "Onsemi")</f>
        <v>Onsemi</v>
      </c>
      <c r="C3456" s="6">
        <v>102000</v>
      </c>
      <c r="D3456" s="7">
        <v>0.53</v>
      </c>
      <c r="E3456" t="s">
        <v>18</v>
      </c>
    </row>
    <row r="3457" spans="1:5" x14ac:dyDescent="0.25">
      <c r="A3457" t="str">
        <f>HYPERLINK("https://www.773grp.com/globalSearch/LM317LZRM/page-1", "LM317LZRM")</f>
        <v>LM317LZRM</v>
      </c>
      <c r="B3457" s="3" t="str">
        <f>HYPERLINK("https://www.773grp.com/manufacturer/onsemi?pageNo=760", "Onsemi")</f>
        <v>Onsemi</v>
      </c>
      <c r="C3457" s="6">
        <v>816</v>
      </c>
      <c r="D3457" s="7">
        <v>0.53</v>
      </c>
      <c r="E3457" t="s">
        <v>18</v>
      </c>
    </row>
    <row r="3458" spans="1:5" x14ac:dyDescent="0.25">
      <c r="A3458" t="str">
        <f>HYPERLINK("https://www.773grp.com/globalSearch/LM317LZRP/page-1", "LM317LZRP")</f>
        <v>LM317LZRP</v>
      </c>
      <c r="B3458" s="3" t="str">
        <f>HYPERLINK("https://www.773grp.com/manufacturer/onsemi?pageNo=761", "Onsemi")</f>
        <v>Onsemi</v>
      </c>
      <c r="C3458" s="6">
        <v>200000</v>
      </c>
      <c r="D3458" s="7">
        <v>0.53</v>
      </c>
      <c r="E3458" t="s">
        <v>18</v>
      </c>
    </row>
    <row r="3459" spans="1:5" x14ac:dyDescent="0.25">
      <c r="A3459" t="str">
        <f>HYPERLINK("https://www.773grp.com/globalSearch/M74VHC1G125DTT1G/page-1", "M74VHC1G125DTT1G")</f>
        <v>M74VHC1G125DTT1G</v>
      </c>
      <c r="B3459" s="3" t="str">
        <f>HYPERLINK("https://www.773grp.com/manufacturer/onsemi?pageNo=762", "Onsemi")</f>
        <v>Onsemi</v>
      </c>
      <c r="C3459" s="6">
        <v>337200</v>
      </c>
      <c r="D3459" s="7">
        <v>0.53</v>
      </c>
      <c r="E3459" t="s">
        <v>11</v>
      </c>
    </row>
    <row r="3460" spans="1:5" x14ac:dyDescent="0.25">
      <c r="A3460" t="str">
        <f>HYPERLINK("https://www.773grp.com/globalSearch/M74VHC1G126DTT1G/page-1", "M74VHC1G126DTT1G")</f>
        <v>M74VHC1G126DTT1G</v>
      </c>
      <c r="B3460" s="3" t="str">
        <f>HYPERLINK("https://www.773grp.com/manufacturer/onsemi?pageNo=763", "Onsemi")</f>
        <v>Onsemi</v>
      </c>
      <c r="C3460" s="6">
        <v>231000</v>
      </c>
      <c r="D3460" s="7">
        <v>0.53</v>
      </c>
      <c r="E3460" t="s">
        <v>11</v>
      </c>
    </row>
    <row r="3461" spans="1:5" x14ac:dyDescent="0.25">
      <c r="A3461" t="str">
        <f>HYPERLINK("https://www.773grp.com/globalSearch/M74VHC1GT125DT1G/page-1", "M74VHC1GT125DT1G")</f>
        <v>M74VHC1GT125DT1G</v>
      </c>
      <c r="B3461" s="3" t="str">
        <f>HYPERLINK("https://www.773grp.com/manufacturer/onsemi?pageNo=764", "Onsemi")</f>
        <v>Onsemi</v>
      </c>
      <c r="C3461" s="6">
        <v>465157</v>
      </c>
      <c r="D3461" s="7">
        <v>0.53</v>
      </c>
      <c r="E3461" t="s">
        <v>11</v>
      </c>
    </row>
    <row r="3462" spans="1:5" x14ac:dyDescent="0.25">
      <c r="A3462" t="str">
        <f>HYPERLINK("https://www.773grp.com/globalSearch/M74VHC1GT126DT1G/page-1", "M74VHC1GT126DT1G")</f>
        <v>M74VHC1GT126DT1G</v>
      </c>
      <c r="B3462" s="3" t="str">
        <f>HYPERLINK("https://www.773grp.com/manufacturer/onsemi?pageNo=765", "Onsemi")</f>
        <v>Onsemi</v>
      </c>
      <c r="C3462" s="6">
        <v>141000</v>
      </c>
      <c r="D3462" s="7">
        <v>0.53</v>
      </c>
      <c r="E3462" t="s">
        <v>11</v>
      </c>
    </row>
    <row r="3463" spans="1:5" x14ac:dyDescent="0.25">
      <c r="A3463" t="str">
        <f>HYPERLINK("https://www.773grp.com/globalSearch/MBR0520LT1/page-1", "MBR0520LT1")</f>
        <v>MBR0520LT1</v>
      </c>
      <c r="B3463" s="3" t="str">
        <f>HYPERLINK("https://www.773grp.com/manufacturer/onsemi?pageNo=766", "Onsemi")</f>
        <v>Onsemi</v>
      </c>
      <c r="C3463" s="6">
        <v>9000</v>
      </c>
      <c r="D3463" s="7">
        <v>0.53</v>
      </c>
    </row>
    <row r="3464" spans="1:5" x14ac:dyDescent="0.25">
      <c r="A3464" t="str">
        <f>HYPERLINK("https://www.773grp.com/globalSearch/MBR0530T1/page-1", "MBR0530T1")</f>
        <v>MBR0530T1</v>
      </c>
      <c r="B3464" s="3" t="str">
        <f>HYPERLINK("https://www.773grp.com/manufacturer/onsemi?pageNo=767", "Onsemi")</f>
        <v>Onsemi</v>
      </c>
      <c r="C3464" s="6">
        <v>6000</v>
      </c>
      <c r="D3464" s="7">
        <v>0.53</v>
      </c>
    </row>
    <row r="3465" spans="1:5" x14ac:dyDescent="0.25">
      <c r="A3465" t="str">
        <f>HYPERLINK("https://www.773grp.com/globalSearch/MBR0540T1H/page-1", "MBR0540T1H")</f>
        <v>MBR0540T1H</v>
      </c>
      <c r="B3465" s="3" t="str">
        <f>HYPERLINK("https://www.773grp.com/manufacturer/onsemi?pageNo=768", "Onsemi")</f>
        <v>Onsemi</v>
      </c>
      <c r="C3465" s="6">
        <v>102000</v>
      </c>
      <c r="D3465" s="7">
        <v>0.53</v>
      </c>
    </row>
    <row r="3466" spans="1:5" x14ac:dyDescent="0.25">
      <c r="A3466" t="str">
        <f>HYPERLINK("https://www.773grp.com/globalSearch/MBR0540T3/page-1", "MBR0540T3")</f>
        <v>MBR0540T3</v>
      </c>
      <c r="B3466" s="3" t="str">
        <f>HYPERLINK("https://www.773grp.com/manufacturer/onsemi?pageNo=769", "Onsemi")</f>
        <v>Onsemi</v>
      </c>
      <c r="C3466" s="6">
        <v>26000</v>
      </c>
      <c r="D3466" s="7">
        <v>0.53</v>
      </c>
    </row>
    <row r="3467" spans="1:5" x14ac:dyDescent="0.25">
      <c r="A3467" t="str">
        <f>HYPERLINK("https://www.773grp.com/globalSearch/MBR340G/page-1", "MBR340G")</f>
        <v>MBR340G</v>
      </c>
      <c r="B3467" s="3" t="str">
        <f>HYPERLINK("https://www.773grp.com/manufacturer/onsemi?pageNo=770", "Onsemi")</f>
        <v>Onsemi</v>
      </c>
      <c r="C3467" s="6">
        <v>18200</v>
      </c>
      <c r="D3467" s="7">
        <v>0.53</v>
      </c>
      <c r="E3467" t="s">
        <v>82</v>
      </c>
    </row>
    <row r="3468" spans="1:5" x14ac:dyDescent="0.25">
      <c r="A3468" t="str">
        <f>HYPERLINK("https://www.773grp.com/globalSearch/MBR340RLG/page-1", "MBR340RLG")</f>
        <v>MBR340RLG</v>
      </c>
      <c r="B3468" s="3" t="str">
        <f>HYPERLINK("https://www.773grp.com/manufacturer/onsemi?pageNo=771", "Onsemi")</f>
        <v>Onsemi</v>
      </c>
      <c r="C3468" s="6">
        <v>4500</v>
      </c>
      <c r="D3468" s="7">
        <v>0.53</v>
      </c>
      <c r="E3468" t="s">
        <v>82</v>
      </c>
    </row>
    <row r="3469" spans="1:5" x14ac:dyDescent="0.25">
      <c r="A3469" t="str">
        <f>HYPERLINK("https://www.773grp.com/globalSearch/MBR350RLG/page-1", "MBR350RLG")</f>
        <v>MBR350RLG</v>
      </c>
      <c r="B3469" s="3" t="str">
        <f>HYPERLINK("https://www.773grp.com/manufacturer/onsemi?pageNo=772", "Onsemi")</f>
        <v>Onsemi</v>
      </c>
      <c r="C3469" s="6">
        <v>10500</v>
      </c>
      <c r="D3469" s="7">
        <v>0.53</v>
      </c>
      <c r="E3469" t="s">
        <v>82</v>
      </c>
    </row>
    <row r="3470" spans="1:5" x14ac:dyDescent="0.25">
      <c r="A3470" t="str">
        <f>HYPERLINK("https://www.773grp.com/globalSearch/MBR360G/page-1", "MBR360G")</f>
        <v>MBR360G</v>
      </c>
      <c r="B3470" s="3" t="str">
        <f>HYPERLINK("https://www.773grp.com/manufacturer/onsemi?pageNo=773", "Onsemi")</f>
        <v>Onsemi</v>
      </c>
      <c r="C3470" s="6">
        <v>10148</v>
      </c>
      <c r="D3470" s="7">
        <v>0.53</v>
      </c>
      <c r="E3470" t="s">
        <v>82</v>
      </c>
    </row>
    <row r="3471" spans="1:5" x14ac:dyDescent="0.25">
      <c r="A3471" t="str">
        <f>HYPERLINK("https://www.773grp.com/globalSearch/MBR360RLG/page-1", "MBR360RLG")</f>
        <v>MBR360RLG</v>
      </c>
      <c r="B3471" s="3" t="str">
        <f>HYPERLINK("https://www.773grp.com/manufacturer/onsemi?pageNo=774", "Onsemi")</f>
        <v>Onsemi</v>
      </c>
      <c r="C3471" s="6">
        <v>208801</v>
      </c>
      <c r="D3471" s="7">
        <v>0.53</v>
      </c>
      <c r="E3471" t="s">
        <v>82</v>
      </c>
    </row>
    <row r="3472" spans="1:5" x14ac:dyDescent="0.25">
      <c r="A3472" t="str">
        <f>HYPERLINK("https://www.773grp.com/globalSearch/MBRA160T3G/page-1", "MBRA160T3G")</f>
        <v>MBRA160T3G</v>
      </c>
      <c r="B3472" s="3" t="str">
        <f>HYPERLINK("https://www.773grp.com/manufacturer/onsemi?pageNo=775", "Onsemi")</f>
        <v>Onsemi</v>
      </c>
      <c r="C3472" s="6">
        <v>75590</v>
      </c>
      <c r="D3472" s="7">
        <v>0.53</v>
      </c>
      <c r="E3472" t="s">
        <v>73</v>
      </c>
    </row>
    <row r="3473" spans="1:5" x14ac:dyDescent="0.25">
      <c r="A3473" t="str">
        <f>HYPERLINK("https://www.773grp.com/globalSearch/MBRAF440T3G/page-1", "MBRAF440T3G")</f>
        <v>MBRAF440T3G</v>
      </c>
      <c r="B3473" s="3" t="str">
        <f>HYPERLINK("https://www.773grp.com/manufacturer/onsemi?pageNo=776", "Onsemi")</f>
        <v>Onsemi</v>
      </c>
      <c r="C3473" s="6">
        <v>10000</v>
      </c>
      <c r="D3473" s="7">
        <v>0.53</v>
      </c>
    </row>
    <row r="3474" spans="1:5" x14ac:dyDescent="0.25">
      <c r="A3474" t="str">
        <f>HYPERLINK("https://www.773grp.com/globalSearch/MBRM110ET1G/page-1", "MBRM110ET1G")</f>
        <v>MBRM110ET1G</v>
      </c>
      <c r="B3474" s="3" t="str">
        <f>HYPERLINK("https://www.773grp.com/manufacturer/onsemi?pageNo=777", "Onsemi")</f>
        <v>Onsemi</v>
      </c>
      <c r="C3474" s="6">
        <v>13262</v>
      </c>
      <c r="D3474" s="7">
        <v>0.53</v>
      </c>
      <c r="E3474" t="s">
        <v>73</v>
      </c>
    </row>
    <row r="3475" spans="1:5" x14ac:dyDescent="0.25">
      <c r="A3475" t="str">
        <f>HYPERLINK("https://www.773grp.com/globalSearch/MBRM110LT1/page-1", "MBRM110LT1")</f>
        <v>MBRM110LT1</v>
      </c>
      <c r="B3475" s="3" t="str">
        <f>HYPERLINK("https://www.773grp.com/manufacturer/onsemi?pageNo=778", "Onsemi")</f>
        <v>Onsemi</v>
      </c>
      <c r="C3475" s="6">
        <v>1160</v>
      </c>
      <c r="D3475" s="7">
        <v>0.53</v>
      </c>
      <c r="E3475" t="s">
        <v>73</v>
      </c>
    </row>
    <row r="3476" spans="1:5" x14ac:dyDescent="0.25">
      <c r="A3476" t="str">
        <f>HYPERLINK("https://www.773grp.com/globalSearch/MBRM110LT1G/page-1", "MBRM110LT1G")</f>
        <v>MBRM110LT1G</v>
      </c>
      <c r="B3476" s="3" t="str">
        <f>HYPERLINK("https://www.773grp.com/manufacturer/onsemi?pageNo=779", "Onsemi")</f>
        <v>Onsemi</v>
      </c>
      <c r="C3476" s="6">
        <v>48000</v>
      </c>
      <c r="D3476" s="7">
        <v>0.53</v>
      </c>
      <c r="E3476" t="s">
        <v>73</v>
      </c>
    </row>
    <row r="3477" spans="1:5" x14ac:dyDescent="0.25">
      <c r="A3477" t="str">
        <f>HYPERLINK("https://www.773grp.com/globalSearch/MBRM110LT3G/page-1", "MBRM110LT3G")</f>
        <v>MBRM110LT3G</v>
      </c>
      <c r="B3477" s="3" t="str">
        <f>HYPERLINK("https://www.773grp.com/manufacturer/onsemi?pageNo=780", "Onsemi")</f>
        <v>Onsemi</v>
      </c>
      <c r="C3477" s="6">
        <v>2356501</v>
      </c>
      <c r="D3477" s="7">
        <v>0.53</v>
      </c>
      <c r="E3477" t="s">
        <v>73</v>
      </c>
    </row>
    <row r="3478" spans="1:5" x14ac:dyDescent="0.25">
      <c r="A3478" t="str">
        <f>HYPERLINK("https://www.773grp.com/globalSearch/MBRM120ET1/page-1", "MBRM120ET1")</f>
        <v>MBRM120ET1</v>
      </c>
      <c r="B3478" s="3" t="str">
        <f>HYPERLINK("https://www.773grp.com/manufacturer/onsemi?pageNo=781", "Onsemi")</f>
        <v>Onsemi</v>
      </c>
      <c r="C3478" s="6">
        <v>30000</v>
      </c>
      <c r="D3478" s="7">
        <v>0.53</v>
      </c>
      <c r="E3478" t="s">
        <v>73</v>
      </c>
    </row>
    <row r="3479" spans="1:5" x14ac:dyDescent="0.25">
      <c r="A3479" t="str">
        <f>HYPERLINK("https://www.773grp.com/globalSearch/MBRM120ET3/page-1", "MBRM120ET3")</f>
        <v>MBRM120ET3</v>
      </c>
      <c r="B3479" s="3" t="str">
        <f>HYPERLINK("https://www.773grp.com/manufacturer/onsemi?pageNo=782", "Onsemi")</f>
        <v>Onsemi</v>
      </c>
      <c r="C3479" s="6">
        <v>236500</v>
      </c>
      <c r="D3479" s="7">
        <v>0.53</v>
      </c>
      <c r="E3479" t="s">
        <v>73</v>
      </c>
    </row>
    <row r="3480" spans="1:5" x14ac:dyDescent="0.25">
      <c r="A3480" t="str">
        <f>HYPERLINK("https://www.773grp.com/globalSearch/MBRM120LT3/page-1", "MBRM120LT3")</f>
        <v>MBRM120LT3</v>
      </c>
      <c r="B3480" s="3" t="str">
        <f>HYPERLINK("https://www.773grp.com/manufacturer/onsemi?pageNo=783", "Onsemi")</f>
        <v>Onsemi</v>
      </c>
      <c r="C3480" s="6">
        <v>1931</v>
      </c>
      <c r="D3480" s="7">
        <v>0.53</v>
      </c>
      <c r="E3480" t="s">
        <v>73</v>
      </c>
    </row>
    <row r="3481" spans="1:5" x14ac:dyDescent="0.25">
      <c r="A3481" t="str">
        <f>HYPERLINK("https://www.773grp.com/globalSearch/MBRM130LT1/page-1", "MBRM130LT1")</f>
        <v>MBRM130LT1</v>
      </c>
      <c r="B3481" s="3" t="str">
        <f>HYPERLINK("https://www.773grp.com/manufacturer/onsemi?pageNo=784", "Onsemi")</f>
        <v>Onsemi</v>
      </c>
      <c r="C3481" s="6">
        <v>13525</v>
      </c>
      <c r="D3481" s="7">
        <v>0.53</v>
      </c>
      <c r="E3481" t="s">
        <v>73</v>
      </c>
    </row>
    <row r="3482" spans="1:5" x14ac:dyDescent="0.25">
      <c r="A3482" t="str">
        <f>HYPERLINK("https://www.773grp.com/globalSearch/MBRM140ET1/page-1", "MBRM140ET1")</f>
        <v>MBRM140ET1</v>
      </c>
      <c r="B3482" s="3" t="str">
        <f>HYPERLINK("https://www.773grp.com/manufacturer/onsemi?pageNo=785", "Onsemi")</f>
        <v>Onsemi</v>
      </c>
      <c r="C3482" s="6">
        <v>30000</v>
      </c>
      <c r="D3482" s="7">
        <v>0.53</v>
      </c>
      <c r="E3482" t="s">
        <v>73</v>
      </c>
    </row>
    <row r="3483" spans="1:5" x14ac:dyDescent="0.25">
      <c r="A3483" t="str">
        <f>HYPERLINK("https://www.773grp.com/globalSearch/MBRM140T3/page-1", "MBRM140T3")</f>
        <v>MBRM140T3</v>
      </c>
      <c r="B3483" s="3" t="str">
        <f>HYPERLINK("https://www.773grp.com/manufacturer/onsemi?pageNo=786", "Onsemi")</f>
        <v>Onsemi</v>
      </c>
      <c r="C3483" s="6">
        <v>14631</v>
      </c>
      <c r="D3483" s="7">
        <v>0.53</v>
      </c>
      <c r="E3483" t="s">
        <v>73</v>
      </c>
    </row>
    <row r="3484" spans="1:5" x14ac:dyDescent="0.25">
      <c r="A3484" t="str">
        <f>HYPERLINK("https://www.773grp.com/globalSearch/MBRS2040LT3/page-1", "MBRS2040LT3")</f>
        <v>MBRS2040LT3</v>
      </c>
      <c r="B3484" s="3" t="str">
        <f>HYPERLINK("https://www.773grp.com/manufacturer/onsemi?pageNo=787", "Onsemi")</f>
        <v>Onsemi</v>
      </c>
      <c r="C3484" s="6">
        <v>151500</v>
      </c>
      <c r="D3484" s="7">
        <v>0.53</v>
      </c>
      <c r="E3484" t="s">
        <v>82</v>
      </c>
    </row>
    <row r="3485" spans="1:5" x14ac:dyDescent="0.25">
      <c r="A3485" t="str">
        <f>HYPERLINK("https://www.773grp.com/globalSearch/MBT35200MT1G/page-1", "MBT35200MT1G")</f>
        <v>MBT35200MT1G</v>
      </c>
      <c r="B3485" s="3" t="str">
        <f>HYPERLINK("https://www.773grp.com/manufacturer/onsemi?pageNo=788", "Onsemi")</f>
        <v>Onsemi</v>
      </c>
      <c r="C3485" s="6">
        <v>953019</v>
      </c>
      <c r="D3485" s="7">
        <v>0.53</v>
      </c>
      <c r="E3485" t="s">
        <v>57</v>
      </c>
    </row>
    <row r="3486" spans="1:5" x14ac:dyDescent="0.25">
      <c r="A3486" t="str">
        <f>HYPERLINK("https://www.773grp.com/globalSearch/MBT35200MT2G/page-1", "MBT35200MT2G")</f>
        <v>MBT35200MT2G</v>
      </c>
      <c r="B3486" s="3" t="str">
        <f>HYPERLINK("https://www.773grp.com/manufacturer/onsemi?pageNo=789", "Onsemi")</f>
        <v>Onsemi</v>
      </c>
      <c r="C3486" s="6">
        <v>66000</v>
      </c>
      <c r="D3486" s="7">
        <v>0.53</v>
      </c>
    </row>
    <row r="3487" spans="1:5" x14ac:dyDescent="0.25">
      <c r="A3487" t="str">
        <f>HYPERLINK("https://www.773grp.com/globalSearch/MC14001BF/page-1", "MC14001BF")</f>
        <v>MC14001BF</v>
      </c>
      <c r="B3487" s="3" t="str">
        <f>HYPERLINK("https://www.773grp.com/manufacturer/onsemi?pageNo=790", "Onsemi")</f>
        <v>Onsemi</v>
      </c>
      <c r="C3487" s="6">
        <v>27</v>
      </c>
      <c r="D3487" s="7">
        <v>0.53</v>
      </c>
    </row>
    <row r="3488" spans="1:5" x14ac:dyDescent="0.25">
      <c r="A3488" t="str">
        <f>HYPERLINK("https://www.773grp.com/globalSearch/MC14002BF/page-1", "MC14002BF")</f>
        <v>MC14002BF</v>
      </c>
      <c r="B3488" s="3" t="str">
        <f>HYPERLINK("https://www.773grp.com/manufacturer/onsemi?pageNo=791", "Onsemi")</f>
        <v>Onsemi</v>
      </c>
      <c r="C3488" s="6">
        <v>75</v>
      </c>
      <c r="D3488" s="7">
        <v>0.53</v>
      </c>
    </row>
    <row r="3489" spans="1:5" x14ac:dyDescent="0.25">
      <c r="A3489" t="str">
        <f>HYPERLINK("https://www.773grp.com/globalSearch/MC14002BFEL/page-1", "MC14002BFEL")</f>
        <v>MC14002BFEL</v>
      </c>
      <c r="B3489" s="3" t="str">
        <f>HYPERLINK("https://www.773grp.com/manufacturer/onsemi?pageNo=792", "Onsemi")</f>
        <v>Onsemi</v>
      </c>
      <c r="C3489" s="6">
        <v>2000</v>
      </c>
      <c r="D3489" s="7">
        <v>0.53</v>
      </c>
    </row>
    <row r="3490" spans="1:5" x14ac:dyDescent="0.25">
      <c r="A3490" t="str">
        <f>HYPERLINK("https://www.773grp.com/globalSearch/MC14007UBFEL/page-1", "MC14007UBFEL")</f>
        <v>MC14007UBFEL</v>
      </c>
      <c r="B3490" s="3" t="str">
        <f>HYPERLINK("https://www.773grp.com/manufacturer/onsemi?pageNo=793", "Onsemi")</f>
        <v>Onsemi</v>
      </c>
      <c r="C3490" s="6">
        <v>17382</v>
      </c>
      <c r="D3490" s="7">
        <v>0.53</v>
      </c>
      <c r="E3490" t="s">
        <v>27</v>
      </c>
    </row>
    <row r="3491" spans="1:5" x14ac:dyDescent="0.25">
      <c r="A3491" t="str">
        <f>HYPERLINK("https://www.773grp.com/globalSearch/MC14011BF/page-1", "MC14011BF")</f>
        <v>MC14011BF</v>
      </c>
      <c r="B3491" s="3" t="str">
        <f>HYPERLINK("https://www.773grp.com/manufacturer/onsemi?pageNo=794", "Onsemi")</f>
        <v>Onsemi</v>
      </c>
      <c r="C3491" s="6">
        <v>648</v>
      </c>
      <c r="D3491" s="7">
        <v>0.53</v>
      </c>
      <c r="E3491" t="s">
        <v>27</v>
      </c>
    </row>
    <row r="3492" spans="1:5" x14ac:dyDescent="0.25">
      <c r="A3492" t="str">
        <f>HYPERLINK("https://www.773grp.com/globalSearch/MC14012BFEL/page-1", "MC14012BFEL")</f>
        <v>MC14012BFEL</v>
      </c>
      <c r="B3492" s="3" t="str">
        <f>HYPERLINK("https://www.773grp.com/manufacturer/onsemi?pageNo=795", "Onsemi")</f>
        <v>Onsemi</v>
      </c>
      <c r="C3492" s="6">
        <v>2867</v>
      </c>
      <c r="D3492" s="7">
        <v>0.53</v>
      </c>
      <c r="E3492" t="s">
        <v>27</v>
      </c>
    </row>
    <row r="3493" spans="1:5" x14ac:dyDescent="0.25">
      <c r="A3493" t="str">
        <f>HYPERLINK("https://www.773grp.com/globalSearch/MC14014BCP/page-1", "MC14014BCP")</f>
        <v>MC14014BCP</v>
      </c>
      <c r="B3493" s="3" t="str">
        <f>HYPERLINK("https://www.773grp.com/manufacturer/onsemi?pageNo=796", "Onsemi")</f>
        <v>Onsemi</v>
      </c>
      <c r="C3493" s="6">
        <v>2095</v>
      </c>
      <c r="D3493" s="7">
        <v>0.53</v>
      </c>
      <c r="E3493" t="s">
        <v>28</v>
      </c>
    </row>
    <row r="3494" spans="1:5" x14ac:dyDescent="0.25">
      <c r="A3494" t="str">
        <f>HYPERLINK("https://www.773grp.com/globalSearch/MC14021BCP/page-1", "MC14021BCP")</f>
        <v>MC14021BCP</v>
      </c>
      <c r="B3494" s="3" t="str">
        <f>HYPERLINK("https://www.773grp.com/manufacturer/onsemi?pageNo=797", "Onsemi")</f>
        <v>Onsemi</v>
      </c>
      <c r="C3494" s="6">
        <v>6165</v>
      </c>
      <c r="D3494" s="7">
        <v>0.53</v>
      </c>
      <c r="E3494" t="s">
        <v>28</v>
      </c>
    </row>
    <row r="3495" spans="1:5" x14ac:dyDescent="0.25">
      <c r="A3495" t="str">
        <f>HYPERLINK("https://www.773grp.com/globalSearch/MC14043BD/page-1", "MC14043BD")</f>
        <v>MC14043BD</v>
      </c>
      <c r="B3495" s="3" t="str">
        <f>HYPERLINK("https://www.773grp.com/manufacturer/onsemi?pageNo=798", "Onsemi")</f>
        <v>Onsemi</v>
      </c>
      <c r="C3495" s="6">
        <v>4944</v>
      </c>
      <c r="D3495" s="7">
        <v>0.53</v>
      </c>
      <c r="E3495" t="s">
        <v>31</v>
      </c>
    </row>
    <row r="3496" spans="1:5" x14ac:dyDescent="0.25">
      <c r="A3496" t="str">
        <f>HYPERLINK("https://www.773grp.com/globalSearch/MC14043BDR2/page-1", "MC14043BDR2")</f>
        <v>MC14043BDR2</v>
      </c>
      <c r="B3496" s="3" t="str">
        <f>HYPERLINK("https://www.773grp.com/manufacturer/onsemi?pageNo=799", "Onsemi")</f>
        <v>Onsemi</v>
      </c>
      <c r="C3496" s="6">
        <v>5000</v>
      </c>
      <c r="D3496" s="7">
        <v>0.53</v>
      </c>
      <c r="E3496" t="s">
        <v>31</v>
      </c>
    </row>
    <row r="3497" spans="1:5" x14ac:dyDescent="0.25">
      <c r="A3497" t="str">
        <f>HYPERLINK("https://www.773grp.com/globalSearch/MC14051BD/page-1", "MC14051BD")</f>
        <v>MC14051BD</v>
      </c>
      <c r="B3497" s="3" t="str">
        <f>HYPERLINK("https://www.773grp.com/manufacturer/onsemi?pageNo=800", "Onsemi")</f>
        <v>Onsemi</v>
      </c>
      <c r="C3497" s="6">
        <v>4284</v>
      </c>
      <c r="D3497" s="7">
        <v>0.53</v>
      </c>
      <c r="E3497" t="s">
        <v>46</v>
      </c>
    </row>
    <row r="3498" spans="1:5" x14ac:dyDescent="0.25">
      <c r="A3498" t="str">
        <f>HYPERLINK("https://www.773grp.com/globalSearch/MC14051BDT/page-1", "MC14051BDT")</f>
        <v>MC14051BDT</v>
      </c>
      <c r="B3498" s="3" t="str">
        <f>HYPERLINK("https://www.773grp.com/manufacturer/onsemi?pageNo=801", "Onsemi")</f>
        <v>Onsemi</v>
      </c>
      <c r="C3498" s="6">
        <v>2964</v>
      </c>
      <c r="D3498" s="7">
        <v>0.53</v>
      </c>
      <c r="E3498" t="s">
        <v>46</v>
      </c>
    </row>
    <row r="3499" spans="1:5" x14ac:dyDescent="0.25">
      <c r="A3499" t="str">
        <f>HYPERLINK("https://www.773grp.com/globalSearch/MC14051BDTR2/page-1", "MC14051BDTR2")</f>
        <v>MC14051BDTR2</v>
      </c>
      <c r="B3499" s="3" t="str">
        <f>HYPERLINK("https://www.773grp.com/manufacturer/onsemi?pageNo=802", "Onsemi")</f>
        <v>Onsemi</v>
      </c>
      <c r="C3499" s="6">
        <v>3505</v>
      </c>
      <c r="D3499" s="7">
        <v>0.53</v>
      </c>
      <c r="E3499" t="s">
        <v>46</v>
      </c>
    </row>
    <row r="3500" spans="1:5" x14ac:dyDescent="0.25">
      <c r="A3500" t="str">
        <f>HYPERLINK("https://www.773grp.com/globalSearch/MC14051BFEL/page-1", "MC14051BFEL")</f>
        <v>MC14051BFEL</v>
      </c>
      <c r="B3500" s="3" t="str">
        <f>HYPERLINK("https://www.773grp.com/manufacturer/onsemi?pageNo=803", "Onsemi")</f>
        <v>Onsemi</v>
      </c>
      <c r="C3500" s="6">
        <v>9890</v>
      </c>
      <c r="D3500" s="7">
        <v>0.53</v>
      </c>
      <c r="E3500" t="s">
        <v>46</v>
      </c>
    </row>
    <row r="3501" spans="1:5" x14ac:dyDescent="0.25">
      <c r="A3501" t="str">
        <f>HYPERLINK("https://www.773grp.com/globalSearch/MC14052BCP/page-1", "MC14052BCP")</f>
        <v>MC14052BCP</v>
      </c>
      <c r="B3501" s="3" t="str">
        <f>HYPERLINK("https://www.773grp.com/manufacturer/onsemi?pageNo=804", "Onsemi")</f>
        <v>Onsemi</v>
      </c>
      <c r="C3501" s="6">
        <v>6354</v>
      </c>
      <c r="D3501" s="7">
        <v>0.53</v>
      </c>
      <c r="E3501" t="s">
        <v>46</v>
      </c>
    </row>
    <row r="3502" spans="1:5" x14ac:dyDescent="0.25">
      <c r="A3502" t="str">
        <f>HYPERLINK("https://www.773grp.com/globalSearch/MC14052BD/page-1", "MC14052BD")</f>
        <v>MC14052BD</v>
      </c>
      <c r="B3502" s="3" t="str">
        <f>HYPERLINK("https://www.773grp.com/manufacturer/onsemi?pageNo=805", "Onsemi")</f>
        <v>Onsemi</v>
      </c>
      <c r="C3502" s="6">
        <v>2726</v>
      </c>
      <c r="D3502" s="7">
        <v>0.53</v>
      </c>
      <c r="E3502" t="s">
        <v>46</v>
      </c>
    </row>
    <row r="3503" spans="1:5" x14ac:dyDescent="0.25">
      <c r="A3503" t="str">
        <f>HYPERLINK("https://www.773grp.com/globalSearch/MC14052BF/page-1", "MC14052BF")</f>
        <v>MC14052BF</v>
      </c>
      <c r="B3503" s="3" t="str">
        <f>HYPERLINK("https://www.773grp.com/manufacturer/onsemi?pageNo=806", "Onsemi")</f>
        <v>Onsemi</v>
      </c>
      <c r="C3503" s="6">
        <v>1801</v>
      </c>
      <c r="D3503" s="7">
        <v>0.53</v>
      </c>
      <c r="E3503" t="s">
        <v>46</v>
      </c>
    </row>
    <row r="3504" spans="1:5" x14ac:dyDescent="0.25">
      <c r="A3504" t="str">
        <f>HYPERLINK("https://www.773grp.com/globalSearch/MC14052BFEL/page-1", "MC14052BFEL")</f>
        <v>MC14052BFEL</v>
      </c>
      <c r="B3504" s="3" t="str">
        <f>HYPERLINK("https://www.773grp.com/manufacturer/onsemi?pageNo=807", "Onsemi")</f>
        <v>Onsemi</v>
      </c>
      <c r="C3504" s="6">
        <v>97955</v>
      </c>
      <c r="D3504" s="7">
        <v>0.53</v>
      </c>
      <c r="E3504" t="s">
        <v>46</v>
      </c>
    </row>
    <row r="3505" spans="1:5" x14ac:dyDescent="0.25">
      <c r="A3505" t="str">
        <f>HYPERLINK("https://www.773grp.com/globalSearch/MC14053BD/page-1", "MC14053BD")</f>
        <v>MC14053BD</v>
      </c>
      <c r="B3505" s="3" t="str">
        <f>HYPERLINK("https://www.773grp.com/manufacturer/onsemi?pageNo=808", "Onsemi")</f>
        <v>Onsemi</v>
      </c>
      <c r="C3505" s="6">
        <v>88</v>
      </c>
      <c r="D3505" s="7">
        <v>0.53</v>
      </c>
      <c r="E3505" t="s">
        <v>46</v>
      </c>
    </row>
    <row r="3506" spans="1:5" x14ac:dyDescent="0.25">
      <c r="A3506" t="str">
        <f>HYPERLINK("https://www.773grp.com/globalSearch/MC14053BDTR2/page-1", "MC14053BDTR2")</f>
        <v>MC14053BDTR2</v>
      </c>
      <c r="B3506" s="3" t="str">
        <f>HYPERLINK("https://www.773grp.com/manufacturer/onsemi?pageNo=809", "Onsemi")</f>
        <v>Onsemi</v>
      </c>
      <c r="C3506" s="6">
        <v>2500</v>
      </c>
      <c r="D3506" s="7">
        <v>0.53</v>
      </c>
      <c r="E3506" t="s">
        <v>46</v>
      </c>
    </row>
    <row r="3507" spans="1:5" x14ac:dyDescent="0.25">
      <c r="A3507" t="str">
        <f>HYPERLINK("https://www.773grp.com/globalSearch/MC14053BFEL/page-1", "MC14053BFEL")</f>
        <v>MC14053BFEL</v>
      </c>
      <c r="B3507" s="3" t="str">
        <f>HYPERLINK("https://www.773grp.com/manufacturer/onsemi?pageNo=810", "Onsemi")</f>
        <v>Onsemi</v>
      </c>
      <c r="C3507" s="6">
        <v>17568</v>
      </c>
      <c r="D3507" s="7">
        <v>0.53</v>
      </c>
      <c r="E3507" t="s">
        <v>46</v>
      </c>
    </row>
    <row r="3508" spans="1:5" x14ac:dyDescent="0.25">
      <c r="A3508" t="str">
        <f>HYPERLINK("https://www.773grp.com/globalSearch/MC14053BFL1/page-1", "MC14053BFL1")</f>
        <v>MC14053BFL1</v>
      </c>
      <c r="B3508" s="3" t="str">
        <f>HYPERLINK("https://www.773grp.com/manufacturer/onsemi?pageNo=811", "Onsemi")</f>
        <v>Onsemi</v>
      </c>
      <c r="C3508" s="6">
        <v>141000</v>
      </c>
      <c r="D3508" s="7">
        <v>0.53</v>
      </c>
    </row>
    <row r="3509" spans="1:5" x14ac:dyDescent="0.25">
      <c r="A3509" t="str">
        <f>HYPERLINK("https://www.773grp.com/globalSearch/MC14053BFR1/page-1", "MC14053BFR1")</f>
        <v>MC14053BFR1</v>
      </c>
      <c r="B3509" s="3" t="str">
        <f>HYPERLINK("https://www.773grp.com/manufacturer/onsemi?pageNo=812", "Onsemi")</f>
        <v>Onsemi</v>
      </c>
      <c r="C3509" s="6">
        <v>60000</v>
      </c>
      <c r="D3509" s="7">
        <v>0.53</v>
      </c>
      <c r="E3509" t="s">
        <v>46</v>
      </c>
    </row>
    <row r="3510" spans="1:5" x14ac:dyDescent="0.25">
      <c r="A3510" t="str">
        <f>HYPERLINK("https://www.773grp.com/globalSearch/MC14069UBFEL/page-1", "MC14069UBFEL")</f>
        <v>MC14069UBFEL</v>
      </c>
      <c r="B3510" s="3" t="str">
        <f>HYPERLINK("https://www.773grp.com/manufacturer/onsemi?pageNo=813", "Onsemi")</f>
        <v>Onsemi</v>
      </c>
      <c r="C3510" s="6">
        <v>46000</v>
      </c>
      <c r="D3510" s="7">
        <v>0.53</v>
      </c>
      <c r="E3510" t="s">
        <v>27</v>
      </c>
    </row>
    <row r="3511" spans="1:5" x14ac:dyDescent="0.25">
      <c r="A3511" t="str">
        <f>HYPERLINK("https://www.773grp.com/globalSearch/MC14072BD/page-1", "MC14072BD")</f>
        <v>MC14072BD</v>
      </c>
      <c r="B3511" s="3" t="str">
        <f>HYPERLINK("https://www.773grp.com/manufacturer/onsemi?pageNo=814", "Onsemi")</f>
        <v>Onsemi</v>
      </c>
      <c r="C3511" s="6">
        <v>8998</v>
      </c>
      <c r="D3511" s="7">
        <v>0.53</v>
      </c>
      <c r="E3511" t="s">
        <v>27</v>
      </c>
    </row>
    <row r="3512" spans="1:5" x14ac:dyDescent="0.25">
      <c r="A3512" t="str">
        <f>HYPERLINK("https://www.773grp.com/globalSearch/MC14077BFEL/page-1", "MC14077BFEL")</f>
        <v>MC14077BFEL</v>
      </c>
      <c r="B3512" s="3" t="str">
        <f>HYPERLINK("https://www.773grp.com/manufacturer/onsemi?pageNo=815", "Onsemi")</f>
        <v>Onsemi</v>
      </c>
      <c r="C3512" s="6">
        <v>3150</v>
      </c>
      <c r="D3512" s="7">
        <v>0.53</v>
      </c>
      <c r="E3512" t="s">
        <v>27</v>
      </c>
    </row>
    <row r="3513" spans="1:5" x14ac:dyDescent="0.25">
      <c r="A3513" t="str">
        <f>HYPERLINK("https://www.773grp.com/globalSearch/MC14081BFEL/page-1", "MC14081BFEL")</f>
        <v>MC14081BFEL</v>
      </c>
      <c r="B3513" s="3" t="str">
        <f>HYPERLINK("https://www.773grp.com/manufacturer/onsemi?pageNo=816", "Onsemi")</f>
        <v>Onsemi</v>
      </c>
      <c r="C3513" s="6">
        <v>6000</v>
      </c>
      <c r="D3513" s="7">
        <v>0.53</v>
      </c>
      <c r="E3513" t="s">
        <v>27</v>
      </c>
    </row>
    <row r="3514" spans="1:5" x14ac:dyDescent="0.25">
      <c r="A3514" t="str">
        <f>HYPERLINK("https://www.773grp.com/globalSearch/MC14094BD/page-1", "MC14094BD")</f>
        <v>MC14094BD</v>
      </c>
      <c r="B3514" s="3" t="str">
        <f>HYPERLINK("https://www.773grp.com/manufacturer/onsemi?pageNo=817", "Onsemi")</f>
        <v>Onsemi</v>
      </c>
      <c r="C3514" s="6">
        <v>11546</v>
      </c>
      <c r="D3514" s="7">
        <v>0.53</v>
      </c>
      <c r="E3514" t="s">
        <v>28</v>
      </c>
    </row>
    <row r="3515" spans="1:5" x14ac:dyDescent="0.25">
      <c r="A3515" t="str">
        <f>HYPERLINK("https://www.773grp.com/globalSearch/MC14094BDR2/page-1", "MC14094BDR2")</f>
        <v>MC14094BDR2</v>
      </c>
      <c r="B3515" s="3" t="str">
        <f>HYPERLINK("https://www.773grp.com/manufacturer/onsemi?pageNo=818", "Onsemi")</f>
        <v>Onsemi</v>
      </c>
      <c r="C3515" s="6">
        <v>194817</v>
      </c>
      <c r="D3515" s="7">
        <v>0.53</v>
      </c>
      <c r="E3515" t="s">
        <v>28</v>
      </c>
    </row>
    <row r="3516" spans="1:5" x14ac:dyDescent="0.25">
      <c r="A3516" t="str">
        <f>HYPERLINK("https://www.773grp.com/globalSearch/MC14174BD/page-1", "MC14174BD")</f>
        <v>MC14174BD</v>
      </c>
      <c r="B3516" s="3" t="str">
        <f>HYPERLINK("https://www.773grp.com/manufacturer/onsemi?pageNo=819", "Onsemi")</f>
        <v>Onsemi</v>
      </c>
      <c r="C3516" s="6">
        <v>9622</v>
      </c>
      <c r="D3516" s="7">
        <v>0.53</v>
      </c>
      <c r="E3516" t="s">
        <v>31</v>
      </c>
    </row>
    <row r="3517" spans="1:5" x14ac:dyDescent="0.25">
      <c r="A3517" t="str">
        <f>HYPERLINK("https://www.773grp.com/globalSearch/MC14175BD/page-1", "MC14175BD")</f>
        <v>MC14175BD</v>
      </c>
      <c r="B3517" s="3" t="str">
        <f>HYPERLINK("https://www.773grp.com/manufacturer/onsemi?pageNo=820", "Onsemi")</f>
        <v>Onsemi</v>
      </c>
      <c r="C3517" s="6">
        <v>1896</v>
      </c>
      <c r="D3517" s="7">
        <v>0.53</v>
      </c>
      <c r="E3517" t="s">
        <v>31</v>
      </c>
    </row>
    <row r="3518" spans="1:5" x14ac:dyDescent="0.25">
      <c r="A3518" t="str">
        <f>HYPERLINK("https://www.773grp.com/globalSearch/MC14503BD/page-1", "MC14503BD")</f>
        <v>MC14503BD</v>
      </c>
      <c r="B3518" s="3" t="str">
        <f>HYPERLINK("https://www.773grp.com/manufacturer/onsemi?pageNo=821", "Onsemi")</f>
        <v>Onsemi</v>
      </c>
      <c r="C3518" s="6">
        <v>3087</v>
      </c>
      <c r="D3518" s="7">
        <v>0.53</v>
      </c>
      <c r="E3518" t="s">
        <v>11</v>
      </c>
    </row>
    <row r="3519" spans="1:5" x14ac:dyDescent="0.25">
      <c r="A3519" t="str">
        <f>HYPERLINK("https://www.773grp.com/globalSearch/MC14503BDR2/page-1", "MC14503BDR2")</f>
        <v>MC14503BDR2</v>
      </c>
      <c r="B3519" s="3" t="str">
        <f>HYPERLINK("https://www.773grp.com/manufacturer/onsemi?pageNo=822", "Onsemi")</f>
        <v>Onsemi</v>
      </c>
      <c r="C3519" s="6">
        <v>6476</v>
      </c>
      <c r="D3519" s="7">
        <v>0.53</v>
      </c>
      <c r="E3519" t="s">
        <v>11</v>
      </c>
    </row>
    <row r="3520" spans="1:5" x14ac:dyDescent="0.25">
      <c r="A3520" t="str">
        <f>HYPERLINK("https://www.773grp.com/globalSearch/MC14511BD/page-1", "MC14511BD")</f>
        <v>MC14511BD</v>
      </c>
      <c r="B3520" s="3" t="str">
        <f>HYPERLINK("https://www.773grp.com/manufacturer/onsemi?pageNo=823", "Onsemi")</f>
        <v>Onsemi</v>
      </c>
      <c r="C3520" s="6">
        <v>636</v>
      </c>
      <c r="D3520" s="7">
        <v>0.53</v>
      </c>
      <c r="E3520" t="s">
        <v>32</v>
      </c>
    </row>
    <row r="3521" spans="1:5" x14ac:dyDescent="0.25">
      <c r="A3521" t="str">
        <f>HYPERLINK("https://www.773grp.com/globalSearch/MC14543BD/page-1", "MC14543BD")</f>
        <v>MC14543BD</v>
      </c>
      <c r="B3521" s="3" t="str">
        <f>HYPERLINK("https://www.773grp.com/manufacturer/onsemi?pageNo=824", "Onsemi")</f>
        <v>Onsemi</v>
      </c>
      <c r="C3521" s="6">
        <v>240</v>
      </c>
      <c r="D3521" s="7">
        <v>0.53</v>
      </c>
      <c r="E3521" t="s">
        <v>32</v>
      </c>
    </row>
    <row r="3522" spans="1:5" x14ac:dyDescent="0.25">
      <c r="A3522" t="str">
        <f>HYPERLINK("https://www.773grp.com/globalSearch/MC14543BDR2/page-1", "MC14543BDR2")</f>
        <v>MC14543BDR2</v>
      </c>
      <c r="B3522" s="3" t="str">
        <f>HYPERLINK("https://www.773grp.com/manufacturer/onsemi?pageNo=825", "Onsemi")</f>
        <v>Onsemi</v>
      </c>
      <c r="C3522" s="6">
        <v>12500</v>
      </c>
      <c r="D3522" s="7">
        <v>0.53</v>
      </c>
      <c r="E3522" t="s">
        <v>32</v>
      </c>
    </row>
    <row r="3523" spans="1:5" x14ac:dyDescent="0.25">
      <c r="A3523" t="str">
        <f>HYPERLINK("https://www.773grp.com/globalSearch/MC1455D/page-1", "MC1455D")</f>
        <v>MC1455D</v>
      </c>
      <c r="B3523" s="3" t="str">
        <f>HYPERLINK("https://www.773grp.com/manufacturer/onsemi?pageNo=826", "Onsemi")</f>
        <v>Onsemi</v>
      </c>
      <c r="C3523" s="6">
        <v>146</v>
      </c>
      <c r="D3523" s="7">
        <v>0.53</v>
      </c>
      <c r="E3523" t="s">
        <v>25</v>
      </c>
    </row>
    <row r="3524" spans="1:5" x14ac:dyDescent="0.25">
      <c r="A3524" t="str">
        <f>HYPERLINK("https://www.773grp.com/globalSearch/MC1741CD/page-1", "MC1741CD")</f>
        <v>MC1741CD</v>
      </c>
      <c r="B3524" s="3" t="str">
        <f>HYPERLINK("https://www.773grp.com/manufacturer/onsemi?pageNo=827", "Onsemi")</f>
        <v>Onsemi</v>
      </c>
      <c r="C3524" s="6">
        <v>12740</v>
      </c>
      <c r="D3524" s="7">
        <v>0.53</v>
      </c>
      <c r="E3524" t="s">
        <v>10</v>
      </c>
    </row>
    <row r="3525" spans="1:5" x14ac:dyDescent="0.25">
      <c r="A3525" t="str">
        <f>HYPERLINK("https://www.773grp.com/globalSearch/MC1741CP1/page-1", "MC1741CP1")</f>
        <v>MC1741CP1</v>
      </c>
      <c r="B3525" s="3" t="str">
        <f>HYPERLINK("https://www.773grp.com/manufacturer/onsemi?pageNo=828", "Onsemi")</f>
        <v>Onsemi</v>
      </c>
      <c r="C3525" s="6">
        <v>17</v>
      </c>
      <c r="D3525" s="7">
        <v>0.53</v>
      </c>
      <c r="E3525" t="s">
        <v>10</v>
      </c>
    </row>
    <row r="3526" spans="1:5" x14ac:dyDescent="0.25">
      <c r="A3526" t="str">
        <f>HYPERLINK("https://www.773grp.com/globalSearch/MC33263NW-38R2/page-1", "MC33263NW-38R2")</f>
        <v>MC33263NW-38R2</v>
      </c>
      <c r="B3526" s="3" t="str">
        <f>HYPERLINK("https://www.773grp.com/manufacturer/onsemi?pageNo=829", "Onsemi")</f>
        <v>Onsemi</v>
      </c>
      <c r="C3526" s="6">
        <v>4000</v>
      </c>
      <c r="D3526" s="7">
        <v>0.53</v>
      </c>
      <c r="E3526" t="s">
        <v>15</v>
      </c>
    </row>
    <row r="3527" spans="1:5" x14ac:dyDescent="0.25">
      <c r="A3527" t="str">
        <f>HYPERLINK("https://www.773grp.com/globalSearch/MC33761SNT1-025/page-1", "MC33761SNT1-025")</f>
        <v>MC33761SNT1-025</v>
      </c>
      <c r="B3527" s="3" t="str">
        <f>HYPERLINK("https://www.773grp.com/manufacturer/onsemi?pageNo=830", "Onsemi")</f>
        <v>Onsemi</v>
      </c>
      <c r="C3527" s="6">
        <v>2326</v>
      </c>
      <c r="D3527" s="7">
        <v>0.53</v>
      </c>
      <c r="E3527" t="s">
        <v>15</v>
      </c>
    </row>
    <row r="3528" spans="1:5" x14ac:dyDescent="0.25">
      <c r="A3528" t="str">
        <f>HYPERLINK("https://www.773grp.com/globalSearch/MC33761SNT1-028/page-1", "MC33761SNT1-028")</f>
        <v>MC33761SNT1-028</v>
      </c>
      <c r="B3528" s="3" t="str">
        <f>HYPERLINK("https://www.773grp.com/manufacturer/onsemi?pageNo=831", "Onsemi")</f>
        <v>Onsemi</v>
      </c>
      <c r="C3528" s="6">
        <v>3084</v>
      </c>
      <c r="D3528" s="7">
        <v>0.53</v>
      </c>
      <c r="E3528" t="s">
        <v>15</v>
      </c>
    </row>
    <row r="3529" spans="1:5" x14ac:dyDescent="0.25">
      <c r="A3529" t="str">
        <f>HYPERLINK("https://www.773grp.com/globalSearch/MC33761SNT1-029/page-1", "MC33761SNT1-029")</f>
        <v>MC33761SNT1-029</v>
      </c>
      <c r="B3529" s="3" t="str">
        <f>HYPERLINK("https://www.773grp.com/manufacturer/onsemi?pageNo=832", "Onsemi")</f>
        <v>Onsemi</v>
      </c>
      <c r="C3529" s="6">
        <v>5844</v>
      </c>
      <c r="D3529" s="7">
        <v>0.53</v>
      </c>
      <c r="E3529" t="s">
        <v>15</v>
      </c>
    </row>
    <row r="3530" spans="1:5" x14ac:dyDescent="0.25">
      <c r="A3530" t="str">
        <f>HYPERLINK("https://www.773grp.com/globalSearch/MC33761SNT1-030/page-1", "MC33761SNT1-030")</f>
        <v>MC33761SNT1-030</v>
      </c>
      <c r="B3530" s="3" t="str">
        <f>HYPERLINK("https://www.773grp.com/manufacturer/onsemi?pageNo=833", "Onsemi")</f>
        <v>Onsemi</v>
      </c>
      <c r="C3530" s="6">
        <v>6000</v>
      </c>
      <c r="D3530" s="7">
        <v>0.53</v>
      </c>
      <c r="E3530" t="s">
        <v>15</v>
      </c>
    </row>
    <row r="3531" spans="1:5" x14ac:dyDescent="0.25">
      <c r="A3531" t="str">
        <f>HYPERLINK("https://www.773grp.com/globalSearch/MC33761SNT1-050/page-1", "MC33761SNT1-050")</f>
        <v>MC33761SNT1-050</v>
      </c>
      <c r="B3531" s="3" t="str">
        <f>HYPERLINK("https://www.773grp.com/manufacturer/onsemi?pageNo=834", "Onsemi")</f>
        <v>Onsemi</v>
      </c>
      <c r="C3531" s="6">
        <v>8799</v>
      </c>
      <c r="D3531" s="7">
        <v>0.53</v>
      </c>
      <c r="E3531" t="s">
        <v>15</v>
      </c>
    </row>
    <row r="3532" spans="1:5" x14ac:dyDescent="0.25">
      <c r="A3532" t="str">
        <f>HYPERLINK("https://www.773grp.com/globalSearch/MC74AC125DT/page-1", "MC74AC125DT")</f>
        <v>MC74AC125DT</v>
      </c>
      <c r="B3532" s="3" t="str">
        <f>HYPERLINK("https://www.773grp.com/manufacturer/onsemi?pageNo=835", "Onsemi")</f>
        <v>Onsemi</v>
      </c>
      <c r="C3532" s="6">
        <v>3264</v>
      </c>
      <c r="D3532" s="7">
        <v>0.53</v>
      </c>
      <c r="E3532" t="s">
        <v>11</v>
      </c>
    </row>
    <row r="3533" spans="1:5" x14ac:dyDescent="0.25">
      <c r="A3533" t="str">
        <f>HYPERLINK("https://www.773grp.com/globalSearch/MC74AC138D/page-1", "MC74AC138D")</f>
        <v>MC74AC138D</v>
      </c>
      <c r="B3533" s="3" t="str">
        <f>HYPERLINK("https://www.773grp.com/manufacturer/onsemi?pageNo=836", "Onsemi")</f>
        <v>Onsemi</v>
      </c>
      <c r="C3533" s="6">
        <v>7056</v>
      </c>
      <c r="D3533" s="7">
        <v>0.53</v>
      </c>
      <c r="E3533" t="s">
        <v>32</v>
      </c>
    </row>
    <row r="3534" spans="1:5" x14ac:dyDescent="0.25">
      <c r="A3534" t="str">
        <f>HYPERLINK("https://www.773grp.com/globalSearch/MC74AC138DR2/page-1", "MC74AC138DR2")</f>
        <v>MC74AC138DR2</v>
      </c>
      <c r="B3534" s="3" t="str">
        <f>HYPERLINK("https://www.773grp.com/manufacturer/onsemi?pageNo=837", "Onsemi")</f>
        <v>Onsemi</v>
      </c>
      <c r="C3534" s="6">
        <v>22500</v>
      </c>
      <c r="D3534" s="7">
        <v>0.53</v>
      </c>
      <c r="E3534" t="s">
        <v>32</v>
      </c>
    </row>
    <row r="3535" spans="1:5" x14ac:dyDescent="0.25">
      <c r="A3535" t="str">
        <f>HYPERLINK("https://www.773grp.com/globalSearch/MC74AC138DTR2/page-1", "MC74AC138DTR2")</f>
        <v>MC74AC138DTR2</v>
      </c>
      <c r="B3535" s="3" t="str">
        <f>HYPERLINK("https://www.773grp.com/manufacturer/onsemi?pageNo=838", "Onsemi")</f>
        <v>Onsemi</v>
      </c>
      <c r="C3535" s="6">
        <v>2500</v>
      </c>
      <c r="D3535" s="7">
        <v>0.53</v>
      </c>
      <c r="E3535" t="s">
        <v>32</v>
      </c>
    </row>
    <row r="3536" spans="1:5" x14ac:dyDescent="0.25">
      <c r="A3536" t="str">
        <f>HYPERLINK("https://www.773grp.com/globalSearch/MC74AC138N/page-1", "MC74AC138N")</f>
        <v>MC74AC138N</v>
      </c>
      <c r="B3536" s="3" t="str">
        <f>HYPERLINK("https://www.773grp.com/manufacturer/onsemi?pageNo=839", "Onsemi")</f>
        <v>Onsemi</v>
      </c>
      <c r="C3536" s="6">
        <v>5029</v>
      </c>
      <c r="D3536" s="7">
        <v>0.53</v>
      </c>
      <c r="E3536" t="s">
        <v>32</v>
      </c>
    </row>
    <row r="3537" spans="1:5" x14ac:dyDescent="0.25">
      <c r="A3537" t="str">
        <f>HYPERLINK("https://www.773grp.com/globalSearch/MC74AC139D/page-1", "MC74AC139D")</f>
        <v>MC74AC139D</v>
      </c>
      <c r="B3537" s="3" t="str">
        <f>HYPERLINK("https://www.773grp.com/manufacturer/onsemi?pageNo=840", "Onsemi")</f>
        <v>Onsemi</v>
      </c>
      <c r="C3537" s="6">
        <v>1382</v>
      </c>
      <c r="D3537" s="7">
        <v>0.53</v>
      </c>
      <c r="E3537" t="s">
        <v>32</v>
      </c>
    </row>
    <row r="3538" spans="1:5" x14ac:dyDescent="0.25">
      <c r="A3538" t="str">
        <f>HYPERLINK("https://www.773grp.com/globalSearch/MC74AC139DTR2/page-1", "MC74AC139DTR2")</f>
        <v>MC74AC139DTR2</v>
      </c>
      <c r="B3538" s="3" t="str">
        <f>HYPERLINK("https://www.773grp.com/manufacturer/onsemi?pageNo=841", "Onsemi")</f>
        <v>Onsemi</v>
      </c>
      <c r="C3538" s="6">
        <v>4000</v>
      </c>
      <c r="D3538" s="7">
        <v>0.53</v>
      </c>
      <c r="E3538" t="s">
        <v>32</v>
      </c>
    </row>
    <row r="3539" spans="1:5" x14ac:dyDescent="0.25">
      <c r="A3539" t="str">
        <f>HYPERLINK("https://www.773grp.com/globalSearch/MC74AC139MEL/page-1", "MC74AC139MEL")</f>
        <v>MC74AC139MEL</v>
      </c>
      <c r="B3539" s="3" t="str">
        <f>HYPERLINK("https://www.773grp.com/manufacturer/onsemi?pageNo=842", "Onsemi")</f>
        <v>Onsemi</v>
      </c>
      <c r="C3539" s="6">
        <v>1000</v>
      </c>
      <c r="D3539" s="7">
        <v>0.53</v>
      </c>
      <c r="E3539" t="s">
        <v>32</v>
      </c>
    </row>
    <row r="3540" spans="1:5" x14ac:dyDescent="0.25">
      <c r="A3540" t="str">
        <f>HYPERLINK("https://www.773grp.com/globalSearch/MC74AC14L1/page-1", "MC74AC14L1")</f>
        <v>MC74AC14L1</v>
      </c>
      <c r="B3540" s="3" t="str">
        <f>HYPERLINK("https://www.773grp.com/manufacturer/onsemi?pageNo=843", "Onsemi")</f>
        <v>Onsemi</v>
      </c>
      <c r="C3540" s="6">
        <v>1000</v>
      </c>
      <c r="D3540" s="7">
        <v>0.53</v>
      </c>
    </row>
    <row r="3541" spans="1:5" x14ac:dyDescent="0.25">
      <c r="A3541" t="str">
        <f>HYPERLINK("https://www.773grp.com/globalSearch/MC74AC14M/page-1", "MC74AC14M")</f>
        <v>MC74AC14M</v>
      </c>
      <c r="B3541" s="3" t="str">
        <f>HYPERLINK("https://www.773grp.com/manufacturer/onsemi?pageNo=844", "Onsemi")</f>
        <v>Onsemi</v>
      </c>
      <c r="C3541" s="6">
        <v>6538</v>
      </c>
      <c r="D3541" s="7">
        <v>0.53</v>
      </c>
      <c r="E3541" t="s">
        <v>27</v>
      </c>
    </row>
    <row r="3542" spans="1:5" x14ac:dyDescent="0.25">
      <c r="A3542" t="str">
        <f>HYPERLINK("https://www.773grp.com/globalSearch/MC74AC157D/page-1", "MC74AC157D")</f>
        <v>MC74AC157D</v>
      </c>
      <c r="B3542" s="3" t="str">
        <f>HYPERLINK("https://www.773grp.com/manufacturer/onsemi?pageNo=845", "Onsemi")</f>
        <v>Onsemi</v>
      </c>
      <c r="C3542" s="6">
        <v>700</v>
      </c>
      <c r="D3542" s="7">
        <v>0.53</v>
      </c>
      <c r="E3542" t="s">
        <v>16</v>
      </c>
    </row>
    <row r="3543" spans="1:5" x14ac:dyDescent="0.25">
      <c r="A3543" t="str">
        <f>HYPERLINK("https://www.773grp.com/globalSearch/MC74AC157DR2/page-1", "MC74AC157DR2")</f>
        <v>MC74AC157DR2</v>
      </c>
      <c r="B3543" s="3" t="str">
        <f>HYPERLINK("https://www.773grp.com/manufacturer/onsemi?pageNo=846", "Onsemi")</f>
        <v>Onsemi</v>
      </c>
      <c r="C3543" s="6">
        <v>2500</v>
      </c>
      <c r="D3543" s="7">
        <v>0.53</v>
      </c>
      <c r="E3543" t="s">
        <v>16</v>
      </c>
    </row>
    <row r="3544" spans="1:5" x14ac:dyDescent="0.25">
      <c r="A3544" t="str">
        <f>HYPERLINK("https://www.773grp.com/globalSearch/MC74AC157DTR2/page-1", "MC74AC157DTR2")</f>
        <v>MC74AC157DTR2</v>
      </c>
      <c r="B3544" s="3" t="str">
        <f>HYPERLINK("https://www.773grp.com/manufacturer/onsemi?pageNo=847", "Onsemi")</f>
        <v>Onsemi</v>
      </c>
      <c r="C3544" s="6">
        <v>15000</v>
      </c>
      <c r="D3544" s="7">
        <v>0.53</v>
      </c>
      <c r="E3544" t="s">
        <v>16</v>
      </c>
    </row>
    <row r="3545" spans="1:5" x14ac:dyDescent="0.25">
      <c r="A3545" t="str">
        <f>HYPERLINK("https://www.773grp.com/globalSearch/MC74AC161N/page-1", "MC74AC161N")</f>
        <v>MC74AC161N</v>
      </c>
      <c r="B3545" s="3" t="str">
        <f>HYPERLINK("https://www.773grp.com/manufacturer/onsemi?pageNo=848", "Onsemi")</f>
        <v>Onsemi</v>
      </c>
      <c r="C3545" s="6">
        <v>2369</v>
      </c>
      <c r="D3545" s="7">
        <v>0.53</v>
      </c>
      <c r="E3545" t="s">
        <v>22</v>
      </c>
    </row>
    <row r="3546" spans="1:5" x14ac:dyDescent="0.25">
      <c r="A3546" t="str">
        <f>HYPERLINK("https://www.773grp.com/globalSearch/MC74AC163MEL/page-1", "MC74AC163MEL")</f>
        <v>MC74AC163MEL</v>
      </c>
      <c r="B3546" s="3" t="str">
        <f>HYPERLINK("https://www.773grp.com/manufacturer/onsemi?pageNo=849", "Onsemi")</f>
        <v>Onsemi</v>
      </c>
      <c r="C3546" s="6">
        <v>84000</v>
      </c>
      <c r="D3546" s="7">
        <v>0.53</v>
      </c>
      <c r="E3546" t="s">
        <v>22</v>
      </c>
    </row>
    <row r="3547" spans="1:5" x14ac:dyDescent="0.25">
      <c r="A3547" t="str">
        <f>HYPERLINK("https://www.773grp.com/globalSearch/MC74AC163MELG/page-1", "MC74AC163MELG")</f>
        <v>MC74AC163MELG</v>
      </c>
      <c r="B3547" s="3" t="str">
        <f>HYPERLINK("https://www.773grp.com/manufacturer/onsemi?pageNo=850", "Onsemi")</f>
        <v>Onsemi</v>
      </c>
      <c r="C3547" s="6">
        <v>1773</v>
      </c>
      <c r="D3547" s="7">
        <v>0.53</v>
      </c>
      <c r="E3547" t="s">
        <v>22</v>
      </c>
    </row>
    <row r="3548" spans="1:5" x14ac:dyDescent="0.25">
      <c r="A3548" t="str">
        <f>HYPERLINK("https://www.773grp.com/globalSearch/MC74AC163N/page-1", "MC74AC163N")</f>
        <v>MC74AC163N</v>
      </c>
      <c r="B3548" s="3" t="str">
        <f>HYPERLINK("https://www.773grp.com/manufacturer/onsemi?pageNo=851", "Onsemi")</f>
        <v>Onsemi</v>
      </c>
      <c r="C3548" s="6">
        <v>2700</v>
      </c>
      <c r="D3548" s="7">
        <v>0.53</v>
      </c>
      <c r="E3548" t="s">
        <v>22</v>
      </c>
    </row>
    <row r="3549" spans="1:5" x14ac:dyDescent="0.25">
      <c r="A3549" t="str">
        <f>HYPERLINK("https://www.773grp.com/globalSearch/MC74AC240MEL/page-1", "MC74AC240MEL")</f>
        <v>MC74AC240MEL</v>
      </c>
      <c r="B3549" s="3" t="str">
        <f>HYPERLINK("https://www.773grp.com/manufacturer/onsemi?pageNo=852", "Onsemi")</f>
        <v>Onsemi</v>
      </c>
      <c r="C3549" s="6">
        <v>15863</v>
      </c>
      <c r="D3549" s="7">
        <v>0.53</v>
      </c>
      <c r="E3549" t="s">
        <v>11</v>
      </c>
    </row>
    <row r="3550" spans="1:5" x14ac:dyDescent="0.25">
      <c r="A3550" t="str">
        <f>HYPERLINK("https://www.773grp.com/globalSearch/MC74AC244MEL/page-1", "MC74AC244MEL")</f>
        <v>MC74AC244MEL</v>
      </c>
      <c r="B3550" s="3" t="str">
        <f>HYPERLINK("https://www.773grp.com/manufacturer/onsemi?pageNo=853", "Onsemi")</f>
        <v>Onsemi</v>
      </c>
      <c r="C3550" s="6">
        <v>1592</v>
      </c>
      <c r="D3550" s="7">
        <v>0.53</v>
      </c>
      <c r="E3550" t="s">
        <v>11</v>
      </c>
    </row>
    <row r="3551" spans="1:5" x14ac:dyDescent="0.25">
      <c r="A3551" t="str">
        <f>HYPERLINK("https://www.773grp.com/globalSearch/MC74AC374MEL/page-1", "MC74AC374MEL")</f>
        <v>MC74AC374MEL</v>
      </c>
      <c r="B3551" s="3" t="str">
        <f>HYPERLINK("https://www.773grp.com/manufacturer/onsemi?pageNo=854", "Onsemi")</f>
        <v>Onsemi</v>
      </c>
      <c r="C3551" s="6">
        <v>9000</v>
      </c>
      <c r="D3551" s="7">
        <v>0.53</v>
      </c>
      <c r="E3551" t="s">
        <v>11</v>
      </c>
    </row>
    <row r="3552" spans="1:5" x14ac:dyDescent="0.25">
      <c r="A3552" t="str">
        <f>HYPERLINK("https://www.773grp.com/globalSearch/MC74AC540DW/page-1", "MC74AC540DW")</f>
        <v>MC74AC540DW</v>
      </c>
      <c r="B3552" s="3" t="str">
        <f>HYPERLINK("https://www.773grp.com/manufacturer/onsemi?pageNo=855", "Onsemi")</f>
        <v>Onsemi</v>
      </c>
      <c r="C3552" s="6">
        <v>30</v>
      </c>
      <c r="D3552" s="7">
        <v>0.53</v>
      </c>
      <c r="E3552" t="s">
        <v>11</v>
      </c>
    </row>
    <row r="3553" spans="1:5" x14ac:dyDescent="0.25">
      <c r="A3553" t="str">
        <f>HYPERLINK("https://www.773grp.com/globalSearch/MC74AC541DT/page-1", "MC74AC541DT")</f>
        <v>MC74AC541DT</v>
      </c>
      <c r="B3553" s="3" t="str">
        <f>HYPERLINK("https://www.773grp.com/manufacturer/onsemi?pageNo=856", "Onsemi")</f>
        <v>Onsemi</v>
      </c>
      <c r="C3553" s="6">
        <v>7950</v>
      </c>
      <c r="D3553" s="7">
        <v>0.53</v>
      </c>
      <c r="E3553" t="s">
        <v>11</v>
      </c>
    </row>
    <row r="3554" spans="1:5" x14ac:dyDescent="0.25">
      <c r="A3554" t="str">
        <f>HYPERLINK("https://www.773grp.com/globalSearch/MC74AC541DTR2/page-1", "MC74AC541DTR2")</f>
        <v>MC74AC541DTR2</v>
      </c>
      <c r="B3554" s="3" t="str">
        <f>HYPERLINK("https://www.773grp.com/manufacturer/onsemi?pageNo=857", "Onsemi")</f>
        <v>Onsemi</v>
      </c>
      <c r="C3554" s="6">
        <v>95</v>
      </c>
      <c r="D3554" s="7">
        <v>0.53</v>
      </c>
      <c r="E3554" t="s">
        <v>11</v>
      </c>
    </row>
    <row r="3555" spans="1:5" x14ac:dyDescent="0.25">
      <c r="A3555" t="str">
        <f>HYPERLINK("https://www.773grp.com/globalSearch/MC74ACT138D/page-1", "MC74ACT138D")</f>
        <v>MC74ACT138D</v>
      </c>
      <c r="B3555" s="3" t="str">
        <f>HYPERLINK("https://www.773grp.com/manufacturer/onsemi?pageNo=858", "Onsemi")</f>
        <v>Onsemi</v>
      </c>
      <c r="C3555" s="6">
        <v>12167</v>
      </c>
      <c r="D3555" s="7">
        <v>0.53</v>
      </c>
      <c r="E3555" t="s">
        <v>32</v>
      </c>
    </row>
    <row r="3556" spans="1:5" x14ac:dyDescent="0.25">
      <c r="A3556" t="str">
        <f>HYPERLINK("https://www.773grp.com/globalSearch/MC74ACT138DR2/page-1", "MC74ACT138DR2")</f>
        <v>MC74ACT138DR2</v>
      </c>
      <c r="B3556" s="3" t="str">
        <f>HYPERLINK("https://www.773grp.com/manufacturer/onsemi?pageNo=859", "Onsemi")</f>
        <v>Onsemi</v>
      </c>
      <c r="C3556" s="6">
        <v>37002</v>
      </c>
      <c r="D3556" s="7">
        <v>0.53</v>
      </c>
      <c r="E3556" t="s">
        <v>32</v>
      </c>
    </row>
    <row r="3557" spans="1:5" x14ac:dyDescent="0.25">
      <c r="A3557" t="str">
        <f>HYPERLINK("https://www.773grp.com/globalSearch/MC74ACT138DT/page-1", "MC74ACT138DT")</f>
        <v>MC74ACT138DT</v>
      </c>
      <c r="B3557" s="3" t="str">
        <f>HYPERLINK("https://www.773grp.com/manufacturer/onsemi?pageNo=860", "Onsemi")</f>
        <v>Onsemi</v>
      </c>
      <c r="C3557" s="6">
        <v>51</v>
      </c>
      <c r="D3557" s="7">
        <v>0.53</v>
      </c>
      <c r="E3557" t="s">
        <v>32</v>
      </c>
    </row>
    <row r="3558" spans="1:5" x14ac:dyDescent="0.25">
      <c r="A3558" t="str">
        <f>HYPERLINK("https://www.773grp.com/globalSearch/MC74ACT139D/page-1", "MC74ACT139D")</f>
        <v>MC74ACT139D</v>
      </c>
      <c r="B3558" s="3" t="str">
        <f>HYPERLINK("https://www.773grp.com/manufacturer/onsemi?pageNo=861", "Onsemi")</f>
        <v>Onsemi</v>
      </c>
      <c r="C3558" s="6">
        <v>4252</v>
      </c>
      <c r="D3558" s="7">
        <v>0.53</v>
      </c>
      <c r="E3558" t="s">
        <v>32</v>
      </c>
    </row>
    <row r="3559" spans="1:5" x14ac:dyDescent="0.25">
      <c r="A3559" t="str">
        <f>HYPERLINK("https://www.773grp.com/globalSearch/MC74ACT139N/page-1", "MC74ACT139N")</f>
        <v>MC74ACT139N</v>
      </c>
      <c r="B3559" s="3" t="str">
        <f>HYPERLINK("https://www.773grp.com/manufacturer/onsemi?pageNo=862", "Onsemi")</f>
        <v>Onsemi</v>
      </c>
      <c r="C3559" s="6">
        <v>260</v>
      </c>
      <c r="D3559" s="7">
        <v>0.53</v>
      </c>
      <c r="E3559" t="s">
        <v>32</v>
      </c>
    </row>
    <row r="3560" spans="1:5" x14ac:dyDescent="0.25">
      <c r="A3560" t="str">
        <f>HYPERLINK("https://www.773grp.com/globalSearch/MC74ACT14DTEL/page-1", "MC74ACT14DTEL")</f>
        <v>MC74ACT14DTEL</v>
      </c>
      <c r="B3560" s="3" t="str">
        <f>HYPERLINK("https://www.773grp.com/manufacturer/onsemi?pageNo=863", "Onsemi")</f>
        <v>Onsemi</v>
      </c>
      <c r="C3560" s="6">
        <v>1159</v>
      </c>
      <c r="D3560" s="7">
        <v>0.53</v>
      </c>
    </row>
    <row r="3561" spans="1:5" x14ac:dyDescent="0.25">
      <c r="A3561" t="str">
        <f>HYPERLINK("https://www.773grp.com/globalSearch/MC74ACT14ML1/page-1", "MC74ACT14ML1")</f>
        <v>MC74ACT14ML1</v>
      </c>
      <c r="B3561" s="3" t="str">
        <f>HYPERLINK("https://www.773grp.com/manufacturer/onsemi?pageNo=864", "Onsemi")</f>
        <v>Onsemi</v>
      </c>
      <c r="C3561" s="6">
        <v>8000</v>
      </c>
      <c r="D3561" s="7">
        <v>0.53</v>
      </c>
    </row>
    <row r="3562" spans="1:5" x14ac:dyDescent="0.25">
      <c r="A3562" t="str">
        <f>HYPERLINK("https://www.773grp.com/globalSearch/MC74ACT14MR1/page-1", "MC74ACT14MR1")</f>
        <v>MC74ACT14MR1</v>
      </c>
      <c r="B3562" s="3" t="str">
        <f>HYPERLINK("https://www.773grp.com/manufacturer/onsemi?pageNo=865", "Onsemi")</f>
        <v>Onsemi</v>
      </c>
      <c r="C3562" s="6">
        <v>17000</v>
      </c>
      <c r="D3562" s="7">
        <v>0.53</v>
      </c>
      <c r="E3562" t="s">
        <v>27</v>
      </c>
    </row>
    <row r="3563" spans="1:5" x14ac:dyDescent="0.25">
      <c r="A3563" t="str">
        <f>HYPERLINK("https://www.773grp.com/globalSearch/MC74ACT153D/page-1", "MC74ACT153D")</f>
        <v>MC74ACT153D</v>
      </c>
      <c r="B3563" s="3" t="str">
        <f>HYPERLINK("https://www.773grp.com/manufacturer/onsemi?pageNo=866", "Onsemi")</f>
        <v>Onsemi</v>
      </c>
      <c r="C3563" s="6">
        <v>3736</v>
      </c>
      <c r="D3563" s="7">
        <v>0.53</v>
      </c>
      <c r="E3563" t="s">
        <v>16</v>
      </c>
    </row>
    <row r="3564" spans="1:5" x14ac:dyDescent="0.25">
      <c r="A3564" t="str">
        <f>HYPERLINK("https://www.773grp.com/globalSearch/MC74ACT153DR2/page-1", "MC74ACT153DR2")</f>
        <v>MC74ACT153DR2</v>
      </c>
      <c r="B3564" s="3" t="str">
        <f>HYPERLINK("https://www.773grp.com/manufacturer/onsemi?pageNo=867", "Onsemi")</f>
        <v>Onsemi</v>
      </c>
      <c r="C3564" s="6">
        <v>17500</v>
      </c>
      <c r="D3564" s="7">
        <v>0.53</v>
      </c>
      <c r="E3564" t="s">
        <v>16</v>
      </c>
    </row>
    <row r="3565" spans="1:5" x14ac:dyDescent="0.25">
      <c r="A3565" t="str">
        <f>HYPERLINK("https://www.773grp.com/globalSearch/MC74ACT157D/page-1", "MC74ACT157D")</f>
        <v>MC74ACT157D</v>
      </c>
      <c r="B3565" s="3" t="str">
        <f>HYPERLINK("https://www.773grp.com/manufacturer/onsemi?pageNo=868", "Onsemi")</f>
        <v>Onsemi</v>
      </c>
      <c r="C3565" s="6">
        <v>771</v>
      </c>
      <c r="D3565" s="7">
        <v>0.53</v>
      </c>
      <c r="E3565" t="s">
        <v>16</v>
      </c>
    </row>
    <row r="3566" spans="1:5" x14ac:dyDescent="0.25">
      <c r="A3566" t="str">
        <f>HYPERLINK("https://www.773grp.com/globalSearch/MC74ACT157DTR2/page-1", "MC74ACT157DTR2")</f>
        <v>MC74ACT157DTR2</v>
      </c>
      <c r="B3566" s="3" t="str">
        <f>HYPERLINK("https://www.773grp.com/manufacturer/onsemi?pageNo=869", "Onsemi")</f>
        <v>Onsemi</v>
      </c>
      <c r="C3566" s="6">
        <v>55000</v>
      </c>
      <c r="D3566" s="7">
        <v>0.53</v>
      </c>
      <c r="E3566" t="s">
        <v>16</v>
      </c>
    </row>
    <row r="3567" spans="1:5" x14ac:dyDescent="0.25">
      <c r="A3567" t="str">
        <f>HYPERLINK("https://www.773grp.com/globalSearch/MC74ACT157N/page-1", "MC74ACT157N")</f>
        <v>MC74ACT157N</v>
      </c>
      <c r="B3567" s="3" t="str">
        <f>HYPERLINK("https://www.773grp.com/manufacturer/onsemi?pageNo=870", "Onsemi")</f>
        <v>Onsemi</v>
      </c>
      <c r="C3567" s="6">
        <v>75</v>
      </c>
      <c r="D3567" s="7">
        <v>0.53</v>
      </c>
      <c r="E3567" t="s">
        <v>16</v>
      </c>
    </row>
    <row r="3568" spans="1:5" x14ac:dyDescent="0.25">
      <c r="A3568" t="str">
        <f>HYPERLINK("https://www.773grp.com/globalSearch/MC74ACT161N/page-1", "MC74ACT161N")</f>
        <v>MC74ACT161N</v>
      </c>
      <c r="B3568" s="3" t="str">
        <f>HYPERLINK("https://www.773grp.com/manufacturer/onsemi?pageNo=871", "Onsemi")</f>
        <v>Onsemi</v>
      </c>
      <c r="C3568" s="6">
        <v>2500</v>
      </c>
      <c r="D3568" s="7">
        <v>0.53</v>
      </c>
      <c r="E3568" t="s">
        <v>22</v>
      </c>
    </row>
    <row r="3569" spans="1:5" x14ac:dyDescent="0.25">
      <c r="A3569" t="str">
        <f>HYPERLINK("https://www.773grp.com/globalSearch/MC74ACT163MEL/page-1", "MC74ACT163MEL")</f>
        <v>MC74ACT163MEL</v>
      </c>
      <c r="B3569" s="3" t="str">
        <f>HYPERLINK("https://www.773grp.com/manufacturer/onsemi?pageNo=872", "Onsemi")</f>
        <v>Onsemi</v>
      </c>
      <c r="C3569" s="6">
        <v>16000</v>
      </c>
      <c r="D3569" s="7">
        <v>0.53</v>
      </c>
      <c r="E3569" t="s">
        <v>22</v>
      </c>
    </row>
    <row r="3570" spans="1:5" x14ac:dyDescent="0.25">
      <c r="A3570" t="str">
        <f>HYPERLINK("https://www.773grp.com/globalSearch/MC74ACT253D/page-1", "MC74ACT253D")</f>
        <v>MC74ACT253D</v>
      </c>
      <c r="B3570" s="3" t="str">
        <f>HYPERLINK("https://www.773grp.com/manufacturer/onsemi?pageNo=873", "Onsemi")</f>
        <v>Onsemi</v>
      </c>
      <c r="C3570" s="6">
        <v>13477</v>
      </c>
      <c r="D3570" s="7">
        <v>0.53</v>
      </c>
      <c r="E3570" t="s">
        <v>16</v>
      </c>
    </row>
    <row r="3571" spans="1:5" x14ac:dyDescent="0.25">
      <c r="A3571" t="str">
        <f>HYPERLINK("https://www.773grp.com/globalSearch/MC74ACT257D/page-1", "MC74ACT257D")</f>
        <v>MC74ACT257D</v>
      </c>
      <c r="B3571" s="3" t="str">
        <f>HYPERLINK("https://www.773grp.com/manufacturer/onsemi?pageNo=874", "Onsemi")</f>
        <v>Onsemi</v>
      </c>
      <c r="C3571" s="6">
        <v>4356</v>
      </c>
      <c r="D3571" s="7">
        <v>0.53</v>
      </c>
      <c r="E3571" t="s">
        <v>16</v>
      </c>
    </row>
    <row r="3572" spans="1:5" x14ac:dyDescent="0.25">
      <c r="A3572" t="str">
        <f>HYPERLINK("https://www.773grp.com/globalSearch/MC74ACT273M/page-1", "MC74ACT273M")</f>
        <v>MC74ACT273M</v>
      </c>
      <c r="B3572" s="3" t="str">
        <f>HYPERLINK("https://www.773grp.com/manufacturer/onsemi?pageNo=875", "Onsemi")</f>
        <v>Onsemi</v>
      </c>
      <c r="C3572" s="6">
        <v>105</v>
      </c>
      <c r="D3572" s="7">
        <v>0.53</v>
      </c>
      <c r="E3572" t="s">
        <v>31</v>
      </c>
    </row>
    <row r="3573" spans="1:5" x14ac:dyDescent="0.25">
      <c r="A3573" t="str">
        <f>HYPERLINK("https://www.773grp.com/globalSearch/MC74ACT377MEL/page-1", "MC74ACT377MEL")</f>
        <v>MC74ACT377MEL</v>
      </c>
      <c r="B3573" s="3" t="str">
        <f>HYPERLINK("https://www.773grp.com/manufacturer/onsemi?pageNo=876", "Onsemi")</f>
        <v>Onsemi</v>
      </c>
      <c r="C3573" s="6">
        <v>6000</v>
      </c>
      <c r="D3573" s="7">
        <v>0.53</v>
      </c>
      <c r="E3573" t="s">
        <v>31</v>
      </c>
    </row>
    <row r="3574" spans="1:5" x14ac:dyDescent="0.25">
      <c r="A3574" t="str">
        <f>HYPERLINK("https://www.773grp.com/globalSearch/MC74ACT540DW/page-1", "MC74ACT540DW")</f>
        <v>MC74ACT540DW</v>
      </c>
      <c r="B3574" s="3" t="str">
        <f>HYPERLINK("https://www.773grp.com/manufacturer/onsemi?pageNo=877", "Onsemi")</f>
        <v>Onsemi</v>
      </c>
      <c r="C3574" s="6">
        <v>28</v>
      </c>
      <c r="D3574" s="7">
        <v>0.53</v>
      </c>
      <c r="E3574" t="s">
        <v>11</v>
      </c>
    </row>
    <row r="3575" spans="1:5" x14ac:dyDescent="0.25">
      <c r="A3575" t="str">
        <f>HYPERLINK("https://www.773grp.com/globalSearch/MC74ACT541DTR2/page-1", "MC74ACT541DTR2")</f>
        <v>MC74ACT541DTR2</v>
      </c>
      <c r="B3575" s="3" t="str">
        <f>HYPERLINK("https://www.773grp.com/manufacturer/onsemi?pageNo=878", "Onsemi")</f>
        <v>Onsemi</v>
      </c>
      <c r="C3575" s="6">
        <v>169925</v>
      </c>
      <c r="D3575" s="7">
        <v>0.53</v>
      </c>
      <c r="E3575" t="s">
        <v>11</v>
      </c>
    </row>
    <row r="3576" spans="1:5" x14ac:dyDescent="0.25">
      <c r="A3576" t="str">
        <f>HYPERLINK("https://www.773grp.com/globalSearch/MC74F04M/page-1", "MC74F04M")</f>
        <v>MC74F04M</v>
      </c>
      <c r="B3576" s="3" t="str">
        <f>HYPERLINK("https://www.773grp.com/manufacturer/onsemi?pageNo=879", "Onsemi")</f>
        <v>Onsemi</v>
      </c>
      <c r="C3576" s="6">
        <v>50</v>
      </c>
      <c r="D3576" s="7">
        <v>0.53</v>
      </c>
    </row>
    <row r="3577" spans="1:5" x14ac:dyDescent="0.25">
      <c r="A3577" t="str">
        <f>HYPERLINK("https://www.773grp.com/globalSearch/MC74F10M/page-1", "MC74F10M")</f>
        <v>MC74F10M</v>
      </c>
      <c r="B3577" s="3" t="str">
        <f>HYPERLINK("https://www.773grp.com/manufacturer/onsemi?pageNo=880", "Onsemi")</f>
        <v>Onsemi</v>
      </c>
      <c r="C3577" s="6">
        <v>6920</v>
      </c>
      <c r="D3577" s="7">
        <v>0.53</v>
      </c>
    </row>
    <row r="3578" spans="1:5" x14ac:dyDescent="0.25">
      <c r="A3578" t="str">
        <f>HYPERLINK("https://www.773grp.com/globalSearch/MC74F74D/page-1", "MC74F74D")</f>
        <v>MC74F74D</v>
      </c>
      <c r="B3578" s="3" t="str">
        <f>HYPERLINK("https://www.773grp.com/manufacturer/onsemi?pageNo=881", "Onsemi")</f>
        <v>Onsemi</v>
      </c>
      <c r="C3578" s="6">
        <v>1550</v>
      </c>
      <c r="D3578" s="7">
        <v>0.53</v>
      </c>
      <c r="E3578" t="s">
        <v>31</v>
      </c>
    </row>
    <row r="3579" spans="1:5" x14ac:dyDescent="0.25">
      <c r="A3579" t="str">
        <f>HYPERLINK("https://www.773grp.com/globalSearch/MC74F74DR2/page-1", "MC74F74DR2")</f>
        <v>MC74F74DR2</v>
      </c>
      <c r="B3579" s="3" t="str">
        <f>HYPERLINK("https://www.773grp.com/manufacturer/onsemi?pageNo=882", "Onsemi")</f>
        <v>Onsemi</v>
      </c>
      <c r="C3579" s="6">
        <v>160000</v>
      </c>
      <c r="D3579" s="7">
        <v>0.53</v>
      </c>
      <c r="E3579" t="s">
        <v>31</v>
      </c>
    </row>
    <row r="3580" spans="1:5" x14ac:dyDescent="0.25">
      <c r="A3580" t="str">
        <f>HYPERLINK("https://www.773grp.com/globalSearch/MC74F74MR1/page-1", "MC74F74MR1")</f>
        <v>MC74F74MR1</v>
      </c>
      <c r="B3580" s="3" t="str">
        <f>HYPERLINK("https://www.773grp.com/manufacturer/onsemi?pageNo=883", "Onsemi")</f>
        <v>Onsemi</v>
      </c>
      <c r="C3580" s="6">
        <v>2000</v>
      </c>
      <c r="D3580" s="7">
        <v>0.53</v>
      </c>
    </row>
    <row r="3581" spans="1:5" x14ac:dyDescent="0.25">
      <c r="A3581" t="str">
        <f>HYPERLINK("https://www.773grp.com/globalSearch/MC74HC125AFL1/page-1", "MC74HC125AFL1")</f>
        <v>MC74HC125AFL1</v>
      </c>
      <c r="B3581" s="3" t="str">
        <f>HYPERLINK("https://www.773grp.com/manufacturer/onsemi?pageNo=884", "Onsemi")</f>
        <v>Onsemi</v>
      </c>
      <c r="C3581" s="6">
        <v>16000</v>
      </c>
      <c r="D3581" s="7">
        <v>0.53</v>
      </c>
      <c r="E3581" t="s">
        <v>11</v>
      </c>
    </row>
    <row r="3582" spans="1:5" x14ac:dyDescent="0.25">
      <c r="A3582" t="str">
        <f>HYPERLINK("https://www.773grp.com/globalSearch/MC74HC125AFR1/page-1", "MC74HC125AFR1")</f>
        <v>MC74HC125AFR1</v>
      </c>
      <c r="B3582" s="3" t="str">
        <f>HYPERLINK("https://www.773grp.com/manufacturer/onsemi?pageNo=885", "Onsemi")</f>
        <v>Onsemi</v>
      </c>
      <c r="C3582" s="6">
        <v>7000</v>
      </c>
      <c r="D3582" s="7">
        <v>0.53</v>
      </c>
      <c r="E3582" t="s">
        <v>11</v>
      </c>
    </row>
    <row r="3583" spans="1:5" x14ac:dyDescent="0.25">
      <c r="A3583" t="str">
        <f>HYPERLINK("https://www.773grp.com/globalSearch/MC74HC125AFR2/page-1", "MC74HC125AFR2")</f>
        <v>MC74HC125AFR2</v>
      </c>
      <c r="B3583" s="3" t="str">
        <f>HYPERLINK("https://www.773grp.com/manufacturer/onsemi?pageNo=886", "Onsemi")</f>
        <v>Onsemi</v>
      </c>
      <c r="C3583" s="6">
        <v>4000</v>
      </c>
      <c r="D3583" s="7">
        <v>0.53</v>
      </c>
      <c r="E3583" t="s">
        <v>11</v>
      </c>
    </row>
    <row r="3584" spans="1:5" x14ac:dyDescent="0.25">
      <c r="A3584" t="str">
        <f>HYPERLINK("https://www.773grp.com/globalSearch/MC74HC126AF/page-1", "MC74HC126AF")</f>
        <v>MC74HC126AF</v>
      </c>
      <c r="B3584" s="3" t="str">
        <f>HYPERLINK("https://www.773grp.com/manufacturer/onsemi?pageNo=887", "Onsemi")</f>
        <v>Onsemi</v>
      </c>
      <c r="C3584" s="6">
        <v>800</v>
      </c>
      <c r="D3584" s="7">
        <v>0.53</v>
      </c>
    </row>
    <row r="3585" spans="1:5" x14ac:dyDescent="0.25">
      <c r="A3585" t="str">
        <f>HYPERLINK("https://www.773grp.com/globalSearch/MC74HC126AFL1/page-1", "MC74HC126AFL1")</f>
        <v>MC74HC126AFL1</v>
      </c>
      <c r="B3585" s="3" t="str">
        <f>HYPERLINK("https://www.773grp.com/manufacturer/onsemi?pageNo=888", "Onsemi")</f>
        <v>Onsemi</v>
      </c>
      <c r="C3585" s="6">
        <v>9000</v>
      </c>
      <c r="D3585" s="7">
        <v>0.53</v>
      </c>
    </row>
    <row r="3586" spans="1:5" x14ac:dyDescent="0.25">
      <c r="A3586" t="str">
        <f>HYPERLINK("https://www.773grp.com/globalSearch/MC74HC126AFL2/page-1", "MC74HC126AFL2")</f>
        <v>MC74HC126AFL2</v>
      </c>
      <c r="B3586" s="3" t="str">
        <f>HYPERLINK("https://www.773grp.com/manufacturer/onsemi?pageNo=889", "Onsemi")</f>
        <v>Onsemi</v>
      </c>
      <c r="C3586" s="6">
        <v>12000</v>
      </c>
      <c r="D3586" s="7">
        <v>0.53</v>
      </c>
    </row>
    <row r="3587" spans="1:5" x14ac:dyDescent="0.25">
      <c r="A3587" t="str">
        <f>HYPERLINK("https://www.773grp.com/globalSearch/MC74HC126AFR2/page-1", "MC74HC126AFR2")</f>
        <v>MC74HC126AFR2</v>
      </c>
      <c r="B3587" s="3" t="str">
        <f>HYPERLINK("https://www.773grp.com/manufacturer/onsemi?pageNo=890", "Onsemi")</f>
        <v>Onsemi</v>
      </c>
      <c r="C3587" s="6">
        <v>8000</v>
      </c>
      <c r="D3587" s="7">
        <v>0.53</v>
      </c>
    </row>
    <row r="3588" spans="1:5" x14ac:dyDescent="0.25">
      <c r="A3588" t="str">
        <f>HYPERLINK("https://www.773grp.com/globalSearch/MC74HC132AF/page-1", "MC74HC132AF")</f>
        <v>MC74HC132AF</v>
      </c>
      <c r="B3588" s="3" t="str">
        <f>HYPERLINK("https://www.773grp.com/manufacturer/onsemi?pageNo=891", "Onsemi")</f>
        <v>Onsemi</v>
      </c>
      <c r="C3588" s="6">
        <v>659</v>
      </c>
      <c r="D3588" s="7">
        <v>0.53</v>
      </c>
    </row>
    <row r="3589" spans="1:5" x14ac:dyDescent="0.25">
      <c r="A3589" t="str">
        <f>HYPERLINK("https://www.773grp.com/globalSearch/MC74HC138ADTEL/page-1", "MC74HC138ADTEL")</f>
        <v>MC74HC138ADTEL</v>
      </c>
      <c r="B3589" s="3" t="str">
        <f>HYPERLINK("https://www.773grp.com/manufacturer/onsemi?pageNo=892", "Onsemi")</f>
        <v>Onsemi</v>
      </c>
      <c r="C3589" s="6">
        <v>6000</v>
      </c>
      <c r="D3589" s="7">
        <v>0.53</v>
      </c>
    </row>
    <row r="3590" spans="1:5" x14ac:dyDescent="0.25">
      <c r="A3590" t="str">
        <f>HYPERLINK("https://www.773grp.com/globalSearch/MC74HC138AF/page-1", "MC74HC138AF")</f>
        <v>MC74HC138AF</v>
      </c>
      <c r="B3590" s="3" t="str">
        <f>HYPERLINK("https://www.773grp.com/manufacturer/onsemi?pageNo=893", "Onsemi")</f>
        <v>Onsemi</v>
      </c>
      <c r="C3590" s="6">
        <v>136</v>
      </c>
      <c r="D3590" s="7">
        <v>0.53</v>
      </c>
      <c r="E3590" t="s">
        <v>32</v>
      </c>
    </row>
    <row r="3591" spans="1:5" x14ac:dyDescent="0.25">
      <c r="A3591" t="str">
        <f>HYPERLINK("https://www.773grp.com/globalSearch/MC74HC139AFR1/page-1", "MC74HC139AFR1")</f>
        <v>MC74HC139AFR1</v>
      </c>
      <c r="B3591" s="3" t="str">
        <f>HYPERLINK("https://www.773grp.com/manufacturer/onsemi?pageNo=894", "Onsemi")</f>
        <v>Onsemi</v>
      </c>
      <c r="C3591" s="6">
        <v>4000</v>
      </c>
      <c r="D3591" s="7">
        <v>0.53</v>
      </c>
    </row>
    <row r="3592" spans="1:5" x14ac:dyDescent="0.25">
      <c r="A3592" t="str">
        <f>HYPERLINK("https://www.773grp.com/globalSearch/MC74HC139AFR2/page-1", "MC74HC139AFR2")</f>
        <v>MC74HC139AFR2</v>
      </c>
      <c r="B3592" s="3" t="str">
        <f>HYPERLINK("https://www.773grp.com/manufacturer/onsemi?pageNo=895", "Onsemi")</f>
        <v>Onsemi</v>
      </c>
      <c r="C3592" s="6">
        <v>2000</v>
      </c>
      <c r="D3592" s="7">
        <v>0.53</v>
      </c>
    </row>
    <row r="3593" spans="1:5" x14ac:dyDescent="0.25">
      <c r="A3593" t="str">
        <f>HYPERLINK("https://www.773grp.com/globalSearch/MC74HC157ADT/page-1", "MC74HC157ADT")</f>
        <v>MC74HC157ADT</v>
      </c>
      <c r="B3593" s="3" t="str">
        <f>HYPERLINK("https://www.773grp.com/manufacturer/onsemi?pageNo=896", "Onsemi")</f>
        <v>Onsemi</v>
      </c>
      <c r="C3593" s="6">
        <v>7364</v>
      </c>
      <c r="D3593" s="7">
        <v>0.53</v>
      </c>
      <c r="E3593" t="s">
        <v>16</v>
      </c>
    </row>
    <row r="3594" spans="1:5" x14ac:dyDescent="0.25">
      <c r="A3594" t="str">
        <f>HYPERLINK("https://www.773grp.com/globalSearch/MC74HC157ADT/page-1", "MC74HC157ADT")</f>
        <v>MC74HC157ADT</v>
      </c>
      <c r="B3594" s="3" t="str">
        <f>HYPERLINK("https://www.773grp.com/manufacturer/onsemi?pageNo=897", "Onsemi")</f>
        <v>Onsemi</v>
      </c>
      <c r="C3594" s="6">
        <v>35900</v>
      </c>
      <c r="D3594" s="7">
        <v>0.53</v>
      </c>
      <c r="E3594" t="s">
        <v>16</v>
      </c>
    </row>
    <row r="3595" spans="1:5" x14ac:dyDescent="0.25">
      <c r="A3595" t="str">
        <f>HYPERLINK("https://www.773grp.com/globalSearch/MC74HC157AFL1/page-1", "MC74HC157AFL1")</f>
        <v>MC74HC157AFL1</v>
      </c>
      <c r="B3595" s="3" t="str">
        <f>HYPERLINK("https://www.773grp.com/manufacturer/onsemi?pageNo=898", "Onsemi")</f>
        <v>Onsemi</v>
      </c>
      <c r="C3595" s="6">
        <v>15000</v>
      </c>
      <c r="D3595" s="7">
        <v>0.53</v>
      </c>
    </row>
    <row r="3596" spans="1:5" x14ac:dyDescent="0.25">
      <c r="A3596" t="str">
        <f>HYPERLINK("https://www.773grp.com/globalSearch/MC74HC157AFL2/page-1", "MC74HC157AFL2")</f>
        <v>MC74HC157AFL2</v>
      </c>
      <c r="B3596" s="3" t="str">
        <f>HYPERLINK("https://www.773grp.com/manufacturer/onsemi?pageNo=899", "Onsemi")</f>
        <v>Onsemi</v>
      </c>
      <c r="C3596" s="6">
        <v>12000</v>
      </c>
      <c r="D3596" s="7">
        <v>0.53</v>
      </c>
    </row>
    <row r="3597" spans="1:5" x14ac:dyDescent="0.25">
      <c r="A3597" t="str">
        <f>HYPERLINK("https://www.773grp.com/globalSearch/MC74HC157AFR1/page-1", "MC74HC157AFR1")</f>
        <v>MC74HC157AFR1</v>
      </c>
      <c r="B3597" s="3" t="str">
        <f>HYPERLINK("https://www.773grp.com/manufacturer/onsemi?pageNo=900", "Onsemi")</f>
        <v>Onsemi</v>
      </c>
      <c r="C3597" s="6">
        <v>14000</v>
      </c>
      <c r="D3597" s="7">
        <v>0.53</v>
      </c>
    </row>
    <row r="3598" spans="1:5" x14ac:dyDescent="0.25">
      <c r="A3598" t="str">
        <f>HYPERLINK("https://www.773grp.com/globalSearch/MC74HC157AFR2/page-1", "MC74HC157AFR2")</f>
        <v>MC74HC157AFR2</v>
      </c>
      <c r="B3598" s="3" t="str">
        <f>HYPERLINK("https://www.773grp.com/manufacturer/onsemi?pageNo=901", "Onsemi")</f>
        <v>Onsemi</v>
      </c>
      <c r="C3598" s="6">
        <v>42000</v>
      </c>
      <c r="D3598" s="7">
        <v>0.53</v>
      </c>
    </row>
    <row r="3599" spans="1:5" x14ac:dyDescent="0.25">
      <c r="A3599" t="str">
        <f>HYPERLINK("https://www.773grp.com/globalSearch/MC74HC161ADT/page-1", "MC74HC161ADT")</f>
        <v>MC74HC161ADT</v>
      </c>
      <c r="B3599" s="3" t="str">
        <f>HYPERLINK("https://www.773grp.com/manufacturer/onsemi?pageNo=902", "Onsemi")</f>
        <v>Onsemi</v>
      </c>
      <c r="C3599" s="6">
        <v>22456</v>
      </c>
      <c r="D3599" s="7">
        <v>0.53</v>
      </c>
      <c r="E3599" t="s">
        <v>22</v>
      </c>
    </row>
    <row r="3600" spans="1:5" x14ac:dyDescent="0.25">
      <c r="A3600" t="str">
        <f>HYPERLINK("https://www.773grp.com/globalSearch/MC74HC161AFEL/page-1", "MC74HC161AFEL")</f>
        <v>MC74HC161AFEL</v>
      </c>
      <c r="B3600" s="3" t="str">
        <f>HYPERLINK("https://www.773grp.com/manufacturer/onsemi?pageNo=903", "Onsemi")</f>
        <v>Onsemi</v>
      </c>
      <c r="C3600" s="6">
        <v>27400</v>
      </c>
      <c r="D3600" s="7">
        <v>0.53</v>
      </c>
      <c r="E3600" t="s">
        <v>22</v>
      </c>
    </row>
    <row r="3601" spans="1:5" x14ac:dyDescent="0.25">
      <c r="A3601" t="str">
        <f>HYPERLINK("https://www.773grp.com/globalSearch/MC74HC161AN/page-1", "MC74HC161AN")</f>
        <v>MC74HC161AN</v>
      </c>
      <c r="B3601" s="3" t="str">
        <f>HYPERLINK("https://www.773grp.com/manufacturer/onsemi?pageNo=904", "Onsemi")</f>
        <v>Onsemi</v>
      </c>
      <c r="C3601" s="6">
        <v>1367</v>
      </c>
      <c r="D3601" s="7">
        <v>0.53</v>
      </c>
      <c r="E3601" t="s">
        <v>22</v>
      </c>
    </row>
    <row r="3602" spans="1:5" x14ac:dyDescent="0.25">
      <c r="A3602" t="str">
        <f>HYPERLINK("https://www.773grp.com/globalSearch/MC74HC164AF/page-1", "MC74HC164AF")</f>
        <v>MC74HC164AF</v>
      </c>
      <c r="B3602" s="3" t="str">
        <f>HYPERLINK("https://www.773grp.com/manufacturer/onsemi?pageNo=905", "Onsemi")</f>
        <v>Onsemi</v>
      </c>
      <c r="C3602" s="6">
        <v>650</v>
      </c>
      <c r="D3602" s="7">
        <v>0.53</v>
      </c>
    </row>
    <row r="3603" spans="1:5" x14ac:dyDescent="0.25">
      <c r="A3603" t="str">
        <f>HYPERLINK("https://www.773grp.com/globalSearch/MC74HC164AFL1/page-1", "MC74HC164AFL1")</f>
        <v>MC74HC164AFL1</v>
      </c>
      <c r="B3603" s="3" t="str">
        <f>HYPERLINK("https://www.773grp.com/manufacturer/onsemi?pageNo=906", "Onsemi")</f>
        <v>Onsemi</v>
      </c>
      <c r="C3603" s="6">
        <v>9000</v>
      </c>
      <c r="D3603" s="7">
        <v>0.53</v>
      </c>
    </row>
    <row r="3604" spans="1:5" x14ac:dyDescent="0.25">
      <c r="A3604" t="str">
        <f>HYPERLINK("https://www.773grp.com/globalSearch/MC74HC164AFR1/page-1", "MC74HC164AFR1")</f>
        <v>MC74HC164AFR1</v>
      </c>
      <c r="B3604" s="3" t="str">
        <f>HYPERLINK("https://www.773grp.com/manufacturer/onsemi?pageNo=907", "Onsemi")</f>
        <v>Onsemi</v>
      </c>
      <c r="C3604" s="6">
        <v>11000</v>
      </c>
      <c r="D3604" s="7">
        <v>0.53</v>
      </c>
    </row>
    <row r="3605" spans="1:5" x14ac:dyDescent="0.25">
      <c r="A3605" t="str">
        <f>HYPERLINK("https://www.773grp.com/globalSearch/MC74HC164AFR2/page-1", "MC74HC164AFR2")</f>
        <v>MC74HC164AFR2</v>
      </c>
      <c r="B3605" s="3" t="str">
        <f>HYPERLINK("https://www.773grp.com/manufacturer/onsemi?pageNo=908", "Onsemi")</f>
        <v>Onsemi</v>
      </c>
      <c r="C3605" s="6">
        <v>8000</v>
      </c>
      <c r="D3605" s="7">
        <v>0.53</v>
      </c>
    </row>
    <row r="3606" spans="1:5" x14ac:dyDescent="0.25">
      <c r="A3606" t="str">
        <f>HYPERLINK("https://www.773grp.com/globalSearch/MC74HC174AF/page-1", "MC74HC174AF")</f>
        <v>MC74HC174AF</v>
      </c>
      <c r="B3606" s="3" t="str">
        <f>HYPERLINK("https://www.773grp.com/manufacturer/onsemi?pageNo=909", "Onsemi")</f>
        <v>Onsemi</v>
      </c>
      <c r="C3606" s="6">
        <v>10876</v>
      </c>
      <c r="D3606" s="7">
        <v>0.53</v>
      </c>
    </row>
    <row r="3607" spans="1:5" x14ac:dyDescent="0.25">
      <c r="A3607" t="str">
        <f>HYPERLINK("https://www.773grp.com/globalSearch/MC74HC174AFL1/page-1", "MC74HC174AFL1")</f>
        <v>MC74HC174AFL1</v>
      </c>
      <c r="B3607" s="3" t="str">
        <f>HYPERLINK("https://www.773grp.com/manufacturer/onsemi?pageNo=910", "Onsemi")</f>
        <v>Onsemi</v>
      </c>
      <c r="C3607" s="6">
        <v>8000</v>
      </c>
      <c r="D3607" s="7">
        <v>0.53</v>
      </c>
    </row>
    <row r="3608" spans="1:5" x14ac:dyDescent="0.25">
      <c r="A3608" t="str">
        <f>HYPERLINK("https://www.773grp.com/globalSearch/MC74HC174AFL2/page-1", "MC74HC174AFL2")</f>
        <v>MC74HC174AFL2</v>
      </c>
      <c r="B3608" s="3" t="str">
        <f>HYPERLINK("https://www.773grp.com/manufacturer/onsemi?pageNo=911", "Onsemi")</f>
        <v>Onsemi</v>
      </c>
      <c r="C3608" s="6">
        <v>2000</v>
      </c>
      <c r="D3608" s="7">
        <v>0.53</v>
      </c>
    </row>
    <row r="3609" spans="1:5" x14ac:dyDescent="0.25">
      <c r="A3609" t="str">
        <f>HYPERLINK("https://www.773grp.com/globalSearch/MC74HC174AFR2/page-1", "MC74HC174AFR2")</f>
        <v>MC74HC174AFR2</v>
      </c>
      <c r="B3609" s="3" t="str">
        <f>HYPERLINK("https://www.773grp.com/manufacturer/onsemi?pageNo=912", "Onsemi")</f>
        <v>Onsemi</v>
      </c>
      <c r="C3609" s="6">
        <v>8000</v>
      </c>
      <c r="D3609" s="7">
        <v>0.53</v>
      </c>
    </row>
    <row r="3610" spans="1:5" x14ac:dyDescent="0.25">
      <c r="A3610" t="str">
        <f>HYPERLINK("https://www.773grp.com/globalSearch/MC74HC175ADT/page-1", "MC74HC175ADT")</f>
        <v>MC74HC175ADT</v>
      </c>
      <c r="B3610" s="3" t="str">
        <f>HYPERLINK("https://www.773grp.com/manufacturer/onsemi?pageNo=913", "Onsemi")</f>
        <v>Onsemi</v>
      </c>
      <c r="C3610" s="6">
        <v>21600</v>
      </c>
      <c r="D3610" s="7">
        <v>0.53</v>
      </c>
      <c r="E3610" t="s">
        <v>31</v>
      </c>
    </row>
    <row r="3611" spans="1:5" x14ac:dyDescent="0.25">
      <c r="A3611" t="str">
        <f>HYPERLINK("https://www.773grp.com/globalSearch/MC74HC20D/page-1", "MC74HC20D")</f>
        <v>MC74HC20D</v>
      </c>
      <c r="B3611" s="3" t="str">
        <f>HYPERLINK("https://www.773grp.com/manufacturer/onsemi?pageNo=914", "Onsemi")</f>
        <v>Onsemi</v>
      </c>
      <c r="C3611" s="6">
        <v>516</v>
      </c>
      <c r="D3611" s="7">
        <v>0.53</v>
      </c>
      <c r="E3611" t="s">
        <v>27</v>
      </c>
    </row>
    <row r="3612" spans="1:5" x14ac:dyDescent="0.25">
      <c r="A3612" t="str">
        <f>HYPERLINK("https://www.773grp.com/globalSearch/MC74HC244ADT/page-1", "MC74HC244ADT")</f>
        <v>MC74HC244ADT</v>
      </c>
      <c r="B3612" s="3" t="str">
        <f>HYPERLINK("https://www.773grp.com/manufacturer/onsemi?pageNo=915", "Onsemi")</f>
        <v>Onsemi</v>
      </c>
      <c r="C3612" s="6">
        <v>3764</v>
      </c>
      <c r="D3612" s="7">
        <v>0.53</v>
      </c>
      <c r="E3612" t="s">
        <v>11</v>
      </c>
    </row>
    <row r="3613" spans="1:5" x14ac:dyDescent="0.25">
      <c r="A3613" t="str">
        <f>HYPERLINK("https://www.773grp.com/globalSearch/MC74HC244ADWR2/page-1", "MC74HC244ADWR2")</f>
        <v>MC74HC244ADWR2</v>
      </c>
      <c r="B3613" s="3" t="str">
        <f>HYPERLINK("https://www.773grp.com/manufacturer/onsemi?pageNo=916", "Onsemi")</f>
        <v>Onsemi</v>
      </c>
      <c r="C3613" s="6">
        <v>38945</v>
      </c>
      <c r="D3613" s="7">
        <v>0.53</v>
      </c>
      <c r="E3613" t="s">
        <v>11</v>
      </c>
    </row>
    <row r="3614" spans="1:5" x14ac:dyDescent="0.25">
      <c r="A3614" t="str">
        <f>HYPERLINK("https://www.773grp.com/globalSearch/MC74HC245ADT/page-1", "MC74HC245ADT")</f>
        <v>MC74HC245ADT</v>
      </c>
      <c r="B3614" s="3" t="str">
        <f>HYPERLINK("https://www.773grp.com/manufacturer/onsemi?pageNo=917", "Onsemi")</f>
        <v>Onsemi</v>
      </c>
      <c r="C3614" s="6">
        <v>2775</v>
      </c>
      <c r="D3614" s="7">
        <v>0.53</v>
      </c>
      <c r="E3614" t="s">
        <v>11</v>
      </c>
    </row>
    <row r="3615" spans="1:5" x14ac:dyDescent="0.25">
      <c r="A3615" t="str">
        <f>HYPERLINK("https://www.773grp.com/globalSearch/MC74HC273ADT/page-1", "MC74HC273ADT")</f>
        <v>MC74HC273ADT</v>
      </c>
      <c r="B3615" s="3" t="str">
        <f>HYPERLINK("https://www.773grp.com/manufacturer/onsemi?pageNo=918", "Onsemi")</f>
        <v>Onsemi</v>
      </c>
      <c r="C3615" s="6">
        <v>325</v>
      </c>
      <c r="D3615" s="7">
        <v>0.53</v>
      </c>
      <c r="E3615" t="s">
        <v>31</v>
      </c>
    </row>
    <row r="3616" spans="1:5" x14ac:dyDescent="0.25">
      <c r="A3616" t="str">
        <f>HYPERLINK("https://www.773grp.com/globalSearch/MC74HC273ADW/page-1", "MC74HC273ADW")</f>
        <v>MC74HC273ADW</v>
      </c>
      <c r="B3616" s="3" t="str">
        <f>HYPERLINK("https://www.773grp.com/manufacturer/onsemi?pageNo=919", "Onsemi")</f>
        <v>Onsemi</v>
      </c>
      <c r="C3616" s="6">
        <v>717</v>
      </c>
      <c r="D3616" s="7">
        <v>0.53</v>
      </c>
      <c r="E3616" t="s">
        <v>31</v>
      </c>
    </row>
    <row r="3617" spans="1:5" x14ac:dyDescent="0.25">
      <c r="A3617" t="str">
        <f>HYPERLINK("https://www.773grp.com/globalSearch/MC74HC373ADW/page-1", "MC74HC373ADW")</f>
        <v>MC74HC373ADW</v>
      </c>
      <c r="B3617" s="3" t="str">
        <f>HYPERLINK("https://www.773grp.com/manufacturer/onsemi?pageNo=920", "Onsemi")</f>
        <v>Onsemi</v>
      </c>
      <c r="C3617" s="6">
        <v>506</v>
      </c>
      <c r="D3617" s="7">
        <v>0.53</v>
      </c>
      <c r="E3617" t="s">
        <v>11</v>
      </c>
    </row>
    <row r="3618" spans="1:5" x14ac:dyDescent="0.25">
      <c r="A3618" t="str">
        <f>HYPERLINK("https://www.773grp.com/globalSearch/MC74HC373ADWR2/page-1", "MC74HC373ADWR2")</f>
        <v>MC74HC373ADWR2</v>
      </c>
      <c r="B3618" s="3" t="str">
        <f>HYPERLINK("https://www.773grp.com/manufacturer/onsemi?pageNo=921", "Onsemi")</f>
        <v>Onsemi</v>
      </c>
      <c r="C3618" s="6">
        <v>1007</v>
      </c>
      <c r="D3618" s="7">
        <v>0.53</v>
      </c>
      <c r="E3618" t="s">
        <v>11</v>
      </c>
    </row>
    <row r="3619" spans="1:5" x14ac:dyDescent="0.25">
      <c r="A3619" t="str">
        <f>HYPERLINK("https://www.773grp.com/globalSearch/MC74HC374ADT/page-1", "MC74HC374ADT")</f>
        <v>MC74HC374ADT</v>
      </c>
      <c r="B3619" s="3" t="str">
        <f>HYPERLINK("https://www.773grp.com/manufacturer/onsemi?pageNo=922", "Onsemi")</f>
        <v>Onsemi</v>
      </c>
      <c r="C3619" s="6">
        <v>375</v>
      </c>
      <c r="D3619" s="7">
        <v>0.53</v>
      </c>
      <c r="E3619" t="s">
        <v>11</v>
      </c>
    </row>
    <row r="3620" spans="1:5" x14ac:dyDescent="0.25">
      <c r="A3620" t="str">
        <f>HYPERLINK("https://www.773grp.com/globalSearch/MC74HC374ADW/page-1", "MC74HC374ADW")</f>
        <v>MC74HC374ADW</v>
      </c>
      <c r="B3620" s="3" t="str">
        <f>HYPERLINK("https://www.773grp.com/manufacturer/onsemi?pageNo=923", "Onsemi")</f>
        <v>Onsemi</v>
      </c>
      <c r="C3620" s="6">
        <v>1598</v>
      </c>
      <c r="D3620" s="7">
        <v>0.53</v>
      </c>
      <c r="E3620" t="s">
        <v>11</v>
      </c>
    </row>
    <row r="3621" spans="1:5" x14ac:dyDescent="0.25">
      <c r="A3621" t="str">
        <f>HYPERLINK("https://www.773grp.com/globalSearch/MC74HC374ADWR2/page-1", "MC74HC374ADWR2")</f>
        <v>MC74HC374ADWR2</v>
      </c>
      <c r="B3621" s="3" t="str">
        <f>HYPERLINK("https://www.773grp.com/manufacturer/onsemi?pageNo=924", "Onsemi")</f>
        <v>Onsemi</v>
      </c>
      <c r="C3621" s="6">
        <v>5234</v>
      </c>
      <c r="D3621" s="7">
        <v>0.53</v>
      </c>
      <c r="E3621" t="s">
        <v>11</v>
      </c>
    </row>
    <row r="3622" spans="1:5" x14ac:dyDescent="0.25">
      <c r="A3622" t="str">
        <f>HYPERLINK("https://www.773grp.com/globalSearch/MC74HC374AF/page-1", "MC74HC374AF")</f>
        <v>MC74HC374AF</v>
      </c>
      <c r="B3622" s="3" t="str">
        <f>HYPERLINK("https://www.773grp.com/manufacturer/onsemi?pageNo=925", "Onsemi")</f>
        <v>Onsemi</v>
      </c>
      <c r="C3622" s="6">
        <v>263</v>
      </c>
      <c r="D3622" s="7">
        <v>0.53</v>
      </c>
      <c r="E3622" t="s">
        <v>11</v>
      </c>
    </row>
    <row r="3623" spans="1:5" x14ac:dyDescent="0.25">
      <c r="A3623" t="str">
        <f>HYPERLINK("https://www.773grp.com/globalSearch/MC74HC390AFEL/page-1", "MC74HC390AFEL")</f>
        <v>MC74HC390AFEL</v>
      </c>
      <c r="B3623" s="3" t="str">
        <f>HYPERLINK("https://www.773grp.com/manufacturer/onsemi?pageNo=926", "Onsemi")</f>
        <v>Onsemi</v>
      </c>
      <c r="C3623" s="6">
        <v>6201</v>
      </c>
      <c r="D3623" s="7">
        <v>0.53</v>
      </c>
      <c r="E3623" t="s">
        <v>22</v>
      </c>
    </row>
    <row r="3624" spans="1:5" x14ac:dyDescent="0.25">
      <c r="A3624" t="str">
        <f>HYPERLINK("https://www.773grp.com/globalSearch/MC74HC393AN/page-1", "MC74HC393AN")</f>
        <v>MC74HC393AN</v>
      </c>
      <c r="B3624" s="3" t="str">
        <f>HYPERLINK("https://www.773grp.com/manufacturer/onsemi?pageNo=927", "Onsemi")</f>
        <v>Onsemi</v>
      </c>
      <c r="C3624" s="6">
        <v>2327</v>
      </c>
      <c r="D3624" s="7">
        <v>0.53</v>
      </c>
      <c r="E3624" t="s">
        <v>22</v>
      </c>
    </row>
    <row r="3625" spans="1:5" x14ac:dyDescent="0.25">
      <c r="A3625" t="str">
        <f>HYPERLINK("https://www.773grp.com/globalSearch/MC74HC4020ADT/page-1", "MC74HC4020ADT")</f>
        <v>MC74HC4020ADT</v>
      </c>
      <c r="B3625" s="3" t="str">
        <f>HYPERLINK("https://www.773grp.com/manufacturer/onsemi?pageNo=928", "Onsemi")</f>
        <v>Onsemi</v>
      </c>
      <c r="C3625" s="6">
        <v>2487</v>
      </c>
      <c r="D3625" s="7">
        <v>0.53</v>
      </c>
      <c r="E3625" t="s">
        <v>22</v>
      </c>
    </row>
    <row r="3626" spans="1:5" x14ac:dyDescent="0.25">
      <c r="A3626" t="str">
        <f>HYPERLINK("https://www.773grp.com/globalSearch/MC74HC4020AF/page-1", "MC74HC4020AF")</f>
        <v>MC74HC4020AF</v>
      </c>
      <c r="B3626" s="3" t="str">
        <f>HYPERLINK("https://www.773grp.com/manufacturer/onsemi?pageNo=929", "Onsemi")</f>
        <v>Onsemi</v>
      </c>
      <c r="C3626" s="6">
        <v>365</v>
      </c>
      <c r="D3626" s="7">
        <v>0.53</v>
      </c>
      <c r="E3626" t="s">
        <v>22</v>
      </c>
    </row>
    <row r="3627" spans="1:5" x14ac:dyDescent="0.25">
      <c r="A3627" t="str">
        <f>HYPERLINK("https://www.773grp.com/globalSearch/MC74HC4040ADT/page-1", "MC74HC4040ADT")</f>
        <v>MC74HC4040ADT</v>
      </c>
      <c r="B3627" s="3" t="str">
        <f>HYPERLINK("https://www.773grp.com/manufacturer/onsemi?pageNo=930", "Onsemi")</f>
        <v>Onsemi</v>
      </c>
      <c r="C3627" s="6">
        <v>1248</v>
      </c>
      <c r="D3627" s="7">
        <v>0.53</v>
      </c>
      <c r="E3627" t="s">
        <v>22</v>
      </c>
    </row>
    <row r="3628" spans="1:5" x14ac:dyDescent="0.25">
      <c r="A3628" t="str">
        <f>HYPERLINK("https://www.773grp.com/globalSearch/MC74HC4046AFEL/page-1", "MC74HC4046AFEL")</f>
        <v>MC74HC4046AFEL</v>
      </c>
      <c r="B3628" s="3" t="str">
        <f>HYPERLINK("https://www.773grp.com/manufacturer/onsemi?pageNo=931", "Onsemi")</f>
        <v>Onsemi</v>
      </c>
      <c r="C3628" s="6">
        <v>1500</v>
      </c>
      <c r="D3628" s="7">
        <v>0.53</v>
      </c>
      <c r="E3628" t="s">
        <v>34</v>
      </c>
    </row>
    <row r="3629" spans="1:5" x14ac:dyDescent="0.25">
      <c r="A3629" t="str">
        <f>HYPERLINK("https://www.773grp.com/globalSearch/MC74HC4051AN/page-1", "MC74HC4051AN")</f>
        <v>MC74HC4051AN</v>
      </c>
      <c r="B3629" s="3" t="str">
        <f>HYPERLINK("https://www.773grp.com/manufacturer/onsemi?pageNo=932", "Onsemi")</f>
        <v>Onsemi</v>
      </c>
      <c r="C3629" s="6">
        <v>22199</v>
      </c>
      <c r="D3629" s="7">
        <v>0.53</v>
      </c>
      <c r="E3629" t="s">
        <v>46</v>
      </c>
    </row>
    <row r="3630" spans="1:5" x14ac:dyDescent="0.25">
      <c r="A3630" t="str">
        <f>HYPERLINK("https://www.773grp.com/globalSearch/MC74HC4052AD/page-1", "MC74HC4052AD")</f>
        <v>MC74HC4052AD</v>
      </c>
      <c r="B3630" s="3" t="str">
        <f>HYPERLINK("https://www.773grp.com/manufacturer/onsemi?pageNo=933", "Onsemi")</f>
        <v>Onsemi</v>
      </c>
      <c r="C3630" s="6">
        <v>1056</v>
      </c>
      <c r="D3630" s="7">
        <v>0.53</v>
      </c>
      <c r="E3630" t="s">
        <v>46</v>
      </c>
    </row>
    <row r="3631" spans="1:5" x14ac:dyDescent="0.25">
      <c r="A3631" t="str">
        <f>HYPERLINK("https://www.773grp.com/globalSearch/MC74HC4053ADW/page-1", "MC74HC4053ADW")</f>
        <v>MC74HC4053ADW</v>
      </c>
      <c r="B3631" s="3" t="str">
        <f>HYPERLINK("https://www.773grp.com/manufacturer/onsemi?pageNo=934", "Onsemi")</f>
        <v>Onsemi</v>
      </c>
      <c r="C3631" s="6">
        <v>5913</v>
      </c>
      <c r="D3631" s="7">
        <v>0.53</v>
      </c>
      <c r="E3631" t="s">
        <v>46</v>
      </c>
    </row>
    <row r="3632" spans="1:5" x14ac:dyDescent="0.25">
      <c r="A3632" t="str">
        <f>HYPERLINK("https://www.773grp.com/globalSearch/MC74HC4316ADR2/page-1", "MC74HC4316ADR2")</f>
        <v>MC74HC4316ADR2</v>
      </c>
      <c r="B3632" s="3" t="str">
        <f>HYPERLINK("https://www.773grp.com/manufacturer/onsemi?pageNo=935", "Onsemi")</f>
        <v>Onsemi</v>
      </c>
      <c r="C3632" s="6">
        <v>2500</v>
      </c>
      <c r="D3632" s="7">
        <v>0.53</v>
      </c>
      <c r="E3632" t="s">
        <v>46</v>
      </c>
    </row>
    <row r="3633" spans="1:5" x14ac:dyDescent="0.25">
      <c r="A3633" t="str">
        <f>HYPERLINK("https://www.773grp.com/globalSearch/MC74HC4316AFEL/page-1", "MC74HC4316AFEL")</f>
        <v>MC74HC4316AFEL</v>
      </c>
      <c r="B3633" s="3" t="str">
        <f>HYPERLINK("https://www.773grp.com/manufacturer/onsemi?pageNo=936", "Onsemi")</f>
        <v>Onsemi</v>
      </c>
      <c r="C3633" s="6">
        <v>10000</v>
      </c>
      <c r="D3633" s="7">
        <v>0.53</v>
      </c>
      <c r="E3633" t="s">
        <v>46</v>
      </c>
    </row>
    <row r="3634" spans="1:5" x14ac:dyDescent="0.25">
      <c r="A3634" t="str">
        <f>HYPERLINK("https://www.773grp.com/globalSearch/MC74HC4538AN/page-1", "MC74HC4538AN")</f>
        <v>MC74HC4538AN</v>
      </c>
      <c r="B3634" s="3" t="str">
        <f>HYPERLINK("https://www.773grp.com/manufacturer/onsemi?pageNo=937", "Onsemi")</f>
        <v>Onsemi</v>
      </c>
      <c r="C3634" s="6">
        <v>39</v>
      </c>
      <c r="D3634" s="7">
        <v>0.53</v>
      </c>
      <c r="E3634" t="s">
        <v>44</v>
      </c>
    </row>
    <row r="3635" spans="1:5" x14ac:dyDescent="0.25">
      <c r="A3635" t="str">
        <f>HYPERLINK("https://www.773grp.com/globalSearch/MC74HC574ADW/page-1", "MC74HC574ADW")</f>
        <v>MC74HC574ADW</v>
      </c>
      <c r="B3635" s="3" t="str">
        <f>HYPERLINK("https://www.773grp.com/manufacturer/onsemi?pageNo=938", "Onsemi")</f>
        <v>Onsemi</v>
      </c>
      <c r="C3635" s="6">
        <v>21665</v>
      </c>
      <c r="D3635" s="7">
        <v>0.53</v>
      </c>
      <c r="E3635" t="s">
        <v>11</v>
      </c>
    </row>
    <row r="3636" spans="1:5" x14ac:dyDescent="0.25">
      <c r="A3636" t="str">
        <f>HYPERLINK("https://www.773grp.com/globalSearch/MC74HC574ADWR2/page-1", "MC74HC574ADWR2")</f>
        <v>MC74HC574ADWR2</v>
      </c>
      <c r="B3636" s="3" t="str">
        <f>HYPERLINK("https://www.773grp.com/manufacturer/onsemi?pageNo=939", "Onsemi")</f>
        <v>Onsemi</v>
      </c>
      <c r="C3636" s="6">
        <v>11190</v>
      </c>
      <c r="D3636" s="7">
        <v>0.53</v>
      </c>
      <c r="E3636" t="s">
        <v>11</v>
      </c>
    </row>
    <row r="3637" spans="1:5" x14ac:dyDescent="0.25">
      <c r="A3637" t="str">
        <f>HYPERLINK("https://www.773grp.com/globalSearch/MC74HC589ADT/page-1", "MC74HC589ADT")</f>
        <v>MC74HC589ADT</v>
      </c>
      <c r="B3637" s="3" t="str">
        <f>HYPERLINK("https://www.773grp.com/manufacturer/onsemi?pageNo=940", "Onsemi")</f>
        <v>Onsemi</v>
      </c>
      <c r="C3637" s="6">
        <v>2260</v>
      </c>
      <c r="D3637" s="7">
        <v>0.53</v>
      </c>
      <c r="E3637" t="s">
        <v>28</v>
      </c>
    </row>
    <row r="3638" spans="1:5" x14ac:dyDescent="0.25">
      <c r="A3638" t="str">
        <f>HYPERLINK("https://www.773grp.com/globalSearch/MC74HC595AN/page-1", "MC74HC595AN")</f>
        <v>MC74HC595AN</v>
      </c>
      <c r="B3638" s="3" t="str">
        <f>HYPERLINK("https://www.773grp.com/manufacturer/onsemi?pageNo=941", "Onsemi")</f>
        <v>Onsemi</v>
      </c>
      <c r="C3638" s="6">
        <v>113320</v>
      </c>
      <c r="D3638" s="7">
        <v>0.53</v>
      </c>
      <c r="E3638" t="s">
        <v>28</v>
      </c>
    </row>
    <row r="3639" spans="1:5" x14ac:dyDescent="0.25">
      <c r="A3639" t="str">
        <f>HYPERLINK("https://www.773grp.com/globalSearch/MC74HCT138AF/page-1", "MC74HCT138AF")</f>
        <v>MC74HCT138AF</v>
      </c>
      <c r="B3639" s="3" t="str">
        <f>HYPERLINK("https://www.773grp.com/manufacturer/onsemi?pageNo=942", "Onsemi")</f>
        <v>Onsemi</v>
      </c>
      <c r="C3639" s="6">
        <v>13100</v>
      </c>
      <c r="D3639" s="7">
        <v>0.53</v>
      </c>
    </row>
    <row r="3640" spans="1:5" x14ac:dyDescent="0.25">
      <c r="A3640" t="str">
        <f>HYPERLINK("https://www.773grp.com/globalSearch/MC74HCT14AFEL/page-1", "MC74HCT14AFEL")</f>
        <v>MC74HCT14AFEL</v>
      </c>
      <c r="B3640" s="3" t="str">
        <f>HYPERLINK("https://www.773grp.com/manufacturer/onsemi?pageNo=943", "Onsemi")</f>
        <v>Onsemi</v>
      </c>
      <c r="C3640" s="6">
        <v>27733</v>
      </c>
      <c r="D3640" s="7">
        <v>0.53</v>
      </c>
      <c r="E3640" t="s">
        <v>27</v>
      </c>
    </row>
    <row r="3641" spans="1:5" x14ac:dyDescent="0.25">
      <c r="A3641" t="str">
        <f>HYPERLINK("https://www.773grp.com/globalSearch/MC74HCT373ADT/page-1", "MC74HCT373ADT")</f>
        <v>MC74HCT373ADT</v>
      </c>
      <c r="B3641" s="3" t="str">
        <f>HYPERLINK("https://www.773grp.com/manufacturer/onsemi?pageNo=944", "Onsemi")</f>
        <v>Onsemi</v>
      </c>
      <c r="C3641" s="6">
        <v>6075</v>
      </c>
      <c r="D3641" s="7">
        <v>0.53</v>
      </c>
      <c r="E3641" t="s">
        <v>11</v>
      </c>
    </row>
    <row r="3642" spans="1:5" x14ac:dyDescent="0.25">
      <c r="A3642" t="str">
        <f>HYPERLINK("https://www.773grp.com/globalSearch/MC74HCT373ADW/page-1", "MC74HCT373ADW")</f>
        <v>MC74HCT373ADW</v>
      </c>
      <c r="B3642" s="3" t="str">
        <f>HYPERLINK("https://www.773grp.com/manufacturer/onsemi?pageNo=945", "Onsemi")</f>
        <v>Onsemi</v>
      </c>
      <c r="C3642" s="6">
        <v>529</v>
      </c>
      <c r="D3642" s="7">
        <v>0.53</v>
      </c>
      <c r="E3642" t="s">
        <v>11</v>
      </c>
    </row>
    <row r="3643" spans="1:5" x14ac:dyDescent="0.25">
      <c r="A3643" t="str">
        <f>HYPERLINK("https://www.773grp.com/globalSearch/MC74HCT374ADWR2/page-1", "MC74HCT374ADWR2")</f>
        <v>MC74HCT374ADWR2</v>
      </c>
      <c r="B3643" s="3" t="str">
        <f>HYPERLINK("https://www.773grp.com/manufacturer/onsemi?pageNo=946", "Onsemi")</f>
        <v>Onsemi</v>
      </c>
      <c r="C3643" s="6">
        <v>1570</v>
      </c>
      <c r="D3643" s="7">
        <v>0.53</v>
      </c>
      <c r="E3643" t="s">
        <v>11</v>
      </c>
    </row>
    <row r="3644" spans="1:5" x14ac:dyDescent="0.25">
      <c r="A3644" t="str">
        <f>HYPERLINK("https://www.773grp.com/globalSearch/MC74HCT573ADW/page-1", "MC74HCT573ADW")</f>
        <v>MC74HCT573ADW</v>
      </c>
      <c r="B3644" s="3" t="str">
        <f>HYPERLINK("https://www.773grp.com/manufacturer/onsemi?pageNo=947", "Onsemi")</f>
        <v>Onsemi</v>
      </c>
      <c r="C3644" s="6">
        <v>2540</v>
      </c>
      <c r="D3644" s="7">
        <v>0.53</v>
      </c>
      <c r="E3644" t="s">
        <v>11</v>
      </c>
    </row>
    <row r="3645" spans="1:5" x14ac:dyDescent="0.25">
      <c r="A3645" t="str">
        <f>HYPERLINK("https://www.773grp.com/globalSearch/MC74HCT573ADWR2/page-1", "MC74HCT573ADWR2")</f>
        <v>MC74HCT573ADWR2</v>
      </c>
      <c r="B3645" s="3" t="str">
        <f>HYPERLINK("https://www.773grp.com/manufacturer/onsemi?pageNo=948", "Onsemi")</f>
        <v>Onsemi</v>
      </c>
      <c r="C3645" s="6">
        <v>3000</v>
      </c>
      <c r="D3645" s="7">
        <v>0.53</v>
      </c>
      <c r="E3645" t="s">
        <v>11</v>
      </c>
    </row>
    <row r="3646" spans="1:5" x14ac:dyDescent="0.25">
      <c r="A3646" t="str">
        <f>HYPERLINK("https://www.773grp.com/globalSearch/MC74HCT574ADTR2/page-1", "MC74HCT574ADTR2")</f>
        <v>MC74HCT574ADTR2</v>
      </c>
      <c r="B3646" s="3" t="str">
        <f>HYPERLINK("https://www.773grp.com/manufacturer/onsemi?pageNo=949", "Onsemi")</f>
        <v>Onsemi</v>
      </c>
      <c r="C3646" s="6">
        <v>35000</v>
      </c>
      <c r="D3646" s="7">
        <v>0.53</v>
      </c>
      <c r="E3646" t="s">
        <v>11</v>
      </c>
    </row>
    <row r="3647" spans="1:5" x14ac:dyDescent="0.25">
      <c r="A3647" t="str">
        <f>HYPERLINK("https://www.773grp.com/globalSearch/MC74HCT74ADT/page-1", "MC74HCT74ADT")</f>
        <v>MC74HCT74ADT</v>
      </c>
      <c r="B3647" s="3" t="str">
        <f>HYPERLINK("https://www.773grp.com/manufacturer/onsemi?pageNo=950", "Onsemi")</f>
        <v>Onsemi</v>
      </c>
      <c r="C3647" s="6">
        <v>5952</v>
      </c>
      <c r="D3647" s="7">
        <v>0.53</v>
      </c>
    </row>
    <row r="3648" spans="1:5" x14ac:dyDescent="0.25">
      <c r="A3648" t="str">
        <f>HYPERLINK("https://www.773grp.com/globalSearch/MC74LCX00DTEL/page-1", "MC74LCX00DTEL")</f>
        <v>MC74LCX00DTEL</v>
      </c>
      <c r="B3648" s="3" t="str">
        <f>HYPERLINK("https://www.773grp.com/manufacturer/onsemi?pageNo=951", "Onsemi")</f>
        <v>Onsemi</v>
      </c>
      <c r="C3648" s="6">
        <v>4000</v>
      </c>
      <c r="D3648" s="7">
        <v>0.53</v>
      </c>
    </row>
    <row r="3649" spans="1:5" x14ac:dyDescent="0.25">
      <c r="A3649" t="str">
        <f>HYPERLINK("https://www.773grp.com/globalSearch/MC74LCX00M/page-1", "MC74LCX00M")</f>
        <v>MC74LCX00M</v>
      </c>
      <c r="B3649" s="3" t="str">
        <f>HYPERLINK("https://www.773grp.com/manufacturer/onsemi?pageNo=952", "Onsemi")</f>
        <v>Onsemi</v>
      </c>
      <c r="C3649" s="6">
        <v>19550</v>
      </c>
      <c r="D3649" s="7">
        <v>0.53</v>
      </c>
      <c r="E3649" t="s">
        <v>27</v>
      </c>
    </row>
    <row r="3650" spans="1:5" x14ac:dyDescent="0.25">
      <c r="A3650" t="str">
        <f>HYPERLINK("https://www.773grp.com/globalSearch/MC74LCX02M/page-1", "MC74LCX02M")</f>
        <v>MC74LCX02M</v>
      </c>
      <c r="B3650" s="3" t="str">
        <f>HYPERLINK("https://www.773grp.com/manufacturer/onsemi?pageNo=953", "Onsemi")</f>
        <v>Onsemi</v>
      </c>
      <c r="C3650" s="6">
        <v>9800</v>
      </c>
      <c r="D3650" s="7">
        <v>0.53</v>
      </c>
      <c r="E3650" t="s">
        <v>27</v>
      </c>
    </row>
    <row r="3651" spans="1:5" x14ac:dyDescent="0.25">
      <c r="A3651" t="str">
        <f>HYPERLINK("https://www.773grp.com/globalSearch/MC74LCX04M/page-1", "MC74LCX04M")</f>
        <v>MC74LCX04M</v>
      </c>
      <c r="B3651" s="3" t="str">
        <f>HYPERLINK("https://www.773grp.com/manufacturer/onsemi?pageNo=954", "Onsemi")</f>
        <v>Onsemi</v>
      </c>
      <c r="C3651" s="6">
        <v>1657</v>
      </c>
      <c r="D3651" s="7">
        <v>0.53</v>
      </c>
      <c r="E3651" t="s">
        <v>27</v>
      </c>
    </row>
    <row r="3652" spans="1:5" x14ac:dyDescent="0.25">
      <c r="A3652" t="str">
        <f>HYPERLINK("https://www.773grp.com/globalSearch/MC74LCX08DTEL/page-1", "MC74LCX08DTEL")</f>
        <v>MC74LCX08DTEL</v>
      </c>
      <c r="B3652" s="3" t="str">
        <f>HYPERLINK("https://www.773grp.com/manufacturer/onsemi?pageNo=955", "Onsemi")</f>
        <v>Onsemi</v>
      </c>
      <c r="C3652" s="6">
        <v>6000</v>
      </c>
      <c r="D3652" s="7">
        <v>0.53</v>
      </c>
    </row>
    <row r="3653" spans="1:5" x14ac:dyDescent="0.25">
      <c r="A3653" t="str">
        <f>HYPERLINK("https://www.773grp.com/globalSearch/MC74LCX08M/page-1", "MC74LCX08M")</f>
        <v>MC74LCX08M</v>
      </c>
      <c r="B3653" s="3" t="str">
        <f>HYPERLINK("https://www.773grp.com/manufacturer/onsemi?pageNo=956", "Onsemi")</f>
        <v>Onsemi</v>
      </c>
      <c r="C3653" s="6">
        <v>2445</v>
      </c>
      <c r="D3653" s="7">
        <v>0.53</v>
      </c>
      <c r="E3653" t="s">
        <v>27</v>
      </c>
    </row>
    <row r="3654" spans="1:5" x14ac:dyDescent="0.25">
      <c r="A3654" t="str">
        <f>HYPERLINK("https://www.773grp.com/globalSearch/MC74LCX138D/page-1", "MC74LCX138D")</f>
        <v>MC74LCX138D</v>
      </c>
      <c r="B3654" s="3" t="str">
        <f>HYPERLINK("https://www.773grp.com/manufacturer/onsemi?pageNo=957", "Onsemi")</f>
        <v>Onsemi</v>
      </c>
      <c r="C3654" s="6">
        <v>16802</v>
      </c>
      <c r="D3654" s="7">
        <v>0.53</v>
      </c>
      <c r="E3654" t="s">
        <v>32</v>
      </c>
    </row>
    <row r="3655" spans="1:5" x14ac:dyDescent="0.25">
      <c r="A3655" t="str">
        <f>HYPERLINK("https://www.773grp.com/globalSearch/MC74LCX244DT/page-1", "MC74LCX244DT")</f>
        <v>MC74LCX244DT</v>
      </c>
      <c r="B3655" s="3" t="str">
        <f>HYPERLINK("https://www.773grp.com/manufacturer/onsemi?pageNo=958", "Onsemi")</f>
        <v>Onsemi</v>
      </c>
      <c r="C3655" s="6">
        <v>39975</v>
      </c>
      <c r="D3655" s="7">
        <v>0.53</v>
      </c>
      <c r="E3655" t="s">
        <v>11</v>
      </c>
    </row>
    <row r="3656" spans="1:5" x14ac:dyDescent="0.25">
      <c r="A3656" t="str">
        <f>HYPERLINK("https://www.773grp.com/globalSearch/MC74LCX244DTR2/page-1", "MC74LCX244DTR2")</f>
        <v>MC74LCX244DTR2</v>
      </c>
      <c r="B3656" s="3" t="str">
        <f>HYPERLINK("https://www.773grp.com/manufacturer/onsemi?pageNo=959", "Onsemi")</f>
        <v>Onsemi</v>
      </c>
      <c r="C3656" s="6">
        <v>54190</v>
      </c>
      <c r="D3656" s="7">
        <v>0.53</v>
      </c>
      <c r="E3656" t="s">
        <v>11</v>
      </c>
    </row>
    <row r="3657" spans="1:5" x14ac:dyDescent="0.25">
      <c r="A3657" t="str">
        <f>HYPERLINK("https://www.773grp.com/globalSearch/MC74LCX245DT/page-1", "MC74LCX245DT")</f>
        <v>MC74LCX245DT</v>
      </c>
      <c r="B3657" s="3" t="str">
        <f>HYPERLINK("https://www.773grp.com/manufacturer/onsemi?pageNo=960", "Onsemi")</f>
        <v>Onsemi</v>
      </c>
      <c r="C3657" s="6">
        <v>271579</v>
      </c>
      <c r="D3657" s="7">
        <v>0.53</v>
      </c>
      <c r="E3657" t="s">
        <v>11</v>
      </c>
    </row>
    <row r="3658" spans="1:5" x14ac:dyDescent="0.25">
      <c r="A3658" t="str">
        <f>HYPERLINK("https://www.773grp.com/globalSearch/MC74LCX245DTR2/page-1", "MC74LCX245DTR2")</f>
        <v>MC74LCX245DTR2</v>
      </c>
      <c r="B3658" s="3" t="str">
        <f>HYPERLINK("https://www.773grp.com/manufacturer/onsemi?pageNo=961", "Onsemi")</f>
        <v>Onsemi</v>
      </c>
      <c r="C3658" s="6">
        <v>7500</v>
      </c>
      <c r="D3658" s="7">
        <v>0.53</v>
      </c>
      <c r="E3658" t="s">
        <v>11</v>
      </c>
    </row>
    <row r="3659" spans="1:5" x14ac:dyDescent="0.25">
      <c r="A3659" t="str">
        <f>HYPERLINK("https://www.773grp.com/globalSearch/MC74LCX32DTEL/page-1", "MC74LCX32DTEL")</f>
        <v>MC74LCX32DTEL</v>
      </c>
      <c r="B3659" s="3" t="str">
        <f>HYPERLINK("https://www.773grp.com/manufacturer/onsemi?pageNo=962", "Onsemi")</f>
        <v>Onsemi</v>
      </c>
      <c r="C3659" s="6">
        <v>4000</v>
      </c>
      <c r="D3659" s="7">
        <v>0.53</v>
      </c>
    </row>
    <row r="3660" spans="1:5" x14ac:dyDescent="0.25">
      <c r="A3660" t="str">
        <f>HYPERLINK("https://www.773grp.com/globalSearch/MC74LCX373DT/page-1", "MC74LCX373DT")</f>
        <v>MC74LCX373DT</v>
      </c>
      <c r="B3660" s="3" t="str">
        <f>HYPERLINK("https://www.773grp.com/manufacturer/onsemi?pageNo=963", "Onsemi")</f>
        <v>Onsemi</v>
      </c>
      <c r="C3660" s="6">
        <v>23968</v>
      </c>
      <c r="D3660" s="7">
        <v>0.53</v>
      </c>
      <c r="E3660" t="s">
        <v>11</v>
      </c>
    </row>
    <row r="3661" spans="1:5" x14ac:dyDescent="0.25">
      <c r="A3661" t="str">
        <f>HYPERLINK("https://www.773grp.com/globalSearch/MC74LCX373DTR2/page-1", "MC74LCX373DTR2")</f>
        <v>MC74LCX373DTR2</v>
      </c>
      <c r="B3661" s="3" t="str">
        <f>HYPERLINK("https://www.773grp.com/manufacturer/onsemi?pageNo=964", "Onsemi")</f>
        <v>Onsemi</v>
      </c>
      <c r="C3661" s="6">
        <v>12500</v>
      </c>
      <c r="D3661" s="7">
        <v>0.53</v>
      </c>
      <c r="E3661" t="s">
        <v>11</v>
      </c>
    </row>
    <row r="3662" spans="1:5" x14ac:dyDescent="0.25">
      <c r="A3662" t="str">
        <f>HYPERLINK("https://www.773grp.com/globalSearch/MC74LCX573DT/page-1", "MC74LCX573DT")</f>
        <v>MC74LCX573DT</v>
      </c>
      <c r="B3662" s="3" t="str">
        <f>HYPERLINK("https://www.773grp.com/manufacturer/onsemi?pageNo=965", "Onsemi")</f>
        <v>Onsemi</v>
      </c>
      <c r="C3662" s="6">
        <v>5075</v>
      </c>
      <c r="D3662" s="7">
        <v>0.53</v>
      </c>
      <c r="E3662" t="s">
        <v>11</v>
      </c>
    </row>
    <row r="3663" spans="1:5" x14ac:dyDescent="0.25">
      <c r="A3663" t="str">
        <f>HYPERLINK("https://www.773grp.com/globalSearch/MC74LCX573DTR2/page-1", "MC74LCX573DTR2")</f>
        <v>MC74LCX573DTR2</v>
      </c>
      <c r="B3663" s="3" t="str">
        <f>HYPERLINK("https://www.773grp.com/manufacturer/onsemi?pageNo=966", "Onsemi")</f>
        <v>Onsemi</v>
      </c>
      <c r="C3663" s="6">
        <v>1995</v>
      </c>
      <c r="D3663" s="7">
        <v>0.53</v>
      </c>
      <c r="E3663" t="s">
        <v>11</v>
      </c>
    </row>
    <row r="3664" spans="1:5" x14ac:dyDescent="0.25">
      <c r="A3664" t="str">
        <f>HYPERLINK("https://www.773grp.com/globalSearch/MC74LCX574DT/page-1", "MC74LCX574DT")</f>
        <v>MC74LCX574DT</v>
      </c>
      <c r="B3664" s="3" t="str">
        <f>HYPERLINK("https://www.773grp.com/manufacturer/onsemi?pageNo=967", "Onsemi")</f>
        <v>Onsemi</v>
      </c>
      <c r="C3664" s="6">
        <v>36</v>
      </c>
      <c r="D3664" s="7">
        <v>0.53</v>
      </c>
      <c r="E3664" t="s">
        <v>11</v>
      </c>
    </row>
    <row r="3665" spans="1:5" x14ac:dyDescent="0.25">
      <c r="A3665" t="str">
        <f>HYPERLINK("https://www.773grp.com/globalSearch/MC74LVX157DT/page-1", "MC74LVX157DT")</f>
        <v>MC74LVX157DT</v>
      </c>
      <c r="B3665" s="3" t="str">
        <f>HYPERLINK("https://www.773grp.com/manufacturer/onsemi?pageNo=968", "Onsemi")</f>
        <v>Onsemi</v>
      </c>
      <c r="C3665" s="6">
        <v>192</v>
      </c>
      <c r="D3665" s="7">
        <v>0.53</v>
      </c>
      <c r="E3665" t="s">
        <v>16</v>
      </c>
    </row>
    <row r="3666" spans="1:5" x14ac:dyDescent="0.25">
      <c r="A3666" t="str">
        <f>HYPERLINK("https://www.773grp.com/globalSearch/MC74LVX244DT/page-1", "MC74LVX244DT")</f>
        <v>MC74LVX244DT</v>
      </c>
      <c r="B3666" s="3" t="str">
        <f>HYPERLINK("https://www.773grp.com/manufacturer/onsemi?pageNo=969", "Onsemi")</f>
        <v>Onsemi</v>
      </c>
      <c r="C3666" s="6">
        <v>13875</v>
      </c>
      <c r="D3666" s="7">
        <v>0.53</v>
      </c>
      <c r="E3666" t="s">
        <v>11</v>
      </c>
    </row>
    <row r="3667" spans="1:5" x14ac:dyDescent="0.25">
      <c r="A3667" t="str">
        <f>HYPERLINK("https://www.773grp.com/globalSearch/MC74LVX244DTR2/page-1", "MC74LVX244DTR2")</f>
        <v>MC74LVX244DTR2</v>
      </c>
      <c r="B3667" s="3" t="str">
        <f>HYPERLINK("https://www.773grp.com/manufacturer/onsemi?pageNo=970", "Onsemi")</f>
        <v>Onsemi</v>
      </c>
      <c r="C3667" s="6">
        <v>2500</v>
      </c>
      <c r="D3667" s="7">
        <v>0.53</v>
      </c>
      <c r="E3667" t="s">
        <v>11</v>
      </c>
    </row>
    <row r="3668" spans="1:5" x14ac:dyDescent="0.25">
      <c r="A3668" t="str">
        <f>HYPERLINK("https://www.773grp.com/globalSearch/MC74LVX245DT/page-1", "MC74LVX245DT")</f>
        <v>MC74LVX245DT</v>
      </c>
      <c r="B3668" s="3" t="str">
        <f>HYPERLINK("https://www.773grp.com/manufacturer/onsemi?pageNo=971", "Onsemi")</f>
        <v>Onsemi</v>
      </c>
      <c r="C3668" s="6">
        <v>27150</v>
      </c>
      <c r="D3668" s="7">
        <v>0.53</v>
      </c>
      <c r="E3668" t="s">
        <v>11</v>
      </c>
    </row>
    <row r="3669" spans="1:5" x14ac:dyDescent="0.25">
      <c r="A3669" t="str">
        <f>HYPERLINK("https://www.773grp.com/globalSearch/MC74LVX245DTR2/page-1", "MC74LVX245DTR2")</f>
        <v>MC74LVX245DTR2</v>
      </c>
      <c r="B3669" s="3" t="str">
        <f>HYPERLINK("https://www.773grp.com/manufacturer/onsemi?pageNo=972", "Onsemi")</f>
        <v>Onsemi</v>
      </c>
      <c r="C3669" s="6">
        <v>5000</v>
      </c>
      <c r="D3669" s="7">
        <v>0.53</v>
      </c>
      <c r="E3669" t="s">
        <v>11</v>
      </c>
    </row>
    <row r="3670" spans="1:5" x14ac:dyDescent="0.25">
      <c r="A3670" t="str">
        <f>HYPERLINK("https://www.773grp.com/globalSearch/MC74LVX373DT/page-1", "MC74LVX373DT")</f>
        <v>MC74LVX373DT</v>
      </c>
      <c r="B3670" s="3" t="str">
        <f>HYPERLINK("https://www.773grp.com/manufacturer/onsemi?pageNo=973", "Onsemi")</f>
        <v>Onsemi</v>
      </c>
      <c r="C3670" s="6">
        <v>300</v>
      </c>
      <c r="D3670" s="7">
        <v>0.53</v>
      </c>
      <c r="E3670" t="s">
        <v>11</v>
      </c>
    </row>
    <row r="3671" spans="1:5" x14ac:dyDescent="0.25">
      <c r="A3671" t="str">
        <f>HYPERLINK("https://www.773grp.com/globalSearch/MC74LVX373M/page-1", "MC74LVX373M")</f>
        <v>MC74LVX373M</v>
      </c>
      <c r="B3671" s="3" t="str">
        <f>HYPERLINK("https://www.773grp.com/manufacturer/onsemi?pageNo=974", "Onsemi")</f>
        <v>Onsemi</v>
      </c>
      <c r="C3671" s="6">
        <v>10880</v>
      </c>
      <c r="D3671" s="7">
        <v>0.53</v>
      </c>
      <c r="E3671" t="s">
        <v>11</v>
      </c>
    </row>
    <row r="3672" spans="1:5" x14ac:dyDescent="0.25">
      <c r="A3672" t="str">
        <f>HYPERLINK("https://www.773grp.com/globalSearch/MC74LVX374DTR2/page-1", "MC74LVX374DTR2")</f>
        <v>MC74LVX374DTR2</v>
      </c>
      <c r="B3672" s="3" t="str">
        <f>HYPERLINK("https://www.773grp.com/manufacturer/onsemi?pageNo=975", "Onsemi")</f>
        <v>Onsemi</v>
      </c>
      <c r="C3672" s="6">
        <v>20000</v>
      </c>
      <c r="D3672" s="7">
        <v>0.53</v>
      </c>
      <c r="E3672" t="s">
        <v>11</v>
      </c>
    </row>
    <row r="3673" spans="1:5" x14ac:dyDescent="0.25">
      <c r="A3673" t="str">
        <f>HYPERLINK("https://www.773grp.com/globalSearch/MC74LVX4051D/page-1", "MC74LVX4051D")</f>
        <v>MC74LVX4051D</v>
      </c>
      <c r="B3673" s="3" t="str">
        <f>HYPERLINK("https://www.773grp.com/manufacturer/onsemi?pageNo=976", "Onsemi")</f>
        <v>Onsemi</v>
      </c>
      <c r="C3673" s="6">
        <v>5212</v>
      </c>
      <c r="D3673" s="7">
        <v>0.53</v>
      </c>
      <c r="E3673" t="s">
        <v>46</v>
      </c>
    </row>
    <row r="3674" spans="1:5" x14ac:dyDescent="0.25">
      <c r="A3674" t="str">
        <f>HYPERLINK("https://www.773grp.com/globalSearch/MC74LVX4051DR2/page-1", "MC74LVX4051DR2")</f>
        <v>MC74LVX4051DR2</v>
      </c>
      <c r="B3674" s="3" t="str">
        <f>HYPERLINK("https://www.773grp.com/manufacturer/onsemi?pageNo=977", "Onsemi")</f>
        <v>Onsemi</v>
      </c>
      <c r="C3674" s="6">
        <v>2175</v>
      </c>
      <c r="D3674" s="7">
        <v>0.53</v>
      </c>
      <c r="E3674" t="s">
        <v>46</v>
      </c>
    </row>
    <row r="3675" spans="1:5" x14ac:dyDescent="0.25">
      <c r="A3675" t="str">
        <f>HYPERLINK("https://www.773grp.com/globalSearch/MC74LVX4051DT/page-1", "MC74LVX4051DT")</f>
        <v>MC74LVX4051DT</v>
      </c>
      <c r="B3675" s="3" t="str">
        <f>HYPERLINK("https://www.773grp.com/manufacturer/onsemi?pageNo=978", "Onsemi")</f>
        <v>Onsemi</v>
      </c>
      <c r="C3675" s="6">
        <v>6572</v>
      </c>
      <c r="D3675" s="7">
        <v>0.53</v>
      </c>
      <c r="E3675" t="s">
        <v>46</v>
      </c>
    </row>
    <row r="3676" spans="1:5" x14ac:dyDescent="0.25">
      <c r="A3676" t="str">
        <f>HYPERLINK("https://www.773grp.com/globalSearch/MC74LVX4052D/page-1", "MC74LVX4052D")</f>
        <v>MC74LVX4052D</v>
      </c>
      <c r="B3676" s="3" t="str">
        <f>HYPERLINK("https://www.773grp.com/manufacturer/onsemi?pageNo=979", "Onsemi")</f>
        <v>Onsemi</v>
      </c>
      <c r="C3676" s="6">
        <v>2016</v>
      </c>
      <c r="D3676" s="7">
        <v>0.53</v>
      </c>
      <c r="E3676" t="s">
        <v>46</v>
      </c>
    </row>
    <row r="3677" spans="1:5" x14ac:dyDescent="0.25">
      <c r="A3677" t="str">
        <f>HYPERLINK("https://www.773grp.com/globalSearch/MC74LVX4053DT/page-1", "MC74LVX4053DT")</f>
        <v>MC74LVX4053DT</v>
      </c>
      <c r="B3677" s="3" t="str">
        <f>HYPERLINK("https://www.773grp.com/manufacturer/onsemi?pageNo=980", "Onsemi")</f>
        <v>Onsemi</v>
      </c>
      <c r="C3677" s="6">
        <v>4677</v>
      </c>
      <c r="D3677" s="7">
        <v>0.53</v>
      </c>
      <c r="E3677" t="s">
        <v>46</v>
      </c>
    </row>
    <row r="3678" spans="1:5" x14ac:dyDescent="0.25">
      <c r="A3678" t="str">
        <f>HYPERLINK("https://www.773grp.com/globalSearch/MC74LVX4066DR2/page-1", "MC74LVX4066DR2")</f>
        <v>MC74LVX4066DR2</v>
      </c>
      <c r="B3678" s="3" t="str">
        <f>HYPERLINK("https://www.773grp.com/manufacturer/onsemi?pageNo=981", "Onsemi")</f>
        <v>Onsemi</v>
      </c>
      <c r="C3678" s="6">
        <v>59618</v>
      </c>
      <c r="D3678" s="7">
        <v>0.53</v>
      </c>
      <c r="E3678" t="s">
        <v>46</v>
      </c>
    </row>
    <row r="3679" spans="1:5" x14ac:dyDescent="0.25">
      <c r="A3679" t="str">
        <f>HYPERLINK("https://www.773grp.com/globalSearch/MC74LVX573DT/page-1", "MC74LVX573DT")</f>
        <v>MC74LVX573DT</v>
      </c>
      <c r="B3679" s="3" t="str">
        <f>HYPERLINK("https://www.773grp.com/manufacturer/onsemi?pageNo=982", "Onsemi")</f>
        <v>Onsemi</v>
      </c>
      <c r="C3679" s="6">
        <v>3175</v>
      </c>
      <c r="D3679" s="7">
        <v>0.53</v>
      </c>
      <c r="E3679" t="s">
        <v>11</v>
      </c>
    </row>
    <row r="3680" spans="1:5" x14ac:dyDescent="0.25">
      <c r="A3680" t="str">
        <f>HYPERLINK("https://www.773grp.com/globalSearch/MC74LVX573DTR2/page-1", "MC74LVX573DTR2")</f>
        <v>MC74LVX573DTR2</v>
      </c>
      <c r="B3680" s="3" t="str">
        <f>HYPERLINK("https://www.773grp.com/manufacturer/onsemi?pageNo=983", "Onsemi")</f>
        <v>Onsemi</v>
      </c>
      <c r="C3680" s="6">
        <v>20000</v>
      </c>
      <c r="D3680" s="7">
        <v>0.53</v>
      </c>
      <c r="E3680" t="s">
        <v>11</v>
      </c>
    </row>
    <row r="3681" spans="1:5" x14ac:dyDescent="0.25">
      <c r="A3681" t="str">
        <f>HYPERLINK("https://www.773grp.com/globalSearch/MC74LVX573MEL/page-1", "MC74LVX573MEL")</f>
        <v>MC74LVX573MEL</v>
      </c>
      <c r="B3681" s="3" t="str">
        <f>HYPERLINK("https://www.773grp.com/manufacturer/onsemi?pageNo=984", "Onsemi")</f>
        <v>Onsemi</v>
      </c>
      <c r="C3681" s="6">
        <v>10000</v>
      </c>
      <c r="D3681" s="7">
        <v>0.53</v>
      </c>
      <c r="E3681" t="s">
        <v>11</v>
      </c>
    </row>
    <row r="3682" spans="1:5" x14ac:dyDescent="0.25">
      <c r="A3682" t="str">
        <f>HYPERLINK("https://www.773grp.com/globalSearch/MC74LVX574DT/page-1", "MC74LVX574DT")</f>
        <v>MC74LVX574DT</v>
      </c>
      <c r="B3682" s="3" t="str">
        <f>HYPERLINK("https://www.773grp.com/manufacturer/onsemi?pageNo=985", "Onsemi")</f>
        <v>Onsemi</v>
      </c>
      <c r="C3682" s="6">
        <v>10125</v>
      </c>
      <c r="D3682" s="7">
        <v>0.53</v>
      </c>
      <c r="E3682" t="s">
        <v>11</v>
      </c>
    </row>
    <row r="3683" spans="1:5" x14ac:dyDescent="0.25">
      <c r="A3683" t="str">
        <f>HYPERLINK("https://www.773grp.com/globalSearch/MC74LVX574DTR2/page-1", "MC74LVX574DTR2")</f>
        <v>MC74LVX574DTR2</v>
      </c>
      <c r="B3683" s="3" t="str">
        <f>HYPERLINK("https://www.773grp.com/manufacturer/onsemi?pageNo=986", "Onsemi")</f>
        <v>Onsemi</v>
      </c>
      <c r="C3683" s="6">
        <v>15000</v>
      </c>
      <c r="D3683" s="7">
        <v>0.53</v>
      </c>
      <c r="E3683" t="s">
        <v>11</v>
      </c>
    </row>
    <row r="3684" spans="1:5" x14ac:dyDescent="0.25">
      <c r="A3684" t="str">
        <f>HYPERLINK("https://www.773grp.com/globalSearch/MC74LVX574MEL/page-1", "MC74LVX574MEL")</f>
        <v>MC74LVX574MEL</v>
      </c>
      <c r="B3684" s="3" t="str">
        <f>HYPERLINK("https://www.773grp.com/manufacturer/onsemi?pageNo=987", "Onsemi")</f>
        <v>Onsemi</v>
      </c>
      <c r="C3684" s="6">
        <v>24000</v>
      </c>
      <c r="D3684" s="7">
        <v>0.53</v>
      </c>
      <c r="E3684" t="s">
        <v>11</v>
      </c>
    </row>
    <row r="3685" spans="1:5" x14ac:dyDescent="0.25">
      <c r="A3685" t="str">
        <f>HYPERLINK("https://www.773grp.com/globalSearch/MC74LVXT4051D/page-1", "MC74LVXT4051D")</f>
        <v>MC74LVXT4051D</v>
      </c>
      <c r="B3685" s="3" t="str">
        <f>HYPERLINK("https://www.773grp.com/manufacturer/onsemi?pageNo=988", "Onsemi")</f>
        <v>Onsemi</v>
      </c>
      <c r="C3685" s="6">
        <v>2064</v>
      </c>
      <c r="D3685" s="7">
        <v>0.53</v>
      </c>
      <c r="E3685" t="s">
        <v>46</v>
      </c>
    </row>
    <row r="3686" spans="1:5" x14ac:dyDescent="0.25">
      <c r="A3686" t="str">
        <f>HYPERLINK("https://www.773grp.com/globalSearch/MC74LVXT4051DR2/page-1", "MC74LVXT4051DR2")</f>
        <v>MC74LVXT4051DR2</v>
      </c>
      <c r="B3686" s="3" t="str">
        <f>HYPERLINK("https://www.773grp.com/manufacturer/onsemi?pageNo=989", "Onsemi")</f>
        <v>Onsemi</v>
      </c>
      <c r="C3686" s="6">
        <v>2245</v>
      </c>
      <c r="D3686" s="7">
        <v>0.53</v>
      </c>
      <c r="E3686" t="s">
        <v>46</v>
      </c>
    </row>
    <row r="3687" spans="1:5" x14ac:dyDescent="0.25">
      <c r="A3687" t="str">
        <f>HYPERLINK("https://www.773grp.com/globalSearch/MC74LVXT4051DT/page-1", "MC74LVXT4051DT")</f>
        <v>MC74LVXT4051DT</v>
      </c>
      <c r="B3687" s="3" t="str">
        <f>HYPERLINK("https://www.773grp.com/manufacturer/onsemi?pageNo=990", "Onsemi")</f>
        <v>Onsemi</v>
      </c>
      <c r="C3687" s="6">
        <v>6891</v>
      </c>
      <c r="D3687" s="7">
        <v>0.53</v>
      </c>
      <c r="E3687" t="s">
        <v>46</v>
      </c>
    </row>
    <row r="3688" spans="1:5" x14ac:dyDescent="0.25">
      <c r="A3688" t="str">
        <f>HYPERLINK("https://www.773grp.com/globalSearch/MC74LVXT4052DR/page-1", "MC74LVXT4052DR")</f>
        <v>MC74LVXT4052DR</v>
      </c>
      <c r="B3688" s="3" t="str">
        <f>HYPERLINK("https://www.773grp.com/manufacturer/onsemi?pageNo=991", "Onsemi")</f>
        <v>Onsemi</v>
      </c>
      <c r="C3688" s="6">
        <v>2275</v>
      </c>
      <c r="D3688" s="7">
        <v>0.53</v>
      </c>
    </row>
    <row r="3689" spans="1:5" x14ac:dyDescent="0.25">
      <c r="A3689" t="str">
        <f>HYPERLINK("https://www.773grp.com/globalSearch/MC74LVXT4053DR2/page-1", "MC74LVXT4053DR2")</f>
        <v>MC74LVXT4053DR2</v>
      </c>
      <c r="B3689" s="3" t="str">
        <f>HYPERLINK("https://www.773grp.com/manufacturer/onsemi?pageNo=992", "Onsemi")</f>
        <v>Onsemi</v>
      </c>
      <c r="C3689" s="6">
        <v>2275</v>
      </c>
      <c r="D3689" s="7">
        <v>0.53</v>
      </c>
      <c r="E3689" t="s">
        <v>46</v>
      </c>
    </row>
    <row r="3690" spans="1:5" x14ac:dyDescent="0.25">
      <c r="A3690" t="str">
        <f>HYPERLINK("https://www.773grp.com/globalSearch/MC74VHC138MEL/page-1", "MC74VHC138MEL")</f>
        <v>MC74VHC138MEL</v>
      </c>
      <c r="B3690" s="3" t="str">
        <f>HYPERLINK("https://www.773grp.com/manufacturer/onsemi?pageNo=993", "Onsemi")</f>
        <v>Onsemi</v>
      </c>
      <c r="C3690" s="6">
        <v>10000</v>
      </c>
      <c r="D3690" s="7">
        <v>0.53</v>
      </c>
      <c r="E3690" t="s">
        <v>32</v>
      </c>
    </row>
    <row r="3691" spans="1:5" x14ac:dyDescent="0.25">
      <c r="A3691" t="str">
        <f>HYPERLINK("https://www.773grp.com/globalSearch/MC74VHC157D/page-1", "MC74VHC157D")</f>
        <v>MC74VHC157D</v>
      </c>
      <c r="B3691" s="3" t="str">
        <f>HYPERLINK("https://www.773grp.com/manufacturer/onsemi?pageNo=994", "Onsemi")</f>
        <v>Onsemi</v>
      </c>
      <c r="C3691" s="6">
        <v>33401</v>
      </c>
      <c r="D3691" s="7">
        <v>0.53</v>
      </c>
      <c r="E3691" t="s">
        <v>16</v>
      </c>
    </row>
    <row r="3692" spans="1:5" x14ac:dyDescent="0.25">
      <c r="A3692" t="str">
        <f>HYPERLINK("https://www.773grp.com/globalSearch/MC74VHC1GT125DT1/page-1", "MC74VHC1GT125DT1")</f>
        <v>MC74VHC1GT125DT1</v>
      </c>
      <c r="B3692" s="3" t="str">
        <f>HYPERLINK("https://www.773grp.com/manufacturer/onsemi?pageNo=995", "Onsemi")</f>
        <v>Onsemi</v>
      </c>
      <c r="C3692" s="6">
        <v>119483</v>
      </c>
      <c r="D3692" s="7">
        <v>0.53</v>
      </c>
      <c r="E3692" t="s">
        <v>11</v>
      </c>
    </row>
    <row r="3693" spans="1:5" x14ac:dyDescent="0.25">
      <c r="A3693" t="str">
        <f>HYPERLINK("https://www.773grp.com/globalSearch/MC74VHC240DTR2/page-1", "MC74VHC240DTR2")</f>
        <v>MC74VHC240DTR2</v>
      </c>
      <c r="B3693" s="3" t="str">
        <f>HYPERLINK("https://www.773grp.com/manufacturer/onsemi?pageNo=996", "Onsemi")</f>
        <v>Onsemi</v>
      </c>
      <c r="C3693" s="6">
        <v>2500</v>
      </c>
      <c r="D3693" s="7">
        <v>0.53</v>
      </c>
      <c r="E3693" t="s">
        <v>11</v>
      </c>
    </row>
    <row r="3694" spans="1:5" x14ac:dyDescent="0.25">
      <c r="A3694" t="str">
        <f>HYPERLINK("https://www.773grp.com/globalSearch/MC74VHC244DT/page-1", "MC74VHC244DT")</f>
        <v>MC74VHC244DT</v>
      </c>
      <c r="B3694" s="3" t="str">
        <f>HYPERLINK("https://www.773grp.com/manufacturer/onsemi?pageNo=997", "Onsemi")</f>
        <v>Onsemi</v>
      </c>
      <c r="C3694" s="6">
        <v>75</v>
      </c>
      <c r="D3694" s="7">
        <v>0.53</v>
      </c>
      <c r="E3694" t="s">
        <v>11</v>
      </c>
    </row>
    <row r="3695" spans="1:5" x14ac:dyDescent="0.25">
      <c r="A3695" t="str">
        <f>HYPERLINK("https://www.773grp.com/globalSearch/MC74VHC244MEL/page-1", "MC74VHC244MEL")</f>
        <v>MC74VHC244MEL</v>
      </c>
      <c r="B3695" s="3" t="str">
        <f>HYPERLINK("https://www.773grp.com/manufacturer/onsemi?pageNo=998", "Onsemi")</f>
        <v>Onsemi</v>
      </c>
      <c r="C3695" s="6">
        <v>1950</v>
      </c>
      <c r="D3695" s="7">
        <v>0.53</v>
      </c>
      <c r="E3695" t="s">
        <v>11</v>
      </c>
    </row>
    <row r="3696" spans="1:5" x14ac:dyDescent="0.25">
      <c r="A3696" t="str">
        <f>HYPERLINK("https://www.773grp.com/globalSearch/MC74VHC245DT/page-1", "MC74VHC245DT")</f>
        <v>MC74VHC245DT</v>
      </c>
      <c r="B3696" s="3" t="str">
        <f>HYPERLINK("https://www.773grp.com/manufacturer/onsemi?pageNo=999", "Onsemi")</f>
        <v>Onsemi</v>
      </c>
      <c r="C3696" s="6">
        <v>1725</v>
      </c>
      <c r="D3696" s="7">
        <v>0.53</v>
      </c>
      <c r="E3696" t="s">
        <v>11</v>
      </c>
    </row>
    <row r="3697" spans="1:5" x14ac:dyDescent="0.25">
      <c r="A3697" t="str">
        <f>HYPERLINK("https://www.773grp.com/globalSearch/MC74VHC373DT/page-1", "MC74VHC373DT")</f>
        <v>MC74VHC373DT</v>
      </c>
      <c r="B3697" s="3" t="str">
        <f>HYPERLINK("https://www.773grp.com/manufacturer/onsemi?pageNo=1000", "Onsemi")</f>
        <v>Onsemi</v>
      </c>
      <c r="C3697" s="6">
        <v>5250</v>
      </c>
      <c r="D3697" s="7">
        <v>0.53</v>
      </c>
      <c r="E3697" t="s">
        <v>11</v>
      </c>
    </row>
    <row r="3698" spans="1:5" x14ac:dyDescent="0.25">
      <c r="A3698" t="str">
        <f>HYPERLINK("https://www.773grp.com/globalSearch/MC74VHC373DWR2/page-1", "MC74VHC373DWR2")</f>
        <v>MC74VHC373DWR2</v>
      </c>
      <c r="B3698" s="3" t="str">
        <f>HYPERLINK("https://www.773grp.com/manufacturer/onsemi?pageNo=1001", "Onsemi")</f>
        <v>Onsemi</v>
      </c>
      <c r="C3698" s="6">
        <v>6000</v>
      </c>
      <c r="D3698" s="7">
        <v>0.53</v>
      </c>
      <c r="E3698" t="s">
        <v>11</v>
      </c>
    </row>
    <row r="3699" spans="1:5" x14ac:dyDescent="0.25">
      <c r="A3699" t="str">
        <f>HYPERLINK("https://www.773grp.com/globalSearch/MC74VHC374DTR2/page-1", "MC74VHC374DTR2")</f>
        <v>MC74VHC374DTR2</v>
      </c>
      <c r="B3699" s="3" t="str">
        <f>HYPERLINK("https://www.773grp.com/manufacturer/onsemi?pageNo=1002", "Onsemi")</f>
        <v>Onsemi</v>
      </c>
      <c r="C3699" s="6">
        <v>2500</v>
      </c>
      <c r="D3699" s="7">
        <v>0.53</v>
      </c>
      <c r="E3699" t="s">
        <v>11</v>
      </c>
    </row>
    <row r="3700" spans="1:5" x14ac:dyDescent="0.25">
      <c r="A3700" t="str">
        <f>HYPERLINK("https://www.773grp.com/globalSearch/MC74VHC4066DT/page-1", "MC74VHC4066DT")</f>
        <v>MC74VHC4066DT</v>
      </c>
      <c r="B3700" s="3" t="str">
        <f>HYPERLINK("https://www.773grp.com/manufacturer/onsemi?pageNo=1003", "Onsemi")</f>
        <v>Onsemi</v>
      </c>
      <c r="C3700" s="6">
        <v>12480</v>
      </c>
      <c r="D3700" s="7">
        <v>0.53</v>
      </c>
      <c r="E3700" t="s">
        <v>46</v>
      </c>
    </row>
    <row r="3701" spans="1:5" x14ac:dyDescent="0.25">
      <c r="A3701" t="str">
        <f>HYPERLINK("https://www.773grp.com/globalSearch/MC74VHC541DT/page-1", "MC74VHC541DT")</f>
        <v>MC74VHC541DT</v>
      </c>
      <c r="B3701" s="3" t="str">
        <f>HYPERLINK("https://www.773grp.com/manufacturer/onsemi?pageNo=1004", "Onsemi")</f>
        <v>Onsemi</v>
      </c>
      <c r="C3701" s="6">
        <v>825</v>
      </c>
      <c r="D3701" s="7">
        <v>0.53</v>
      </c>
      <c r="E3701" t="s">
        <v>11</v>
      </c>
    </row>
    <row r="3702" spans="1:5" x14ac:dyDescent="0.25">
      <c r="A3702" t="str">
        <f>HYPERLINK("https://www.773grp.com/globalSearch/MC74VHC573DT/page-1", "MC74VHC573DT")</f>
        <v>MC74VHC573DT</v>
      </c>
      <c r="B3702" s="3" t="str">
        <f>HYPERLINK("https://www.773grp.com/manufacturer/onsemi?pageNo=1005", "Onsemi")</f>
        <v>Onsemi</v>
      </c>
      <c r="C3702" s="6">
        <v>150</v>
      </c>
      <c r="D3702" s="7">
        <v>0.53</v>
      </c>
      <c r="E3702" t="s">
        <v>11</v>
      </c>
    </row>
    <row r="3703" spans="1:5" x14ac:dyDescent="0.25">
      <c r="A3703" t="str">
        <f>HYPERLINK("https://www.773grp.com/globalSearch/MC74VHC573DW/page-1", "MC74VHC573DW")</f>
        <v>MC74VHC573DW</v>
      </c>
      <c r="B3703" s="3" t="str">
        <f>HYPERLINK("https://www.773grp.com/manufacturer/onsemi?pageNo=1006", "Onsemi")</f>
        <v>Onsemi</v>
      </c>
      <c r="C3703" s="6">
        <v>1870</v>
      </c>
      <c r="D3703" s="7">
        <v>0.53</v>
      </c>
      <c r="E3703" t="s">
        <v>11</v>
      </c>
    </row>
    <row r="3704" spans="1:5" x14ac:dyDescent="0.25">
      <c r="A3704" t="str">
        <f>HYPERLINK("https://www.773grp.com/globalSearch/MC74VHC574DT/page-1", "MC74VHC574DT")</f>
        <v>MC74VHC574DT</v>
      </c>
      <c r="B3704" s="3" t="str">
        <f>HYPERLINK("https://www.773grp.com/manufacturer/onsemi?pageNo=1007", "Onsemi")</f>
        <v>Onsemi</v>
      </c>
      <c r="C3704" s="6">
        <v>1486</v>
      </c>
      <c r="D3704" s="7">
        <v>0.53</v>
      </c>
      <c r="E3704" t="s">
        <v>11</v>
      </c>
    </row>
    <row r="3705" spans="1:5" x14ac:dyDescent="0.25">
      <c r="A3705" t="str">
        <f>HYPERLINK("https://www.773grp.com/globalSearch/MC74VHC574DW/page-1", "MC74VHC574DW")</f>
        <v>MC74VHC574DW</v>
      </c>
      <c r="B3705" s="3" t="str">
        <f>HYPERLINK("https://www.773grp.com/manufacturer/onsemi?pageNo=1008", "Onsemi")</f>
        <v>Onsemi</v>
      </c>
      <c r="C3705" s="6">
        <v>432</v>
      </c>
      <c r="D3705" s="7">
        <v>0.53</v>
      </c>
      <c r="E3705" t="s">
        <v>11</v>
      </c>
    </row>
    <row r="3706" spans="1:5" x14ac:dyDescent="0.25">
      <c r="A3706" t="str">
        <f>HYPERLINK("https://www.773grp.com/globalSearch/MC74VHC574DWR2/page-1", "MC74VHC574DWR2")</f>
        <v>MC74VHC574DWR2</v>
      </c>
      <c r="B3706" s="3" t="str">
        <f>HYPERLINK("https://www.773grp.com/manufacturer/onsemi?pageNo=1009", "Onsemi")</f>
        <v>Onsemi</v>
      </c>
      <c r="C3706" s="6">
        <v>1000</v>
      </c>
      <c r="D3706" s="7">
        <v>0.53</v>
      </c>
      <c r="E3706" t="s">
        <v>11</v>
      </c>
    </row>
    <row r="3707" spans="1:5" x14ac:dyDescent="0.25">
      <c r="A3707" t="str">
        <f>HYPERLINK("https://www.773grp.com/globalSearch/MC74VHC86D/page-1", "MC74VHC86D")</f>
        <v>MC74VHC86D</v>
      </c>
      <c r="B3707" s="3" t="str">
        <f>HYPERLINK("https://www.773grp.com/manufacturer/onsemi?pageNo=1010", "Onsemi")</f>
        <v>Onsemi</v>
      </c>
      <c r="C3707" s="6">
        <v>660</v>
      </c>
      <c r="D3707" s="7">
        <v>0.53</v>
      </c>
      <c r="E3707" t="s">
        <v>27</v>
      </c>
    </row>
    <row r="3708" spans="1:5" x14ac:dyDescent="0.25">
      <c r="A3708" t="str">
        <f>HYPERLINK("https://www.773grp.com/globalSearch/MC74VHCT138AD/page-1", "MC74VHCT138AD")</f>
        <v>MC74VHCT138AD</v>
      </c>
      <c r="B3708" s="3" t="str">
        <f>HYPERLINK("https://www.773grp.com/manufacturer/onsemi?pageNo=1011", "Onsemi")</f>
        <v>Onsemi</v>
      </c>
      <c r="C3708" s="6">
        <v>18624</v>
      </c>
      <c r="D3708" s="7">
        <v>0.53</v>
      </c>
      <c r="E3708" t="s">
        <v>32</v>
      </c>
    </row>
    <row r="3709" spans="1:5" x14ac:dyDescent="0.25">
      <c r="A3709" t="str">
        <f>HYPERLINK("https://www.773grp.com/globalSearch/MC74VHCT138ADT/page-1", "MC74VHCT138ADT")</f>
        <v>MC74VHCT138ADT</v>
      </c>
      <c r="B3709" s="3" t="str">
        <f>HYPERLINK("https://www.773grp.com/manufacturer/onsemi?pageNo=1012", "Onsemi")</f>
        <v>Onsemi</v>
      </c>
      <c r="C3709" s="6">
        <v>386</v>
      </c>
      <c r="D3709" s="7">
        <v>0.53</v>
      </c>
      <c r="E3709" t="s">
        <v>32</v>
      </c>
    </row>
    <row r="3710" spans="1:5" x14ac:dyDescent="0.25">
      <c r="A3710" t="str">
        <f>HYPERLINK("https://www.773grp.com/globalSearch/MC74VHCT240ADTR2/page-1", "MC74VHCT240ADTR2")</f>
        <v>MC74VHCT240ADTR2</v>
      </c>
      <c r="B3710" s="3" t="str">
        <f>HYPERLINK("https://www.773grp.com/manufacturer/onsemi?pageNo=1013", "Onsemi")</f>
        <v>Onsemi</v>
      </c>
      <c r="C3710" s="6">
        <v>7500</v>
      </c>
      <c r="D3710" s="7">
        <v>0.53</v>
      </c>
      <c r="E3710" t="s">
        <v>11</v>
      </c>
    </row>
    <row r="3711" spans="1:5" x14ac:dyDescent="0.25">
      <c r="A3711" t="str">
        <f>HYPERLINK("https://www.773grp.com/globalSearch/MC74VHCT244ADT/page-1", "MC74VHCT244ADT")</f>
        <v>MC74VHCT244ADT</v>
      </c>
      <c r="B3711" s="3" t="str">
        <f>HYPERLINK("https://www.773grp.com/manufacturer/onsemi?pageNo=1014", "Onsemi")</f>
        <v>Onsemi</v>
      </c>
      <c r="C3711" s="6">
        <v>12191</v>
      </c>
      <c r="D3711" s="7">
        <v>0.53</v>
      </c>
      <c r="E3711" t="s">
        <v>11</v>
      </c>
    </row>
    <row r="3712" spans="1:5" x14ac:dyDescent="0.25">
      <c r="A3712" t="str">
        <f>HYPERLINK("https://www.773grp.com/globalSearch/MC74VHCT244AM/page-1", "MC74VHCT244AM")</f>
        <v>MC74VHCT244AM</v>
      </c>
      <c r="B3712" s="3" t="str">
        <f>HYPERLINK("https://www.773grp.com/manufacturer/onsemi?pageNo=1015", "Onsemi")</f>
        <v>Onsemi</v>
      </c>
      <c r="C3712" s="6">
        <v>35</v>
      </c>
      <c r="D3712" s="7">
        <v>0.53</v>
      </c>
      <c r="E3712" t="s">
        <v>11</v>
      </c>
    </row>
    <row r="3713" spans="1:5" x14ac:dyDescent="0.25">
      <c r="A3713" t="str">
        <f>HYPERLINK("https://www.773grp.com/globalSearch/MC74VHCT245ADT/page-1", "MC74VHCT245ADT")</f>
        <v>MC74VHCT245ADT</v>
      </c>
      <c r="B3713" s="3" t="str">
        <f>HYPERLINK("https://www.773grp.com/manufacturer/onsemi?pageNo=1016", "Onsemi")</f>
        <v>Onsemi</v>
      </c>
      <c r="C3713" s="6">
        <v>12941</v>
      </c>
      <c r="D3713" s="7">
        <v>0.53</v>
      </c>
      <c r="E3713" t="s">
        <v>11</v>
      </c>
    </row>
    <row r="3714" spans="1:5" x14ac:dyDescent="0.25">
      <c r="A3714" t="str">
        <f>HYPERLINK("https://www.773grp.com/globalSearch/MC74VHCT245ADW/page-1", "MC74VHCT245ADW")</f>
        <v>MC74VHCT245ADW</v>
      </c>
      <c r="B3714" s="3" t="str">
        <f>HYPERLINK("https://www.773grp.com/manufacturer/onsemi?pageNo=1017", "Onsemi")</f>
        <v>Onsemi</v>
      </c>
      <c r="C3714" s="6">
        <v>14320</v>
      </c>
      <c r="D3714" s="7">
        <v>0.53</v>
      </c>
      <c r="E3714" t="s">
        <v>11</v>
      </c>
    </row>
    <row r="3715" spans="1:5" x14ac:dyDescent="0.25">
      <c r="A3715" t="str">
        <f>HYPERLINK("https://www.773grp.com/globalSearch/MC74VHCT245ADWR2/page-1", "MC74VHCT245ADWR2")</f>
        <v>MC74VHCT245ADWR2</v>
      </c>
      <c r="B3715" s="3" t="str">
        <f>HYPERLINK("https://www.773grp.com/manufacturer/onsemi?pageNo=1018", "Onsemi")</f>
        <v>Onsemi</v>
      </c>
      <c r="C3715" s="6">
        <v>15000</v>
      </c>
      <c r="D3715" s="7">
        <v>0.53</v>
      </c>
      <c r="E3715" t="s">
        <v>11</v>
      </c>
    </row>
    <row r="3716" spans="1:5" x14ac:dyDescent="0.25">
      <c r="A3716" t="str">
        <f>HYPERLINK("https://www.773grp.com/globalSearch/MC74VHCT373ADTR2/page-1", "MC74VHCT373ADTR2")</f>
        <v>MC74VHCT373ADTR2</v>
      </c>
      <c r="B3716" s="3" t="str">
        <f>HYPERLINK("https://www.773grp.com/manufacturer/onsemi?pageNo=1019", "Onsemi")</f>
        <v>Onsemi</v>
      </c>
      <c r="C3716" s="6">
        <v>40500</v>
      </c>
      <c r="D3716" s="7">
        <v>0.53</v>
      </c>
      <c r="E3716" t="s">
        <v>11</v>
      </c>
    </row>
    <row r="3717" spans="1:5" x14ac:dyDescent="0.25">
      <c r="A3717" t="str">
        <f>HYPERLINK("https://www.773grp.com/globalSearch/MC74VHCT374ADTR2/page-1", "MC74VHCT374ADTR2")</f>
        <v>MC74VHCT374ADTR2</v>
      </c>
      <c r="B3717" s="3" t="str">
        <f>HYPERLINK("https://www.773grp.com/manufacturer/onsemi?pageNo=1020", "Onsemi")</f>
        <v>Onsemi</v>
      </c>
      <c r="C3717" s="6">
        <v>12500</v>
      </c>
      <c r="D3717" s="7">
        <v>0.53</v>
      </c>
      <c r="E3717" t="s">
        <v>11</v>
      </c>
    </row>
    <row r="3718" spans="1:5" x14ac:dyDescent="0.25">
      <c r="A3718" t="str">
        <f>HYPERLINK("https://www.773grp.com/globalSearch/MC74VHCT374ADWR2/page-1", "MC74VHCT374ADWR2")</f>
        <v>MC74VHCT374ADWR2</v>
      </c>
      <c r="B3718" s="3" t="str">
        <f>HYPERLINK("https://www.773grp.com/manufacturer/onsemi?pageNo=1021", "Onsemi")</f>
        <v>Onsemi</v>
      </c>
      <c r="C3718" s="6">
        <v>9000</v>
      </c>
      <c r="D3718" s="7">
        <v>0.53</v>
      </c>
      <c r="E3718" t="s">
        <v>11</v>
      </c>
    </row>
    <row r="3719" spans="1:5" x14ac:dyDescent="0.25">
      <c r="A3719" t="str">
        <f>HYPERLINK("https://www.773grp.com/globalSearch/MC74VHCT374AMEL/page-1", "MC74VHCT374AMEL")</f>
        <v>MC74VHCT374AMEL</v>
      </c>
      <c r="B3719" s="3" t="str">
        <f>HYPERLINK("https://www.773grp.com/manufacturer/onsemi?pageNo=1022", "Onsemi")</f>
        <v>Onsemi</v>
      </c>
      <c r="C3719" s="6">
        <v>3475</v>
      </c>
      <c r="D3719" s="7">
        <v>0.53</v>
      </c>
      <c r="E3719" t="s">
        <v>11</v>
      </c>
    </row>
    <row r="3720" spans="1:5" x14ac:dyDescent="0.25">
      <c r="A3720" t="str">
        <f>HYPERLINK("https://www.773grp.com/globalSearch/MC74VHCT573ADT/page-1", "MC74VHCT573ADT")</f>
        <v>MC74VHCT573ADT</v>
      </c>
      <c r="B3720" s="3" t="str">
        <f>HYPERLINK("https://www.773grp.com/manufacturer/onsemi?pageNo=1023", "Onsemi")</f>
        <v>Onsemi</v>
      </c>
      <c r="C3720" s="6">
        <v>10400</v>
      </c>
      <c r="D3720" s="7">
        <v>0.53</v>
      </c>
      <c r="E3720" t="s">
        <v>11</v>
      </c>
    </row>
    <row r="3721" spans="1:5" x14ac:dyDescent="0.25">
      <c r="A3721" t="str">
        <f>HYPERLINK("https://www.773grp.com/globalSearch/MC74VHCT573ADW/page-1", "MC74VHCT573ADW")</f>
        <v>MC74VHCT573ADW</v>
      </c>
      <c r="B3721" s="3" t="str">
        <f>HYPERLINK("https://www.773grp.com/manufacturer/onsemi?pageNo=1024", "Onsemi")</f>
        <v>Onsemi</v>
      </c>
      <c r="C3721" s="6">
        <v>6258</v>
      </c>
      <c r="D3721" s="7">
        <v>0.53</v>
      </c>
      <c r="E3721" t="s">
        <v>11</v>
      </c>
    </row>
    <row r="3722" spans="1:5" x14ac:dyDescent="0.25">
      <c r="A3722" t="str">
        <f>HYPERLINK("https://www.773grp.com/globalSearch/MC74VHCT573ADWR2/page-1", "MC74VHCT573ADWR2")</f>
        <v>MC74VHCT573ADWR2</v>
      </c>
      <c r="B3722" s="3" t="str">
        <f>HYPERLINK("https://www.773grp.com/manufacturer/onsemi?pageNo=1025", "Onsemi")</f>
        <v>Onsemi</v>
      </c>
      <c r="C3722" s="6">
        <v>10000</v>
      </c>
      <c r="D3722" s="7">
        <v>0.53</v>
      </c>
      <c r="E3722" t="s">
        <v>11</v>
      </c>
    </row>
    <row r="3723" spans="1:5" x14ac:dyDescent="0.25">
      <c r="A3723" t="str">
        <f>HYPERLINK("https://www.773grp.com/globalSearch/MC74VHCT574ADT/page-1", "MC74VHCT574ADT")</f>
        <v>MC74VHCT574ADT</v>
      </c>
      <c r="B3723" s="3" t="str">
        <f>HYPERLINK("https://www.773grp.com/manufacturer/onsemi?pageNo=1026", "Onsemi")</f>
        <v>Onsemi</v>
      </c>
      <c r="C3723" s="6">
        <v>20550</v>
      </c>
      <c r="D3723" s="7">
        <v>0.53</v>
      </c>
      <c r="E3723" t="s">
        <v>11</v>
      </c>
    </row>
    <row r="3724" spans="1:5" x14ac:dyDescent="0.25">
      <c r="A3724" t="str">
        <f>HYPERLINK("https://www.773grp.com/globalSearch/MC74VHCT574ADTR2/page-1", "MC74VHCT574ADTR2")</f>
        <v>MC74VHCT574ADTR2</v>
      </c>
      <c r="B3724" s="3" t="str">
        <f>HYPERLINK("https://www.773grp.com/manufacturer/onsemi?pageNo=1027", "Onsemi")</f>
        <v>Onsemi</v>
      </c>
      <c r="C3724" s="6">
        <v>5000</v>
      </c>
      <c r="D3724" s="7">
        <v>0.53</v>
      </c>
      <c r="E3724" t="s">
        <v>11</v>
      </c>
    </row>
    <row r="3725" spans="1:5" x14ac:dyDescent="0.25">
      <c r="A3725" t="str">
        <f>HYPERLINK("https://www.773grp.com/globalSearch/MC74VHCT574ADW/page-1", "MC74VHCT574ADW")</f>
        <v>MC74VHCT574ADW</v>
      </c>
      <c r="B3725" s="3" t="str">
        <f>HYPERLINK("https://www.773grp.com/manufacturer/onsemi?pageNo=1028", "Onsemi")</f>
        <v>Onsemi</v>
      </c>
      <c r="C3725" s="6">
        <v>1061</v>
      </c>
      <c r="D3725" s="7">
        <v>0.53</v>
      </c>
      <c r="E3725" t="s">
        <v>11</v>
      </c>
    </row>
    <row r="3726" spans="1:5" x14ac:dyDescent="0.25">
      <c r="A3726" t="str">
        <f>HYPERLINK("https://www.773grp.com/globalSearch/MC74VLX138D/page-1", "MC74VLX138D")</f>
        <v>MC74VLX138D</v>
      </c>
      <c r="B3726" s="3" t="str">
        <f>HYPERLINK("https://www.773grp.com/manufacturer/onsemi?pageNo=1029", "Onsemi")</f>
        <v>Onsemi</v>
      </c>
      <c r="C3726" s="6">
        <v>9552</v>
      </c>
      <c r="D3726" s="7">
        <v>0.53</v>
      </c>
    </row>
    <row r="3727" spans="1:5" x14ac:dyDescent="0.25">
      <c r="A3727" t="str">
        <f>HYPERLINK("https://www.773grp.com/globalSearch/MC7805ACT/page-1", "MC7805ACT")</f>
        <v>MC7805ACT</v>
      </c>
      <c r="B3727" s="3" t="str">
        <f>HYPERLINK("https://www.773grp.com/manufacturer/onsemi?pageNo=1030", "Onsemi")</f>
        <v>Onsemi</v>
      </c>
      <c r="C3727" s="6">
        <v>500</v>
      </c>
      <c r="D3727" s="7">
        <v>0.53</v>
      </c>
      <c r="E3727" t="s">
        <v>24</v>
      </c>
    </row>
    <row r="3728" spans="1:5" x14ac:dyDescent="0.25">
      <c r="A3728" t="str">
        <f>HYPERLINK("https://www.773grp.com/globalSearch/MC7806CT/page-1", "MC7806CT")</f>
        <v>MC7806CT</v>
      </c>
      <c r="B3728" s="3" t="str">
        <f>HYPERLINK("https://www.773grp.com/manufacturer/onsemi?pageNo=1031", "Onsemi")</f>
        <v>Onsemi</v>
      </c>
      <c r="C3728" s="6">
        <v>126666</v>
      </c>
      <c r="D3728" s="7">
        <v>0.53</v>
      </c>
      <c r="E3728" t="s">
        <v>24</v>
      </c>
    </row>
    <row r="3729" spans="1:5" x14ac:dyDescent="0.25">
      <c r="A3729" t="str">
        <f>HYPERLINK("https://www.773grp.com/globalSearch/MC7808ACT/page-1", "MC7808ACT")</f>
        <v>MC7808ACT</v>
      </c>
      <c r="B3729" s="3" t="str">
        <f>HYPERLINK("https://www.773grp.com/manufacturer/onsemi?pageNo=1032", "Onsemi")</f>
        <v>Onsemi</v>
      </c>
      <c r="C3729" s="6">
        <v>24700</v>
      </c>
      <c r="D3729" s="7">
        <v>0.53</v>
      </c>
      <c r="E3729" t="s">
        <v>24</v>
      </c>
    </row>
    <row r="3730" spans="1:5" x14ac:dyDescent="0.25">
      <c r="A3730" t="str">
        <f>HYPERLINK("https://www.773grp.com/globalSearch/MC7808BT/page-1", "MC7808BT")</f>
        <v>MC7808BT</v>
      </c>
      <c r="B3730" s="3" t="str">
        <f>HYPERLINK("https://www.773grp.com/manufacturer/onsemi?pageNo=1033", "Onsemi")</f>
        <v>Onsemi</v>
      </c>
      <c r="C3730" s="6">
        <v>700</v>
      </c>
      <c r="D3730" s="7">
        <v>0.53</v>
      </c>
      <c r="E3730" t="s">
        <v>24</v>
      </c>
    </row>
    <row r="3731" spans="1:5" x14ac:dyDescent="0.25">
      <c r="A3731" t="str">
        <f>HYPERLINK("https://www.773grp.com/globalSearch/MC7808CT/page-1", "MC7808CT")</f>
        <v>MC7808CT</v>
      </c>
      <c r="B3731" s="3" t="str">
        <f>HYPERLINK("https://www.773grp.com/manufacturer/onsemi?pageNo=1034", "Onsemi")</f>
        <v>Onsemi</v>
      </c>
      <c r="C3731" s="6">
        <v>54726</v>
      </c>
      <c r="D3731" s="7">
        <v>0.53</v>
      </c>
      <c r="E3731" t="s">
        <v>24</v>
      </c>
    </row>
    <row r="3732" spans="1:5" x14ac:dyDescent="0.25">
      <c r="A3732" t="str">
        <f>HYPERLINK("https://www.773grp.com/globalSearch/MC7809ACT/page-1", "MC7809ACT")</f>
        <v>MC7809ACT</v>
      </c>
      <c r="B3732" s="3" t="str">
        <f>HYPERLINK("https://www.773grp.com/manufacturer/onsemi?pageNo=1035", "Onsemi")</f>
        <v>Onsemi</v>
      </c>
      <c r="C3732" s="6">
        <v>2995</v>
      </c>
      <c r="D3732" s="7">
        <v>0.53</v>
      </c>
      <c r="E3732" t="s">
        <v>24</v>
      </c>
    </row>
    <row r="3733" spans="1:5" x14ac:dyDescent="0.25">
      <c r="A3733" t="str">
        <f>HYPERLINK("https://www.773grp.com/globalSearch/MC7809CT/page-1", "MC7809CT")</f>
        <v>MC7809CT</v>
      </c>
      <c r="B3733" s="3" t="str">
        <f>HYPERLINK("https://www.773grp.com/manufacturer/onsemi?pageNo=1036", "Onsemi")</f>
        <v>Onsemi</v>
      </c>
      <c r="C3733" s="6">
        <v>10585</v>
      </c>
      <c r="D3733" s="7">
        <v>0.53</v>
      </c>
      <c r="E3733" t="s">
        <v>24</v>
      </c>
    </row>
    <row r="3734" spans="1:5" x14ac:dyDescent="0.25">
      <c r="A3734" t="str">
        <f>HYPERLINK("https://www.773grp.com/globalSearch/MC7818ACT/page-1", "MC7818ACT")</f>
        <v>MC7818ACT</v>
      </c>
      <c r="B3734" s="3" t="str">
        <f>HYPERLINK("https://www.773grp.com/manufacturer/onsemi?pageNo=1037", "Onsemi")</f>
        <v>Onsemi</v>
      </c>
      <c r="C3734" s="6">
        <v>5200</v>
      </c>
      <c r="D3734" s="7">
        <v>0.53</v>
      </c>
      <c r="E3734" t="s">
        <v>24</v>
      </c>
    </row>
    <row r="3735" spans="1:5" x14ac:dyDescent="0.25">
      <c r="A3735" t="str">
        <f>HYPERLINK("https://www.773grp.com/globalSearch/MC7818BT/page-1", "MC7818BT")</f>
        <v>MC7818BT</v>
      </c>
      <c r="B3735" s="3" t="str">
        <f>HYPERLINK("https://www.773grp.com/manufacturer/onsemi?pageNo=1038", "Onsemi")</f>
        <v>Onsemi</v>
      </c>
      <c r="C3735" s="6">
        <v>3850</v>
      </c>
      <c r="D3735" s="7">
        <v>0.53</v>
      </c>
      <c r="E3735" t="s">
        <v>24</v>
      </c>
    </row>
    <row r="3736" spans="1:5" x14ac:dyDescent="0.25">
      <c r="A3736" t="str">
        <f>HYPERLINK("https://www.773grp.com/globalSearch/MC7818CT/page-1", "MC7818CT")</f>
        <v>MC7818CT</v>
      </c>
      <c r="B3736" s="3" t="str">
        <f>HYPERLINK("https://www.773grp.com/manufacturer/onsemi?pageNo=1039", "Onsemi")</f>
        <v>Onsemi</v>
      </c>
      <c r="C3736" s="6">
        <v>204</v>
      </c>
      <c r="D3736" s="7">
        <v>0.53</v>
      </c>
      <c r="E3736" t="s">
        <v>24</v>
      </c>
    </row>
    <row r="3737" spans="1:5" x14ac:dyDescent="0.25">
      <c r="A3737" t="str">
        <f>HYPERLINK("https://www.773grp.com/globalSearch/MC7824ACT/page-1", "MC7824ACT")</f>
        <v>MC7824ACT</v>
      </c>
      <c r="B3737" s="3" t="str">
        <f>HYPERLINK("https://www.773grp.com/manufacturer/onsemi?pageNo=1040", "Onsemi")</f>
        <v>Onsemi</v>
      </c>
      <c r="C3737" s="6">
        <v>2509</v>
      </c>
      <c r="D3737" s="7">
        <v>0.53</v>
      </c>
      <c r="E3737" t="s">
        <v>24</v>
      </c>
    </row>
    <row r="3738" spans="1:5" x14ac:dyDescent="0.25">
      <c r="A3738" t="str">
        <f>HYPERLINK("https://www.773grp.com/globalSearch/MC7824CT/page-1", "MC7824CT")</f>
        <v>MC7824CT</v>
      </c>
      <c r="B3738" s="3" t="str">
        <f>HYPERLINK("https://www.773grp.com/manufacturer/onsemi?pageNo=1041", "Onsemi")</f>
        <v>Onsemi</v>
      </c>
      <c r="C3738" s="6">
        <v>7344</v>
      </c>
      <c r="D3738" s="7">
        <v>0.53</v>
      </c>
      <c r="E3738" t="s">
        <v>24</v>
      </c>
    </row>
    <row r="3739" spans="1:5" x14ac:dyDescent="0.25">
      <c r="A3739" t="str">
        <f>HYPERLINK("https://www.773grp.com/globalSearch/MC78M05ACDT/page-1", "MC78M05ACDT")</f>
        <v>MC78M05ACDT</v>
      </c>
      <c r="B3739" s="3" t="str">
        <f>HYPERLINK("https://www.773grp.com/manufacturer/onsemi?pageNo=1042", "Onsemi")</f>
        <v>Onsemi</v>
      </c>
      <c r="C3739" s="6">
        <v>1250</v>
      </c>
      <c r="D3739" s="7">
        <v>0.53</v>
      </c>
      <c r="E3739" t="s">
        <v>24</v>
      </c>
    </row>
    <row r="3740" spans="1:5" x14ac:dyDescent="0.25">
      <c r="A3740" t="str">
        <f>HYPERLINK("https://www.773grp.com/globalSearch/MC78M05CDTT5/page-1", "MC78M05CDTT5")</f>
        <v>MC78M05CDTT5</v>
      </c>
      <c r="B3740" s="3" t="str">
        <f>HYPERLINK("https://www.773grp.com/manufacturer/onsemi?pageNo=1043", "Onsemi")</f>
        <v>Onsemi</v>
      </c>
      <c r="C3740" s="6">
        <v>2500</v>
      </c>
      <c r="D3740" s="7">
        <v>0.53</v>
      </c>
      <c r="E3740" t="s">
        <v>24</v>
      </c>
    </row>
    <row r="3741" spans="1:5" x14ac:dyDescent="0.25">
      <c r="A3741" t="str">
        <f>HYPERLINK("https://www.773grp.com/globalSearch/MC78M06CDTRK/page-1", "MC78M06CDTRK")</f>
        <v>MC78M06CDTRK</v>
      </c>
      <c r="B3741" s="3" t="str">
        <f>HYPERLINK("https://www.773grp.com/manufacturer/onsemi?pageNo=1044", "Onsemi")</f>
        <v>Onsemi</v>
      </c>
      <c r="C3741" s="6">
        <v>4960</v>
      </c>
      <c r="D3741" s="7">
        <v>0.53</v>
      </c>
      <c r="E3741" t="s">
        <v>24</v>
      </c>
    </row>
    <row r="3742" spans="1:5" x14ac:dyDescent="0.25">
      <c r="A3742" t="str">
        <f>HYPERLINK("https://www.773grp.com/globalSearch/MC78M08ACDT/page-1", "MC78M08ACDT")</f>
        <v>MC78M08ACDT</v>
      </c>
      <c r="B3742" s="3" t="str">
        <f>HYPERLINK("https://www.773grp.com/manufacturer/onsemi?pageNo=1045", "Onsemi")</f>
        <v>Onsemi</v>
      </c>
      <c r="C3742" s="6">
        <v>2100</v>
      </c>
      <c r="D3742" s="7">
        <v>0.53</v>
      </c>
      <c r="E3742" t="s">
        <v>24</v>
      </c>
    </row>
    <row r="3743" spans="1:5" x14ac:dyDescent="0.25">
      <c r="A3743" t="str">
        <f>HYPERLINK("https://www.773grp.com/globalSearch/MC78M08CDT/page-1", "MC78M08CDT")</f>
        <v>MC78M08CDT</v>
      </c>
      <c r="B3743" s="3" t="str">
        <f>HYPERLINK("https://www.773grp.com/manufacturer/onsemi?pageNo=1046", "Onsemi")</f>
        <v>Onsemi</v>
      </c>
      <c r="C3743" s="6">
        <v>8167</v>
      </c>
      <c r="D3743" s="7">
        <v>0.53</v>
      </c>
      <c r="E3743" t="s">
        <v>24</v>
      </c>
    </row>
    <row r="3744" spans="1:5" x14ac:dyDescent="0.25">
      <c r="A3744" t="str">
        <f>HYPERLINK("https://www.773grp.com/globalSearch/MC78M08CDTRK/page-1", "MC78M08CDTRK")</f>
        <v>MC78M08CDTRK</v>
      </c>
      <c r="B3744" s="3" t="str">
        <f>HYPERLINK("https://www.773grp.com/manufacturer/onsemi?pageNo=1047", "Onsemi")</f>
        <v>Onsemi</v>
      </c>
      <c r="C3744" s="6">
        <v>22500</v>
      </c>
      <c r="D3744" s="7">
        <v>0.53</v>
      </c>
      <c r="E3744" t="s">
        <v>24</v>
      </c>
    </row>
    <row r="3745" spans="1:5" x14ac:dyDescent="0.25">
      <c r="A3745" t="str">
        <f>HYPERLINK("https://www.773grp.com/globalSearch/MC78M09BDT/page-1", "MC78M09BDT")</f>
        <v>MC78M09BDT</v>
      </c>
      <c r="B3745" s="3" t="str">
        <f>HYPERLINK("https://www.773grp.com/manufacturer/onsemi?pageNo=1048", "Onsemi")</f>
        <v>Onsemi</v>
      </c>
      <c r="C3745" s="6">
        <v>1625</v>
      </c>
      <c r="D3745" s="7">
        <v>0.53</v>
      </c>
      <c r="E3745" t="s">
        <v>24</v>
      </c>
    </row>
    <row r="3746" spans="1:5" x14ac:dyDescent="0.25">
      <c r="A3746" t="str">
        <f>HYPERLINK("https://www.773grp.com/globalSearch/MC78M09CDT/page-1", "MC78M09CDT")</f>
        <v>MC78M09CDT</v>
      </c>
      <c r="B3746" s="3" t="str">
        <f>HYPERLINK("https://www.773grp.com/manufacturer/onsemi?pageNo=1049", "Onsemi")</f>
        <v>Onsemi</v>
      </c>
      <c r="C3746" s="6">
        <v>5175</v>
      </c>
      <c r="D3746" s="7">
        <v>0.53</v>
      </c>
      <c r="E3746" t="s">
        <v>24</v>
      </c>
    </row>
    <row r="3747" spans="1:5" x14ac:dyDescent="0.25">
      <c r="A3747" t="str">
        <f>HYPERLINK("https://www.773grp.com/globalSearch/MC78M09CDTRK/page-1", "MC78M09CDTRK")</f>
        <v>MC78M09CDTRK</v>
      </c>
      <c r="B3747" s="3" t="str">
        <f>HYPERLINK("https://www.773grp.com/manufacturer/onsemi?pageNo=1050", "Onsemi")</f>
        <v>Onsemi</v>
      </c>
      <c r="C3747" s="6">
        <v>672500</v>
      </c>
      <c r="D3747" s="7">
        <v>0.53</v>
      </c>
      <c r="E3747" t="s">
        <v>24</v>
      </c>
    </row>
    <row r="3748" spans="1:5" x14ac:dyDescent="0.25">
      <c r="A3748" t="str">
        <f>HYPERLINK("https://www.773grp.com/globalSearch/MC78M12BDT/page-1", "MC78M12BDT")</f>
        <v>MC78M12BDT</v>
      </c>
      <c r="B3748" s="3" t="str">
        <f>HYPERLINK("https://www.773grp.com/manufacturer/onsemi?pageNo=1051", "Onsemi")</f>
        <v>Onsemi</v>
      </c>
      <c r="C3748" s="6">
        <v>198</v>
      </c>
      <c r="D3748" s="7">
        <v>0.53</v>
      </c>
      <c r="E3748" t="s">
        <v>24</v>
      </c>
    </row>
    <row r="3749" spans="1:5" x14ac:dyDescent="0.25">
      <c r="A3749" t="str">
        <f>HYPERLINK("https://www.773grp.com/globalSearch/MC78M12CDTRK/page-1", "MC78M12CDTRK")</f>
        <v>MC78M12CDTRK</v>
      </c>
      <c r="B3749" s="3" t="str">
        <f>HYPERLINK("https://www.773grp.com/manufacturer/onsemi?pageNo=1052", "Onsemi")</f>
        <v>Onsemi</v>
      </c>
      <c r="C3749" s="6">
        <v>5000</v>
      </c>
      <c r="D3749" s="7">
        <v>0.53</v>
      </c>
      <c r="E3749" t="s">
        <v>24</v>
      </c>
    </row>
    <row r="3750" spans="1:5" x14ac:dyDescent="0.25">
      <c r="A3750" t="str">
        <f>HYPERLINK("https://www.773grp.com/globalSearch/MC78M15ACDTRK/page-1", "MC78M15ACDTRK")</f>
        <v>MC78M15ACDTRK</v>
      </c>
      <c r="B3750" s="3" t="str">
        <f>HYPERLINK("https://www.773grp.com/manufacturer/onsemi?pageNo=1053", "Onsemi")</f>
        <v>Onsemi</v>
      </c>
      <c r="C3750" s="6">
        <v>5000</v>
      </c>
      <c r="D3750" s="7">
        <v>0.53</v>
      </c>
      <c r="E3750" t="s">
        <v>24</v>
      </c>
    </row>
    <row r="3751" spans="1:5" x14ac:dyDescent="0.25">
      <c r="A3751" t="str">
        <f>HYPERLINK("https://www.773grp.com/globalSearch/MC78M15BDT/page-1", "MC78M15BDT")</f>
        <v>MC78M15BDT</v>
      </c>
      <c r="B3751" s="3" t="str">
        <f>HYPERLINK("https://www.773grp.com/manufacturer/onsemi?pageNo=1054", "Onsemi")</f>
        <v>Onsemi</v>
      </c>
      <c r="C3751" s="6">
        <v>2975</v>
      </c>
      <c r="D3751" s="7">
        <v>0.53</v>
      </c>
      <c r="E3751" t="s">
        <v>24</v>
      </c>
    </row>
    <row r="3752" spans="1:5" x14ac:dyDescent="0.25">
      <c r="A3752" t="str">
        <f>HYPERLINK("https://www.773grp.com/globalSearch/MC78M15CDT/page-1", "MC78M15CDT")</f>
        <v>MC78M15CDT</v>
      </c>
      <c r="B3752" s="3" t="str">
        <f>HYPERLINK("https://www.773grp.com/manufacturer/onsemi?pageNo=1055", "Onsemi")</f>
        <v>Onsemi</v>
      </c>
      <c r="C3752" s="6">
        <v>675</v>
      </c>
      <c r="D3752" s="7">
        <v>0.53</v>
      </c>
      <c r="E3752" t="s">
        <v>24</v>
      </c>
    </row>
    <row r="3753" spans="1:5" x14ac:dyDescent="0.25">
      <c r="A3753" t="str">
        <f>HYPERLINK("https://www.773grp.com/globalSearch/MC78M18CDT/page-1", "MC78M18CDT")</f>
        <v>MC78M18CDT</v>
      </c>
      <c r="B3753" s="3" t="str">
        <f>HYPERLINK("https://www.773grp.com/manufacturer/onsemi?pageNo=1056", "Onsemi")</f>
        <v>Onsemi</v>
      </c>
      <c r="C3753" s="6">
        <v>75</v>
      </c>
      <c r="D3753" s="7">
        <v>0.53</v>
      </c>
      <c r="E3753" t="s">
        <v>24</v>
      </c>
    </row>
    <row r="3754" spans="1:5" x14ac:dyDescent="0.25">
      <c r="A3754" t="str">
        <f>HYPERLINK("https://www.773grp.com/globalSearch/MC78PC28NTR/page-1", "MC78PC28NTR")</f>
        <v>MC78PC28NTR</v>
      </c>
      <c r="B3754" s="3" t="str">
        <f>HYPERLINK("https://www.773grp.com/manufacturer/onsemi?pageNo=1057", "Onsemi")</f>
        <v>Onsemi</v>
      </c>
      <c r="C3754" s="6">
        <v>138500</v>
      </c>
      <c r="D3754" s="7">
        <v>0.53</v>
      </c>
      <c r="E3754" t="s">
        <v>15</v>
      </c>
    </row>
    <row r="3755" spans="1:5" x14ac:dyDescent="0.25">
      <c r="A3755" t="str">
        <f>HYPERLINK("https://www.773grp.com/globalSearch/MC7905CT/page-1", "MC7905CT")</f>
        <v>MC7905CT</v>
      </c>
      <c r="B3755" s="3" t="str">
        <f>HYPERLINK("https://www.773grp.com/manufacturer/onsemi?pageNo=1058", "Onsemi")</f>
        <v>Onsemi</v>
      </c>
      <c r="C3755" s="6">
        <v>739553</v>
      </c>
      <c r="D3755" s="7">
        <v>0.53</v>
      </c>
      <c r="E3755" t="s">
        <v>53</v>
      </c>
    </row>
    <row r="3756" spans="1:5" x14ac:dyDescent="0.25">
      <c r="A3756" t="str">
        <f>HYPERLINK("https://www.773grp.com/globalSearch/MC7906CT/page-1", "MC7906CT")</f>
        <v>MC7906CT</v>
      </c>
      <c r="B3756" s="3" t="str">
        <f>HYPERLINK("https://www.773grp.com/manufacturer/onsemi?pageNo=1059", "Onsemi")</f>
        <v>Onsemi</v>
      </c>
      <c r="C3756" s="6">
        <v>40941</v>
      </c>
      <c r="D3756" s="7">
        <v>0.53</v>
      </c>
      <c r="E3756" t="s">
        <v>53</v>
      </c>
    </row>
    <row r="3757" spans="1:5" x14ac:dyDescent="0.25">
      <c r="A3757" t="str">
        <f>HYPERLINK("https://www.773grp.com/globalSearch/MC7908CT/page-1", "MC7908CT")</f>
        <v>MC7908CT</v>
      </c>
      <c r="B3757" s="3" t="str">
        <f>HYPERLINK("https://www.773grp.com/manufacturer/onsemi?pageNo=1060", "Onsemi")</f>
        <v>Onsemi</v>
      </c>
      <c r="C3757" s="6">
        <v>13828</v>
      </c>
      <c r="D3757" s="7">
        <v>0.53</v>
      </c>
      <c r="E3757" t="s">
        <v>53</v>
      </c>
    </row>
    <row r="3758" spans="1:5" x14ac:dyDescent="0.25">
      <c r="A3758" t="str">
        <f>HYPERLINK("https://www.773grp.com/globalSearch/MC7912ACT/page-1", "MC7912ACT")</f>
        <v>MC7912ACT</v>
      </c>
      <c r="B3758" s="3" t="str">
        <f>HYPERLINK("https://www.773grp.com/manufacturer/onsemi?pageNo=1061", "Onsemi")</f>
        <v>Onsemi</v>
      </c>
      <c r="C3758" s="6">
        <v>8650</v>
      </c>
      <c r="D3758" s="7">
        <v>0.53</v>
      </c>
      <c r="E3758" t="s">
        <v>53</v>
      </c>
    </row>
    <row r="3759" spans="1:5" x14ac:dyDescent="0.25">
      <c r="A3759" t="str">
        <f>HYPERLINK("https://www.773grp.com/globalSearch/MC7912CT/page-1", "MC7912CT")</f>
        <v>MC7912CT</v>
      </c>
      <c r="B3759" s="3" t="str">
        <f>HYPERLINK("https://www.773grp.com/manufacturer/onsemi?pageNo=1062", "Onsemi")</f>
        <v>Onsemi</v>
      </c>
      <c r="C3759" s="6">
        <v>341644</v>
      </c>
      <c r="D3759" s="7">
        <v>0.53</v>
      </c>
      <c r="E3759" t="s">
        <v>53</v>
      </c>
    </row>
    <row r="3760" spans="1:5" x14ac:dyDescent="0.25">
      <c r="A3760" t="str">
        <f>HYPERLINK("https://www.773grp.com/globalSearch/MC7915ACT/page-1", "MC7915ACT")</f>
        <v>MC7915ACT</v>
      </c>
      <c r="B3760" s="3" t="str">
        <f>HYPERLINK("https://www.773grp.com/manufacturer/onsemi?pageNo=1063", "Onsemi")</f>
        <v>Onsemi</v>
      </c>
      <c r="C3760" s="6">
        <v>800</v>
      </c>
      <c r="D3760" s="7">
        <v>0.53</v>
      </c>
      <c r="E3760" t="s">
        <v>53</v>
      </c>
    </row>
    <row r="3761" spans="1:5" x14ac:dyDescent="0.25">
      <c r="A3761" t="str">
        <f>HYPERLINK("https://www.773grp.com/globalSearch/MC7918CT/page-1", "MC7918CT")</f>
        <v>MC7918CT</v>
      </c>
      <c r="B3761" s="3" t="str">
        <f>HYPERLINK("https://www.773grp.com/manufacturer/onsemi?pageNo=1064", "Onsemi")</f>
        <v>Onsemi</v>
      </c>
      <c r="C3761" s="6">
        <v>3650</v>
      </c>
      <c r="D3761" s="7">
        <v>0.53</v>
      </c>
      <c r="E3761" t="s">
        <v>53</v>
      </c>
    </row>
    <row r="3762" spans="1:5" x14ac:dyDescent="0.25">
      <c r="A3762" t="str">
        <f>HYPERLINK("https://www.773grp.com/globalSearch/MC7924CT/page-1", "MC7924CT")</f>
        <v>MC7924CT</v>
      </c>
      <c r="B3762" s="3" t="str">
        <f>HYPERLINK("https://www.773grp.com/manufacturer/onsemi?pageNo=1065", "Onsemi")</f>
        <v>Onsemi</v>
      </c>
      <c r="C3762" s="6">
        <v>30787</v>
      </c>
      <c r="D3762" s="7">
        <v>0.53</v>
      </c>
      <c r="E3762" t="s">
        <v>53</v>
      </c>
    </row>
    <row r="3763" spans="1:5" x14ac:dyDescent="0.25">
      <c r="A3763" t="str">
        <f>HYPERLINK("https://www.773grp.com/globalSearch/MC79M15CDT/page-1", "MC79M15CDT")</f>
        <v>MC79M15CDT</v>
      </c>
      <c r="B3763" s="3" t="str">
        <f>HYPERLINK("https://www.773grp.com/manufacturer/onsemi?pageNo=1066", "Onsemi")</f>
        <v>Onsemi</v>
      </c>
      <c r="C3763" s="6">
        <v>2025</v>
      </c>
      <c r="D3763" s="7">
        <v>0.53</v>
      </c>
      <c r="E3763" t="s">
        <v>53</v>
      </c>
    </row>
    <row r="3764" spans="1:5" x14ac:dyDescent="0.25">
      <c r="A3764" t="str">
        <f>HYPERLINK("https://www.773grp.com/globalSearch/MCH4017-TL-H/page-1", "MCH4017-TL-H")</f>
        <v>MCH4017-TL-H</v>
      </c>
      <c r="B3764" s="3" t="str">
        <f>HYPERLINK("https://www.773grp.com/manufacturer/onsemi?pageNo=1067", "Onsemi")</f>
        <v>Onsemi</v>
      </c>
      <c r="C3764" s="6">
        <v>3000</v>
      </c>
      <c r="D3764" s="7">
        <v>0.53</v>
      </c>
    </row>
    <row r="3765" spans="1:5" x14ac:dyDescent="0.25">
      <c r="A3765" t="str">
        <f>HYPERLINK("https://www.773grp.com/globalSearch/MCH6202-TL-E/page-1", "MCH6202-TL-E")</f>
        <v>MCH6202-TL-E</v>
      </c>
      <c r="B3765" s="3" t="str">
        <f>HYPERLINK("https://www.773grp.com/manufacturer/onsemi?pageNo=1068", "Onsemi")</f>
        <v>Onsemi</v>
      </c>
      <c r="C3765" s="6">
        <v>3000</v>
      </c>
      <c r="D3765" s="7">
        <v>0.53</v>
      </c>
    </row>
    <row r="3766" spans="1:5" x14ac:dyDescent="0.25">
      <c r="A3766" t="str">
        <f>HYPERLINK("https://www.773grp.com/globalSearch/MDC3105DMT1G/page-1", "MDC3105DMT1G")</f>
        <v>MDC3105DMT1G</v>
      </c>
      <c r="B3766" s="3" t="str">
        <f>HYPERLINK("https://www.773grp.com/manufacturer/onsemi?pageNo=1069", "Onsemi")</f>
        <v>Onsemi</v>
      </c>
      <c r="C3766" s="6">
        <v>2855</v>
      </c>
      <c r="D3766" s="7">
        <v>0.53</v>
      </c>
      <c r="E3766" t="s">
        <v>8</v>
      </c>
    </row>
    <row r="3767" spans="1:5" x14ac:dyDescent="0.25">
      <c r="A3767" t="str">
        <f>HYPERLINK("https://www.773grp.com/globalSearch/MGSF2N02ELT1H/page-1", "MGSF2N02ELT1H")</f>
        <v>MGSF2N02ELT1H</v>
      </c>
      <c r="B3767" s="3" t="str">
        <f>HYPERLINK("https://www.773grp.com/manufacturer/onsemi?pageNo=1070", "Onsemi")</f>
        <v>Onsemi</v>
      </c>
      <c r="C3767" s="6">
        <v>3000</v>
      </c>
      <c r="D3767" s="7">
        <v>0.53</v>
      </c>
    </row>
    <row r="3768" spans="1:5" x14ac:dyDescent="0.25">
      <c r="A3768" t="str">
        <f>HYPERLINK("https://www.773grp.com/globalSearch/MJE371/page-1", "MJE371")</f>
        <v>MJE371</v>
      </c>
      <c r="B3768" s="3" t="str">
        <f>HYPERLINK("https://www.773grp.com/manufacturer/onsemi?pageNo=1071", "Onsemi")</f>
        <v>Onsemi</v>
      </c>
      <c r="C3768" s="6">
        <v>5500</v>
      </c>
      <c r="D3768" s="7">
        <v>0.53</v>
      </c>
      <c r="E3768" t="s">
        <v>47</v>
      </c>
    </row>
    <row r="3769" spans="1:5" x14ac:dyDescent="0.25">
      <c r="A3769" t="str">
        <f>HYPERLINK("https://www.773grp.com/globalSearch/MMBF1374T1/page-1", "MMBF1374T1")</f>
        <v>MMBF1374T1</v>
      </c>
      <c r="B3769" s="3" t="str">
        <f>HYPERLINK("https://www.773grp.com/manufacturer/onsemi?pageNo=1072", "Onsemi")</f>
        <v>Onsemi</v>
      </c>
      <c r="C3769" s="6">
        <v>45000</v>
      </c>
      <c r="D3769" s="7">
        <v>0.53</v>
      </c>
      <c r="E3769" t="s">
        <v>85</v>
      </c>
    </row>
    <row r="3770" spans="1:5" x14ac:dyDescent="0.25">
      <c r="A3770" t="str">
        <f>HYPERLINK("https://www.773grp.com/globalSearch/MMBT2131T1G/page-1", "MMBT2131T1G")</f>
        <v>MMBT2131T1G</v>
      </c>
      <c r="B3770" s="3" t="str">
        <f>HYPERLINK("https://www.773grp.com/manufacturer/onsemi?pageNo=1073", "Onsemi")</f>
        <v>Onsemi</v>
      </c>
      <c r="C3770" s="6">
        <v>104800</v>
      </c>
      <c r="D3770" s="7">
        <v>0.53</v>
      </c>
      <c r="E3770" t="s">
        <v>57</v>
      </c>
    </row>
    <row r="3771" spans="1:5" x14ac:dyDescent="0.25">
      <c r="A3771" t="str">
        <f>HYPERLINK("https://www.773grp.com/globalSearch/MMBT6521LT1G/page-1", "MMBT6521LT1G")</f>
        <v>MMBT6521LT1G</v>
      </c>
      <c r="B3771" s="3" t="str">
        <f>HYPERLINK("https://www.773grp.com/manufacturer/onsemi?pageNo=1074", "Onsemi")</f>
        <v>Onsemi</v>
      </c>
      <c r="C3771" s="6">
        <v>228000</v>
      </c>
      <c r="D3771" s="7">
        <v>0.53</v>
      </c>
      <c r="E3771" t="s">
        <v>57</v>
      </c>
    </row>
    <row r="3772" spans="1:5" x14ac:dyDescent="0.25">
      <c r="A3772" t="str">
        <f>HYPERLINK("https://www.773grp.com/globalSearch/MMJT9435T1/page-1", "MMJT9435T1")</f>
        <v>MMJT9435T1</v>
      </c>
      <c r="B3772" s="3" t="str">
        <f>HYPERLINK("https://www.773grp.com/manufacturer/onsemi?pageNo=1075", "Onsemi")</f>
        <v>Onsemi</v>
      </c>
      <c r="C3772" s="6">
        <v>2834</v>
      </c>
      <c r="D3772" s="7">
        <v>0.53</v>
      </c>
      <c r="E3772" t="s">
        <v>57</v>
      </c>
    </row>
    <row r="3773" spans="1:5" x14ac:dyDescent="0.25">
      <c r="A3773" t="str">
        <f>HYPERLINK("https://www.773grp.com/globalSearch/MMJT9435T3/page-1", "MMJT9435T3")</f>
        <v>MMJT9435T3</v>
      </c>
      <c r="B3773" s="3" t="str">
        <f>HYPERLINK("https://www.773grp.com/manufacturer/onsemi?pageNo=1076", "Onsemi")</f>
        <v>Onsemi</v>
      </c>
      <c r="C3773" s="6">
        <v>4000</v>
      </c>
      <c r="D3773" s="7">
        <v>0.53</v>
      </c>
      <c r="E3773" t="s">
        <v>57</v>
      </c>
    </row>
    <row r="3774" spans="1:5" x14ac:dyDescent="0.25">
      <c r="A3774" t="str">
        <f>HYPERLINK("https://www.773grp.com/globalSearch/MPF4391RLRA/page-1", "MPF4391RLRA")</f>
        <v>MPF4391RLRA</v>
      </c>
      <c r="B3774" s="3" t="str">
        <f>HYPERLINK("https://www.773grp.com/manufacturer/onsemi?pageNo=1077", "Onsemi")</f>
        <v>Onsemi</v>
      </c>
      <c r="C3774" s="6">
        <v>17700</v>
      </c>
      <c r="D3774" s="7">
        <v>0.53</v>
      </c>
      <c r="E3774" t="s">
        <v>85</v>
      </c>
    </row>
    <row r="3775" spans="1:5" x14ac:dyDescent="0.25">
      <c r="A3775" t="str">
        <f>HYPERLINK("https://www.773grp.com/globalSearch/MPN3404G/page-1", "MPN3404G")</f>
        <v>MPN3404G</v>
      </c>
      <c r="B3775" s="3" t="str">
        <f>HYPERLINK("https://www.773grp.com/manufacturer/onsemi?pageNo=1078", "Onsemi")</f>
        <v>Onsemi</v>
      </c>
      <c r="C3775" s="6">
        <v>5190</v>
      </c>
      <c r="D3775" s="7">
        <v>0.53</v>
      </c>
      <c r="E3775" t="s">
        <v>89</v>
      </c>
    </row>
    <row r="3776" spans="1:5" x14ac:dyDescent="0.25">
      <c r="A3776" t="str">
        <f>HYPERLINK("https://www.773grp.com/globalSearch/MPS8099G/page-1", "MPS8099G")</f>
        <v>MPS8099G</v>
      </c>
      <c r="B3776" s="3" t="str">
        <f>HYPERLINK("https://www.773grp.com/manufacturer/onsemi?pageNo=1079", "Onsemi")</f>
        <v>Onsemi</v>
      </c>
      <c r="C3776" s="6">
        <v>37993</v>
      </c>
      <c r="D3776" s="7">
        <v>0.53</v>
      </c>
      <c r="E3776" t="s">
        <v>57</v>
      </c>
    </row>
    <row r="3777" spans="1:5" x14ac:dyDescent="0.25">
      <c r="A3777" t="str">
        <f>HYPERLINK("https://www.773grp.com/globalSearch/MPS8099RLRAG/page-1", "MPS8099RLRAG")</f>
        <v>MPS8099RLRAG</v>
      </c>
      <c r="B3777" s="3" t="str">
        <f>HYPERLINK("https://www.773grp.com/manufacturer/onsemi?pageNo=1080", "Onsemi")</f>
        <v>Onsemi</v>
      </c>
      <c r="C3777" s="6">
        <v>34000</v>
      </c>
      <c r="D3777" s="7">
        <v>0.53</v>
      </c>
      <c r="E3777" t="s">
        <v>57</v>
      </c>
    </row>
    <row r="3778" spans="1:5" x14ac:dyDescent="0.25">
      <c r="A3778" t="str">
        <f>HYPERLINK("https://www.773grp.com/globalSearch/MPS8099RLRPG/page-1", "MPS8099RLRPG")</f>
        <v>MPS8099RLRPG</v>
      </c>
      <c r="B3778" s="3" t="str">
        <f>HYPERLINK("https://www.773grp.com/manufacturer/onsemi?pageNo=1081", "Onsemi")</f>
        <v>Onsemi</v>
      </c>
      <c r="C3778" s="6">
        <v>20000</v>
      </c>
      <c r="D3778" s="7">
        <v>0.53</v>
      </c>
    </row>
    <row r="3779" spans="1:5" x14ac:dyDescent="0.25">
      <c r="A3779" t="str">
        <f>HYPERLINK("https://www.773grp.com/globalSearch/MUR180/page-1", "MUR180")</f>
        <v>MUR180</v>
      </c>
      <c r="B3779" s="3" t="str">
        <f>HYPERLINK("https://www.773grp.com/manufacturer/onsemi?pageNo=1082", "Onsemi")</f>
        <v>Onsemi</v>
      </c>
      <c r="C3779" s="6">
        <v>1000</v>
      </c>
      <c r="D3779" s="7">
        <v>0.53</v>
      </c>
      <c r="E3779" t="s">
        <v>73</v>
      </c>
    </row>
    <row r="3780" spans="1:5" x14ac:dyDescent="0.25">
      <c r="A3780" t="str">
        <f>HYPERLINK("https://www.773grp.com/globalSearch/MUR180E/page-1", "MUR180E")</f>
        <v>MUR180E</v>
      </c>
      <c r="B3780" s="3" t="str">
        <f>HYPERLINK("https://www.773grp.com/manufacturer/onsemi?pageNo=1083", "Onsemi")</f>
        <v>Onsemi</v>
      </c>
      <c r="C3780" s="6">
        <v>28000</v>
      </c>
      <c r="D3780" s="7">
        <v>0.53</v>
      </c>
      <c r="E3780" t="s">
        <v>73</v>
      </c>
    </row>
    <row r="3781" spans="1:5" x14ac:dyDescent="0.25">
      <c r="A3781" t="str">
        <f>HYPERLINK("https://www.773grp.com/globalSearch/MUR180ERL/page-1", "MUR180ERL")</f>
        <v>MUR180ERL</v>
      </c>
      <c r="B3781" s="3" t="str">
        <f>HYPERLINK("https://www.773grp.com/manufacturer/onsemi?pageNo=1084", "Onsemi")</f>
        <v>Onsemi</v>
      </c>
      <c r="C3781" s="6">
        <v>5000</v>
      </c>
      <c r="D3781" s="7">
        <v>0.53</v>
      </c>
      <c r="E3781" t="s">
        <v>73</v>
      </c>
    </row>
    <row r="3782" spans="1:5" x14ac:dyDescent="0.25">
      <c r="A3782" t="str">
        <f>HYPERLINK("https://www.773grp.com/globalSearch/MUR2100EG/page-1", "MUR2100EG")</f>
        <v>MUR2100EG</v>
      </c>
      <c r="B3782" s="3" t="str">
        <f>HYPERLINK("https://www.773grp.com/manufacturer/onsemi?pageNo=1085", "Onsemi")</f>
        <v>Onsemi</v>
      </c>
      <c r="C3782" s="6">
        <v>573</v>
      </c>
      <c r="D3782" s="7">
        <v>0.53</v>
      </c>
      <c r="E3782" t="s">
        <v>82</v>
      </c>
    </row>
    <row r="3783" spans="1:5" x14ac:dyDescent="0.25">
      <c r="A3783" t="str">
        <f>HYPERLINK("https://www.773grp.com/globalSearch/MUR2100ERLG/page-1", "MUR2100ERLG")</f>
        <v>MUR2100ERLG</v>
      </c>
      <c r="B3783" s="3" t="str">
        <f>HYPERLINK("https://www.773grp.com/manufacturer/onsemi?pageNo=1086", "Onsemi")</f>
        <v>Onsemi</v>
      </c>
      <c r="C3783" s="6">
        <v>75000</v>
      </c>
      <c r="D3783" s="7">
        <v>0.53</v>
      </c>
      <c r="E3783" t="s">
        <v>82</v>
      </c>
    </row>
    <row r="3784" spans="1:5" x14ac:dyDescent="0.25">
      <c r="A3784" t="str">
        <f>HYPERLINK("https://www.773grp.com/globalSearch/MUR405/page-1", "MUR405")</f>
        <v>MUR405</v>
      </c>
      <c r="B3784" s="3" t="str">
        <f>HYPERLINK("https://www.773grp.com/manufacturer/onsemi?pageNo=1087", "Onsemi")</f>
        <v>Onsemi</v>
      </c>
      <c r="C3784" s="6">
        <v>2002</v>
      </c>
      <c r="D3784" s="7">
        <v>0.53</v>
      </c>
      <c r="E3784" t="s">
        <v>82</v>
      </c>
    </row>
    <row r="3785" spans="1:5" x14ac:dyDescent="0.25">
      <c r="A3785" t="str">
        <f>HYPERLINK("https://www.773grp.com/globalSearch/MUR410RL/page-1", "MUR410RL")</f>
        <v>MUR410RL</v>
      </c>
      <c r="B3785" s="3" t="str">
        <f>HYPERLINK("https://www.773grp.com/manufacturer/onsemi?pageNo=1088", "Onsemi")</f>
        <v>Onsemi</v>
      </c>
      <c r="C3785" s="6">
        <v>15000</v>
      </c>
      <c r="D3785" s="7">
        <v>0.53</v>
      </c>
      <c r="E3785" t="s">
        <v>82</v>
      </c>
    </row>
    <row r="3786" spans="1:5" x14ac:dyDescent="0.25">
      <c r="A3786" t="str">
        <f>HYPERLINK("https://www.773grp.com/globalSearch/MUR415/page-1", "MUR415")</f>
        <v>MUR415</v>
      </c>
      <c r="B3786" s="3" t="str">
        <f>HYPERLINK("https://www.773grp.com/manufacturer/onsemi?pageNo=1089", "Onsemi")</f>
        <v>Onsemi</v>
      </c>
      <c r="C3786" s="6">
        <v>1032</v>
      </c>
      <c r="D3786" s="7">
        <v>0.53</v>
      </c>
      <c r="E3786" t="s">
        <v>82</v>
      </c>
    </row>
    <row r="3787" spans="1:5" x14ac:dyDescent="0.25">
      <c r="A3787" t="str">
        <f>HYPERLINK("https://www.773grp.com/globalSearch/MUR440RL/page-1", "MUR440RL")</f>
        <v>MUR440RL</v>
      </c>
      <c r="B3787" s="3" t="str">
        <f>HYPERLINK("https://www.773grp.com/manufacturer/onsemi?pageNo=1090", "Onsemi")</f>
        <v>Onsemi</v>
      </c>
      <c r="C3787" s="6">
        <v>4500</v>
      </c>
      <c r="D3787" s="7">
        <v>0.53</v>
      </c>
      <c r="E3787" t="s">
        <v>82</v>
      </c>
    </row>
    <row r="3788" spans="1:5" x14ac:dyDescent="0.25">
      <c r="A3788" t="str">
        <f>HYPERLINK("https://www.773grp.com/globalSearch/MUR460RL/page-1", "MUR460RL")</f>
        <v>MUR460RL</v>
      </c>
      <c r="B3788" s="3" t="str">
        <f>HYPERLINK("https://www.773grp.com/manufacturer/onsemi?pageNo=1091", "Onsemi")</f>
        <v>Onsemi</v>
      </c>
      <c r="C3788" s="6">
        <v>650</v>
      </c>
      <c r="D3788" s="7">
        <v>0.53</v>
      </c>
      <c r="E3788" t="s">
        <v>82</v>
      </c>
    </row>
    <row r="3789" spans="1:5" x14ac:dyDescent="0.25">
      <c r="A3789" t="str">
        <f>HYPERLINK("https://www.773grp.com/globalSearch/MV2101G/page-1", "MV2101G")</f>
        <v>MV2101G</v>
      </c>
      <c r="B3789" s="3" t="str">
        <f>HYPERLINK("https://www.773grp.com/manufacturer/onsemi?pageNo=1092", "Onsemi")</f>
        <v>Onsemi</v>
      </c>
      <c r="C3789" s="6">
        <v>11000</v>
      </c>
      <c r="D3789" s="7">
        <v>0.53</v>
      </c>
      <c r="E3789" t="s">
        <v>80</v>
      </c>
    </row>
    <row r="3790" spans="1:5" x14ac:dyDescent="0.25">
      <c r="A3790" t="str">
        <f>HYPERLINK("https://www.773grp.com/globalSearch/MV2109G/page-1", "MV2109G")</f>
        <v>MV2109G</v>
      </c>
      <c r="B3790" s="3" t="str">
        <f>HYPERLINK("https://www.773grp.com/manufacturer/onsemi?pageNo=1093", "Onsemi")</f>
        <v>Onsemi</v>
      </c>
      <c r="C3790" s="6">
        <v>16000</v>
      </c>
      <c r="D3790" s="7">
        <v>0.53</v>
      </c>
      <c r="E3790" t="s">
        <v>80</v>
      </c>
    </row>
    <row r="3791" spans="1:5" x14ac:dyDescent="0.25">
      <c r="A3791" t="str">
        <f>HYPERLINK("https://www.773grp.com/globalSearch/MV2109RLRA/page-1", "MV2109RLRA")</f>
        <v>MV2109RLRA</v>
      </c>
      <c r="B3791" s="3" t="str">
        <f>HYPERLINK("https://www.773grp.com/manufacturer/onsemi?pageNo=1094", "Onsemi")</f>
        <v>Onsemi</v>
      </c>
      <c r="C3791" s="6">
        <v>2000</v>
      </c>
      <c r="D3791" s="7">
        <v>0.53</v>
      </c>
      <c r="E3791" t="s">
        <v>80</v>
      </c>
    </row>
    <row r="3792" spans="1:5" x14ac:dyDescent="0.25">
      <c r="A3792" t="str">
        <f>HYPERLINK("https://www.773grp.com/globalSearch/MV2109RLRAG/page-1", "MV2109RLRAG")</f>
        <v>MV2109RLRAG</v>
      </c>
      <c r="B3792" s="3" t="str">
        <f>HYPERLINK("https://www.773grp.com/manufacturer/onsemi?pageNo=1095", "Onsemi")</f>
        <v>Onsemi</v>
      </c>
      <c r="C3792" s="6">
        <v>2000</v>
      </c>
      <c r="D3792" s="7">
        <v>0.53</v>
      </c>
      <c r="E3792" t="s">
        <v>80</v>
      </c>
    </row>
    <row r="3793" spans="1:5" x14ac:dyDescent="0.25">
      <c r="A3793" t="str">
        <f>HYPERLINK("https://www.773grp.com/globalSearch/MZ4619/page-1", "MZ4619")</f>
        <v>MZ4619</v>
      </c>
      <c r="B3793" s="3" t="str">
        <f>HYPERLINK("https://www.773grp.com/manufacturer/onsemi?pageNo=1096", "Onsemi")</f>
        <v>Onsemi</v>
      </c>
      <c r="C3793" s="6">
        <v>39450</v>
      </c>
      <c r="D3793" s="7">
        <v>0.53</v>
      </c>
      <c r="E3793" t="s">
        <v>77</v>
      </c>
    </row>
    <row r="3794" spans="1:5" x14ac:dyDescent="0.25">
      <c r="A3794" t="str">
        <f>HYPERLINK("https://www.773grp.com/globalSearch/NCP1215SNT1/page-1", "NCP1215SNT1")</f>
        <v>NCP1215SNT1</v>
      </c>
      <c r="B3794" s="3" t="str">
        <f>HYPERLINK("https://www.773grp.com/manufacturer/onsemi?pageNo=1097", "Onsemi")</f>
        <v>Onsemi</v>
      </c>
      <c r="C3794" s="6">
        <v>2930</v>
      </c>
      <c r="D3794" s="7">
        <v>0.53</v>
      </c>
      <c r="E3794" t="s">
        <v>5</v>
      </c>
    </row>
    <row r="3795" spans="1:5" x14ac:dyDescent="0.25">
      <c r="A3795" t="str">
        <f>HYPERLINK("https://www.773grp.com/globalSearch/NCP333FCT2G/page-1", "NCP333FCT2G")</f>
        <v>NCP333FCT2G</v>
      </c>
      <c r="B3795" s="3" t="str">
        <f>HYPERLINK("https://www.773grp.com/manufacturer/onsemi?pageNo=1098", "Onsemi")</f>
        <v>Onsemi</v>
      </c>
      <c r="C3795" s="6">
        <v>846800</v>
      </c>
      <c r="D3795" s="7">
        <v>0.53</v>
      </c>
    </row>
    <row r="3796" spans="1:5" x14ac:dyDescent="0.25">
      <c r="A3796" t="str">
        <f>HYPERLINK("https://www.773grp.com/globalSearch/NCP431AISNT1G/page-1", "NCP431AISNT1G")</f>
        <v>NCP431AISNT1G</v>
      </c>
      <c r="B3796" s="3" t="str">
        <f>HYPERLINK("https://www.773grp.com/manufacturer/onsemi?pageNo=1099", "Onsemi")</f>
        <v>Onsemi</v>
      </c>
      <c r="C3796" s="6">
        <v>1699</v>
      </c>
      <c r="D3796" s="7">
        <v>0.53</v>
      </c>
    </row>
    <row r="3797" spans="1:5" x14ac:dyDescent="0.25">
      <c r="A3797" t="str">
        <f>HYPERLINK("https://www.773grp.com/globalSearch/NCP500SQL18T1/page-1", "NCP500SQL18T1")</f>
        <v>NCP500SQL18T1</v>
      </c>
      <c r="B3797" s="3" t="str">
        <f>HYPERLINK("https://www.773grp.com/manufacturer/onsemi?pageNo=1100", "Onsemi")</f>
        <v>Onsemi</v>
      </c>
      <c r="C3797" s="6">
        <v>42965</v>
      </c>
      <c r="D3797" s="7">
        <v>0.53</v>
      </c>
      <c r="E3797" t="s">
        <v>15</v>
      </c>
    </row>
    <row r="3798" spans="1:5" x14ac:dyDescent="0.25">
      <c r="A3798" t="str">
        <f>HYPERLINK("https://www.773grp.com/globalSearch/NCP500SQL27T1/page-1", "NCP500SQL27T1")</f>
        <v>NCP500SQL27T1</v>
      </c>
      <c r="B3798" s="3" t="str">
        <f>HYPERLINK("https://www.773grp.com/manufacturer/onsemi?pageNo=1101", "Onsemi")</f>
        <v>Onsemi</v>
      </c>
      <c r="C3798" s="6">
        <v>14900</v>
      </c>
      <c r="D3798" s="7">
        <v>0.53</v>
      </c>
      <c r="E3798" t="s">
        <v>15</v>
      </c>
    </row>
    <row r="3799" spans="1:5" x14ac:dyDescent="0.25">
      <c r="A3799" t="str">
        <f>HYPERLINK("https://www.773grp.com/globalSearch/NCP500SQL50T1/page-1", "NCP500SQL50T1")</f>
        <v>NCP500SQL50T1</v>
      </c>
      <c r="B3799" s="3" t="str">
        <f>HYPERLINK("https://www.773grp.com/manufacturer/onsemi?pageNo=1102", "Onsemi")</f>
        <v>Onsemi</v>
      </c>
      <c r="C3799" s="6">
        <v>5900</v>
      </c>
      <c r="D3799" s="7">
        <v>0.53</v>
      </c>
      <c r="E3799" t="s">
        <v>15</v>
      </c>
    </row>
    <row r="3800" spans="1:5" x14ac:dyDescent="0.25">
      <c r="A3800" t="str">
        <f>HYPERLINK("https://www.773grp.com/globalSearch/NCP502SQ15T1/page-1", "NCP502SQ15T1")</f>
        <v>NCP502SQ15T1</v>
      </c>
      <c r="B3800" s="3" t="str">
        <f>HYPERLINK("https://www.773grp.com/manufacturer/onsemi?pageNo=1103", "Onsemi")</f>
        <v>Onsemi</v>
      </c>
      <c r="C3800" s="6">
        <v>38030</v>
      </c>
      <c r="D3800" s="7">
        <v>0.53</v>
      </c>
      <c r="E3800" t="s">
        <v>15</v>
      </c>
    </row>
    <row r="3801" spans="1:5" x14ac:dyDescent="0.25">
      <c r="A3801" t="str">
        <f>HYPERLINK("https://www.773grp.com/globalSearch/NCP502SQ18T1/page-1", "NCP502SQ18T1")</f>
        <v>NCP502SQ18T1</v>
      </c>
      <c r="B3801" s="3" t="str">
        <f>HYPERLINK("https://www.773grp.com/manufacturer/onsemi?pageNo=1104", "Onsemi")</f>
        <v>Onsemi</v>
      </c>
      <c r="C3801" s="6">
        <v>8266</v>
      </c>
      <c r="D3801" s="7">
        <v>0.53</v>
      </c>
      <c r="E3801" t="s">
        <v>15</v>
      </c>
    </row>
    <row r="3802" spans="1:5" x14ac:dyDescent="0.25">
      <c r="A3802" t="str">
        <f>HYPERLINK("https://www.773grp.com/globalSearch/NCP502SQ18T1G/page-1", "NCP502SQ18T1G")</f>
        <v>NCP502SQ18T1G</v>
      </c>
      <c r="B3802" s="3" t="str">
        <f>HYPERLINK("https://www.773grp.com/manufacturer/onsemi?pageNo=1105", "Onsemi")</f>
        <v>Onsemi</v>
      </c>
      <c r="C3802" s="6">
        <v>38958</v>
      </c>
      <c r="D3802" s="7">
        <v>0.53</v>
      </c>
      <c r="E3802" t="s">
        <v>15</v>
      </c>
    </row>
    <row r="3803" spans="1:5" x14ac:dyDescent="0.25">
      <c r="A3803" t="str">
        <f>HYPERLINK("https://www.773grp.com/globalSearch/NCP502SQ25T1/page-1", "NCP502SQ25T1")</f>
        <v>NCP502SQ25T1</v>
      </c>
      <c r="B3803" s="3" t="str">
        <f>HYPERLINK("https://www.773grp.com/manufacturer/onsemi?pageNo=1106", "Onsemi")</f>
        <v>Onsemi</v>
      </c>
      <c r="C3803" s="6">
        <v>7720</v>
      </c>
      <c r="D3803" s="7">
        <v>0.53</v>
      </c>
      <c r="E3803" t="s">
        <v>15</v>
      </c>
    </row>
    <row r="3804" spans="1:5" x14ac:dyDescent="0.25">
      <c r="A3804" t="str">
        <f>HYPERLINK("https://www.773grp.com/globalSearch/NCP502SQ27T1/page-1", "NCP502SQ27T1")</f>
        <v>NCP502SQ27T1</v>
      </c>
      <c r="B3804" s="3" t="str">
        <f>HYPERLINK("https://www.773grp.com/manufacturer/onsemi?pageNo=1107", "Onsemi")</f>
        <v>Onsemi</v>
      </c>
      <c r="C3804" s="6">
        <v>5980</v>
      </c>
      <c r="D3804" s="7">
        <v>0.53</v>
      </c>
      <c r="E3804" t="s">
        <v>15</v>
      </c>
    </row>
    <row r="3805" spans="1:5" x14ac:dyDescent="0.25">
      <c r="A3805" t="str">
        <f>HYPERLINK("https://www.773grp.com/globalSearch/NCP502SQ28T1/page-1", "NCP502SQ28T1")</f>
        <v>NCP502SQ28T1</v>
      </c>
      <c r="B3805" s="3" t="str">
        <f>HYPERLINK("https://www.773grp.com/manufacturer/onsemi?pageNo=1108", "Onsemi")</f>
        <v>Onsemi</v>
      </c>
      <c r="C3805" s="6">
        <v>5328</v>
      </c>
      <c r="D3805" s="7">
        <v>0.53</v>
      </c>
      <c r="E3805" t="s">
        <v>15</v>
      </c>
    </row>
    <row r="3806" spans="1:5" x14ac:dyDescent="0.25">
      <c r="A3806" t="str">
        <f>HYPERLINK("https://www.773grp.com/globalSearch/NCP502SQ30T1/page-1", "NCP502SQ30T1")</f>
        <v>NCP502SQ30T1</v>
      </c>
      <c r="B3806" s="3" t="str">
        <f>HYPERLINK("https://www.773grp.com/manufacturer/onsemi?pageNo=1109", "Onsemi")</f>
        <v>Onsemi</v>
      </c>
      <c r="C3806" s="6">
        <v>10141</v>
      </c>
      <c r="D3806" s="7">
        <v>0.53</v>
      </c>
      <c r="E3806" t="s">
        <v>15</v>
      </c>
    </row>
    <row r="3807" spans="1:5" x14ac:dyDescent="0.25">
      <c r="A3807" t="str">
        <f>HYPERLINK("https://www.773grp.com/globalSearch/NCP502SQ33T1/page-1", "NCP502SQ33T1")</f>
        <v>NCP502SQ33T1</v>
      </c>
      <c r="B3807" s="3" t="str">
        <f>HYPERLINK("https://www.773grp.com/manufacturer/onsemi?pageNo=1110", "Onsemi")</f>
        <v>Onsemi</v>
      </c>
      <c r="C3807" s="6">
        <v>8734</v>
      </c>
      <c r="D3807" s="7">
        <v>0.53</v>
      </c>
      <c r="E3807" t="s">
        <v>15</v>
      </c>
    </row>
    <row r="3808" spans="1:5" x14ac:dyDescent="0.25">
      <c r="A3808" t="str">
        <f>HYPERLINK("https://www.773grp.com/globalSearch/NCP502SQ35T1G/page-1", "NCP502SQ35T1G")</f>
        <v>NCP502SQ35T1G</v>
      </c>
      <c r="B3808" s="3" t="str">
        <f>HYPERLINK("https://www.773grp.com/manufacturer/onsemi?pageNo=1111", "Onsemi")</f>
        <v>Onsemi</v>
      </c>
      <c r="C3808" s="6">
        <v>12439</v>
      </c>
      <c r="D3808" s="7">
        <v>0.53</v>
      </c>
      <c r="E3808" t="s">
        <v>15</v>
      </c>
    </row>
    <row r="3809" spans="1:5" x14ac:dyDescent="0.25">
      <c r="A3809" t="str">
        <f>HYPERLINK("https://www.773grp.com/globalSearch/NCP512SQ15T1/page-1", "NCP512SQ15T1")</f>
        <v>NCP512SQ15T1</v>
      </c>
      <c r="B3809" s="3" t="str">
        <f>HYPERLINK("https://www.773grp.com/manufacturer/onsemi?pageNo=1112", "Onsemi")</f>
        <v>Onsemi</v>
      </c>
      <c r="C3809" s="6">
        <v>3000</v>
      </c>
      <c r="D3809" s="7">
        <v>0.53</v>
      </c>
      <c r="E3809" t="s">
        <v>15</v>
      </c>
    </row>
    <row r="3810" spans="1:5" x14ac:dyDescent="0.25">
      <c r="A3810" t="str">
        <f>HYPERLINK("https://www.773grp.com/globalSearch/NCP512SQ27T1/page-1", "NCP512SQ27T1")</f>
        <v>NCP512SQ27T1</v>
      </c>
      <c r="B3810" s="3" t="str">
        <f>HYPERLINK("https://www.773grp.com/manufacturer/onsemi?pageNo=1113", "Onsemi")</f>
        <v>Onsemi</v>
      </c>
      <c r="C3810" s="6">
        <v>80</v>
      </c>
      <c r="D3810" s="7">
        <v>0.53</v>
      </c>
      <c r="E3810" t="s">
        <v>15</v>
      </c>
    </row>
    <row r="3811" spans="1:5" x14ac:dyDescent="0.25">
      <c r="A3811" t="str">
        <f>HYPERLINK("https://www.773grp.com/globalSearch/NCP512SQ30T1/page-1", "NCP512SQ30T1")</f>
        <v>NCP512SQ30T1</v>
      </c>
      <c r="B3811" s="3" t="str">
        <f>HYPERLINK("https://www.773grp.com/manufacturer/onsemi?pageNo=1114", "Onsemi")</f>
        <v>Onsemi</v>
      </c>
      <c r="C3811" s="6">
        <v>30282</v>
      </c>
      <c r="D3811" s="7">
        <v>0.53</v>
      </c>
      <c r="E3811" t="s">
        <v>15</v>
      </c>
    </row>
    <row r="3812" spans="1:5" x14ac:dyDescent="0.25">
      <c r="A3812" t="str">
        <f>HYPERLINK("https://www.773grp.com/globalSearch/NCP512SQ31T1G/page-1", "NCP512SQ31T1G")</f>
        <v>NCP512SQ31T1G</v>
      </c>
      <c r="B3812" s="3" t="str">
        <f>HYPERLINK("https://www.773grp.com/manufacturer/onsemi?pageNo=1115", "Onsemi")</f>
        <v>Onsemi</v>
      </c>
      <c r="C3812" s="6">
        <v>19182</v>
      </c>
      <c r="D3812" s="7">
        <v>0.53</v>
      </c>
      <c r="E3812" t="s">
        <v>15</v>
      </c>
    </row>
    <row r="3813" spans="1:5" x14ac:dyDescent="0.25">
      <c r="A3813" t="str">
        <f>HYPERLINK("https://www.773grp.com/globalSearch/NCP512SQ50T1/page-1", "NCP512SQ50T1")</f>
        <v>NCP512SQ50T1</v>
      </c>
      <c r="B3813" s="3" t="str">
        <f>HYPERLINK("https://www.773grp.com/manufacturer/onsemi?pageNo=1116", "Onsemi")</f>
        <v>Onsemi</v>
      </c>
      <c r="C3813" s="6">
        <v>8980</v>
      </c>
      <c r="D3813" s="7">
        <v>0.53</v>
      </c>
      <c r="E3813" t="s">
        <v>15</v>
      </c>
    </row>
    <row r="3814" spans="1:5" x14ac:dyDescent="0.25">
      <c r="A3814" t="str">
        <f>HYPERLINK("https://www.773grp.com/globalSearch/NCP512SQ50T1G/page-1", "NCP512SQ50T1G")</f>
        <v>NCP512SQ50T1G</v>
      </c>
      <c r="B3814" s="3" t="str">
        <f>HYPERLINK("https://www.773grp.com/manufacturer/onsemi?pageNo=1117", "Onsemi")</f>
        <v>Onsemi</v>
      </c>
      <c r="C3814" s="6">
        <v>23980</v>
      </c>
      <c r="D3814" s="7">
        <v>0.53</v>
      </c>
      <c r="E3814" t="s">
        <v>15</v>
      </c>
    </row>
    <row r="3815" spans="1:5" x14ac:dyDescent="0.25">
      <c r="A3815" t="str">
        <f>HYPERLINK("https://www.773grp.com/globalSearch/NCP612SQ15T1G/page-1", "NCP612SQ15T1G")</f>
        <v>NCP612SQ15T1G</v>
      </c>
      <c r="B3815" s="3" t="str">
        <f>HYPERLINK("https://www.773grp.com/manufacturer/onsemi?pageNo=1118", "Onsemi")</f>
        <v>Onsemi</v>
      </c>
      <c r="C3815" s="6">
        <v>10721</v>
      </c>
      <c r="D3815" s="7">
        <v>0.53</v>
      </c>
      <c r="E3815" t="s">
        <v>24</v>
      </c>
    </row>
    <row r="3816" spans="1:5" x14ac:dyDescent="0.25">
      <c r="A3816" t="str">
        <f>HYPERLINK("https://www.773grp.com/globalSearch/NCP612SQ18T1G/page-1", "NCP612SQ18T1G")</f>
        <v>NCP612SQ18T1G</v>
      </c>
      <c r="B3816" s="3" t="str">
        <f>HYPERLINK("https://www.773grp.com/manufacturer/onsemi?pageNo=1119", "Onsemi")</f>
        <v>Onsemi</v>
      </c>
      <c r="C3816" s="6">
        <v>6959</v>
      </c>
      <c r="D3816" s="7">
        <v>0.53</v>
      </c>
      <c r="E3816" t="s">
        <v>24</v>
      </c>
    </row>
    <row r="3817" spans="1:5" x14ac:dyDescent="0.25">
      <c r="A3817" t="str">
        <f>HYPERLINK("https://www.773grp.com/globalSearch/NCP612SQ25T1G/page-1", "NCP612SQ25T1G")</f>
        <v>NCP612SQ25T1G</v>
      </c>
      <c r="B3817" s="3" t="str">
        <f>HYPERLINK("https://www.773grp.com/manufacturer/onsemi?pageNo=1120", "Onsemi")</f>
        <v>Onsemi</v>
      </c>
      <c r="C3817" s="6">
        <v>16967</v>
      </c>
      <c r="D3817" s="7">
        <v>0.53</v>
      </c>
      <c r="E3817" t="s">
        <v>24</v>
      </c>
    </row>
    <row r="3818" spans="1:5" x14ac:dyDescent="0.25">
      <c r="A3818" t="str">
        <f>HYPERLINK("https://www.773grp.com/globalSearch/NCP612SQ27T1G/page-1", "NCP612SQ27T1G")</f>
        <v>NCP612SQ27T1G</v>
      </c>
      <c r="B3818" s="3" t="str">
        <f>HYPERLINK("https://www.773grp.com/manufacturer/onsemi?pageNo=1121", "Onsemi")</f>
        <v>Onsemi</v>
      </c>
      <c r="C3818" s="6">
        <v>20733</v>
      </c>
      <c r="D3818" s="7">
        <v>0.53</v>
      </c>
      <c r="E3818" t="s">
        <v>24</v>
      </c>
    </row>
    <row r="3819" spans="1:5" x14ac:dyDescent="0.25">
      <c r="A3819" t="str">
        <f>HYPERLINK("https://www.773grp.com/globalSearch/NCP612SQ28T1G/page-1", "NCP612SQ28T1G")</f>
        <v>NCP612SQ28T1G</v>
      </c>
      <c r="B3819" s="3" t="str">
        <f>HYPERLINK("https://www.773grp.com/manufacturer/onsemi?pageNo=1122", "Onsemi")</f>
        <v>Onsemi</v>
      </c>
      <c r="C3819" s="6">
        <v>12808</v>
      </c>
      <c r="D3819" s="7">
        <v>0.53</v>
      </c>
      <c r="E3819" t="s">
        <v>24</v>
      </c>
    </row>
    <row r="3820" spans="1:5" x14ac:dyDescent="0.25">
      <c r="A3820" t="str">
        <f>HYPERLINK("https://www.773grp.com/globalSearch/NCP612SQ31T1G/page-1", "NCP612SQ31T1G")</f>
        <v>NCP612SQ31T1G</v>
      </c>
      <c r="B3820" s="3" t="str">
        <f>HYPERLINK("https://www.773grp.com/manufacturer/onsemi?pageNo=1123", "Onsemi")</f>
        <v>Onsemi</v>
      </c>
      <c r="C3820" s="6">
        <v>22190</v>
      </c>
      <c r="D3820" s="7">
        <v>0.53</v>
      </c>
      <c r="E3820" t="s">
        <v>24</v>
      </c>
    </row>
    <row r="3821" spans="1:5" x14ac:dyDescent="0.25">
      <c r="A3821" t="str">
        <f>HYPERLINK("https://www.773grp.com/globalSearch/NCP612SQ33T1G/page-1", "NCP612SQ33T1G")</f>
        <v>NCP612SQ33T1G</v>
      </c>
      <c r="B3821" s="3" t="str">
        <f>HYPERLINK("https://www.773grp.com/manufacturer/onsemi?pageNo=1124", "Onsemi")</f>
        <v>Onsemi</v>
      </c>
      <c r="C3821" s="6">
        <v>53775</v>
      </c>
      <c r="D3821" s="7">
        <v>0.53</v>
      </c>
      <c r="E3821" t="s">
        <v>24</v>
      </c>
    </row>
    <row r="3822" spans="1:5" x14ac:dyDescent="0.25">
      <c r="A3822" t="str">
        <f>HYPERLINK("https://www.773grp.com/globalSearch/NCP612SQ50T1G/page-1", "NCP612SQ50T1G")</f>
        <v>NCP612SQ50T1G</v>
      </c>
      <c r="B3822" s="3" t="str">
        <f>HYPERLINK("https://www.773grp.com/manufacturer/onsemi?pageNo=1125", "Onsemi")</f>
        <v>Onsemi</v>
      </c>
      <c r="C3822" s="6">
        <v>13306</v>
      </c>
      <c r="D3822" s="7">
        <v>0.53</v>
      </c>
      <c r="E3822" t="s">
        <v>24</v>
      </c>
    </row>
    <row r="3823" spans="1:5" x14ac:dyDescent="0.25">
      <c r="A3823" t="str">
        <f>HYPERLINK("https://www.773grp.com/globalSearch/NCP7806CTG/page-1", "NCP7806CTG")</f>
        <v>NCP7806CTG</v>
      </c>
      <c r="B3823" s="3" t="str">
        <f>HYPERLINK("https://www.773grp.com/manufacturer/onsemi?pageNo=1126", "Onsemi")</f>
        <v>Onsemi</v>
      </c>
      <c r="C3823" s="6">
        <v>27550</v>
      </c>
      <c r="D3823" s="7">
        <v>0.53</v>
      </c>
    </row>
    <row r="3824" spans="1:5" x14ac:dyDescent="0.25">
      <c r="A3824" t="str">
        <f>HYPERLINK("https://www.773grp.com/globalSearch/NCP7824CTG/page-1", "NCP7824CTG")</f>
        <v>NCP7824CTG</v>
      </c>
      <c r="B3824" s="3" t="str">
        <f>HYPERLINK("https://www.773grp.com/manufacturer/onsemi?pageNo=1127", "Onsemi")</f>
        <v>Onsemi</v>
      </c>
      <c r="C3824" s="6">
        <v>110550</v>
      </c>
      <c r="D3824" s="7">
        <v>0.53</v>
      </c>
    </row>
    <row r="3825" spans="1:5" x14ac:dyDescent="0.25">
      <c r="A3825" t="str">
        <f>HYPERLINK("https://www.773grp.com/globalSearch/NCV317LBZG/page-1", "NCV317LBZG")</f>
        <v>NCV317LBZG</v>
      </c>
      <c r="B3825" s="3" t="str">
        <f>HYPERLINK("https://www.773grp.com/manufacturer/onsemi?pageNo=1128", "Onsemi")</f>
        <v>Onsemi</v>
      </c>
      <c r="C3825" s="6">
        <v>32000</v>
      </c>
      <c r="D3825" s="7">
        <v>0.53</v>
      </c>
      <c r="E3825" t="s">
        <v>18</v>
      </c>
    </row>
    <row r="3826" spans="1:5" x14ac:dyDescent="0.25">
      <c r="A3826" t="str">
        <f>HYPERLINK("https://www.773grp.com/globalSearch/NCV431AIDMR2/page-1", "NCV431AIDMR2")</f>
        <v>NCV431AIDMR2</v>
      </c>
      <c r="B3826" s="3" t="str">
        <f>HYPERLINK("https://www.773grp.com/manufacturer/onsemi?pageNo=1129", "Onsemi")</f>
        <v>Onsemi</v>
      </c>
      <c r="C3826" s="6">
        <v>3776</v>
      </c>
      <c r="D3826" s="7">
        <v>0.53</v>
      </c>
      <c r="E3826" t="s">
        <v>13</v>
      </c>
    </row>
    <row r="3827" spans="1:5" x14ac:dyDescent="0.25">
      <c r="A3827" t="str">
        <f>HYPERLINK("https://www.773grp.com/globalSearch/NCV431AIDR2/page-1", "NCV431AIDR2")</f>
        <v>NCV431AIDR2</v>
      </c>
      <c r="B3827" s="3" t="str">
        <f>HYPERLINK("https://www.773grp.com/manufacturer/onsemi?pageNo=1130", "Onsemi")</f>
        <v>Onsemi</v>
      </c>
      <c r="C3827" s="6">
        <v>1205</v>
      </c>
      <c r="D3827" s="7">
        <v>0.53</v>
      </c>
      <c r="E3827" t="s">
        <v>13</v>
      </c>
    </row>
    <row r="3828" spans="1:5" x14ac:dyDescent="0.25">
      <c r="A3828" t="str">
        <f>HYPERLINK("https://www.773grp.com/globalSearch/NCV78L12ABDG/page-1", "NCV78L12ABDG")</f>
        <v>NCV78L12ABDG</v>
      </c>
      <c r="B3828" s="3" t="str">
        <f>HYPERLINK("https://www.773grp.com/manufacturer/onsemi?pageNo=1131", "Onsemi")</f>
        <v>Onsemi</v>
      </c>
      <c r="C3828" s="6">
        <v>5586</v>
      </c>
      <c r="D3828" s="7">
        <v>0.53</v>
      </c>
      <c r="E3828" t="s">
        <v>24</v>
      </c>
    </row>
    <row r="3829" spans="1:5" x14ac:dyDescent="0.25">
      <c r="A3829" t="str">
        <f>HYPERLINK("https://www.773grp.com/globalSearch/NL17SV00XV5T2G/page-1", "NL17SV00XV5T2G")</f>
        <v>NL17SV00XV5T2G</v>
      </c>
      <c r="B3829" s="3" t="str">
        <f>HYPERLINK("https://www.773grp.com/manufacturer/onsemi?pageNo=1132", "Onsemi")</f>
        <v>Onsemi</v>
      </c>
      <c r="C3829" s="6">
        <v>226405</v>
      </c>
      <c r="D3829" s="7">
        <v>0.53</v>
      </c>
      <c r="E3829" t="s">
        <v>27</v>
      </c>
    </row>
    <row r="3830" spans="1:5" x14ac:dyDescent="0.25">
      <c r="A3830" t="str">
        <f>HYPERLINK("https://www.773grp.com/globalSearch/NL17SV02XV5T2G/page-1", "NL17SV02XV5T2G")</f>
        <v>NL17SV02XV5T2G</v>
      </c>
      <c r="B3830" s="3" t="str">
        <f>HYPERLINK("https://www.773grp.com/manufacturer/onsemi?pageNo=1133", "Onsemi")</f>
        <v>Onsemi</v>
      </c>
      <c r="C3830" s="6">
        <v>23945</v>
      </c>
      <c r="D3830" s="7">
        <v>0.53</v>
      </c>
      <c r="E3830" t="s">
        <v>27</v>
      </c>
    </row>
    <row r="3831" spans="1:5" x14ac:dyDescent="0.25">
      <c r="A3831" t="str">
        <f>HYPERLINK("https://www.773grp.com/globalSearch/NL17SV04XV5T2G/page-1", "NL17SV04XV5T2G")</f>
        <v>NL17SV04XV5T2G</v>
      </c>
      <c r="B3831" s="3" t="str">
        <f>HYPERLINK("https://www.773grp.com/manufacturer/onsemi?pageNo=1134", "Onsemi")</f>
        <v>Onsemi</v>
      </c>
      <c r="C3831" s="6">
        <v>127031</v>
      </c>
      <c r="D3831" s="7">
        <v>0.53</v>
      </c>
      <c r="E3831" t="s">
        <v>27</v>
      </c>
    </row>
    <row r="3832" spans="1:5" x14ac:dyDescent="0.25">
      <c r="A3832" t="str">
        <f>HYPERLINK("https://www.773grp.com/globalSearch/NL17SV08XV5T2G/page-1", "NL17SV08XV5T2G")</f>
        <v>NL17SV08XV5T2G</v>
      </c>
      <c r="B3832" s="3" t="str">
        <f>HYPERLINK("https://www.773grp.com/manufacturer/onsemi?pageNo=1135", "Onsemi")</f>
        <v>Onsemi</v>
      </c>
      <c r="C3832" s="6">
        <v>379666</v>
      </c>
      <c r="D3832" s="7">
        <v>0.53</v>
      </c>
      <c r="E3832" t="s">
        <v>27</v>
      </c>
    </row>
    <row r="3833" spans="1:5" x14ac:dyDescent="0.25">
      <c r="A3833" t="str">
        <f>HYPERLINK("https://www.773grp.com/globalSearch/NL17SV16XV5T2G/page-1", "NL17SV16XV5T2G")</f>
        <v>NL17SV16XV5T2G</v>
      </c>
      <c r="B3833" s="3" t="str">
        <f>HYPERLINK("https://www.773grp.com/manufacturer/onsemi?pageNo=1136", "Onsemi")</f>
        <v>Onsemi</v>
      </c>
      <c r="C3833" s="6">
        <v>91860</v>
      </c>
      <c r="D3833" s="7">
        <v>0.53</v>
      </c>
      <c r="E3833" t="s">
        <v>27</v>
      </c>
    </row>
    <row r="3834" spans="1:5" x14ac:dyDescent="0.25">
      <c r="A3834" t="str">
        <f>HYPERLINK("https://www.773grp.com/globalSearch/NL17SV32XV5T2G/page-1", "NL17SV32XV5T2G")</f>
        <v>NL17SV32XV5T2G</v>
      </c>
      <c r="B3834" s="3" t="str">
        <f>HYPERLINK("https://www.773grp.com/manufacturer/onsemi?pageNo=1137", "Onsemi")</f>
        <v>Onsemi</v>
      </c>
      <c r="C3834" s="6">
        <v>43378</v>
      </c>
      <c r="D3834" s="7">
        <v>0.53</v>
      </c>
      <c r="E3834" t="s">
        <v>27</v>
      </c>
    </row>
    <row r="3835" spans="1:5" x14ac:dyDescent="0.25">
      <c r="A3835" t="str">
        <f>HYPERLINK("https://www.773grp.com/globalSearch/NL27WZ00US/page-1", "NL27WZ00US")</f>
        <v>NL27WZ00US</v>
      </c>
      <c r="B3835" s="3" t="str">
        <f>HYPERLINK("https://www.773grp.com/manufacturer/onsemi?pageNo=1138", "Onsemi")</f>
        <v>Onsemi</v>
      </c>
      <c r="C3835" s="6">
        <v>44720</v>
      </c>
      <c r="D3835" s="7">
        <v>0.53</v>
      </c>
      <c r="E3835" t="s">
        <v>27</v>
      </c>
    </row>
    <row r="3836" spans="1:5" x14ac:dyDescent="0.25">
      <c r="A3836" t="str">
        <f>HYPERLINK("https://www.773grp.com/globalSearch/NL27WZ02US/page-1", "NL27WZ02US")</f>
        <v>NL27WZ02US</v>
      </c>
      <c r="B3836" s="3" t="str">
        <f>HYPERLINK("https://www.773grp.com/manufacturer/onsemi?pageNo=1139", "Onsemi")</f>
        <v>Onsemi</v>
      </c>
      <c r="C3836" s="6">
        <v>951</v>
      </c>
      <c r="D3836" s="7">
        <v>0.53</v>
      </c>
      <c r="E3836" t="s">
        <v>27</v>
      </c>
    </row>
    <row r="3837" spans="1:5" x14ac:dyDescent="0.25">
      <c r="A3837" t="str">
        <f>HYPERLINK("https://www.773grp.com/globalSearch/NL27WZ04DFT2/page-1", "NL27WZ04DFT2")</f>
        <v>NL27WZ04DFT2</v>
      </c>
      <c r="B3837" s="3" t="str">
        <f>HYPERLINK("https://www.773grp.com/manufacturer/onsemi?pageNo=1140", "Onsemi")</f>
        <v>Onsemi</v>
      </c>
      <c r="C3837" s="6">
        <v>169728</v>
      </c>
      <c r="D3837" s="7">
        <v>0.53</v>
      </c>
      <c r="E3837" t="s">
        <v>27</v>
      </c>
    </row>
    <row r="3838" spans="1:5" x14ac:dyDescent="0.25">
      <c r="A3838" t="str">
        <f>HYPERLINK("https://www.773grp.com/globalSearch/NL27WZ04DTT1/page-1", "NL27WZ04DTT1")</f>
        <v>NL27WZ04DTT1</v>
      </c>
      <c r="B3838" s="3" t="str">
        <f>HYPERLINK("https://www.773grp.com/manufacturer/onsemi?pageNo=1141", "Onsemi")</f>
        <v>Onsemi</v>
      </c>
      <c r="C3838" s="6">
        <v>78000</v>
      </c>
      <c r="D3838" s="7">
        <v>0.53</v>
      </c>
      <c r="E3838" t="s">
        <v>27</v>
      </c>
    </row>
    <row r="3839" spans="1:5" x14ac:dyDescent="0.25">
      <c r="A3839" t="str">
        <f>HYPERLINK("https://www.773grp.com/globalSearch/NL27WZ06DFT2/page-1", "NL27WZ06DFT2")</f>
        <v>NL27WZ06DFT2</v>
      </c>
      <c r="B3839" s="3" t="str">
        <f>HYPERLINK("https://www.773grp.com/manufacturer/onsemi?pageNo=1142", "Onsemi")</f>
        <v>Onsemi</v>
      </c>
      <c r="C3839" s="6">
        <v>8550</v>
      </c>
      <c r="D3839" s="7">
        <v>0.53</v>
      </c>
      <c r="E3839" t="s">
        <v>27</v>
      </c>
    </row>
    <row r="3840" spans="1:5" x14ac:dyDescent="0.25">
      <c r="A3840" t="str">
        <f>HYPERLINK("https://www.773grp.com/globalSearch/NL27WZ06DTT1/page-1", "NL27WZ06DTT1")</f>
        <v>NL27WZ06DTT1</v>
      </c>
      <c r="B3840" s="3" t="str">
        <f>HYPERLINK("https://www.773grp.com/manufacturer/onsemi?pageNo=1143", "Onsemi")</f>
        <v>Onsemi</v>
      </c>
      <c r="C3840" s="6">
        <v>5955</v>
      </c>
      <c r="D3840" s="7">
        <v>0.53</v>
      </c>
      <c r="E3840" t="s">
        <v>27</v>
      </c>
    </row>
    <row r="3841" spans="1:5" x14ac:dyDescent="0.25">
      <c r="A3841" t="str">
        <f>HYPERLINK("https://www.773grp.com/globalSearch/NL27WZ07DFT2/page-1", "NL27WZ07DFT2")</f>
        <v>NL27WZ07DFT2</v>
      </c>
      <c r="B3841" s="3" t="str">
        <f>HYPERLINK("https://www.773grp.com/manufacturer/onsemi?pageNo=1144", "Onsemi")</f>
        <v>Onsemi</v>
      </c>
      <c r="C3841" s="6">
        <v>48550</v>
      </c>
      <c r="D3841" s="7">
        <v>0.53</v>
      </c>
      <c r="E3841" t="s">
        <v>27</v>
      </c>
    </row>
    <row r="3842" spans="1:5" x14ac:dyDescent="0.25">
      <c r="A3842" t="str">
        <f>HYPERLINK("https://www.773grp.com/globalSearch/NL27WZ07DTT1/page-1", "NL27WZ07DTT1")</f>
        <v>NL27WZ07DTT1</v>
      </c>
      <c r="B3842" s="3" t="str">
        <f>HYPERLINK("https://www.773grp.com/manufacturer/onsemi?pageNo=1145", "Onsemi")</f>
        <v>Onsemi</v>
      </c>
      <c r="C3842" s="6">
        <v>2860</v>
      </c>
      <c r="D3842" s="7">
        <v>0.53</v>
      </c>
      <c r="E3842" t="s">
        <v>27</v>
      </c>
    </row>
    <row r="3843" spans="1:5" x14ac:dyDescent="0.25">
      <c r="A3843" t="str">
        <f>HYPERLINK("https://www.773grp.com/globalSearch/NL27WZ08US/page-1", "NL27WZ08US")</f>
        <v>NL27WZ08US</v>
      </c>
      <c r="B3843" s="3" t="str">
        <f>HYPERLINK("https://www.773grp.com/manufacturer/onsemi?pageNo=1146", "Onsemi")</f>
        <v>Onsemi</v>
      </c>
      <c r="C3843" s="6">
        <v>627677</v>
      </c>
      <c r="D3843" s="7">
        <v>0.53</v>
      </c>
      <c r="E3843" t="s">
        <v>27</v>
      </c>
    </row>
    <row r="3844" spans="1:5" x14ac:dyDescent="0.25">
      <c r="A3844" t="str">
        <f>HYPERLINK("https://www.773grp.com/globalSearch/NL27WZ125US/page-1", "NL27WZ125US")</f>
        <v>NL27WZ125US</v>
      </c>
      <c r="B3844" s="3" t="str">
        <f>HYPERLINK("https://www.773grp.com/manufacturer/onsemi?pageNo=1147", "Onsemi")</f>
        <v>Onsemi</v>
      </c>
      <c r="C3844" s="6">
        <v>72864</v>
      </c>
      <c r="D3844" s="7">
        <v>0.53</v>
      </c>
      <c r="E3844" t="s">
        <v>11</v>
      </c>
    </row>
    <row r="3845" spans="1:5" x14ac:dyDescent="0.25">
      <c r="A3845" t="str">
        <f>HYPERLINK("https://www.773grp.com/globalSearch/NL27WZ126US/page-1", "NL27WZ126US")</f>
        <v>NL27WZ126US</v>
      </c>
      <c r="B3845" s="3" t="str">
        <f>HYPERLINK("https://www.773grp.com/manufacturer/onsemi?pageNo=1148", "Onsemi")</f>
        <v>Onsemi</v>
      </c>
      <c r="C3845" s="6">
        <v>371105</v>
      </c>
      <c r="D3845" s="7">
        <v>0.53</v>
      </c>
      <c r="E3845" t="s">
        <v>11</v>
      </c>
    </row>
    <row r="3846" spans="1:5" x14ac:dyDescent="0.25">
      <c r="A3846" t="str">
        <f>HYPERLINK("https://www.773grp.com/globalSearch/NL27WZ14DFT2/page-1", "NL27WZ14DFT2")</f>
        <v>NL27WZ14DFT2</v>
      </c>
      <c r="B3846" s="3" t="str">
        <f>HYPERLINK("https://www.773grp.com/manufacturer/onsemi?pageNo=1149", "Onsemi")</f>
        <v>Onsemi</v>
      </c>
      <c r="C3846" s="6">
        <v>87991</v>
      </c>
      <c r="D3846" s="7">
        <v>0.53</v>
      </c>
      <c r="E3846" t="s">
        <v>27</v>
      </c>
    </row>
    <row r="3847" spans="1:5" x14ac:dyDescent="0.25">
      <c r="A3847" t="str">
        <f>HYPERLINK("https://www.773grp.com/globalSearch/NL27WZ16DFT2/page-1", "NL27WZ16DFT2")</f>
        <v>NL27WZ16DFT2</v>
      </c>
      <c r="B3847" s="3" t="str">
        <f>HYPERLINK("https://www.773grp.com/manufacturer/onsemi?pageNo=1150", "Onsemi")</f>
        <v>Onsemi</v>
      </c>
      <c r="C3847" s="6">
        <v>93838</v>
      </c>
      <c r="D3847" s="7">
        <v>0.53</v>
      </c>
      <c r="E3847" t="s">
        <v>27</v>
      </c>
    </row>
    <row r="3848" spans="1:5" x14ac:dyDescent="0.25">
      <c r="A3848" t="str">
        <f>HYPERLINK("https://www.773grp.com/globalSearch/NL27WZ16DTT1/page-1", "NL27WZ16DTT1")</f>
        <v>NL27WZ16DTT1</v>
      </c>
      <c r="B3848" s="3" t="str">
        <f>HYPERLINK("https://www.773grp.com/manufacturer/onsemi?pageNo=1151", "Onsemi")</f>
        <v>Onsemi</v>
      </c>
      <c r="C3848" s="6">
        <v>2362</v>
      </c>
      <c r="D3848" s="7">
        <v>0.53</v>
      </c>
      <c r="E3848" t="s">
        <v>27</v>
      </c>
    </row>
    <row r="3849" spans="1:5" x14ac:dyDescent="0.25">
      <c r="A3849" t="str">
        <f>HYPERLINK("https://www.773grp.com/globalSearch/NL27WZ17DFT2/page-1", "NL27WZ17DFT2")</f>
        <v>NL27WZ17DFT2</v>
      </c>
      <c r="B3849" s="3" t="str">
        <f>HYPERLINK("https://www.773grp.com/manufacturer/onsemi?pageNo=1152", "Onsemi")</f>
        <v>Onsemi</v>
      </c>
      <c r="C3849" s="6">
        <v>81000</v>
      </c>
      <c r="D3849" s="7">
        <v>0.53</v>
      </c>
      <c r="E3849" t="s">
        <v>27</v>
      </c>
    </row>
    <row r="3850" spans="1:5" x14ac:dyDescent="0.25">
      <c r="A3850" t="str">
        <f>HYPERLINK("https://www.773grp.com/globalSearch/NL27WZ32US/page-1", "NL27WZ32US")</f>
        <v>NL27WZ32US</v>
      </c>
      <c r="B3850" s="3" t="str">
        <f>HYPERLINK("https://www.773grp.com/manufacturer/onsemi?pageNo=1153", "Onsemi")</f>
        <v>Onsemi</v>
      </c>
      <c r="C3850" s="6">
        <v>641655</v>
      </c>
      <c r="D3850" s="7">
        <v>0.53</v>
      </c>
      <c r="E3850" t="s">
        <v>27</v>
      </c>
    </row>
    <row r="3851" spans="1:5" x14ac:dyDescent="0.25">
      <c r="A3851" t="str">
        <f>HYPERLINK("https://www.773grp.com/globalSearch/NL27WZ86US/page-1", "NL27WZ86US")</f>
        <v>NL27WZ86US</v>
      </c>
      <c r="B3851" s="3" t="str">
        <f>HYPERLINK("https://www.773grp.com/manufacturer/onsemi?pageNo=1154", "Onsemi")</f>
        <v>Onsemi</v>
      </c>
      <c r="C3851" s="6">
        <v>20805</v>
      </c>
      <c r="D3851" s="7">
        <v>0.53</v>
      </c>
      <c r="E3851" t="s">
        <v>27</v>
      </c>
    </row>
    <row r="3852" spans="1:5" x14ac:dyDescent="0.25">
      <c r="A3852" t="str">
        <f>HYPERLINK("https://www.773grp.com/globalSearch/NL7SZ18DFT2/page-1", "NL7SZ18DFT2")</f>
        <v>NL7SZ18DFT2</v>
      </c>
      <c r="B3852" s="3" t="str">
        <f>HYPERLINK("https://www.773grp.com/manufacturer/onsemi?pageNo=1155", "Onsemi")</f>
        <v>Onsemi</v>
      </c>
      <c r="C3852" s="6">
        <v>50350</v>
      </c>
      <c r="D3852" s="7">
        <v>0.53</v>
      </c>
      <c r="E3852" t="s">
        <v>32</v>
      </c>
    </row>
    <row r="3853" spans="1:5" x14ac:dyDescent="0.25">
      <c r="A3853" t="str">
        <f>HYPERLINK("https://www.773grp.com/globalSearch/NL7SZ19DFT2/page-1", "NL7SZ19DFT2")</f>
        <v>NL7SZ19DFT2</v>
      </c>
      <c r="B3853" s="3" t="str">
        <f>HYPERLINK("https://www.773grp.com/manufacturer/onsemi?pageNo=1156", "Onsemi")</f>
        <v>Onsemi</v>
      </c>
      <c r="C3853" s="6">
        <v>8874</v>
      </c>
      <c r="D3853" s="7">
        <v>0.53</v>
      </c>
      <c r="E3853" t="s">
        <v>32</v>
      </c>
    </row>
    <row r="3854" spans="1:5" x14ac:dyDescent="0.25">
      <c r="A3854" t="str">
        <f>HYPERLINK("https://www.773grp.com/globalSearch/NLAS4501DFT2/page-1", "NLAS4501DFT2")</f>
        <v>NLAS4501DFT2</v>
      </c>
      <c r="B3854" s="3" t="str">
        <f>HYPERLINK("https://www.773grp.com/manufacturer/onsemi?pageNo=1157", "Onsemi")</f>
        <v>Onsemi</v>
      </c>
      <c r="C3854" s="6">
        <v>33000</v>
      </c>
      <c r="D3854" s="7">
        <v>0.53</v>
      </c>
      <c r="E3854" t="s">
        <v>46</v>
      </c>
    </row>
    <row r="3855" spans="1:5" x14ac:dyDescent="0.25">
      <c r="A3855" t="str">
        <f>HYPERLINK("https://www.773grp.com/globalSearch/NLAS4501DFT2G/page-1", "NLAS4501DFT2G")</f>
        <v>NLAS4501DFT2G</v>
      </c>
      <c r="B3855" s="3" t="str">
        <f>HYPERLINK("https://www.773grp.com/manufacturer/onsemi?pageNo=1158", "Onsemi")</f>
        <v>Onsemi</v>
      </c>
      <c r="C3855" s="6">
        <v>6000</v>
      </c>
      <c r="D3855" s="7">
        <v>0.53</v>
      </c>
      <c r="E3855" t="s">
        <v>46</v>
      </c>
    </row>
    <row r="3856" spans="1:5" x14ac:dyDescent="0.25">
      <c r="A3856" t="str">
        <f>HYPERLINK("https://www.773grp.com/globalSearch/NLAS4599DFT2G/page-1", "NLAS4599DFT2G")</f>
        <v>NLAS4599DFT2G</v>
      </c>
      <c r="B3856" s="3" t="str">
        <f>HYPERLINK("https://www.773grp.com/manufacturer/onsemi?pageNo=1159", "Onsemi")</f>
        <v>Onsemi</v>
      </c>
      <c r="C3856" s="6">
        <v>10587</v>
      </c>
      <c r="D3856" s="7">
        <v>0.53</v>
      </c>
      <c r="E3856" t="s">
        <v>46</v>
      </c>
    </row>
    <row r="3857" spans="1:5" x14ac:dyDescent="0.25">
      <c r="A3857" t="str">
        <f>HYPERLINK("https://www.773grp.com/globalSearch/NLAS4599DTT1G/page-1", "NLAS4599DTT1G")</f>
        <v>NLAS4599DTT1G</v>
      </c>
      <c r="B3857" s="3" t="str">
        <f>HYPERLINK("https://www.773grp.com/manufacturer/onsemi?pageNo=1160", "Onsemi")</f>
        <v>Onsemi</v>
      </c>
      <c r="C3857" s="6">
        <v>140550</v>
      </c>
      <c r="D3857" s="7">
        <v>0.53</v>
      </c>
      <c r="E3857" t="s">
        <v>46</v>
      </c>
    </row>
    <row r="3858" spans="1:5" x14ac:dyDescent="0.25">
      <c r="A3858" t="str">
        <f>HYPERLINK("https://www.773grp.com/globalSearch/NLASB3157DFT2/page-1", "NLASB3157DFT2")</f>
        <v>NLASB3157DFT2</v>
      </c>
      <c r="B3858" s="3" t="str">
        <f>HYPERLINK("https://www.773grp.com/manufacturer/onsemi?pageNo=1161", "Onsemi")</f>
        <v>Onsemi</v>
      </c>
      <c r="C3858" s="6">
        <v>77842</v>
      </c>
      <c r="D3858" s="7">
        <v>0.53</v>
      </c>
      <c r="E3858" t="s">
        <v>46</v>
      </c>
    </row>
    <row r="3859" spans="1:5" x14ac:dyDescent="0.25">
      <c r="A3859" t="str">
        <f>HYPERLINK("https://www.773grp.com/globalSearch/NLAST4501DFT/page-1", "NLAST4501DFT")</f>
        <v>NLAST4501DFT</v>
      </c>
      <c r="B3859" s="3" t="str">
        <f>HYPERLINK("https://www.773grp.com/manufacturer/onsemi?pageNo=1162", "Onsemi")</f>
        <v>Onsemi</v>
      </c>
      <c r="C3859" s="6">
        <v>30000</v>
      </c>
      <c r="D3859" s="7">
        <v>0.53</v>
      </c>
    </row>
    <row r="3860" spans="1:5" x14ac:dyDescent="0.25">
      <c r="A3860" t="str">
        <f>HYPERLINK("https://www.773grp.com/globalSearch/NLAST4501DFT2/page-1", "NLAST4501DFT2")</f>
        <v>NLAST4501DFT2</v>
      </c>
      <c r="B3860" s="3" t="str">
        <f>HYPERLINK("https://www.773grp.com/manufacturer/onsemi?pageNo=1163", "Onsemi")</f>
        <v>Onsemi</v>
      </c>
      <c r="C3860" s="6">
        <v>61000</v>
      </c>
      <c r="D3860" s="7">
        <v>0.53</v>
      </c>
      <c r="E3860" t="s">
        <v>46</v>
      </c>
    </row>
    <row r="3861" spans="1:5" x14ac:dyDescent="0.25">
      <c r="A3861" t="str">
        <f>HYPERLINK("https://www.773grp.com/globalSearch/NLAST4599DFT2/page-1", "NLAST4599DFT2")</f>
        <v>NLAST4599DFT2</v>
      </c>
      <c r="B3861" s="3" t="str">
        <f>HYPERLINK("https://www.773grp.com/manufacturer/onsemi?pageNo=1164", "Onsemi")</f>
        <v>Onsemi</v>
      </c>
      <c r="C3861" s="6">
        <v>3057</v>
      </c>
      <c r="D3861" s="7">
        <v>0.53</v>
      </c>
      <c r="E3861" t="s">
        <v>46</v>
      </c>
    </row>
    <row r="3862" spans="1:5" x14ac:dyDescent="0.25">
      <c r="A3862" t="str">
        <f>HYPERLINK("https://www.773grp.com/globalSearch/NLAST4599DFT2G/page-1", "NLAST4599DFT2G")</f>
        <v>NLAST4599DFT2G</v>
      </c>
      <c r="B3862" s="3" t="str">
        <f>HYPERLINK("https://www.773grp.com/manufacturer/onsemi?pageNo=1165", "Onsemi")</f>
        <v>Onsemi</v>
      </c>
      <c r="C3862" s="6">
        <v>44325</v>
      </c>
      <c r="D3862" s="7">
        <v>0.53</v>
      </c>
      <c r="E3862" t="s">
        <v>46</v>
      </c>
    </row>
    <row r="3863" spans="1:5" x14ac:dyDescent="0.25">
      <c r="A3863" t="str">
        <f>HYPERLINK("https://www.773grp.com/globalSearch/NLAST4599DTT1G/page-1", "NLAST4599DTT1G")</f>
        <v>NLAST4599DTT1G</v>
      </c>
      <c r="B3863" s="3" t="str">
        <f>HYPERLINK("https://www.773grp.com/manufacturer/onsemi?pageNo=1166", "Onsemi")</f>
        <v>Onsemi</v>
      </c>
      <c r="C3863" s="6">
        <v>349</v>
      </c>
      <c r="D3863" s="7">
        <v>0.53</v>
      </c>
    </row>
    <row r="3864" spans="1:5" x14ac:dyDescent="0.25">
      <c r="A3864" t="str">
        <f>HYPERLINK("https://www.773grp.com/globalSearch/NLV17SZ125DFT2G/page-1", "NLV17SZ125DFT2G")</f>
        <v>NLV17SZ125DFT2G</v>
      </c>
      <c r="B3864" s="3" t="str">
        <f>HYPERLINK("https://www.773grp.com/manufacturer/onsemi?pageNo=1167", "Onsemi")</f>
        <v>Onsemi</v>
      </c>
      <c r="C3864" s="6">
        <v>9000</v>
      </c>
      <c r="D3864" s="7">
        <v>0.53</v>
      </c>
    </row>
    <row r="3865" spans="1:5" x14ac:dyDescent="0.25">
      <c r="A3865" t="str">
        <f>HYPERLINK("https://www.773grp.com/globalSearch/NLV17SZU04DFT2G/page-1", "NLV17SZU04DFT2G")</f>
        <v>NLV17SZU04DFT2G</v>
      </c>
      <c r="B3865" s="3" t="str">
        <f>HYPERLINK("https://www.773grp.com/manufacturer/onsemi?pageNo=1168", "Onsemi")</f>
        <v>Onsemi</v>
      </c>
      <c r="C3865" s="6">
        <v>59975</v>
      </c>
      <c r="D3865" s="7">
        <v>0.53</v>
      </c>
    </row>
    <row r="3866" spans="1:5" x14ac:dyDescent="0.25">
      <c r="A3866" t="str">
        <f>HYPERLINK("https://www.773grp.com/globalSearch/NLV74HC00ADTR2G/page-1", "NLV74HC00ADTR2G")</f>
        <v>NLV74HC00ADTR2G</v>
      </c>
      <c r="B3866" s="3" t="str">
        <f>HYPERLINK("https://www.773grp.com/manufacturer/onsemi?pageNo=1169", "Onsemi")</f>
        <v>Onsemi</v>
      </c>
      <c r="C3866" s="6">
        <v>385015</v>
      </c>
      <c r="D3866" s="7">
        <v>0.53</v>
      </c>
    </row>
    <row r="3867" spans="1:5" x14ac:dyDescent="0.25">
      <c r="A3867" t="str">
        <f>HYPERLINK("https://www.773grp.com/globalSearch/NLVAS4599DFT2/page-1", "NLVAS4599DFT2")</f>
        <v>NLVAS4599DFT2</v>
      </c>
      <c r="B3867" s="3" t="str">
        <f>HYPERLINK("https://www.773grp.com/manufacturer/onsemi?pageNo=1170", "Onsemi")</f>
        <v>Onsemi</v>
      </c>
      <c r="C3867" s="6">
        <v>27000</v>
      </c>
      <c r="D3867" s="7">
        <v>0.53</v>
      </c>
      <c r="E3867" t="s">
        <v>46</v>
      </c>
    </row>
    <row r="3868" spans="1:5" x14ac:dyDescent="0.25">
      <c r="A3868" t="str">
        <f>HYPERLINK("https://www.773grp.com/globalSearch/NLVAS4599DFT2G/page-1", "NLVAS4599DFT2G")</f>
        <v>NLVAS4599DFT2G</v>
      </c>
      <c r="B3868" s="3" t="str">
        <f>HYPERLINK("https://www.773grp.com/manufacturer/onsemi?pageNo=1171", "Onsemi")</f>
        <v>Onsemi</v>
      </c>
      <c r="C3868" s="6">
        <v>6000</v>
      </c>
      <c r="D3868" s="7">
        <v>0.53</v>
      </c>
      <c r="E3868" t="s">
        <v>46</v>
      </c>
    </row>
    <row r="3869" spans="1:5" x14ac:dyDescent="0.25">
      <c r="A3869" t="str">
        <f>HYPERLINK("https://www.773grp.com/globalSearch/NLVAS4599DTT1G/page-1", "NLVAS4599DTT1G")</f>
        <v>NLVAS4599DTT1G</v>
      </c>
      <c r="B3869" s="3" t="str">
        <f>HYPERLINK("https://www.773grp.com/manufacturer/onsemi?pageNo=1172", "Onsemi")</f>
        <v>Onsemi</v>
      </c>
      <c r="C3869" s="6">
        <v>24000</v>
      </c>
      <c r="D3869" s="7">
        <v>0.53</v>
      </c>
      <c r="E3869" t="s">
        <v>46</v>
      </c>
    </row>
    <row r="3870" spans="1:5" x14ac:dyDescent="0.25">
      <c r="A3870" t="str">
        <f>HYPERLINK("https://www.773grp.com/globalSearch/NLVVHC1G08DFT2G/page-1", "NLVVHC1G08DFT2G")</f>
        <v>NLVVHC1G08DFT2G</v>
      </c>
      <c r="B3870" s="3" t="str">
        <f>HYPERLINK("https://www.773grp.com/manufacturer/onsemi?pageNo=1173", "Onsemi")</f>
        <v>Onsemi</v>
      </c>
      <c r="C3870" s="6">
        <v>75000</v>
      </c>
      <c r="D3870" s="7">
        <v>0.53</v>
      </c>
    </row>
    <row r="3871" spans="1:5" x14ac:dyDescent="0.25">
      <c r="A3871" t="str">
        <f>HYPERLINK("https://www.773grp.com/globalSearch/NLVVHC1GT125DF1G/page-1", "NLVVHC1GT125DF1G")</f>
        <v>NLVVHC1GT125DF1G</v>
      </c>
      <c r="B3871" s="3" t="str">
        <f>HYPERLINK("https://www.773grp.com/manufacturer/onsemi?pageNo=1174", "Onsemi")</f>
        <v>Onsemi</v>
      </c>
      <c r="C3871" s="6">
        <v>37800</v>
      </c>
      <c r="D3871" s="7">
        <v>0.53</v>
      </c>
    </row>
    <row r="3872" spans="1:5" x14ac:dyDescent="0.25">
      <c r="A3872" t="str">
        <f>HYPERLINK("https://www.773grp.com/globalSearch/NLVVHC1GT126DF1G/page-1", "NLVVHC1GT126DF1G")</f>
        <v>NLVVHC1GT126DF1G</v>
      </c>
      <c r="B3872" s="3" t="str">
        <f>HYPERLINK("https://www.773grp.com/manufacturer/onsemi?pageNo=1175", "Onsemi")</f>
        <v>Onsemi</v>
      </c>
      <c r="C3872" s="6">
        <v>3000</v>
      </c>
      <c r="D3872" s="7">
        <v>0.53</v>
      </c>
    </row>
    <row r="3873" spans="1:5" x14ac:dyDescent="0.25">
      <c r="A3873" t="str">
        <f>HYPERLINK("https://www.773grp.com/globalSearch/NLVVHC1GT50DFT1G/page-1", "NLVVHC1GT50DFT1G")</f>
        <v>NLVVHC1GT50DFT1G</v>
      </c>
      <c r="B3873" s="3" t="str">
        <f>HYPERLINK("https://www.773grp.com/manufacturer/onsemi?pageNo=1176", "Onsemi")</f>
        <v>Onsemi</v>
      </c>
      <c r="C3873" s="6">
        <v>3000</v>
      </c>
      <c r="D3873" s="7">
        <v>0.53</v>
      </c>
    </row>
    <row r="3874" spans="1:5" x14ac:dyDescent="0.25">
      <c r="A3874" t="str">
        <f>HYPERLINK("https://www.773grp.com/globalSearch/NLX1G99BMX1TCG/page-1", "NLX1G99BMX1TCG")</f>
        <v>NLX1G99BMX1TCG</v>
      </c>
      <c r="B3874" s="3" t="str">
        <f>HYPERLINK("https://www.773grp.com/manufacturer/onsemi?pageNo=1177", "Onsemi")</f>
        <v>Onsemi</v>
      </c>
      <c r="C3874" s="6">
        <v>69000</v>
      </c>
      <c r="D3874" s="7">
        <v>0.53</v>
      </c>
      <c r="E3874" t="s">
        <v>68</v>
      </c>
    </row>
    <row r="3875" spans="1:5" x14ac:dyDescent="0.25">
      <c r="A3875" t="str">
        <f>HYPERLINK("https://www.773grp.com/globalSearch/NP3100SAT3G/page-1", "NP3100SAT3G")</f>
        <v>NP3100SAT3G</v>
      </c>
      <c r="B3875" s="3" t="str">
        <f>HYPERLINK("https://www.773grp.com/manufacturer/onsemi?pageNo=1178", "Onsemi")</f>
        <v>Onsemi</v>
      </c>
      <c r="C3875" s="6">
        <v>218185</v>
      </c>
      <c r="D3875" s="7">
        <v>0.53</v>
      </c>
      <c r="E3875" t="s">
        <v>88</v>
      </c>
    </row>
    <row r="3876" spans="1:5" x14ac:dyDescent="0.25">
      <c r="A3876" t="str">
        <f>HYPERLINK("https://www.773grp.com/globalSearch/NRVBM130LT1G/page-1", "NRVBM130LT1G")</f>
        <v>NRVBM130LT1G</v>
      </c>
      <c r="B3876" s="3" t="str">
        <f>HYPERLINK("https://www.773grp.com/manufacturer/onsemi?pageNo=1179", "Onsemi")</f>
        <v>Onsemi</v>
      </c>
      <c r="C3876" s="6">
        <v>9000</v>
      </c>
      <c r="D3876" s="7">
        <v>0.53</v>
      </c>
    </row>
    <row r="3877" spans="1:5" x14ac:dyDescent="0.25">
      <c r="A3877" t="str">
        <f>HYPERLINK("https://www.773grp.com/globalSearch/NRVBM140T1G/page-1", "NRVBM140T1G")</f>
        <v>NRVBM140T1G</v>
      </c>
      <c r="B3877" s="3" t="str">
        <f>HYPERLINK("https://www.773grp.com/manufacturer/onsemi?pageNo=1180", "Onsemi")</f>
        <v>Onsemi</v>
      </c>
      <c r="C3877" s="6">
        <v>3000</v>
      </c>
      <c r="D3877" s="7">
        <v>0.53</v>
      </c>
    </row>
    <row r="3878" spans="1:5" x14ac:dyDescent="0.25">
      <c r="A3878" t="str">
        <f>HYPERLINK("https://www.773grp.com/globalSearch/NSL12AWT1/page-1", "NSL12AWT1")</f>
        <v>NSL12AWT1</v>
      </c>
      <c r="B3878" s="3" t="str">
        <f>HYPERLINK("https://www.773grp.com/manufacturer/onsemi?pageNo=1181", "Onsemi")</f>
        <v>Onsemi</v>
      </c>
      <c r="C3878" s="6">
        <v>89695</v>
      </c>
      <c r="D3878" s="7">
        <v>0.53</v>
      </c>
      <c r="E3878" t="s">
        <v>57</v>
      </c>
    </row>
    <row r="3879" spans="1:5" x14ac:dyDescent="0.25">
      <c r="A3879" t="str">
        <f>HYPERLINK("https://www.773grp.com/globalSearch/NSS12100M3T5G/page-1", "NSS12100M3T5G")</f>
        <v>NSS12100M3T5G</v>
      </c>
      <c r="B3879" s="3" t="str">
        <f>HYPERLINK("https://www.773grp.com/manufacturer/onsemi?pageNo=1182", "Onsemi")</f>
        <v>Onsemi</v>
      </c>
      <c r="C3879" s="6">
        <v>8000</v>
      </c>
      <c r="D3879" s="7">
        <v>0.53</v>
      </c>
    </row>
    <row r="3880" spans="1:5" x14ac:dyDescent="0.25">
      <c r="A3880" t="str">
        <f>HYPERLINK("https://www.773grp.com/globalSearch/NSS12100XV6T1G/page-1", "NSS12100XV6T1G")</f>
        <v>NSS12100XV6T1G</v>
      </c>
      <c r="B3880" s="3" t="str">
        <f>HYPERLINK("https://www.773grp.com/manufacturer/onsemi?pageNo=1183", "Onsemi")</f>
        <v>Onsemi</v>
      </c>
      <c r="C3880" s="6">
        <v>756800</v>
      </c>
      <c r="D3880" s="7">
        <v>0.53</v>
      </c>
      <c r="E3880" t="s">
        <v>57</v>
      </c>
    </row>
    <row r="3881" spans="1:5" x14ac:dyDescent="0.25">
      <c r="A3881" t="str">
        <f>HYPERLINK("https://www.773grp.com/globalSearch/NSS12200LT1G/page-1", "NSS12200LT1G")</f>
        <v>NSS12200LT1G</v>
      </c>
      <c r="B3881" s="3" t="str">
        <f>HYPERLINK("https://www.773grp.com/manufacturer/onsemi?pageNo=1184", "Onsemi")</f>
        <v>Onsemi</v>
      </c>
      <c r="C3881" s="6">
        <v>3048000</v>
      </c>
      <c r="D3881" s="7">
        <v>0.53</v>
      </c>
      <c r="E3881" t="s">
        <v>57</v>
      </c>
    </row>
    <row r="3882" spans="1:5" x14ac:dyDescent="0.25">
      <c r="A3882" t="str">
        <f>HYPERLINK("https://www.773grp.com/globalSearch/NSS12201LT1G/page-1", "NSS12201LT1G")</f>
        <v>NSS12201LT1G</v>
      </c>
      <c r="B3882" s="3" t="str">
        <f>HYPERLINK("https://www.773grp.com/manufacturer/onsemi?pageNo=1185", "Onsemi")</f>
        <v>Onsemi</v>
      </c>
      <c r="C3882" s="6">
        <v>9000</v>
      </c>
      <c r="D3882" s="7">
        <v>0.53</v>
      </c>
      <c r="E3882" t="s">
        <v>57</v>
      </c>
    </row>
    <row r="3883" spans="1:5" x14ac:dyDescent="0.25">
      <c r="A3883" t="str">
        <f>HYPERLINK("https://www.773grp.com/globalSearch/NSS1C201LT1G/page-1", "NSS1C201LT1G")</f>
        <v>NSS1C201LT1G</v>
      </c>
      <c r="B3883" s="3" t="str">
        <f>HYPERLINK("https://www.773grp.com/manufacturer/onsemi?pageNo=1186", "Onsemi")</f>
        <v>Onsemi</v>
      </c>
      <c r="C3883" s="6">
        <v>210499</v>
      </c>
      <c r="D3883" s="7">
        <v>0.53</v>
      </c>
      <c r="E3883" t="s">
        <v>57</v>
      </c>
    </row>
    <row r="3884" spans="1:5" x14ac:dyDescent="0.25">
      <c r="A3884" t="str">
        <f>HYPERLINK("https://www.773grp.com/globalSearch/NSS20200LT1G/page-1", "NSS20200LT1G")</f>
        <v>NSS20200LT1G</v>
      </c>
      <c r="B3884" s="3" t="str">
        <f>HYPERLINK("https://www.773grp.com/manufacturer/onsemi?pageNo=1187", "Onsemi")</f>
        <v>Onsemi</v>
      </c>
      <c r="C3884" s="6">
        <v>279000</v>
      </c>
      <c r="D3884" s="7">
        <v>0.53</v>
      </c>
      <c r="E3884" t="s">
        <v>57</v>
      </c>
    </row>
    <row r="3885" spans="1:5" x14ac:dyDescent="0.25">
      <c r="A3885" t="str">
        <f>HYPERLINK("https://www.773grp.com/globalSearch/NSS20201LT1G/page-1", "NSS20201LT1G")</f>
        <v>NSS20201LT1G</v>
      </c>
      <c r="B3885" s="3" t="str">
        <f>HYPERLINK("https://www.773grp.com/manufacturer/onsemi?pageNo=1188", "Onsemi")</f>
        <v>Onsemi</v>
      </c>
      <c r="C3885" s="6">
        <v>162278</v>
      </c>
      <c r="D3885" s="7">
        <v>0.53</v>
      </c>
      <c r="E3885" t="s">
        <v>57</v>
      </c>
    </row>
    <row r="3886" spans="1:5" x14ac:dyDescent="0.25">
      <c r="A3886" t="str">
        <f>HYPERLINK("https://www.773grp.com/globalSearch/NSS30100LT1G/page-1", "NSS30100LT1G")</f>
        <v>NSS30100LT1G</v>
      </c>
      <c r="B3886" s="3" t="str">
        <f>HYPERLINK("https://www.773grp.com/manufacturer/onsemi?pageNo=1189", "Onsemi")</f>
        <v>Onsemi</v>
      </c>
      <c r="C3886" s="6">
        <v>8445</v>
      </c>
      <c r="D3886" s="7">
        <v>0.53</v>
      </c>
      <c r="E3886" t="s">
        <v>57</v>
      </c>
    </row>
    <row r="3887" spans="1:5" x14ac:dyDescent="0.25">
      <c r="A3887" t="str">
        <f>HYPERLINK("https://www.773grp.com/globalSearch/NSS30101LT1G/page-1", "NSS30101LT1G")</f>
        <v>NSS30101LT1G</v>
      </c>
      <c r="B3887" s="3" t="str">
        <f>HYPERLINK("https://www.773grp.com/manufacturer/onsemi?pageNo=1190", "Onsemi")</f>
        <v>Onsemi</v>
      </c>
      <c r="C3887" s="6">
        <v>571819</v>
      </c>
      <c r="D3887" s="7">
        <v>0.53</v>
      </c>
      <c r="E3887" t="s">
        <v>57</v>
      </c>
    </row>
    <row r="3888" spans="1:5" x14ac:dyDescent="0.25">
      <c r="A3888" t="str">
        <f>HYPERLINK("https://www.773grp.com/globalSearch/NSS40201LT1G/page-1", "NSS40201LT1G")</f>
        <v>NSS40201LT1G</v>
      </c>
      <c r="B3888" s="3" t="str">
        <f>HYPERLINK("https://www.773grp.com/manufacturer/onsemi?pageNo=1191", "Onsemi")</f>
        <v>Onsemi</v>
      </c>
      <c r="C3888" s="6">
        <v>31173</v>
      </c>
      <c r="D3888" s="7">
        <v>0.53</v>
      </c>
    </row>
    <row r="3889" spans="1:5" x14ac:dyDescent="0.25">
      <c r="A3889" t="str">
        <f>HYPERLINK("https://www.773grp.com/globalSearch/NST45010MW6T1G/page-1", "NST45010MW6T1G")</f>
        <v>NST45010MW6T1G</v>
      </c>
      <c r="B3889" s="3" t="str">
        <f>HYPERLINK("https://www.773grp.com/manufacturer/onsemi?pageNo=1192", "Onsemi")</f>
        <v>Onsemi</v>
      </c>
      <c r="C3889" s="6">
        <v>258000</v>
      </c>
      <c r="D3889" s="7">
        <v>0.53</v>
      </c>
    </row>
    <row r="3890" spans="1:5" x14ac:dyDescent="0.25">
      <c r="A3890" t="str">
        <f>HYPERLINK("https://www.773grp.com/globalSearch/NST45011MW6T1G/page-1", "NST45011MW6T1G")</f>
        <v>NST45011MW6T1G</v>
      </c>
      <c r="B3890" s="3" t="str">
        <f>HYPERLINK("https://www.773grp.com/manufacturer/onsemi?pageNo=1193", "Onsemi")</f>
        <v>Onsemi</v>
      </c>
      <c r="C3890" s="6">
        <v>9000</v>
      </c>
      <c r="D3890" s="7">
        <v>0.53</v>
      </c>
      <c r="E3890" t="s">
        <v>57</v>
      </c>
    </row>
    <row r="3891" spans="1:5" x14ac:dyDescent="0.25">
      <c r="A3891" t="str">
        <f>HYPERLINK("https://www.773grp.com/globalSearch/NST489AMT1G/page-1", "NST489AMT1G")</f>
        <v>NST489AMT1G</v>
      </c>
      <c r="B3891" s="3" t="str">
        <f>HYPERLINK("https://www.773grp.com/manufacturer/onsemi?pageNo=1194", "Onsemi")</f>
        <v>Onsemi</v>
      </c>
      <c r="C3891" s="6">
        <v>98636</v>
      </c>
      <c r="D3891" s="7">
        <v>0.53</v>
      </c>
      <c r="E3891" t="s">
        <v>57</v>
      </c>
    </row>
    <row r="3892" spans="1:5" x14ac:dyDescent="0.25">
      <c r="A3892" t="str">
        <f>HYPERLINK("https://www.773grp.com/globalSearch/NTA4153NT1G/page-1", "NTA4153NT1G")</f>
        <v>NTA4153NT1G</v>
      </c>
      <c r="B3892" s="3" t="str">
        <f>HYPERLINK("https://www.773grp.com/manufacturer/onsemi?pageNo=1195", "Onsemi")</f>
        <v>Onsemi</v>
      </c>
      <c r="C3892" s="6">
        <v>1590000</v>
      </c>
      <c r="D3892" s="7">
        <v>0.53</v>
      </c>
      <c r="E3892" t="s">
        <v>85</v>
      </c>
    </row>
    <row r="3893" spans="1:5" x14ac:dyDescent="0.25">
      <c r="A3893" t="str">
        <f>HYPERLINK("https://www.773grp.com/globalSearch/NTA4153NT1H/page-1", "NTA4153NT1H")</f>
        <v>NTA4153NT1H</v>
      </c>
      <c r="B3893" s="3" t="str">
        <f>HYPERLINK("https://www.773grp.com/manufacturer/onsemi?pageNo=1196", "Onsemi")</f>
        <v>Onsemi</v>
      </c>
      <c r="C3893" s="6">
        <v>57000</v>
      </c>
      <c r="D3893" s="7">
        <v>0.53</v>
      </c>
    </row>
    <row r="3894" spans="1:5" x14ac:dyDescent="0.25">
      <c r="A3894" t="str">
        <f>HYPERLINK("https://www.773grp.com/globalSearch/NTB23N03R/page-1", "NTB23N03R")</f>
        <v>NTB23N03R</v>
      </c>
      <c r="B3894" s="3" t="str">
        <f>HYPERLINK("https://www.773grp.com/manufacturer/onsemi?pageNo=1197", "Onsemi")</f>
        <v>Onsemi</v>
      </c>
      <c r="C3894" s="6">
        <v>8250</v>
      </c>
      <c r="D3894" s="7">
        <v>0.53</v>
      </c>
      <c r="E3894" t="s">
        <v>84</v>
      </c>
    </row>
    <row r="3895" spans="1:5" x14ac:dyDescent="0.25">
      <c r="A3895" t="str">
        <f>HYPERLINK("https://www.773grp.com/globalSearch/NTB23N03RG/page-1", "NTB23N03RG")</f>
        <v>NTB23N03RG</v>
      </c>
      <c r="B3895" s="3" t="str">
        <f>HYPERLINK("https://www.773grp.com/manufacturer/onsemi?pageNo=1198", "Onsemi")</f>
        <v>Onsemi</v>
      </c>
      <c r="C3895" s="6">
        <v>12350</v>
      </c>
      <c r="D3895" s="7">
        <v>0.53</v>
      </c>
      <c r="E3895" t="s">
        <v>84</v>
      </c>
    </row>
    <row r="3896" spans="1:5" x14ac:dyDescent="0.25">
      <c r="A3896" t="str">
        <f>HYPERLINK("https://www.773grp.com/globalSearch/NTB23N03RT4/page-1", "NTB23N03RT4")</f>
        <v>NTB23N03RT4</v>
      </c>
      <c r="B3896" s="3" t="str">
        <f>HYPERLINK("https://www.773grp.com/manufacturer/onsemi?pageNo=1199", "Onsemi")</f>
        <v>Onsemi</v>
      </c>
      <c r="C3896" s="6">
        <v>174372</v>
      </c>
      <c r="D3896" s="7">
        <v>0.53</v>
      </c>
      <c r="E3896" t="s">
        <v>84</v>
      </c>
    </row>
    <row r="3897" spans="1:5" x14ac:dyDescent="0.25">
      <c r="A3897" t="str">
        <f>HYPERLINK("https://www.773grp.com/globalSearch/NTD18N06-001/page-1", "NTD18N06-001")</f>
        <v>NTD18N06-001</v>
      </c>
      <c r="B3897" s="3" t="str">
        <f>HYPERLINK("https://www.773grp.com/manufacturer/onsemi?pageNo=1200", "Onsemi")</f>
        <v>Onsemi</v>
      </c>
      <c r="C3897" s="6">
        <v>1800</v>
      </c>
      <c r="D3897" s="7">
        <v>0.53</v>
      </c>
    </row>
    <row r="3898" spans="1:5" x14ac:dyDescent="0.25">
      <c r="A3898" t="str">
        <f>HYPERLINK("https://www.773grp.com/globalSearch/NTD18N06-1G/page-1", "NTD18N06-1G")</f>
        <v>NTD18N06-1G</v>
      </c>
      <c r="B3898" s="3" t="str">
        <f>HYPERLINK("https://www.773grp.com/manufacturer/onsemi?pageNo=1201", "Onsemi")</f>
        <v>Onsemi</v>
      </c>
      <c r="C3898" s="6">
        <v>2765</v>
      </c>
      <c r="D3898" s="7">
        <v>0.53</v>
      </c>
      <c r="E3898" t="s">
        <v>84</v>
      </c>
    </row>
    <row r="3899" spans="1:5" x14ac:dyDescent="0.25">
      <c r="A3899" t="str">
        <f>HYPERLINK("https://www.773grp.com/globalSearch/NTD2955-001/page-1", "NTD2955-001")</f>
        <v>NTD2955-001</v>
      </c>
      <c r="B3899" s="3" t="str">
        <f>HYPERLINK("https://www.773grp.com/manufacturer/onsemi?pageNo=1202", "Onsemi")</f>
        <v>Onsemi</v>
      </c>
      <c r="C3899" s="6">
        <v>175</v>
      </c>
      <c r="D3899" s="7">
        <v>0.53</v>
      </c>
      <c r="E3899" t="s">
        <v>84</v>
      </c>
    </row>
    <row r="3900" spans="1:5" x14ac:dyDescent="0.25">
      <c r="A3900" t="str">
        <f>HYPERLINK("https://www.773grp.com/globalSearch/NTD4810NH-1G/page-1", "NTD4810NH-1G")</f>
        <v>NTD4810NH-1G</v>
      </c>
      <c r="B3900" s="3" t="str">
        <f>HYPERLINK("https://www.773grp.com/manufacturer/onsemi?pageNo=1203", "Onsemi")</f>
        <v>Onsemi</v>
      </c>
      <c r="C3900" s="6">
        <v>3665</v>
      </c>
      <c r="D3900" s="7">
        <v>0.53</v>
      </c>
      <c r="E3900" t="s">
        <v>84</v>
      </c>
    </row>
    <row r="3901" spans="1:5" x14ac:dyDescent="0.25">
      <c r="A3901" t="str">
        <f>HYPERLINK("https://www.773grp.com/globalSearch/NTD4960N-1G/page-1", "NTD4960N-1G")</f>
        <v>NTD4960N-1G</v>
      </c>
      <c r="B3901" s="3" t="str">
        <f>HYPERLINK("https://www.773grp.com/manufacturer/onsemi?pageNo=1204", "Onsemi")</f>
        <v>Onsemi</v>
      </c>
      <c r="C3901" s="6">
        <v>225</v>
      </c>
      <c r="D3901" s="7">
        <v>0.53</v>
      </c>
    </row>
    <row r="3902" spans="1:5" x14ac:dyDescent="0.25">
      <c r="A3902" t="str">
        <f>HYPERLINK("https://www.773grp.com/globalSearch/NTD4960N-35G/page-1", "NTD4960N-35G")</f>
        <v>NTD4960N-35G</v>
      </c>
      <c r="B3902" s="3" t="str">
        <f>HYPERLINK("https://www.773grp.com/manufacturer/onsemi?pageNo=1205", "Onsemi")</f>
        <v>Onsemi</v>
      </c>
      <c r="C3902" s="6">
        <v>2100</v>
      </c>
      <c r="D3902" s="7">
        <v>0.53</v>
      </c>
    </row>
    <row r="3903" spans="1:5" x14ac:dyDescent="0.25">
      <c r="A3903" t="str">
        <f>HYPERLINK("https://www.773grp.com/globalSearch/NTD4963N-1G/page-1", "NTD4963N-1G")</f>
        <v>NTD4963N-1G</v>
      </c>
      <c r="B3903" s="3" t="str">
        <f>HYPERLINK("https://www.773grp.com/manufacturer/onsemi?pageNo=1206", "Onsemi")</f>
        <v>Onsemi</v>
      </c>
      <c r="C3903" s="6">
        <v>4232</v>
      </c>
      <c r="D3903" s="7">
        <v>0.53</v>
      </c>
    </row>
    <row r="3904" spans="1:5" x14ac:dyDescent="0.25">
      <c r="A3904" t="str">
        <f>HYPERLINK("https://www.773grp.com/globalSearch/NTD65N03R-1G/page-1", "NTD65N03R-1G")</f>
        <v>NTD65N03R-1G</v>
      </c>
      <c r="B3904" s="3" t="str">
        <f>HYPERLINK("https://www.773grp.com/manufacturer/onsemi?pageNo=1207", "Onsemi")</f>
        <v>Onsemi</v>
      </c>
      <c r="C3904" s="6">
        <v>5911</v>
      </c>
      <c r="D3904" s="7">
        <v>0.53</v>
      </c>
      <c r="E3904" t="s">
        <v>84</v>
      </c>
    </row>
    <row r="3905" spans="1:5" x14ac:dyDescent="0.25">
      <c r="A3905" t="str">
        <f>HYPERLINK("https://www.773grp.com/globalSearch/NTD65N03R-35G/page-1", "NTD65N03R-35G")</f>
        <v>NTD65N03R-35G</v>
      </c>
      <c r="B3905" s="3" t="str">
        <f>HYPERLINK("https://www.773grp.com/manufacturer/onsemi?pageNo=1208", "Onsemi")</f>
        <v>Onsemi</v>
      </c>
      <c r="C3905" s="6">
        <v>527038</v>
      </c>
      <c r="D3905" s="7">
        <v>0.53</v>
      </c>
      <c r="E3905" t="s">
        <v>84</v>
      </c>
    </row>
    <row r="3906" spans="1:5" x14ac:dyDescent="0.25">
      <c r="A3906" t="str">
        <f>HYPERLINK("https://www.773grp.com/globalSearch/NTD65N03RG/page-1", "NTD65N03RG")</f>
        <v>NTD65N03RG</v>
      </c>
      <c r="B3906" s="3" t="str">
        <f>HYPERLINK("https://www.773grp.com/manufacturer/onsemi?pageNo=1209", "Onsemi")</f>
        <v>Onsemi</v>
      </c>
      <c r="C3906" s="6">
        <v>3564</v>
      </c>
      <c r="D3906" s="7">
        <v>0.53</v>
      </c>
      <c r="E3906" t="s">
        <v>84</v>
      </c>
    </row>
    <row r="3907" spans="1:5" x14ac:dyDescent="0.25">
      <c r="A3907" t="str">
        <f>HYPERLINK("https://www.773grp.com/globalSearch/NTD70N03R/page-1", "NTD70N03R")</f>
        <v>NTD70N03R</v>
      </c>
      <c r="B3907" s="3" t="str">
        <f>HYPERLINK("https://www.773grp.com/manufacturer/onsemi?pageNo=1210", "Onsemi")</f>
        <v>Onsemi</v>
      </c>
      <c r="C3907" s="6">
        <v>106300</v>
      </c>
      <c r="D3907" s="7">
        <v>0.53</v>
      </c>
      <c r="E3907" t="s">
        <v>84</v>
      </c>
    </row>
    <row r="3908" spans="1:5" x14ac:dyDescent="0.25">
      <c r="A3908" t="str">
        <f>HYPERLINK("https://www.773grp.com/globalSearch/NTD70N03R-001/page-1", "NTD70N03R-001")</f>
        <v>NTD70N03R-001</v>
      </c>
      <c r="B3908" s="3" t="str">
        <f>HYPERLINK("https://www.773grp.com/manufacturer/onsemi?pageNo=1211", "Onsemi")</f>
        <v>Onsemi</v>
      </c>
      <c r="C3908" s="6">
        <v>4541</v>
      </c>
      <c r="D3908" s="7">
        <v>0.53</v>
      </c>
      <c r="E3908" t="s">
        <v>84</v>
      </c>
    </row>
    <row r="3909" spans="1:5" x14ac:dyDescent="0.25">
      <c r="A3909" t="str">
        <f>HYPERLINK("https://www.773grp.com/globalSearch/NTD70N03R-1/page-1", "NTD70N03R-1")</f>
        <v>NTD70N03R-1</v>
      </c>
      <c r="B3909" s="3" t="str">
        <f>HYPERLINK("https://www.773grp.com/manufacturer/onsemi?pageNo=1212", "Onsemi")</f>
        <v>Onsemi</v>
      </c>
      <c r="C3909" s="6">
        <v>10125</v>
      </c>
      <c r="D3909" s="7">
        <v>0.53</v>
      </c>
      <c r="E3909" t="s">
        <v>84</v>
      </c>
    </row>
    <row r="3910" spans="1:5" x14ac:dyDescent="0.25">
      <c r="A3910" t="str">
        <f>HYPERLINK("https://www.773grp.com/globalSearch/NTGS4111PT2G/page-1", "NTGS4111PT2G")</f>
        <v>NTGS4111PT2G</v>
      </c>
      <c r="B3910" s="3" t="str">
        <f>HYPERLINK("https://www.773grp.com/manufacturer/onsemi?pageNo=1213", "Onsemi")</f>
        <v>Onsemi</v>
      </c>
      <c r="C3910" s="6">
        <v>4340</v>
      </c>
      <c r="D3910" s="7">
        <v>0.53</v>
      </c>
    </row>
    <row r="3911" spans="1:5" x14ac:dyDescent="0.25">
      <c r="A3911" t="str">
        <f>HYPERLINK("https://www.773grp.com/globalSearch/NTHD2102PT1/page-1", "NTHD2102PT1")</f>
        <v>NTHD2102PT1</v>
      </c>
      <c r="B3911" s="3" t="str">
        <f>HYPERLINK("https://www.773grp.com/manufacturer/onsemi?pageNo=1214", "Onsemi")</f>
        <v>Onsemi</v>
      </c>
      <c r="C3911" s="6">
        <v>2090757</v>
      </c>
      <c r="D3911" s="7">
        <v>0.53</v>
      </c>
      <c r="E3911" t="s">
        <v>84</v>
      </c>
    </row>
    <row r="3912" spans="1:5" x14ac:dyDescent="0.25">
      <c r="A3912" t="str">
        <f>HYPERLINK("https://www.773grp.com/globalSearch/NTHD4502NT1/page-1", "NTHD4502NT1")</f>
        <v>NTHD4502NT1</v>
      </c>
      <c r="B3912" s="3" t="str">
        <f>HYPERLINK("https://www.773grp.com/manufacturer/onsemi?pageNo=1215", "Onsemi")</f>
        <v>Onsemi</v>
      </c>
      <c r="C3912" s="6">
        <v>386975</v>
      </c>
      <c r="D3912" s="7">
        <v>0.53</v>
      </c>
      <c r="E3912" t="s">
        <v>85</v>
      </c>
    </row>
    <row r="3913" spans="1:5" x14ac:dyDescent="0.25">
      <c r="A3913" t="str">
        <f>HYPERLINK("https://www.773grp.com/globalSearch/NTHD5903T1/page-1", "NTHD5903T1")</f>
        <v>NTHD5903T1</v>
      </c>
      <c r="B3913" s="3" t="str">
        <f>HYPERLINK("https://www.773grp.com/manufacturer/onsemi?pageNo=1216", "Onsemi")</f>
        <v>Onsemi</v>
      </c>
      <c r="C3913" s="6">
        <v>835</v>
      </c>
      <c r="D3913" s="7">
        <v>0.53</v>
      </c>
      <c r="E3913" t="s">
        <v>85</v>
      </c>
    </row>
    <row r="3914" spans="1:5" x14ac:dyDescent="0.25">
      <c r="A3914" t="str">
        <f>HYPERLINK("https://www.773grp.com/globalSearch/NTHS4501NT1/page-1", "NTHS4501NT1")</f>
        <v>NTHS4501NT1</v>
      </c>
      <c r="B3914" s="3" t="str">
        <f>HYPERLINK("https://www.773grp.com/manufacturer/onsemi?pageNo=1217", "Onsemi")</f>
        <v>Onsemi</v>
      </c>
      <c r="C3914" s="6">
        <v>3000</v>
      </c>
      <c r="D3914" s="7">
        <v>0.53</v>
      </c>
      <c r="E3914" t="s">
        <v>85</v>
      </c>
    </row>
    <row r="3915" spans="1:5" x14ac:dyDescent="0.25">
      <c r="A3915" t="str">
        <f>HYPERLINK("https://www.773grp.com/globalSearch/NTHS5404T1/page-1", "NTHS5404T1")</f>
        <v>NTHS5404T1</v>
      </c>
      <c r="B3915" s="3" t="str">
        <f>HYPERLINK("https://www.773grp.com/manufacturer/onsemi?pageNo=1218", "Onsemi")</f>
        <v>Onsemi</v>
      </c>
      <c r="C3915" s="6">
        <v>26169</v>
      </c>
      <c r="D3915" s="7">
        <v>0.53</v>
      </c>
      <c r="E3915" t="s">
        <v>85</v>
      </c>
    </row>
    <row r="3916" spans="1:5" x14ac:dyDescent="0.25">
      <c r="A3916" t="str">
        <f>HYPERLINK("https://www.773grp.com/globalSearch/NTHS5441T1/page-1", "NTHS5441T1")</f>
        <v>NTHS5441T1</v>
      </c>
      <c r="B3916" s="3" t="str">
        <f>HYPERLINK("https://www.773grp.com/manufacturer/onsemi?pageNo=1219", "Onsemi")</f>
        <v>Onsemi</v>
      </c>
      <c r="C3916" s="6">
        <v>65812</v>
      </c>
      <c r="D3916" s="7">
        <v>0.53</v>
      </c>
      <c r="E3916" t="s">
        <v>85</v>
      </c>
    </row>
    <row r="3917" spans="1:5" x14ac:dyDescent="0.25">
      <c r="A3917" t="str">
        <f>HYPERLINK("https://www.773grp.com/globalSearch/NTLUD3A260PZTAG/page-1", "NTLUD3A260PZTAG")</f>
        <v>NTLUD3A260PZTAG</v>
      </c>
      <c r="B3917" s="3" t="str">
        <f>HYPERLINK("https://www.773grp.com/manufacturer/onsemi?pageNo=1220", "Onsemi")</f>
        <v>Onsemi</v>
      </c>
      <c r="C3917" s="6">
        <v>53280</v>
      </c>
      <c r="D3917" s="7">
        <v>0.53</v>
      </c>
      <c r="E3917" t="s">
        <v>85</v>
      </c>
    </row>
    <row r="3918" spans="1:5" x14ac:dyDescent="0.25">
      <c r="A3918" t="str">
        <f>HYPERLINK("https://www.773grp.com/globalSearch/NTLUD3A260PZTBG/page-1", "NTLUD3A260PZTBG")</f>
        <v>NTLUD3A260PZTBG</v>
      </c>
      <c r="B3918" s="3" t="str">
        <f>HYPERLINK("https://www.773grp.com/manufacturer/onsemi?pageNo=1221", "Onsemi")</f>
        <v>Onsemi</v>
      </c>
      <c r="C3918" s="6">
        <v>3000</v>
      </c>
      <c r="D3918" s="7">
        <v>0.53</v>
      </c>
      <c r="E3918" t="s">
        <v>85</v>
      </c>
    </row>
    <row r="3919" spans="1:5" x14ac:dyDescent="0.25">
      <c r="A3919" t="str">
        <f>HYPERLINK("https://www.773grp.com/globalSearch/NTMFS4943NT1G/page-1", "NTMFS4943NT1G")</f>
        <v>NTMFS4943NT1G</v>
      </c>
      <c r="B3919" s="3" t="str">
        <f>HYPERLINK("https://www.773grp.com/manufacturer/onsemi?pageNo=1222", "Onsemi")</f>
        <v>Onsemi</v>
      </c>
      <c r="C3919" s="6">
        <v>704062</v>
      </c>
      <c r="D3919" s="7">
        <v>0.53</v>
      </c>
      <c r="E3919" t="s">
        <v>84</v>
      </c>
    </row>
    <row r="3920" spans="1:5" x14ac:dyDescent="0.25">
      <c r="A3920" t="str">
        <f>HYPERLINK("https://www.773grp.com/globalSearch/NTR1P02LT1/page-1", "NTR1P02LT1")</f>
        <v>NTR1P02LT1</v>
      </c>
      <c r="B3920" s="3" t="str">
        <f>HYPERLINK("https://www.773grp.com/manufacturer/onsemi?pageNo=1223", "Onsemi")</f>
        <v>Onsemi</v>
      </c>
      <c r="C3920" s="6">
        <v>12601</v>
      </c>
      <c r="D3920" s="7">
        <v>0.53</v>
      </c>
      <c r="E3920" t="s">
        <v>85</v>
      </c>
    </row>
    <row r="3921" spans="1:5" x14ac:dyDescent="0.25">
      <c r="A3921" t="str">
        <f>HYPERLINK("https://www.773grp.com/globalSearch/NTR4503NT1G/page-1", "NTR4503NT1G")</f>
        <v>NTR4503NT1G</v>
      </c>
      <c r="B3921" s="3" t="str">
        <f>HYPERLINK("https://www.773grp.com/manufacturer/onsemi?pageNo=1224", "Onsemi")</f>
        <v>Onsemi</v>
      </c>
      <c r="C3921" s="6">
        <v>176584</v>
      </c>
      <c r="D3921" s="7">
        <v>0.53</v>
      </c>
      <c r="E3921" t="s">
        <v>85</v>
      </c>
    </row>
    <row r="3922" spans="1:5" x14ac:dyDescent="0.25">
      <c r="A3922" t="str">
        <f>HYPERLINK("https://www.773grp.com/globalSearch/NTR4503NT3G/page-1", "NTR4503NT3G")</f>
        <v>NTR4503NT3G</v>
      </c>
      <c r="B3922" s="3" t="str">
        <f>HYPERLINK("https://www.773grp.com/manufacturer/onsemi?pageNo=1225", "Onsemi")</f>
        <v>Onsemi</v>
      </c>
      <c r="C3922" s="6">
        <v>9890</v>
      </c>
      <c r="D3922" s="7">
        <v>0.53</v>
      </c>
      <c r="E3922" t="s">
        <v>85</v>
      </c>
    </row>
    <row r="3923" spans="1:5" x14ac:dyDescent="0.25">
      <c r="A3923" t="str">
        <f>HYPERLINK("https://www.773grp.com/globalSearch/NTRV4101PT1G/page-1", "NTRV4101PT1G")</f>
        <v>NTRV4101PT1G</v>
      </c>
      <c r="B3923" s="3" t="str">
        <f>HYPERLINK("https://www.773grp.com/manufacturer/onsemi?pageNo=1226", "Onsemi")</f>
        <v>Onsemi</v>
      </c>
      <c r="C3923" s="6">
        <v>3000</v>
      </c>
      <c r="D3923" s="7">
        <v>0.53</v>
      </c>
    </row>
    <row r="3924" spans="1:5" x14ac:dyDescent="0.25">
      <c r="A3924" t="str">
        <f>HYPERLINK("https://www.773grp.com/globalSearch/NTZD3155CT1G/page-1", "NTZD3155CT1G")</f>
        <v>NTZD3155CT1G</v>
      </c>
      <c r="B3924" s="3" t="str">
        <f>HYPERLINK("https://www.773grp.com/manufacturer/onsemi?pageNo=1227", "Onsemi")</f>
        <v>Onsemi</v>
      </c>
      <c r="C3924" s="6">
        <v>16462</v>
      </c>
      <c r="D3924" s="7">
        <v>0.53</v>
      </c>
      <c r="E3924" t="s">
        <v>85</v>
      </c>
    </row>
    <row r="3925" spans="1:5" x14ac:dyDescent="0.25">
      <c r="A3925" t="str">
        <f>HYPERLINK("https://www.773grp.com/globalSearch/NTZD3155CT2G/page-1", "NTZD3155CT2G")</f>
        <v>NTZD3155CT2G</v>
      </c>
      <c r="B3925" s="3" t="str">
        <f>HYPERLINK("https://www.773grp.com/manufacturer/onsemi?pageNo=1228", "Onsemi")</f>
        <v>Onsemi</v>
      </c>
      <c r="C3925" s="6">
        <v>32000</v>
      </c>
      <c r="D3925" s="7">
        <v>0.53</v>
      </c>
      <c r="E3925" t="s">
        <v>85</v>
      </c>
    </row>
    <row r="3926" spans="1:5" x14ac:dyDescent="0.25">
      <c r="A3926" t="str">
        <f>HYPERLINK("https://www.773grp.com/globalSearch/NTZS3151PT1G/page-1", "NTZS3151PT1G")</f>
        <v>NTZS3151PT1G</v>
      </c>
      <c r="B3926" s="3" t="str">
        <f>HYPERLINK("https://www.773grp.com/manufacturer/onsemi?pageNo=1229", "Onsemi")</f>
        <v>Onsemi</v>
      </c>
      <c r="C3926" s="6">
        <v>20487</v>
      </c>
      <c r="D3926" s="7">
        <v>0.53</v>
      </c>
      <c r="E3926" t="s">
        <v>85</v>
      </c>
    </row>
    <row r="3927" spans="1:5" x14ac:dyDescent="0.25">
      <c r="A3927" t="str">
        <f>HYPERLINK("https://www.773grp.com/globalSearch/NUF2101MT1G/page-1", "NUF2101MT1G")</f>
        <v>NUF2101MT1G</v>
      </c>
      <c r="B3927" s="3" t="str">
        <f>HYPERLINK("https://www.773grp.com/manufacturer/onsemi?pageNo=1230", "Onsemi")</f>
        <v>Onsemi</v>
      </c>
      <c r="C3927" s="6">
        <v>57250</v>
      </c>
      <c r="D3927" s="7">
        <v>0.53</v>
      </c>
      <c r="E3927" t="s">
        <v>79</v>
      </c>
    </row>
    <row r="3928" spans="1:5" x14ac:dyDescent="0.25">
      <c r="A3928" t="str">
        <f>HYPERLINK("https://www.773grp.com/globalSearch/NUF4001MUT2G/page-1", "NUF4001MUT2G")</f>
        <v>NUF4001MUT2G</v>
      </c>
      <c r="B3928" s="3" t="str">
        <f>HYPERLINK("https://www.773grp.com/manufacturer/onsemi?pageNo=1231", "Onsemi")</f>
        <v>Onsemi</v>
      </c>
      <c r="C3928" s="6">
        <v>18000</v>
      </c>
      <c r="D3928" s="7">
        <v>0.53</v>
      </c>
    </row>
    <row r="3929" spans="1:5" x14ac:dyDescent="0.25">
      <c r="A3929" t="str">
        <f>HYPERLINK("https://www.773grp.com/globalSearch/NUF6001MUT2G/page-1", "NUF6001MUT2G")</f>
        <v>NUF6001MUT2G</v>
      </c>
      <c r="B3929" s="3" t="str">
        <f>HYPERLINK("https://www.773grp.com/manufacturer/onsemi?pageNo=1232", "Onsemi")</f>
        <v>Onsemi</v>
      </c>
      <c r="C3929" s="6">
        <v>49395</v>
      </c>
      <c r="D3929" s="7">
        <v>0.53</v>
      </c>
      <c r="E3929" t="s">
        <v>79</v>
      </c>
    </row>
    <row r="3930" spans="1:5" x14ac:dyDescent="0.25">
      <c r="A3930" t="str">
        <f>HYPERLINK("https://www.773grp.com/globalSearch/NUF6005MUT2G/page-1", "NUF6005MUT2G")</f>
        <v>NUF6005MUT2G</v>
      </c>
      <c r="B3930" s="3" t="str">
        <f>HYPERLINK("https://www.773grp.com/manufacturer/onsemi?pageNo=1233", "Onsemi")</f>
        <v>Onsemi</v>
      </c>
      <c r="C3930" s="6">
        <v>116200</v>
      </c>
      <c r="D3930" s="7">
        <v>0.53</v>
      </c>
      <c r="E3930" t="s">
        <v>79</v>
      </c>
    </row>
    <row r="3931" spans="1:5" x14ac:dyDescent="0.25">
      <c r="A3931" t="str">
        <f>HYPERLINK("https://www.773grp.com/globalSearch/NUF6010MUT2G/page-1", "NUF6010MUT2G")</f>
        <v>NUF6010MUT2G</v>
      </c>
      <c r="B3931" s="3" t="str">
        <f>HYPERLINK("https://www.773grp.com/manufacturer/onsemi?pageNo=1234", "Onsemi")</f>
        <v>Onsemi</v>
      </c>
      <c r="C3931" s="6">
        <v>54788</v>
      </c>
      <c r="D3931" s="7">
        <v>0.53</v>
      </c>
      <c r="E3931" t="s">
        <v>79</v>
      </c>
    </row>
    <row r="3932" spans="1:5" x14ac:dyDescent="0.25">
      <c r="A3932" t="str">
        <f>HYPERLINK("https://www.773grp.com/globalSearch/NUP4102XV6T1G/page-1", "NUP4102XV6T1G")</f>
        <v>NUP4102XV6T1G</v>
      </c>
      <c r="B3932" s="3" t="str">
        <f>HYPERLINK("https://www.773grp.com/manufacturer/onsemi?pageNo=1235", "Onsemi")</f>
        <v>Onsemi</v>
      </c>
      <c r="C3932" s="6">
        <v>5445</v>
      </c>
      <c r="D3932" s="7">
        <v>0.53</v>
      </c>
      <c r="E3932" t="s">
        <v>75</v>
      </c>
    </row>
    <row r="3933" spans="1:5" x14ac:dyDescent="0.25">
      <c r="A3933" t="str">
        <f>HYPERLINK("https://www.773grp.com/globalSearch/NUP4103FCT1G/page-1", "NUP4103FCT1G")</f>
        <v>NUP4103FCT1G</v>
      </c>
      <c r="B3933" s="3" t="str">
        <f>HYPERLINK("https://www.773grp.com/manufacturer/onsemi?pageNo=1236", "Onsemi")</f>
        <v>Onsemi</v>
      </c>
      <c r="C3933" s="6">
        <v>9400</v>
      </c>
      <c r="D3933" s="7">
        <v>0.53</v>
      </c>
      <c r="E3933" t="s">
        <v>79</v>
      </c>
    </row>
    <row r="3934" spans="1:5" x14ac:dyDescent="0.25">
      <c r="A3934" t="str">
        <f>HYPERLINK("https://www.773grp.com/globalSearch/NUP45V6P5T5G/page-1", "NUP45V6P5T5G")</f>
        <v>NUP45V6P5T5G</v>
      </c>
      <c r="B3934" s="3" t="str">
        <f>HYPERLINK("https://www.773grp.com/manufacturer/onsemi?pageNo=1237", "Onsemi")</f>
        <v>Onsemi</v>
      </c>
      <c r="C3934" s="6">
        <v>1277700</v>
      </c>
      <c r="D3934" s="7">
        <v>0.53</v>
      </c>
      <c r="E3934" t="s">
        <v>75</v>
      </c>
    </row>
    <row r="3935" spans="1:5" x14ac:dyDescent="0.25">
      <c r="A3935" t="str">
        <f>HYPERLINK("https://www.773grp.com/globalSearch/NUP46V8P5T5G/page-1", "NUP46V8P5T5G")</f>
        <v>NUP46V8P5T5G</v>
      </c>
      <c r="B3935" s="3" t="str">
        <f>HYPERLINK("https://www.773grp.com/manufacturer/onsemi?pageNo=1238", "Onsemi")</f>
        <v>Onsemi</v>
      </c>
      <c r="C3935" s="6">
        <v>40650</v>
      </c>
      <c r="D3935" s="7">
        <v>0.53</v>
      </c>
      <c r="E3935" t="s">
        <v>75</v>
      </c>
    </row>
    <row r="3936" spans="1:5" x14ac:dyDescent="0.25">
      <c r="A3936" t="str">
        <f>HYPERLINK("https://www.773grp.com/globalSearch/P6SMB47CAT3/page-1", "P6SMB47CAT3")</f>
        <v>P6SMB47CAT3</v>
      </c>
      <c r="B3936" s="3" t="str">
        <f>HYPERLINK("https://www.773grp.com/manufacturer/onsemi?pageNo=1239", "Onsemi")</f>
        <v>Onsemi</v>
      </c>
      <c r="C3936" s="6">
        <v>25000</v>
      </c>
      <c r="D3936" s="7">
        <v>0.53</v>
      </c>
      <c r="E3936" t="s">
        <v>75</v>
      </c>
    </row>
    <row r="3937" spans="1:5" x14ac:dyDescent="0.25">
      <c r="A3937" t="str">
        <f>HYPERLINK("https://www.773grp.com/globalSearch/PACUSB-D1Y5R/page-1", "PACUSB-D1Y5R")</f>
        <v>PACUSB-D1Y5R</v>
      </c>
      <c r="B3937" s="3" t="str">
        <f>HYPERLINK("https://www.773grp.com/manufacturer/onsemi?pageNo=1240", "Onsemi")</f>
        <v>Onsemi</v>
      </c>
      <c r="C3937" s="6">
        <v>3000</v>
      </c>
      <c r="D3937" s="7">
        <v>0.53</v>
      </c>
      <c r="E3937" t="s">
        <v>79</v>
      </c>
    </row>
    <row r="3938" spans="1:5" x14ac:dyDescent="0.25">
      <c r="A3938" t="str">
        <f>HYPERLINK("https://www.773grp.com/globalSearch/PACUSB-U3R/page-1", "PACUSB-U3R")</f>
        <v>PACUSB-U3R</v>
      </c>
      <c r="B3938" s="3" t="str">
        <f>HYPERLINK("https://www.773grp.com/manufacturer/onsemi?pageNo=1241", "Onsemi")</f>
        <v>Onsemi</v>
      </c>
      <c r="C3938" s="6">
        <v>27000</v>
      </c>
      <c r="D3938" s="7">
        <v>0.53</v>
      </c>
      <c r="E3938" t="s">
        <v>79</v>
      </c>
    </row>
    <row r="3939" spans="1:5" x14ac:dyDescent="0.25">
      <c r="A3939" t="str">
        <f>HYPERLINK("https://www.773grp.com/globalSearch/SA10AG/page-1", "SA10AG")</f>
        <v>SA10AG</v>
      </c>
      <c r="B3939" s="3" t="str">
        <f>HYPERLINK("https://www.773grp.com/manufacturer/onsemi?pageNo=1242", "Onsemi")</f>
        <v>Onsemi</v>
      </c>
      <c r="C3939" s="6">
        <v>6000</v>
      </c>
      <c r="D3939" s="7">
        <v>0.53</v>
      </c>
      <c r="E3939" t="s">
        <v>75</v>
      </c>
    </row>
    <row r="3940" spans="1:5" x14ac:dyDescent="0.25">
      <c r="A3940" t="str">
        <f>HYPERLINK("https://www.773grp.com/globalSearch/SA11AG/page-1", "SA11AG")</f>
        <v>SA11AG</v>
      </c>
      <c r="B3940" s="3" t="str">
        <f>HYPERLINK("https://www.773grp.com/manufacturer/onsemi?pageNo=1243", "Onsemi")</f>
        <v>Onsemi</v>
      </c>
      <c r="C3940" s="6">
        <v>6000</v>
      </c>
      <c r="D3940" s="7">
        <v>0.53</v>
      </c>
      <c r="E3940" t="s">
        <v>75</v>
      </c>
    </row>
    <row r="3941" spans="1:5" x14ac:dyDescent="0.25">
      <c r="A3941" t="str">
        <f>HYPERLINK("https://www.773grp.com/globalSearch/SA120A/page-1", "SA120A")</f>
        <v>SA120A</v>
      </c>
      <c r="B3941" s="3" t="str">
        <f>HYPERLINK("https://www.773grp.com/manufacturer/onsemi?pageNo=1244", "Onsemi")</f>
        <v>Onsemi</v>
      </c>
      <c r="C3941" s="6">
        <v>1000</v>
      </c>
      <c r="D3941" s="7">
        <v>0.53</v>
      </c>
      <c r="E3941" t="s">
        <v>75</v>
      </c>
    </row>
    <row r="3942" spans="1:5" x14ac:dyDescent="0.25">
      <c r="A3942" t="str">
        <f>HYPERLINK("https://www.773grp.com/globalSearch/SA120AG/page-1", "SA120AG")</f>
        <v>SA120AG</v>
      </c>
      <c r="B3942" s="3" t="str">
        <f>HYPERLINK("https://www.773grp.com/manufacturer/onsemi?pageNo=1245", "Onsemi")</f>
        <v>Onsemi</v>
      </c>
      <c r="C3942" s="6">
        <v>5900</v>
      </c>
      <c r="D3942" s="7">
        <v>0.53</v>
      </c>
      <c r="E3942" t="s">
        <v>75</v>
      </c>
    </row>
    <row r="3943" spans="1:5" x14ac:dyDescent="0.25">
      <c r="A3943" t="str">
        <f>HYPERLINK("https://www.773grp.com/globalSearch/SA12A/page-1", "SA12A")</f>
        <v>SA12A</v>
      </c>
      <c r="B3943" s="3" t="str">
        <f>HYPERLINK("https://www.773grp.com/manufacturer/onsemi?pageNo=1246", "Onsemi")</f>
        <v>Onsemi</v>
      </c>
      <c r="C3943" s="6">
        <v>10218</v>
      </c>
      <c r="D3943" s="7">
        <v>0.53</v>
      </c>
      <c r="E3943" t="s">
        <v>75</v>
      </c>
    </row>
    <row r="3944" spans="1:5" x14ac:dyDescent="0.25">
      <c r="A3944" t="str">
        <f>HYPERLINK("https://www.773grp.com/globalSearch/SA12ARL/page-1", "SA12ARL")</f>
        <v>SA12ARL</v>
      </c>
      <c r="B3944" s="3" t="str">
        <f>HYPERLINK("https://www.773grp.com/manufacturer/onsemi?pageNo=1247", "Onsemi")</f>
        <v>Onsemi</v>
      </c>
      <c r="C3944" s="6">
        <v>1000</v>
      </c>
      <c r="D3944" s="7">
        <v>0.53</v>
      </c>
      <c r="E3944" t="s">
        <v>75</v>
      </c>
    </row>
    <row r="3945" spans="1:5" x14ac:dyDescent="0.25">
      <c r="A3945" t="str">
        <f>HYPERLINK("https://www.773grp.com/globalSearch/SA130A/page-1", "SA130A")</f>
        <v>SA130A</v>
      </c>
      <c r="B3945" s="3" t="str">
        <f>HYPERLINK("https://www.773grp.com/manufacturer/onsemi?pageNo=1248", "Onsemi")</f>
        <v>Onsemi</v>
      </c>
      <c r="C3945" s="6">
        <v>4000</v>
      </c>
      <c r="D3945" s="7">
        <v>0.53</v>
      </c>
      <c r="E3945" t="s">
        <v>75</v>
      </c>
    </row>
    <row r="3946" spans="1:5" x14ac:dyDescent="0.25">
      <c r="A3946" t="str">
        <f>HYPERLINK("https://www.773grp.com/globalSearch/SA13AG/page-1", "SA13AG")</f>
        <v>SA13AG</v>
      </c>
      <c r="B3946" s="3" t="str">
        <f>HYPERLINK("https://www.773grp.com/manufacturer/onsemi?pageNo=1249", "Onsemi")</f>
        <v>Onsemi</v>
      </c>
      <c r="C3946" s="6">
        <v>28098</v>
      </c>
      <c r="D3946" s="7">
        <v>0.53</v>
      </c>
      <c r="E3946" t="s">
        <v>75</v>
      </c>
    </row>
    <row r="3947" spans="1:5" x14ac:dyDescent="0.25">
      <c r="A3947" t="str">
        <f>HYPERLINK("https://www.773grp.com/globalSearch/SA14051BDR2/page-1", "SA14051BDR2")</f>
        <v>SA14051BDR2</v>
      </c>
      <c r="B3947" s="3" t="str">
        <f>HYPERLINK("https://www.773grp.com/manufacturer/onsemi?pageNo=1250", "Onsemi")</f>
        <v>Onsemi</v>
      </c>
      <c r="C3947" s="6">
        <v>30000</v>
      </c>
      <c r="D3947" s="7">
        <v>0.53</v>
      </c>
    </row>
    <row r="3948" spans="1:5" x14ac:dyDescent="0.25">
      <c r="A3948" t="str">
        <f>HYPERLINK("https://www.773grp.com/globalSearch/SA16ARL/page-1", "SA16ARL")</f>
        <v>SA16ARL</v>
      </c>
      <c r="B3948" s="3" t="str">
        <f>HYPERLINK("https://www.773grp.com/manufacturer/onsemi?pageNo=1251", "Onsemi")</f>
        <v>Onsemi</v>
      </c>
      <c r="C3948" s="6">
        <v>5000</v>
      </c>
      <c r="D3948" s="7">
        <v>0.53</v>
      </c>
      <c r="E3948" t="s">
        <v>75</v>
      </c>
    </row>
    <row r="3949" spans="1:5" x14ac:dyDescent="0.25">
      <c r="A3949" t="str">
        <f>HYPERLINK("https://www.773grp.com/globalSearch/SA28AG/page-1", "SA28AG")</f>
        <v>SA28AG</v>
      </c>
      <c r="B3949" s="3" t="str">
        <f>HYPERLINK("https://www.773grp.com/manufacturer/onsemi?pageNo=1252", "Onsemi")</f>
        <v>Onsemi</v>
      </c>
      <c r="C3949" s="6">
        <v>11000</v>
      </c>
      <c r="D3949" s="7">
        <v>0.53</v>
      </c>
      <c r="E3949" t="s">
        <v>75</v>
      </c>
    </row>
    <row r="3950" spans="1:5" x14ac:dyDescent="0.25">
      <c r="A3950" t="str">
        <f>HYPERLINK("https://www.773grp.com/globalSearch/SA28ARL/page-1", "SA28ARL")</f>
        <v>SA28ARL</v>
      </c>
      <c r="B3950" s="3" t="str">
        <f>HYPERLINK("https://www.773grp.com/manufacturer/onsemi?pageNo=1253", "Onsemi")</f>
        <v>Onsemi</v>
      </c>
      <c r="C3950" s="6">
        <v>15000</v>
      </c>
      <c r="D3950" s="7">
        <v>0.53</v>
      </c>
      <c r="E3950" t="s">
        <v>75</v>
      </c>
    </row>
    <row r="3951" spans="1:5" x14ac:dyDescent="0.25">
      <c r="A3951" t="str">
        <f>HYPERLINK("https://www.773grp.com/globalSearch/SA33A/page-1", "SA33A")</f>
        <v>SA33A</v>
      </c>
      <c r="B3951" s="3" t="str">
        <f>HYPERLINK("https://www.773grp.com/manufacturer/onsemi?pageNo=1254", "Onsemi")</f>
        <v>Onsemi</v>
      </c>
      <c r="C3951" s="6">
        <v>1025</v>
      </c>
      <c r="D3951" s="7">
        <v>0.53</v>
      </c>
      <c r="E3951" t="s">
        <v>75</v>
      </c>
    </row>
    <row r="3952" spans="1:5" x14ac:dyDescent="0.25">
      <c r="A3952" t="str">
        <f>HYPERLINK("https://www.773grp.com/globalSearch/SA33AG/page-1", "SA33AG")</f>
        <v>SA33AG</v>
      </c>
      <c r="B3952" s="3" t="str">
        <f>HYPERLINK("https://www.773grp.com/manufacturer/onsemi?pageNo=1255", "Onsemi")</f>
        <v>Onsemi</v>
      </c>
      <c r="C3952" s="6">
        <v>14000</v>
      </c>
      <c r="D3952" s="7">
        <v>0.53</v>
      </c>
      <c r="E3952" t="s">
        <v>75</v>
      </c>
    </row>
    <row r="3953" spans="1:5" x14ac:dyDescent="0.25">
      <c r="A3953" t="str">
        <f>HYPERLINK("https://www.773grp.com/globalSearch/SA36A/page-1", "SA36A")</f>
        <v>SA36A</v>
      </c>
      <c r="B3953" s="3" t="str">
        <f>HYPERLINK("https://www.773grp.com/manufacturer/onsemi?pageNo=1256", "Onsemi")</f>
        <v>Onsemi</v>
      </c>
      <c r="C3953" s="6">
        <v>15249</v>
      </c>
      <c r="D3953" s="7">
        <v>0.53</v>
      </c>
      <c r="E3953" t="s">
        <v>75</v>
      </c>
    </row>
    <row r="3954" spans="1:5" x14ac:dyDescent="0.25">
      <c r="A3954" t="str">
        <f>HYPERLINK("https://www.773grp.com/globalSearch/SA40ARL/page-1", "SA40ARL")</f>
        <v>SA40ARL</v>
      </c>
      <c r="B3954" s="3" t="str">
        <f>HYPERLINK("https://www.773grp.com/manufacturer/onsemi?pageNo=1257", "Onsemi")</f>
        <v>Onsemi</v>
      </c>
      <c r="C3954" s="6">
        <v>10000</v>
      </c>
      <c r="D3954" s="7">
        <v>0.53</v>
      </c>
      <c r="E3954" t="s">
        <v>75</v>
      </c>
    </row>
    <row r="3955" spans="1:5" x14ac:dyDescent="0.25">
      <c r="A3955" t="str">
        <f>HYPERLINK("https://www.773grp.com/globalSearch/SA43A/page-1", "SA43A")</f>
        <v>SA43A</v>
      </c>
      <c r="B3955" s="3" t="str">
        <f>HYPERLINK("https://www.773grp.com/manufacturer/onsemi?pageNo=1258", "Onsemi")</f>
        <v>Onsemi</v>
      </c>
      <c r="C3955" s="6">
        <v>575</v>
      </c>
      <c r="D3955" s="7">
        <v>0.53</v>
      </c>
      <c r="E3955" t="s">
        <v>75</v>
      </c>
    </row>
    <row r="3956" spans="1:5" x14ac:dyDescent="0.25">
      <c r="A3956" t="str">
        <f>HYPERLINK("https://www.773grp.com/globalSearch/SA45ARL/page-1", "SA45ARL")</f>
        <v>SA45ARL</v>
      </c>
      <c r="B3956" s="3" t="str">
        <f>HYPERLINK("https://www.773grp.com/manufacturer/onsemi?pageNo=1259", "Onsemi")</f>
        <v>Onsemi</v>
      </c>
      <c r="C3956" s="6">
        <v>5000</v>
      </c>
      <c r="D3956" s="7">
        <v>0.53</v>
      </c>
      <c r="E3956" t="s">
        <v>75</v>
      </c>
    </row>
    <row r="3957" spans="1:5" x14ac:dyDescent="0.25">
      <c r="A3957" t="str">
        <f>HYPERLINK("https://www.773grp.com/globalSearch/SA45ARLG/page-1", "SA45ARLG")</f>
        <v>SA45ARLG</v>
      </c>
      <c r="B3957" s="3" t="str">
        <f>HYPERLINK("https://www.773grp.com/manufacturer/onsemi?pageNo=1260", "Onsemi")</f>
        <v>Onsemi</v>
      </c>
      <c r="C3957" s="6">
        <v>15000</v>
      </c>
      <c r="D3957" s="7">
        <v>0.53</v>
      </c>
      <c r="E3957" t="s">
        <v>75</v>
      </c>
    </row>
    <row r="3958" spans="1:5" x14ac:dyDescent="0.25">
      <c r="A3958" t="str">
        <f>HYPERLINK("https://www.773grp.com/globalSearch/SA6.0A/page-1", "SA6.0A")</f>
        <v>SA6.0A</v>
      </c>
      <c r="B3958" s="3" t="str">
        <f>HYPERLINK("https://www.773grp.com/manufacturer/onsemi?pageNo=1261", "Onsemi")</f>
        <v>Onsemi</v>
      </c>
      <c r="C3958" s="6">
        <v>2</v>
      </c>
      <c r="D3958" s="7">
        <v>0.53</v>
      </c>
      <c r="E3958" t="s">
        <v>75</v>
      </c>
    </row>
    <row r="3959" spans="1:5" x14ac:dyDescent="0.25">
      <c r="A3959" t="str">
        <f>HYPERLINK("https://www.773grp.com/globalSearch/SA8.5A/page-1", "SA8.5A")</f>
        <v>SA8.5A</v>
      </c>
      <c r="B3959" s="3" t="str">
        <f>HYPERLINK("https://www.773grp.com/manufacturer/onsemi?pageNo=1262", "Onsemi")</f>
        <v>Onsemi</v>
      </c>
      <c r="C3959" s="6">
        <v>1000</v>
      </c>
      <c r="D3959" s="7">
        <v>0.53</v>
      </c>
      <c r="E3959" t="s">
        <v>75</v>
      </c>
    </row>
    <row r="3960" spans="1:5" x14ac:dyDescent="0.25">
      <c r="A3960" t="str">
        <f>HYPERLINK("https://www.773grp.com/globalSearch/SAI13AG/page-1", "SAI13AG")</f>
        <v>SAI13AG</v>
      </c>
      <c r="B3960" s="3" t="str">
        <f>HYPERLINK("https://www.773grp.com/manufacturer/onsemi?pageNo=1263", "Onsemi")</f>
        <v>Onsemi</v>
      </c>
      <c r="C3960" s="6">
        <v>6000</v>
      </c>
      <c r="D3960" s="7">
        <v>0.53</v>
      </c>
    </row>
    <row r="3961" spans="1:5" x14ac:dyDescent="0.25">
      <c r="A3961" t="str">
        <f>HYPERLINK("https://www.773grp.com/globalSearch/SC14S70FEL/page-1", "SC14S70FEL")</f>
        <v>SC14S70FEL</v>
      </c>
      <c r="B3961" s="3" t="str">
        <f>HYPERLINK("https://www.773grp.com/manufacturer/onsemi?pageNo=1264", "Onsemi")</f>
        <v>Onsemi</v>
      </c>
      <c r="C3961" s="6">
        <v>9000</v>
      </c>
      <c r="D3961" s="7">
        <v>0.53</v>
      </c>
    </row>
    <row r="3962" spans="1:5" x14ac:dyDescent="0.25">
      <c r="A3962" t="str">
        <f>HYPERLINK("https://www.773grp.com/globalSearch/SC28829PK74A/page-1", "SC28829PK74A")</f>
        <v>SC28829PK74A</v>
      </c>
      <c r="B3962" s="3" t="str">
        <f>HYPERLINK("https://www.773grp.com/manufacturer/onsemi?pageNo=1265", "Onsemi")</f>
        <v>Onsemi</v>
      </c>
      <c r="C3962" s="6">
        <v>9150</v>
      </c>
      <c r="D3962" s="7">
        <v>0.53</v>
      </c>
    </row>
    <row r="3963" spans="1:5" x14ac:dyDescent="0.25">
      <c r="A3963" t="str">
        <f>HYPERLINK("https://www.773grp.com/globalSearch/SC28829PK85/page-1", "SC28829PK85")</f>
        <v>SC28829PK85</v>
      </c>
      <c r="B3963" s="3" t="str">
        <f>HYPERLINK("https://www.773grp.com/manufacturer/onsemi?pageNo=1266", "Onsemi")</f>
        <v>Onsemi</v>
      </c>
      <c r="C3963" s="6">
        <v>925</v>
      </c>
      <c r="D3963" s="7">
        <v>0.53</v>
      </c>
    </row>
    <row r="3964" spans="1:5" x14ac:dyDescent="0.25">
      <c r="A3964" t="str">
        <f>HYPERLINK("https://www.773grp.com/globalSearch/SL05T1G/page-1", "SL05T1G")</f>
        <v>SL05T1G</v>
      </c>
      <c r="B3964" s="3" t="str">
        <f>HYPERLINK("https://www.773grp.com/manufacturer/onsemi?pageNo=1267", "Onsemi")</f>
        <v>Onsemi</v>
      </c>
      <c r="C3964" s="6">
        <v>697</v>
      </c>
      <c r="D3964" s="7">
        <v>0.53</v>
      </c>
      <c r="E3964" t="s">
        <v>75</v>
      </c>
    </row>
    <row r="3965" spans="1:5" x14ac:dyDescent="0.25">
      <c r="A3965" t="str">
        <f>HYPERLINK("https://www.773grp.com/globalSearch/SL12T1G/page-1", "SL12T1G")</f>
        <v>SL12T1G</v>
      </c>
      <c r="B3965" s="3" t="str">
        <f>HYPERLINK("https://www.773grp.com/manufacturer/onsemi?pageNo=1268", "Onsemi")</f>
        <v>Onsemi</v>
      </c>
      <c r="C3965" s="6">
        <v>108000</v>
      </c>
      <c r="D3965" s="7">
        <v>0.53</v>
      </c>
      <c r="E3965" t="s">
        <v>75</v>
      </c>
    </row>
    <row r="3966" spans="1:5" x14ac:dyDescent="0.25">
      <c r="A3966" t="str">
        <f>HYPERLINK("https://www.773grp.com/globalSearch/SL15T1G/page-1", "SL15T1G")</f>
        <v>SL15T1G</v>
      </c>
      <c r="B3966" s="3" t="str">
        <f>HYPERLINK("https://www.773grp.com/manufacturer/onsemi?pageNo=1269", "Onsemi")</f>
        <v>Onsemi</v>
      </c>
      <c r="C3966" s="6">
        <v>21000</v>
      </c>
      <c r="D3966" s="7">
        <v>0.53</v>
      </c>
      <c r="E3966" t="s">
        <v>75</v>
      </c>
    </row>
    <row r="3967" spans="1:5" x14ac:dyDescent="0.25">
      <c r="A3967" t="str">
        <f>HYPERLINK("https://www.773grp.com/globalSearch/SL24T1/page-1", "SL24T1")</f>
        <v>SL24T1</v>
      </c>
      <c r="B3967" s="3" t="str">
        <f>HYPERLINK("https://www.773grp.com/manufacturer/onsemi?pageNo=1270", "Onsemi")</f>
        <v>Onsemi</v>
      </c>
      <c r="C3967" s="6">
        <v>2815</v>
      </c>
      <c r="D3967" s="7">
        <v>0.53</v>
      </c>
      <c r="E3967" t="s">
        <v>75</v>
      </c>
    </row>
    <row r="3968" spans="1:5" x14ac:dyDescent="0.25">
      <c r="A3968" t="str">
        <f>HYPERLINK("https://www.773grp.com/globalSearch/SL24T1G/page-1", "SL24T1G")</f>
        <v>SL24T1G</v>
      </c>
      <c r="B3968" s="3" t="str">
        <f>HYPERLINK("https://www.773grp.com/manufacturer/onsemi?pageNo=1271", "Onsemi")</f>
        <v>Onsemi</v>
      </c>
      <c r="C3968" s="6">
        <v>9000</v>
      </c>
      <c r="D3968" s="7">
        <v>0.53</v>
      </c>
      <c r="E3968" t="s">
        <v>75</v>
      </c>
    </row>
    <row r="3969" spans="1:5" x14ac:dyDescent="0.25">
      <c r="A3969" t="str">
        <f>HYPERLINK("https://www.773grp.com/globalSearch/SN74LS05N/page-1", "SN74LS05N")</f>
        <v>SN74LS05N</v>
      </c>
      <c r="B3969" s="3" t="str">
        <f>HYPERLINK("https://www.773grp.com/manufacturer/onsemi?pageNo=1272", "Onsemi")</f>
        <v>Onsemi</v>
      </c>
      <c r="C3969" s="6">
        <v>23</v>
      </c>
      <c r="D3969" s="7">
        <v>0.53</v>
      </c>
      <c r="E3969" t="s">
        <v>27</v>
      </c>
    </row>
    <row r="3970" spans="1:5" x14ac:dyDescent="0.25">
      <c r="A3970" t="str">
        <f>HYPERLINK("https://www.773grp.com/globalSearch/SN74LS08N/page-1", "SN74LS08N")</f>
        <v>SN74LS08N</v>
      </c>
      <c r="B3970" s="3" t="str">
        <f>HYPERLINK("https://www.773grp.com/manufacturer/onsemi?pageNo=1273", "Onsemi")</f>
        <v>Onsemi</v>
      </c>
      <c r="C3970" s="6">
        <v>3639</v>
      </c>
      <c r="D3970" s="7">
        <v>0.53</v>
      </c>
      <c r="E3970" t="s">
        <v>27</v>
      </c>
    </row>
    <row r="3971" spans="1:5" x14ac:dyDescent="0.25">
      <c r="A3971" t="str">
        <f>HYPERLINK("https://www.773grp.com/globalSearch/SN74LS157MEL/page-1", "SN74LS157MEL")</f>
        <v>SN74LS157MEL</v>
      </c>
      <c r="B3971" s="3" t="str">
        <f>HYPERLINK("https://www.773grp.com/manufacturer/onsemi?pageNo=1274", "Onsemi")</f>
        <v>Onsemi</v>
      </c>
      <c r="C3971" s="6">
        <v>4000</v>
      </c>
      <c r="D3971" s="7">
        <v>0.53</v>
      </c>
      <c r="E3971" t="s">
        <v>16</v>
      </c>
    </row>
    <row r="3972" spans="1:5" x14ac:dyDescent="0.25">
      <c r="A3972" t="str">
        <f>HYPERLINK("https://www.773grp.com/globalSearch/SN74LS162AN/page-1", "SN74LS162AN")</f>
        <v>SN74LS162AN</v>
      </c>
      <c r="B3972" s="3" t="str">
        <f>HYPERLINK("https://www.773grp.com/manufacturer/onsemi?pageNo=1275", "Onsemi")</f>
        <v>Onsemi</v>
      </c>
      <c r="C3972" s="6">
        <v>61208</v>
      </c>
      <c r="D3972" s="7">
        <v>0.53</v>
      </c>
      <c r="E3972" t="s">
        <v>22</v>
      </c>
    </row>
    <row r="3973" spans="1:5" x14ac:dyDescent="0.25">
      <c r="A3973" t="str">
        <f>HYPERLINK("https://www.773grp.com/globalSearch/SN74LS26D/page-1", "SN74LS26D")</f>
        <v>SN74LS26D</v>
      </c>
      <c r="B3973" s="3" t="str">
        <f>HYPERLINK("https://www.773grp.com/manufacturer/onsemi?pageNo=1276", "Onsemi")</f>
        <v>Onsemi</v>
      </c>
      <c r="C3973" s="6">
        <v>5258</v>
      </c>
      <c r="D3973" s="7">
        <v>0.53</v>
      </c>
      <c r="E3973" t="s">
        <v>27</v>
      </c>
    </row>
    <row r="3974" spans="1:5" x14ac:dyDescent="0.25">
      <c r="A3974" t="str">
        <f>HYPERLINK("https://www.773grp.com/globalSearch/SN74LS32N/page-1", "SN74LS32N")</f>
        <v>SN74LS32N</v>
      </c>
      <c r="B3974" s="3" t="str">
        <f>HYPERLINK("https://www.773grp.com/manufacturer/onsemi?pageNo=1277", "Onsemi")</f>
        <v>Onsemi</v>
      </c>
      <c r="C3974" s="6">
        <v>99</v>
      </c>
      <c r="D3974" s="7">
        <v>0.53</v>
      </c>
      <c r="E3974" t="s">
        <v>27</v>
      </c>
    </row>
    <row r="3975" spans="1:5" x14ac:dyDescent="0.25">
      <c r="A3975" t="str">
        <f>HYPERLINK("https://www.773grp.com/globalSearch/SS0503SH-TL-E/page-1", "SS0503SH-TL-E")</f>
        <v>SS0503SH-TL-E</v>
      </c>
      <c r="B3975" s="3" t="str">
        <f>HYPERLINK("https://www.773grp.com/manufacturer/onsemi?pageNo=1278", "Onsemi")</f>
        <v>Onsemi</v>
      </c>
      <c r="C3975" s="6">
        <v>5000</v>
      </c>
      <c r="D3975" s="7">
        <v>0.53</v>
      </c>
    </row>
    <row r="3976" spans="1:5" x14ac:dyDescent="0.25">
      <c r="A3976" t="str">
        <f>HYPERLINK("https://www.773grp.com/globalSearch/SSVR416HT1/page-1", "SSVR416HT1")</f>
        <v>SSVR416HT1</v>
      </c>
      <c r="B3976" s="3" t="str">
        <f>HYPERLINK("https://www.773grp.com/manufacturer/onsemi?pageNo=1279", "Onsemi")</f>
        <v>Onsemi</v>
      </c>
      <c r="C3976" s="6">
        <v>117000</v>
      </c>
      <c r="D3976" s="7">
        <v>0.53</v>
      </c>
    </row>
    <row r="3977" spans="1:5" x14ac:dyDescent="0.25">
      <c r="A3977" t="str">
        <f>HYPERLINK("https://www.773grp.com/globalSearch/SVC270-TL-E/page-1", "SVC270-TL-E")</f>
        <v>SVC270-TL-E</v>
      </c>
      <c r="B3977" s="3" t="str">
        <f>HYPERLINK("https://www.773grp.com/manufacturer/onsemi?pageNo=1280", "Onsemi")</f>
        <v>Onsemi</v>
      </c>
      <c r="C3977" s="6">
        <v>12000</v>
      </c>
      <c r="D3977" s="7">
        <v>0.53</v>
      </c>
    </row>
    <row r="3978" spans="1:5" x14ac:dyDescent="0.25">
      <c r="A3978" t="str">
        <f>HYPERLINK("https://www.773grp.com/globalSearch/SZSMF6.0AT1G/page-1", "SZSMF6.0AT1G")</f>
        <v>SZSMF6.0AT1G</v>
      </c>
      <c r="B3978" s="3" t="str">
        <f>HYPERLINK("https://www.773grp.com/manufacturer/onsemi?pageNo=1281", "Onsemi")</f>
        <v>Onsemi</v>
      </c>
      <c r="C3978" s="6">
        <v>9000</v>
      </c>
      <c r="D3978" s="7">
        <v>0.53</v>
      </c>
    </row>
    <row r="3979" spans="1:5" x14ac:dyDescent="0.25">
      <c r="A3979" t="str">
        <f>HYPERLINK("https://www.773grp.com/globalSearch/TIP121/page-1", "TIP121")</f>
        <v>TIP121</v>
      </c>
      <c r="B3979" s="3" t="str">
        <f>HYPERLINK("https://www.773grp.com/manufacturer/onsemi?pageNo=1282", "Onsemi")</f>
        <v>Onsemi</v>
      </c>
      <c r="C3979" s="6">
        <v>75</v>
      </c>
      <c r="D3979" s="7">
        <v>0.53</v>
      </c>
      <c r="E3979" t="s">
        <v>47</v>
      </c>
    </row>
    <row r="3980" spans="1:5" x14ac:dyDescent="0.25">
      <c r="A3980" t="str">
        <f>HYPERLINK("https://www.773grp.com/globalSearch/TIP30/page-1", "TIP30")</f>
        <v>TIP30</v>
      </c>
      <c r="B3980" s="3" t="str">
        <f>HYPERLINK("https://www.773grp.com/manufacturer/onsemi?pageNo=1283", "Onsemi")</f>
        <v>Onsemi</v>
      </c>
      <c r="C3980" s="6">
        <v>38</v>
      </c>
      <c r="D3980" s="7">
        <v>0.53</v>
      </c>
      <c r="E3980" t="s">
        <v>47</v>
      </c>
    </row>
    <row r="3981" spans="1:5" x14ac:dyDescent="0.25">
      <c r="A3981" t="str">
        <f>HYPERLINK("https://www.773grp.com/globalSearch/TIP30AG/page-1", "TIP30AG")</f>
        <v>TIP30AG</v>
      </c>
      <c r="B3981" s="3" t="str">
        <f>HYPERLINK("https://www.773grp.com/manufacturer/onsemi?pageNo=1284", "Onsemi")</f>
        <v>Onsemi</v>
      </c>
      <c r="C3981" s="6">
        <v>290</v>
      </c>
      <c r="D3981" s="7">
        <v>0.53</v>
      </c>
      <c r="E3981" t="s">
        <v>47</v>
      </c>
    </row>
    <row r="3982" spans="1:5" x14ac:dyDescent="0.25">
      <c r="A3982" t="str">
        <f>HYPERLINK("https://www.773grp.com/globalSearch/TIP30B/page-1", "TIP30B")</f>
        <v>TIP30B</v>
      </c>
      <c r="B3982" s="3" t="str">
        <f>HYPERLINK("https://www.773grp.com/manufacturer/onsemi?pageNo=1285", "Onsemi")</f>
        <v>Onsemi</v>
      </c>
      <c r="C3982" s="6">
        <v>242</v>
      </c>
      <c r="D3982" s="7">
        <v>0.53</v>
      </c>
      <c r="E3982" t="s">
        <v>47</v>
      </c>
    </row>
    <row r="3983" spans="1:5" x14ac:dyDescent="0.25">
      <c r="A3983" t="str">
        <f>HYPERLINK("https://www.773grp.com/globalSearch/TIP30C/page-1", "TIP30C")</f>
        <v>TIP30C</v>
      </c>
      <c r="B3983" s="3" t="str">
        <f>HYPERLINK("https://www.773grp.com/manufacturer/onsemi?pageNo=1286", "Onsemi")</f>
        <v>Onsemi</v>
      </c>
      <c r="C3983" s="6">
        <v>2604</v>
      </c>
      <c r="D3983" s="7">
        <v>0.53</v>
      </c>
      <c r="E3983" t="s">
        <v>47</v>
      </c>
    </row>
    <row r="3984" spans="1:5" x14ac:dyDescent="0.25">
      <c r="A3984" t="str">
        <f>HYPERLINK("https://www.773grp.com/globalSearch/TIP31A/page-1", "TIP31A")</f>
        <v>TIP31A</v>
      </c>
      <c r="B3984" s="3" t="str">
        <f>HYPERLINK("https://www.773grp.com/manufacturer/onsemi?pageNo=1287", "Onsemi")</f>
        <v>Onsemi</v>
      </c>
      <c r="C3984" s="6">
        <v>3783</v>
      </c>
      <c r="D3984" s="7">
        <v>0.53</v>
      </c>
      <c r="E3984" t="s">
        <v>47</v>
      </c>
    </row>
    <row r="3985" spans="1:5" x14ac:dyDescent="0.25">
      <c r="A3985" t="str">
        <f>HYPERLINK("https://www.773grp.com/globalSearch/TIP32A/page-1", "TIP32A")</f>
        <v>TIP32A</v>
      </c>
      <c r="B3985" s="3" t="str">
        <f>HYPERLINK("https://www.773grp.com/manufacturer/onsemi?pageNo=1288", "Onsemi")</f>
        <v>Onsemi</v>
      </c>
      <c r="C3985" s="6">
        <v>6182</v>
      </c>
      <c r="D3985" s="7">
        <v>0.53</v>
      </c>
      <c r="E3985" t="s">
        <v>47</v>
      </c>
    </row>
    <row r="3986" spans="1:5" x14ac:dyDescent="0.25">
      <c r="A3986" t="str">
        <f>HYPERLINK("https://www.773grp.com/globalSearch/TIP32B/page-1", "TIP32B")</f>
        <v>TIP32B</v>
      </c>
      <c r="B3986" s="3" t="str">
        <f>HYPERLINK("https://www.773grp.com/manufacturer/onsemi?pageNo=1289", "Onsemi")</f>
        <v>Onsemi</v>
      </c>
      <c r="C3986" s="6">
        <v>172</v>
      </c>
      <c r="D3986" s="7">
        <v>0.53</v>
      </c>
      <c r="E3986" t="s">
        <v>47</v>
      </c>
    </row>
    <row r="3987" spans="1:5" x14ac:dyDescent="0.25">
      <c r="A3987" t="str">
        <f>HYPERLINK("https://www.773grp.com/globalSearch/TL431ACD/page-1", "TL431ACD")</f>
        <v>TL431ACD</v>
      </c>
      <c r="B3987" s="3" t="str">
        <f>HYPERLINK("https://www.773grp.com/manufacturer/onsemi?pageNo=1290", "Onsemi")</f>
        <v>Onsemi</v>
      </c>
      <c r="C3987" s="6">
        <v>49579</v>
      </c>
      <c r="D3987" s="7">
        <v>0.53</v>
      </c>
      <c r="E3987" t="s">
        <v>13</v>
      </c>
    </row>
    <row r="3988" spans="1:5" x14ac:dyDescent="0.25">
      <c r="A3988" t="str">
        <f>HYPERLINK("https://www.773grp.com/globalSearch/TL431ACDR2/page-1", "TL431ACDR2")</f>
        <v>TL431ACDR2</v>
      </c>
      <c r="B3988" s="3" t="str">
        <f>HYPERLINK("https://www.773grp.com/manufacturer/onsemi?pageNo=1291", "Onsemi")</f>
        <v>Onsemi</v>
      </c>
      <c r="C3988" s="6">
        <v>3039500</v>
      </c>
      <c r="D3988" s="7">
        <v>0.53</v>
      </c>
      <c r="E3988" t="s">
        <v>13</v>
      </c>
    </row>
    <row r="3989" spans="1:5" x14ac:dyDescent="0.25">
      <c r="A3989" t="str">
        <f>HYPERLINK("https://www.773grp.com/globalSearch/TL431ACLP/page-1", "TL431ACLP")</f>
        <v>TL431ACLP</v>
      </c>
      <c r="B3989" s="3" t="str">
        <f>HYPERLINK("https://www.773grp.com/manufacturer/onsemi?pageNo=1292", "Onsemi")</f>
        <v>Onsemi</v>
      </c>
      <c r="C3989" s="6">
        <v>4417</v>
      </c>
      <c r="D3989" s="7">
        <v>0.53</v>
      </c>
      <c r="E3989" t="s">
        <v>13</v>
      </c>
    </row>
    <row r="3990" spans="1:5" x14ac:dyDescent="0.25">
      <c r="A3990" t="str">
        <f>HYPERLINK("https://www.773grp.com/globalSearch/TL431ACLPRA/page-1", "TL431ACLPRA")</f>
        <v>TL431ACLPRA</v>
      </c>
      <c r="B3990" s="3" t="str">
        <f>HYPERLINK("https://www.773grp.com/manufacturer/onsemi?pageNo=1293", "Onsemi")</f>
        <v>Onsemi</v>
      </c>
      <c r="C3990" s="6">
        <v>21998</v>
      </c>
      <c r="D3990" s="7">
        <v>0.53</v>
      </c>
      <c r="E3990" t="s">
        <v>13</v>
      </c>
    </row>
    <row r="3991" spans="1:5" x14ac:dyDescent="0.25">
      <c r="A3991" t="str">
        <f>HYPERLINK("https://www.773grp.com/globalSearch/TL431ACLPRE/page-1", "TL431ACLPRE")</f>
        <v>TL431ACLPRE</v>
      </c>
      <c r="B3991" s="3" t="str">
        <f>HYPERLINK("https://www.773grp.com/manufacturer/onsemi?pageNo=1294", "Onsemi")</f>
        <v>Onsemi</v>
      </c>
      <c r="C3991" s="6">
        <v>4000</v>
      </c>
      <c r="D3991" s="7">
        <v>0.53</v>
      </c>
      <c r="E3991" t="s">
        <v>13</v>
      </c>
    </row>
    <row r="3992" spans="1:5" x14ac:dyDescent="0.25">
      <c r="A3992" t="str">
        <f>HYPERLINK("https://www.773grp.com/globalSearch/TL431ACLPRP/page-1", "TL431ACLPRP")</f>
        <v>TL431ACLPRP</v>
      </c>
      <c r="B3992" s="3" t="str">
        <f>HYPERLINK("https://www.773grp.com/manufacturer/onsemi?pageNo=1295", "Onsemi")</f>
        <v>Onsemi</v>
      </c>
      <c r="C3992" s="6">
        <v>10000</v>
      </c>
      <c r="D3992" s="7">
        <v>0.53</v>
      </c>
      <c r="E3992" t="s">
        <v>13</v>
      </c>
    </row>
    <row r="3993" spans="1:5" x14ac:dyDescent="0.25">
      <c r="A3993" t="str">
        <f>HYPERLINK("https://www.773grp.com/globalSearch/TL431BCDG/page-1", "TL431BCDG")</f>
        <v>TL431BCDG</v>
      </c>
      <c r="B3993" s="3" t="str">
        <f>HYPERLINK("https://www.773grp.com/manufacturer/onsemi?pageNo=1296", "Onsemi")</f>
        <v>Onsemi</v>
      </c>
      <c r="C3993" s="6">
        <v>52354</v>
      </c>
      <c r="D3993" s="7">
        <v>0.53</v>
      </c>
      <c r="E3993" t="s">
        <v>13</v>
      </c>
    </row>
    <row r="3994" spans="1:5" x14ac:dyDescent="0.25">
      <c r="A3994" t="str">
        <f>HYPERLINK("https://www.773grp.com/globalSearch/TL431CD/page-1", "TL431CD")</f>
        <v>TL431CD</v>
      </c>
      <c r="B3994" s="3" t="str">
        <f>HYPERLINK("https://www.773grp.com/manufacturer/onsemi?pageNo=1297", "Onsemi")</f>
        <v>Onsemi</v>
      </c>
      <c r="C3994" s="6">
        <v>15886</v>
      </c>
      <c r="D3994" s="7">
        <v>0.53</v>
      </c>
      <c r="E3994" t="s">
        <v>13</v>
      </c>
    </row>
    <row r="3995" spans="1:5" x14ac:dyDescent="0.25">
      <c r="A3995" t="str">
        <f>HYPERLINK("https://www.773grp.com/globalSearch/TL431CDMR2/page-1", "TL431CDMR2")</f>
        <v>TL431CDMR2</v>
      </c>
      <c r="B3995" s="3" t="str">
        <f>HYPERLINK("https://www.773grp.com/manufacturer/onsemi?pageNo=1298", "Onsemi")</f>
        <v>Onsemi</v>
      </c>
      <c r="C3995" s="6">
        <v>12000</v>
      </c>
      <c r="D3995" s="7">
        <v>0.53</v>
      </c>
      <c r="E3995" t="s">
        <v>13</v>
      </c>
    </row>
    <row r="3996" spans="1:5" x14ac:dyDescent="0.25">
      <c r="A3996" t="str">
        <f>HYPERLINK("https://www.773grp.com/globalSearch/TL431CDR2/page-1", "TL431CDR2")</f>
        <v>TL431CDR2</v>
      </c>
      <c r="B3996" s="3" t="str">
        <f>HYPERLINK("https://www.773grp.com/manufacturer/onsemi?pageNo=1299", "Onsemi")</f>
        <v>Onsemi</v>
      </c>
      <c r="C3996" s="6">
        <v>22915</v>
      </c>
      <c r="D3996" s="7">
        <v>0.53</v>
      </c>
      <c r="E3996" t="s">
        <v>13</v>
      </c>
    </row>
    <row r="3997" spans="1:5" x14ac:dyDescent="0.25">
      <c r="A3997" t="str">
        <f>HYPERLINK("https://www.773grp.com/globalSearch/TL431CLP/page-1", "TL431CLP")</f>
        <v>TL431CLP</v>
      </c>
      <c r="B3997" s="3" t="str">
        <f>HYPERLINK("https://www.773grp.com/manufacturer/onsemi?pageNo=1300", "Onsemi")</f>
        <v>Onsemi</v>
      </c>
      <c r="C3997" s="6">
        <v>68295</v>
      </c>
      <c r="D3997" s="7">
        <v>0.53</v>
      </c>
      <c r="E3997" t="s">
        <v>13</v>
      </c>
    </row>
    <row r="3998" spans="1:5" x14ac:dyDescent="0.25">
      <c r="A3998" t="str">
        <f>HYPERLINK("https://www.773grp.com/globalSearch/TL431CLPRE/page-1", "TL431CLPRE")</f>
        <v>TL431CLPRE</v>
      </c>
      <c r="B3998" s="3" t="str">
        <f>HYPERLINK("https://www.773grp.com/manufacturer/onsemi?pageNo=1301", "Onsemi")</f>
        <v>Onsemi</v>
      </c>
      <c r="C3998" s="6">
        <v>38000</v>
      </c>
      <c r="D3998" s="7">
        <v>0.53</v>
      </c>
      <c r="E3998" t="s">
        <v>13</v>
      </c>
    </row>
    <row r="3999" spans="1:5" x14ac:dyDescent="0.25">
      <c r="A3999" t="str">
        <f>HYPERLINK("https://www.773grp.com/globalSearch/TL431CLPRP/page-1", "TL431CLPRP")</f>
        <v>TL431CLPRP</v>
      </c>
      <c r="B3999" s="3" t="str">
        <f>HYPERLINK("https://www.773grp.com/manufacturer/onsemi?pageNo=1302", "Onsemi")</f>
        <v>Onsemi</v>
      </c>
      <c r="C3999" s="6">
        <v>2737</v>
      </c>
      <c r="D3999" s="7">
        <v>0.53</v>
      </c>
      <c r="E3999" t="s">
        <v>13</v>
      </c>
    </row>
    <row r="4000" spans="1:5" x14ac:dyDescent="0.25">
      <c r="A4000" t="str">
        <f>HYPERLINK("https://www.773grp.com/globalSearch/TL431ID/page-1", "TL431ID")</f>
        <v>TL431ID</v>
      </c>
      <c r="B4000" s="3" t="str">
        <f>HYPERLINK("https://www.773grp.com/manufacturer/onsemi?pageNo=1303", "Onsemi")</f>
        <v>Onsemi</v>
      </c>
      <c r="C4000" s="6">
        <v>5010</v>
      </c>
      <c r="D4000" s="7">
        <v>0.53</v>
      </c>
      <c r="E4000" t="s">
        <v>13</v>
      </c>
    </row>
    <row r="4001" spans="1:5" x14ac:dyDescent="0.25">
      <c r="A4001" t="str">
        <f>HYPERLINK("https://www.773grp.com/globalSearch/TL431IDMR2/page-1", "TL431IDMR2")</f>
        <v>TL431IDMR2</v>
      </c>
      <c r="B4001" s="3" t="str">
        <f>HYPERLINK("https://www.773grp.com/manufacturer/onsemi?pageNo=1304", "Onsemi")</f>
        <v>Onsemi</v>
      </c>
      <c r="C4001" s="6">
        <v>12000</v>
      </c>
      <c r="D4001" s="7">
        <v>0.53</v>
      </c>
      <c r="E4001" t="s">
        <v>13</v>
      </c>
    </row>
    <row r="4002" spans="1:5" x14ac:dyDescent="0.25">
      <c r="A4002" t="str">
        <f>HYPERLINK("https://www.773grp.com/globalSearch/TL431IDR2/page-1", "TL431IDR2")</f>
        <v>TL431IDR2</v>
      </c>
      <c r="B4002" s="3" t="str">
        <f>HYPERLINK("https://www.773grp.com/manufacturer/onsemi?pageNo=1305", "Onsemi")</f>
        <v>Onsemi</v>
      </c>
      <c r="C4002" s="6">
        <v>2500</v>
      </c>
      <c r="D4002" s="7">
        <v>0.53</v>
      </c>
      <c r="E4002" t="s">
        <v>13</v>
      </c>
    </row>
    <row r="4003" spans="1:5" x14ac:dyDescent="0.25">
      <c r="A4003" t="str">
        <f>HYPERLINK("https://www.773grp.com/globalSearch/TL431ILP/page-1", "TL431ILP")</f>
        <v>TL431ILP</v>
      </c>
      <c r="B4003" s="3" t="str">
        <f>HYPERLINK("https://www.773grp.com/manufacturer/onsemi?pageNo=1306", "Onsemi")</f>
        <v>Onsemi</v>
      </c>
      <c r="C4003" s="6">
        <v>377</v>
      </c>
      <c r="D4003" s="7">
        <v>0.53</v>
      </c>
      <c r="E4003" t="s">
        <v>13</v>
      </c>
    </row>
    <row r="4004" spans="1:5" x14ac:dyDescent="0.25">
      <c r="A4004" t="str">
        <f>HYPERLINK("https://www.773grp.com/globalSearch/TLV431ALPREG/page-1", "TLV431ALPREG")</f>
        <v>TLV431ALPREG</v>
      </c>
      <c r="B4004" s="3" t="str">
        <f>HYPERLINK("https://www.773grp.com/manufacturer/onsemi?pageNo=1307", "Onsemi")</f>
        <v>Onsemi</v>
      </c>
      <c r="C4004" s="6">
        <v>1118</v>
      </c>
      <c r="D4004" s="7">
        <v>0.53</v>
      </c>
      <c r="E4004" t="s">
        <v>13</v>
      </c>
    </row>
    <row r="4005" spans="1:5" x14ac:dyDescent="0.25">
      <c r="A4005" t="str">
        <f>HYPERLINK("https://www.773grp.com/globalSearch/TLV431ALPRMG/page-1", "TLV431ALPRMG")</f>
        <v>TLV431ALPRMG</v>
      </c>
      <c r="B4005" s="3" t="str">
        <f>HYPERLINK("https://www.773grp.com/manufacturer/onsemi?pageNo=1308", "Onsemi")</f>
        <v>Onsemi</v>
      </c>
      <c r="C4005" s="6">
        <v>5258</v>
      </c>
      <c r="D4005" s="7">
        <v>0.53</v>
      </c>
      <c r="E4005" t="s">
        <v>13</v>
      </c>
    </row>
    <row r="4006" spans="1:5" x14ac:dyDescent="0.25">
      <c r="A4006" t="str">
        <f>HYPERLINK("https://www.773grp.com/globalSearch/TLV431BSNT1G/page-1", "TLV431BSNT1G")</f>
        <v>TLV431BSNT1G</v>
      </c>
      <c r="B4006" s="3" t="str">
        <f>HYPERLINK("https://www.773grp.com/manufacturer/onsemi?pageNo=1309", "Onsemi")</f>
        <v>Onsemi</v>
      </c>
      <c r="C4006" s="6">
        <v>6390</v>
      </c>
      <c r="D4006" s="7">
        <v>0.53</v>
      </c>
      <c r="E4006" t="s">
        <v>13</v>
      </c>
    </row>
    <row r="4007" spans="1:5" x14ac:dyDescent="0.25">
      <c r="A4007" t="str">
        <f>HYPERLINK("https://www.773grp.com/globalSearch/1N4701RL/page-1", "1N4701RL")</f>
        <v>1N4701RL</v>
      </c>
      <c r="B4007" s="3" t="str">
        <f>HYPERLINK("https://www.773grp.com/manufacturer/onsemi?pageNo=1310", "Onsemi")</f>
        <v>Onsemi</v>
      </c>
      <c r="C4007" s="6">
        <v>54566</v>
      </c>
      <c r="D4007" s="7">
        <v>0.57999999999999996</v>
      </c>
      <c r="E4007" t="s">
        <v>77</v>
      </c>
    </row>
    <row r="4008" spans="1:5" x14ac:dyDescent="0.25">
      <c r="A4008" t="str">
        <f>HYPERLINK("https://www.773grp.com/globalSearch/1N4705RL/page-1", "1N4705RL")</f>
        <v>1N4705RL</v>
      </c>
      <c r="B4008" s="3" t="str">
        <f>HYPERLINK("https://www.773grp.com/manufacturer/onsemi?pageNo=1311", "Onsemi")</f>
        <v>Onsemi</v>
      </c>
      <c r="C4008" s="6">
        <v>10000</v>
      </c>
      <c r="D4008" s="7">
        <v>0.57999999999999996</v>
      </c>
      <c r="E4008" t="s">
        <v>77</v>
      </c>
    </row>
    <row r="4009" spans="1:5" x14ac:dyDescent="0.25">
      <c r="A4009" t="str">
        <f>HYPERLINK("https://www.773grp.com/globalSearch/1N4711RL/page-1", "1N4711RL")</f>
        <v>1N4711RL</v>
      </c>
      <c r="B4009" s="3" t="str">
        <f>HYPERLINK("https://www.773grp.com/manufacturer/onsemi?pageNo=1312", "Onsemi")</f>
        <v>Onsemi</v>
      </c>
      <c r="C4009" s="6">
        <v>4773</v>
      </c>
      <c r="D4009" s="7">
        <v>0.57999999999999996</v>
      </c>
      <c r="E4009" t="s">
        <v>77</v>
      </c>
    </row>
    <row r="4010" spans="1:5" x14ac:dyDescent="0.25">
      <c r="A4010" t="str">
        <f>HYPERLINK("https://www.773grp.com/globalSearch/1SMA10AT3G/page-1", "1SMA10AT3G")</f>
        <v>1SMA10AT3G</v>
      </c>
      <c r="B4010" s="3" t="str">
        <f>HYPERLINK("https://www.773grp.com/manufacturer/onsemi?pageNo=1313", "Onsemi")</f>
        <v>Onsemi</v>
      </c>
      <c r="C4010" s="6">
        <v>9375</v>
      </c>
      <c r="D4010" s="7">
        <v>0.57999999999999996</v>
      </c>
      <c r="E4010" t="s">
        <v>75</v>
      </c>
    </row>
    <row r="4011" spans="1:5" x14ac:dyDescent="0.25">
      <c r="A4011" t="str">
        <f>HYPERLINK("https://www.773grp.com/globalSearch/1SMA11AT3G/page-1", "1SMA11AT3G")</f>
        <v>1SMA11AT3G</v>
      </c>
      <c r="B4011" s="3" t="str">
        <f>HYPERLINK("https://www.773grp.com/manufacturer/onsemi?pageNo=1314", "Onsemi")</f>
        <v>Onsemi</v>
      </c>
      <c r="C4011" s="6">
        <v>10000</v>
      </c>
      <c r="D4011" s="7">
        <v>0.57999999999999996</v>
      </c>
    </row>
    <row r="4012" spans="1:5" x14ac:dyDescent="0.25">
      <c r="A4012" t="str">
        <f>HYPERLINK("https://www.773grp.com/globalSearch/1SMA12AT3G/page-1", "1SMA12AT3G")</f>
        <v>1SMA12AT3G</v>
      </c>
      <c r="B4012" s="3" t="str">
        <f>HYPERLINK("https://www.773grp.com/manufacturer/onsemi?pageNo=1315", "Onsemi")</f>
        <v>Onsemi</v>
      </c>
      <c r="C4012" s="6">
        <v>58830</v>
      </c>
      <c r="D4012" s="7">
        <v>0.57999999999999996</v>
      </c>
      <c r="E4012" t="s">
        <v>75</v>
      </c>
    </row>
    <row r="4013" spans="1:5" x14ac:dyDescent="0.25">
      <c r="A4013" t="str">
        <f>HYPERLINK("https://www.773grp.com/globalSearch/1SMA13AT3G/page-1", "1SMA13AT3G")</f>
        <v>1SMA13AT3G</v>
      </c>
      <c r="B4013" s="3" t="str">
        <f>HYPERLINK("https://www.773grp.com/manufacturer/onsemi?pageNo=1316", "Onsemi")</f>
        <v>Onsemi</v>
      </c>
      <c r="C4013" s="6">
        <v>94980</v>
      </c>
      <c r="D4013" s="7">
        <v>0.57999999999999996</v>
      </c>
      <c r="E4013" t="s">
        <v>75</v>
      </c>
    </row>
    <row r="4014" spans="1:5" x14ac:dyDescent="0.25">
      <c r="A4014" t="str">
        <f>HYPERLINK("https://www.773grp.com/globalSearch/1SMA15AT3G/page-1", "1SMA15AT3G")</f>
        <v>1SMA15AT3G</v>
      </c>
      <c r="B4014" s="3" t="str">
        <f>HYPERLINK("https://www.773grp.com/manufacturer/onsemi?pageNo=1317", "Onsemi")</f>
        <v>Onsemi</v>
      </c>
      <c r="C4014" s="6">
        <v>299750</v>
      </c>
      <c r="D4014" s="7">
        <v>0.57999999999999996</v>
      </c>
      <c r="E4014" t="s">
        <v>75</v>
      </c>
    </row>
    <row r="4015" spans="1:5" x14ac:dyDescent="0.25">
      <c r="A4015" t="str">
        <f>HYPERLINK("https://www.773grp.com/globalSearch/1SMA16AT3G/page-1", "1SMA16AT3G")</f>
        <v>1SMA16AT3G</v>
      </c>
      <c r="B4015" s="3" t="str">
        <f>HYPERLINK("https://www.773grp.com/manufacturer/onsemi?pageNo=1318", "Onsemi")</f>
        <v>Onsemi</v>
      </c>
      <c r="C4015" s="6">
        <v>15000</v>
      </c>
      <c r="D4015" s="7">
        <v>0.57999999999999996</v>
      </c>
    </row>
    <row r="4016" spans="1:5" x14ac:dyDescent="0.25">
      <c r="A4016" t="str">
        <f>HYPERLINK("https://www.773grp.com/globalSearch/1SMA18AT3G/page-1", "1SMA18AT3G")</f>
        <v>1SMA18AT3G</v>
      </c>
      <c r="B4016" s="3" t="str">
        <f>HYPERLINK("https://www.773grp.com/manufacturer/onsemi?pageNo=1319", "Onsemi")</f>
        <v>Onsemi</v>
      </c>
      <c r="C4016" s="6">
        <v>70000</v>
      </c>
      <c r="D4016" s="7">
        <v>0.57999999999999996</v>
      </c>
      <c r="E4016" t="s">
        <v>75</v>
      </c>
    </row>
    <row r="4017" spans="1:5" x14ac:dyDescent="0.25">
      <c r="A4017" t="str">
        <f>HYPERLINK("https://www.773grp.com/globalSearch/1SMA20AT3G/page-1", "1SMA20AT3G")</f>
        <v>1SMA20AT3G</v>
      </c>
      <c r="B4017" s="3" t="str">
        <f>HYPERLINK("https://www.773grp.com/manufacturer/onsemi?pageNo=1320", "Onsemi")</f>
        <v>Onsemi</v>
      </c>
      <c r="C4017" s="6">
        <v>130000</v>
      </c>
      <c r="D4017" s="7">
        <v>0.57999999999999996</v>
      </c>
      <c r="E4017" t="s">
        <v>75</v>
      </c>
    </row>
    <row r="4018" spans="1:5" x14ac:dyDescent="0.25">
      <c r="A4018" t="str">
        <f>HYPERLINK("https://www.773grp.com/globalSearch/1SMA24AT3G/page-1", "1SMA24AT3G")</f>
        <v>1SMA24AT3G</v>
      </c>
      <c r="B4018" s="3" t="str">
        <f>HYPERLINK("https://www.773grp.com/manufacturer/onsemi?pageNo=1321", "Onsemi")</f>
        <v>Onsemi</v>
      </c>
      <c r="C4018" s="6">
        <v>300000</v>
      </c>
      <c r="D4018" s="7">
        <v>0.57999999999999996</v>
      </c>
      <c r="E4018" t="s">
        <v>75</v>
      </c>
    </row>
    <row r="4019" spans="1:5" x14ac:dyDescent="0.25">
      <c r="A4019" t="str">
        <f>HYPERLINK("https://www.773grp.com/globalSearch/1SMA26AT3G/page-1", "1SMA26AT3G")</f>
        <v>1SMA26AT3G</v>
      </c>
      <c r="B4019" s="3" t="str">
        <f>HYPERLINK("https://www.773grp.com/manufacturer/onsemi?pageNo=1322", "Onsemi")</f>
        <v>Onsemi</v>
      </c>
      <c r="C4019" s="6">
        <v>23000</v>
      </c>
      <c r="D4019" s="7">
        <v>0.57999999999999996</v>
      </c>
      <c r="E4019" t="s">
        <v>75</v>
      </c>
    </row>
    <row r="4020" spans="1:5" x14ac:dyDescent="0.25">
      <c r="A4020" t="str">
        <f>HYPERLINK("https://www.773grp.com/globalSearch/1SMA30AT3G/page-1", "1SMA30AT3G")</f>
        <v>1SMA30AT3G</v>
      </c>
      <c r="B4020" s="3" t="str">
        <f>HYPERLINK("https://www.773grp.com/manufacturer/onsemi?pageNo=1323", "Onsemi")</f>
        <v>Onsemi</v>
      </c>
      <c r="C4020" s="6">
        <v>25000</v>
      </c>
      <c r="D4020" s="7">
        <v>0.57999999999999996</v>
      </c>
    </row>
    <row r="4021" spans="1:5" x14ac:dyDescent="0.25">
      <c r="A4021" t="str">
        <f>HYPERLINK("https://www.773grp.com/globalSearch/1SMA33AT3G/page-1", "1SMA33AT3G")</f>
        <v>1SMA33AT3G</v>
      </c>
      <c r="B4021" s="3" t="str">
        <f>HYPERLINK("https://www.773grp.com/manufacturer/onsemi?pageNo=1324", "Onsemi")</f>
        <v>Onsemi</v>
      </c>
      <c r="C4021" s="6">
        <v>40000</v>
      </c>
      <c r="D4021" s="7">
        <v>0.57999999999999996</v>
      </c>
      <c r="E4021" t="s">
        <v>75</v>
      </c>
    </row>
    <row r="4022" spans="1:5" x14ac:dyDescent="0.25">
      <c r="A4022" t="str">
        <f>HYPERLINK("https://www.773grp.com/globalSearch/1SMA43AT3G/page-1", "1SMA43AT3G")</f>
        <v>1SMA43AT3G</v>
      </c>
      <c r="B4022" s="3" t="str">
        <f>HYPERLINK("https://www.773grp.com/manufacturer/onsemi?pageNo=1325", "Onsemi")</f>
        <v>Onsemi</v>
      </c>
      <c r="C4022" s="6">
        <v>110000</v>
      </c>
      <c r="D4022" s="7">
        <v>0.57999999999999996</v>
      </c>
      <c r="E4022" t="s">
        <v>75</v>
      </c>
    </row>
    <row r="4023" spans="1:5" x14ac:dyDescent="0.25">
      <c r="A4023" t="str">
        <f>HYPERLINK("https://www.773grp.com/globalSearch/1SMA45AT3G/page-1", "1SMA45AT3G")</f>
        <v>1SMA45AT3G</v>
      </c>
      <c r="B4023" s="3" t="str">
        <f>HYPERLINK("https://www.773grp.com/manufacturer/onsemi?pageNo=1326", "Onsemi")</f>
        <v>Onsemi</v>
      </c>
      <c r="C4023" s="6">
        <v>20000</v>
      </c>
      <c r="D4023" s="7">
        <v>0.57999999999999996</v>
      </c>
      <c r="E4023" t="s">
        <v>75</v>
      </c>
    </row>
    <row r="4024" spans="1:5" x14ac:dyDescent="0.25">
      <c r="A4024" t="str">
        <f>HYPERLINK("https://www.773grp.com/globalSearch/1SMA5.0AT3G/page-1", "1SMA5.0AT3G")</f>
        <v>1SMA5.0AT3G</v>
      </c>
      <c r="B4024" s="3" t="str">
        <f>HYPERLINK("https://www.773grp.com/manufacturer/onsemi?pageNo=1327", "Onsemi")</f>
        <v>Onsemi</v>
      </c>
      <c r="C4024" s="6">
        <v>60000</v>
      </c>
      <c r="D4024" s="7">
        <v>0.57999999999999996</v>
      </c>
      <c r="E4024" t="s">
        <v>75</v>
      </c>
    </row>
    <row r="4025" spans="1:5" x14ac:dyDescent="0.25">
      <c r="A4025" t="str">
        <f>HYPERLINK("https://www.773grp.com/globalSearch/1SMA54AT3G/page-1", "1SMA54AT3G")</f>
        <v>1SMA54AT3G</v>
      </c>
      <c r="B4025" s="3" t="str">
        <f>HYPERLINK("https://www.773grp.com/manufacturer/onsemi?pageNo=1328", "Onsemi")</f>
        <v>Onsemi</v>
      </c>
      <c r="C4025" s="6">
        <v>120000</v>
      </c>
      <c r="D4025" s="7">
        <v>0.57999999999999996</v>
      </c>
      <c r="E4025" t="s">
        <v>75</v>
      </c>
    </row>
    <row r="4026" spans="1:5" x14ac:dyDescent="0.25">
      <c r="A4026" t="str">
        <f>HYPERLINK("https://www.773grp.com/globalSearch/1SMA6.0AT3G/page-1", "1SMA6.0AT3G")</f>
        <v>1SMA6.0AT3G</v>
      </c>
      <c r="B4026" s="3" t="str">
        <f>HYPERLINK("https://www.773grp.com/manufacturer/onsemi?pageNo=1329", "Onsemi")</f>
        <v>Onsemi</v>
      </c>
      <c r="C4026" s="6">
        <v>17110</v>
      </c>
      <c r="D4026" s="7">
        <v>0.57999999999999996</v>
      </c>
      <c r="E4026" t="s">
        <v>75</v>
      </c>
    </row>
    <row r="4027" spans="1:5" x14ac:dyDescent="0.25">
      <c r="A4027" t="str">
        <f>HYPERLINK("https://www.773grp.com/globalSearch/1SMA6.5AT3G/page-1", "1SMA6.5AT3G")</f>
        <v>1SMA6.5AT3G</v>
      </c>
      <c r="B4027" s="3" t="str">
        <f>HYPERLINK("https://www.773grp.com/manufacturer/onsemi?pageNo=1330", "Onsemi")</f>
        <v>Onsemi</v>
      </c>
      <c r="C4027" s="6">
        <v>30000</v>
      </c>
      <c r="D4027" s="7">
        <v>0.57999999999999996</v>
      </c>
      <c r="E4027" t="s">
        <v>75</v>
      </c>
    </row>
    <row r="4028" spans="1:5" x14ac:dyDescent="0.25">
      <c r="A4028" t="str">
        <f>HYPERLINK("https://www.773grp.com/globalSearch/1SMA70AT3G/page-1", "1SMA70AT3G")</f>
        <v>1SMA70AT3G</v>
      </c>
      <c r="B4028" s="3" t="str">
        <f>HYPERLINK("https://www.773grp.com/manufacturer/onsemi?pageNo=1331", "Onsemi")</f>
        <v>Onsemi</v>
      </c>
      <c r="C4028" s="6">
        <v>8000</v>
      </c>
      <c r="D4028" s="7">
        <v>0.57999999999999996</v>
      </c>
      <c r="E4028" t="s">
        <v>75</v>
      </c>
    </row>
    <row r="4029" spans="1:5" x14ac:dyDescent="0.25">
      <c r="A4029" t="str">
        <f>HYPERLINK("https://www.773grp.com/globalSearch/1SMA8.0AT3G/page-1", "1SMA8.0AT3G")</f>
        <v>1SMA8.0AT3G</v>
      </c>
      <c r="B4029" s="3" t="str">
        <f>HYPERLINK("https://www.773grp.com/manufacturer/onsemi?pageNo=1332", "Onsemi")</f>
        <v>Onsemi</v>
      </c>
      <c r="C4029" s="6">
        <v>25000</v>
      </c>
      <c r="D4029" s="7">
        <v>0.57999999999999996</v>
      </c>
      <c r="E4029" t="s">
        <v>75</v>
      </c>
    </row>
    <row r="4030" spans="1:5" x14ac:dyDescent="0.25">
      <c r="A4030" t="str">
        <f>HYPERLINK("https://www.773grp.com/globalSearch/1SMA9.0AT3G/page-1", "1SMA9.0AT3G")</f>
        <v>1SMA9.0AT3G</v>
      </c>
      <c r="B4030" s="3" t="str">
        <f>HYPERLINK("https://www.773grp.com/manufacturer/onsemi?pageNo=1333", "Onsemi")</f>
        <v>Onsemi</v>
      </c>
      <c r="C4030" s="6">
        <v>10000</v>
      </c>
      <c r="D4030" s="7">
        <v>0.57999999999999996</v>
      </c>
      <c r="E4030" t="s">
        <v>75</v>
      </c>
    </row>
    <row r="4031" spans="1:5" x14ac:dyDescent="0.25">
      <c r="A4031" t="str">
        <f>HYPERLINK("https://www.773grp.com/globalSearch/1SMB20CAT3/page-1", "1SMB20CAT3")</f>
        <v>1SMB20CAT3</v>
      </c>
      <c r="B4031" s="3" t="str">
        <f>HYPERLINK("https://www.773grp.com/manufacturer/onsemi?pageNo=1334", "Onsemi")</f>
        <v>Onsemi</v>
      </c>
      <c r="C4031" s="6">
        <v>2150</v>
      </c>
      <c r="D4031" s="7">
        <v>0.57999999999999996</v>
      </c>
      <c r="E4031" t="s">
        <v>75</v>
      </c>
    </row>
    <row r="4032" spans="1:5" x14ac:dyDescent="0.25">
      <c r="A4032" t="str">
        <f>HYPERLINK("https://www.773grp.com/globalSearch/1SMB45CAT3/page-1", "1SMB45CAT3")</f>
        <v>1SMB45CAT3</v>
      </c>
      <c r="B4032" s="3" t="str">
        <f>HYPERLINK("https://www.773grp.com/manufacturer/onsemi?pageNo=1335", "Onsemi")</f>
        <v>Onsemi</v>
      </c>
      <c r="C4032" s="6">
        <v>40000</v>
      </c>
      <c r="D4032" s="7">
        <v>0.57999999999999996</v>
      </c>
      <c r="E4032" t="s">
        <v>75</v>
      </c>
    </row>
    <row r="4033" spans="1:5" x14ac:dyDescent="0.25">
      <c r="A4033" t="str">
        <f>HYPERLINK("https://www.773grp.com/globalSearch/1SMF16BT1/page-1", "1SMF16BT1")</f>
        <v>1SMF16BT1</v>
      </c>
      <c r="B4033" s="3" t="str">
        <f>HYPERLINK("https://www.773grp.com/manufacturer/onsemi?pageNo=1336", "Onsemi")</f>
        <v>Onsemi</v>
      </c>
      <c r="C4033" s="6">
        <v>5973</v>
      </c>
      <c r="D4033" s="7">
        <v>0.57999999999999996</v>
      </c>
      <c r="E4033" t="s">
        <v>75</v>
      </c>
    </row>
    <row r="4034" spans="1:5" x14ac:dyDescent="0.25">
      <c r="A4034" t="str">
        <f>HYPERLINK("https://www.773grp.com/globalSearch/1SMF16BT1G/page-1", "1SMF16BT1G")</f>
        <v>1SMF16BT1G</v>
      </c>
      <c r="B4034" s="3" t="str">
        <f>HYPERLINK("https://www.773grp.com/manufacturer/onsemi?pageNo=1337", "Onsemi")</f>
        <v>Onsemi</v>
      </c>
      <c r="C4034" s="6">
        <v>3000</v>
      </c>
      <c r="D4034" s="7">
        <v>0.57999999999999996</v>
      </c>
      <c r="E4034" t="s">
        <v>75</v>
      </c>
    </row>
    <row r="4035" spans="1:5" x14ac:dyDescent="0.25">
      <c r="A4035" t="str">
        <f>HYPERLINK("https://www.773grp.com/globalSearch/1SMF16BT3G/page-1", "1SMF16BT3G")</f>
        <v>1SMF16BT3G</v>
      </c>
      <c r="B4035" s="3" t="str">
        <f>HYPERLINK("https://www.773grp.com/manufacturer/onsemi?pageNo=1338", "Onsemi")</f>
        <v>Onsemi</v>
      </c>
      <c r="C4035" s="6">
        <v>150000</v>
      </c>
      <c r="D4035" s="7">
        <v>0.57999999999999996</v>
      </c>
      <c r="E4035" t="s">
        <v>75</v>
      </c>
    </row>
    <row r="4036" spans="1:5" x14ac:dyDescent="0.25">
      <c r="A4036" t="str">
        <f>HYPERLINK("https://www.773grp.com/globalSearch/1SV233-TB-E/page-1", "1SV233-TB-E")</f>
        <v>1SV233-TB-E</v>
      </c>
      <c r="B4036" s="3" t="str">
        <f>HYPERLINK("https://www.773grp.com/manufacturer/onsemi?pageNo=1339", "Onsemi")</f>
        <v>Onsemi</v>
      </c>
      <c r="C4036" s="6">
        <v>12000</v>
      </c>
      <c r="D4036" s="7">
        <v>0.57999999999999996</v>
      </c>
    </row>
    <row r="4037" spans="1:5" x14ac:dyDescent="0.25">
      <c r="A4037" t="str">
        <f>HYPERLINK("https://www.773grp.com/globalSearch/1SV234-TB-E/page-1", "1SV234-TB-E")</f>
        <v>1SV234-TB-E</v>
      </c>
      <c r="B4037" s="3" t="str">
        <f>HYPERLINK("https://www.773grp.com/manufacturer/onsemi?pageNo=1340", "Onsemi")</f>
        <v>Onsemi</v>
      </c>
      <c r="C4037" s="6">
        <v>12000</v>
      </c>
      <c r="D4037" s="7">
        <v>0.57999999999999996</v>
      </c>
    </row>
    <row r="4038" spans="1:5" x14ac:dyDescent="0.25">
      <c r="A4038" t="str">
        <f>HYPERLINK("https://www.773grp.com/globalSearch/2SB1122T-TD-E/page-1", "2SB1122T-TD-E")</f>
        <v>2SB1122T-TD-E</v>
      </c>
      <c r="B4038" s="3" t="str">
        <f>HYPERLINK("https://www.773grp.com/manufacturer/onsemi?pageNo=1341", "Onsemi")</f>
        <v>Onsemi</v>
      </c>
      <c r="C4038" s="6">
        <v>1000</v>
      </c>
      <c r="D4038" s="7">
        <v>0.57999999999999996</v>
      </c>
    </row>
    <row r="4039" spans="1:5" x14ac:dyDescent="0.25">
      <c r="A4039" t="str">
        <f>HYPERLINK("https://www.773grp.com/globalSearch/74HC244DTR2G/page-1", "74HC244DTR2G")</f>
        <v>74HC244DTR2G</v>
      </c>
      <c r="B4039" s="3" t="str">
        <f>HYPERLINK("https://www.773grp.com/manufacturer/onsemi?pageNo=1342", "Onsemi")</f>
        <v>Onsemi</v>
      </c>
      <c r="C4039" s="6">
        <v>124361</v>
      </c>
      <c r="D4039" s="7">
        <v>0.57999999999999996</v>
      </c>
      <c r="E4039" t="s">
        <v>17</v>
      </c>
    </row>
    <row r="4040" spans="1:5" x14ac:dyDescent="0.25">
      <c r="A4040" t="str">
        <f>HYPERLINK("https://www.773grp.com/globalSearch/74HC245DTR2G/page-1", "74HC245DTR2G")</f>
        <v>74HC245DTR2G</v>
      </c>
      <c r="B4040" s="3" t="str">
        <f>HYPERLINK("https://www.773grp.com/manufacturer/onsemi?pageNo=1343", "Onsemi")</f>
        <v>Onsemi</v>
      </c>
      <c r="C4040" s="6">
        <v>244850</v>
      </c>
      <c r="D4040" s="7">
        <v>0.57999999999999996</v>
      </c>
      <c r="E4040" t="s">
        <v>11</v>
      </c>
    </row>
    <row r="4041" spans="1:5" x14ac:dyDescent="0.25">
      <c r="A4041" t="str">
        <f>HYPERLINK("https://www.773grp.com/globalSearch/74HCT245DTR2G/page-1", "74HCT245DTR2G")</f>
        <v>74HCT245DTR2G</v>
      </c>
      <c r="B4041" s="3" t="str">
        <f>HYPERLINK("https://www.773grp.com/manufacturer/onsemi?pageNo=1344", "Onsemi")</f>
        <v>Onsemi</v>
      </c>
      <c r="C4041" s="6">
        <v>47470</v>
      </c>
      <c r="D4041" s="7">
        <v>0.57999999999999996</v>
      </c>
    </row>
    <row r="4042" spans="1:5" x14ac:dyDescent="0.25">
      <c r="A4042" t="str">
        <f>HYPERLINK("https://www.773grp.com/globalSearch/BCP53-10T1G/page-1", "BCP53-10T1G")</f>
        <v>BCP53-10T1G</v>
      </c>
      <c r="B4042" s="3" t="str">
        <f>HYPERLINK("https://www.773grp.com/manufacturer/onsemi?pageNo=1345", "Onsemi")</f>
        <v>Onsemi</v>
      </c>
      <c r="C4042" s="6">
        <v>377000</v>
      </c>
      <c r="D4042" s="7">
        <v>0.57999999999999996</v>
      </c>
      <c r="E4042" t="s">
        <v>47</v>
      </c>
    </row>
    <row r="4043" spans="1:5" x14ac:dyDescent="0.25">
      <c r="A4043" t="str">
        <f>HYPERLINK("https://www.773grp.com/globalSearch/BCP56-16T1G/page-1", "BCP56-16T1G")</f>
        <v>BCP56-16T1G</v>
      </c>
      <c r="B4043" s="3" t="str">
        <f>HYPERLINK("https://www.773grp.com/manufacturer/onsemi?pageNo=1346", "Onsemi")</f>
        <v>Onsemi</v>
      </c>
      <c r="C4043" s="6">
        <v>47494</v>
      </c>
      <c r="D4043" s="7">
        <v>0.57999999999999996</v>
      </c>
      <c r="E4043" t="s">
        <v>47</v>
      </c>
    </row>
    <row r="4044" spans="1:5" x14ac:dyDescent="0.25">
      <c r="A4044" t="str">
        <f>HYPERLINK("https://www.773grp.com/globalSearch/BCP56-16T3G/page-1", "BCP56-16T3G")</f>
        <v>BCP56-16T3G</v>
      </c>
      <c r="B4044" s="3" t="str">
        <f>HYPERLINK("https://www.773grp.com/manufacturer/onsemi?pageNo=1347", "Onsemi")</f>
        <v>Onsemi</v>
      </c>
      <c r="C4044" s="6">
        <v>66521</v>
      </c>
      <c r="D4044" s="7">
        <v>0.57999999999999996</v>
      </c>
    </row>
    <row r="4045" spans="1:5" x14ac:dyDescent="0.25">
      <c r="A4045" t="str">
        <f>HYPERLINK("https://www.773grp.com/globalSearch/BCP56T1G/page-1", "BCP56T1G")</f>
        <v>BCP56T1G</v>
      </c>
      <c r="B4045" s="3" t="str">
        <f>HYPERLINK("https://www.773grp.com/manufacturer/onsemi?pageNo=1348", "Onsemi")</f>
        <v>Onsemi</v>
      </c>
      <c r="C4045" s="6">
        <v>341000</v>
      </c>
      <c r="D4045" s="7">
        <v>0.57999999999999996</v>
      </c>
      <c r="E4045" t="s">
        <v>47</v>
      </c>
    </row>
    <row r="4046" spans="1:5" x14ac:dyDescent="0.25">
      <c r="A4046" t="str">
        <f>HYPERLINK("https://www.773grp.com/globalSearch/BCP56T3G/page-1", "BCP56T3G")</f>
        <v>BCP56T3G</v>
      </c>
      <c r="B4046" s="3" t="str">
        <f>HYPERLINK("https://www.773grp.com/manufacturer/onsemi?pageNo=1", "Onsemi")</f>
        <v>Onsemi</v>
      </c>
      <c r="C4046" s="6">
        <v>176000</v>
      </c>
      <c r="D4046" s="7">
        <v>0.57999999999999996</v>
      </c>
      <c r="E4046" t="s">
        <v>47</v>
      </c>
    </row>
    <row r="4047" spans="1:5" x14ac:dyDescent="0.25">
      <c r="A4047" t="str">
        <f>HYPERLINK("https://www.773grp.com/globalSearch/BD241C/page-1", "BD241C")</f>
        <v>BD241C</v>
      </c>
      <c r="B4047" s="3" t="str">
        <f>HYPERLINK("https://www.773grp.com/manufacturer/onsemi?pageNo=2", "Onsemi")</f>
        <v>Onsemi</v>
      </c>
      <c r="C4047" s="6">
        <v>46</v>
      </c>
      <c r="D4047" s="7">
        <v>0.57999999999999996</v>
      </c>
      <c r="E4047" t="s">
        <v>47</v>
      </c>
    </row>
    <row r="4048" spans="1:5" x14ac:dyDescent="0.25">
      <c r="A4048" t="str">
        <f>HYPERLINK("https://www.773grp.com/globalSearch/BD242C/page-1", "BD242C")</f>
        <v>BD242C</v>
      </c>
      <c r="B4048" s="3" t="str">
        <f>HYPERLINK("https://www.773grp.com/manufacturer/onsemi?pageNo=3", "Onsemi")</f>
        <v>Onsemi</v>
      </c>
      <c r="C4048" s="6">
        <v>44</v>
      </c>
      <c r="D4048" s="7">
        <v>0.57999999999999996</v>
      </c>
      <c r="E4048" t="s">
        <v>47</v>
      </c>
    </row>
    <row r="4049" spans="1:5" x14ac:dyDescent="0.25">
      <c r="A4049" t="str">
        <f>HYPERLINK("https://www.773grp.com/globalSearch/BF240/page-1", "BF240")</f>
        <v>BF240</v>
      </c>
      <c r="B4049" s="3" t="str">
        <f>HYPERLINK("https://www.773grp.com/manufacturer/onsemi?pageNo=4", "Onsemi")</f>
        <v>Onsemi</v>
      </c>
      <c r="C4049" s="6">
        <v>8300</v>
      </c>
      <c r="D4049" s="7">
        <v>0.57999999999999996</v>
      </c>
      <c r="E4049" t="s">
        <v>57</v>
      </c>
    </row>
    <row r="4050" spans="1:5" x14ac:dyDescent="0.25">
      <c r="A4050" t="str">
        <f>HYPERLINK("https://www.773grp.com/globalSearch/BF240RL1/page-1", "BF240RL1")</f>
        <v>BF240RL1</v>
      </c>
      <c r="B4050" s="3" t="str">
        <f>HYPERLINK("https://www.773grp.com/manufacturer/onsemi?pageNo=5", "Onsemi")</f>
        <v>Onsemi</v>
      </c>
      <c r="C4050" s="6">
        <v>20000</v>
      </c>
      <c r="D4050" s="7">
        <v>0.57999999999999996</v>
      </c>
      <c r="E4050" t="s">
        <v>49</v>
      </c>
    </row>
    <row r="4051" spans="1:5" x14ac:dyDescent="0.25">
      <c r="A4051" t="str">
        <f>HYPERLINK("https://www.773grp.com/globalSearch/BF421/page-1", "BF421")</f>
        <v>BF421</v>
      </c>
      <c r="B4051" s="3" t="str">
        <f>HYPERLINK("https://www.773grp.com/manufacturer/onsemi?pageNo=6", "Onsemi")</f>
        <v>Onsemi</v>
      </c>
      <c r="C4051" s="6">
        <v>7283</v>
      </c>
      <c r="D4051" s="7">
        <v>0.57999999999999996</v>
      </c>
      <c r="E4051" t="s">
        <v>57</v>
      </c>
    </row>
    <row r="4052" spans="1:5" x14ac:dyDescent="0.25">
      <c r="A4052" t="str">
        <f>HYPERLINK("https://www.773grp.com/globalSearch/BSP52T1/page-1", "BSP52T1")</f>
        <v>BSP52T1</v>
      </c>
      <c r="B4052" s="3" t="str">
        <f>HYPERLINK("https://www.773grp.com/manufacturer/onsemi?pageNo=7", "Onsemi")</f>
        <v>Onsemi</v>
      </c>
      <c r="C4052" s="6">
        <v>13000</v>
      </c>
      <c r="D4052" s="7">
        <v>0.57999999999999996</v>
      </c>
      <c r="E4052" t="s">
        <v>57</v>
      </c>
    </row>
    <row r="4053" spans="1:5" x14ac:dyDescent="0.25">
      <c r="A4053" t="str">
        <f>HYPERLINK("https://www.773grp.com/globalSearch/BZG03C15G/page-1", "BZG03C15G")</f>
        <v>BZG03C15G</v>
      </c>
      <c r="B4053" s="3" t="str">
        <f>HYPERLINK("https://www.773grp.com/manufacturer/onsemi?pageNo=8", "Onsemi")</f>
        <v>Onsemi</v>
      </c>
      <c r="C4053" s="6">
        <v>35650</v>
      </c>
      <c r="D4053" s="7">
        <v>0.57999999999999996</v>
      </c>
      <c r="E4053" t="s">
        <v>75</v>
      </c>
    </row>
    <row r="4054" spans="1:5" x14ac:dyDescent="0.25">
      <c r="A4054" t="str">
        <f>HYPERLINK("https://www.773grp.com/globalSearch/CAT24C02LI-G/page-1", "CAT24C02LI-G")</f>
        <v>CAT24C02LI-G</v>
      </c>
      <c r="B4054" s="3" t="str">
        <f>HYPERLINK("https://www.773grp.com/manufacturer/onsemi?pageNo=9", "Onsemi")</f>
        <v>Onsemi</v>
      </c>
      <c r="C4054" s="6">
        <v>475550</v>
      </c>
      <c r="D4054" s="7">
        <v>0.57999999999999996</v>
      </c>
      <c r="E4054" t="s">
        <v>52</v>
      </c>
    </row>
    <row r="4055" spans="1:5" x14ac:dyDescent="0.25">
      <c r="A4055" t="str">
        <f>HYPERLINK("https://www.773grp.com/globalSearch/CAT24C02LI-G/page-1", "CAT24C02LI-G")</f>
        <v>CAT24C02LI-G</v>
      </c>
      <c r="B4055" s="3" t="str">
        <f>HYPERLINK("https://www.773grp.com/manufacturer/onsemi?pageNo=10", "Onsemi")</f>
        <v>Onsemi</v>
      </c>
      <c r="C4055" s="6">
        <v>40566</v>
      </c>
      <c r="D4055" s="7">
        <v>0.57999999999999996</v>
      </c>
      <c r="E4055" t="s">
        <v>52</v>
      </c>
    </row>
    <row r="4056" spans="1:5" x14ac:dyDescent="0.25">
      <c r="A4056" t="str">
        <f>HYPERLINK("https://www.773grp.com/globalSearch/CAT24C08WI-GT3/page-1", "CAT24C08WI-GT3")</f>
        <v>CAT24C08WI-GT3</v>
      </c>
      <c r="B4056" s="3" t="str">
        <f>HYPERLINK("https://www.773grp.com/manufacturer/onsemi?pageNo=11", "Onsemi")</f>
        <v>Onsemi</v>
      </c>
      <c r="C4056" s="6">
        <v>12000</v>
      </c>
      <c r="D4056" s="7">
        <v>0.57999999999999996</v>
      </c>
      <c r="E4056" t="s">
        <v>52</v>
      </c>
    </row>
    <row r="4057" spans="1:5" x14ac:dyDescent="0.25">
      <c r="A4057" t="str">
        <f>HYPERLINK("https://www.773grp.com/globalSearch/CAT24C08WI-GT3/page-1", "CAT24C08WI-GT3")</f>
        <v>CAT24C08WI-GT3</v>
      </c>
      <c r="B4057" s="3" t="str">
        <f>HYPERLINK("https://www.773grp.com/manufacturer/onsemi?pageNo=12", "Onsemi")</f>
        <v>Onsemi</v>
      </c>
      <c r="C4057" s="6">
        <v>510040</v>
      </c>
      <c r="D4057" s="7">
        <v>0.57999999999999996</v>
      </c>
      <c r="E4057" t="s">
        <v>52</v>
      </c>
    </row>
    <row r="4058" spans="1:5" x14ac:dyDescent="0.25">
      <c r="A4058" t="str">
        <f>HYPERLINK("https://www.773grp.com/globalSearch/CAT24C08YI-GT3/page-1", "CAT24C08YI-GT3")</f>
        <v>CAT24C08YI-GT3</v>
      </c>
      <c r="B4058" s="3" t="str">
        <f>HYPERLINK("https://www.773grp.com/manufacturer/onsemi?pageNo=13", "Onsemi")</f>
        <v>Onsemi</v>
      </c>
      <c r="C4058" s="6">
        <v>115640</v>
      </c>
      <c r="D4058" s="7">
        <v>0.57999999999999996</v>
      </c>
      <c r="E4058" t="s">
        <v>52</v>
      </c>
    </row>
    <row r="4059" spans="1:5" x14ac:dyDescent="0.25">
      <c r="A4059" t="str">
        <f>HYPERLINK("https://www.773grp.com/globalSearch/CAT24C08YI-GT3/page-1", "CAT24C08YI-GT3")</f>
        <v>CAT24C08YI-GT3</v>
      </c>
      <c r="B4059" s="3" t="str">
        <f>HYPERLINK("https://www.773grp.com/manufacturer/onsemi?pageNo=14", "Onsemi")</f>
        <v>Onsemi</v>
      </c>
      <c r="C4059" s="6">
        <v>5525</v>
      </c>
      <c r="D4059" s="7">
        <v>0.57999999999999996</v>
      </c>
      <c r="E4059" t="s">
        <v>52</v>
      </c>
    </row>
    <row r="4060" spans="1:5" x14ac:dyDescent="0.25">
      <c r="A4060" t="str">
        <f>HYPERLINK("https://www.773grp.com/globalSearch/CAT25010VI-G/page-1", "CAT25010VI-G")</f>
        <v>CAT25010VI-G</v>
      </c>
      <c r="B4060" s="3" t="str">
        <f>HYPERLINK("https://www.773grp.com/manufacturer/onsemi?pageNo=15", "Onsemi")</f>
        <v>Onsemi</v>
      </c>
      <c r="C4060" s="6">
        <v>3049</v>
      </c>
      <c r="D4060" s="7">
        <v>0.57999999999999996</v>
      </c>
    </row>
    <row r="4061" spans="1:5" x14ac:dyDescent="0.25">
      <c r="A4061" t="str">
        <f>HYPERLINK("https://www.773grp.com/globalSearch/CAT93C46VI-GT3/page-1", "CAT93C46VI-GT3")</f>
        <v>CAT93C46VI-GT3</v>
      </c>
      <c r="B4061" s="3" t="str">
        <f>HYPERLINK("https://www.773grp.com/manufacturer/onsemi?pageNo=16", "Onsemi")</f>
        <v>Onsemi</v>
      </c>
      <c r="C4061" s="6">
        <v>14680</v>
      </c>
      <c r="D4061" s="7">
        <v>0.57999999999999996</v>
      </c>
      <c r="E4061" t="s">
        <v>52</v>
      </c>
    </row>
    <row r="4062" spans="1:5" x14ac:dyDescent="0.25">
      <c r="A4062" t="str">
        <f>HYPERLINK("https://www.773grp.com/globalSearch/CAT93C46VI-GT3/page-1", "CAT93C46VI-GT3")</f>
        <v>CAT93C46VI-GT3</v>
      </c>
      <c r="B4062" s="3" t="str">
        <f>HYPERLINK("https://www.773grp.com/manufacturer/onsemi?pageNo=17", "Onsemi")</f>
        <v>Onsemi</v>
      </c>
      <c r="C4062" s="6">
        <v>127476</v>
      </c>
      <c r="D4062" s="7">
        <v>0.57999999999999996</v>
      </c>
      <c r="E4062" t="s">
        <v>52</v>
      </c>
    </row>
    <row r="4063" spans="1:5" x14ac:dyDescent="0.25">
      <c r="A4063" t="str">
        <f>HYPERLINK("https://www.773grp.com/globalSearch/CAT93C46WI-GT3/page-1", "CAT93C46WI-GT3")</f>
        <v>CAT93C46WI-GT3</v>
      </c>
      <c r="B4063" s="3" t="str">
        <f>HYPERLINK("https://www.773grp.com/manufacturer/onsemi?pageNo=18", "Onsemi")</f>
        <v>Onsemi</v>
      </c>
      <c r="C4063" s="6">
        <v>12000</v>
      </c>
      <c r="D4063" s="7">
        <v>0.57999999999999996</v>
      </c>
      <c r="E4063" t="s">
        <v>52</v>
      </c>
    </row>
    <row r="4064" spans="1:5" x14ac:dyDescent="0.25">
      <c r="A4064" t="str">
        <f>HYPERLINK("https://www.773grp.com/globalSearch/CAT93C46YI-GT3/page-1", "CAT93C46YI-GT3")</f>
        <v>CAT93C46YI-GT3</v>
      </c>
      <c r="B4064" s="3" t="str">
        <f>HYPERLINK("https://www.773grp.com/manufacturer/onsemi?pageNo=19", "Onsemi")</f>
        <v>Onsemi</v>
      </c>
      <c r="C4064" s="6">
        <v>3000</v>
      </c>
      <c r="D4064" s="7">
        <v>0.57999999999999996</v>
      </c>
      <c r="E4064" t="s">
        <v>52</v>
      </c>
    </row>
    <row r="4065" spans="1:5" x14ac:dyDescent="0.25">
      <c r="A4065" t="str">
        <f>HYPERLINK("https://www.773grp.com/globalSearch/CAT93C46YI-GT3/page-1", "CAT93C46YI-GT3")</f>
        <v>CAT93C46YI-GT3</v>
      </c>
      <c r="B4065" s="3" t="str">
        <f>HYPERLINK("https://www.773grp.com/manufacturer/onsemi?pageNo=20", "Onsemi")</f>
        <v>Onsemi</v>
      </c>
      <c r="C4065" s="6">
        <v>2680</v>
      </c>
      <c r="D4065" s="7">
        <v>0.57999999999999996</v>
      </c>
      <c r="E4065" t="s">
        <v>52</v>
      </c>
    </row>
    <row r="4066" spans="1:5" x14ac:dyDescent="0.25">
      <c r="A4066" t="str">
        <f>HYPERLINK("https://www.773grp.com/globalSearch/CAT93C66YI-G/page-1", "CAT93C66YI-G")</f>
        <v>CAT93C66YI-G</v>
      </c>
      <c r="B4066" s="3" t="str">
        <f>HYPERLINK("https://www.773grp.com/manufacturer/onsemi?pageNo=21", "Onsemi")</f>
        <v>Onsemi</v>
      </c>
      <c r="C4066" s="6">
        <v>9900</v>
      </c>
      <c r="D4066" s="7">
        <v>0.57999999999999996</v>
      </c>
    </row>
    <row r="4067" spans="1:5" x14ac:dyDescent="0.25">
      <c r="A4067" t="str">
        <f>HYPERLINK("https://www.773grp.com/globalSearch/CM1213A-01SO/page-1", "CM1213A-01SO")</f>
        <v>CM1213A-01SO</v>
      </c>
      <c r="B4067" s="3" t="str">
        <f>HYPERLINK("https://www.773grp.com/manufacturer/onsemi?pageNo=22", "Onsemi")</f>
        <v>Onsemi</v>
      </c>
      <c r="C4067" s="6">
        <v>16152</v>
      </c>
      <c r="D4067" s="7">
        <v>0.57999999999999996</v>
      </c>
    </row>
    <row r="4068" spans="1:5" x14ac:dyDescent="0.25">
      <c r="A4068" t="str">
        <f>HYPERLINK("https://www.773grp.com/globalSearch/CM1213A-02SO/page-1", "CM1213A-02SO")</f>
        <v>CM1213A-02SO</v>
      </c>
      <c r="B4068" s="3" t="str">
        <f>HYPERLINK("https://www.773grp.com/manufacturer/onsemi?pageNo=23", "Onsemi")</f>
        <v>Onsemi</v>
      </c>
      <c r="C4068" s="6">
        <v>67700</v>
      </c>
      <c r="D4068" s="7">
        <v>0.57999999999999996</v>
      </c>
    </row>
    <row r="4069" spans="1:5" x14ac:dyDescent="0.25">
      <c r="A4069" t="str">
        <f>HYPERLINK("https://www.773grp.com/globalSearch/CM1213A-02SR/page-1", "CM1213A-02SR")</f>
        <v>CM1213A-02SR</v>
      </c>
      <c r="B4069" s="3" t="str">
        <f>HYPERLINK("https://www.773grp.com/manufacturer/onsemi?pageNo=24", "Onsemi")</f>
        <v>Onsemi</v>
      </c>
      <c r="C4069" s="6">
        <v>36000</v>
      </c>
      <c r="D4069" s="7">
        <v>0.57999999999999996</v>
      </c>
      <c r="E4069" t="s">
        <v>75</v>
      </c>
    </row>
    <row r="4070" spans="1:5" x14ac:dyDescent="0.25">
      <c r="A4070" t="str">
        <f>HYPERLINK("https://www.773grp.com/globalSearch/CM1214A-01SO/page-1", "CM1214A-01SO")</f>
        <v>CM1214A-01SO</v>
      </c>
      <c r="B4070" s="3" t="str">
        <f>HYPERLINK("https://www.773grp.com/manufacturer/onsemi?pageNo=25", "Onsemi")</f>
        <v>Onsemi</v>
      </c>
      <c r="C4070" s="6">
        <v>59940</v>
      </c>
      <c r="D4070" s="7">
        <v>0.57999999999999996</v>
      </c>
      <c r="E4070" t="s">
        <v>75</v>
      </c>
    </row>
    <row r="4071" spans="1:5" x14ac:dyDescent="0.25">
      <c r="A4071" t="str">
        <f>HYPERLINK("https://www.773grp.com/globalSearch/CM1214A-02MR/page-1", "CM1214A-02MR")</f>
        <v>CM1214A-02MR</v>
      </c>
      <c r="B4071" s="3" t="str">
        <f>HYPERLINK("https://www.773grp.com/manufacturer/onsemi?pageNo=26", "Onsemi")</f>
        <v>Onsemi</v>
      </c>
      <c r="C4071" s="6">
        <v>18060</v>
      </c>
      <c r="D4071" s="7">
        <v>0.57999999999999996</v>
      </c>
    </row>
    <row r="4072" spans="1:5" x14ac:dyDescent="0.25">
      <c r="A4072" t="str">
        <f>HYPERLINK("https://www.773grp.com/globalSearch/CM1485-02SE/page-1", "CM1485-02SE")</f>
        <v>CM1485-02SE</v>
      </c>
      <c r="B4072" s="3" t="str">
        <f>HYPERLINK("https://www.773grp.com/manufacturer/onsemi?pageNo=27", "Onsemi")</f>
        <v>Onsemi</v>
      </c>
      <c r="C4072" s="6">
        <v>12850</v>
      </c>
      <c r="D4072" s="7">
        <v>0.57999999999999996</v>
      </c>
      <c r="E4072" t="s">
        <v>79</v>
      </c>
    </row>
    <row r="4073" spans="1:5" x14ac:dyDescent="0.25">
      <c r="A4073" t="str">
        <f>HYPERLINK("https://www.773grp.com/globalSearch/EMH2408-TL-H/page-1", "EMH2408-TL-H")</f>
        <v>EMH2408-TL-H</v>
      </c>
      <c r="B4073" s="3" t="str">
        <f>HYPERLINK("https://www.773grp.com/manufacturer/onsemi?pageNo=28", "Onsemi")</f>
        <v>Onsemi</v>
      </c>
      <c r="C4073" s="6">
        <v>9000</v>
      </c>
      <c r="D4073" s="7">
        <v>0.57999999999999996</v>
      </c>
    </row>
    <row r="4074" spans="1:5" x14ac:dyDescent="0.25">
      <c r="A4074" t="str">
        <f>HYPERLINK("https://www.773grp.com/globalSearch/EMI5204MUTAG/page-1", "EMI5204MUTAG")</f>
        <v>EMI5204MUTAG</v>
      </c>
      <c r="B4074" s="3" t="str">
        <f>HYPERLINK("https://www.773grp.com/manufacturer/onsemi?pageNo=29", "Onsemi")</f>
        <v>Onsemi</v>
      </c>
      <c r="C4074" s="6">
        <v>102000</v>
      </c>
      <c r="D4074" s="7">
        <v>0.57999999999999996</v>
      </c>
    </row>
    <row r="4075" spans="1:5" x14ac:dyDescent="0.25">
      <c r="A4075" t="str">
        <f>HYPERLINK("https://www.773grp.com/globalSearch/FMC33202D/page-1", "FMC33202D")</f>
        <v>FMC33202D</v>
      </c>
      <c r="B4075" s="3" t="str">
        <f>HYPERLINK("https://www.773grp.com/manufacturer/onsemi?pageNo=30", "Onsemi")</f>
        <v>Onsemi</v>
      </c>
      <c r="C4075" s="6">
        <v>1762</v>
      </c>
      <c r="D4075" s="7">
        <v>0.57999999999999996</v>
      </c>
    </row>
    <row r="4076" spans="1:5" x14ac:dyDescent="0.25">
      <c r="A4076" t="str">
        <f>HYPERLINK("https://www.773grp.com/globalSearch/LM2931Z-5.0/page-1", "LM2931Z-5.0")</f>
        <v>LM2931Z-5.0</v>
      </c>
      <c r="B4076" s="3" t="str">
        <f>HYPERLINK("https://www.773grp.com/manufacturer/onsemi?pageNo=31", "Onsemi")</f>
        <v>Onsemi</v>
      </c>
      <c r="C4076" s="6">
        <v>2545</v>
      </c>
      <c r="D4076" s="7">
        <v>0.57999999999999996</v>
      </c>
      <c r="E4076" t="s">
        <v>15</v>
      </c>
    </row>
    <row r="4077" spans="1:5" x14ac:dyDescent="0.25">
      <c r="A4077" t="str">
        <f>HYPERLINK("https://www.773grp.com/globalSearch/LM2931Z-5.0/page-1", "LM2931Z-5.0")</f>
        <v>LM2931Z-5.0</v>
      </c>
      <c r="B4077" s="3" t="str">
        <f>HYPERLINK("https://www.773grp.com/manufacturer/onsemi?pageNo=32", "Onsemi")</f>
        <v>Onsemi</v>
      </c>
      <c r="C4077" s="6">
        <v>3375</v>
      </c>
      <c r="D4077" s="7">
        <v>0.57999999999999996</v>
      </c>
      <c r="E4077" t="s">
        <v>15</v>
      </c>
    </row>
    <row r="4078" spans="1:5" x14ac:dyDescent="0.25">
      <c r="A4078" t="str">
        <f>HYPERLINK("https://www.773grp.com/globalSearch/LM2931Z-5.0RA/page-1", "LM2931Z-5.0RA")</f>
        <v>LM2931Z-5.0RA</v>
      </c>
      <c r="B4078" s="3" t="str">
        <f>HYPERLINK("https://www.773grp.com/manufacturer/onsemi?pageNo=33", "Onsemi")</f>
        <v>Onsemi</v>
      </c>
      <c r="C4078" s="6">
        <v>300000</v>
      </c>
      <c r="D4078" s="7">
        <v>0.57999999999999996</v>
      </c>
      <c r="E4078" t="s">
        <v>15</v>
      </c>
    </row>
    <row r="4079" spans="1:5" x14ac:dyDescent="0.25">
      <c r="A4079" t="str">
        <f>HYPERLINK("https://www.773grp.com/globalSearch/MAX803SQ293D3T1G/page-1", "MAX803SQ293D3T1G")</f>
        <v>MAX803SQ293D3T1G</v>
      </c>
      <c r="B4079" s="3" t="str">
        <f>HYPERLINK("https://www.773grp.com/manufacturer/onsemi?pageNo=34", "Onsemi")</f>
        <v>Onsemi</v>
      </c>
      <c r="C4079" s="6">
        <v>6000</v>
      </c>
      <c r="D4079" s="7">
        <v>0.57999999999999996</v>
      </c>
    </row>
    <row r="4080" spans="1:5" x14ac:dyDescent="0.25">
      <c r="A4080" t="str">
        <f>HYPERLINK("https://www.773grp.com/globalSearch/MAX809SN293D3T1G/page-1", "MAX809SN293D3T1G")</f>
        <v>MAX809SN293D3T1G</v>
      </c>
      <c r="B4080" s="3" t="str">
        <f>HYPERLINK("https://www.773grp.com/manufacturer/onsemi?pageNo=35", "Onsemi")</f>
        <v>Onsemi</v>
      </c>
      <c r="C4080" s="6">
        <v>3000</v>
      </c>
      <c r="D4080" s="7">
        <v>0.57999999999999996</v>
      </c>
      <c r="E4080" t="s">
        <v>26</v>
      </c>
    </row>
    <row r="4081" spans="1:5" x14ac:dyDescent="0.25">
      <c r="A4081" t="str">
        <f>HYPERLINK("https://www.773grp.com/globalSearch/MBD330DWT1/page-1", "MBD330DWT1")</f>
        <v>MBD330DWT1</v>
      </c>
      <c r="B4081" s="3" t="str">
        <f>HYPERLINK("https://www.773grp.com/manufacturer/onsemi?pageNo=36", "Onsemi")</f>
        <v>Onsemi</v>
      </c>
      <c r="C4081" s="6">
        <v>24000</v>
      </c>
      <c r="D4081" s="7">
        <v>0.57999999999999996</v>
      </c>
    </row>
    <row r="4082" spans="1:5" x14ac:dyDescent="0.25">
      <c r="A4082" t="str">
        <f>HYPERLINK("https://www.773grp.com/globalSearch/MBD54DWT1G/page-1", "MBD54DWT1G")</f>
        <v>MBD54DWT1G</v>
      </c>
      <c r="B4082" s="3" t="str">
        <f>HYPERLINK("https://www.773grp.com/manufacturer/onsemi?pageNo=37", "Onsemi")</f>
        <v>Onsemi</v>
      </c>
      <c r="C4082" s="6">
        <v>367160</v>
      </c>
      <c r="D4082" s="7">
        <v>0.57999999999999996</v>
      </c>
      <c r="E4082" t="s">
        <v>73</v>
      </c>
    </row>
    <row r="4083" spans="1:5" x14ac:dyDescent="0.25">
      <c r="A4083" t="str">
        <f>HYPERLINK("https://www.773grp.com/globalSearch/MBR1100/page-1", "MBR1100")</f>
        <v>MBR1100</v>
      </c>
      <c r="B4083" s="3" t="str">
        <f>HYPERLINK("https://www.773grp.com/manufacturer/onsemi?pageNo=38", "Onsemi")</f>
        <v>Onsemi</v>
      </c>
      <c r="C4083" s="6">
        <v>2000</v>
      </c>
      <c r="D4083" s="7">
        <v>0.57999999999999996</v>
      </c>
      <c r="E4083" t="s">
        <v>73</v>
      </c>
    </row>
    <row r="4084" spans="1:5" x14ac:dyDescent="0.25">
      <c r="A4084" t="str">
        <f>HYPERLINK("https://www.773grp.com/globalSearch/MBR1100G/page-1", "MBR1100G")</f>
        <v>MBR1100G</v>
      </c>
      <c r="B4084" s="3" t="str">
        <f>HYPERLINK("https://www.773grp.com/manufacturer/onsemi?pageNo=39", "Onsemi")</f>
        <v>Onsemi</v>
      </c>
      <c r="C4084" s="6">
        <v>201000</v>
      </c>
      <c r="D4084" s="7">
        <v>0.57999999999999996</v>
      </c>
      <c r="E4084" t="s">
        <v>73</v>
      </c>
    </row>
    <row r="4085" spans="1:5" x14ac:dyDescent="0.25">
      <c r="A4085" t="str">
        <f>HYPERLINK("https://www.773grp.com/globalSearch/MBR1100RLG/page-1", "MBR1100RLG")</f>
        <v>MBR1100RLG</v>
      </c>
      <c r="B4085" s="3" t="str">
        <f>HYPERLINK("https://www.773grp.com/manufacturer/onsemi?pageNo=40", "Onsemi")</f>
        <v>Onsemi</v>
      </c>
      <c r="C4085" s="6">
        <v>145000</v>
      </c>
      <c r="D4085" s="7">
        <v>0.57999999999999996</v>
      </c>
      <c r="E4085" t="s">
        <v>73</v>
      </c>
    </row>
    <row r="4086" spans="1:5" x14ac:dyDescent="0.25">
      <c r="A4086" t="str">
        <f>HYPERLINK("https://www.773grp.com/globalSearch/MBR835/page-1", "MBR835")</f>
        <v>MBR835</v>
      </c>
      <c r="B4086" s="3" t="str">
        <f>HYPERLINK("https://www.773grp.com/manufacturer/onsemi?pageNo=41", "Onsemi")</f>
        <v>Onsemi</v>
      </c>
      <c r="C4086" s="6">
        <v>1055</v>
      </c>
      <c r="D4086" s="7">
        <v>0.57999999999999996</v>
      </c>
      <c r="E4086" t="s">
        <v>82</v>
      </c>
    </row>
    <row r="4087" spans="1:5" x14ac:dyDescent="0.25">
      <c r="A4087" t="str">
        <f>HYPERLINK("https://www.773grp.com/globalSearch/MBR835RL/page-1", "MBR835RL")</f>
        <v>MBR835RL</v>
      </c>
      <c r="B4087" s="3" t="str">
        <f>HYPERLINK("https://www.773grp.com/manufacturer/onsemi?pageNo=42", "Onsemi")</f>
        <v>Onsemi</v>
      </c>
      <c r="C4087" s="6">
        <v>3000</v>
      </c>
      <c r="D4087" s="7">
        <v>0.57999999999999996</v>
      </c>
      <c r="E4087" t="s">
        <v>82</v>
      </c>
    </row>
    <row r="4088" spans="1:5" x14ac:dyDescent="0.25">
      <c r="A4088" t="str">
        <f>HYPERLINK("https://www.773grp.com/globalSearch/MBR840RL/page-1", "MBR840RL")</f>
        <v>MBR840RL</v>
      </c>
      <c r="B4088" s="3" t="str">
        <f>HYPERLINK("https://www.773grp.com/manufacturer/onsemi?pageNo=43", "Onsemi")</f>
        <v>Onsemi</v>
      </c>
      <c r="C4088" s="6">
        <v>10000</v>
      </c>
      <c r="D4088" s="7">
        <v>0.57999999999999996</v>
      </c>
      <c r="E4088" t="s">
        <v>82</v>
      </c>
    </row>
    <row r="4089" spans="1:5" x14ac:dyDescent="0.25">
      <c r="A4089" t="str">
        <f>HYPERLINK("https://www.773grp.com/globalSearch/MBRS1100T3G/page-1", "MBRS1100T3G")</f>
        <v>MBRS1100T3G</v>
      </c>
      <c r="B4089" s="3" t="str">
        <f>HYPERLINK("https://www.773grp.com/manufacturer/onsemi?pageNo=44", "Onsemi")</f>
        <v>Onsemi</v>
      </c>
      <c r="C4089" s="6">
        <v>155000</v>
      </c>
      <c r="D4089" s="7">
        <v>0.57999999999999996</v>
      </c>
      <c r="E4089" t="s">
        <v>82</v>
      </c>
    </row>
    <row r="4090" spans="1:5" x14ac:dyDescent="0.25">
      <c r="A4090" t="str">
        <f>HYPERLINK("https://www.773grp.com/globalSearch/MBRS130LT3/page-1", "MBRS130LT3")</f>
        <v>MBRS130LT3</v>
      </c>
      <c r="B4090" s="3" t="str">
        <f>HYPERLINK("https://www.773grp.com/manufacturer/onsemi?pageNo=45", "Onsemi")</f>
        <v>Onsemi</v>
      </c>
      <c r="C4090" s="6">
        <v>7240</v>
      </c>
      <c r="D4090" s="7">
        <v>0.57999999999999996</v>
      </c>
      <c r="E4090" t="s">
        <v>82</v>
      </c>
    </row>
    <row r="4091" spans="1:5" x14ac:dyDescent="0.25">
      <c r="A4091" t="str">
        <f>HYPERLINK("https://www.773grp.com/globalSearch/MBRS130LT3G/page-1", "MBRS130LT3G")</f>
        <v>MBRS130LT3G</v>
      </c>
      <c r="B4091" s="3" t="str">
        <f>HYPERLINK("https://www.773grp.com/manufacturer/onsemi?pageNo=46", "Onsemi")</f>
        <v>Onsemi</v>
      </c>
      <c r="C4091" s="6">
        <v>112500</v>
      </c>
      <c r="D4091" s="7">
        <v>0.57999999999999996</v>
      </c>
      <c r="E4091" t="s">
        <v>82</v>
      </c>
    </row>
    <row r="4092" spans="1:5" x14ac:dyDescent="0.25">
      <c r="A4092" t="str">
        <f>HYPERLINK("https://www.773grp.com/globalSearch/MBRS130T3G/page-1", "MBRS130T3G")</f>
        <v>MBRS130T3G</v>
      </c>
      <c r="B4092" s="3" t="str">
        <f>HYPERLINK("https://www.773grp.com/manufacturer/onsemi?pageNo=47", "Onsemi")</f>
        <v>Onsemi</v>
      </c>
      <c r="C4092" s="6">
        <v>525332</v>
      </c>
      <c r="D4092" s="7">
        <v>0.57999999999999996</v>
      </c>
      <c r="E4092" t="s">
        <v>73</v>
      </c>
    </row>
    <row r="4093" spans="1:5" x14ac:dyDescent="0.25">
      <c r="A4093" t="str">
        <f>HYPERLINK("https://www.773grp.com/globalSearch/MBRS130T3H/page-1", "MBRS130T3H")</f>
        <v>MBRS130T3H</v>
      </c>
      <c r="B4093" s="3" t="str">
        <f>HYPERLINK("https://www.773grp.com/manufacturer/onsemi?pageNo=48", "Onsemi")</f>
        <v>Onsemi</v>
      </c>
      <c r="C4093" s="6">
        <v>15000</v>
      </c>
      <c r="D4093" s="7">
        <v>0.57999999999999996</v>
      </c>
    </row>
    <row r="4094" spans="1:5" x14ac:dyDescent="0.25">
      <c r="A4094" t="str">
        <f>HYPERLINK("https://www.773grp.com/globalSearch/MBRS190T3G/page-1", "MBRS190T3G")</f>
        <v>MBRS190T3G</v>
      </c>
      <c r="B4094" s="3" t="str">
        <f>HYPERLINK("https://www.773grp.com/manufacturer/onsemi?pageNo=49", "Onsemi")</f>
        <v>Onsemi</v>
      </c>
      <c r="C4094" s="6">
        <v>328805</v>
      </c>
      <c r="D4094" s="7">
        <v>0.57999999999999996</v>
      </c>
      <c r="E4094" t="s">
        <v>82</v>
      </c>
    </row>
    <row r="4095" spans="1:5" x14ac:dyDescent="0.25">
      <c r="A4095" t="str">
        <f>HYPERLINK("https://www.773grp.com/globalSearch/MBRS230LT3G/page-1", "MBRS230LT3G")</f>
        <v>MBRS230LT3G</v>
      </c>
      <c r="B4095" s="3" t="str">
        <f>HYPERLINK("https://www.773grp.com/manufacturer/onsemi?pageNo=50", "Onsemi")</f>
        <v>Onsemi</v>
      </c>
      <c r="C4095" s="6">
        <v>875180</v>
      </c>
      <c r="D4095" s="7">
        <v>0.57999999999999996</v>
      </c>
      <c r="E4095" t="s">
        <v>82</v>
      </c>
    </row>
    <row r="4096" spans="1:5" x14ac:dyDescent="0.25">
      <c r="A4096" t="str">
        <f>HYPERLINK("https://www.773grp.com/globalSearch/MC14008BDR2/page-1", "MC14008BDR2")</f>
        <v>MC14008BDR2</v>
      </c>
      <c r="B4096" s="3" t="str">
        <f>HYPERLINK("https://www.773grp.com/manufacturer/onsemi?pageNo=51", "Onsemi")</f>
        <v>Onsemi</v>
      </c>
      <c r="C4096" s="6">
        <v>3906</v>
      </c>
      <c r="D4096" s="7">
        <v>0.57999999999999996</v>
      </c>
      <c r="E4096" t="s">
        <v>38</v>
      </c>
    </row>
    <row r="4097" spans="1:5" x14ac:dyDescent="0.25">
      <c r="A4097" t="str">
        <f>HYPERLINK("https://www.773grp.com/globalSearch/MC14013BFL2/page-1", "MC14013BFL2")</f>
        <v>MC14013BFL2</v>
      </c>
      <c r="B4097" s="3" t="str">
        <f>HYPERLINK("https://www.773grp.com/manufacturer/onsemi?pageNo=52", "Onsemi")</f>
        <v>Onsemi</v>
      </c>
      <c r="C4097" s="6">
        <v>8000</v>
      </c>
      <c r="D4097" s="7">
        <v>0.57999999999999996</v>
      </c>
      <c r="E4097" t="s">
        <v>31</v>
      </c>
    </row>
    <row r="4098" spans="1:5" x14ac:dyDescent="0.25">
      <c r="A4098" t="str">
        <f>HYPERLINK("https://www.773grp.com/globalSearch/MC14013BFR1/page-1", "MC14013BFR1")</f>
        <v>MC14013BFR1</v>
      </c>
      <c r="B4098" s="3" t="str">
        <f>HYPERLINK("https://www.773grp.com/manufacturer/onsemi?pageNo=53", "Onsemi")</f>
        <v>Onsemi</v>
      </c>
      <c r="C4098" s="6">
        <v>6000</v>
      </c>
      <c r="D4098" s="7">
        <v>0.57999999999999996</v>
      </c>
      <c r="E4098" t="s">
        <v>31</v>
      </c>
    </row>
    <row r="4099" spans="1:5" x14ac:dyDescent="0.25">
      <c r="A4099" t="str">
        <f>HYPERLINK("https://www.773grp.com/globalSearch/MC14015BCP/page-1", "MC14015BCP")</f>
        <v>MC14015BCP</v>
      </c>
      <c r="B4099" s="3" t="str">
        <f>HYPERLINK("https://www.773grp.com/manufacturer/onsemi?pageNo=54", "Onsemi")</f>
        <v>Onsemi</v>
      </c>
      <c r="C4099" s="6">
        <v>9830</v>
      </c>
      <c r="D4099" s="7">
        <v>0.57999999999999996</v>
      </c>
      <c r="E4099" t="s">
        <v>28</v>
      </c>
    </row>
    <row r="4100" spans="1:5" x14ac:dyDescent="0.25">
      <c r="A4100" t="str">
        <f>HYPERLINK("https://www.773grp.com/globalSearch/MC14023BF/page-1", "MC14023BF")</f>
        <v>MC14023BF</v>
      </c>
      <c r="B4100" s="3" t="str">
        <f>HYPERLINK("https://www.773grp.com/manufacturer/onsemi?pageNo=55", "Onsemi")</f>
        <v>Onsemi</v>
      </c>
      <c r="C4100" s="6">
        <v>912</v>
      </c>
      <c r="D4100" s="7">
        <v>0.57999999999999996</v>
      </c>
    </row>
    <row r="4101" spans="1:5" x14ac:dyDescent="0.25">
      <c r="A4101" t="str">
        <f>HYPERLINK("https://www.773grp.com/globalSearch/MC14023BFL1/page-1", "MC14023BFL1")</f>
        <v>MC14023BFL1</v>
      </c>
      <c r="B4101" s="3" t="str">
        <f>HYPERLINK("https://www.773grp.com/manufacturer/onsemi?pageNo=56", "Onsemi")</f>
        <v>Onsemi</v>
      </c>
      <c r="C4101" s="6">
        <v>2000</v>
      </c>
      <c r="D4101" s="7">
        <v>0.57999999999999996</v>
      </c>
    </row>
    <row r="4102" spans="1:5" x14ac:dyDescent="0.25">
      <c r="A4102" t="str">
        <f>HYPERLINK("https://www.773grp.com/globalSearch/MC14025BF/page-1", "MC14025BF")</f>
        <v>MC14025BF</v>
      </c>
      <c r="B4102" s="3" t="str">
        <f>HYPERLINK("https://www.773grp.com/manufacturer/onsemi?pageNo=57", "Onsemi")</f>
        <v>Onsemi</v>
      </c>
      <c r="C4102" s="6">
        <v>8465</v>
      </c>
      <c r="D4102" s="7">
        <v>0.57999999999999996</v>
      </c>
    </row>
    <row r="4103" spans="1:5" x14ac:dyDescent="0.25">
      <c r="A4103" t="str">
        <f>HYPERLINK("https://www.773grp.com/globalSearch/MC14043BCP/page-1", "MC14043BCP")</f>
        <v>MC14043BCP</v>
      </c>
      <c r="B4103" s="3" t="str">
        <f>HYPERLINK("https://www.773grp.com/manufacturer/onsemi?pageNo=58", "Onsemi")</f>
        <v>Onsemi</v>
      </c>
      <c r="C4103" s="6">
        <v>874</v>
      </c>
      <c r="D4103" s="7">
        <v>0.57999999999999996</v>
      </c>
      <c r="E4103" t="s">
        <v>31</v>
      </c>
    </row>
    <row r="4104" spans="1:5" x14ac:dyDescent="0.25">
      <c r="A4104" t="str">
        <f>HYPERLINK("https://www.773grp.com/globalSearch/MC14049UBDT/page-1", "MC14049UBDT")</f>
        <v>MC14049UBDT</v>
      </c>
      <c r="B4104" s="3" t="str">
        <f>HYPERLINK("https://www.773grp.com/manufacturer/onsemi?pageNo=59", "Onsemi")</f>
        <v>Onsemi</v>
      </c>
      <c r="C4104" s="6">
        <v>5356</v>
      </c>
      <c r="D4104" s="7">
        <v>0.57999999999999996</v>
      </c>
      <c r="E4104" t="s">
        <v>27</v>
      </c>
    </row>
    <row r="4105" spans="1:5" x14ac:dyDescent="0.25">
      <c r="A4105" t="str">
        <f>HYPERLINK("https://www.773grp.com/globalSearch/MC14053BDT/page-1", "MC14053BDT")</f>
        <v>MC14053BDT</v>
      </c>
      <c r="B4105" s="3" t="str">
        <f>HYPERLINK("https://www.773grp.com/manufacturer/onsemi?pageNo=60", "Onsemi")</f>
        <v>Onsemi</v>
      </c>
      <c r="C4105" s="6">
        <v>4320</v>
      </c>
      <c r="D4105" s="7">
        <v>0.57999999999999996</v>
      </c>
      <c r="E4105" t="s">
        <v>46</v>
      </c>
    </row>
    <row r="4106" spans="1:5" x14ac:dyDescent="0.25">
      <c r="A4106" t="str">
        <f>HYPERLINK("https://www.773grp.com/globalSearch/MC14066BDTEL/page-1", "MC14066BDTEL")</f>
        <v>MC14066BDTEL</v>
      </c>
      <c r="B4106" s="3" t="str">
        <f>HYPERLINK("https://www.773grp.com/manufacturer/onsemi?pageNo=61", "Onsemi")</f>
        <v>Onsemi</v>
      </c>
      <c r="C4106" s="6">
        <v>109000</v>
      </c>
      <c r="D4106" s="7">
        <v>0.57999999999999996</v>
      </c>
      <c r="E4106" t="s">
        <v>46</v>
      </c>
    </row>
    <row r="4107" spans="1:5" x14ac:dyDescent="0.25">
      <c r="A4107" t="str">
        <f>HYPERLINK("https://www.773grp.com/globalSearch/MC14070BFL2/page-1", "MC14070BFL2")</f>
        <v>MC14070BFL2</v>
      </c>
      <c r="B4107" s="3" t="str">
        <f>HYPERLINK("https://www.773grp.com/manufacturer/onsemi?pageNo=62", "Onsemi")</f>
        <v>Onsemi</v>
      </c>
      <c r="C4107" s="6">
        <v>6000</v>
      </c>
      <c r="D4107" s="7">
        <v>0.57999999999999996</v>
      </c>
      <c r="E4107" t="s">
        <v>27</v>
      </c>
    </row>
    <row r="4108" spans="1:5" x14ac:dyDescent="0.25">
      <c r="A4108" t="str">
        <f>HYPERLINK("https://www.773grp.com/globalSearch/MC14070BFR1/page-1", "MC14070BFR1")</f>
        <v>MC14070BFR1</v>
      </c>
      <c r="B4108" s="3" t="str">
        <f>HYPERLINK("https://www.773grp.com/manufacturer/onsemi?pageNo=63", "Onsemi")</f>
        <v>Onsemi</v>
      </c>
      <c r="C4108" s="6">
        <v>10000</v>
      </c>
      <c r="D4108" s="7">
        <v>0.57999999999999996</v>
      </c>
      <c r="E4108" t="s">
        <v>27</v>
      </c>
    </row>
    <row r="4109" spans="1:5" x14ac:dyDescent="0.25">
      <c r="A4109" t="str">
        <f>HYPERLINK("https://www.773grp.com/globalSearch/MC14071BFL1/page-1", "MC14071BFL1")</f>
        <v>MC14071BFL1</v>
      </c>
      <c r="B4109" s="3" t="str">
        <f>HYPERLINK("https://www.773grp.com/manufacturer/onsemi?pageNo=64", "Onsemi")</f>
        <v>Onsemi</v>
      </c>
      <c r="C4109" s="6">
        <v>4000</v>
      </c>
      <c r="D4109" s="7">
        <v>0.57999999999999996</v>
      </c>
      <c r="E4109" t="s">
        <v>27</v>
      </c>
    </row>
    <row r="4110" spans="1:5" x14ac:dyDescent="0.25">
      <c r="A4110" t="str">
        <f>HYPERLINK("https://www.773grp.com/globalSearch/MC14071BFR2/page-1", "MC14071BFR2")</f>
        <v>MC14071BFR2</v>
      </c>
      <c r="B4110" s="3" t="str">
        <f>HYPERLINK("https://www.773grp.com/manufacturer/onsemi?pageNo=65", "Onsemi")</f>
        <v>Onsemi</v>
      </c>
      <c r="C4110" s="6">
        <v>8000</v>
      </c>
      <c r="D4110" s="7">
        <v>0.57999999999999996</v>
      </c>
      <c r="E4110" t="s">
        <v>27</v>
      </c>
    </row>
    <row r="4111" spans="1:5" x14ac:dyDescent="0.25">
      <c r="A4111" t="str">
        <f>HYPERLINK("https://www.773grp.com/globalSearch/MC14072BF/page-1", "MC14072BF")</f>
        <v>MC14072BF</v>
      </c>
      <c r="B4111" s="3" t="str">
        <f>HYPERLINK("https://www.773grp.com/manufacturer/onsemi?pageNo=66", "Onsemi")</f>
        <v>Onsemi</v>
      </c>
      <c r="C4111" s="6">
        <v>4322</v>
      </c>
      <c r="D4111" s="7">
        <v>0.57999999999999996</v>
      </c>
    </row>
    <row r="4112" spans="1:5" x14ac:dyDescent="0.25">
      <c r="A4112" t="str">
        <f>HYPERLINK("https://www.773grp.com/globalSearch/MC14072BFL1/page-1", "MC14072BFL1")</f>
        <v>MC14072BFL1</v>
      </c>
      <c r="B4112" s="3" t="str">
        <f>HYPERLINK("https://www.773grp.com/manufacturer/onsemi?pageNo=67", "Onsemi")</f>
        <v>Onsemi</v>
      </c>
      <c r="C4112" s="6">
        <v>4000</v>
      </c>
      <c r="D4112" s="7">
        <v>0.57999999999999996</v>
      </c>
    </row>
    <row r="4113" spans="1:5" x14ac:dyDescent="0.25">
      <c r="A4113" t="str">
        <f>HYPERLINK("https://www.773grp.com/globalSearch/MC14078BF/page-1", "MC14078BF")</f>
        <v>MC14078BF</v>
      </c>
      <c r="B4113" s="3" t="str">
        <f>HYPERLINK("https://www.773grp.com/manufacturer/onsemi?pageNo=68", "Onsemi")</f>
        <v>Onsemi</v>
      </c>
      <c r="C4113" s="6">
        <v>2177</v>
      </c>
      <c r="D4113" s="7">
        <v>0.57999999999999996</v>
      </c>
    </row>
    <row r="4114" spans="1:5" x14ac:dyDescent="0.25">
      <c r="A4114" t="str">
        <f>HYPERLINK("https://www.773grp.com/globalSearch/MC14078BFEL/page-1", "MC14078BFEL")</f>
        <v>MC14078BFEL</v>
      </c>
      <c r="B4114" s="3" t="str">
        <f>HYPERLINK("https://www.773grp.com/manufacturer/onsemi?pageNo=69", "Onsemi")</f>
        <v>Onsemi</v>
      </c>
      <c r="C4114" s="6">
        <v>4000</v>
      </c>
      <c r="D4114" s="7">
        <v>0.57999999999999996</v>
      </c>
    </row>
    <row r="4115" spans="1:5" x14ac:dyDescent="0.25">
      <c r="A4115" t="str">
        <f>HYPERLINK("https://www.773grp.com/globalSearch/MC14081BFL1/page-1", "MC14081BFL1")</f>
        <v>MC14081BFL1</v>
      </c>
      <c r="B4115" s="3" t="str">
        <f>HYPERLINK("https://www.773grp.com/manufacturer/onsemi?pageNo=70", "Onsemi")</f>
        <v>Onsemi</v>
      </c>
      <c r="C4115" s="6">
        <v>8000</v>
      </c>
      <c r="D4115" s="7">
        <v>0.57999999999999996</v>
      </c>
      <c r="E4115" t="s">
        <v>27</v>
      </c>
    </row>
    <row r="4116" spans="1:5" x14ac:dyDescent="0.25">
      <c r="A4116" t="str">
        <f>HYPERLINK("https://www.773grp.com/globalSearch/MC14081BFR1/page-1", "MC14081BFR1")</f>
        <v>MC14081BFR1</v>
      </c>
      <c r="B4116" s="3" t="str">
        <f>HYPERLINK("https://www.773grp.com/manufacturer/onsemi?pageNo=71", "Onsemi")</f>
        <v>Onsemi</v>
      </c>
      <c r="C4116" s="6">
        <v>7000</v>
      </c>
      <c r="D4116" s="7">
        <v>0.57999999999999996</v>
      </c>
      <c r="E4116" t="s">
        <v>27</v>
      </c>
    </row>
    <row r="4117" spans="1:5" x14ac:dyDescent="0.25">
      <c r="A4117" t="str">
        <f>HYPERLINK("https://www.773grp.com/globalSearch/MC14081BFR2/page-1", "MC14081BFR2")</f>
        <v>MC14081BFR2</v>
      </c>
      <c r="B4117" s="3" t="str">
        <f>HYPERLINK("https://www.773grp.com/manufacturer/onsemi?pageNo=72", "Onsemi")</f>
        <v>Onsemi</v>
      </c>
      <c r="C4117" s="6">
        <v>10000</v>
      </c>
      <c r="D4117" s="7">
        <v>0.57999999999999996</v>
      </c>
      <c r="E4117" t="s">
        <v>27</v>
      </c>
    </row>
    <row r="4118" spans="1:5" x14ac:dyDescent="0.25">
      <c r="A4118" t="str">
        <f>HYPERLINK("https://www.773grp.com/globalSearch/MC14082BF/page-1", "MC14082BF")</f>
        <v>MC14082BF</v>
      </c>
      <c r="B4118" s="3" t="str">
        <f>HYPERLINK("https://www.773grp.com/manufacturer/onsemi?pageNo=73", "Onsemi")</f>
        <v>Onsemi</v>
      </c>
      <c r="C4118" s="6">
        <v>7650</v>
      </c>
      <c r="D4118" s="7">
        <v>0.57999999999999996</v>
      </c>
      <c r="E4118" t="s">
        <v>27</v>
      </c>
    </row>
    <row r="4119" spans="1:5" x14ac:dyDescent="0.25">
      <c r="A4119" t="str">
        <f>HYPERLINK("https://www.773grp.com/globalSearch/MC14082BFEL/page-1", "MC14082BFEL")</f>
        <v>MC14082BFEL</v>
      </c>
      <c r="B4119" s="3" t="str">
        <f>HYPERLINK("https://www.773grp.com/manufacturer/onsemi?pageNo=74", "Onsemi")</f>
        <v>Onsemi</v>
      </c>
      <c r="C4119" s="6">
        <v>9200</v>
      </c>
      <c r="D4119" s="7">
        <v>0.57999999999999996</v>
      </c>
    </row>
    <row r="4120" spans="1:5" x14ac:dyDescent="0.25">
      <c r="A4120" t="str">
        <f>HYPERLINK("https://www.773grp.com/globalSearch/MC14094BCP/page-1", "MC14094BCP")</f>
        <v>MC14094BCP</v>
      </c>
      <c r="B4120" s="3" t="str">
        <f>HYPERLINK("https://www.773grp.com/manufacturer/onsemi?pageNo=75", "Onsemi")</f>
        <v>Onsemi</v>
      </c>
      <c r="C4120" s="6">
        <v>794</v>
      </c>
      <c r="D4120" s="7">
        <v>0.57999999999999996</v>
      </c>
      <c r="E4120" t="s">
        <v>28</v>
      </c>
    </row>
    <row r="4121" spans="1:5" x14ac:dyDescent="0.25">
      <c r="A4121" t="str">
        <f>HYPERLINK("https://www.773grp.com/globalSearch/MC14094BF/page-1", "MC14094BF")</f>
        <v>MC14094BF</v>
      </c>
      <c r="B4121" s="3" t="str">
        <f>HYPERLINK("https://www.773grp.com/manufacturer/onsemi?pageNo=76", "Onsemi")</f>
        <v>Onsemi</v>
      </c>
      <c r="C4121" s="6">
        <v>1286</v>
      </c>
      <c r="D4121" s="7">
        <v>0.57999999999999996</v>
      </c>
      <c r="E4121" t="s">
        <v>28</v>
      </c>
    </row>
    <row r="4122" spans="1:5" x14ac:dyDescent="0.25">
      <c r="A4122" t="str">
        <f>HYPERLINK("https://www.773grp.com/globalSearch/MC14094BFEL/page-1", "MC14094BFEL")</f>
        <v>MC14094BFEL</v>
      </c>
      <c r="B4122" s="3" t="str">
        <f>HYPERLINK("https://www.773grp.com/manufacturer/onsemi?pageNo=77", "Onsemi")</f>
        <v>Onsemi</v>
      </c>
      <c r="C4122" s="6">
        <v>10096</v>
      </c>
      <c r="D4122" s="7">
        <v>0.57999999999999996</v>
      </c>
      <c r="E4122" t="s">
        <v>28</v>
      </c>
    </row>
    <row r="4123" spans="1:5" x14ac:dyDescent="0.25">
      <c r="A4123" t="str">
        <f>HYPERLINK("https://www.773grp.com/globalSearch/MC14175BCP/page-1", "MC14175BCP")</f>
        <v>MC14175BCP</v>
      </c>
      <c r="B4123" s="3" t="str">
        <f>HYPERLINK("https://www.773grp.com/manufacturer/onsemi?pageNo=78", "Onsemi")</f>
        <v>Onsemi</v>
      </c>
      <c r="C4123" s="6">
        <v>239</v>
      </c>
      <c r="D4123" s="7">
        <v>0.57999999999999996</v>
      </c>
      <c r="E4123" t="s">
        <v>31</v>
      </c>
    </row>
    <row r="4124" spans="1:5" x14ac:dyDescent="0.25">
      <c r="A4124" t="str">
        <f>HYPERLINK("https://www.773grp.com/globalSearch/MC14541BFL1/page-1", "MC14541BFL1")</f>
        <v>MC14541BFL1</v>
      </c>
      <c r="B4124" s="3" t="str">
        <f>HYPERLINK("https://www.773grp.com/manufacturer/onsemi?pageNo=79", "Onsemi")</f>
        <v>Onsemi</v>
      </c>
      <c r="C4124" s="6">
        <v>2000</v>
      </c>
      <c r="D4124" s="7">
        <v>0.57999999999999996</v>
      </c>
      <c r="E4124" t="s">
        <v>67</v>
      </c>
    </row>
    <row r="4125" spans="1:5" x14ac:dyDescent="0.25">
      <c r="A4125" t="str">
        <f>HYPERLINK("https://www.773grp.com/globalSearch/MC14572UBD/page-1", "MC14572UBD")</f>
        <v>MC14572UBD</v>
      </c>
      <c r="B4125" s="3" t="str">
        <f>HYPERLINK("https://www.773grp.com/manufacturer/onsemi?pageNo=80", "Onsemi")</f>
        <v>Onsemi</v>
      </c>
      <c r="C4125" s="6">
        <v>1296</v>
      </c>
      <c r="D4125" s="7">
        <v>0.57999999999999996</v>
      </c>
      <c r="E4125" t="s">
        <v>27</v>
      </c>
    </row>
    <row r="4126" spans="1:5" x14ac:dyDescent="0.25">
      <c r="A4126" t="str">
        <f>HYPERLINK("https://www.773grp.com/globalSearch/MC1458D/page-1", "MC1458D")</f>
        <v>MC1458D</v>
      </c>
      <c r="B4126" s="3" t="str">
        <f>HYPERLINK("https://www.773grp.com/manufacturer/onsemi?pageNo=81", "Onsemi")</f>
        <v>Onsemi</v>
      </c>
      <c r="C4126" s="6">
        <v>1790</v>
      </c>
      <c r="D4126" s="7">
        <v>0.57999999999999996</v>
      </c>
      <c r="E4126" t="s">
        <v>10</v>
      </c>
    </row>
    <row r="4127" spans="1:5" x14ac:dyDescent="0.25">
      <c r="A4127" t="str">
        <f>HYPERLINK("https://www.773grp.com/globalSearch/MC1458DR2/page-1", "MC1458DR2")</f>
        <v>MC1458DR2</v>
      </c>
      <c r="B4127" s="3" t="str">
        <f>HYPERLINK("https://www.773grp.com/manufacturer/onsemi?pageNo=82", "Onsemi")</f>
        <v>Onsemi</v>
      </c>
      <c r="C4127" s="6">
        <v>72095</v>
      </c>
      <c r="D4127" s="7">
        <v>0.57999999999999996</v>
      </c>
      <c r="E4127" t="s">
        <v>10</v>
      </c>
    </row>
    <row r="4128" spans="1:5" x14ac:dyDescent="0.25">
      <c r="A4128" t="str">
        <f>HYPERLINK("https://www.773grp.com/globalSearch/MC1458P1/page-1", "MC1458P1")</f>
        <v>MC1458P1</v>
      </c>
      <c r="B4128" s="3" t="str">
        <f>HYPERLINK("https://www.773grp.com/manufacturer/onsemi?pageNo=83", "Onsemi")</f>
        <v>Onsemi</v>
      </c>
      <c r="C4128" s="6">
        <v>10587</v>
      </c>
      <c r="D4128" s="7">
        <v>0.57999999999999996</v>
      </c>
      <c r="E4128" t="s">
        <v>10</v>
      </c>
    </row>
    <row r="4129" spans="1:5" x14ac:dyDescent="0.25">
      <c r="A4129" t="str">
        <f>HYPERLINK("https://www.773grp.com/globalSearch/MC74AC138M/page-1", "MC74AC138M")</f>
        <v>MC74AC138M</v>
      </c>
      <c r="B4129" s="3" t="str">
        <f>HYPERLINK("https://www.773grp.com/manufacturer/onsemi?pageNo=84", "Onsemi")</f>
        <v>Onsemi</v>
      </c>
      <c r="C4129" s="6">
        <v>5050</v>
      </c>
      <c r="D4129" s="7">
        <v>0.57999999999999996</v>
      </c>
      <c r="E4129" t="s">
        <v>32</v>
      </c>
    </row>
    <row r="4130" spans="1:5" x14ac:dyDescent="0.25">
      <c r="A4130" t="str">
        <f>HYPERLINK("https://www.773grp.com/globalSearch/MC74AC174DR2/page-1", "MC74AC174DR2")</f>
        <v>MC74AC174DR2</v>
      </c>
      <c r="B4130" s="3" t="str">
        <f>HYPERLINK("https://www.773grp.com/manufacturer/onsemi?pageNo=85", "Onsemi")</f>
        <v>Onsemi</v>
      </c>
      <c r="C4130" s="6">
        <v>1330</v>
      </c>
      <c r="D4130" s="7">
        <v>0.57999999999999996</v>
      </c>
      <c r="E4130" t="s">
        <v>31</v>
      </c>
    </row>
    <row r="4131" spans="1:5" x14ac:dyDescent="0.25">
      <c r="A4131" t="str">
        <f>HYPERLINK("https://www.773grp.com/globalSearch/MC74AC240N/page-1", "MC74AC240N")</f>
        <v>MC74AC240N</v>
      </c>
      <c r="B4131" s="3" t="str">
        <f>HYPERLINK("https://www.773grp.com/manufacturer/onsemi?pageNo=86", "Onsemi")</f>
        <v>Onsemi</v>
      </c>
      <c r="C4131" s="6">
        <v>4458</v>
      </c>
      <c r="D4131" s="7">
        <v>0.57999999999999996</v>
      </c>
      <c r="E4131" t="s">
        <v>11</v>
      </c>
    </row>
    <row r="4132" spans="1:5" x14ac:dyDescent="0.25">
      <c r="A4132" t="str">
        <f>HYPERLINK("https://www.773grp.com/globalSearch/MC74AC573MEL/page-1", "MC74AC573MEL")</f>
        <v>MC74AC573MEL</v>
      </c>
      <c r="B4132" s="3" t="str">
        <f>HYPERLINK("https://www.773grp.com/manufacturer/onsemi?pageNo=87", "Onsemi")</f>
        <v>Onsemi</v>
      </c>
      <c r="C4132" s="6">
        <v>6000</v>
      </c>
      <c r="D4132" s="7">
        <v>0.57999999999999996</v>
      </c>
      <c r="E4132" t="s">
        <v>11</v>
      </c>
    </row>
    <row r="4133" spans="1:5" x14ac:dyDescent="0.25">
      <c r="A4133" t="str">
        <f>HYPERLINK("https://www.773grp.com/globalSearch/MC74AC574M/page-1", "MC74AC574M")</f>
        <v>MC74AC574M</v>
      </c>
      <c r="B4133" s="3" t="str">
        <f>HYPERLINK("https://www.773grp.com/manufacturer/onsemi?pageNo=88", "Onsemi")</f>
        <v>Onsemi</v>
      </c>
      <c r="C4133" s="6">
        <v>3510</v>
      </c>
      <c r="D4133" s="7">
        <v>0.57999999999999996</v>
      </c>
      <c r="E4133" t="s">
        <v>11</v>
      </c>
    </row>
    <row r="4134" spans="1:5" x14ac:dyDescent="0.25">
      <c r="A4134" t="str">
        <f>HYPERLINK("https://www.773grp.com/globalSearch/MC74AC86M/page-1", "MC74AC86M")</f>
        <v>MC74AC86M</v>
      </c>
      <c r="B4134" s="3" t="str">
        <f>HYPERLINK("https://www.773grp.com/manufacturer/onsemi?pageNo=89", "Onsemi")</f>
        <v>Onsemi</v>
      </c>
      <c r="C4134" s="6">
        <v>12100</v>
      </c>
      <c r="D4134" s="7">
        <v>0.57999999999999996</v>
      </c>
      <c r="E4134" t="s">
        <v>27</v>
      </c>
    </row>
    <row r="4135" spans="1:5" x14ac:dyDescent="0.25">
      <c r="A4135" t="str">
        <f>HYPERLINK("https://www.773grp.com/globalSearch/MC74ACT04MELG/page-1", "MC74ACT04MELG")</f>
        <v>MC74ACT04MELG</v>
      </c>
      <c r="B4135" s="3" t="str">
        <f>HYPERLINK("https://www.773grp.com/manufacturer/onsemi?pageNo=90", "Onsemi")</f>
        <v>Onsemi</v>
      </c>
      <c r="C4135" s="6">
        <v>16000</v>
      </c>
      <c r="D4135" s="7">
        <v>0.57999999999999996</v>
      </c>
      <c r="E4135" t="s">
        <v>27</v>
      </c>
    </row>
    <row r="4136" spans="1:5" x14ac:dyDescent="0.25">
      <c r="A4136" t="str">
        <f>HYPERLINK("https://www.773grp.com/globalSearch/MC74ACT175D/page-1", "MC74ACT175D")</f>
        <v>MC74ACT175D</v>
      </c>
      <c r="B4136" s="3" t="str">
        <f>HYPERLINK("https://www.773grp.com/manufacturer/onsemi?pageNo=91", "Onsemi")</f>
        <v>Onsemi</v>
      </c>
      <c r="C4136" s="6">
        <v>4581</v>
      </c>
      <c r="D4136" s="7">
        <v>0.57999999999999996</v>
      </c>
      <c r="E4136" t="s">
        <v>31</v>
      </c>
    </row>
    <row r="4137" spans="1:5" x14ac:dyDescent="0.25">
      <c r="A4137" t="str">
        <f>HYPERLINK("https://www.773grp.com/globalSearch/MC74ACT175DR2/page-1", "MC74ACT175DR2")</f>
        <v>MC74ACT175DR2</v>
      </c>
      <c r="B4137" s="3" t="str">
        <f>HYPERLINK("https://www.773grp.com/manufacturer/onsemi?pageNo=92", "Onsemi")</f>
        <v>Onsemi</v>
      </c>
      <c r="C4137" s="6">
        <v>17500</v>
      </c>
      <c r="D4137" s="7">
        <v>0.57999999999999996</v>
      </c>
      <c r="E4137" t="s">
        <v>31</v>
      </c>
    </row>
    <row r="4138" spans="1:5" x14ac:dyDescent="0.25">
      <c r="A4138" t="str">
        <f>HYPERLINK("https://www.773grp.com/globalSearch/MC74ACT244M/page-1", "MC74ACT244M")</f>
        <v>MC74ACT244M</v>
      </c>
      <c r="B4138" s="3" t="str">
        <f>HYPERLINK("https://www.773grp.com/manufacturer/onsemi?pageNo=93", "Onsemi")</f>
        <v>Onsemi</v>
      </c>
      <c r="C4138" s="6">
        <v>102</v>
      </c>
      <c r="D4138" s="7">
        <v>0.57999999999999996</v>
      </c>
      <c r="E4138" t="s">
        <v>11</v>
      </c>
    </row>
    <row r="4139" spans="1:5" x14ac:dyDescent="0.25">
      <c r="A4139" t="str">
        <f>HYPERLINK("https://www.773grp.com/globalSearch/MC74ACT245M/page-1", "MC74ACT245M")</f>
        <v>MC74ACT245M</v>
      </c>
      <c r="B4139" s="3" t="str">
        <f>HYPERLINK("https://www.773grp.com/manufacturer/onsemi?pageNo=94", "Onsemi")</f>
        <v>Onsemi</v>
      </c>
      <c r="C4139" s="6">
        <v>508</v>
      </c>
      <c r="D4139" s="7">
        <v>0.57999999999999996</v>
      </c>
      <c r="E4139" t="s">
        <v>11</v>
      </c>
    </row>
    <row r="4140" spans="1:5" x14ac:dyDescent="0.25">
      <c r="A4140" t="str">
        <f>HYPERLINK("https://www.773grp.com/globalSearch/MC74ACT574M/page-1", "MC74ACT574M")</f>
        <v>MC74ACT574M</v>
      </c>
      <c r="B4140" s="3" t="str">
        <f>HYPERLINK("https://www.773grp.com/manufacturer/onsemi?pageNo=95", "Onsemi")</f>
        <v>Onsemi</v>
      </c>
      <c r="C4140" s="6">
        <v>964</v>
      </c>
      <c r="D4140" s="7">
        <v>0.57999999999999996</v>
      </c>
      <c r="E4140" t="s">
        <v>11</v>
      </c>
    </row>
    <row r="4141" spans="1:5" x14ac:dyDescent="0.25">
      <c r="A4141" t="str">
        <f>HYPERLINK("https://www.773grp.com/globalSearch/MC74ACT86ML1/page-1", "MC74ACT86ML1")</f>
        <v>MC74ACT86ML1</v>
      </c>
      <c r="B4141" s="3" t="str">
        <f>HYPERLINK("https://www.773grp.com/manufacturer/onsemi?pageNo=96", "Onsemi")</f>
        <v>Onsemi</v>
      </c>
      <c r="C4141" s="6">
        <v>13000</v>
      </c>
      <c r="D4141" s="7">
        <v>0.57999999999999996</v>
      </c>
    </row>
    <row r="4142" spans="1:5" x14ac:dyDescent="0.25">
      <c r="A4142" t="str">
        <f>HYPERLINK("https://www.773grp.com/globalSearch/MC74HC00ADTEL/page-1", "MC74HC00ADTEL")</f>
        <v>MC74HC00ADTEL</v>
      </c>
      <c r="B4142" s="3" t="str">
        <f>HYPERLINK("https://www.773grp.com/manufacturer/onsemi?pageNo=97", "Onsemi")</f>
        <v>Onsemi</v>
      </c>
      <c r="C4142" s="6">
        <v>3255</v>
      </c>
      <c r="D4142" s="7">
        <v>0.57999999999999996</v>
      </c>
    </row>
    <row r="4143" spans="1:5" x14ac:dyDescent="0.25">
      <c r="A4143" t="str">
        <f>HYPERLINK("https://www.773grp.com/globalSearch/MC74HC02ADTEL/page-1", "MC74HC02ADTEL")</f>
        <v>MC74HC02ADTEL</v>
      </c>
      <c r="B4143" s="3" t="str">
        <f>HYPERLINK("https://www.773grp.com/manufacturer/onsemi?pageNo=98", "Onsemi")</f>
        <v>Onsemi</v>
      </c>
      <c r="C4143" s="6">
        <v>12000</v>
      </c>
      <c r="D4143" s="7">
        <v>0.57999999999999996</v>
      </c>
      <c r="E4143" t="s">
        <v>27</v>
      </c>
    </row>
    <row r="4144" spans="1:5" x14ac:dyDescent="0.25">
      <c r="A4144" t="str">
        <f>HYPERLINK("https://www.773grp.com/globalSearch/MC74HC08ADTEL/page-1", "MC74HC08ADTEL")</f>
        <v>MC74HC08ADTEL</v>
      </c>
      <c r="B4144" s="3" t="str">
        <f>HYPERLINK("https://www.773grp.com/manufacturer/onsemi?pageNo=99", "Onsemi")</f>
        <v>Onsemi</v>
      </c>
      <c r="C4144" s="6">
        <v>7500</v>
      </c>
      <c r="D4144" s="7">
        <v>0.57999999999999996</v>
      </c>
    </row>
    <row r="4145" spans="1:5" x14ac:dyDescent="0.25">
      <c r="A4145" t="str">
        <f>HYPERLINK("https://www.773grp.com/globalSearch/MC74HC11FL2/page-1", "MC74HC11FL2")</f>
        <v>MC74HC11FL2</v>
      </c>
      <c r="B4145" s="3" t="str">
        <f>HYPERLINK("https://www.773grp.com/manufacturer/onsemi?pageNo=100", "Onsemi")</f>
        <v>Onsemi</v>
      </c>
      <c r="C4145" s="6">
        <v>4000</v>
      </c>
      <c r="D4145" s="7">
        <v>0.57999999999999996</v>
      </c>
    </row>
    <row r="4146" spans="1:5" x14ac:dyDescent="0.25">
      <c r="A4146" t="str">
        <f>HYPERLINK("https://www.773grp.com/globalSearch/MC74HC11FR2/page-1", "MC74HC11FR2")</f>
        <v>MC74HC11FR2</v>
      </c>
      <c r="B4146" s="3" t="str">
        <f>HYPERLINK("https://www.773grp.com/manufacturer/onsemi?pageNo=101", "Onsemi")</f>
        <v>Onsemi</v>
      </c>
      <c r="C4146" s="6">
        <v>4000</v>
      </c>
      <c r="D4146" s="7">
        <v>0.57999999999999996</v>
      </c>
    </row>
    <row r="4147" spans="1:5" x14ac:dyDescent="0.25">
      <c r="A4147" t="str">
        <f>HYPERLINK("https://www.773grp.com/globalSearch/MC74HC14ADTEL/page-1", "MC74HC14ADTEL")</f>
        <v>MC74HC14ADTEL</v>
      </c>
      <c r="B4147" s="3" t="str">
        <f>HYPERLINK("https://www.773grp.com/manufacturer/onsemi?pageNo=102", "Onsemi")</f>
        <v>Onsemi</v>
      </c>
      <c r="C4147" s="6">
        <v>4000</v>
      </c>
      <c r="D4147" s="7">
        <v>0.57999999999999996</v>
      </c>
    </row>
    <row r="4148" spans="1:5" x14ac:dyDescent="0.25">
      <c r="A4148" t="str">
        <f>HYPERLINK("https://www.773grp.com/globalSearch/MC74HC161AFL1/page-1", "MC74HC161AFL1")</f>
        <v>MC74HC161AFL1</v>
      </c>
      <c r="B4148" s="3" t="str">
        <f>HYPERLINK("https://www.773grp.com/manufacturer/onsemi?pageNo=103", "Onsemi")</f>
        <v>Onsemi</v>
      </c>
      <c r="C4148" s="6">
        <v>5000</v>
      </c>
      <c r="D4148" s="7">
        <v>0.57999999999999996</v>
      </c>
    </row>
    <row r="4149" spans="1:5" x14ac:dyDescent="0.25">
      <c r="A4149" t="str">
        <f>HYPERLINK("https://www.773grp.com/globalSearch/MC74HC161AFR1/page-1", "MC74HC161AFR1")</f>
        <v>MC74HC161AFR1</v>
      </c>
      <c r="B4149" s="3" t="str">
        <f>HYPERLINK("https://www.773grp.com/manufacturer/onsemi?pageNo=104", "Onsemi")</f>
        <v>Onsemi</v>
      </c>
      <c r="C4149" s="6">
        <v>5000</v>
      </c>
      <c r="D4149" s="7">
        <v>0.57999999999999996</v>
      </c>
    </row>
    <row r="4150" spans="1:5" x14ac:dyDescent="0.25">
      <c r="A4150" t="str">
        <f>HYPERLINK("https://www.773grp.com/globalSearch/MC74HC161AFR2/page-1", "MC74HC161AFR2")</f>
        <v>MC74HC161AFR2</v>
      </c>
      <c r="B4150" s="3" t="str">
        <f>HYPERLINK("https://www.773grp.com/manufacturer/onsemi?pageNo=105", "Onsemi")</f>
        <v>Onsemi</v>
      </c>
      <c r="C4150" s="6">
        <v>8000</v>
      </c>
      <c r="D4150" s="7">
        <v>0.57999999999999996</v>
      </c>
    </row>
    <row r="4151" spans="1:5" x14ac:dyDescent="0.25">
      <c r="A4151" t="str">
        <f>HYPERLINK("https://www.773grp.com/globalSearch/MC74HC163AD/page-1", "MC74HC163AD")</f>
        <v>MC74HC163AD</v>
      </c>
      <c r="B4151" s="3" t="str">
        <f>HYPERLINK("https://www.773grp.com/manufacturer/onsemi?pageNo=106", "Onsemi")</f>
        <v>Onsemi</v>
      </c>
      <c r="C4151" s="6">
        <v>29811</v>
      </c>
      <c r="D4151" s="7">
        <v>0.57999999999999996</v>
      </c>
      <c r="E4151" t="s">
        <v>22</v>
      </c>
    </row>
    <row r="4152" spans="1:5" x14ac:dyDescent="0.25">
      <c r="A4152" t="str">
        <f>HYPERLINK("https://www.773grp.com/globalSearch/MC74HC163AF/page-1", "MC74HC163AF")</f>
        <v>MC74HC163AF</v>
      </c>
      <c r="B4152" s="3" t="str">
        <f>HYPERLINK("https://www.773grp.com/manufacturer/onsemi?pageNo=107", "Onsemi")</f>
        <v>Onsemi</v>
      </c>
      <c r="C4152" s="6">
        <v>200</v>
      </c>
      <c r="D4152" s="7">
        <v>0.57999999999999996</v>
      </c>
    </row>
    <row r="4153" spans="1:5" x14ac:dyDescent="0.25">
      <c r="A4153" t="str">
        <f>HYPERLINK("https://www.773grp.com/globalSearch/MC74HC163AFL1/page-1", "MC74HC163AFL1")</f>
        <v>MC74HC163AFL1</v>
      </c>
      <c r="B4153" s="3" t="str">
        <f>HYPERLINK("https://www.773grp.com/manufacturer/onsemi?pageNo=108", "Onsemi")</f>
        <v>Onsemi</v>
      </c>
      <c r="C4153" s="6">
        <v>5000</v>
      </c>
      <c r="D4153" s="7">
        <v>0.57999999999999996</v>
      </c>
    </row>
    <row r="4154" spans="1:5" x14ac:dyDescent="0.25">
      <c r="A4154" t="str">
        <f>HYPERLINK("https://www.773grp.com/globalSearch/MC74HC163AFL2/page-1", "MC74HC163AFL2")</f>
        <v>MC74HC163AFL2</v>
      </c>
      <c r="B4154" s="3" t="str">
        <f>HYPERLINK("https://www.773grp.com/manufacturer/onsemi?pageNo=109", "Onsemi")</f>
        <v>Onsemi</v>
      </c>
      <c r="C4154" s="6">
        <v>4000</v>
      </c>
      <c r="D4154" s="7">
        <v>0.57999999999999996</v>
      </c>
    </row>
    <row r="4155" spans="1:5" x14ac:dyDescent="0.25">
      <c r="A4155" t="str">
        <f>HYPERLINK("https://www.773grp.com/globalSearch/MC74HC163AFR1/page-1", "MC74HC163AFR1")</f>
        <v>MC74HC163AFR1</v>
      </c>
      <c r="B4155" s="3" t="str">
        <f>HYPERLINK("https://www.773grp.com/manufacturer/onsemi?pageNo=110", "Onsemi")</f>
        <v>Onsemi</v>
      </c>
      <c r="C4155" s="6">
        <v>1000</v>
      </c>
      <c r="D4155" s="7">
        <v>0.57999999999999996</v>
      </c>
    </row>
    <row r="4156" spans="1:5" x14ac:dyDescent="0.25">
      <c r="A4156" t="str">
        <f>HYPERLINK("https://www.773grp.com/globalSearch/MC74HC163AFR2/page-1", "MC74HC163AFR2")</f>
        <v>MC74HC163AFR2</v>
      </c>
      <c r="B4156" s="3" t="str">
        <f>HYPERLINK("https://www.773grp.com/manufacturer/onsemi?pageNo=111", "Onsemi")</f>
        <v>Onsemi</v>
      </c>
      <c r="C4156" s="6">
        <v>4000</v>
      </c>
      <c r="D4156" s="7">
        <v>0.57999999999999996</v>
      </c>
    </row>
    <row r="4157" spans="1:5" x14ac:dyDescent="0.25">
      <c r="A4157" t="str">
        <f>HYPERLINK("https://www.773grp.com/globalSearch/MC74HC240ADT/page-1", "MC74HC240ADT")</f>
        <v>MC74HC240ADT</v>
      </c>
      <c r="B4157" s="3" t="str">
        <f>HYPERLINK("https://www.773grp.com/manufacturer/onsemi?pageNo=112", "Onsemi")</f>
        <v>Onsemi</v>
      </c>
      <c r="C4157" s="6">
        <v>10192</v>
      </c>
      <c r="D4157" s="7">
        <v>0.57999999999999996</v>
      </c>
      <c r="E4157" t="s">
        <v>11</v>
      </c>
    </row>
    <row r="4158" spans="1:5" x14ac:dyDescent="0.25">
      <c r="A4158" t="str">
        <f>HYPERLINK("https://www.773grp.com/globalSearch/MC74HC245ADWR2/page-1", "MC74HC245ADWR2")</f>
        <v>MC74HC245ADWR2</v>
      </c>
      <c r="B4158" s="3" t="str">
        <f>HYPERLINK("https://www.773grp.com/manufacturer/onsemi?pageNo=113", "Onsemi")</f>
        <v>Onsemi</v>
      </c>
      <c r="C4158" s="6">
        <v>161</v>
      </c>
      <c r="D4158" s="7">
        <v>0.57999999999999996</v>
      </c>
      <c r="E4158" t="s">
        <v>11</v>
      </c>
    </row>
    <row r="4159" spans="1:5" x14ac:dyDescent="0.25">
      <c r="A4159" t="str">
        <f>HYPERLINK("https://www.773grp.com/globalSearch/MC74HC273ADWR2/page-1", "MC74HC273ADWR2")</f>
        <v>MC74HC273ADWR2</v>
      </c>
      <c r="B4159" s="3" t="str">
        <f>HYPERLINK("https://www.773grp.com/manufacturer/onsemi?pageNo=114", "Onsemi")</f>
        <v>Onsemi</v>
      </c>
      <c r="C4159" s="6">
        <v>55005</v>
      </c>
      <c r="D4159" s="7">
        <v>0.57999999999999996</v>
      </c>
      <c r="E4159" t="s">
        <v>31</v>
      </c>
    </row>
    <row r="4160" spans="1:5" x14ac:dyDescent="0.25">
      <c r="A4160" t="str">
        <f>HYPERLINK("https://www.773grp.com/globalSearch/MC74HC32ADT/page-1", "MC74HC32ADT")</f>
        <v>MC74HC32ADT</v>
      </c>
      <c r="B4160" s="3" t="str">
        <f>HYPERLINK("https://www.773grp.com/manufacturer/onsemi?pageNo=115", "Onsemi")</f>
        <v>Onsemi</v>
      </c>
      <c r="C4160" s="6">
        <v>3794</v>
      </c>
      <c r="D4160" s="7">
        <v>0.57999999999999996</v>
      </c>
      <c r="E4160" t="s">
        <v>27</v>
      </c>
    </row>
    <row r="4161" spans="1:5" x14ac:dyDescent="0.25">
      <c r="A4161" t="str">
        <f>HYPERLINK("https://www.773grp.com/globalSearch/MC74HC32ADTEL/page-1", "MC74HC32ADTEL")</f>
        <v>MC74HC32ADTEL</v>
      </c>
      <c r="B4161" s="3" t="str">
        <f>HYPERLINK("https://www.773grp.com/manufacturer/onsemi?pageNo=116", "Onsemi")</f>
        <v>Onsemi</v>
      </c>
      <c r="C4161" s="6">
        <v>32000</v>
      </c>
      <c r="D4161" s="7">
        <v>0.57999999999999996</v>
      </c>
    </row>
    <row r="4162" spans="1:5" x14ac:dyDescent="0.25">
      <c r="A4162" t="str">
        <f>HYPERLINK("https://www.773grp.com/globalSearch/MC74HC4002N/page-1", "MC74HC4002N")</f>
        <v>MC74HC4002N</v>
      </c>
      <c r="B4162" s="3" t="str">
        <f>HYPERLINK("https://www.773grp.com/manufacturer/onsemi?pageNo=117", "Onsemi")</f>
        <v>Onsemi</v>
      </c>
      <c r="C4162" s="6">
        <v>5</v>
      </c>
      <c r="D4162" s="7">
        <v>0.57999999999999996</v>
      </c>
      <c r="E4162" t="s">
        <v>27</v>
      </c>
    </row>
    <row r="4163" spans="1:5" x14ac:dyDescent="0.25">
      <c r="A4163" t="str">
        <f>HYPERLINK("https://www.773grp.com/globalSearch/MC74HC75D/page-1", "MC74HC75D")</f>
        <v>MC74HC75D</v>
      </c>
      <c r="B4163" s="3" t="str">
        <f>HYPERLINK("https://www.773grp.com/manufacturer/onsemi?pageNo=118", "Onsemi")</f>
        <v>Onsemi</v>
      </c>
      <c r="C4163" s="6">
        <v>956</v>
      </c>
      <c r="D4163" s="7">
        <v>0.57999999999999996</v>
      </c>
      <c r="E4163" t="s">
        <v>31</v>
      </c>
    </row>
    <row r="4164" spans="1:5" x14ac:dyDescent="0.25">
      <c r="A4164" t="str">
        <f>HYPERLINK("https://www.773grp.com/globalSearch/MC74HC75F/page-1", "MC74HC75F")</f>
        <v>MC74HC75F</v>
      </c>
      <c r="B4164" s="3" t="str">
        <f>HYPERLINK("https://www.773grp.com/manufacturer/onsemi?pageNo=119", "Onsemi")</f>
        <v>Onsemi</v>
      </c>
      <c r="C4164" s="6">
        <v>298</v>
      </c>
      <c r="D4164" s="7">
        <v>0.57999999999999996</v>
      </c>
    </row>
    <row r="4165" spans="1:5" x14ac:dyDescent="0.25">
      <c r="A4165" t="str">
        <f>HYPERLINK("https://www.773grp.com/globalSearch/MC74HC75FL2/page-1", "MC74HC75FL2")</f>
        <v>MC74HC75FL2</v>
      </c>
      <c r="B4165" s="3" t="str">
        <f>HYPERLINK("https://www.773grp.com/manufacturer/onsemi?pageNo=120", "Onsemi")</f>
        <v>Onsemi</v>
      </c>
      <c r="C4165" s="6">
        <v>8000</v>
      </c>
      <c r="D4165" s="7">
        <v>0.57999999999999996</v>
      </c>
    </row>
    <row r="4166" spans="1:5" x14ac:dyDescent="0.25">
      <c r="A4166" t="str">
        <f>HYPERLINK("https://www.773grp.com/globalSearch/MC74HCT244ADT/page-1", "MC74HCT244ADT")</f>
        <v>MC74HCT244ADT</v>
      </c>
      <c r="B4166" s="3" t="str">
        <f>HYPERLINK("https://www.773grp.com/manufacturer/onsemi?pageNo=121", "Onsemi")</f>
        <v>Onsemi</v>
      </c>
      <c r="C4166" s="6">
        <v>4625</v>
      </c>
      <c r="D4166" s="7">
        <v>0.57999999999999996</v>
      </c>
      <c r="E4166" t="s">
        <v>11</v>
      </c>
    </row>
    <row r="4167" spans="1:5" x14ac:dyDescent="0.25">
      <c r="A4167" t="str">
        <f>HYPERLINK("https://www.773grp.com/globalSearch/MC74HCT244AWD/page-1", "MC74HCT244AWD")</f>
        <v>MC74HCT244AWD</v>
      </c>
      <c r="B4167" s="3" t="str">
        <f>HYPERLINK("https://www.773grp.com/manufacturer/onsemi?pageNo=122", "Onsemi")</f>
        <v>Onsemi</v>
      </c>
      <c r="C4167" s="6">
        <v>5674</v>
      </c>
      <c r="D4167" s="7">
        <v>0.57999999999999996</v>
      </c>
    </row>
    <row r="4168" spans="1:5" x14ac:dyDescent="0.25">
      <c r="A4168" t="str">
        <f>HYPERLINK("https://www.773grp.com/globalSearch/MC74HCT245AH/page-1", "MC74HCT245AH")</f>
        <v>MC74HCT245AH</v>
      </c>
      <c r="B4168" s="3" t="str">
        <f>HYPERLINK("https://www.773grp.com/manufacturer/onsemi?pageNo=123", "Onsemi")</f>
        <v>Onsemi</v>
      </c>
      <c r="C4168" s="6">
        <v>14</v>
      </c>
      <c r="D4168" s="7">
        <v>0.57999999999999996</v>
      </c>
      <c r="E4168" t="s">
        <v>11</v>
      </c>
    </row>
    <row r="4169" spans="1:5" x14ac:dyDescent="0.25">
      <c r="A4169" t="str">
        <f>HYPERLINK("https://www.773grp.com/globalSearch/MC74HCT573AD/page-1", "MC74HCT573AD")</f>
        <v>MC74HCT573AD</v>
      </c>
      <c r="B4169" s="3" t="str">
        <f>HYPERLINK("https://www.773grp.com/manufacturer/onsemi?pageNo=124", "Onsemi")</f>
        <v>Onsemi</v>
      </c>
      <c r="C4169" s="6">
        <v>2000</v>
      </c>
      <c r="D4169" s="7">
        <v>0.57999999999999996</v>
      </c>
    </row>
    <row r="4170" spans="1:5" x14ac:dyDescent="0.25">
      <c r="A4170" t="str">
        <f>HYPERLINK("https://www.773grp.com/globalSearch/MC74HCT573ADT/page-1", "MC74HCT573ADT")</f>
        <v>MC74HCT573ADT</v>
      </c>
      <c r="B4170" s="3" t="str">
        <f>HYPERLINK("https://www.773grp.com/manufacturer/onsemi?pageNo=125", "Onsemi")</f>
        <v>Onsemi</v>
      </c>
      <c r="C4170" s="6">
        <v>3430</v>
      </c>
      <c r="D4170" s="7">
        <v>0.57999999999999996</v>
      </c>
      <c r="E4170" t="s">
        <v>11</v>
      </c>
    </row>
    <row r="4171" spans="1:5" x14ac:dyDescent="0.25">
      <c r="A4171" t="str">
        <f>HYPERLINK("https://www.773grp.com/globalSearch/MC74HCT573ADWR/page-1", "MC74HCT573ADWR")</f>
        <v>MC74HCT573ADWR</v>
      </c>
      <c r="B4171" s="3" t="str">
        <f>HYPERLINK("https://www.773grp.com/manufacturer/onsemi?pageNo=126", "Onsemi")</f>
        <v>Onsemi</v>
      </c>
      <c r="C4171" s="6">
        <v>1000</v>
      </c>
      <c r="D4171" s="7">
        <v>0.57999999999999996</v>
      </c>
    </row>
    <row r="4172" spans="1:5" x14ac:dyDescent="0.25">
      <c r="A4172" t="str">
        <f>HYPERLINK("https://www.773grp.com/globalSearch/MC74HCT574ADT/page-1", "MC74HCT574ADT")</f>
        <v>MC74HCT574ADT</v>
      </c>
      <c r="B4172" s="3" t="str">
        <f>HYPERLINK("https://www.773grp.com/manufacturer/onsemi?pageNo=127", "Onsemi")</f>
        <v>Onsemi</v>
      </c>
      <c r="C4172" s="6">
        <v>26240</v>
      </c>
      <c r="D4172" s="7">
        <v>0.57999999999999996</v>
      </c>
    </row>
    <row r="4173" spans="1:5" x14ac:dyDescent="0.25">
      <c r="A4173" t="str">
        <f>HYPERLINK("https://www.773grp.com/globalSearch/MC74LCX138MEL/page-1", "MC74LCX138MEL")</f>
        <v>MC74LCX138MEL</v>
      </c>
      <c r="B4173" s="3" t="str">
        <f>HYPERLINK("https://www.773grp.com/manufacturer/onsemi?pageNo=128", "Onsemi")</f>
        <v>Onsemi</v>
      </c>
      <c r="C4173" s="6">
        <v>6000</v>
      </c>
      <c r="D4173" s="7">
        <v>0.57999999999999996</v>
      </c>
      <c r="E4173" t="s">
        <v>32</v>
      </c>
    </row>
    <row r="4174" spans="1:5" x14ac:dyDescent="0.25">
      <c r="A4174" t="str">
        <f>HYPERLINK("https://www.773grp.com/globalSearch/MC74LCX244DW/page-1", "MC74LCX244DW")</f>
        <v>MC74LCX244DW</v>
      </c>
      <c r="B4174" s="3" t="str">
        <f>HYPERLINK("https://www.773grp.com/manufacturer/onsemi?pageNo=129", "Onsemi")</f>
        <v>Onsemi</v>
      </c>
      <c r="C4174" s="6">
        <v>23142</v>
      </c>
      <c r="D4174" s="7">
        <v>0.57999999999999996</v>
      </c>
      <c r="E4174" t="s">
        <v>11</v>
      </c>
    </row>
    <row r="4175" spans="1:5" x14ac:dyDescent="0.25">
      <c r="A4175" t="str">
        <f>HYPERLINK("https://www.773grp.com/globalSearch/MC74LCX244DWR2/page-1", "MC74LCX244DWR2")</f>
        <v>MC74LCX244DWR2</v>
      </c>
      <c r="B4175" s="3" t="str">
        <f>HYPERLINK("https://www.773grp.com/manufacturer/onsemi?pageNo=130", "Onsemi")</f>
        <v>Onsemi</v>
      </c>
      <c r="C4175" s="6">
        <v>21349</v>
      </c>
      <c r="D4175" s="7">
        <v>0.57999999999999996</v>
      </c>
      <c r="E4175" t="s">
        <v>11</v>
      </c>
    </row>
    <row r="4176" spans="1:5" x14ac:dyDescent="0.25">
      <c r="A4176" t="str">
        <f>HYPERLINK("https://www.773grp.com/globalSearch/MC74LCX245DWR2/page-1", "MC74LCX245DWR2")</f>
        <v>MC74LCX245DWR2</v>
      </c>
      <c r="B4176" s="3" t="str">
        <f>HYPERLINK("https://www.773grp.com/manufacturer/onsemi?pageNo=131", "Onsemi")</f>
        <v>Onsemi</v>
      </c>
      <c r="C4176" s="6">
        <v>312</v>
      </c>
      <c r="D4176" s="7">
        <v>0.57999999999999996</v>
      </c>
      <c r="E4176" t="s">
        <v>11</v>
      </c>
    </row>
    <row r="4177" spans="1:5" x14ac:dyDescent="0.25">
      <c r="A4177" t="str">
        <f>HYPERLINK("https://www.773grp.com/globalSearch/MC74LCX257MEL/page-1", "MC74LCX257MEL")</f>
        <v>MC74LCX257MEL</v>
      </c>
      <c r="B4177" s="3" t="str">
        <f>HYPERLINK("https://www.773grp.com/manufacturer/onsemi?pageNo=132", "Onsemi")</f>
        <v>Onsemi</v>
      </c>
      <c r="C4177" s="6">
        <v>2000</v>
      </c>
      <c r="D4177" s="7">
        <v>0.57999999999999996</v>
      </c>
      <c r="E4177" t="s">
        <v>16</v>
      </c>
    </row>
    <row r="4178" spans="1:5" x14ac:dyDescent="0.25">
      <c r="A4178" t="str">
        <f>HYPERLINK("https://www.773grp.com/globalSearch/MC74LCX258D/page-1", "MC74LCX258D")</f>
        <v>MC74LCX258D</v>
      </c>
      <c r="B4178" s="3" t="str">
        <f>HYPERLINK("https://www.773grp.com/manufacturer/onsemi?pageNo=133", "Onsemi")</f>
        <v>Onsemi</v>
      </c>
      <c r="C4178" s="6">
        <v>96</v>
      </c>
      <c r="D4178" s="7">
        <v>0.57999999999999996</v>
      </c>
      <c r="E4178" t="s">
        <v>16</v>
      </c>
    </row>
    <row r="4179" spans="1:5" x14ac:dyDescent="0.25">
      <c r="A4179" t="str">
        <f>HYPERLINK("https://www.773grp.com/globalSearch/MC74LCX258DT/page-1", "MC74LCX258DT")</f>
        <v>MC74LCX258DT</v>
      </c>
      <c r="B4179" s="3" t="str">
        <f>HYPERLINK("https://www.773grp.com/manufacturer/onsemi?pageNo=134", "Onsemi")</f>
        <v>Onsemi</v>
      </c>
      <c r="C4179" s="6">
        <v>19872</v>
      </c>
      <c r="D4179" s="7">
        <v>0.57999999999999996</v>
      </c>
      <c r="E4179" t="s">
        <v>16</v>
      </c>
    </row>
    <row r="4180" spans="1:5" x14ac:dyDescent="0.25">
      <c r="A4180" t="str">
        <f>HYPERLINK("https://www.773grp.com/globalSearch/MC74LCX373DWR2/page-1", "MC74LCX373DWR2")</f>
        <v>MC74LCX373DWR2</v>
      </c>
      <c r="B4180" s="3" t="str">
        <f>HYPERLINK("https://www.773grp.com/manufacturer/onsemi?pageNo=135", "Onsemi")</f>
        <v>Onsemi</v>
      </c>
      <c r="C4180" s="6">
        <v>4000</v>
      </c>
      <c r="D4180" s="7">
        <v>0.57999999999999996</v>
      </c>
      <c r="E4180" t="s">
        <v>11</v>
      </c>
    </row>
    <row r="4181" spans="1:5" x14ac:dyDescent="0.25">
      <c r="A4181" t="str">
        <f>HYPERLINK("https://www.773grp.com/globalSearch/MC74LCX373MEL/page-1", "MC74LCX373MEL")</f>
        <v>MC74LCX373MEL</v>
      </c>
      <c r="B4181" s="3" t="str">
        <f>HYPERLINK("https://www.773grp.com/manufacturer/onsemi?pageNo=136", "Onsemi")</f>
        <v>Onsemi</v>
      </c>
      <c r="C4181" s="6">
        <v>10000</v>
      </c>
      <c r="D4181" s="7">
        <v>0.57999999999999996</v>
      </c>
      <c r="E4181" t="s">
        <v>11</v>
      </c>
    </row>
    <row r="4182" spans="1:5" x14ac:dyDescent="0.25">
      <c r="A4182" t="str">
        <f>HYPERLINK("https://www.773grp.com/globalSearch/MC74LCX374DWR2/page-1", "MC74LCX374DWR2")</f>
        <v>MC74LCX374DWR2</v>
      </c>
      <c r="B4182" s="3" t="str">
        <f>HYPERLINK("https://www.773grp.com/manufacturer/onsemi?pageNo=137", "Onsemi")</f>
        <v>Onsemi</v>
      </c>
      <c r="C4182" s="6">
        <v>16000</v>
      </c>
      <c r="D4182" s="7">
        <v>0.57999999999999996</v>
      </c>
      <c r="E4182" t="s">
        <v>11</v>
      </c>
    </row>
    <row r="4183" spans="1:5" x14ac:dyDescent="0.25">
      <c r="A4183" t="str">
        <f>HYPERLINK("https://www.773grp.com/globalSearch/MC74LCX573DW/page-1", "MC74LCX573DW")</f>
        <v>MC74LCX573DW</v>
      </c>
      <c r="B4183" s="3" t="str">
        <f>HYPERLINK("https://www.773grp.com/manufacturer/onsemi?pageNo=138", "Onsemi")</f>
        <v>Onsemi</v>
      </c>
      <c r="C4183" s="6">
        <v>456</v>
      </c>
      <c r="D4183" s="7">
        <v>0.57999999999999996</v>
      </c>
      <c r="E4183" t="s">
        <v>11</v>
      </c>
    </row>
    <row r="4184" spans="1:5" x14ac:dyDescent="0.25">
      <c r="A4184" t="str">
        <f>HYPERLINK("https://www.773grp.com/globalSearch/MC74LCX574DWR2/page-1", "MC74LCX574DWR2")</f>
        <v>MC74LCX574DWR2</v>
      </c>
      <c r="B4184" s="3" t="str">
        <f>HYPERLINK("https://www.773grp.com/manufacturer/onsemi?pageNo=139", "Onsemi")</f>
        <v>Onsemi</v>
      </c>
      <c r="C4184" s="6">
        <v>1000</v>
      </c>
      <c r="D4184" s="7">
        <v>0.57999999999999996</v>
      </c>
      <c r="E4184" t="s">
        <v>11</v>
      </c>
    </row>
    <row r="4185" spans="1:5" x14ac:dyDescent="0.25">
      <c r="A4185" t="str">
        <f>HYPERLINK("https://www.773grp.com/globalSearch/MC74LCX74M/page-1", "MC74LCX74M")</f>
        <v>MC74LCX74M</v>
      </c>
      <c r="B4185" s="3" t="str">
        <f>HYPERLINK("https://www.773grp.com/manufacturer/onsemi?pageNo=140", "Onsemi")</f>
        <v>Onsemi</v>
      </c>
      <c r="C4185" s="6">
        <v>17150</v>
      </c>
      <c r="D4185" s="7">
        <v>0.57999999999999996</v>
      </c>
      <c r="E4185" t="s">
        <v>31</v>
      </c>
    </row>
    <row r="4186" spans="1:5" x14ac:dyDescent="0.25">
      <c r="A4186" t="str">
        <f>HYPERLINK("https://www.773grp.com/globalSearch/MC74LVX00DR2G/page-1", "MC74LVX00DR2G")</f>
        <v>MC74LVX00DR2G</v>
      </c>
      <c r="B4186" s="3" t="str">
        <f>HYPERLINK("https://www.773grp.com/manufacturer/onsemi?pageNo=141", "Onsemi")</f>
        <v>Onsemi</v>
      </c>
      <c r="C4186" s="6">
        <v>23531</v>
      </c>
      <c r="D4186" s="7">
        <v>0.57999999999999996</v>
      </c>
      <c r="E4186" t="s">
        <v>27</v>
      </c>
    </row>
    <row r="4187" spans="1:5" x14ac:dyDescent="0.25">
      <c r="A4187" t="str">
        <f>HYPERLINK("https://www.773grp.com/globalSearch/MC74LVX00DTR2G/page-1", "MC74LVX00DTR2G")</f>
        <v>MC74LVX00DTR2G</v>
      </c>
      <c r="B4187" s="3" t="str">
        <f>HYPERLINK("https://www.773grp.com/manufacturer/onsemi?pageNo=142", "Onsemi")</f>
        <v>Onsemi</v>
      </c>
      <c r="C4187" s="6">
        <v>29527</v>
      </c>
      <c r="D4187" s="7">
        <v>0.57999999999999996</v>
      </c>
      <c r="E4187" t="s">
        <v>27</v>
      </c>
    </row>
    <row r="4188" spans="1:5" x14ac:dyDescent="0.25">
      <c r="A4188" t="str">
        <f>HYPERLINK("https://www.773grp.com/globalSearch/MC74LVX02DR2G/page-1", "MC74LVX02DR2G")</f>
        <v>MC74LVX02DR2G</v>
      </c>
      <c r="B4188" s="3" t="str">
        <f>HYPERLINK("https://www.773grp.com/manufacturer/onsemi?pageNo=143", "Onsemi")</f>
        <v>Onsemi</v>
      </c>
      <c r="C4188" s="6">
        <v>23813</v>
      </c>
      <c r="D4188" s="7">
        <v>0.57999999999999996</v>
      </c>
      <c r="E4188" t="s">
        <v>27</v>
      </c>
    </row>
    <row r="4189" spans="1:5" x14ac:dyDescent="0.25">
      <c r="A4189" t="str">
        <f>HYPERLINK("https://www.773grp.com/globalSearch/MC74LVX02DTR2G/page-1", "MC74LVX02DTR2G")</f>
        <v>MC74LVX02DTR2G</v>
      </c>
      <c r="B4189" s="3" t="str">
        <f>HYPERLINK("https://www.773grp.com/manufacturer/onsemi?pageNo=144", "Onsemi")</f>
        <v>Onsemi</v>
      </c>
      <c r="C4189" s="6">
        <v>16950</v>
      </c>
      <c r="D4189" s="7">
        <v>0.57999999999999996</v>
      </c>
    </row>
    <row r="4190" spans="1:5" x14ac:dyDescent="0.25">
      <c r="A4190" t="str">
        <f>HYPERLINK("https://www.773grp.com/globalSearch/MC74LVX04DR2G/page-1", "MC74LVX04DR2G")</f>
        <v>MC74LVX04DR2G</v>
      </c>
      <c r="B4190" s="3" t="str">
        <f>HYPERLINK("https://www.773grp.com/manufacturer/onsemi?pageNo=145", "Onsemi")</f>
        <v>Onsemi</v>
      </c>
      <c r="C4190" s="6">
        <v>36366</v>
      </c>
      <c r="D4190" s="7">
        <v>0.57999999999999996</v>
      </c>
      <c r="E4190" t="s">
        <v>27</v>
      </c>
    </row>
    <row r="4191" spans="1:5" x14ac:dyDescent="0.25">
      <c r="A4191" t="str">
        <f>HYPERLINK("https://www.773grp.com/globalSearch/MC74LVX04DTR2G/page-1", "MC74LVX04DTR2G")</f>
        <v>MC74LVX04DTR2G</v>
      </c>
      <c r="B4191" s="3" t="str">
        <f>HYPERLINK("https://www.773grp.com/manufacturer/onsemi?pageNo=146", "Onsemi")</f>
        <v>Onsemi</v>
      </c>
      <c r="C4191" s="6">
        <v>2204</v>
      </c>
      <c r="D4191" s="7">
        <v>0.57999999999999996</v>
      </c>
      <c r="E4191" t="s">
        <v>27</v>
      </c>
    </row>
    <row r="4192" spans="1:5" x14ac:dyDescent="0.25">
      <c r="A4192" t="str">
        <f>HYPERLINK("https://www.773grp.com/globalSearch/MC74LVX08DR2G/page-1", "MC74LVX08DR2G")</f>
        <v>MC74LVX08DR2G</v>
      </c>
      <c r="B4192" s="3" t="str">
        <f>HYPERLINK("https://www.773grp.com/manufacturer/onsemi?pageNo=147", "Onsemi")</f>
        <v>Onsemi</v>
      </c>
      <c r="C4192" s="6">
        <v>29685</v>
      </c>
      <c r="D4192" s="7">
        <v>0.57999999999999996</v>
      </c>
      <c r="E4192" t="s">
        <v>27</v>
      </c>
    </row>
    <row r="4193" spans="1:5" x14ac:dyDescent="0.25">
      <c r="A4193" t="str">
        <f>HYPERLINK("https://www.773grp.com/globalSearch/MC74LVX08DTG/page-1", "MC74LVX08DTG")</f>
        <v>MC74LVX08DTG</v>
      </c>
      <c r="B4193" s="3" t="str">
        <f>HYPERLINK("https://www.773grp.com/manufacturer/onsemi?pageNo=148", "Onsemi")</f>
        <v>Onsemi</v>
      </c>
      <c r="C4193" s="6">
        <v>19620</v>
      </c>
      <c r="D4193" s="7">
        <v>0.57999999999999996</v>
      </c>
      <c r="E4193" t="s">
        <v>27</v>
      </c>
    </row>
    <row r="4194" spans="1:5" x14ac:dyDescent="0.25">
      <c r="A4194" t="str">
        <f>HYPERLINK("https://www.773grp.com/globalSearch/MC74LVX08DTR2/page-1", "MC74LVX08DTR2")</f>
        <v>MC74LVX08DTR2</v>
      </c>
      <c r="B4194" s="3" t="str">
        <f>HYPERLINK("https://www.773grp.com/manufacturer/onsemi?pageNo=149", "Onsemi")</f>
        <v>Onsemi</v>
      </c>
      <c r="C4194" s="6">
        <v>17500</v>
      </c>
      <c r="D4194" s="7">
        <v>0.57999999999999996</v>
      </c>
    </row>
    <row r="4195" spans="1:5" x14ac:dyDescent="0.25">
      <c r="A4195" t="str">
        <f>HYPERLINK("https://www.773grp.com/globalSearch/MC74LVX08DTR2G/page-1", "MC74LVX08DTR2G")</f>
        <v>MC74LVX08DTR2G</v>
      </c>
      <c r="B4195" s="3" t="str">
        <f>HYPERLINK("https://www.773grp.com/manufacturer/onsemi?pageNo=150", "Onsemi")</f>
        <v>Onsemi</v>
      </c>
      <c r="C4195" s="6">
        <v>5000</v>
      </c>
      <c r="D4195" s="7">
        <v>0.57999999999999996</v>
      </c>
    </row>
    <row r="4196" spans="1:5" x14ac:dyDescent="0.25">
      <c r="A4196" t="str">
        <f>HYPERLINK("https://www.773grp.com/globalSearch/MC74LVX138DT/page-1", "MC74LVX138DT")</f>
        <v>MC74LVX138DT</v>
      </c>
      <c r="B4196" s="3" t="str">
        <f>HYPERLINK("https://www.773grp.com/manufacturer/onsemi?pageNo=151", "Onsemi")</f>
        <v>Onsemi</v>
      </c>
      <c r="C4196" s="6">
        <v>12682</v>
      </c>
      <c r="D4196" s="7">
        <v>0.57999999999999996</v>
      </c>
      <c r="E4196" t="s">
        <v>32</v>
      </c>
    </row>
    <row r="4197" spans="1:5" x14ac:dyDescent="0.25">
      <c r="A4197" t="str">
        <f>HYPERLINK("https://www.773grp.com/globalSearch/MC74LVX244DW/page-1", "MC74LVX244DW")</f>
        <v>MC74LVX244DW</v>
      </c>
      <c r="B4197" s="3" t="str">
        <f>HYPERLINK("https://www.773grp.com/manufacturer/onsemi?pageNo=152", "Onsemi")</f>
        <v>Onsemi</v>
      </c>
      <c r="C4197" s="6">
        <v>4600</v>
      </c>
      <c r="D4197" s="7">
        <v>0.57999999999999996</v>
      </c>
      <c r="E4197" t="s">
        <v>11</v>
      </c>
    </row>
    <row r="4198" spans="1:5" x14ac:dyDescent="0.25">
      <c r="A4198" t="str">
        <f>HYPERLINK("https://www.773grp.com/globalSearch/MC74LVX245DW/page-1", "MC74LVX245DW")</f>
        <v>MC74LVX245DW</v>
      </c>
      <c r="B4198" s="3" t="str">
        <f>HYPERLINK("https://www.773grp.com/manufacturer/onsemi?pageNo=153", "Onsemi")</f>
        <v>Onsemi</v>
      </c>
      <c r="C4198" s="6">
        <v>12996</v>
      </c>
      <c r="D4198" s="7">
        <v>0.57999999999999996</v>
      </c>
      <c r="E4198" t="s">
        <v>11</v>
      </c>
    </row>
    <row r="4199" spans="1:5" x14ac:dyDescent="0.25">
      <c r="A4199" t="str">
        <f>HYPERLINK("https://www.773grp.com/globalSearch/MC74LVX32DR2G/page-1", "MC74LVX32DR2G")</f>
        <v>MC74LVX32DR2G</v>
      </c>
      <c r="B4199" s="3" t="str">
        <f>HYPERLINK("https://www.773grp.com/manufacturer/onsemi?pageNo=154", "Onsemi")</f>
        <v>Onsemi</v>
      </c>
      <c r="C4199" s="6">
        <v>30000</v>
      </c>
      <c r="D4199" s="7">
        <v>0.57999999999999996</v>
      </c>
      <c r="E4199" t="s">
        <v>27</v>
      </c>
    </row>
    <row r="4200" spans="1:5" x14ac:dyDescent="0.25">
      <c r="A4200" t="str">
        <f>HYPERLINK("https://www.773grp.com/globalSearch/MC74LVX32DTR2G/page-1", "MC74LVX32DTR2G")</f>
        <v>MC74LVX32DTR2G</v>
      </c>
      <c r="B4200" s="3" t="str">
        <f>HYPERLINK("https://www.773grp.com/manufacturer/onsemi?pageNo=155", "Onsemi")</f>
        <v>Onsemi</v>
      </c>
      <c r="C4200" s="6">
        <v>12688</v>
      </c>
      <c r="D4200" s="7">
        <v>0.57999999999999996</v>
      </c>
    </row>
    <row r="4201" spans="1:5" x14ac:dyDescent="0.25">
      <c r="A4201" t="str">
        <f>HYPERLINK("https://www.773grp.com/globalSearch/MC74LVX50DG/page-1", "MC74LVX50DG")</f>
        <v>MC74LVX50DG</v>
      </c>
      <c r="B4201" s="3" t="str">
        <f>HYPERLINK("https://www.773grp.com/manufacturer/onsemi?pageNo=156", "Onsemi")</f>
        <v>Onsemi</v>
      </c>
      <c r="C4201" s="6">
        <v>78245</v>
      </c>
      <c r="D4201" s="7">
        <v>0.57999999999999996</v>
      </c>
      <c r="E4201" t="s">
        <v>27</v>
      </c>
    </row>
    <row r="4202" spans="1:5" x14ac:dyDescent="0.25">
      <c r="A4202" t="str">
        <f>HYPERLINK("https://www.773grp.com/globalSearch/MC74LVX50DR2G/page-1", "MC74LVX50DR2G")</f>
        <v>MC74LVX50DR2G</v>
      </c>
      <c r="B4202" s="3" t="str">
        <f>HYPERLINK("https://www.773grp.com/manufacturer/onsemi?pageNo=157", "Onsemi")</f>
        <v>Onsemi</v>
      </c>
      <c r="C4202" s="6">
        <v>23645</v>
      </c>
      <c r="D4202" s="7">
        <v>0.57999999999999996</v>
      </c>
      <c r="E4202" t="s">
        <v>27</v>
      </c>
    </row>
    <row r="4203" spans="1:5" x14ac:dyDescent="0.25">
      <c r="A4203" t="str">
        <f>HYPERLINK("https://www.773grp.com/globalSearch/MC74LVX50DTG/page-1", "MC74LVX50DTG")</f>
        <v>MC74LVX50DTG</v>
      </c>
      <c r="B4203" s="3" t="str">
        <f>HYPERLINK("https://www.773grp.com/manufacturer/onsemi?pageNo=158", "Onsemi")</f>
        <v>Onsemi</v>
      </c>
      <c r="C4203" s="6">
        <v>34320</v>
      </c>
      <c r="D4203" s="7">
        <v>0.57999999999999996</v>
      </c>
      <c r="E4203" t="s">
        <v>27</v>
      </c>
    </row>
    <row r="4204" spans="1:5" x14ac:dyDescent="0.25">
      <c r="A4204" t="str">
        <f>HYPERLINK("https://www.773grp.com/globalSearch/MC74LVX50DTR2G/page-1", "MC74LVX50DTR2G")</f>
        <v>MC74LVX50DTR2G</v>
      </c>
      <c r="B4204" s="3" t="str">
        <f>HYPERLINK("https://www.773grp.com/manufacturer/onsemi?pageNo=159", "Onsemi")</f>
        <v>Onsemi</v>
      </c>
      <c r="C4204" s="6">
        <v>24574</v>
      </c>
      <c r="D4204" s="7">
        <v>0.57999999999999996</v>
      </c>
      <c r="E4204" t="s">
        <v>27</v>
      </c>
    </row>
    <row r="4205" spans="1:5" x14ac:dyDescent="0.25">
      <c r="A4205" t="str">
        <f>HYPERLINK("https://www.773grp.com/globalSearch/MC74LVX541DT/page-1", "MC74LVX541DT")</f>
        <v>MC74LVX541DT</v>
      </c>
      <c r="B4205" s="3" t="str">
        <f>HYPERLINK("https://www.773grp.com/manufacturer/onsemi?pageNo=160", "Onsemi")</f>
        <v>Onsemi</v>
      </c>
      <c r="C4205" s="6">
        <v>975</v>
      </c>
      <c r="D4205" s="7">
        <v>0.57999999999999996</v>
      </c>
      <c r="E4205" t="s">
        <v>11</v>
      </c>
    </row>
    <row r="4206" spans="1:5" x14ac:dyDescent="0.25">
      <c r="A4206" t="str">
        <f>HYPERLINK("https://www.773grp.com/globalSearch/MC74LVX573DWR2/page-1", "MC74LVX573DWR2")</f>
        <v>MC74LVX573DWR2</v>
      </c>
      <c r="B4206" s="3" t="str">
        <f>HYPERLINK("https://www.773grp.com/manufacturer/onsemi?pageNo=161", "Onsemi")</f>
        <v>Onsemi</v>
      </c>
      <c r="C4206" s="6">
        <v>1000</v>
      </c>
      <c r="D4206" s="7">
        <v>0.57999999999999996</v>
      </c>
      <c r="E4206" t="s">
        <v>11</v>
      </c>
    </row>
    <row r="4207" spans="1:5" x14ac:dyDescent="0.25">
      <c r="A4207" t="str">
        <f>HYPERLINK("https://www.773grp.com/globalSearch/MC74LVX574DWR2/page-1", "MC74LVX574DWR2")</f>
        <v>MC74LVX574DWR2</v>
      </c>
      <c r="B4207" s="3" t="str">
        <f>HYPERLINK("https://www.773grp.com/manufacturer/onsemi?pageNo=162", "Onsemi")</f>
        <v>Onsemi</v>
      </c>
      <c r="C4207" s="6">
        <v>3000</v>
      </c>
      <c r="D4207" s="7">
        <v>0.57999999999999996</v>
      </c>
      <c r="E4207" t="s">
        <v>11</v>
      </c>
    </row>
    <row r="4208" spans="1:5" x14ac:dyDescent="0.25">
      <c r="A4208" t="str">
        <f>HYPERLINK("https://www.773grp.com/globalSearch/MC74LVXT4051DTR2/page-1", "MC74LVXT4051DTR2")</f>
        <v>MC74LVXT4051DTR2</v>
      </c>
      <c r="B4208" s="3" t="str">
        <f>HYPERLINK("https://www.773grp.com/manufacturer/onsemi?pageNo=163", "Onsemi")</f>
        <v>Onsemi</v>
      </c>
      <c r="C4208" s="6">
        <v>17500</v>
      </c>
      <c r="D4208" s="7">
        <v>0.57999999999999996</v>
      </c>
      <c r="E4208" t="s">
        <v>46</v>
      </c>
    </row>
    <row r="4209" spans="1:5" x14ac:dyDescent="0.25">
      <c r="A4209" t="str">
        <f>HYPERLINK("https://www.773grp.com/globalSearch/MC74LVXT4053DTR2/page-1", "MC74LVXT4053DTR2")</f>
        <v>MC74LVXT4053DTR2</v>
      </c>
      <c r="B4209" s="3" t="str">
        <f>HYPERLINK("https://www.773grp.com/manufacturer/onsemi?pageNo=164", "Onsemi")</f>
        <v>Onsemi</v>
      </c>
      <c r="C4209" s="6">
        <v>2500</v>
      </c>
      <c r="D4209" s="7">
        <v>0.57999999999999996</v>
      </c>
      <c r="E4209" t="s">
        <v>46</v>
      </c>
    </row>
    <row r="4210" spans="1:5" x14ac:dyDescent="0.25">
      <c r="A4210" t="str">
        <f>HYPERLINK("https://www.773grp.com/globalSearch/MC74LVXU04DG/page-1", "MC74LVXU04DG")</f>
        <v>MC74LVXU04DG</v>
      </c>
      <c r="B4210" s="3" t="str">
        <f>HYPERLINK("https://www.773grp.com/manufacturer/onsemi?pageNo=165", "Onsemi")</f>
        <v>Onsemi</v>
      </c>
      <c r="C4210" s="6">
        <v>1100</v>
      </c>
      <c r="D4210" s="7">
        <v>0.57999999999999996</v>
      </c>
      <c r="E4210" t="s">
        <v>27</v>
      </c>
    </row>
    <row r="4211" spans="1:5" x14ac:dyDescent="0.25">
      <c r="A4211" t="str">
        <f>HYPERLINK("https://www.773grp.com/globalSearch/MC74LVXU04DR2G/page-1", "MC74LVXU04DR2G")</f>
        <v>MC74LVXU04DR2G</v>
      </c>
      <c r="B4211" s="3" t="str">
        <f>HYPERLINK("https://www.773grp.com/manufacturer/onsemi?pageNo=166", "Onsemi")</f>
        <v>Onsemi</v>
      </c>
      <c r="C4211" s="6">
        <v>22500</v>
      </c>
      <c r="D4211" s="7">
        <v>0.57999999999999996</v>
      </c>
      <c r="E4211" t="s">
        <v>27</v>
      </c>
    </row>
    <row r="4212" spans="1:5" x14ac:dyDescent="0.25">
      <c r="A4212" t="str">
        <f>HYPERLINK("https://www.773grp.com/globalSearch/MC74LVXU04DTG/page-1", "MC74LVXU04DTG")</f>
        <v>MC74LVXU04DTG</v>
      </c>
      <c r="B4212" s="3" t="str">
        <f>HYPERLINK("https://www.773grp.com/manufacturer/onsemi?pageNo=167", "Onsemi")</f>
        <v>Onsemi</v>
      </c>
      <c r="C4212" s="6">
        <v>480</v>
      </c>
      <c r="D4212" s="7">
        <v>0.57999999999999996</v>
      </c>
      <c r="E4212" t="s">
        <v>27</v>
      </c>
    </row>
    <row r="4213" spans="1:5" x14ac:dyDescent="0.25">
      <c r="A4213" t="str">
        <f>HYPERLINK("https://www.773grp.com/globalSearch/MC74LVXU04DTR2G/page-1", "MC74LVXU04DTR2G")</f>
        <v>MC74LVXU04DTR2G</v>
      </c>
      <c r="B4213" s="3" t="str">
        <f>HYPERLINK("https://www.773grp.com/manufacturer/onsemi?pageNo=168", "Onsemi")</f>
        <v>Onsemi</v>
      </c>
      <c r="C4213" s="6">
        <v>17500</v>
      </c>
      <c r="D4213" s="7">
        <v>0.57999999999999996</v>
      </c>
      <c r="E4213" t="s">
        <v>27</v>
      </c>
    </row>
    <row r="4214" spans="1:5" x14ac:dyDescent="0.25">
      <c r="A4214" t="str">
        <f>HYPERLINK("https://www.773grp.com/globalSearch/MC74VHC00DR2G/page-1", "MC74VHC00DR2G")</f>
        <v>MC74VHC00DR2G</v>
      </c>
      <c r="B4214" s="3" t="str">
        <f>HYPERLINK("https://www.773grp.com/manufacturer/onsemi?pageNo=169", "Onsemi")</f>
        <v>Onsemi</v>
      </c>
      <c r="C4214" s="6">
        <v>20757</v>
      </c>
      <c r="D4214" s="7">
        <v>0.57999999999999996</v>
      </c>
      <c r="E4214" t="s">
        <v>27</v>
      </c>
    </row>
    <row r="4215" spans="1:5" x14ac:dyDescent="0.25">
      <c r="A4215" t="str">
        <f>HYPERLINK("https://www.773grp.com/globalSearch/MC74VHC00DTG/page-1", "MC74VHC00DTG")</f>
        <v>MC74VHC00DTG</v>
      </c>
      <c r="B4215" s="3" t="str">
        <f>HYPERLINK("https://www.773grp.com/manufacturer/onsemi?pageNo=170", "Onsemi")</f>
        <v>Onsemi</v>
      </c>
      <c r="C4215" s="6">
        <v>82976</v>
      </c>
      <c r="D4215" s="7">
        <v>0.57999999999999996</v>
      </c>
      <c r="E4215" t="s">
        <v>27</v>
      </c>
    </row>
    <row r="4216" spans="1:5" x14ac:dyDescent="0.25">
      <c r="A4216" t="str">
        <f>HYPERLINK("https://www.773grp.com/globalSearch/MC74VHC00DTR/page-1", "MC74VHC00DTR")</f>
        <v>MC74VHC00DTR</v>
      </c>
      <c r="B4216" s="3" t="str">
        <f>HYPERLINK("https://www.773grp.com/manufacturer/onsemi?pageNo=171", "Onsemi")</f>
        <v>Onsemi</v>
      </c>
      <c r="C4216" s="6">
        <v>2500</v>
      </c>
      <c r="D4216" s="7">
        <v>0.57999999999999996</v>
      </c>
    </row>
    <row r="4217" spans="1:5" x14ac:dyDescent="0.25">
      <c r="A4217" t="str">
        <f>HYPERLINK("https://www.773grp.com/globalSearch/MC74VHC00DTR2G/page-1", "MC74VHC00DTR2G")</f>
        <v>MC74VHC00DTR2G</v>
      </c>
      <c r="B4217" s="3" t="str">
        <f>HYPERLINK("https://www.773grp.com/manufacturer/onsemi?pageNo=172", "Onsemi")</f>
        <v>Onsemi</v>
      </c>
      <c r="C4217" s="6">
        <v>675811</v>
      </c>
      <c r="D4217" s="7">
        <v>0.57999999999999996</v>
      </c>
      <c r="E4217" t="s">
        <v>27</v>
      </c>
    </row>
    <row r="4218" spans="1:5" x14ac:dyDescent="0.25">
      <c r="A4218" t="str">
        <f>HYPERLINK("https://www.773grp.com/globalSearch/MC74VHC02DR2G/page-1", "MC74VHC02DR2G")</f>
        <v>MC74VHC02DR2G</v>
      </c>
      <c r="B4218" s="3" t="str">
        <f>HYPERLINK("https://www.773grp.com/manufacturer/onsemi?pageNo=173", "Onsemi")</f>
        <v>Onsemi</v>
      </c>
      <c r="C4218" s="6">
        <v>54812</v>
      </c>
      <c r="D4218" s="7">
        <v>0.57999999999999996</v>
      </c>
      <c r="E4218" t="s">
        <v>27</v>
      </c>
    </row>
    <row r="4219" spans="1:5" x14ac:dyDescent="0.25">
      <c r="A4219" t="str">
        <f>HYPERLINK("https://www.773grp.com/globalSearch/MC74VHC02DTR2G/page-1", "MC74VHC02DTR2G")</f>
        <v>MC74VHC02DTR2G</v>
      </c>
      <c r="B4219" s="3" t="str">
        <f>HYPERLINK("https://www.773grp.com/manufacturer/onsemi?pageNo=174", "Onsemi")</f>
        <v>Onsemi</v>
      </c>
      <c r="C4219" s="6">
        <v>177973</v>
      </c>
      <c r="D4219" s="7">
        <v>0.57999999999999996</v>
      </c>
      <c r="E4219" t="s">
        <v>27</v>
      </c>
    </row>
    <row r="4220" spans="1:5" x14ac:dyDescent="0.25">
      <c r="A4220" t="str">
        <f>HYPERLINK("https://www.773grp.com/globalSearch/MC74VHC04DR2G/page-1", "MC74VHC04DR2G")</f>
        <v>MC74VHC04DR2G</v>
      </c>
      <c r="B4220" s="3" t="str">
        <f>HYPERLINK("https://www.773grp.com/manufacturer/onsemi?pageNo=175", "Onsemi")</f>
        <v>Onsemi</v>
      </c>
      <c r="C4220" s="6">
        <v>47405</v>
      </c>
      <c r="D4220" s="7">
        <v>0.57999999999999996</v>
      </c>
      <c r="E4220" t="s">
        <v>27</v>
      </c>
    </row>
    <row r="4221" spans="1:5" x14ac:dyDescent="0.25">
      <c r="A4221" t="str">
        <f>HYPERLINK("https://www.773grp.com/globalSearch/MC74VHC04DTR2G/page-1", "MC74VHC04DTR2G")</f>
        <v>MC74VHC04DTR2G</v>
      </c>
      <c r="B4221" s="3" t="str">
        <f>HYPERLINK("https://www.773grp.com/manufacturer/onsemi?pageNo=176", "Onsemi")</f>
        <v>Onsemi</v>
      </c>
      <c r="C4221" s="6">
        <v>20000</v>
      </c>
      <c r="D4221" s="7">
        <v>0.57999999999999996</v>
      </c>
      <c r="E4221" t="s">
        <v>27</v>
      </c>
    </row>
    <row r="4222" spans="1:5" x14ac:dyDescent="0.25">
      <c r="A4222" t="str">
        <f>HYPERLINK("https://www.773grp.com/globalSearch/MC74VHC08DR2G/page-1", "MC74VHC08DR2G")</f>
        <v>MC74VHC08DR2G</v>
      </c>
      <c r="B4222" s="3" t="str">
        <f>HYPERLINK("https://www.773grp.com/manufacturer/onsemi?pageNo=177", "Onsemi")</f>
        <v>Onsemi</v>
      </c>
      <c r="C4222" s="6">
        <v>15318</v>
      </c>
      <c r="D4222" s="7">
        <v>0.57999999999999996</v>
      </c>
      <c r="E4222" t="s">
        <v>27</v>
      </c>
    </row>
    <row r="4223" spans="1:5" x14ac:dyDescent="0.25">
      <c r="A4223" t="str">
        <f>HYPERLINK("https://www.773grp.com/globalSearch/MC74VHC08DTR2G/page-1", "MC74VHC08DTR2G")</f>
        <v>MC74VHC08DTR2G</v>
      </c>
      <c r="B4223" s="3" t="str">
        <f>HYPERLINK("https://www.773grp.com/manufacturer/onsemi?pageNo=178", "Onsemi")</f>
        <v>Onsemi</v>
      </c>
      <c r="C4223" s="6">
        <v>177410</v>
      </c>
      <c r="D4223" s="7">
        <v>0.57999999999999996</v>
      </c>
      <c r="E4223" t="s">
        <v>27</v>
      </c>
    </row>
    <row r="4224" spans="1:5" x14ac:dyDescent="0.25">
      <c r="A4224" t="str">
        <f>HYPERLINK("https://www.773grp.com/globalSearch/MC74VHC132MEL/page-1", "MC74VHC132MEL")</f>
        <v>MC74VHC132MEL</v>
      </c>
      <c r="B4224" s="3" t="str">
        <f>HYPERLINK("https://www.773grp.com/manufacturer/onsemi?pageNo=179", "Onsemi")</f>
        <v>Onsemi</v>
      </c>
      <c r="C4224" s="6">
        <v>1097</v>
      </c>
      <c r="D4224" s="7">
        <v>0.57999999999999996</v>
      </c>
      <c r="E4224" t="s">
        <v>27</v>
      </c>
    </row>
    <row r="4225" spans="1:5" x14ac:dyDescent="0.25">
      <c r="A4225" t="str">
        <f>HYPERLINK("https://www.773grp.com/globalSearch/MC74VHC138M/page-1", "MC74VHC138M")</f>
        <v>MC74VHC138M</v>
      </c>
      <c r="B4225" s="3" t="str">
        <f>HYPERLINK("https://www.773grp.com/manufacturer/onsemi?pageNo=180", "Onsemi")</f>
        <v>Onsemi</v>
      </c>
      <c r="C4225" s="6">
        <v>4900</v>
      </c>
      <c r="D4225" s="7">
        <v>0.57999999999999996</v>
      </c>
      <c r="E4225" t="s">
        <v>32</v>
      </c>
    </row>
    <row r="4226" spans="1:5" x14ac:dyDescent="0.25">
      <c r="A4226" t="str">
        <f>HYPERLINK("https://www.773grp.com/globalSearch/MC74VHC139M/page-1", "MC74VHC139M")</f>
        <v>MC74VHC139M</v>
      </c>
      <c r="B4226" s="3" t="str">
        <f>HYPERLINK("https://www.773grp.com/manufacturer/onsemi?pageNo=181", "Onsemi")</f>
        <v>Onsemi</v>
      </c>
      <c r="C4226" s="6">
        <v>5650</v>
      </c>
      <c r="D4226" s="7">
        <v>0.57999999999999996</v>
      </c>
      <c r="E4226" t="s">
        <v>32</v>
      </c>
    </row>
    <row r="4227" spans="1:5" x14ac:dyDescent="0.25">
      <c r="A4227" t="str">
        <f>HYPERLINK("https://www.773grp.com/globalSearch/MC74VHC240DT/page-1", "MC74VHC240DT")</f>
        <v>MC74VHC240DT</v>
      </c>
      <c r="B4227" s="3" t="str">
        <f>HYPERLINK("https://www.773grp.com/manufacturer/onsemi?pageNo=182", "Onsemi")</f>
        <v>Onsemi</v>
      </c>
      <c r="C4227" s="6">
        <v>4395</v>
      </c>
      <c r="D4227" s="7">
        <v>0.57999999999999996</v>
      </c>
      <c r="E4227" t="s">
        <v>11</v>
      </c>
    </row>
    <row r="4228" spans="1:5" x14ac:dyDescent="0.25">
      <c r="A4228" t="str">
        <f>HYPERLINK("https://www.773grp.com/globalSearch/MC74VHC244DW/page-1", "MC74VHC244DW")</f>
        <v>MC74VHC244DW</v>
      </c>
      <c r="B4228" s="3" t="str">
        <f>HYPERLINK("https://www.773grp.com/manufacturer/onsemi?pageNo=183", "Onsemi")</f>
        <v>Onsemi</v>
      </c>
      <c r="C4228" s="6">
        <v>13889</v>
      </c>
      <c r="D4228" s="7">
        <v>0.57999999999999996</v>
      </c>
      <c r="E4228" t="s">
        <v>11</v>
      </c>
    </row>
    <row r="4229" spans="1:5" x14ac:dyDescent="0.25">
      <c r="A4229" t="str">
        <f>HYPERLINK("https://www.773grp.com/globalSearch/MC74VHC32DR2G/page-1", "MC74VHC32DR2G")</f>
        <v>MC74VHC32DR2G</v>
      </c>
      <c r="B4229" s="3" t="str">
        <f>HYPERLINK("https://www.773grp.com/manufacturer/onsemi?pageNo=184", "Onsemi")</f>
        <v>Onsemi</v>
      </c>
      <c r="C4229" s="6">
        <v>23823</v>
      </c>
      <c r="D4229" s="7">
        <v>0.57999999999999996</v>
      </c>
      <c r="E4229" t="s">
        <v>27</v>
      </c>
    </row>
    <row r="4230" spans="1:5" x14ac:dyDescent="0.25">
      <c r="A4230" t="str">
        <f>HYPERLINK("https://www.773grp.com/globalSearch/MC74VHC32DTG/page-1", "MC74VHC32DTG")</f>
        <v>MC74VHC32DTG</v>
      </c>
      <c r="B4230" s="3" t="str">
        <f>HYPERLINK("https://www.773grp.com/manufacturer/onsemi?pageNo=185", "Onsemi")</f>
        <v>Onsemi</v>
      </c>
      <c r="C4230" s="6">
        <v>322</v>
      </c>
      <c r="D4230" s="7">
        <v>0.57999999999999996</v>
      </c>
      <c r="E4230" t="s">
        <v>27</v>
      </c>
    </row>
    <row r="4231" spans="1:5" x14ac:dyDescent="0.25">
      <c r="A4231" t="str">
        <f>HYPERLINK("https://www.773grp.com/globalSearch/MC74VHC32DTR2G/page-1", "MC74VHC32DTR2G")</f>
        <v>MC74VHC32DTR2G</v>
      </c>
      <c r="B4231" s="3" t="str">
        <f>HYPERLINK("https://www.773grp.com/manufacturer/onsemi?pageNo=186", "Onsemi")</f>
        <v>Onsemi</v>
      </c>
      <c r="C4231" s="6">
        <v>160811</v>
      </c>
      <c r="D4231" s="7">
        <v>0.57999999999999996</v>
      </c>
      <c r="E4231" t="s">
        <v>27</v>
      </c>
    </row>
    <row r="4232" spans="1:5" x14ac:dyDescent="0.25">
      <c r="A4232" t="str">
        <f>HYPERLINK("https://www.773grp.com/globalSearch/MC74VHC374DT/page-1", "MC74VHC374DT")</f>
        <v>MC74VHC374DT</v>
      </c>
      <c r="B4232" s="3" t="str">
        <f>HYPERLINK("https://www.773grp.com/manufacturer/onsemi?pageNo=187", "Onsemi")</f>
        <v>Onsemi</v>
      </c>
      <c r="C4232" s="6">
        <v>7275</v>
      </c>
      <c r="D4232" s="7">
        <v>0.57999999999999996</v>
      </c>
      <c r="E4232" t="s">
        <v>11</v>
      </c>
    </row>
    <row r="4233" spans="1:5" x14ac:dyDescent="0.25">
      <c r="A4233" t="str">
        <f>HYPERLINK("https://www.773grp.com/globalSearch/MC74VHC50DG/page-1", "MC74VHC50DG")</f>
        <v>MC74VHC50DG</v>
      </c>
      <c r="B4233" s="3" t="str">
        <f>HYPERLINK("https://www.773grp.com/manufacturer/onsemi?pageNo=188", "Onsemi")</f>
        <v>Onsemi</v>
      </c>
      <c r="C4233" s="6">
        <v>43863</v>
      </c>
      <c r="D4233" s="7">
        <v>0.57999999999999996</v>
      </c>
      <c r="E4233" t="s">
        <v>27</v>
      </c>
    </row>
    <row r="4234" spans="1:5" x14ac:dyDescent="0.25">
      <c r="A4234" t="str">
        <f>HYPERLINK("https://www.773grp.com/globalSearch/MC74VHC50DR2G/page-1", "MC74VHC50DR2G")</f>
        <v>MC74VHC50DR2G</v>
      </c>
      <c r="B4234" s="3" t="str">
        <f>HYPERLINK("https://www.773grp.com/manufacturer/onsemi?pageNo=189", "Onsemi")</f>
        <v>Onsemi</v>
      </c>
      <c r="C4234" s="6">
        <v>13821</v>
      </c>
      <c r="D4234" s="7">
        <v>0.57999999999999996</v>
      </c>
      <c r="E4234" t="s">
        <v>27</v>
      </c>
    </row>
    <row r="4235" spans="1:5" x14ac:dyDescent="0.25">
      <c r="A4235" t="str">
        <f>HYPERLINK("https://www.773grp.com/globalSearch/MC74VHC50DTR2G/page-1", "MC74VHC50DTR2G")</f>
        <v>MC74VHC50DTR2G</v>
      </c>
      <c r="B4235" s="3" t="str">
        <f>HYPERLINK("https://www.773grp.com/manufacturer/onsemi?pageNo=190", "Onsemi")</f>
        <v>Onsemi</v>
      </c>
      <c r="C4235" s="6">
        <v>5975</v>
      </c>
      <c r="D4235" s="7">
        <v>0.57999999999999996</v>
      </c>
      <c r="E4235" t="s">
        <v>27</v>
      </c>
    </row>
    <row r="4236" spans="1:5" x14ac:dyDescent="0.25">
      <c r="A4236" t="str">
        <f>HYPERLINK("https://www.773grp.com/globalSearch/MC74VHCT00ADR2G/page-1", "MC74VHCT00ADR2G")</f>
        <v>MC74VHCT00ADR2G</v>
      </c>
      <c r="B4236" s="3" t="str">
        <f>HYPERLINK("https://www.773grp.com/manufacturer/onsemi?pageNo=191", "Onsemi")</f>
        <v>Onsemi</v>
      </c>
      <c r="C4236" s="6">
        <v>5030</v>
      </c>
      <c r="D4236" s="7">
        <v>0.57999999999999996</v>
      </c>
      <c r="E4236" t="s">
        <v>27</v>
      </c>
    </row>
    <row r="4237" spans="1:5" x14ac:dyDescent="0.25">
      <c r="A4237" t="str">
        <f>HYPERLINK("https://www.773grp.com/globalSearch/MC74VHCT00ADTR2G/page-1", "MC74VHCT00ADTR2G")</f>
        <v>MC74VHCT00ADTR2G</v>
      </c>
      <c r="B4237" s="3" t="str">
        <f>HYPERLINK("https://www.773grp.com/manufacturer/onsemi?pageNo=192", "Onsemi")</f>
        <v>Onsemi</v>
      </c>
      <c r="C4237" s="6">
        <v>42741</v>
      </c>
      <c r="D4237" s="7">
        <v>0.57999999999999996</v>
      </c>
      <c r="E4237" t="s">
        <v>27</v>
      </c>
    </row>
    <row r="4238" spans="1:5" x14ac:dyDescent="0.25">
      <c r="A4238" t="str">
        <f>HYPERLINK("https://www.773grp.com/globalSearch/MC74VHCT02ADR2G/page-1", "MC74VHCT02ADR2G")</f>
        <v>MC74VHCT02ADR2G</v>
      </c>
      <c r="B4238" s="3" t="str">
        <f>HYPERLINK("https://www.773grp.com/manufacturer/onsemi?pageNo=193", "Onsemi")</f>
        <v>Onsemi</v>
      </c>
      <c r="C4238" s="6">
        <v>17500</v>
      </c>
      <c r="D4238" s="7">
        <v>0.57999999999999996</v>
      </c>
      <c r="E4238" t="s">
        <v>27</v>
      </c>
    </row>
    <row r="4239" spans="1:5" x14ac:dyDescent="0.25">
      <c r="A4239" t="str">
        <f>HYPERLINK("https://www.773grp.com/globalSearch/MC74VHCT02ADTR2G/page-1", "MC74VHCT02ADTR2G")</f>
        <v>MC74VHCT02ADTR2G</v>
      </c>
      <c r="B4239" s="3" t="str">
        <f>HYPERLINK("https://www.773grp.com/manufacturer/onsemi?pageNo=194", "Onsemi")</f>
        <v>Onsemi</v>
      </c>
      <c r="C4239" s="6">
        <v>3540</v>
      </c>
      <c r="D4239" s="7">
        <v>0.57999999999999996</v>
      </c>
      <c r="E4239" t="s">
        <v>27</v>
      </c>
    </row>
    <row r="4240" spans="1:5" x14ac:dyDescent="0.25">
      <c r="A4240" t="str">
        <f>HYPERLINK("https://www.773grp.com/globalSearch/MC74VHCT04ADR2G/page-1", "MC74VHCT04ADR2G")</f>
        <v>MC74VHCT04ADR2G</v>
      </c>
      <c r="B4240" s="3" t="str">
        <f>HYPERLINK("https://www.773grp.com/manufacturer/onsemi?pageNo=195", "Onsemi")</f>
        <v>Onsemi</v>
      </c>
      <c r="C4240" s="6">
        <v>21948</v>
      </c>
      <c r="D4240" s="7">
        <v>0.57999999999999996</v>
      </c>
      <c r="E4240" t="s">
        <v>27</v>
      </c>
    </row>
    <row r="4241" spans="1:5" x14ac:dyDescent="0.25">
      <c r="A4241" t="str">
        <f>HYPERLINK("https://www.773grp.com/globalSearch/MC74VHCT04ADTR2G/page-1", "MC74VHCT04ADTR2G")</f>
        <v>MC74VHCT04ADTR2G</v>
      </c>
      <c r="B4241" s="3" t="str">
        <f>HYPERLINK("https://www.773grp.com/manufacturer/onsemi?pageNo=196", "Onsemi")</f>
        <v>Onsemi</v>
      </c>
      <c r="C4241" s="6">
        <v>13989</v>
      </c>
      <c r="D4241" s="7">
        <v>0.57999999999999996</v>
      </c>
      <c r="E4241" t="s">
        <v>27</v>
      </c>
    </row>
    <row r="4242" spans="1:5" x14ac:dyDescent="0.25">
      <c r="A4242" t="str">
        <f>HYPERLINK("https://www.773grp.com/globalSearch/MC74VHCT08ADR2G/page-1", "MC74VHCT08ADR2G")</f>
        <v>MC74VHCT08ADR2G</v>
      </c>
      <c r="B4242" s="3" t="str">
        <f>HYPERLINK("https://www.773grp.com/manufacturer/onsemi?pageNo=197", "Onsemi")</f>
        <v>Onsemi</v>
      </c>
      <c r="C4242" s="6">
        <v>21102</v>
      </c>
      <c r="D4242" s="7">
        <v>0.57999999999999996</v>
      </c>
      <c r="E4242" t="s">
        <v>27</v>
      </c>
    </row>
    <row r="4243" spans="1:5" x14ac:dyDescent="0.25">
      <c r="A4243" t="str">
        <f>HYPERLINK("https://www.773grp.com/globalSearch/MC74VHCT08ADTR2G/page-1", "MC74VHCT08ADTR2G")</f>
        <v>MC74VHCT08ADTR2G</v>
      </c>
      <c r="B4243" s="3" t="str">
        <f>HYPERLINK("https://www.773grp.com/manufacturer/onsemi?pageNo=198", "Onsemi")</f>
        <v>Onsemi</v>
      </c>
      <c r="C4243" s="6">
        <v>511845</v>
      </c>
      <c r="D4243" s="7">
        <v>0.57999999999999996</v>
      </c>
      <c r="E4243" t="s">
        <v>27</v>
      </c>
    </row>
    <row r="4244" spans="1:5" x14ac:dyDescent="0.25">
      <c r="A4244" t="str">
        <f>HYPERLINK("https://www.773grp.com/globalSearch/MC74VHCT126ADT/page-1", "MC74VHCT126ADT")</f>
        <v>MC74VHCT126ADT</v>
      </c>
      <c r="B4244" s="3" t="str">
        <f>HYPERLINK("https://www.773grp.com/manufacturer/onsemi?pageNo=199", "Onsemi")</f>
        <v>Onsemi</v>
      </c>
      <c r="C4244" s="6">
        <v>14104</v>
      </c>
      <c r="D4244" s="7">
        <v>0.57999999999999996</v>
      </c>
      <c r="E4244" t="s">
        <v>11</v>
      </c>
    </row>
    <row r="4245" spans="1:5" x14ac:dyDescent="0.25">
      <c r="A4245" t="str">
        <f>HYPERLINK("https://www.773grp.com/globalSearch/MC74VHCT132ADT/page-1", "MC74VHCT132ADT")</f>
        <v>MC74VHCT132ADT</v>
      </c>
      <c r="B4245" s="3" t="str">
        <f>HYPERLINK("https://www.773grp.com/manufacturer/onsemi?pageNo=200", "Onsemi")</f>
        <v>Onsemi</v>
      </c>
      <c r="C4245" s="6">
        <v>4240</v>
      </c>
      <c r="D4245" s="7">
        <v>0.57999999999999996</v>
      </c>
      <c r="E4245" t="s">
        <v>27</v>
      </c>
    </row>
    <row r="4246" spans="1:5" x14ac:dyDescent="0.25">
      <c r="A4246" t="str">
        <f>HYPERLINK("https://www.773grp.com/globalSearch/MC74VHCT240ADT/page-1", "MC74VHCT240ADT")</f>
        <v>MC74VHCT240ADT</v>
      </c>
      <c r="B4246" s="3" t="str">
        <f>HYPERLINK("https://www.773grp.com/manufacturer/onsemi?pageNo=201", "Onsemi")</f>
        <v>Onsemi</v>
      </c>
      <c r="C4246" s="6">
        <v>10805</v>
      </c>
      <c r="D4246" s="7">
        <v>0.57999999999999996</v>
      </c>
      <c r="E4246" t="s">
        <v>11</v>
      </c>
    </row>
    <row r="4247" spans="1:5" x14ac:dyDescent="0.25">
      <c r="A4247" t="str">
        <f>HYPERLINK("https://www.773grp.com/globalSearch/MC74VHCT32ADTR2G/page-1", "MC74VHCT32ADTR2G")</f>
        <v>MC74VHCT32ADTR2G</v>
      </c>
      <c r="B4247" s="3" t="str">
        <f>HYPERLINK("https://www.773grp.com/manufacturer/onsemi?pageNo=202", "Onsemi")</f>
        <v>Onsemi</v>
      </c>
      <c r="C4247" s="6">
        <v>7500</v>
      </c>
      <c r="D4247" s="7">
        <v>0.57999999999999996</v>
      </c>
    </row>
    <row r="4248" spans="1:5" x14ac:dyDescent="0.25">
      <c r="A4248" t="str">
        <f>HYPERLINK("https://www.773grp.com/globalSearch/MC74VHCT373ADT/page-1", "MC74VHCT373ADT")</f>
        <v>MC74VHCT373ADT</v>
      </c>
      <c r="B4248" s="3" t="str">
        <f>HYPERLINK("https://www.773grp.com/manufacturer/onsemi?pageNo=203", "Onsemi")</f>
        <v>Onsemi</v>
      </c>
      <c r="C4248" s="6">
        <v>19825</v>
      </c>
      <c r="D4248" s="7">
        <v>0.57999999999999996</v>
      </c>
      <c r="E4248" t="s">
        <v>11</v>
      </c>
    </row>
    <row r="4249" spans="1:5" x14ac:dyDescent="0.25">
      <c r="A4249" t="str">
        <f>HYPERLINK("https://www.773grp.com/globalSearch/MC74VHCT373ADT/page-1", "MC74VHCT373ADT")</f>
        <v>MC74VHCT373ADT</v>
      </c>
      <c r="B4249" s="3" t="str">
        <f>HYPERLINK("https://www.773grp.com/manufacturer/onsemi?pageNo=204", "Onsemi")</f>
        <v>Onsemi</v>
      </c>
      <c r="C4249" s="6">
        <v>1950</v>
      </c>
      <c r="D4249" s="7">
        <v>0.57999999999999996</v>
      </c>
      <c r="E4249" t="s">
        <v>11</v>
      </c>
    </row>
    <row r="4250" spans="1:5" x14ac:dyDescent="0.25">
      <c r="A4250" t="str">
        <f>HYPERLINK("https://www.773grp.com/globalSearch/MC74VHCT374ADT/page-1", "MC74VHCT374ADT")</f>
        <v>MC74VHCT374ADT</v>
      </c>
      <c r="B4250" s="3" t="str">
        <f>HYPERLINK("https://www.773grp.com/manufacturer/onsemi?pageNo=205", "Onsemi")</f>
        <v>Onsemi</v>
      </c>
      <c r="C4250" s="6">
        <v>16925</v>
      </c>
      <c r="D4250" s="7">
        <v>0.57999999999999996</v>
      </c>
      <c r="E4250" t="s">
        <v>11</v>
      </c>
    </row>
    <row r="4251" spans="1:5" x14ac:dyDescent="0.25">
      <c r="A4251" t="str">
        <f>HYPERLINK("https://www.773grp.com/globalSearch/MC74VHCT50ADR2G/page-1", "MC74VHCT50ADR2G")</f>
        <v>MC74VHCT50ADR2G</v>
      </c>
      <c r="B4251" s="3" t="str">
        <f>HYPERLINK("https://www.773grp.com/manufacturer/onsemi?pageNo=206", "Onsemi")</f>
        <v>Onsemi</v>
      </c>
      <c r="C4251" s="6">
        <v>15560</v>
      </c>
      <c r="D4251" s="7">
        <v>0.57999999999999996</v>
      </c>
      <c r="E4251" t="s">
        <v>27</v>
      </c>
    </row>
    <row r="4252" spans="1:5" x14ac:dyDescent="0.25">
      <c r="A4252" t="str">
        <f>HYPERLINK("https://www.773grp.com/globalSearch/MC74VHCT541ADTR2/page-1", "MC74VHCT541ADTR2")</f>
        <v>MC74VHCT541ADTR2</v>
      </c>
      <c r="B4252" s="3" t="str">
        <f>HYPERLINK("https://www.773grp.com/manufacturer/onsemi?pageNo=207", "Onsemi")</f>
        <v>Onsemi</v>
      </c>
      <c r="C4252" s="6">
        <v>7500</v>
      </c>
      <c r="D4252" s="7">
        <v>0.57999999999999996</v>
      </c>
      <c r="E4252" t="s">
        <v>11</v>
      </c>
    </row>
    <row r="4253" spans="1:5" x14ac:dyDescent="0.25">
      <c r="A4253" t="str">
        <f>HYPERLINK("https://www.773grp.com/globalSearch/MC74VHCU04DR2G/page-1", "MC74VHCU04DR2G")</f>
        <v>MC74VHCU04DR2G</v>
      </c>
      <c r="B4253" s="3" t="str">
        <f>HYPERLINK("https://www.773grp.com/manufacturer/onsemi?pageNo=208", "Onsemi")</f>
        <v>Onsemi</v>
      </c>
      <c r="C4253" s="6">
        <v>6289</v>
      </c>
      <c r="D4253" s="7">
        <v>0.57999999999999996</v>
      </c>
      <c r="E4253" t="s">
        <v>27</v>
      </c>
    </row>
    <row r="4254" spans="1:5" x14ac:dyDescent="0.25">
      <c r="A4254" t="str">
        <f>HYPERLINK("https://www.773grp.com/globalSearch/MC74VHCU04DTR2G/page-1", "MC74VHCU04DTR2G")</f>
        <v>MC74VHCU04DTR2G</v>
      </c>
      <c r="B4254" s="3" t="str">
        <f>HYPERLINK("https://www.773grp.com/manufacturer/onsemi?pageNo=209", "Onsemi")</f>
        <v>Onsemi</v>
      </c>
      <c r="C4254" s="6">
        <v>6101</v>
      </c>
      <c r="D4254" s="7">
        <v>0.57999999999999996</v>
      </c>
      <c r="E4254" t="s">
        <v>27</v>
      </c>
    </row>
    <row r="4255" spans="1:5" x14ac:dyDescent="0.25">
      <c r="A4255" t="str">
        <f>HYPERLINK("https://www.773grp.com/globalSearch/MCAC86M/page-1", "MCAC86M")</f>
        <v>MCAC86M</v>
      </c>
      <c r="B4255" s="3" t="str">
        <f>HYPERLINK("https://www.773grp.com/manufacturer/onsemi?pageNo=210", "Onsemi")</f>
        <v>Onsemi</v>
      </c>
      <c r="C4255" s="6">
        <v>11900</v>
      </c>
      <c r="D4255" s="7">
        <v>0.57999999999999996</v>
      </c>
    </row>
    <row r="4256" spans="1:5" x14ac:dyDescent="0.25">
      <c r="A4256" t="str">
        <f>HYPERLINK("https://www.773grp.com/globalSearch/MCR22-8ZL1/page-1", "MCR22-8ZL1")</f>
        <v>MCR22-8ZL1</v>
      </c>
      <c r="B4256" s="3" t="str">
        <f>HYPERLINK("https://www.773grp.com/manufacturer/onsemi?pageNo=211", "Onsemi")</f>
        <v>Onsemi</v>
      </c>
      <c r="C4256" s="6">
        <v>20000</v>
      </c>
      <c r="D4256" s="7">
        <v>0.57999999999999996</v>
      </c>
      <c r="E4256" t="s">
        <v>76</v>
      </c>
    </row>
    <row r="4257" spans="1:5" x14ac:dyDescent="0.25">
      <c r="A4257" t="str">
        <f>HYPERLINK("https://www.773grp.com/globalSearch/MDC3105LT1G/page-1", "MDC3105LT1G")</f>
        <v>MDC3105LT1G</v>
      </c>
      <c r="B4257" s="3" t="str">
        <f>HYPERLINK("https://www.773grp.com/manufacturer/onsemi?pageNo=212", "Onsemi")</f>
        <v>Onsemi</v>
      </c>
      <c r="C4257" s="6">
        <v>56352</v>
      </c>
      <c r="D4257" s="7">
        <v>0.57999999999999996</v>
      </c>
      <c r="E4257" t="s">
        <v>8</v>
      </c>
    </row>
    <row r="4258" spans="1:5" x14ac:dyDescent="0.25">
      <c r="A4258" t="str">
        <f>HYPERLINK("https://www.773grp.com/globalSearch/MJD44E3T4/page-1", "MJD44E3T4")</f>
        <v>MJD44E3T4</v>
      </c>
      <c r="B4258" s="3" t="str">
        <f>HYPERLINK("https://www.773grp.com/manufacturer/onsemi?pageNo=213", "Onsemi")</f>
        <v>Onsemi</v>
      </c>
      <c r="C4258" s="6">
        <v>2445</v>
      </c>
      <c r="D4258" s="7">
        <v>0.57999999999999996</v>
      </c>
      <c r="E4258" t="s">
        <v>47</v>
      </c>
    </row>
    <row r="4259" spans="1:5" x14ac:dyDescent="0.25">
      <c r="A4259" t="str">
        <f>HYPERLINK("https://www.773grp.com/globalSearch/MKP1V130RL/page-1", "MKP1V130RL")</f>
        <v>MKP1V130RL</v>
      </c>
      <c r="B4259" s="3" t="str">
        <f>HYPERLINK("https://www.773grp.com/manufacturer/onsemi?pageNo=214", "Onsemi")</f>
        <v>Onsemi</v>
      </c>
      <c r="C4259" s="6">
        <v>7900</v>
      </c>
      <c r="D4259" s="7">
        <v>0.57999999999999996</v>
      </c>
      <c r="E4259" t="s">
        <v>90</v>
      </c>
    </row>
    <row r="4260" spans="1:5" x14ac:dyDescent="0.25">
      <c r="A4260" t="str">
        <f>HYPERLINK("https://www.773grp.com/globalSearch/MKP9V160RL/page-1", "MKP9V160RL")</f>
        <v>MKP9V160RL</v>
      </c>
      <c r="B4260" s="3" t="str">
        <f>HYPERLINK("https://www.773grp.com/manufacturer/onsemi?pageNo=215", "Onsemi")</f>
        <v>Onsemi</v>
      </c>
      <c r="C4260" s="6">
        <v>65000</v>
      </c>
      <c r="D4260" s="7">
        <v>0.57999999999999996</v>
      </c>
      <c r="E4260" t="s">
        <v>91</v>
      </c>
    </row>
    <row r="4261" spans="1:5" x14ac:dyDescent="0.25">
      <c r="A4261" t="str">
        <f>HYPERLINK("https://www.773grp.com/globalSearch/MPS651RLRB/page-1", "MPS651RLRB")</f>
        <v>MPS651RLRB</v>
      </c>
      <c r="B4261" s="3" t="str">
        <f>HYPERLINK("https://www.773grp.com/manufacturer/onsemi?pageNo=216", "Onsemi")</f>
        <v>Onsemi</v>
      </c>
      <c r="C4261" s="6">
        <v>16000</v>
      </c>
      <c r="D4261" s="7">
        <v>0.57999999999999996</v>
      </c>
      <c r="E4261" t="s">
        <v>57</v>
      </c>
    </row>
    <row r="4262" spans="1:5" x14ac:dyDescent="0.25">
      <c r="A4262" t="str">
        <f>HYPERLINK("https://www.773grp.com/globalSearch/MUR2100E/page-1", "MUR2100E")</f>
        <v>MUR2100E</v>
      </c>
      <c r="B4262" s="3" t="str">
        <f>HYPERLINK("https://www.773grp.com/manufacturer/onsemi?pageNo=217", "Onsemi")</f>
        <v>Onsemi</v>
      </c>
      <c r="C4262" s="6">
        <v>1410</v>
      </c>
      <c r="D4262" s="7">
        <v>0.57999999999999996</v>
      </c>
      <c r="E4262" t="s">
        <v>82</v>
      </c>
    </row>
    <row r="4263" spans="1:5" x14ac:dyDescent="0.25">
      <c r="A4263" t="str">
        <f>HYPERLINK("https://www.773grp.com/globalSearch/MUR550APFRL/page-1", "MUR550APFRL")</f>
        <v>MUR550APFRL</v>
      </c>
      <c r="B4263" s="3" t="str">
        <f>HYPERLINK("https://www.773grp.com/manufacturer/onsemi?pageNo=218", "Onsemi")</f>
        <v>Onsemi</v>
      </c>
      <c r="C4263" s="6">
        <v>7100</v>
      </c>
      <c r="D4263" s="7">
        <v>0.57999999999999996</v>
      </c>
      <c r="E4263" t="s">
        <v>82</v>
      </c>
    </row>
    <row r="4264" spans="1:5" x14ac:dyDescent="0.25">
      <c r="A4264" t="str">
        <f>HYPERLINK("https://www.773grp.com/globalSearch/MURS115T3G/page-1", "MURS115T3G")</f>
        <v>MURS115T3G</v>
      </c>
      <c r="B4264" s="3" t="str">
        <f>HYPERLINK("https://www.773grp.com/manufacturer/onsemi?pageNo=219", "Onsemi")</f>
        <v>Onsemi</v>
      </c>
      <c r="C4264" s="6">
        <v>1500</v>
      </c>
      <c r="D4264" s="7">
        <v>0.57999999999999996</v>
      </c>
    </row>
    <row r="4265" spans="1:5" x14ac:dyDescent="0.25">
      <c r="A4265" t="str">
        <f>HYPERLINK("https://www.773grp.com/globalSearch/MURS120T3G/page-1", "MURS120T3G")</f>
        <v>MURS120T3G</v>
      </c>
      <c r="B4265" s="3" t="str">
        <f>HYPERLINK("https://www.773grp.com/manufacturer/onsemi?pageNo=220", "Onsemi")</f>
        <v>Onsemi</v>
      </c>
      <c r="C4265" s="6">
        <v>167500</v>
      </c>
      <c r="D4265" s="7">
        <v>0.57999999999999996</v>
      </c>
      <c r="E4265" t="s">
        <v>82</v>
      </c>
    </row>
    <row r="4266" spans="1:5" x14ac:dyDescent="0.25">
      <c r="A4266" t="str">
        <f>HYPERLINK("https://www.773grp.com/globalSearch/MURS140T3G/page-1", "MURS140T3G")</f>
        <v>MURS140T3G</v>
      </c>
      <c r="B4266" s="3" t="str">
        <f>HYPERLINK("https://www.773grp.com/manufacturer/onsemi?pageNo=221", "Onsemi")</f>
        <v>Onsemi</v>
      </c>
      <c r="C4266" s="6">
        <v>124500</v>
      </c>
      <c r="D4266" s="7">
        <v>0.57999999999999996</v>
      </c>
      <c r="E4266" t="s">
        <v>82</v>
      </c>
    </row>
    <row r="4267" spans="1:5" x14ac:dyDescent="0.25">
      <c r="A4267" t="str">
        <f>HYPERLINK("https://www.773grp.com/globalSearch/MURS160T3G/page-1", "MURS160T3G")</f>
        <v>MURS160T3G</v>
      </c>
      <c r="B4267" s="3" t="str">
        <f>HYPERLINK("https://www.773grp.com/manufacturer/onsemi?pageNo=222", "Onsemi")</f>
        <v>Onsemi</v>
      </c>
      <c r="C4267" s="6">
        <v>2320</v>
      </c>
      <c r="D4267" s="7">
        <v>0.57999999999999996</v>
      </c>
      <c r="E4267" t="s">
        <v>82</v>
      </c>
    </row>
    <row r="4268" spans="1:5" x14ac:dyDescent="0.25">
      <c r="A4268" t="str">
        <f>HYPERLINK("https://www.773grp.com/globalSearch/MZ4617RL/page-1", "MZ4617RL")</f>
        <v>MZ4617RL</v>
      </c>
      <c r="B4268" s="3" t="str">
        <f>HYPERLINK("https://www.773grp.com/manufacturer/onsemi?pageNo=223", "Onsemi")</f>
        <v>Onsemi</v>
      </c>
      <c r="C4268" s="6">
        <v>10000</v>
      </c>
      <c r="D4268" s="7">
        <v>0.57999999999999996</v>
      </c>
      <c r="E4268" t="s">
        <v>77</v>
      </c>
    </row>
    <row r="4269" spans="1:5" x14ac:dyDescent="0.25">
      <c r="A4269" t="str">
        <f>HYPERLINK("https://www.773grp.com/globalSearch/MZ4622RL/page-1", "MZ4622RL")</f>
        <v>MZ4622RL</v>
      </c>
      <c r="B4269" s="3" t="str">
        <f>HYPERLINK("https://www.773grp.com/manufacturer/onsemi?pageNo=224", "Onsemi")</f>
        <v>Onsemi</v>
      </c>
      <c r="C4269" s="6">
        <v>40000</v>
      </c>
      <c r="D4269" s="7">
        <v>0.57999999999999996</v>
      </c>
      <c r="E4269" t="s">
        <v>77</v>
      </c>
    </row>
    <row r="4270" spans="1:5" x14ac:dyDescent="0.25">
      <c r="A4270" t="str">
        <f>HYPERLINK("https://www.773grp.com/globalSearch/MZP4737ARL/page-1", "MZP4737ARL")</f>
        <v>MZP4737ARL</v>
      </c>
      <c r="B4270" s="3" t="str">
        <f>HYPERLINK("https://www.773grp.com/manufacturer/onsemi?pageNo=225", "Onsemi")</f>
        <v>Onsemi</v>
      </c>
      <c r="C4270" s="6">
        <v>18000</v>
      </c>
      <c r="D4270" s="7">
        <v>0.57999999999999996</v>
      </c>
      <c r="E4270" t="s">
        <v>77</v>
      </c>
    </row>
    <row r="4271" spans="1:5" x14ac:dyDescent="0.25">
      <c r="A4271" t="str">
        <f>HYPERLINK("https://www.773grp.com/globalSearch/NCP1117DT25T5G/page-1", "NCP1117DT25T5G")</f>
        <v>NCP1117DT25T5G</v>
      </c>
      <c r="B4271" s="3" t="str">
        <f>HYPERLINK("https://www.773grp.com/manufacturer/onsemi?pageNo=226", "Onsemi")</f>
        <v>Onsemi</v>
      </c>
      <c r="C4271" s="6">
        <v>7172</v>
      </c>
      <c r="D4271" s="7">
        <v>0.57999999999999996</v>
      </c>
      <c r="E4271" t="s">
        <v>15</v>
      </c>
    </row>
    <row r="4272" spans="1:5" x14ac:dyDescent="0.25">
      <c r="A4272" t="str">
        <f>HYPERLINK("https://www.773grp.com/globalSearch/NCP431ACDR2G/page-1", "NCP431ACDR2G")</f>
        <v>NCP431ACDR2G</v>
      </c>
      <c r="B4272" s="3" t="str">
        <f>HYPERLINK("https://www.773grp.com/manufacturer/onsemi?pageNo=227", "Onsemi")</f>
        <v>Onsemi</v>
      </c>
      <c r="C4272" s="6">
        <v>12500</v>
      </c>
      <c r="D4272" s="7">
        <v>0.57999999999999996</v>
      </c>
    </row>
    <row r="4273" spans="1:5" x14ac:dyDescent="0.25">
      <c r="A4273" t="str">
        <f>HYPERLINK("https://www.773grp.com/globalSearch/NCP431ACLPRAG/page-1", "NCP431ACLPRAG")</f>
        <v>NCP431ACLPRAG</v>
      </c>
      <c r="B4273" s="3" t="str">
        <f>HYPERLINK("https://www.773grp.com/manufacturer/onsemi?pageNo=228", "Onsemi")</f>
        <v>Onsemi</v>
      </c>
      <c r="C4273" s="6">
        <v>20000</v>
      </c>
      <c r="D4273" s="7">
        <v>0.57999999999999996</v>
      </c>
    </row>
    <row r="4274" spans="1:5" x14ac:dyDescent="0.25">
      <c r="A4274" t="str">
        <f>HYPERLINK("https://www.773grp.com/globalSearch/NCP431AIDR2G/page-1", "NCP431AIDR2G")</f>
        <v>NCP431AIDR2G</v>
      </c>
      <c r="B4274" s="3" t="str">
        <f>HYPERLINK("https://www.773grp.com/manufacturer/onsemi?pageNo=229", "Onsemi")</f>
        <v>Onsemi</v>
      </c>
      <c r="C4274" s="6">
        <v>187500</v>
      </c>
      <c r="D4274" s="7">
        <v>0.57999999999999996</v>
      </c>
    </row>
    <row r="4275" spans="1:5" x14ac:dyDescent="0.25">
      <c r="A4275" t="str">
        <f>HYPERLINK("https://www.773grp.com/globalSearch/NCP431AILPRAG/page-1", "NCP431AILPRAG")</f>
        <v>NCP431AILPRAG</v>
      </c>
      <c r="B4275" s="3" t="str">
        <f>HYPERLINK("https://www.773grp.com/manufacturer/onsemi?pageNo=230", "Onsemi")</f>
        <v>Onsemi</v>
      </c>
      <c r="C4275" s="6">
        <v>16000</v>
      </c>
      <c r="D4275" s="7">
        <v>0.57999999999999996</v>
      </c>
    </row>
    <row r="4276" spans="1:5" x14ac:dyDescent="0.25">
      <c r="A4276" t="str">
        <f>HYPERLINK("https://www.773grp.com/globalSearch/NCP431AVLPRAG/page-1", "NCP431AVLPRAG")</f>
        <v>NCP431AVLPRAG</v>
      </c>
      <c r="B4276" s="3" t="str">
        <f>HYPERLINK("https://www.773grp.com/manufacturer/onsemi?pageNo=231", "Onsemi")</f>
        <v>Onsemi</v>
      </c>
      <c r="C4276" s="6">
        <v>114000</v>
      </c>
      <c r="D4276" s="7">
        <v>0.57999999999999996</v>
      </c>
    </row>
    <row r="4277" spans="1:5" x14ac:dyDescent="0.25">
      <c r="A4277" t="str">
        <f>HYPERLINK("https://www.773grp.com/globalSearch/NCP502SQ25T1G/page-1", "NCP502SQ25T1G")</f>
        <v>NCP502SQ25T1G</v>
      </c>
      <c r="B4277" s="3" t="str">
        <f>HYPERLINK("https://www.773grp.com/manufacturer/onsemi?pageNo=232", "Onsemi")</f>
        <v>Onsemi</v>
      </c>
      <c r="C4277" s="6">
        <v>12229</v>
      </c>
      <c r="D4277" s="7">
        <v>0.57999999999999996</v>
      </c>
      <c r="E4277" t="s">
        <v>15</v>
      </c>
    </row>
    <row r="4278" spans="1:5" x14ac:dyDescent="0.25">
      <c r="A4278" t="str">
        <f>HYPERLINK("https://www.773grp.com/globalSearch/NCP502SQ27T1G/page-1", "NCP502SQ27T1G")</f>
        <v>NCP502SQ27T1G</v>
      </c>
      <c r="B4278" s="3" t="str">
        <f>HYPERLINK("https://www.773grp.com/manufacturer/onsemi?pageNo=233", "Onsemi")</f>
        <v>Onsemi</v>
      </c>
      <c r="C4278" s="6">
        <v>11542</v>
      </c>
      <c r="D4278" s="7">
        <v>0.57999999999999996</v>
      </c>
      <c r="E4278" t="s">
        <v>15</v>
      </c>
    </row>
    <row r="4279" spans="1:5" x14ac:dyDescent="0.25">
      <c r="A4279" t="str">
        <f>HYPERLINK("https://www.773grp.com/globalSearch/NCP502SQ36T1G/page-1", "NCP502SQ36T1G")</f>
        <v>NCP502SQ36T1G</v>
      </c>
      <c r="B4279" s="3" t="str">
        <f>HYPERLINK("https://www.773grp.com/manufacturer/onsemi?pageNo=234", "Onsemi")</f>
        <v>Onsemi</v>
      </c>
      <c r="C4279" s="6">
        <v>316734</v>
      </c>
      <c r="D4279" s="7">
        <v>0.57999999999999996</v>
      </c>
      <c r="E4279" t="s">
        <v>15</v>
      </c>
    </row>
    <row r="4280" spans="1:5" x14ac:dyDescent="0.25">
      <c r="A4280" t="str">
        <f>HYPERLINK("https://www.773grp.com/globalSearch/NCP502SQ50T1/page-1", "NCP502SQ50T1")</f>
        <v>NCP502SQ50T1</v>
      </c>
      <c r="B4280" s="3" t="str">
        <f>HYPERLINK("https://www.773grp.com/manufacturer/onsemi?pageNo=235", "Onsemi")</f>
        <v>Onsemi</v>
      </c>
      <c r="C4280" s="6">
        <v>7901</v>
      </c>
      <c r="D4280" s="7">
        <v>0.57999999999999996</v>
      </c>
      <c r="E4280" t="s">
        <v>15</v>
      </c>
    </row>
    <row r="4281" spans="1:5" x14ac:dyDescent="0.25">
      <c r="A4281" t="str">
        <f>HYPERLINK("https://www.773grp.com/globalSearch/NCP512SQ18T1/page-1", "NCP512SQ18T1")</f>
        <v>NCP512SQ18T1</v>
      </c>
      <c r="B4281" s="3" t="str">
        <f>HYPERLINK("https://www.773grp.com/manufacturer/onsemi?pageNo=236", "Onsemi")</f>
        <v>Onsemi</v>
      </c>
      <c r="C4281" s="6">
        <v>287613</v>
      </c>
      <c r="D4281" s="7">
        <v>0.57999999999999996</v>
      </c>
      <c r="E4281" t="s">
        <v>15</v>
      </c>
    </row>
    <row r="4282" spans="1:5" x14ac:dyDescent="0.25">
      <c r="A4282" t="str">
        <f>HYPERLINK("https://www.773grp.com/globalSearch/NCP512SQ25T1/page-1", "NCP512SQ25T1")</f>
        <v>NCP512SQ25T1</v>
      </c>
      <c r="B4282" s="3" t="str">
        <f>HYPERLINK("https://www.773grp.com/manufacturer/onsemi?pageNo=237", "Onsemi")</f>
        <v>Onsemi</v>
      </c>
      <c r="C4282" s="6">
        <v>16278</v>
      </c>
      <c r="D4282" s="7">
        <v>0.57999999999999996</v>
      </c>
      <c r="E4282" t="s">
        <v>15</v>
      </c>
    </row>
    <row r="4283" spans="1:5" x14ac:dyDescent="0.25">
      <c r="A4283" t="str">
        <f>HYPERLINK("https://www.773grp.com/globalSearch/NCP512SQ25T1G/page-1", "NCP512SQ25T1G")</f>
        <v>NCP512SQ25T1G</v>
      </c>
      <c r="B4283" s="3" t="str">
        <f>HYPERLINK("https://www.773grp.com/manufacturer/onsemi?pageNo=238", "Onsemi")</f>
        <v>Onsemi</v>
      </c>
      <c r="C4283" s="6">
        <v>20002</v>
      </c>
      <c r="D4283" s="7">
        <v>0.57999999999999996</v>
      </c>
      <c r="E4283" t="s">
        <v>15</v>
      </c>
    </row>
    <row r="4284" spans="1:5" x14ac:dyDescent="0.25">
      <c r="A4284" t="str">
        <f>HYPERLINK("https://www.773grp.com/globalSearch/NCP512SQ28T1/page-1", "NCP512SQ28T1")</f>
        <v>NCP512SQ28T1</v>
      </c>
      <c r="B4284" s="3" t="str">
        <f>HYPERLINK("https://www.773grp.com/manufacturer/onsemi?pageNo=239", "Onsemi")</f>
        <v>Onsemi</v>
      </c>
      <c r="C4284" s="6">
        <v>42332</v>
      </c>
      <c r="D4284" s="7">
        <v>0.57999999999999996</v>
      </c>
      <c r="E4284" t="s">
        <v>15</v>
      </c>
    </row>
    <row r="4285" spans="1:5" x14ac:dyDescent="0.25">
      <c r="A4285" t="str">
        <f>HYPERLINK("https://www.773grp.com/globalSearch/NCP512SQ31T1/page-1", "NCP512SQ31T1")</f>
        <v>NCP512SQ31T1</v>
      </c>
      <c r="B4285" s="3" t="str">
        <f>HYPERLINK("https://www.773grp.com/manufacturer/onsemi?pageNo=240", "Onsemi")</f>
        <v>Onsemi</v>
      </c>
      <c r="C4285" s="6">
        <v>16180</v>
      </c>
      <c r="D4285" s="7">
        <v>0.57999999999999996</v>
      </c>
      <c r="E4285" t="s">
        <v>15</v>
      </c>
    </row>
    <row r="4286" spans="1:5" x14ac:dyDescent="0.25">
      <c r="A4286" t="str">
        <f>HYPERLINK("https://www.773grp.com/globalSearch/NCP803SN293D1T1G/page-1", "NCP803SN293D1T1G")</f>
        <v>NCP803SN293D1T1G</v>
      </c>
      <c r="B4286" s="3" t="str">
        <f>HYPERLINK("https://www.773grp.com/manufacturer/onsemi?pageNo=241", "Onsemi")</f>
        <v>Onsemi</v>
      </c>
      <c r="C4286" s="6">
        <v>7000</v>
      </c>
      <c r="D4286" s="7">
        <v>0.57999999999999996</v>
      </c>
      <c r="E4286" t="s">
        <v>26</v>
      </c>
    </row>
    <row r="4287" spans="1:5" x14ac:dyDescent="0.25">
      <c r="A4287" t="str">
        <f>HYPERLINK("https://www.773grp.com/globalSearch/NJVMJD127T4/page-1", "NJVMJD127T4")</f>
        <v>NJVMJD127T4</v>
      </c>
      <c r="B4287" s="3" t="str">
        <f>HYPERLINK("https://www.773grp.com/manufacturer/onsemi?pageNo=242", "Onsemi")</f>
        <v>Onsemi</v>
      </c>
      <c r="C4287" s="6">
        <v>22500</v>
      </c>
      <c r="D4287" s="7">
        <v>0.57999999999999996</v>
      </c>
    </row>
    <row r="4288" spans="1:5" x14ac:dyDescent="0.25">
      <c r="A4288" t="str">
        <f>HYPERLINK("https://www.773grp.com/globalSearch/NL27WZ04DFT1G/page-1", "NL27WZ04DFT1G")</f>
        <v>NL27WZ04DFT1G</v>
      </c>
      <c r="B4288" s="3" t="str">
        <f>HYPERLINK("https://www.773grp.com/manufacturer/onsemi?pageNo=243", "Onsemi")</f>
        <v>Onsemi</v>
      </c>
      <c r="C4288" s="6">
        <v>38600</v>
      </c>
      <c r="D4288" s="7">
        <v>0.57999999999999996</v>
      </c>
    </row>
    <row r="4289" spans="1:5" x14ac:dyDescent="0.25">
      <c r="A4289" t="str">
        <f>HYPERLINK("https://www.773grp.com/globalSearch/NL27WZ04DFT2G/page-1", "NL27WZ04DFT2G")</f>
        <v>NL27WZ04DFT2G</v>
      </c>
      <c r="B4289" s="3" t="str">
        <f>HYPERLINK("https://www.773grp.com/manufacturer/onsemi?pageNo=244", "Onsemi")</f>
        <v>Onsemi</v>
      </c>
      <c r="C4289" s="6">
        <v>496741</v>
      </c>
      <c r="D4289" s="7">
        <v>0.57999999999999996</v>
      </c>
      <c r="E4289" t="s">
        <v>27</v>
      </c>
    </row>
    <row r="4290" spans="1:5" x14ac:dyDescent="0.25">
      <c r="A4290" t="str">
        <f>HYPERLINK("https://www.773grp.com/globalSearch/NL27WZ06DFT2G/page-1", "NL27WZ06DFT2G")</f>
        <v>NL27WZ06DFT2G</v>
      </c>
      <c r="B4290" s="3" t="str">
        <f>HYPERLINK("https://www.773grp.com/manufacturer/onsemi?pageNo=245", "Onsemi")</f>
        <v>Onsemi</v>
      </c>
      <c r="C4290" s="6">
        <v>118555</v>
      </c>
      <c r="D4290" s="7">
        <v>0.57999999999999996</v>
      </c>
      <c r="E4290" t="s">
        <v>27</v>
      </c>
    </row>
    <row r="4291" spans="1:5" x14ac:dyDescent="0.25">
      <c r="A4291" t="str">
        <f>HYPERLINK("https://www.773grp.com/globalSearch/NL27WZ07DFT2G/page-1", "NL27WZ07DFT2G")</f>
        <v>NL27WZ07DFT2G</v>
      </c>
      <c r="B4291" s="3" t="str">
        <f>HYPERLINK("https://www.773grp.com/manufacturer/onsemi?pageNo=246", "Onsemi")</f>
        <v>Onsemi</v>
      </c>
      <c r="C4291" s="6">
        <v>299382</v>
      </c>
      <c r="D4291" s="7">
        <v>0.57999999999999996</v>
      </c>
      <c r="E4291" t="s">
        <v>27</v>
      </c>
    </row>
    <row r="4292" spans="1:5" x14ac:dyDescent="0.25">
      <c r="A4292" t="str">
        <f>HYPERLINK("https://www.773grp.com/globalSearch/NL27WZ14DFT2G/page-1", "NL27WZ14DFT2G")</f>
        <v>NL27WZ14DFT2G</v>
      </c>
      <c r="B4292" s="3" t="str">
        <f>HYPERLINK("https://www.773grp.com/manufacturer/onsemi?pageNo=247", "Onsemi")</f>
        <v>Onsemi</v>
      </c>
      <c r="C4292" s="6">
        <v>4259785</v>
      </c>
      <c r="D4292" s="7">
        <v>0.57999999999999996</v>
      </c>
      <c r="E4292" t="s">
        <v>27</v>
      </c>
    </row>
    <row r="4293" spans="1:5" x14ac:dyDescent="0.25">
      <c r="A4293" t="str">
        <f>HYPERLINK("https://www.773grp.com/globalSearch/NL27WZ16DFT2G/page-1", "NL27WZ16DFT2G")</f>
        <v>NL27WZ16DFT2G</v>
      </c>
      <c r="B4293" s="3" t="str">
        <f>HYPERLINK("https://www.773grp.com/manufacturer/onsemi?pageNo=248", "Onsemi")</f>
        <v>Onsemi</v>
      </c>
      <c r="C4293" s="6">
        <v>195000</v>
      </c>
      <c r="D4293" s="7">
        <v>0.57999999999999996</v>
      </c>
      <c r="E4293" t="s">
        <v>27</v>
      </c>
    </row>
    <row r="4294" spans="1:5" x14ac:dyDescent="0.25">
      <c r="A4294" t="str">
        <f>HYPERLINK("https://www.773grp.com/globalSearch/NL27WZ17DFT2G/page-1", "NL27WZ17DFT2G")</f>
        <v>NL27WZ17DFT2G</v>
      </c>
      <c r="B4294" s="3" t="str">
        <f>HYPERLINK("https://www.773grp.com/manufacturer/onsemi?pageNo=249", "Onsemi")</f>
        <v>Onsemi</v>
      </c>
      <c r="C4294" s="6">
        <v>1664920</v>
      </c>
      <c r="D4294" s="7">
        <v>0.57999999999999996</v>
      </c>
      <c r="E4294" t="s">
        <v>27</v>
      </c>
    </row>
    <row r="4295" spans="1:5" x14ac:dyDescent="0.25">
      <c r="A4295" t="str">
        <f>HYPERLINK("https://www.773grp.com/globalSearch/NL27WZU04DFT2G/page-1", "NL27WZU04DFT2G")</f>
        <v>NL27WZU04DFT2G</v>
      </c>
      <c r="B4295" s="3" t="str">
        <f>HYPERLINK("https://www.773grp.com/manufacturer/onsemi?pageNo=250", "Onsemi")</f>
        <v>Onsemi</v>
      </c>
      <c r="C4295" s="6">
        <v>110900</v>
      </c>
      <c r="D4295" s="7">
        <v>0.57999999999999996</v>
      </c>
      <c r="E4295" t="s">
        <v>27</v>
      </c>
    </row>
    <row r="4296" spans="1:5" x14ac:dyDescent="0.25">
      <c r="A4296" t="str">
        <f>HYPERLINK("https://www.773grp.com/globalSearch/NLAS2066US/page-1", "NLAS2066US")</f>
        <v>NLAS2066US</v>
      </c>
      <c r="B4296" s="3" t="str">
        <f>HYPERLINK("https://www.773grp.com/manufacturer/onsemi?pageNo=251", "Onsemi")</f>
        <v>Onsemi</v>
      </c>
      <c r="C4296" s="6">
        <v>33000</v>
      </c>
      <c r="D4296" s="7">
        <v>0.57999999999999996</v>
      </c>
      <c r="E4296" t="s">
        <v>46</v>
      </c>
    </row>
    <row r="4297" spans="1:5" x14ac:dyDescent="0.25">
      <c r="A4297" t="str">
        <f>HYPERLINK("https://www.773grp.com/globalSearch/NLX1G99CMX1TCG/page-1", "NLX1G99CMX1TCG")</f>
        <v>NLX1G99CMX1TCG</v>
      </c>
      <c r="B4297" s="3" t="str">
        <f>HYPERLINK("https://www.773grp.com/manufacturer/onsemi?pageNo=252", "Onsemi")</f>
        <v>Onsemi</v>
      </c>
      <c r="C4297" s="6">
        <v>132000</v>
      </c>
      <c r="D4297" s="7">
        <v>0.57999999999999996</v>
      </c>
      <c r="E4297" t="s">
        <v>68</v>
      </c>
    </row>
    <row r="4298" spans="1:5" x14ac:dyDescent="0.25">
      <c r="A4298" t="str">
        <f>HYPERLINK("https://www.773grp.com/globalSearch/NLX2G08MUTCG/page-1", "NLX2G08MUTCG")</f>
        <v>NLX2G08MUTCG</v>
      </c>
      <c r="B4298" s="3" t="str">
        <f>HYPERLINK("https://www.773grp.com/manufacturer/onsemi?pageNo=253", "Onsemi")</f>
        <v>Onsemi</v>
      </c>
      <c r="C4298" s="6">
        <v>26900</v>
      </c>
      <c r="D4298" s="7">
        <v>0.57999999999999996</v>
      </c>
    </row>
    <row r="4299" spans="1:5" x14ac:dyDescent="0.25">
      <c r="A4299" t="str">
        <f>HYPERLINK("https://www.773grp.com/globalSearch/NP3100SB1/page-1", "NP3100SB1")</f>
        <v>NP3100SB1</v>
      </c>
      <c r="B4299" s="3" t="str">
        <f>HYPERLINK("https://www.773grp.com/manufacturer/onsemi?pageNo=254", "Onsemi")</f>
        <v>Onsemi</v>
      </c>
      <c r="C4299" s="6">
        <v>490000</v>
      </c>
      <c r="D4299" s="7">
        <v>0.57999999999999996</v>
      </c>
    </row>
    <row r="4300" spans="1:5" x14ac:dyDescent="0.25">
      <c r="A4300" t="str">
        <f>HYPERLINK("https://www.773grp.com/globalSearch/NSL12AWT1G/page-1", "NSL12AWT1G")</f>
        <v>NSL12AWT1G</v>
      </c>
      <c r="B4300" s="3" t="str">
        <f>HYPERLINK("https://www.773grp.com/manufacturer/onsemi?pageNo=255", "Onsemi")</f>
        <v>Onsemi</v>
      </c>
      <c r="C4300" s="6">
        <v>284464</v>
      </c>
      <c r="D4300" s="7">
        <v>0.57999999999999996</v>
      </c>
      <c r="E4300" t="s">
        <v>57</v>
      </c>
    </row>
    <row r="4301" spans="1:5" x14ac:dyDescent="0.25">
      <c r="A4301" t="str">
        <f>HYPERLINK("https://www.773grp.com/globalSearch/NSR0320XV6T1G/page-1", "NSR0320XV6T1G")</f>
        <v>NSR0320XV6T1G</v>
      </c>
      <c r="B4301" s="3" t="str">
        <f>HYPERLINK("https://www.773grp.com/manufacturer/onsemi?pageNo=256", "Onsemi")</f>
        <v>Onsemi</v>
      </c>
      <c r="C4301" s="6">
        <v>23850</v>
      </c>
      <c r="D4301" s="7">
        <v>0.57999999999999996</v>
      </c>
      <c r="E4301" t="s">
        <v>73</v>
      </c>
    </row>
    <row r="4302" spans="1:5" x14ac:dyDescent="0.25">
      <c r="A4302" t="str">
        <f>HYPERLINK("https://www.773grp.com/globalSearch/NSR0320XV6T5G/page-1", "NSR0320XV6T5G")</f>
        <v>NSR0320XV6T5G</v>
      </c>
      <c r="B4302" s="3" t="str">
        <f>HYPERLINK("https://www.773grp.com/manufacturer/onsemi?pageNo=257", "Onsemi")</f>
        <v>Onsemi</v>
      </c>
      <c r="C4302" s="6">
        <v>40000</v>
      </c>
      <c r="D4302" s="7">
        <v>0.57999999999999996</v>
      </c>
      <c r="E4302" t="s">
        <v>73</v>
      </c>
    </row>
    <row r="4303" spans="1:5" x14ac:dyDescent="0.25">
      <c r="A4303" t="str">
        <f>HYPERLINK("https://www.773grp.com/globalSearch/NSS30070MR6T1G/page-1", "NSS30070MR6T1G")</f>
        <v>NSS30070MR6T1G</v>
      </c>
      <c r="B4303" s="3" t="str">
        <f>HYPERLINK("https://www.773grp.com/manufacturer/onsemi?pageNo=258", "Onsemi")</f>
        <v>Onsemi</v>
      </c>
      <c r="C4303" s="6">
        <v>152023</v>
      </c>
      <c r="D4303" s="7">
        <v>0.57999999999999996</v>
      </c>
      <c r="E4303" t="s">
        <v>57</v>
      </c>
    </row>
    <row r="4304" spans="1:5" x14ac:dyDescent="0.25">
      <c r="A4304" t="str">
        <f>HYPERLINK("https://www.773grp.com/globalSearch/NTD15N06-001/page-1", "NTD15N06-001")</f>
        <v>NTD15N06-001</v>
      </c>
      <c r="B4304" s="3" t="str">
        <f>HYPERLINK("https://www.773grp.com/manufacturer/onsemi?pageNo=259", "Onsemi")</f>
        <v>Onsemi</v>
      </c>
      <c r="C4304" s="6">
        <v>1200</v>
      </c>
      <c r="D4304" s="7">
        <v>0.57999999999999996</v>
      </c>
    </row>
    <row r="4305" spans="1:5" x14ac:dyDescent="0.25">
      <c r="A4305" t="str">
        <f>HYPERLINK("https://www.773grp.com/globalSearch/NTD15N06L-1G/page-1", "NTD15N06L-1G")</f>
        <v>NTD15N06L-1G</v>
      </c>
      <c r="B4305" s="3" t="str">
        <f>HYPERLINK("https://www.773grp.com/manufacturer/onsemi?pageNo=260", "Onsemi")</f>
        <v>Onsemi</v>
      </c>
      <c r="C4305" s="6">
        <v>2725</v>
      </c>
      <c r="D4305" s="7">
        <v>0.57999999999999996</v>
      </c>
      <c r="E4305" t="s">
        <v>84</v>
      </c>
    </row>
    <row r="4306" spans="1:5" x14ac:dyDescent="0.25">
      <c r="A4306" t="str">
        <f>HYPERLINK("https://www.773grp.com/globalSearch/NTD15N06LG/page-1", "NTD15N06LG")</f>
        <v>NTD15N06LG</v>
      </c>
      <c r="B4306" s="3" t="str">
        <f>HYPERLINK("https://www.773grp.com/manufacturer/onsemi?pageNo=261", "Onsemi")</f>
        <v>Onsemi</v>
      </c>
      <c r="C4306" s="6">
        <v>590</v>
      </c>
      <c r="D4306" s="7">
        <v>0.57999999999999996</v>
      </c>
      <c r="E4306" t="s">
        <v>84</v>
      </c>
    </row>
    <row r="4307" spans="1:5" x14ac:dyDescent="0.25">
      <c r="A4307" t="str">
        <f>HYPERLINK("https://www.773grp.com/globalSearch/NTD15N06LT4/page-1", "NTD15N06LT4")</f>
        <v>NTD15N06LT4</v>
      </c>
      <c r="B4307" s="3" t="str">
        <f>HYPERLINK("https://www.773grp.com/manufacturer/onsemi?pageNo=262", "Onsemi")</f>
        <v>Onsemi</v>
      </c>
      <c r="C4307" s="6">
        <v>4990</v>
      </c>
      <c r="D4307" s="7">
        <v>0.57999999999999996</v>
      </c>
      <c r="E4307" t="s">
        <v>84</v>
      </c>
    </row>
    <row r="4308" spans="1:5" x14ac:dyDescent="0.25">
      <c r="A4308" t="str">
        <f>HYPERLINK("https://www.773grp.com/globalSearch/NTD15N06LT4G/page-1", "NTD15N06LT4G")</f>
        <v>NTD15N06LT4G</v>
      </c>
      <c r="B4308" s="3" t="str">
        <f>HYPERLINK("https://www.773grp.com/manufacturer/onsemi?pageNo=263", "Onsemi")</f>
        <v>Onsemi</v>
      </c>
      <c r="C4308" s="6">
        <v>17500</v>
      </c>
      <c r="D4308" s="7">
        <v>0.57999999999999996</v>
      </c>
      <c r="E4308" t="s">
        <v>84</v>
      </c>
    </row>
    <row r="4309" spans="1:5" x14ac:dyDescent="0.25">
      <c r="A4309" t="str">
        <f>HYPERLINK("https://www.773grp.com/globalSearch/NTD15N06T4G/page-1", "NTD15N06T4G")</f>
        <v>NTD15N06T4G</v>
      </c>
      <c r="B4309" s="3" t="str">
        <f>HYPERLINK("https://www.773grp.com/manufacturer/onsemi?pageNo=264", "Onsemi")</f>
        <v>Onsemi</v>
      </c>
      <c r="C4309" s="6">
        <v>40000</v>
      </c>
      <c r="D4309" s="7">
        <v>0.57999999999999996</v>
      </c>
      <c r="E4309" t="s">
        <v>84</v>
      </c>
    </row>
    <row r="4310" spans="1:5" x14ac:dyDescent="0.25">
      <c r="A4310" t="str">
        <f>HYPERLINK("https://www.773grp.com/globalSearch/NTD80N02T4/page-1", "NTD80N02T4")</f>
        <v>NTD80N02T4</v>
      </c>
      <c r="B4310" s="3" t="str">
        <f>HYPERLINK("https://www.773grp.com/manufacturer/onsemi?pageNo=265", "Onsemi")</f>
        <v>Onsemi</v>
      </c>
      <c r="C4310" s="6">
        <v>27323</v>
      </c>
      <c r="D4310" s="7">
        <v>0.57999999999999996</v>
      </c>
      <c r="E4310" t="s">
        <v>84</v>
      </c>
    </row>
    <row r="4311" spans="1:5" x14ac:dyDescent="0.25">
      <c r="A4311" t="str">
        <f>HYPERLINK("https://www.773grp.com/globalSearch/NTGD4169FT1G/page-1", "NTGD4169FT1G")</f>
        <v>NTGD4169FT1G</v>
      </c>
      <c r="B4311" s="3" t="str">
        <f>HYPERLINK("https://www.773grp.com/manufacturer/onsemi?pageNo=266", "Onsemi")</f>
        <v>Onsemi</v>
      </c>
      <c r="C4311" s="6">
        <v>185907</v>
      </c>
      <c r="D4311" s="7">
        <v>0.57999999999999996</v>
      </c>
      <c r="E4311" t="s">
        <v>85</v>
      </c>
    </row>
    <row r="4312" spans="1:5" x14ac:dyDescent="0.25">
      <c r="A4312" t="str">
        <f>HYPERLINK("https://www.773grp.com/globalSearch/NTHD5905T1/page-1", "NTHD5905T1")</f>
        <v>NTHD5905T1</v>
      </c>
      <c r="B4312" s="3" t="str">
        <f>HYPERLINK("https://www.773grp.com/manufacturer/onsemi?pageNo=267", "Onsemi")</f>
        <v>Onsemi</v>
      </c>
      <c r="C4312" s="6">
        <v>408000</v>
      </c>
      <c r="D4312" s="7">
        <v>0.57999999999999996</v>
      </c>
      <c r="E4312" t="s">
        <v>85</v>
      </c>
    </row>
    <row r="4313" spans="1:5" x14ac:dyDescent="0.25">
      <c r="A4313" t="str">
        <f>HYPERLINK("https://www.773grp.com/globalSearch/NTHS2101PT1/page-1", "NTHS2101PT1")</f>
        <v>NTHS2101PT1</v>
      </c>
      <c r="B4313" s="3" t="str">
        <f>HYPERLINK("https://www.773grp.com/manufacturer/onsemi?pageNo=268", "Onsemi")</f>
        <v>Onsemi</v>
      </c>
      <c r="C4313" s="6">
        <v>1598919</v>
      </c>
      <c r="D4313" s="7">
        <v>0.57999999999999996</v>
      </c>
      <c r="E4313" t="s">
        <v>84</v>
      </c>
    </row>
    <row r="4314" spans="1:5" x14ac:dyDescent="0.25">
      <c r="A4314" t="str">
        <f>HYPERLINK("https://www.773grp.com/globalSearch/NTHS4101PT1/page-1", "NTHS4101PT1")</f>
        <v>NTHS4101PT1</v>
      </c>
      <c r="B4314" s="3" t="str">
        <f>HYPERLINK("https://www.773grp.com/manufacturer/onsemi?pageNo=269", "Onsemi")</f>
        <v>Onsemi</v>
      </c>
      <c r="C4314" s="6">
        <v>21960</v>
      </c>
      <c r="D4314" s="7">
        <v>0.57999999999999996</v>
      </c>
      <c r="E4314" t="s">
        <v>84</v>
      </c>
    </row>
    <row r="4315" spans="1:5" x14ac:dyDescent="0.25">
      <c r="A4315" t="str">
        <f>HYPERLINK("https://www.773grp.com/globalSearch/NTHS4166NT1G/page-1", "NTHS4166NT1G")</f>
        <v>NTHS4166NT1G</v>
      </c>
      <c r="B4315" s="3" t="str">
        <f>HYPERLINK("https://www.773grp.com/manufacturer/onsemi?pageNo=270", "Onsemi")</f>
        <v>Onsemi</v>
      </c>
      <c r="C4315" s="6">
        <v>17775</v>
      </c>
      <c r="D4315" s="7">
        <v>0.57999999999999996</v>
      </c>
    </row>
    <row r="4316" spans="1:5" x14ac:dyDescent="0.25">
      <c r="A4316" t="str">
        <f>HYPERLINK("https://www.773grp.com/globalSearch/NTLJF3117PT1G/page-1", "NTLJF3117PT1G")</f>
        <v>NTLJF3117PT1G</v>
      </c>
      <c r="B4316" s="3" t="str">
        <f>HYPERLINK("https://www.773grp.com/manufacturer/onsemi?pageNo=271", "Onsemi")</f>
        <v>Onsemi</v>
      </c>
      <c r="C4316" s="6">
        <v>10449</v>
      </c>
      <c r="D4316" s="7">
        <v>0.57999999999999996</v>
      </c>
      <c r="E4316" t="s">
        <v>84</v>
      </c>
    </row>
    <row r="4317" spans="1:5" x14ac:dyDescent="0.25">
      <c r="A4317" t="str">
        <f>HYPERLINK("https://www.773grp.com/globalSearch/NTLJF4156NT1G/page-1", "NTLJF4156NT1G")</f>
        <v>NTLJF4156NT1G</v>
      </c>
      <c r="B4317" s="3" t="str">
        <f>HYPERLINK("https://www.773grp.com/manufacturer/onsemi?pageNo=272", "Onsemi")</f>
        <v>Onsemi</v>
      </c>
      <c r="C4317" s="6">
        <v>7667</v>
      </c>
      <c r="D4317" s="7">
        <v>0.57999999999999996</v>
      </c>
      <c r="E4317" t="s">
        <v>84</v>
      </c>
    </row>
    <row r="4318" spans="1:5" x14ac:dyDescent="0.25">
      <c r="A4318" t="str">
        <f>HYPERLINK("https://www.773grp.com/globalSearch/NTLJF4156NTAG/page-1", "NTLJF4156NTAG")</f>
        <v>NTLJF4156NTAG</v>
      </c>
      <c r="B4318" s="3" t="str">
        <f>HYPERLINK("https://www.773grp.com/manufacturer/onsemi?pageNo=273", "Onsemi")</f>
        <v>Onsemi</v>
      </c>
      <c r="C4318" s="6">
        <v>6000</v>
      </c>
      <c r="D4318" s="7">
        <v>0.57999999999999996</v>
      </c>
      <c r="E4318" t="s">
        <v>84</v>
      </c>
    </row>
    <row r="4319" spans="1:5" x14ac:dyDescent="0.25">
      <c r="A4319" t="str">
        <f>HYPERLINK("https://www.773grp.com/globalSearch/NTTD4401FR2/page-1", "NTTD4401FR2")</f>
        <v>NTTD4401FR2</v>
      </c>
      <c r="B4319" s="3" t="str">
        <f>HYPERLINK("https://www.773grp.com/manufacturer/onsemi?pageNo=274", "Onsemi")</f>
        <v>Onsemi</v>
      </c>
      <c r="C4319" s="6">
        <v>7700</v>
      </c>
      <c r="D4319" s="7">
        <v>0.57999999999999996</v>
      </c>
      <c r="E4319" t="s">
        <v>85</v>
      </c>
    </row>
    <row r="4320" spans="1:5" x14ac:dyDescent="0.25">
      <c r="A4320" t="str">
        <f>HYPERLINK("https://www.773grp.com/globalSearch/NTTS2P02R2/page-1", "NTTS2P02R2")</f>
        <v>NTTS2P02R2</v>
      </c>
      <c r="B4320" s="3" t="str">
        <f>HYPERLINK("https://www.773grp.com/manufacturer/onsemi?pageNo=275", "Onsemi")</f>
        <v>Onsemi</v>
      </c>
      <c r="C4320" s="6">
        <v>4000</v>
      </c>
      <c r="D4320" s="7">
        <v>0.57999999999999996</v>
      </c>
      <c r="E4320" t="s">
        <v>85</v>
      </c>
    </row>
    <row r="4321" spans="1:5" x14ac:dyDescent="0.25">
      <c r="A4321" t="str">
        <f>HYPERLINK("https://www.773grp.com/globalSearch/NUF2222FCT1G/page-1", "NUF2222FCT1G")</f>
        <v>NUF2222FCT1G</v>
      </c>
      <c r="B4321" s="3" t="str">
        <f>HYPERLINK("https://www.773grp.com/manufacturer/onsemi?pageNo=276", "Onsemi")</f>
        <v>Onsemi</v>
      </c>
      <c r="C4321" s="6">
        <v>206780</v>
      </c>
      <c r="D4321" s="7">
        <v>0.57999999999999996</v>
      </c>
      <c r="E4321" t="s">
        <v>79</v>
      </c>
    </row>
    <row r="4322" spans="1:5" x14ac:dyDescent="0.25">
      <c r="A4322" t="str">
        <f>HYPERLINK("https://www.773grp.com/globalSearch/NUF6106FCT1G/page-1", "NUF6106FCT1G")</f>
        <v>NUF6106FCT1G</v>
      </c>
      <c r="B4322" s="3" t="str">
        <f>HYPERLINK("https://www.773grp.com/manufacturer/onsemi?pageNo=277", "Onsemi")</f>
        <v>Onsemi</v>
      </c>
      <c r="C4322" s="6">
        <v>30000</v>
      </c>
      <c r="D4322" s="7">
        <v>0.57999999999999996</v>
      </c>
      <c r="E4322" t="s">
        <v>79</v>
      </c>
    </row>
    <row r="4323" spans="1:5" x14ac:dyDescent="0.25">
      <c r="A4323" t="str">
        <f>HYPERLINK("https://www.773grp.com/globalSearch/NUF6107MNTBG/page-1", "NUF6107MNTBG")</f>
        <v>NUF6107MNTBG</v>
      </c>
      <c r="B4323" s="3" t="str">
        <f>HYPERLINK("https://www.773grp.com/manufacturer/onsemi?pageNo=278", "Onsemi")</f>
        <v>Onsemi</v>
      </c>
      <c r="C4323" s="6">
        <v>2217000</v>
      </c>
      <c r="D4323" s="7">
        <v>0.57999999999999996</v>
      </c>
      <c r="E4323" t="s">
        <v>79</v>
      </c>
    </row>
    <row r="4324" spans="1:5" x14ac:dyDescent="0.25">
      <c r="A4324" t="str">
        <f>HYPERLINK("https://www.773grp.com/globalSearch/NVTR4503NT1G/page-1", "NVTR4503NT1G")</f>
        <v>NVTR4503NT1G</v>
      </c>
      <c r="B4324" s="3" t="str">
        <f>HYPERLINK("https://www.773grp.com/manufacturer/onsemi?pageNo=279", "Onsemi")</f>
        <v>Onsemi</v>
      </c>
      <c r="C4324" s="6">
        <v>3000</v>
      </c>
      <c r="D4324" s="7">
        <v>0.57999999999999996</v>
      </c>
      <c r="E4324" t="s">
        <v>85</v>
      </c>
    </row>
    <row r="4325" spans="1:5" x14ac:dyDescent="0.25">
      <c r="A4325" t="str">
        <f>HYPERLINK("https://www.773grp.com/globalSearch/NZF220DFT1G/page-1", "NZF220DFT1G")</f>
        <v>NZF220DFT1G</v>
      </c>
      <c r="B4325" s="3" t="str">
        <f>HYPERLINK("https://www.773grp.com/manufacturer/onsemi?pageNo=280", "Onsemi")</f>
        <v>Onsemi</v>
      </c>
      <c r="C4325" s="6">
        <v>763688</v>
      </c>
      <c r="D4325" s="7">
        <v>0.57999999999999996</v>
      </c>
      <c r="E4325" t="s">
        <v>79</v>
      </c>
    </row>
    <row r="4326" spans="1:5" x14ac:dyDescent="0.25">
      <c r="A4326" t="str">
        <f>HYPERLINK("https://www.773grp.com/globalSearch/PZT751T1/page-1", "PZT751T1")</f>
        <v>PZT751T1</v>
      </c>
      <c r="B4326" s="3" t="str">
        <f>HYPERLINK("https://www.773grp.com/manufacturer/onsemi?pageNo=281", "Onsemi")</f>
        <v>Onsemi</v>
      </c>
      <c r="C4326" s="6">
        <v>95330</v>
      </c>
      <c r="D4326" s="7">
        <v>0.57999999999999996</v>
      </c>
      <c r="E4326" t="s">
        <v>57</v>
      </c>
    </row>
    <row r="4327" spans="1:5" x14ac:dyDescent="0.25">
      <c r="A4327" t="str">
        <f>HYPERLINK("https://www.773grp.com/globalSearch/SA14023BDR2/page-1", "SA14023BDR2")</f>
        <v>SA14023BDR2</v>
      </c>
      <c r="B4327" s="3" t="str">
        <f>HYPERLINK("https://www.773grp.com/manufacturer/onsemi?pageNo=282", "Onsemi")</f>
        <v>Onsemi</v>
      </c>
      <c r="C4327" s="6">
        <v>2500</v>
      </c>
      <c r="D4327" s="7">
        <v>0.57999999999999996</v>
      </c>
    </row>
    <row r="4328" spans="1:5" x14ac:dyDescent="0.25">
      <c r="A4328" t="str">
        <f>HYPERLINK("https://www.773grp.com/globalSearch/SA14069UBDR2/page-1", "SA14069UBDR2")</f>
        <v>SA14069UBDR2</v>
      </c>
      <c r="B4328" s="3" t="str">
        <f>HYPERLINK("https://www.773grp.com/manufacturer/onsemi?pageNo=283", "Onsemi")</f>
        <v>Onsemi</v>
      </c>
      <c r="C4328" s="6">
        <v>27500</v>
      </c>
      <c r="D4328" s="7">
        <v>0.57999999999999996</v>
      </c>
    </row>
    <row r="4329" spans="1:5" x14ac:dyDescent="0.25">
      <c r="A4329" t="str">
        <f>HYPERLINK("https://www.773grp.com/globalSearch/SA14073BCP/page-1", "SA14073BCP")</f>
        <v>SA14073BCP</v>
      </c>
      <c r="B4329" s="3" t="str">
        <f>HYPERLINK("https://www.773grp.com/manufacturer/onsemi?pageNo=284", "Onsemi")</f>
        <v>Onsemi</v>
      </c>
      <c r="C4329" s="6">
        <v>23600</v>
      </c>
      <c r="D4329" s="7">
        <v>0.57999999999999996</v>
      </c>
    </row>
    <row r="4330" spans="1:5" x14ac:dyDescent="0.25">
      <c r="A4330" t="str">
        <f>HYPERLINK("https://www.773grp.com/globalSearch/SC14S66F/page-1", "SC14S66F")</f>
        <v>SC14S66F</v>
      </c>
      <c r="B4330" s="3" t="str">
        <f>HYPERLINK("https://www.773grp.com/manufacturer/onsemi?pageNo=285", "Onsemi")</f>
        <v>Onsemi</v>
      </c>
      <c r="C4330" s="6">
        <v>2957</v>
      </c>
      <c r="D4330" s="7">
        <v>0.57999999999999996</v>
      </c>
    </row>
    <row r="4331" spans="1:5" x14ac:dyDescent="0.25">
      <c r="A4331" t="str">
        <f>HYPERLINK("https://www.773grp.com/globalSearch/SM05T1G/page-1", "SM05T1G")</f>
        <v>SM05T1G</v>
      </c>
      <c r="B4331" s="3" t="str">
        <f>HYPERLINK("https://www.773grp.com/manufacturer/onsemi?pageNo=286", "Onsemi")</f>
        <v>Onsemi</v>
      </c>
      <c r="C4331" s="6">
        <v>24000</v>
      </c>
      <c r="D4331" s="7">
        <v>0.57999999999999996</v>
      </c>
      <c r="E4331" t="s">
        <v>75</v>
      </c>
    </row>
    <row r="4332" spans="1:5" x14ac:dyDescent="0.25">
      <c r="A4332" t="str">
        <f>HYPERLINK("https://www.773grp.com/globalSearch/SM12T1G/page-1", "SM12T1G")</f>
        <v>SM12T1G</v>
      </c>
      <c r="B4332" s="3" t="str">
        <f>HYPERLINK("https://www.773grp.com/manufacturer/onsemi?pageNo=287", "Onsemi")</f>
        <v>Onsemi</v>
      </c>
      <c r="C4332" s="6">
        <v>425000</v>
      </c>
      <c r="D4332" s="7">
        <v>0.57999999999999996</v>
      </c>
      <c r="E4332" t="s">
        <v>75</v>
      </c>
    </row>
    <row r="4333" spans="1:5" x14ac:dyDescent="0.25">
      <c r="A4333" t="str">
        <f>HYPERLINK("https://www.773grp.com/globalSearch/SM15T1G/page-1", "SM15T1G")</f>
        <v>SM15T1G</v>
      </c>
      <c r="B4333" s="3" t="str">
        <f>HYPERLINK("https://www.773grp.com/manufacturer/onsemi?pageNo=288", "Onsemi")</f>
        <v>Onsemi</v>
      </c>
      <c r="C4333" s="6">
        <v>36000</v>
      </c>
      <c r="D4333" s="7">
        <v>0.57999999999999996</v>
      </c>
    </row>
    <row r="4334" spans="1:5" x14ac:dyDescent="0.25">
      <c r="A4334" t="str">
        <f>HYPERLINK("https://www.773grp.com/globalSearch/SM24T1G/page-1", "SM24T1G")</f>
        <v>SM24T1G</v>
      </c>
      <c r="B4334" s="3" t="str">
        <f>HYPERLINK("https://www.773grp.com/manufacturer/onsemi?pageNo=289", "Onsemi")</f>
        <v>Onsemi</v>
      </c>
      <c r="C4334" s="6">
        <v>93000</v>
      </c>
      <c r="D4334" s="7">
        <v>0.57999999999999996</v>
      </c>
    </row>
    <row r="4335" spans="1:5" x14ac:dyDescent="0.25">
      <c r="A4335" t="str">
        <f>HYPERLINK("https://www.773grp.com/globalSearch/SN74LS14D/page-1", "SN74LS14D")</f>
        <v>SN74LS14D</v>
      </c>
      <c r="B4335" s="3" t="str">
        <f>HYPERLINK("https://www.773grp.com/manufacturer/onsemi?pageNo=290", "Onsemi")</f>
        <v>Onsemi</v>
      </c>
      <c r="C4335" s="6">
        <v>3225</v>
      </c>
      <c r="D4335" s="7">
        <v>0.57999999999999996</v>
      </c>
      <c r="E4335" t="s">
        <v>27</v>
      </c>
    </row>
    <row r="4336" spans="1:5" x14ac:dyDescent="0.25">
      <c r="A4336" t="str">
        <f>HYPERLINK("https://www.773grp.com/globalSearch/SN74LS14ML1/page-1", "SN74LS14ML1")</f>
        <v>SN74LS14ML1</v>
      </c>
      <c r="B4336" s="3" t="str">
        <f>HYPERLINK("https://www.773grp.com/manufacturer/onsemi?pageNo=291", "Onsemi")</f>
        <v>Onsemi</v>
      </c>
      <c r="C4336" s="6">
        <v>125000</v>
      </c>
      <c r="D4336" s="7">
        <v>0.57999999999999996</v>
      </c>
    </row>
    <row r="4337" spans="1:5" x14ac:dyDescent="0.25">
      <c r="A4337" t="str">
        <f>HYPERLINK("https://www.773grp.com/globalSearch/SN74LS14MR1/page-1", "SN74LS14MR1")</f>
        <v>SN74LS14MR1</v>
      </c>
      <c r="B4337" s="3" t="str">
        <f>HYPERLINK("https://www.773grp.com/manufacturer/onsemi?pageNo=292", "Onsemi")</f>
        <v>Onsemi</v>
      </c>
      <c r="C4337" s="6">
        <v>25000</v>
      </c>
      <c r="D4337" s="7">
        <v>0.57999999999999996</v>
      </c>
    </row>
    <row r="4338" spans="1:5" x14ac:dyDescent="0.25">
      <c r="A4338" t="str">
        <f>HYPERLINK("https://www.773grp.com/globalSearch/SN74LS86M/page-1", "SN74LS86M")</f>
        <v>SN74LS86M</v>
      </c>
      <c r="B4338" s="3" t="str">
        <f>HYPERLINK("https://www.773grp.com/manufacturer/onsemi?pageNo=293", "Onsemi")</f>
        <v>Onsemi</v>
      </c>
      <c r="C4338" s="6">
        <v>12650</v>
      </c>
      <c r="D4338" s="7">
        <v>0.57999999999999996</v>
      </c>
      <c r="E4338" t="s">
        <v>27</v>
      </c>
    </row>
    <row r="4339" spans="1:5" x14ac:dyDescent="0.25">
      <c r="A4339" t="str">
        <f>HYPERLINK("https://www.773grp.com/globalSearch/SN74LS86ML1/page-1", "SN74LS86ML1")</f>
        <v>SN74LS86ML1</v>
      </c>
      <c r="B4339" s="3" t="str">
        <f>HYPERLINK("https://www.773grp.com/manufacturer/onsemi?pageNo=294", "Onsemi")</f>
        <v>Onsemi</v>
      </c>
      <c r="C4339" s="6">
        <v>3000</v>
      </c>
      <c r="D4339" s="7">
        <v>0.57999999999999996</v>
      </c>
    </row>
    <row r="4340" spans="1:5" x14ac:dyDescent="0.25">
      <c r="A4340" t="str">
        <f>HYPERLINK("https://www.773grp.com/globalSearch/SS16T3G/page-1", "SS16T3G")</f>
        <v>SS16T3G</v>
      </c>
      <c r="B4340" s="3" t="str">
        <f>HYPERLINK("https://www.773grp.com/manufacturer/onsemi?pageNo=295", "Onsemi")</f>
        <v>Onsemi</v>
      </c>
      <c r="C4340" s="6">
        <v>115769</v>
      </c>
      <c r="D4340" s="7">
        <v>0.57999999999999996</v>
      </c>
      <c r="E4340" t="s">
        <v>73</v>
      </c>
    </row>
    <row r="4341" spans="1:5" x14ac:dyDescent="0.25">
      <c r="A4341" t="str">
        <f>HYPERLINK("https://www.773grp.com/globalSearch/SURS5643T3G/page-1", "SURS5643T3G")</f>
        <v>SURS5643T3G</v>
      </c>
      <c r="B4341" s="3" t="str">
        <f>HYPERLINK("https://www.773grp.com/manufacturer/onsemi?pageNo=296", "Onsemi")</f>
        <v>Onsemi</v>
      </c>
      <c r="C4341" s="6">
        <v>10000</v>
      </c>
      <c r="D4341" s="7">
        <v>0.57999999999999996</v>
      </c>
    </row>
    <row r="4342" spans="1:5" x14ac:dyDescent="0.25">
      <c r="A4342" t="str">
        <f>HYPERLINK("https://www.773grp.com/globalSearch/SZ2783/page-1", "SZ2783")</f>
        <v>SZ2783</v>
      </c>
      <c r="B4342" s="3" t="str">
        <f>HYPERLINK("https://www.773grp.com/manufacturer/onsemi?pageNo=297", "Onsemi")</f>
        <v>Onsemi</v>
      </c>
      <c r="C4342" s="6">
        <v>8000</v>
      </c>
      <c r="D4342" s="7">
        <v>0.57999999999999996</v>
      </c>
    </row>
    <row r="4343" spans="1:5" x14ac:dyDescent="0.25">
      <c r="A4343" t="str">
        <f>HYPERLINK("https://www.773grp.com/globalSearch/SZP40142RL/page-1", "SZP40142RL")</f>
        <v>SZP40142RL</v>
      </c>
      <c r="B4343" s="3" t="str">
        <f>HYPERLINK("https://www.773grp.com/manufacturer/onsemi?pageNo=298", "Onsemi")</f>
        <v>Onsemi</v>
      </c>
      <c r="C4343" s="6">
        <v>12000</v>
      </c>
      <c r="D4343" s="7">
        <v>0.57999999999999996</v>
      </c>
    </row>
    <row r="4344" spans="1:5" x14ac:dyDescent="0.25">
      <c r="A4344" t="str">
        <f>HYPERLINK("https://www.773grp.com/globalSearch/SZP40192RL/page-1", "SZP40192RL")</f>
        <v>SZP40192RL</v>
      </c>
      <c r="B4344" s="3" t="str">
        <f>HYPERLINK("https://www.773grp.com/manufacturer/onsemi?pageNo=299", "Onsemi")</f>
        <v>Onsemi</v>
      </c>
      <c r="C4344" s="6">
        <v>4000</v>
      </c>
      <c r="D4344" s="7">
        <v>0.57999999999999996</v>
      </c>
    </row>
    <row r="4345" spans="1:5" x14ac:dyDescent="0.25">
      <c r="A4345" t="str">
        <f>HYPERLINK("https://www.773grp.com/globalSearch/SZP40194RL/page-1", "SZP40194RL")</f>
        <v>SZP40194RL</v>
      </c>
      <c r="B4345" s="3" t="str">
        <f>HYPERLINK("https://www.773grp.com/manufacturer/onsemi?pageNo=300", "Onsemi")</f>
        <v>Onsemi</v>
      </c>
      <c r="C4345" s="6">
        <v>4000</v>
      </c>
      <c r="D4345" s="7">
        <v>0.57999999999999996</v>
      </c>
    </row>
    <row r="4346" spans="1:5" x14ac:dyDescent="0.25">
      <c r="A4346" t="str">
        <f>HYPERLINK("https://www.773grp.com/globalSearch/TIP31B/page-1", "TIP31B")</f>
        <v>TIP31B</v>
      </c>
      <c r="B4346" s="3" t="str">
        <f>HYPERLINK("https://www.773grp.com/manufacturer/onsemi?pageNo=301", "Onsemi")</f>
        <v>Onsemi</v>
      </c>
      <c r="C4346" s="6">
        <v>6569</v>
      </c>
      <c r="D4346" s="7">
        <v>0.57999999999999996</v>
      </c>
      <c r="E4346" t="s">
        <v>47</v>
      </c>
    </row>
    <row r="4347" spans="1:5" x14ac:dyDescent="0.25">
      <c r="A4347" t="str">
        <f>HYPERLINK("https://www.773grp.com/globalSearch/TL431ACDR2G/page-1", "TL431ACDR2G")</f>
        <v>TL431ACDR2G</v>
      </c>
      <c r="B4347" s="3" t="str">
        <f>HYPERLINK("https://www.773grp.com/manufacturer/onsemi?pageNo=302", "Onsemi")</f>
        <v>Onsemi</v>
      </c>
      <c r="C4347" s="6">
        <v>219803</v>
      </c>
      <c r="D4347" s="7">
        <v>0.57999999999999996</v>
      </c>
      <c r="E4347" t="s">
        <v>13</v>
      </c>
    </row>
    <row r="4348" spans="1:5" x14ac:dyDescent="0.25">
      <c r="A4348" t="str">
        <f>HYPERLINK("https://www.773grp.com/globalSearch/TL431ACLPG/page-1", "TL431ACLPG")</f>
        <v>TL431ACLPG</v>
      </c>
      <c r="B4348" s="3" t="str">
        <f>HYPERLINK("https://www.773grp.com/manufacturer/onsemi?pageNo=303", "Onsemi")</f>
        <v>Onsemi</v>
      </c>
      <c r="C4348" s="6">
        <v>232437</v>
      </c>
      <c r="D4348" s="7">
        <v>0.57999999999999996</v>
      </c>
      <c r="E4348" t="s">
        <v>13</v>
      </c>
    </row>
    <row r="4349" spans="1:5" x14ac:dyDescent="0.25">
      <c r="A4349" t="str">
        <f>HYPERLINK("https://www.773grp.com/globalSearch/TL431ACLPRAG/page-1", "TL431ACLPRAG")</f>
        <v>TL431ACLPRAG</v>
      </c>
      <c r="B4349" s="3" t="str">
        <f>HYPERLINK("https://www.773grp.com/manufacturer/onsemi?pageNo=304", "Onsemi")</f>
        <v>Onsemi</v>
      </c>
      <c r="C4349" s="6">
        <v>68000</v>
      </c>
      <c r="D4349" s="7">
        <v>0.57999999999999996</v>
      </c>
      <c r="E4349" t="s">
        <v>13</v>
      </c>
    </row>
    <row r="4350" spans="1:5" x14ac:dyDescent="0.25">
      <c r="A4350" t="str">
        <f>HYPERLINK("https://www.773grp.com/globalSearch/TL431ACLPRPG/page-1", "TL431ACLPRPG")</f>
        <v>TL431ACLPRPG</v>
      </c>
      <c r="B4350" s="3" t="str">
        <f>HYPERLINK("https://www.773grp.com/manufacturer/onsemi?pageNo=305", "Onsemi")</f>
        <v>Onsemi</v>
      </c>
      <c r="C4350" s="6">
        <v>20000</v>
      </c>
      <c r="D4350" s="7">
        <v>0.57999999999999996</v>
      </c>
      <c r="E4350" t="s">
        <v>13</v>
      </c>
    </row>
    <row r="4351" spans="1:5" x14ac:dyDescent="0.25">
      <c r="A4351" t="str">
        <f>HYPERLINK("https://www.773grp.com/globalSearch/TL431AID/page-1", "TL431AID")</f>
        <v>TL431AID</v>
      </c>
      <c r="B4351" s="3" t="str">
        <f>HYPERLINK("https://www.773grp.com/manufacturer/onsemi?pageNo=306", "Onsemi")</f>
        <v>Onsemi</v>
      </c>
      <c r="C4351" s="6">
        <v>5775</v>
      </c>
      <c r="D4351" s="7">
        <v>0.57999999999999996</v>
      </c>
      <c r="E4351" t="s">
        <v>13</v>
      </c>
    </row>
    <row r="4352" spans="1:5" x14ac:dyDescent="0.25">
      <c r="A4352" t="str">
        <f>HYPERLINK("https://www.773grp.com/globalSearch/TL431AIDMR2/page-1", "TL431AIDMR2")</f>
        <v>TL431AIDMR2</v>
      </c>
      <c r="B4352" s="3" t="str">
        <f>HYPERLINK("https://www.773grp.com/manufacturer/onsemi?pageNo=307", "Onsemi")</f>
        <v>Onsemi</v>
      </c>
      <c r="C4352" s="6">
        <v>4000</v>
      </c>
      <c r="D4352" s="7">
        <v>0.57999999999999996</v>
      </c>
      <c r="E4352" t="s">
        <v>13</v>
      </c>
    </row>
    <row r="4353" spans="1:5" x14ac:dyDescent="0.25">
      <c r="A4353" t="str">
        <f>HYPERLINK("https://www.773grp.com/globalSearch/TL431AIDR2/page-1", "TL431AIDR2")</f>
        <v>TL431AIDR2</v>
      </c>
      <c r="B4353" s="3" t="str">
        <f>HYPERLINK("https://www.773grp.com/manufacturer/onsemi?pageNo=308", "Onsemi")</f>
        <v>Onsemi</v>
      </c>
      <c r="C4353" s="6">
        <v>9500</v>
      </c>
      <c r="D4353" s="7">
        <v>0.57999999999999996</v>
      </c>
      <c r="E4353" t="s">
        <v>13</v>
      </c>
    </row>
    <row r="4354" spans="1:5" x14ac:dyDescent="0.25">
      <c r="A4354" t="str">
        <f>HYPERLINK("https://www.773grp.com/globalSearch/TL431AILP/page-1", "TL431AILP")</f>
        <v>TL431AILP</v>
      </c>
      <c r="B4354" s="3" t="str">
        <f>HYPERLINK("https://www.773grp.com/manufacturer/onsemi?pageNo=309", "Onsemi")</f>
        <v>Onsemi</v>
      </c>
      <c r="C4354" s="6">
        <v>7309</v>
      </c>
      <c r="D4354" s="7">
        <v>0.57999999999999996</v>
      </c>
      <c r="E4354" t="s">
        <v>13</v>
      </c>
    </row>
    <row r="4355" spans="1:5" x14ac:dyDescent="0.25">
      <c r="A4355" t="str">
        <f>HYPERLINK("https://www.773grp.com/globalSearch/TL431AILPRP/page-1", "TL431AILPRP")</f>
        <v>TL431AILPRP</v>
      </c>
      <c r="B4355" s="3" t="str">
        <f>HYPERLINK("https://www.773grp.com/manufacturer/onsemi?pageNo=310", "Onsemi")</f>
        <v>Onsemi</v>
      </c>
      <c r="C4355" s="6">
        <v>3248</v>
      </c>
      <c r="D4355" s="7">
        <v>0.57999999999999996</v>
      </c>
      <c r="E4355" t="s">
        <v>13</v>
      </c>
    </row>
    <row r="4356" spans="1:5" x14ac:dyDescent="0.25">
      <c r="A4356" t="str">
        <f>HYPERLINK("https://www.773grp.com/globalSearch/TL431BCDMR2/page-1", "TL431BCDMR2")</f>
        <v>TL431BCDMR2</v>
      </c>
      <c r="B4356" s="3" t="str">
        <f>HYPERLINK("https://www.773grp.com/manufacturer/onsemi?pageNo=311", "Onsemi")</f>
        <v>Onsemi</v>
      </c>
      <c r="C4356" s="6">
        <v>3920</v>
      </c>
      <c r="D4356" s="7">
        <v>0.57999999999999996</v>
      </c>
      <c r="E4356" t="s">
        <v>13</v>
      </c>
    </row>
    <row r="4357" spans="1:5" x14ac:dyDescent="0.25">
      <c r="A4357" t="str">
        <f>HYPERLINK("https://www.773grp.com/globalSearch/TL431BID/page-1", "TL431BID")</f>
        <v>TL431BID</v>
      </c>
      <c r="B4357" s="3" t="str">
        <f>HYPERLINK("https://www.773grp.com/manufacturer/onsemi?pageNo=312", "Onsemi")</f>
        <v>Onsemi</v>
      </c>
      <c r="C4357" s="6">
        <v>59</v>
      </c>
      <c r="D4357" s="7">
        <v>0.57999999999999996</v>
      </c>
      <c r="E4357" t="s">
        <v>13</v>
      </c>
    </row>
    <row r="4358" spans="1:5" x14ac:dyDescent="0.25">
      <c r="A4358" t="str">
        <f>HYPERLINK("https://www.773grp.com/globalSearch/TL431BILP/page-1", "TL431BILP")</f>
        <v>TL431BILP</v>
      </c>
      <c r="B4358" s="3" t="str">
        <f>HYPERLINK("https://www.773grp.com/manufacturer/onsemi?pageNo=313", "Onsemi")</f>
        <v>Onsemi</v>
      </c>
      <c r="C4358" s="6">
        <v>2981</v>
      </c>
      <c r="D4358" s="7">
        <v>0.57999999999999996</v>
      </c>
      <c r="E4358" t="s">
        <v>13</v>
      </c>
    </row>
    <row r="4359" spans="1:5" x14ac:dyDescent="0.25">
      <c r="A4359" t="str">
        <f>HYPERLINK("https://www.773grp.com/globalSearch/TL431CDG/page-1", "TL431CDG")</f>
        <v>TL431CDG</v>
      </c>
      <c r="B4359" s="3" t="str">
        <f>HYPERLINK("https://www.773grp.com/manufacturer/onsemi?pageNo=314", "Onsemi")</f>
        <v>Onsemi</v>
      </c>
      <c r="C4359" s="6">
        <v>27270</v>
      </c>
      <c r="D4359" s="7">
        <v>0.57999999999999996</v>
      </c>
      <c r="E4359" t="s">
        <v>13</v>
      </c>
    </row>
    <row r="4360" spans="1:5" x14ac:dyDescent="0.25">
      <c r="A4360" t="str">
        <f>HYPERLINK("https://www.773grp.com/globalSearch/TL431CDR2G/page-1", "TL431CDR2G")</f>
        <v>TL431CDR2G</v>
      </c>
      <c r="B4360" s="3" t="str">
        <f>HYPERLINK("https://www.773grp.com/manufacturer/onsemi?pageNo=315", "Onsemi")</f>
        <v>Onsemi</v>
      </c>
      <c r="C4360" s="6">
        <v>3434</v>
      </c>
      <c r="D4360" s="7">
        <v>0.57999999999999996</v>
      </c>
      <c r="E4360" t="s">
        <v>13</v>
      </c>
    </row>
    <row r="4361" spans="1:5" x14ac:dyDescent="0.25">
      <c r="A4361" t="str">
        <f>HYPERLINK("https://www.773grp.com/globalSearch/TL431ILPG/page-1", "TL431ILPG")</f>
        <v>TL431ILPG</v>
      </c>
      <c r="B4361" s="3" t="str">
        <f>HYPERLINK("https://www.773grp.com/manufacturer/onsemi?pageNo=316", "Onsemi")</f>
        <v>Onsemi</v>
      </c>
      <c r="C4361" s="6">
        <v>11419</v>
      </c>
      <c r="D4361" s="7">
        <v>0.57999999999999996</v>
      </c>
      <c r="E4361" t="s">
        <v>13</v>
      </c>
    </row>
    <row r="4362" spans="1:5" x14ac:dyDescent="0.25">
      <c r="A4362" t="str">
        <f>HYPERLINK("https://www.773grp.com/globalSearch/TL431ILPRAG/page-1", "TL431ILPRAG")</f>
        <v>TL431ILPRAG</v>
      </c>
      <c r="B4362" s="3" t="str">
        <f>HYPERLINK("https://www.773grp.com/manufacturer/onsemi?pageNo=317", "Onsemi")</f>
        <v>Onsemi</v>
      </c>
      <c r="C4362" s="6">
        <v>11979</v>
      </c>
      <c r="D4362" s="7">
        <v>0.57999999999999996</v>
      </c>
    </row>
    <row r="4363" spans="1:5" x14ac:dyDescent="0.25">
      <c r="A4363" t="str">
        <f>HYPERLINK("https://www.773grp.com/globalSearch/TLV431BLPG/page-1", "TLV431BLPG")</f>
        <v>TLV431BLPG</v>
      </c>
      <c r="B4363" s="3" t="str">
        <f>HYPERLINK("https://www.773grp.com/manufacturer/onsemi?pageNo=318", "Onsemi")</f>
        <v>Onsemi</v>
      </c>
      <c r="C4363" s="6">
        <v>11761</v>
      </c>
      <c r="D4363" s="7">
        <v>0.57999999999999996</v>
      </c>
      <c r="E4363" t="s">
        <v>13</v>
      </c>
    </row>
    <row r="4364" spans="1:5" x14ac:dyDescent="0.25">
      <c r="A4364" t="str">
        <f>HYPERLINK("https://www.773grp.com/globalSearch/TLV431BLPRAG/page-1", "TLV431BLPRAG")</f>
        <v>TLV431BLPRAG</v>
      </c>
      <c r="B4364" s="3" t="str">
        <f>HYPERLINK("https://www.773grp.com/manufacturer/onsemi?pageNo=319", "Onsemi")</f>
        <v>Onsemi</v>
      </c>
      <c r="C4364" s="6">
        <v>9826</v>
      </c>
      <c r="D4364" s="7">
        <v>0.57999999999999996</v>
      </c>
      <c r="E4364" t="s">
        <v>13</v>
      </c>
    </row>
    <row r="4365" spans="1:5" x14ac:dyDescent="0.25">
      <c r="A4365" t="str">
        <f>HYPERLINK("https://www.773grp.com/globalSearch/TLV431BLPREG/page-1", "TLV431BLPREG")</f>
        <v>TLV431BLPREG</v>
      </c>
      <c r="B4365" s="3" t="str">
        <f>HYPERLINK("https://www.773grp.com/manufacturer/onsemi?pageNo=320", "Onsemi")</f>
        <v>Onsemi</v>
      </c>
      <c r="C4365" s="6">
        <v>4000</v>
      </c>
      <c r="D4365" s="7">
        <v>0.57999999999999996</v>
      </c>
      <c r="E4365" t="s">
        <v>13</v>
      </c>
    </row>
    <row r="4366" spans="1:5" x14ac:dyDescent="0.25">
      <c r="A4366" t="str">
        <f>HYPERLINK("https://www.773grp.com/globalSearch/TLV431BLPRMG/page-1", "TLV431BLPRMG")</f>
        <v>TLV431BLPRMG</v>
      </c>
      <c r="B4366" s="3" t="str">
        <f>HYPERLINK("https://www.773grp.com/manufacturer/onsemi?pageNo=321", "Onsemi")</f>
        <v>Onsemi</v>
      </c>
      <c r="C4366" s="6">
        <v>1020</v>
      </c>
      <c r="D4366" s="7">
        <v>0.57999999999999996</v>
      </c>
      <c r="E4366" t="s">
        <v>13</v>
      </c>
    </row>
    <row r="4367" spans="1:5" x14ac:dyDescent="0.25">
      <c r="A4367" t="str">
        <f>HYPERLINK("https://www.773grp.com/globalSearch/TLV431BLPRPG/page-1", "TLV431BLPRPG")</f>
        <v>TLV431BLPRPG</v>
      </c>
      <c r="B4367" s="3" t="str">
        <f>HYPERLINK("https://www.773grp.com/manufacturer/onsemi?pageNo=322", "Onsemi")</f>
        <v>Onsemi</v>
      </c>
      <c r="C4367" s="6">
        <v>2406</v>
      </c>
      <c r="D4367" s="7">
        <v>0.57999999999999996</v>
      </c>
      <c r="E4367" t="s">
        <v>13</v>
      </c>
    </row>
    <row r="4368" spans="1:5" x14ac:dyDescent="0.25">
      <c r="A4368" t="str">
        <f>HYPERLINK("https://www.773grp.com/globalSearch/1.5KE100A/page-1", "1.5KE100A")</f>
        <v>1.5KE100A</v>
      </c>
      <c r="B4368" s="3" t="str">
        <f>HYPERLINK("https://www.773grp.com/manufacturer/onsemi?pageNo=323", "Onsemi")</f>
        <v>Onsemi</v>
      </c>
      <c r="C4368" s="6">
        <v>14900</v>
      </c>
      <c r="D4368" s="7">
        <v>0.64</v>
      </c>
      <c r="E4368" t="s">
        <v>75</v>
      </c>
    </row>
    <row r="4369" spans="1:5" x14ac:dyDescent="0.25">
      <c r="A4369" t="str">
        <f>HYPERLINK("https://www.773grp.com/globalSearch/1.5KE120A/page-1", "1.5KE120A")</f>
        <v>1.5KE120A</v>
      </c>
      <c r="B4369" s="3" t="str">
        <f>HYPERLINK("https://www.773grp.com/manufacturer/onsemi?pageNo=324", "Onsemi")</f>
        <v>Onsemi</v>
      </c>
      <c r="C4369" s="6">
        <v>200</v>
      </c>
      <c r="D4369" s="7">
        <v>0.64</v>
      </c>
      <c r="E4369" t="s">
        <v>75</v>
      </c>
    </row>
    <row r="4370" spans="1:5" x14ac:dyDescent="0.25">
      <c r="A4370" t="str">
        <f>HYPERLINK("https://www.773grp.com/globalSearch/1.5SMSC33AT3/page-1", "1.5SMSC33AT3")</f>
        <v>1.5SMSC33AT3</v>
      </c>
      <c r="B4370" s="3" t="str">
        <f>HYPERLINK("https://www.773grp.com/manufacturer/onsemi?pageNo=325", "Onsemi")</f>
        <v>Onsemi</v>
      </c>
      <c r="C4370" s="6">
        <v>46070</v>
      </c>
      <c r="D4370" s="7">
        <v>0.64</v>
      </c>
      <c r="E4370" t="s">
        <v>75</v>
      </c>
    </row>
    <row r="4371" spans="1:5" x14ac:dyDescent="0.25">
      <c r="A4371" t="str">
        <f>HYPERLINK("https://www.773grp.com/globalSearch/1.5SMSC75AT3/page-1", "1.5SMSC75AT3")</f>
        <v>1.5SMSC75AT3</v>
      </c>
      <c r="B4371" s="3" t="str">
        <f>HYPERLINK("https://www.773grp.com/manufacturer/onsemi?pageNo=326", "Onsemi")</f>
        <v>Onsemi</v>
      </c>
      <c r="C4371" s="6">
        <v>37558</v>
      </c>
      <c r="D4371" s="7">
        <v>0.64</v>
      </c>
      <c r="E4371" t="s">
        <v>75</v>
      </c>
    </row>
    <row r="4372" spans="1:5" x14ac:dyDescent="0.25">
      <c r="A4372" t="str">
        <f>HYPERLINK("https://www.773grp.com/globalSearch/1N5232CRL/page-1", "1N5232CRL")</f>
        <v>1N5232CRL</v>
      </c>
      <c r="B4372" s="3" t="str">
        <f>HYPERLINK("https://www.773grp.com/manufacturer/onsemi?pageNo=327", "Onsemi")</f>
        <v>Onsemi</v>
      </c>
      <c r="C4372" s="6">
        <v>4550</v>
      </c>
      <c r="D4372" s="7">
        <v>0.64</v>
      </c>
      <c r="E4372" t="s">
        <v>77</v>
      </c>
    </row>
    <row r="4373" spans="1:5" x14ac:dyDescent="0.25">
      <c r="A4373" t="str">
        <f>HYPERLINK("https://www.773grp.com/globalSearch/1N5232CRL/page-1", "1N5232CRL")</f>
        <v>1N5232CRL</v>
      </c>
      <c r="B4373" s="3" t="str">
        <f>HYPERLINK("https://www.773grp.com/manufacturer/onsemi?pageNo=328", "Onsemi")</f>
        <v>Onsemi</v>
      </c>
      <c r="C4373" s="6">
        <v>5000</v>
      </c>
      <c r="D4373" s="7">
        <v>0.64</v>
      </c>
      <c r="E4373" t="s">
        <v>77</v>
      </c>
    </row>
    <row r="4374" spans="1:5" x14ac:dyDescent="0.25">
      <c r="A4374" t="str">
        <f>HYPERLINK("https://www.773grp.com/globalSearch/1N5236CRL/page-1", "1N5236CRL")</f>
        <v>1N5236CRL</v>
      </c>
      <c r="B4374" s="3" t="str">
        <f>HYPERLINK("https://www.773grp.com/manufacturer/onsemi?pageNo=329", "Onsemi")</f>
        <v>Onsemi</v>
      </c>
      <c r="C4374" s="6">
        <v>5000</v>
      </c>
      <c r="D4374" s="7">
        <v>0.64</v>
      </c>
      <c r="E4374" t="s">
        <v>77</v>
      </c>
    </row>
    <row r="4375" spans="1:5" x14ac:dyDescent="0.25">
      <c r="A4375" t="str">
        <f>HYPERLINK("https://www.773grp.com/globalSearch/1N5240CRL/page-1", "1N5240CRL")</f>
        <v>1N5240CRL</v>
      </c>
      <c r="B4375" s="3" t="str">
        <f>HYPERLINK("https://www.773grp.com/manufacturer/onsemi?pageNo=330", "Onsemi")</f>
        <v>Onsemi</v>
      </c>
      <c r="C4375" s="6">
        <v>148910</v>
      </c>
      <c r="D4375" s="7">
        <v>0.64</v>
      </c>
      <c r="E4375" t="s">
        <v>77</v>
      </c>
    </row>
    <row r="4376" spans="1:5" x14ac:dyDescent="0.25">
      <c r="A4376" t="str">
        <f>HYPERLINK("https://www.773grp.com/globalSearch/1N5270CRL/page-1", "1N5270CRL")</f>
        <v>1N5270CRL</v>
      </c>
      <c r="B4376" s="3" t="str">
        <f>HYPERLINK("https://www.773grp.com/manufacturer/onsemi?pageNo=331", "Onsemi")</f>
        <v>Onsemi</v>
      </c>
      <c r="C4376" s="6">
        <v>5000</v>
      </c>
      <c r="D4376" s="7">
        <v>0.64</v>
      </c>
      <c r="E4376" t="s">
        <v>77</v>
      </c>
    </row>
    <row r="4377" spans="1:5" x14ac:dyDescent="0.25">
      <c r="A4377" t="str">
        <f>HYPERLINK("https://www.773grp.com/globalSearch/1N5273CRL/page-1", "1N5273CRL")</f>
        <v>1N5273CRL</v>
      </c>
      <c r="B4377" s="3" t="str">
        <f>HYPERLINK("https://www.773grp.com/manufacturer/onsemi?pageNo=332", "Onsemi")</f>
        <v>Onsemi</v>
      </c>
      <c r="C4377" s="6">
        <v>5000</v>
      </c>
      <c r="D4377" s="7">
        <v>0.64</v>
      </c>
      <c r="E4377" t="s">
        <v>77</v>
      </c>
    </row>
    <row r="4378" spans="1:5" x14ac:dyDescent="0.25">
      <c r="A4378" t="str">
        <f>HYPERLINK("https://www.773grp.com/globalSearch/1N5817/page-1", "1N5817")</f>
        <v>1N5817</v>
      </c>
      <c r="B4378" s="3" t="str">
        <f>HYPERLINK("https://www.773grp.com/manufacturer/onsemi?pageNo=333", "Onsemi")</f>
        <v>Onsemi</v>
      </c>
      <c r="C4378" s="6">
        <v>500</v>
      </c>
      <c r="D4378" s="7">
        <v>0.64</v>
      </c>
      <c r="E4378" t="s">
        <v>73</v>
      </c>
    </row>
    <row r="4379" spans="1:5" x14ac:dyDescent="0.25">
      <c r="A4379" t="str">
        <f>HYPERLINK("https://www.773grp.com/globalSearch/1SMA5913BT3G/page-1", "1SMA5913BT3G")</f>
        <v>1SMA5913BT3G</v>
      </c>
      <c r="B4379" s="3" t="str">
        <f>HYPERLINK("https://www.773grp.com/manufacturer/onsemi?pageNo=334", "Onsemi")</f>
        <v>Onsemi</v>
      </c>
      <c r="C4379" s="6">
        <v>29539</v>
      </c>
      <c r="D4379" s="7">
        <v>0.64</v>
      </c>
      <c r="E4379" t="s">
        <v>77</v>
      </c>
    </row>
    <row r="4380" spans="1:5" x14ac:dyDescent="0.25">
      <c r="A4380" t="str">
        <f>HYPERLINK("https://www.773grp.com/globalSearch/1SMA5914BT3G/page-1", "1SMA5914BT3G")</f>
        <v>1SMA5914BT3G</v>
      </c>
      <c r="B4380" s="3" t="str">
        <f>HYPERLINK("https://www.773grp.com/manufacturer/onsemi?pageNo=335", "Onsemi")</f>
        <v>Onsemi</v>
      </c>
      <c r="C4380" s="6">
        <v>65000</v>
      </c>
      <c r="D4380" s="7">
        <v>0.64</v>
      </c>
      <c r="E4380" t="s">
        <v>77</v>
      </c>
    </row>
    <row r="4381" spans="1:5" x14ac:dyDescent="0.25">
      <c r="A4381" t="str">
        <f>HYPERLINK("https://www.773grp.com/globalSearch/1SMA5916BT3G/page-1", "1SMA5916BT3G")</f>
        <v>1SMA5916BT3G</v>
      </c>
      <c r="B4381" s="3" t="str">
        <f>HYPERLINK("https://www.773grp.com/manufacturer/onsemi?pageNo=336", "Onsemi")</f>
        <v>Onsemi</v>
      </c>
      <c r="C4381" s="6">
        <v>15000</v>
      </c>
      <c r="D4381" s="7">
        <v>0.64</v>
      </c>
      <c r="E4381" t="s">
        <v>77</v>
      </c>
    </row>
    <row r="4382" spans="1:5" x14ac:dyDescent="0.25">
      <c r="A4382" t="str">
        <f>HYPERLINK("https://www.773grp.com/globalSearch/1SMA5917BT3G/page-1", "1SMA5917BT3G")</f>
        <v>1SMA5917BT3G</v>
      </c>
      <c r="B4382" s="3" t="str">
        <f>HYPERLINK("https://www.773grp.com/manufacturer/onsemi?pageNo=337", "Onsemi")</f>
        <v>Onsemi</v>
      </c>
      <c r="C4382" s="6">
        <v>53740</v>
      </c>
      <c r="D4382" s="7">
        <v>0.64</v>
      </c>
      <c r="E4382" t="s">
        <v>77</v>
      </c>
    </row>
    <row r="4383" spans="1:5" x14ac:dyDescent="0.25">
      <c r="A4383" t="str">
        <f>HYPERLINK("https://www.773grp.com/globalSearch/1SMA5921BT3G/page-1", "1SMA5921BT3G")</f>
        <v>1SMA5921BT3G</v>
      </c>
      <c r="B4383" s="3" t="str">
        <f>HYPERLINK("https://www.773grp.com/manufacturer/onsemi?pageNo=338", "Onsemi")</f>
        <v>Onsemi</v>
      </c>
      <c r="C4383" s="6">
        <v>82756</v>
      </c>
      <c r="D4383" s="7">
        <v>0.64</v>
      </c>
      <c r="E4383" t="s">
        <v>77</v>
      </c>
    </row>
    <row r="4384" spans="1:5" x14ac:dyDescent="0.25">
      <c r="A4384" t="str">
        <f>HYPERLINK("https://www.773grp.com/globalSearch/1SMA5922BT3G/page-1", "1SMA5922BT3G")</f>
        <v>1SMA5922BT3G</v>
      </c>
      <c r="B4384" s="3" t="str">
        <f>HYPERLINK("https://www.773grp.com/manufacturer/onsemi?pageNo=339", "Onsemi")</f>
        <v>Onsemi</v>
      </c>
      <c r="C4384" s="6">
        <v>40000</v>
      </c>
      <c r="D4384" s="7">
        <v>0.64</v>
      </c>
      <c r="E4384" t="s">
        <v>77</v>
      </c>
    </row>
    <row r="4385" spans="1:5" x14ac:dyDescent="0.25">
      <c r="A4385" t="str">
        <f>HYPERLINK("https://www.773grp.com/globalSearch/1SMA5924BT3G/page-1", "1SMA5924BT3G")</f>
        <v>1SMA5924BT3G</v>
      </c>
      <c r="B4385" s="3" t="str">
        <f>HYPERLINK("https://www.773grp.com/manufacturer/onsemi?pageNo=340", "Onsemi")</f>
        <v>Onsemi</v>
      </c>
      <c r="C4385" s="6">
        <v>274940</v>
      </c>
      <c r="D4385" s="7">
        <v>0.64</v>
      </c>
      <c r="E4385" t="s">
        <v>77</v>
      </c>
    </row>
    <row r="4386" spans="1:5" x14ac:dyDescent="0.25">
      <c r="A4386" t="str">
        <f>HYPERLINK("https://www.773grp.com/globalSearch/1SMA5925BT3G/page-1", "1SMA5925BT3G")</f>
        <v>1SMA5925BT3G</v>
      </c>
      <c r="B4386" s="3" t="str">
        <f>HYPERLINK("https://www.773grp.com/manufacturer/onsemi?pageNo=341", "Onsemi")</f>
        <v>Onsemi</v>
      </c>
      <c r="C4386" s="6">
        <v>57936</v>
      </c>
      <c r="D4386" s="7">
        <v>0.64</v>
      </c>
      <c r="E4386" t="s">
        <v>77</v>
      </c>
    </row>
    <row r="4387" spans="1:5" x14ac:dyDescent="0.25">
      <c r="A4387" t="str">
        <f>HYPERLINK("https://www.773grp.com/globalSearch/1SMA5926BT3G/page-1", "1SMA5926BT3G")</f>
        <v>1SMA5926BT3G</v>
      </c>
      <c r="B4387" s="3" t="str">
        <f>HYPERLINK("https://www.773grp.com/manufacturer/onsemi?pageNo=342", "Onsemi")</f>
        <v>Onsemi</v>
      </c>
      <c r="C4387" s="6">
        <v>5000</v>
      </c>
      <c r="D4387" s="7">
        <v>0.64</v>
      </c>
    </row>
    <row r="4388" spans="1:5" x14ac:dyDescent="0.25">
      <c r="A4388" t="str">
        <f>HYPERLINK("https://www.773grp.com/globalSearch/1SMA5927BT3G/page-1", "1SMA5927BT3G")</f>
        <v>1SMA5927BT3G</v>
      </c>
      <c r="B4388" s="3" t="str">
        <f>HYPERLINK("https://www.773grp.com/manufacturer/onsemi?pageNo=343", "Onsemi")</f>
        <v>Onsemi</v>
      </c>
      <c r="C4388" s="6">
        <v>178935</v>
      </c>
      <c r="D4388" s="7">
        <v>0.64</v>
      </c>
      <c r="E4388" t="s">
        <v>77</v>
      </c>
    </row>
    <row r="4389" spans="1:5" x14ac:dyDescent="0.25">
      <c r="A4389" t="str">
        <f>HYPERLINK("https://www.773grp.com/globalSearch/1SMA5928BT3G/page-1", "1SMA5928BT3G")</f>
        <v>1SMA5928BT3G</v>
      </c>
      <c r="B4389" s="3" t="str">
        <f>HYPERLINK("https://www.773grp.com/manufacturer/onsemi?pageNo=344", "Onsemi")</f>
        <v>Onsemi</v>
      </c>
      <c r="C4389" s="6">
        <v>16104</v>
      </c>
      <c r="D4389" s="7">
        <v>0.64</v>
      </c>
      <c r="E4389" t="s">
        <v>77</v>
      </c>
    </row>
    <row r="4390" spans="1:5" x14ac:dyDescent="0.25">
      <c r="A4390" t="str">
        <f>HYPERLINK("https://www.773grp.com/globalSearch/1SMA5929BT3G/page-1", "1SMA5929BT3G")</f>
        <v>1SMA5929BT3G</v>
      </c>
      <c r="B4390" s="3" t="str">
        <f>HYPERLINK("https://www.773grp.com/manufacturer/onsemi?pageNo=345", "Onsemi")</f>
        <v>Onsemi</v>
      </c>
      <c r="C4390" s="6">
        <v>215000</v>
      </c>
      <c r="D4390" s="7">
        <v>0.64</v>
      </c>
      <c r="E4390" t="s">
        <v>77</v>
      </c>
    </row>
    <row r="4391" spans="1:5" x14ac:dyDescent="0.25">
      <c r="A4391" t="str">
        <f>HYPERLINK("https://www.773grp.com/globalSearch/1SMA5930BT3G/page-1", "1SMA5930BT3G")</f>
        <v>1SMA5930BT3G</v>
      </c>
      <c r="B4391" s="3" t="str">
        <f>HYPERLINK("https://www.773grp.com/manufacturer/onsemi?pageNo=346", "Onsemi")</f>
        <v>Onsemi</v>
      </c>
      <c r="C4391" s="6">
        <v>115000</v>
      </c>
      <c r="D4391" s="7">
        <v>0.64</v>
      </c>
      <c r="E4391" t="s">
        <v>77</v>
      </c>
    </row>
    <row r="4392" spans="1:5" x14ac:dyDescent="0.25">
      <c r="A4392" t="str">
        <f>HYPERLINK("https://www.773grp.com/globalSearch/1SMA5931BT3G/page-1", "1SMA5931BT3G")</f>
        <v>1SMA5931BT3G</v>
      </c>
      <c r="B4392" s="3" t="str">
        <f>HYPERLINK("https://www.773grp.com/manufacturer/onsemi?pageNo=347", "Onsemi")</f>
        <v>Onsemi</v>
      </c>
      <c r="C4392" s="6">
        <v>66845</v>
      </c>
      <c r="D4392" s="7">
        <v>0.64</v>
      </c>
      <c r="E4392" t="s">
        <v>77</v>
      </c>
    </row>
    <row r="4393" spans="1:5" x14ac:dyDescent="0.25">
      <c r="A4393" t="str">
        <f>HYPERLINK("https://www.773grp.com/globalSearch/1SMA5932BT3G/page-1", "1SMA5932BT3G")</f>
        <v>1SMA5932BT3G</v>
      </c>
      <c r="B4393" s="3" t="str">
        <f>HYPERLINK("https://www.773grp.com/manufacturer/onsemi?pageNo=348", "Onsemi")</f>
        <v>Onsemi</v>
      </c>
      <c r="C4393" s="6">
        <v>129296</v>
      </c>
      <c r="D4393" s="7">
        <v>0.64</v>
      </c>
      <c r="E4393" t="s">
        <v>77</v>
      </c>
    </row>
    <row r="4394" spans="1:5" x14ac:dyDescent="0.25">
      <c r="A4394" t="str">
        <f>HYPERLINK("https://www.773grp.com/globalSearch/1SMA5933BT3G/page-1", "1SMA5933BT3G")</f>
        <v>1SMA5933BT3G</v>
      </c>
      <c r="B4394" s="3" t="str">
        <f>HYPERLINK("https://www.773grp.com/manufacturer/onsemi?pageNo=349", "Onsemi")</f>
        <v>Onsemi</v>
      </c>
      <c r="C4394" s="6">
        <v>18359</v>
      </c>
      <c r="D4394" s="7">
        <v>0.64</v>
      </c>
      <c r="E4394" t="s">
        <v>77</v>
      </c>
    </row>
    <row r="4395" spans="1:5" x14ac:dyDescent="0.25">
      <c r="A4395" t="str">
        <f>HYPERLINK("https://www.773grp.com/globalSearch/1SMA5934BT3G/page-1", "1SMA5934BT3G")</f>
        <v>1SMA5934BT3G</v>
      </c>
      <c r="B4395" s="3" t="str">
        <f>HYPERLINK("https://www.773grp.com/manufacturer/onsemi?pageNo=350", "Onsemi")</f>
        <v>Onsemi</v>
      </c>
      <c r="C4395" s="6">
        <v>34306</v>
      </c>
      <c r="D4395" s="7">
        <v>0.64</v>
      </c>
      <c r="E4395" t="s">
        <v>77</v>
      </c>
    </row>
    <row r="4396" spans="1:5" x14ac:dyDescent="0.25">
      <c r="A4396" t="str">
        <f>HYPERLINK("https://www.773grp.com/globalSearch/1SMA5935BT3G/page-1", "1SMA5935BT3G")</f>
        <v>1SMA5935BT3G</v>
      </c>
      <c r="B4396" s="3" t="str">
        <f>HYPERLINK("https://www.773grp.com/manufacturer/onsemi?pageNo=351", "Onsemi")</f>
        <v>Onsemi</v>
      </c>
      <c r="C4396" s="6">
        <v>20000</v>
      </c>
      <c r="D4396" s="7">
        <v>0.64</v>
      </c>
    </row>
    <row r="4397" spans="1:5" x14ac:dyDescent="0.25">
      <c r="A4397" t="str">
        <f>HYPERLINK("https://www.773grp.com/globalSearch/1SMA5936BT3G/page-1", "1SMA5936BT3G")</f>
        <v>1SMA5936BT3G</v>
      </c>
      <c r="B4397" s="3" t="str">
        <f>HYPERLINK("https://www.773grp.com/manufacturer/onsemi?pageNo=352", "Onsemi")</f>
        <v>Onsemi</v>
      </c>
      <c r="C4397" s="6">
        <v>5000</v>
      </c>
      <c r="D4397" s="7">
        <v>0.64</v>
      </c>
    </row>
    <row r="4398" spans="1:5" x14ac:dyDescent="0.25">
      <c r="A4398" t="str">
        <f>HYPERLINK("https://www.773grp.com/globalSearch/1SMA5937BT3G/page-1", "1SMA5937BT3G")</f>
        <v>1SMA5937BT3G</v>
      </c>
      <c r="B4398" s="3" t="str">
        <f>HYPERLINK("https://www.773grp.com/manufacturer/onsemi?pageNo=353", "Onsemi")</f>
        <v>Onsemi</v>
      </c>
      <c r="C4398" s="6">
        <v>10000</v>
      </c>
      <c r="D4398" s="7">
        <v>0.64</v>
      </c>
    </row>
    <row r="4399" spans="1:5" x14ac:dyDescent="0.25">
      <c r="A4399" t="str">
        <f>HYPERLINK("https://www.773grp.com/globalSearch/1SMA5939BT3G/page-1", "1SMA5939BT3G")</f>
        <v>1SMA5939BT3G</v>
      </c>
      <c r="B4399" s="3" t="str">
        <f>HYPERLINK("https://www.773grp.com/manufacturer/onsemi?pageNo=354", "Onsemi")</f>
        <v>Onsemi</v>
      </c>
      <c r="C4399" s="6">
        <v>12300</v>
      </c>
      <c r="D4399" s="7">
        <v>0.64</v>
      </c>
      <c r="E4399" t="s">
        <v>77</v>
      </c>
    </row>
    <row r="4400" spans="1:5" x14ac:dyDescent="0.25">
      <c r="A4400" t="str">
        <f>HYPERLINK("https://www.773grp.com/globalSearch/1SMA5940BT3G/page-1", "1SMA5940BT3G")</f>
        <v>1SMA5940BT3G</v>
      </c>
      <c r="B4400" s="3" t="str">
        <f>HYPERLINK("https://www.773grp.com/manufacturer/onsemi?pageNo=355", "Onsemi")</f>
        <v>Onsemi</v>
      </c>
      <c r="C4400" s="6">
        <v>15000</v>
      </c>
      <c r="D4400" s="7">
        <v>0.64</v>
      </c>
      <c r="E4400" t="s">
        <v>77</v>
      </c>
    </row>
    <row r="4401" spans="1:5" x14ac:dyDescent="0.25">
      <c r="A4401" t="str">
        <f>HYPERLINK("https://www.773grp.com/globalSearch/1SMA5941BT3G/page-1", "1SMA5941BT3G")</f>
        <v>1SMA5941BT3G</v>
      </c>
      <c r="B4401" s="3" t="str">
        <f>HYPERLINK("https://www.773grp.com/manufacturer/onsemi?pageNo=356", "Onsemi")</f>
        <v>Onsemi</v>
      </c>
      <c r="C4401" s="6">
        <v>77642</v>
      </c>
      <c r="D4401" s="7">
        <v>0.64</v>
      </c>
      <c r="E4401" t="s">
        <v>77</v>
      </c>
    </row>
    <row r="4402" spans="1:5" x14ac:dyDescent="0.25">
      <c r="A4402" t="str">
        <f>HYPERLINK("https://www.773grp.com/globalSearch/1SMA5942BT3G/page-1", "1SMA5942BT3G")</f>
        <v>1SMA5942BT3G</v>
      </c>
      <c r="B4402" s="3" t="str">
        <f>HYPERLINK("https://www.773grp.com/manufacturer/onsemi?pageNo=357", "Onsemi")</f>
        <v>Onsemi</v>
      </c>
      <c r="C4402" s="6">
        <v>5163</v>
      </c>
      <c r="D4402" s="7">
        <v>0.64</v>
      </c>
      <c r="E4402" t="s">
        <v>77</v>
      </c>
    </row>
    <row r="4403" spans="1:5" x14ac:dyDescent="0.25">
      <c r="A4403" t="str">
        <f>HYPERLINK("https://www.773grp.com/globalSearch/1SMA5943BT3G/page-1", "1SMA5943BT3G")</f>
        <v>1SMA5943BT3G</v>
      </c>
      <c r="B4403" s="3" t="str">
        <f>HYPERLINK("https://www.773grp.com/manufacturer/onsemi?pageNo=358", "Onsemi")</f>
        <v>Onsemi</v>
      </c>
      <c r="C4403" s="6">
        <v>39965</v>
      </c>
      <c r="D4403" s="7">
        <v>0.64</v>
      </c>
      <c r="E4403" t="s">
        <v>77</v>
      </c>
    </row>
    <row r="4404" spans="1:5" x14ac:dyDescent="0.25">
      <c r="A4404" t="str">
        <f>HYPERLINK("https://www.773grp.com/globalSearch/1SMA5945BT3G/page-1", "1SMA5945BT3G")</f>
        <v>1SMA5945BT3G</v>
      </c>
      <c r="B4404" s="3" t="str">
        <f>HYPERLINK("https://www.773grp.com/manufacturer/onsemi?pageNo=359", "Onsemi")</f>
        <v>Onsemi</v>
      </c>
      <c r="C4404" s="6">
        <v>1010</v>
      </c>
      <c r="D4404" s="7">
        <v>0.64</v>
      </c>
      <c r="E4404" t="s">
        <v>77</v>
      </c>
    </row>
    <row r="4405" spans="1:5" x14ac:dyDescent="0.25">
      <c r="A4405" t="str">
        <f>HYPERLINK("https://www.773grp.com/globalSearch/1SMB10AT3G/page-1", "1SMB10AT3G")</f>
        <v>1SMB10AT3G</v>
      </c>
      <c r="B4405" s="3" t="str">
        <f>HYPERLINK("https://www.773grp.com/manufacturer/onsemi?pageNo=360", "Onsemi")</f>
        <v>Onsemi</v>
      </c>
      <c r="C4405" s="6">
        <v>60000</v>
      </c>
      <c r="D4405" s="7">
        <v>0.64</v>
      </c>
      <c r="E4405" t="s">
        <v>75</v>
      </c>
    </row>
    <row r="4406" spans="1:5" x14ac:dyDescent="0.25">
      <c r="A4406" t="str">
        <f>HYPERLINK("https://www.773grp.com/globalSearch/1SMB12AT3G/page-1", "1SMB12AT3G")</f>
        <v>1SMB12AT3G</v>
      </c>
      <c r="B4406" s="3" t="str">
        <f>HYPERLINK("https://www.773grp.com/manufacturer/onsemi?pageNo=361", "Onsemi")</f>
        <v>Onsemi</v>
      </c>
      <c r="C4406" s="6">
        <v>64800</v>
      </c>
      <c r="D4406" s="7">
        <v>0.64</v>
      </c>
      <c r="E4406" t="s">
        <v>75</v>
      </c>
    </row>
    <row r="4407" spans="1:5" x14ac:dyDescent="0.25">
      <c r="A4407" t="str">
        <f>HYPERLINK("https://www.773grp.com/globalSearch/1SMB13AT3G/page-1", "1SMB13AT3G")</f>
        <v>1SMB13AT3G</v>
      </c>
      <c r="B4407" s="3" t="str">
        <f>HYPERLINK("https://www.773grp.com/manufacturer/onsemi?pageNo=362", "Onsemi")</f>
        <v>Onsemi</v>
      </c>
      <c r="C4407" s="6">
        <v>130275</v>
      </c>
      <c r="D4407" s="7">
        <v>0.64</v>
      </c>
      <c r="E4407" t="s">
        <v>75</v>
      </c>
    </row>
    <row r="4408" spans="1:5" x14ac:dyDescent="0.25">
      <c r="A4408" t="str">
        <f>HYPERLINK("https://www.773grp.com/globalSearch/1SMB14AT3G/page-1", "1SMB14AT3G")</f>
        <v>1SMB14AT3G</v>
      </c>
      <c r="B4408" s="3" t="str">
        <f>HYPERLINK("https://www.773grp.com/manufacturer/onsemi?pageNo=363", "Onsemi")</f>
        <v>Onsemi</v>
      </c>
      <c r="C4408" s="6">
        <v>490</v>
      </c>
      <c r="D4408" s="7">
        <v>0.64</v>
      </c>
      <c r="E4408" t="s">
        <v>75</v>
      </c>
    </row>
    <row r="4409" spans="1:5" x14ac:dyDescent="0.25">
      <c r="A4409" t="str">
        <f>HYPERLINK("https://www.773grp.com/globalSearch/1SMB16AT3G/page-1", "1SMB16AT3G")</f>
        <v>1SMB16AT3G</v>
      </c>
      <c r="B4409" s="3" t="str">
        <f>HYPERLINK("https://www.773grp.com/manufacturer/onsemi?pageNo=364", "Onsemi")</f>
        <v>Onsemi</v>
      </c>
      <c r="C4409" s="6">
        <v>814801</v>
      </c>
      <c r="D4409" s="7">
        <v>0.64</v>
      </c>
      <c r="E4409" t="s">
        <v>75</v>
      </c>
    </row>
    <row r="4410" spans="1:5" x14ac:dyDescent="0.25">
      <c r="A4410" t="str">
        <f>HYPERLINK("https://www.773grp.com/globalSearch/1SMB18AT3G/page-1", "1SMB18AT3G")</f>
        <v>1SMB18AT3G</v>
      </c>
      <c r="B4410" s="3" t="str">
        <f>HYPERLINK("https://www.773grp.com/manufacturer/onsemi?pageNo=365", "Onsemi")</f>
        <v>Onsemi</v>
      </c>
      <c r="C4410" s="6">
        <v>148300</v>
      </c>
      <c r="D4410" s="7">
        <v>0.64</v>
      </c>
      <c r="E4410" t="s">
        <v>75</v>
      </c>
    </row>
    <row r="4411" spans="1:5" x14ac:dyDescent="0.25">
      <c r="A4411" t="str">
        <f>HYPERLINK("https://www.773grp.com/globalSearch/1SMB20AT3G/page-1", "1SMB20AT3G")</f>
        <v>1SMB20AT3G</v>
      </c>
      <c r="B4411" s="3" t="str">
        <f>HYPERLINK("https://www.773grp.com/manufacturer/onsemi?pageNo=366", "Onsemi")</f>
        <v>Onsemi</v>
      </c>
      <c r="C4411" s="6">
        <v>505216</v>
      </c>
      <c r="D4411" s="7">
        <v>0.64</v>
      </c>
      <c r="E4411" t="s">
        <v>75</v>
      </c>
    </row>
    <row r="4412" spans="1:5" x14ac:dyDescent="0.25">
      <c r="A4412" t="str">
        <f>HYPERLINK("https://www.773grp.com/globalSearch/1SMB22AT3G/page-1", "1SMB22AT3G")</f>
        <v>1SMB22AT3G</v>
      </c>
      <c r="B4412" s="3" t="str">
        <f>HYPERLINK("https://www.773grp.com/manufacturer/onsemi?pageNo=367", "Onsemi")</f>
        <v>Onsemi</v>
      </c>
      <c r="C4412" s="6">
        <v>24710</v>
      </c>
      <c r="D4412" s="7">
        <v>0.64</v>
      </c>
      <c r="E4412" t="s">
        <v>75</v>
      </c>
    </row>
    <row r="4413" spans="1:5" x14ac:dyDescent="0.25">
      <c r="A4413" t="str">
        <f>HYPERLINK("https://www.773grp.com/globalSearch/1SMB24AT3G/page-1", "1SMB24AT3G")</f>
        <v>1SMB24AT3G</v>
      </c>
      <c r="B4413" s="3" t="str">
        <f>HYPERLINK("https://www.773grp.com/manufacturer/onsemi?pageNo=368", "Onsemi")</f>
        <v>Onsemi</v>
      </c>
      <c r="C4413" s="6">
        <v>35586</v>
      </c>
      <c r="D4413" s="7">
        <v>0.64</v>
      </c>
      <c r="E4413" t="s">
        <v>75</v>
      </c>
    </row>
    <row r="4414" spans="1:5" x14ac:dyDescent="0.25">
      <c r="A4414" t="str">
        <f>HYPERLINK("https://www.773grp.com/globalSearch/1SMB26AT3G/page-1", "1SMB26AT3G")</f>
        <v>1SMB26AT3G</v>
      </c>
      <c r="B4414" s="3" t="str">
        <f>HYPERLINK("https://www.773grp.com/manufacturer/onsemi?pageNo=369", "Onsemi")</f>
        <v>Onsemi</v>
      </c>
      <c r="C4414" s="6">
        <v>32500</v>
      </c>
      <c r="D4414" s="7">
        <v>0.64</v>
      </c>
      <c r="E4414" t="s">
        <v>75</v>
      </c>
    </row>
    <row r="4415" spans="1:5" x14ac:dyDescent="0.25">
      <c r="A4415" t="str">
        <f>HYPERLINK("https://www.773grp.com/globalSearch/1SMB28AT3G/page-1", "1SMB28AT3G")</f>
        <v>1SMB28AT3G</v>
      </c>
      <c r="B4415" s="3" t="str">
        <f>HYPERLINK("https://www.773grp.com/manufacturer/onsemi?pageNo=370", "Onsemi")</f>
        <v>Onsemi</v>
      </c>
      <c r="C4415" s="6">
        <v>96940</v>
      </c>
      <c r="D4415" s="7">
        <v>0.64</v>
      </c>
      <c r="E4415" t="s">
        <v>75</v>
      </c>
    </row>
    <row r="4416" spans="1:5" x14ac:dyDescent="0.25">
      <c r="A4416" t="str">
        <f>HYPERLINK("https://www.773grp.com/globalSearch/1SMB30AT3G/page-1", "1SMB30AT3G")</f>
        <v>1SMB30AT3G</v>
      </c>
      <c r="B4416" s="3" t="str">
        <f>HYPERLINK("https://www.773grp.com/manufacturer/onsemi?pageNo=371", "Onsemi")</f>
        <v>Onsemi</v>
      </c>
      <c r="C4416" s="6">
        <v>9140</v>
      </c>
      <c r="D4416" s="7">
        <v>0.64</v>
      </c>
      <c r="E4416" t="s">
        <v>75</v>
      </c>
    </row>
    <row r="4417" spans="1:5" x14ac:dyDescent="0.25">
      <c r="A4417" t="str">
        <f>HYPERLINK("https://www.773grp.com/globalSearch/1SMB33AT3G/page-1", "1SMB33AT3G")</f>
        <v>1SMB33AT3G</v>
      </c>
      <c r="B4417" s="3" t="str">
        <f>HYPERLINK("https://www.773grp.com/manufacturer/onsemi?pageNo=372", "Onsemi")</f>
        <v>Onsemi</v>
      </c>
      <c r="C4417" s="6">
        <v>17500</v>
      </c>
      <c r="D4417" s="7">
        <v>0.64</v>
      </c>
      <c r="E4417" t="s">
        <v>75</v>
      </c>
    </row>
    <row r="4418" spans="1:5" x14ac:dyDescent="0.25">
      <c r="A4418" t="str">
        <f>HYPERLINK("https://www.773grp.com/globalSearch/1SMB36AT3G/page-1", "1SMB36AT3G")</f>
        <v>1SMB36AT3G</v>
      </c>
      <c r="B4418" s="3" t="str">
        <f>HYPERLINK("https://www.773grp.com/manufacturer/onsemi?pageNo=373", "Onsemi")</f>
        <v>Onsemi</v>
      </c>
      <c r="C4418" s="6">
        <v>102484</v>
      </c>
      <c r="D4418" s="7">
        <v>0.64</v>
      </c>
    </row>
    <row r="4419" spans="1:5" x14ac:dyDescent="0.25">
      <c r="A4419" t="str">
        <f>HYPERLINK("https://www.773grp.com/globalSearch/1SMB40AT3G/page-1", "1SMB40AT3G")</f>
        <v>1SMB40AT3G</v>
      </c>
      <c r="B4419" s="3" t="str">
        <f>HYPERLINK("https://www.773grp.com/manufacturer/onsemi?pageNo=374", "Onsemi")</f>
        <v>Onsemi</v>
      </c>
      <c r="C4419" s="6">
        <v>32500</v>
      </c>
      <c r="D4419" s="7">
        <v>0.64</v>
      </c>
    </row>
    <row r="4420" spans="1:5" x14ac:dyDescent="0.25">
      <c r="A4420" t="str">
        <f>HYPERLINK("https://www.773grp.com/globalSearch/1SMB5.0AT3G/page-1", "1SMB5.0AT3G")</f>
        <v>1SMB5.0AT3G</v>
      </c>
      <c r="B4420" s="3" t="str">
        <f>HYPERLINK("https://www.773grp.com/manufacturer/onsemi?pageNo=375", "Onsemi")</f>
        <v>Onsemi</v>
      </c>
      <c r="C4420" s="6">
        <v>14913</v>
      </c>
      <c r="D4420" s="7">
        <v>0.64</v>
      </c>
      <c r="E4420" t="s">
        <v>75</v>
      </c>
    </row>
    <row r="4421" spans="1:5" x14ac:dyDescent="0.25">
      <c r="A4421" t="str">
        <f>HYPERLINK("https://www.773grp.com/globalSearch/1SMB54AT3G/page-1", "1SMB54AT3G")</f>
        <v>1SMB54AT3G</v>
      </c>
      <c r="B4421" s="3" t="str">
        <f>HYPERLINK("https://www.773grp.com/manufacturer/onsemi?pageNo=376", "Onsemi")</f>
        <v>Onsemi</v>
      </c>
      <c r="C4421" s="6">
        <v>50000</v>
      </c>
      <c r="D4421" s="7">
        <v>0.64</v>
      </c>
      <c r="E4421" t="s">
        <v>75</v>
      </c>
    </row>
    <row r="4422" spans="1:5" x14ac:dyDescent="0.25">
      <c r="A4422" t="str">
        <f>HYPERLINK("https://www.773grp.com/globalSearch/1SMB58AT3G/page-1", "1SMB58AT3G")</f>
        <v>1SMB58AT3G</v>
      </c>
      <c r="B4422" s="3" t="str">
        <f>HYPERLINK("https://www.773grp.com/manufacturer/onsemi?pageNo=377", "Onsemi")</f>
        <v>Onsemi</v>
      </c>
      <c r="C4422" s="6">
        <v>1723</v>
      </c>
      <c r="D4422" s="7">
        <v>0.64</v>
      </c>
      <c r="E4422" t="s">
        <v>75</v>
      </c>
    </row>
    <row r="4423" spans="1:5" x14ac:dyDescent="0.25">
      <c r="A4423" t="str">
        <f>HYPERLINK("https://www.773grp.com/globalSearch/1SMB6.0AT3G/page-1", "1SMB6.0AT3G")</f>
        <v>1SMB6.0AT3G</v>
      </c>
      <c r="B4423" s="3" t="str">
        <f>HYPERLINK("https://www.773grp.com/manufacturer/onsemi?pageNo=378", "Onsemi")</f>
        <v>Onsemi</v>
      </c>
      <c r="C4423" s="6">
        <v>30900</v>
      </c>
      <c r="D4423" s="7">
        <v>0.64</v>
      </c>
      <c r="E4423" t="s">
        <v>75</v>
      </c>
    </row>
    <row r="4424" spans="1:5" x14ac:dyDescent="0.25">
      <c r="A4424" t="str">
        <f>HYPERLINK("https://www.773grp.com/globalSearch/1SMB7.5AT3G/page-1", "1SMB7.5AT3G")</f>
        <v>1SMB7.5AT3G</v>
      </c>
      <c r="B4424" s="3" t="str">
        <f>HYPERLINK("https://www.773grp.com/manufacturer/onsemi?pageNo=379", "Onsemi")</f>
        <v>Onsemi</v>
      </c>
      <c r="C4424" s="6">
        <v>5000</v>
      </c>
      <c r="D4424" s="7">
        <v>0.64</v>
      </c>
    </row>
    <row r="4425" spans="1:5" x14ac:dyDescent="0.25">
      <c r="A4425" t="str">
        <f>HYPERLINK("https://www.773grp.com/globalSearch/1SMB70AT3G/page-1", "1SMB70AT3G")</f>
        <v>1SMB70AT3G</v>
      </c>
      <c r="B4425" s="3" t="str">
        <f>HYPERLINK("https://www.773grp.com/manufacturer/onsemi?pageNo=380", "Onsemi")</f>
        <v>Onsemi</v>
      </c>
      <c r="C4425" s="6">
        <v>232500</v>
      </c>
      <c r="D4425" s="7">
        <v>0.64</v>
      </c>
      <c r="E4425" t="s">
        <v>75</v>
      </c>
    </row>
    <row r="4426" spans="1:5" x14ac:dyDescent="0.25">
      <c r="A4426" t="str">
        <f>HYPERLINK("https://www.773grp.com/globalSearch/1SMSC10AT3/page-1", "1SMSC10AT3")</f>
        <v>1SMSC10AT3</v>
      </c>
      <c r="B4426" s="3" t="str">
        <f>HYPERLINK("https://www.773grp.com/manufacturer/onsemi?pageNo=381", "Onsemi")</f>
        <v>Onsemi</v>
      </c>
      <c r="C4426" s="6">
        <v>988</v>
      </c>
      <c r="D4426" s="7">
        <v>0.64</v>
      </c>
      <c r="E4426" t="s">
        <v>75</v>
      </c>
    </row>
    <row r="4427" spans="1:5" x14ac:dyDescent="0.25">
      <c r="A4427" t="str">
        <f>HYPERLINK("https://www.773grp.com/globalSearch/1SMSC13AT3/page-1", "1SMSC13AT3")</f>
        <v>1SMSC13AT3</v>
      </c>
      <c r="B4427" s="3" t="str">
        <f>HYPERLINK("https://www.773grp.com/manufacturer/onsemi?pageNo=382", "Onsemi")</f>
        <v>Onsemi</v>
      </c>
      <c r="C4427" s="6">
        <v>414</v>
      </c>
      <c r="D4427" s="7">
        <v>0.64</v>
      </c>
      <c r="E4427" t="s">
        <v>75</v>
      </c>
    </row>
    <row r="4428" spans="1:5" x14ac:dyDescent="0.25">
      <c r="A4428" t="str">
        <f>HYPERLINK("https://www.773grp.com/globalSearch/1SMSC18AT3/page-1", "1SMSC18AT3")</f>
        <v>1SMSC18AT3</v>
      </c>
      <c r="B4428" s="3" t="str">
        <f>HYPERLINK("https://www.773grp.com/manufacturer/onsemi?pageNo=383", "Onsemi")</f>
        <v>Onsemi</v>
      </c>
      <c r="C4428" s="6">
        <v>12500</v>
      </c>
      <c r="D4428" s="7">
        <v>0.64</v>
      </c>
      <c r="E4428" t="s">
        <v>75</v>
      </c>
    </row>
    <row r="4429" spans="1:5" x14ac:dyDescent="0.25">
      <c r="A4429" t="str">
        <f>HYPERLINK("https://www.773grp.com/globalSearch/1SMSC58AT3/page-1", "1SMSC58AT3")</f>
        <v>1SMSC58AT3</v>
      </c>
      <c r="B4429" s="3" t="str">
        <f>HYPERLINK("https://www.773grp.com/manufacturer/onsemi?pageNo=384", "Onsemi")</f>
        <v>Onsemi</v>
      </c>
      <c r="C4429" s="6">
        <v>12000</v>
      </c>
      <c r="D4429" s="7">
        <v>0.64</v>
      </c>
      <c r="E4429" t="s">
        <v>75</v>
      </c>
    </row>
    <row r="4430" spans="1:5" x14ac:dyDescent="0.25">
      <c r="A4430" t="str">
        <f>HYPERLINK("https://www.773grp.com/globalSearch/1SMSC70AT3/page-1", "1SMSC70AT3")</f>
        <v>1SMSC70AT3</v>
      </c>
      <c r="B4430" s="3" t="str">
        <f>HYPERLINK("https://www.773grp.com/manufacturer/onsemi?pageNo=385", "Onsemi")</f>
        <v>Onsemi</v>
      </c>
      <c r="C4430" s="6">
        <v>2373</v>
      </c>
      <c r="D4430" s="7">
        <v>0.64</v>
      </c>
      <c r="E4430" t="s">
        <v>75</v>
      </c>
    </row>
    <row r="4431" spans="1:5" x14ac:dyDescent="0.25">
      <c r="A4431" t="str">
        <f>HYPERLINK("https://www.773grp.com/globalSearch/2N5060G/page-1", "2N5060G")</f>
        <v>2N5060G</v>
      </c>
      <c r="B4431" s="3" t="str">
        <f>HYPERLINK("https://www.773grp.com/manufacturer/onsemi?pageNo=386", "Onsemi")</f>
        <v>Onsemi</v>
      </c>
      <c r="C4431" s="6">
        <v>7080</v>
      </c>
      <c r="D4431" s="7">
        <v>0.64</v>
      </c>
    </row>
    <row r="4432" spans="1:5" x14ac:dyDescent="0.25">
      <c r="A4432" t="str">
        <f>HYPERLINK("https://www.773grp.com/globalSearch/2N5060RLRAG/page-1", "2N5060RLRAG")</f>
        <v>2N5060RLRAG</v>
      </c>
      <c r="B4432" s="3" t="str">
        <f>HYPERLINK("https://www.773grp.com/manufacturer/onsemi?pageNo=387", "Onsemi")</f>
        <v>Onsemi</v>
      </c>
      <c r="C4432" s="6">
        <v>136000</v>
      </c>
      <c r="D4432" s="7">
        <v>0.64</v>
      </c>
      <c r="E4432" t="s">
        <v>76</v>
      </c>
    </row>
    <row r="4433" spans="1:5" x14ac:dyDescent="0.25">
      <c r="A4433" t="str">
        <f>HYPERLINK("https://www.773grp.com/globalSearch/2N5060RLRMG/page-1", "2N5060RLRMG")</f>
        <v>2N5060RLRMG</v>
      </c>
      <c r="B4433" s="3" t="str">
        <f>HYPERLINK("https://www.773grp.com/manufacturer/onsemi?pageNo=388", "Onsemi")</f>
        <v>Onsemi</v>
      </c>
      <c r="C4433" s="6">
        <v>4000</v>
      </c>
      <c r="D4433" s="7">
        <v>0.64</v>
      </c>
    </row>
    <row r="4434" spans="1:5" x14ac:dyDescent="0.25">
      <c r="A4434" t="str">
        <f>HYPERLINK("https://www.773grp.com/globalSearch/2N5061G/page-1", "2N5061G")</f>
        <v>2N5061G</v>
      </c>
      <c r="B4434" s="3" t="str">
        <f>HYPERLINK("https://www.773grp.com/manufacturer/onsemi?pageNo=389", "Onsemi")</f>
        <v>Onsemi</v>
      </c>
      <c r="C4434" s="6">
        <v>29603</v>
      </c>
      <c r="D4434" s="7">
        <v>0.64</v>
      </c>
      <c r="E4434" t="s">
        <v>76</v>
      </c>
    </row>
    <row r="4435" spans="1:5" x14ac:dyDescent="0.25">
      <c r="A4435" t="str">
        <f>HYPERLINK("https://www.773grp.com/globalSearch/2N5061RLRAG/page-1", "2N5061RLRAG")</f>
        <v>2N5061RLRAG</v>
      </c>
      <c r="B4435" s="3" t="str">
        <f>HYPERLINK("https://www.773grp.com/manufacturer/onsemi?pageNo=390", "Onsemi")</f>
        <v>Onsemi</v>
      </c>
      <c r="C4435" s="6">
        <v>44233</v>
      </c>
      <c r="D4435" s="7">
        <v>0.64</v>
      </c>
      <c r="E4435" t="s">
        <v>76</v>
      </c>
    </row>
    <row r="4436" spans="1:5" x14ac:dyDescent="0.25">
      <c r="A4436" t="str">
        <f>HYPERLINK("https://www.773grp.com/globalSearch/2N5062G/page-1", "2N5062G")</f>
        <v>2N5062G</v>
      </c>
      <c r="B4436" s="3" t="str">
        <f>HYPERLINK("https://www.773grp.com/manufacturer/onsemi?pageNo=391", "Onsemi")</f>
        <v>Onsemi</v>
      </c>
      <c r="C4436" s="6">
        <v>20883</v>
      </c>
      <c r="D4436" s="7">
        <v>0.64</v>
      </c>
      <c r="E4436" t="s">
        <v>76</v>
      </c>
    </row>
    <row r="4437" spans="1:5" x14ac:dyDescent="0.25">
      <c r="A4437" t="str">
        <f>HYPERLINK("https://www.773grp.com/globalSearch/2N5062RLRAG/page-1", "2N5062RLRAG")</f>
        <v>2N5062RLRAG</v>
      </c>
      <c r="B4437" s="3" t="str">
        <f>HYPERLINK("https://www.773grp.com/manufacturer/onsemi?pageNo=392", "Onsemi")</f>
        <v>Onsemi</v>
      </c>
      <c r="C4437" s="6">
        <v>16000</v>
      </c>
      <c r="D4437" s="7">
        <v>0.64</v>
      </c>
      <c r="E4437" t="s">
        <v>76</v>
      </c>
    </row>
    <row r="4438" spans="1:5" x14ac:dyDescent="0.25">
      <c r="A4438" t="str">
        <f>HYPERLINK("https://www.773grp.com/globalSearch/2N5064G/page-1", "2N5064G")</f>
        <v>2N5064G</v>
      </c>
      <c r="B4438" s="3" t="str">
        <f>HYPERLINK("https://www.773grp.com/manufacturer/onsemi?pageNo=393", "Onsemi")</f>
        <v>Onsemi</v>
      </c>
      <c r="C4438" s="6">
        <v>83997</v>
      </c>
      <c r="D4438" s="7">
        <v>0.64</v>
      </c>
      <c r="E4438" t="s">
        <v>76</v>
      </c>
    </row>
    <row r="4439" spans="1:5" x14ac:dyDescent="0.25">
      <c r="A4439" t="str">
        <f>HYPERLINK("https://www.773grp.com/globalSearch/2N5064RLRAG/page-1", "2N5064RLRAG")</f>
        <v>2N5064RLRAG</v>
      </c>
      <c r="B4439" s="3" t="str">
        <f>HYPERLINK("https://www.773grp.com/manufacturer/onsemi?pageNo=394", "Onsemi")</f>
        <v>Onsemi</v>
      </c>
      <c r="C4439" s="6">
        <v>3085</v>
      </c>
      <c r="D4439" s="7">
        <v>0.64</v>
      </c>
    </row>
    <row r="4440" spans="1:5" x14ac:dyDescent="0.25">
      <c r="A4440" t="str">
        <f>HYPERLINK("https://www.773grp.com/globalSearch/2N6027G/page-1", "2N6027G")</f>
        <v>2N6027G</v>
      </c>
      <c r="B4440" s="3" t="str">
        <f>HYPERLINK("https://www.773grp.com/manufacturer/onsemi?pageNo=395", "Onsemi")</f>
        <v>Onsemi</v>
      </c>
      <c r="C4440" s="6">
        <v>5000</v>
      </c>
      <c r="D4440" s="7">
        <v>0.64</v>
      </c>
    </row>
    <row r="4441" spans="1:5" x14ac:dyDescent="0.25">
      <c r="A4441" t="str">
        <f>HYPERLINK("https://www.773grp.com/globalSearch/2N6027RL1G/page-1", "2N6027RL1G")</f>
        <v>2N6027RL1G</v>
      </c>
      <c r="B4441" s="3" t="str">
        <f>HYPERLINK("https://www.773grp.com/manufacturer/onsemi?pageNo=396", "Onsemi")</f>
        <v>Onsemi</v>
      </c>
      <c r="C4441" s="6">
        <v>5889</v>
      </c>
      <c r="D4441" s="7">
        <v>0.64</v>
      </c>
      <c r="E4441" t="s">
        <v>92</v>
      </c>
    </row>
    <row r="4442" spans="1:5" x14ac:dyDescent="0.25">
      <c r="A4442" t="str">
        <f>HYPERLINK("https://www.773grp.com/globalSearch/2N6028G/page-1", "2N6028G")</f>
        <v>2N6028G</v>
      </c>
      <c r="B4442" s="3" t="str">
        <f>HYPERLINK("https://www.773grp.com/manufacturer/onsemi?pageNo=397", "Onsemi")</f>
        <v>Onsemi</v>
      </c>
      <c r="C4442" s="6">
        <v>3000</v>
      </c>
      <c r="D4442" s="7">
        <v>0.64</v>
      </c>
    </row>
    <row r="4443" spans="1:5" x14ac:dyDescent="0.25">
      <c r="A4443" t="str">
        <f>HYPERLINK("https://www.773grp.com/globalSearch/2N6028RLRAG/page-1", "2N6028RLRAG")</f>
        <v>2N6028RLRAG</v>
      </c>
      <c r="B4443" s="3" t="str">
        <f>HYPERLINK("https://www.773grp.com/manufacturer/onsemi?pageNo=398", "Onsemi")</f>
        <v>Onsemi</v>
      </c>
      <c r="C4443" s="6">
        <v>1881</v>
      </c>
      <c r="D4443" s="7">
        <v>0.64</v>
      </c>
      <c r="E4443" t="s">
        <v>92</v>
      </c>
    </row>
    <row r="4444" spans="1:5" x14ac:dyDescent="0.25">
      <c r="A4444" t="str">
        <f>HYPERLINK("https://www.773grp.com/globalSearch/2N6028RLRMG/page-1", "2N6028RLRMG")</f>
        <v>2N6028RLRMG</v>
      </c>
      <c r="B4444" s="3" t="str">
        <f>HYPERLINK("https://www.773grp.com/manufacturer/onsemi?pageNo=399", "Onsemi")</f>
        <v>Onsemi</v>
      </c>
      <c r="C4444" s="6">
        <v>3983</v>
      </c>
      <c r="D4444" s="7">
        <v>0.64</v>
      </c>
      <c r="E4444" t="s">
        <v>92</v>
      </c>
    </row>
    <row r="4445" spans="1:5" x14ac:dyDescent="0.25">
      <c r="A4445" t="str">
        <f>HYPERLINK("https://www.773grp.com/globalSearch/2N6240/page-1", "2N6240")</f>
        <v>2N6240</v>
      </c>
      <c r="B4445" s="3" t="str">
        <f>HYPERLINK("https://www.773grp.com/manufacturer/onsemi?pageNo=400", "Onsemi")</f>
        <v>Onsemi</v>
      </c>
      <c r="C4445" s="6">
        <v>560</v>
      </c>
      <c r="D4445" s="7">
        <v>0.64</v>
      </c>
      <c r="E4445" t="s">
        <v>76</v>
      </c>
    </row>
    <row r="4446" spans="1:5" x14ac:dyDescent="0.25">
      <c r="A4446" t="str">
        <f>HYPERLINK("https://www.773grp.com/globalSearch/2N6497G/page-1", "2N6497G")</f>
        <v>2N6497G</v>
      </c>
      <c r="B4446" s="3" t="str">
        <f>HYPERLINK("https://www.773grp.com/manufacturer/onsemi?pageNo=401", "Onsemi")</f>
        <v>Onsemi</v>
      </c>
      <c r="C4446" s="6">
        <v>331</v>
      </c>
      <c r="D4446" s="7">
        <v>0.64</v>
      </c>
      <c r="E4446" t="s">
        <v>47</v>
      </c>
    </row>
    <row r="4447" spans="1:5" x14ac:dyDescent="0.25">
      <c r="A4447" t="str">
        <f>HYPERLINK("https://www.773grp.com/globalSearch/2SA1020RLRAG/page-1", "2SA1020RLRAG")</f>
        <v>2SA1020RLRAG</v>
      </c>
      <c r="B4447" s="3" t="str">
        <f>HYPERLINK("https://www.773grp.com/manufacturer/onsemi?pageNo=402", "Onsemi")</f>
        <v>Onsemi</v>
      </c>
      <c r="C4447" s="6">
        <v>36000</v>
      </c>
      <c r="D4447" s="7">
        <v>0.64</v>
      </c>
      <c r="E4447" t="s">
        <v>57</v>
      </c>
    </row>
    <row r="4448" spans="1:5" x14ac:dyDescent="0.25">
      <c r="A4448" t="str">
        <f>HYPERLINK("https://www.773grp.com/globalSearch/2SA2124-TD-E/page-1", "2SA2124-TD-E")</f>
        <v>2SA2124-TD-E</v>
      </c>
      <c r="B4448" s="3" t="str">
        <f>HYPERLINK("https://www.773grp.com/manufacturer/onsemi?pageNo=403", "Onsemi")</f>
        <v>Onsemi</v>
      </c>
      <c r="C4448" s="6">
        <v>2000</v>
      </c>
      <c r="D4448" s="7">
        <v>0.64</v>
      </c>
    </row>
    <row r="4449" spans="1:5" x14ac:dyDescent="0.25">
      <c r="A4449" t="str">
        <f>HYPERLINK("https://www.773grp.com/globalSearch/2SC3332T-AA/page-1", "2SC3332T-AA")</f>
        <v>2SC3332T-AA</v>
      </c>
      <c r="B4449" s="3" t="str">
        <f>HYPERLINK("https://www.773grp.com/manufacturer/onsemi?pageNo=404", "Onsemi")</f>
        <v>Onsemi</v>
      </c>
      <c r="C4449" s="6">
        <v>4500</v>
      </c>
      <c r="D4449" s="7">
        <v>0.64</v>
      </c>
    </row>
    <row r="4450" spans="1:5" x14ac:dyDescent="0.25">
      <c r="A4450" t="str">
        <f>HYPERLINK("https://www.773grp.com/globalSearch/2SD1620-TD-E/page-1", "2SD1620-TD-E")</f>
        <v>2SD1620-TD-E</v>
      </c>
      <c r="B4450" s="3" t="str">
        <f>HYPERLINK("https://www.773grp.com/manufacturer/onsemi?pageNo=405", "Onsemi")</f>
        <v>Onsemi</v>
      </c>
      <c r="C4450" s="6">
        <v>4000</v>
      </c>
      <c r="D4450" s="7">
        <v>0.64</v>
      </c>
    </row>
    <row r="4451" spans="1:5" x14ac:dyDescent="0.25">
      <c r="A4451" t="str">
        <f>HYPERLINK("https://www.773grp.com/globalSearch/2SK3557-6-TB-E/page-1", "2SK3557-6-TB-E")</f>
        <v>2SK3557-6-TB-E</v>
      </c>
      <c r="B4451" s="3" t="str">
        <f>HYPERLINK("https://www.773grp.com/manufacturer/onsemi?pageNo=406", "Onsemi")</f>
        <v>Onsemi</v>
      </c>
      <c r="C4451" s="6">
        <v>50</v>
      </c>
      <c r="D4451" s="7">
        <v>0.64</v>
      </c>
    </row>
    <row r="4452" spans="1:5" x14ac:dyDescent="0.25">
      <c r="A4452" t="str">
        <f>HYPERLINK("https://www.773grp.com/globalSearch/74FST3384DTR2/page-1", "74FST3384DTR2")</f>
        <v>74FST3384DTR2</v>
      </c>
      <c r="B4452" s="3" t="str">
        <f>HYPERLINK("https://www.773grp.com/manufacturer/onsemi?pageNo=407", "Onsemi")</f>
        <v>Onsemi</v>
      </c>
      <c r="C4452" s="6">
        <v>10000</v>
      </c>
      <c r="D4452" s="7">
        <v>0.64</v>
      </c>
      <c r="E4452" t="s">
        <v>11</v>
      </c>
    </row>
    <row r="4453" spans="1:5" x14ac:dyDescent="0.25">
      <c r="A4453" t="str">
        <f>HYPERLINK("https://www.773grp.com/globalSearch/74FST3384QSR/page-1", "74FST3384QSR")</f>
        <v>74FST3384QSR</v>
      </c>
      <c r="B4453" s="3" t="str">
        <f>HYPERLINK("https://www.773grp.com/manufacturer/onsemi?pageNo=408", "Onsemi")</f>
        <v>Onsemi</v>
      </c>
      <c r="C4453" s="6">
        <v>2000</v>
      </c>
      <c r="D4453" s="7">
        <v>0.64</v>
      </c>
      <c r="E4453" t="s">
        <v>11</v>
      </c>
    </row>
    <row r="4454" spans="1:5" x14ac:dyDescent="0.25">
      <c r="A4454" t="str">
        <f>HYPERLINK("https://www.773grp.com/globalSearch/74HCT157DR2G/page-1", "74HCT157DR2G")</f>
        <v>74HCT157DR2G</v>
      </c>
      <c r="B4454" s="3" t="str">
        <f>HYPERLINK("https://www.773grp.com/manufacturer/onsemi?pageNo=409", "Onsemi")</f>
        <v>Onsemi</v>
      </c>
      <c r="C4454" s="6">
        <v>42322</v>
      </c>
      <c r="D4454" s="7">
        <v>0.64</v>
      </c>
      <c r="E4454" t="s">
        <v>16</v>
      </c>
    </row>
    <row r="4455" spans="1:5" x14ac:dyDescent="0.25">
      <c r="A4455" t="str">
        <f>HYPERLINK("https://www.773grp.com/globalSearch/74HCT157DTR2G/page-1", "74HCT157DTR2G")</f>
        <v>74HCT157DTR2G</v>
      </c>
      <c r="B4455" s="3" t="str">
        <f>HYPERLINK("https://www.773grp.com/manufacturer/onsemi?pageNo=410", "Onsemi")</f>
        <v>Onsemi</v>
      </c>
      <c r="C4455" s="6">
        <v>47100</v>
      </c>
      <c r="D4455" s="7">
        <v>0.64</v>
      </c>
      <c r="E4455" t="s">
        <v>16</v>
      </c>
    </row>
    <row r="4456" spans="1:5" x14ac:dyDescent="0.25">
      <c r="A4456" t="str">
        <f>HYPERLINK("https://www.773grp.com/globalSearch/7WBD3125AMX1TCG/page-1", "7WBD3125AMX1TCG")</f>
        <v>7WBD3125AMX1TCG</v>
      </c>
      <c r="B4456" s="3" t="str">
        <f>HYPERLINK("https://www.773grp.com/manufacturer/onsemi?pageNo=411", "Onsemi")</f>
        <v>Onsemi</v>
      </c>
      <c r="C4456" s="6">
        <v>9000</v>
      </c>
      <c r="D4456" s="7">
        <v>0.64</v>
      </c>
      <c r="E4456" t="s">
        <v>11</v>
      </c>
    </row>
    <row r="4457" spans="1:5" x14ac:dyDescent="0.25">
      <c r="A4457" t="str">
        <f>HYPERLINK("https://www.773grp.com/globalSearch/7WBD3125BMX1TCG/page-1", "7WBD3125BMX1TCG")</f>
        <v>7WBD3125BMX1TCG</v>
      </c>
      <c r="B4457" s="3" t="str">
        <f>HYPERLINK("https://www.773grp.com/manufacturer/onsemi?pageNo=412", "Onsemi")</f>
        <v>Onsemi</v>
      </c>
      <c r="C4457" s="6">
        <v>8975</v>
      </c>
      <c r="D4457" s="7">
        <v>0.64</v>
      </c>
      <c r="E4457" t="s">
        <v>11</v>
      </c>
    </row>
    <row r="4458" spans="1:5" x14ac:dyDescent="0.25">
      <c r="A4458" t="str">
        <f>HYPERLINK("https://www.773grp.com/globalSearch/7WBD3125CMX1TCG/page-1", "7WBD3125CMX1TCG")</f>
        <v>7WBD3125CMX1TCG</v>
      </c>
      <c r="B4458" s="3" t="str">
        <f>HYPERLINK("https://www.773grp.com/manufacturer/onsemi?pageNo=413", "Onsemi")</f>
        <v>Onsemi</v>
      </c>
      <c r="C4458" s="6">
        <v>6000</v>
      </c>
      <c r="D4458" s="7">
        <v>0.64</v>
      </c>
      <c r="E4458" t="s">
        <v>11</v>
      </c>
    </row>
    <row r="4459" spans="1:5" x14ac:dyDescent="0.25">
      <c r="A4459" t="str">
        <f>HYPERLINK("https://www.773grp.com/globalSearch/7WBD3126AMX1TCG/page-1", "7WBD3126AMX1TCG")</f>
        <v>7WBD3126AMX1TCG</v>
      </c>
      <c r="B4459" s="3" t="str">
        <f>HYPERLINK("https://www.773grp.com/manufacturer/onsemi?pageNo=414", "Onsemi")</f>
        <v>Onsemi</v>
      </c>
      <c r="C4459" s="6">
        <v>12000</v>
      </c>
      <c r="D4459" s="7">
        <v>0.64</v>
      </c>
      <c r="E4459" t="s">
        <v>11</v>
      </c>
    </row>
    <row r="4460" spans="1:5" x14ac:dyDescent="0.25">
      <c r="A4460" t="str">
        <f>HYPERLINK("https://www.773grp.com/globalSearch/7WBD3126BMX1TCG/page-1", "7WBD3126BMX1TCG")</f>
        <v>7WBD3126BMX1TCG</v>
      </c>
      <c r="B4460" s="3" t="str">
        <f>HYPERLINK("https://www.773grp.com/manufacturer/onsemi?pageNo=415", "Onsemi")</f>
        <v>Onsemi</v>
      </c>
      <c r="C4460" s="6">
        <v>6000</v>
      </c>
      <c r="D4460" s="7">
        <v>0.64</v>
      </c>
      <c r="E4460" t="s">
        <v>11</v>
      </c>
    </row>
    <row r="4461" spans="1:5" x14ac:dyDescent="0.25">
      <c r="A4461" t="str">
        <f>HYPERLINK("https://www.773grp.com/globalSearch/7WBD3126CMX1TCG/page-1", "7WBD3126CMX1TCG")</f>
        <v>7WBD3126CMX1TCG</v>
      </c>
      <c r="B4461" s="3" t="str">
        <f>HYPERLINK("https://www.773grp.com/manufacturer/onsemi?pageNo=416", "Onsemi")</f>
        <v>Onsemi</v>
      </c>
      <c r="C4461" s="6">
        <v>6000</v>
      </c>
      <c r="D4461" s="7">
        <v>0.64</v>
      </c>
      <c r="E4461" t="s">
        <v>11</v>
      </c>
    </row>
    <row r="4462" spans="1:5" x14ac:dyDescent="0.25">
      <c r="A4462" t="str">
        <f>HYPERLINK("https://www.773grp.com/globalSearch/7WBD3305AMX1TCG/page-1", "7WBD3305AMX1TCG")</f>
        <v>7WBD3305AMX1TCG</v>
      </c>
      <c r="B4462" s="3" t="str">
        <f>HYPERLINK("https://www.773grp.com/manufacturer/onsemi?pageNo=417", "Onsemi")</f>
        <v>Onsemi</v>
      </c>
      <c r="C4462" s="6">
        <v>6000</v>
      </c>
      <c r="D4462" s="7">
        <v>0.64</v>
      </c>
      <c r="E4462" t="s">
        <v>11</v>
      </c>
    </row>
    <row r="4463" spans="1:5" x14ac:dyDescent="0.25">
      <c r="A4463" t="str">
        <f>HYPERLINK("https://www.773grp.com/globalSearch/7WBD3305BMX1TCG/page-1", "7WBD3305BMX1TCG")</f>
        <v>7WBD3305BMX1TCG</v>
      </c>
      <c r="B4463" s="3" t="str">
        <f>HYPERLINK("https://www.773grp.com/manufacturer/onsemi?pageNo=418", "Onsemi")</f>
        <v>Onsemi</v>
      </c>
      <c r="C4463" s="6">
        <v>9000</v>
      </c>
      <c r="D4463" s="7">
        <v>0.64</v>
      </c>
      <c r="E4463" t="s">
        <v>11</v>
      </c>
    </row>
    <row r="4464" spans="1:5" x14ac:dyDescent="0.25">
      <c r="A4464" t="str">
        <f>HYPERLINK("https://www.773grp.com/globalSearch/7WBD3305CMX1TCG/page-1", "7WBD3305CMX1TCG")</f>
        <v>7WBD3305CMX1TCG</v>
      </c>
      <c r="B4464" s="3" t="str">
        <f>HYPERLINK("https://www.773grp.com/manufacturer/onsemi?pageNo=419", "Onsemi")</f>
        <v>Onsemi</v>
      </c>
      <c r="C4464" s="6">
        <v>6000</v>
      </c>
      <c r="D4464" s="7">
        <v>0.64</v>
      </c>
      <c r="E4464" t="s">
        <v>11</v>
      </c>
    </row>
    <row r="4465" spans="1:5" x14ac:dyDescent="0.25">
      <c r="A4465" t="str">
        <f>HYPERLINK("https://www.773grp.com/globalSearch/7WBD3306AMX1TCG/page-1", "7WBD3306AMX1TCG")</f>
        <v>7WBD3306AMX1TCG</v>
      </c>
      <c r="B4465" s="3" t="str">
        <f>HYPERLINK("https://www.773grp.com/manufacturer/onsemi?pageNo=420", "Onsemi")</f>
        <v>Onsemi</v>
      </c>
      <c r="C4465" s="6">
        <v>9000</v>
      </c>
      <c r="D4465" s="7">
        <v>0.64</v>
      </c>
      <c r="E4465" t="s">
        <v>11</v>
      </c>
    </row>
    <row r="4466" spans="1:5" x14ac:dyDescent="0.25">
      <c r="A4466" t="str">
        <f>HYPERLINK("https://www.773grp.com/globalSearch/7WBD3306BMX1TCG/page-1", "7WBD3306BMX1TCG")</f>
        <v>7WBD3306BMX1TCG</v>
      </c>
      <c r="B4466" s="3" t="str">
        <f>HYPERLINK("https://www.773grp.com/manufacturer/onsemi?pageNo=421", "Onsemi")</f>
        <v>Onsemi</v>
      </c>
      <c r="C4466" s="6">
        <v>9000</v>
      </c>
      <c r="D4466" s="7">
        <v>0.64</v>
      </c>
      <c r="E4466" t="s">
        <v>11</v>
      </c>
    </row>
    <row r="4467" spans="1:5" x14ac:dyDescent="0.25">
      <c r="A4467" t="str">
        <f>HYPERLINK("https://www.773grp.com/globalSearch/7WBD3306CMX1TCG/page-1", "7WBD3306CMX1TCG")</f>
        <v>7WBD3306CMX1TCG</v>
      </c>
      <c r="B4467" s="3" t="str">
        <f>HYPERLINK("https://www.773grp.com/manufacturer/onsemi?pageNo=422", "Onsemi")</f>
        <v>Onsemi</v>
      </c>
      <c r="C4467" s="6">
        <v>6000</v>
      </c>
      <c r="D4467" s="7">
        <v>0.64</v>
      </c>
      <c r="E4467" t="s">
        <v>11</v>
      </c>
    </row>
    <row r="4468" spans="1:5" x14ac:dyDescent="0.25">
      <c r="A4468" t="str">
        <f>HYPERLINK("https://www.773grp.com/globalSearch/7WBD383AMX1TCG/page-1", "7WBD383AMX1TCG")</f>
        <v>7WBD383AMX1TCG</v>
      </c>
      <c r="B4468" s="3" t="str">
        <f>HYPERLINK("https://www.773grp.com/manufacturer/onsemi?pageNo=423", "Onsemi")</f>
        <v>Onsemi</v>
      </c>
      <c r="C4468" s="6">
        <v>6000</v>
      </c>
      <c r="D4468" s="7">
        <v>0.64</v>
      </c>
      <c r="E4468" t="s">
        <v>11</v>
      </c>
    </row>
    <row r="4469" spans="1:5" x14ac:dyDescent="0.25">
      <c r="A4469" t="str">
        <f>HYPERLINK("https://www.773grp.com/globalSearch/7WBD383BMX1TCG/page-1", "7WBD383BMX1TCG")</f>
        <v>7WBD383BMX1TCG</v>
      </c>
      <c r="B4469" s="3" t="str">
        <f>HYPERLINK("https://www.773grp.com/manufacturer/onsemi?pageNo=424", "Onsemi")</f>
        <v>Onsemi</v>
      </c>
      <c r="C4469" s="6">
        <v>3000</v>
      </c>
      <c r="D4469" s="7">
        <v>0.64</v>
      </c>
      <c r="E4469" t="s">
        <v>11</v>
      </c>
    </row>
    <row r="4470" spans="1:5" x14ac:dyDescent="0.25">
      <c r="A4470" t="str">
        <f>HYPERLINK("https://www.773grp.com/globalSearch/7WBD383CMX1TCG/page-1", "7WBD383CMX1TCG")</f>
        <v>7WBD383CMX1TCG</v>
      </c>
      <c r="B4470" s="3" t="str">
        <f>HYPERLINK("https://www.773grp.com/manufacturer/onsemi?pageNo=425", "Onsemi")</f>
        <v>Onsemi</v>
      </c>
      <c r="C4470" s="6">
        <v>6000</v>
      </c>
      <c r="D4470" s="7">
        <v>0.64</v>
      </c>
      <c r="E4470" t="s">
        <v>11</v>
      </c>
    </row>
    <row r="4471" spans="1:5" x14ac:dyDescent="0.25">
      <c r="A4471" t="str">
        <f>HYPERLINK("https://www.773grp.com/globalSearch/BAT54SLT1/page-1", "BAT54SLT1")</f>
        <v>BAT54SLT1</v>
      </c>
      <c r="B4471" s="3" t="str">
        <f>HYPERLINK("https://www.773grp.com/manufacturer/onsemi?pageNo=426", "Onsemi")</f>
        <v>Onsemi</v>
      </c>
      <c r="C4471" s="6">
        <v>34214</v>
      </c>
      <c r="D4471" s="7">
        <v>0.64</v>
      </c>
    </row>
    <row r="4472" spans="1:5" x14ac:dyDescent="0.25">
      <c r="A4472" t="str">
        <f>HYPERLINK("https://www.773grp.com/globalSearch/BC859CLT1/page-1", "BC859CLT1")</f>
        <v>BC859CLT1</v>
      </c>
      <c r="B4472" s="3" t="str">
        <f>HYPERLINK("https://www.773grp.com/manufacturer/onsemi?pageNo=427", "Onsemi")</f>
        <v>Onsemi</v>
      </c>
      <c r="C4472" s="6">
        <v>165000</v>
      </c>
      <c r="D4472" s="7">
        <v>0.64</v>
      </c>
      <c r="E4472" t="s">
        <v>57</v>
      </c>
    </row>
    <row r="4473" spans="1:5" x14ac:dyDescent="0.25">
      <c r="A4473" t="str">
        <f>HYPERLINK("https://www.773grp.com/globalSearch/BD435/page-1", "BD435")</f>
        <v>BD435</v>
      </c>
      <c r="B4473" s="3" t="str">
        <f>HYPERLINK("https://www.773grp.com/manufacturer/onsemi?pageNo=428", "Onsemi")</f>
        <v>Onsemi</v>
      </c>
      <c r="C4473" s="6">
        <v>1500</v>
      </c>
      <c r="D4473" s="7">
        <v>0.64</v>
      </c>
      <c r="E4473" t="s">
        <v>47</v>
      </c>
    </row>
    <row r="4474" spans="1:5" x14ac:dyDescent="0.25">
      <c r="A4474" t="str">
        <f>HYPERLINK("https://www.773grp.com/globalSearch/BD436T/page-1", "BD436T")</f>
        <v>BD436T</v>
      </c>
      <c r="B4474" s="3" t="str">
        <f>HYPERLINK("https://www.773grp.com/manufacturer/onsemi?pageNo=429", "Onsemi")</f>
        <v>Onsemi</v>
      </c>
      <c r="C4474" s="6">
        <v>75</v>
      </c>
      <c r="D4474" s="7">
        <v>0.64</v>
      </c>
      <c r="E4474" t="s">
        <v>47</v>
      </c>
    </row>
    <row r="4475" spans="1:5" x14ac:dyDescent="0.25">
      <c r="A4475" t="str">
        <f>HYPERLINK("https://www.773grp.com/globalSearch/BD438/page-1", "BD438")</f>
        <v>BD438</v>
      </c>
      <c r="B4475" s="3" t="str">
        <f>HYPERLINK("https://www.773grp.com/manufacturer/onsemi?pageNo=430", "Onsemi")</f>
        <v>Onsemi</v>
      </c>
      <c r="C4475" s="6">
        <v>139</v>
      </c>
      <c r="D4475" s="7">
        <v>0.64</v>
      </c>
      <c r="E4475" t="s">
        <v>47</v>
      </c>
    </row>
    <row r="4476" spans="1:5" x14ac:dyDescent="0.25">
      <c r="A4476" t="str">
        <f>HYPERLINK("https://www.773grp.com/globalSearch/BF721T1G/page-1", "BF721T1G")</f>
        <v>BF721T1G</v>
      </c>
      <c r="B4476" s="3" t="str">
        <f>HYPERLINK("https://www.773grp.com/manufacturer/onsemi?pageNo=431", "Onsemi")</f>
        <v>Onsemi</v>
      </c>
      <c r="C4476" s="6">
        <v>51000</v>
      </c>
      <c r="D4476" s="7">
        <v>0.64</v>
      </c>
      <c r="E4476" t="s">
        <v>57</v>
      </c>
    </row>
    <row r="4477" spans="1:5" x14ac:dyDescent="0.25">
      <c r="A4477" t="str">
        <f>HYPERLINK("https://www.773grp.com/globalSearch/BSP16T1G/page-1", "BSP16T1G")</f>
        <v>BSP16T1G</v>
      </c>
      <c r="B4477" s="3" t="str">
        <f>HYPERLINK("https://www.773grp.com/manufacturer/onsemi?pageNo=432", "Onsemi")</f>
        <v>Onsemi</v>
      </c>
      <c r="C4477" s="6">
        <v>57000</v>
      </c>
      <c r="D4477" s="7">
        <v>0.64</v>
      </c>
      <c r="E4477" t="s">
        <v>47</v>
      </c>
    </row>
    <row r="4478" spans="1:5" x14ac:dyDescent="0.25">
      <c r="A4478" t="str">
        <f>HYPERLINK("https://www.773grp.com/globalSearch/CAT24AA01TDI-GT3/page-1", "CAT24AA01TDI-GT3")</f>
        <v>CAT24AA01TDI-GT3</v>
      </c>
      <c r="B4478" s="3" t="str">
        <f>HYPERLINK("https://www.773grp.com/manufacturer/onsemi?pageNo=433", "Onsemi")</f>
        <v>Onsemi</v>
      </c>
      <c r="C4478" s="6">
        <v>11937</v>
      </c>
      <c r="D4478" s="7">
        <v>0.64</v>
      </c>
    </row>
    <row r="4479" spans="1:5" x14ac:dyDescent="0.25">
      <c r="A4479" t="str">
        <f>HYPERLINK("https://www.773grp.com/globalSearch/CAT24AA01WI-G/page-1", "CAT24AA01WI-G")</f>
        <v>CAT24AA01WI-G</v>
      </c>
      <c r="B4479" s="3" t="str">
        <f>HYPERLINK("https://www.773grp.com/manufacturer/onsemi?pageNo=434", "Onsemi")</f>
        <v>Onsemi</v>
      </c>
      <c r="C4479" s="6">
        <v>685</v>
      </c>
      <c r="D4479" s="7">
        <v>0.64</v>
      </c>
    </row>
    <row r="4480" spans="1:5" x14ac:dyDescent="0.25">
      <c r="A4480" t="str">
        <f>HYPERLINK("https://www.773grp.com/globalSearch/CAT24AA01WI-GT3/page-1", "CAT24AA01WI-GT3")</f>
        <v>CAT24AA01WI-GT3</v>
      </c>
      <c r="B4480" s="3" t="str">
        <f>HYPERLINK("https://www.773grp.com/manufacturer/onsemi?pageNo=435", "Onsemi")</f>
        <v>Onsemi</v>
      </c>
      <c r="C4480" s="6">
        <v>9000</v>
      </c>
      <c r="D4480" s="7">
        <v>0.64</v>
      </c>
      <c r="E4480" t="s">
        <v>52</v>
      </c>
    </row>
    <row r="4481" spans="1:5" x14ac:dyDescent="0.25">
      <c r="A4481" t="str">
        <f>HYPERLINK("https://www.773grp.com/globalSearch/CAT24C01YI-GT3/page-1", "CAT24C01YI-GT3")</f>
        <v>CAT24C01YI-GT3</v>
      </c>
      <c r="B4481" s="3" t="str">
        <f>HYPERLINK("https://www.773grp.com/manufacturer/onsemi?pageNo=436", "Onsemi")</f>
        <v>Onsemi</v>
      </c>
      <c r="C4481" s="6">
        <v>654000</v>
      </c>
      <c r="D4481" s="7">
        <v>0.64</v>
      </c>
      <c r="E4481" t="s">
        <v>52</v>
      </c>
    </row>
    <row r="4482" spans="1:5" x14ac:dyDescent="0.25">
      <c r="A4482" t="str">
        <f>HYPERLINK("https://www.773grp.com/globalSearch/CAT24C02HU4IGT3A/page-1", "CAT24C02HU4IGT3A")</f>
        <v>CAT24C02HU4IGT3A</v>
      </c>
      <c r="B4482" s="3" t="str">
        <f>HYPERLINK("https://www.773grp.com/manufacturer/onsemi?pageNo=437", "Onsemi")</f>
        <v>Onsemi</v>
      </c>
      <c r="C4482" s="6">
        <v>67214</v>
      </c>
      <c r="D4482" s="7">
        <v>0.64</v>
      </c>
    </row>
    <row r="4483" spans="1:5" x14ac:dyDescent="0.25">
      <c r="A4483" t="str">
        <f>HYPERLINK("https://www.773grp.com/globalSearch/CAT24C02LI-GA/page-1", "CAT24C02LI-GA")</f>
        <v>CAT24C02LI-GA</v>
      </c>
      <c r="B4483" s="3" t="str">
        <f>HYPERLINK("https://www.773grp.com/manufacturer/onsemi?pageNo=438", "Onsemi")</f>
        <v>Onsemi</v>
      </c>
      <c r="C4483" s="6">
        <v>7900</v>
      </c>
      <c r="D4483" s="7">
        <v>0.64</v>
      </c>
      <c r="E4483" t="s">
        <v>52</v>
      </c>
    </row>
    <row r="4484" spans="1:5" x14ac:dyDescent="0.25">
      <c r="A4484" t="str">
        <f>HYPERLINK("https://www.773grp.com/globalSearch/CAT24C02LI-GA/page-1", "CAT24C02LI-GA")</f>
        <v>CAT24C02LI-GA</v>
      </c>
      <c r="B4484" s="3" t="str">
        <f>HYPERLINK("https://www.773grp.com/manufacturer/onsemi?pageNo=439", "Onsemi")</f>
        <v>Onsemi</v>
      </c>
      <c r="C4484" s="6">
        <v>245130</v>
      </c>
      <c r="D4484" s="7">
        <v>0.64</v>
      </c>
      <c r="E4484" t="s">
        <v>52</v>
      </c>
    </row>
    <row r="4485" spans="1:5" x14ac:dyDescent="0.25">
      <c r="A4485" t="str">
        <f>HYPERLINK("https://www.773grp.com/globalSearch/CAT24C02VP2I-GT3/page-1", "CAT24C02VP2I-GT3")</f>
        <v>CAT24C02VP2I-GT3</v>
      </c>
      <c r="B4485" s="3" t="str">
        <f>HYPERLINK("https://www.773grp.com/manufacturer/onsemi?pageNo=440", "Onsemi")</f>
        <v>Onsemi</v>
      </c>
      <c r="C4485" s="6">
        <v>99000</v>
      </c>
      <c r="D4485" s="7">
        <v>0.64</v>
      </c>
      <c r="E4485" t="s">
        <v>52</v>
      </c>
    </row>
    <row r="4486" spans="1:5" x14ac:dyDescent="0.25">
      <c r="A4486" t="str">
        <f>HYPERLINK("https://www.773grp.com/globalSearch/CAT24C02ZI-GT3A/page-1", "CAT24C02ZI-GT3A")</f>
        <v>CAT24C02ZI-GT3A</v>
      </c>
      <c r="B4486" s="3" t="str">
        <f>HYPERLINK("https://www.773grp.com/manufacturer/onsemi?pageNo=441", "Onsemi")</f>
        <v>Onsemi</v>
      </c>
      <c r="C4486" s="6">
        <v>12000</v>
      </c>
      <c r="D4486" s="7">
        <v>0.64</v>
      </c>
    </row>
    <row r="4487" spans="1:5" x14ac:dyDescent="0.25">
      <c r="A4487" t="str">
        <f>HYPERLINK("https://www.773grp.com/globalSearch/CAT24C04LI/page-1", "CAT24C04LI")</f>
        <v>CAT24C04LI</v>
      </c>
      <c r="B4487" s="3" t="str">
        <f>HYPERLINK("https://www.773grp.com/manufacturer/onsemi?pageNo=442", "Onsemi")</f>
        <v>Onsemi</v>
      </c>
      <c r="C4487" s="6">
        <v>7200</v>
      </c>
      <c r="D4487" s="7">
        <v>0.64</v>
      </c>
      <c r="E4487" t="s">
        <v>52</v>
      </c>
    </row>
    <row r="4488" spans="1:5" x14ac:dyDescent="0.25">
      <c r="A4488" t="str">
        <f>HYPERLINK("https://www.773grp.com/globalSearch/CAT24C04LI-G/page-1", "CAT24C04LI-G")</f>
        <v>CAT24C04LI-G</v>
      </c>
      <c r="B4488" s="3" t="str">
        <f>HYPERLINK("https://www.773grp.com/manufacturer/onsemi?pageNo=443", "Onsemi")</f>
        <v>Onsemi</v>
      </c>
      <c r="C4488" s="6">
        <v>5350</v>
      </c>
      <c r="D4488" s="7">
        <v>0.64</v>
      </c>
      <c r="E4488" t="s">
        <v>52</v>
      </c>
    </row>
    <row r="4489" spans="1:5" x14ac:dyDescent="0.25">
      <c r="A4489" t="str">
        <f>HYPERLINK("https://www.773grp.com/globalSearch/CAT24C16WI-GT3/page-1", "CAT24C16WI-GT3")</f>
        <v>CAT24C16WI-GT3</v>
      </c>
      <c r="B4489" s="3" t="str">
        <f>HYPERLINK("https://www.773grp.com/manufacturer/onsemi?pageNo=444", "Onsemi")</f>
        <v>Onsemi</v>
      </c>
      <c r="C4489" s="6">
        <v>48000</v>
      </c>
      <c r="D4489" s="7">
        <v>0.64</v>
      </c>
      <c r="E4489" t="s">
        <v>52</v>
      </c>
    </row>
    <row r="4490" spans="1:5" x14ac:dyDescent="0.25">
      <c r="A4490" t="str">
        <f>HYPERLINK("https://www.773grp.com/globalSearch/CAT24C16WI-GT3/page-1", "CAT24C16WI-GT3")</f>
        <v>CAT24C16WI-GT3</v>
      </c>
      <c r="B4490" s="3" t="str">
        <f>HYPERLINK("https://www.773grp.com/manufacturer/onsemi?pageNo=445", "Onsemi")</f>
        <v>Onsemi</v>
      </c>
      <c r="C4490" s="6">
        <v>105710</v>
      </c>
      <c r="D4490" s="7">
        <v>0.64</v>
      </c>
      <c r="E4490" t="s">
        <v>52</v>
      </c>
    </row>
    <row r="4491" spans="1:5" x14ac:dyDescent="0.25">
      <c r="A4491" t="str">
        <f>HYPERLINK("https://www.773grp.com/globalSearch/CAT24C16YI-GT3/page-1", "CAT24C16YI-GT3")</f>
        <v>CAT24C16YI-GT3</v>
      </c>
      <c r="B4491" s="3" t="str">
        <f>HYPERLINK("https://www.773grp.com/manufacturer/onsemi?pageNo=446", "Onsemi")</f>
        <v>Onsemi</v>
      </c>
      <c r="C4491" s="6">
        <v>54000</v>
      </c>
      <c r="D4491" s="7">
        <v>0.64</v>
      </c>
      <c r="E4491" t="s">
        <v>52</v>
      </c>
    </row>
    <row r="4492" spans="1:5" x14ac:dyDescent="0.25">
      <c r="A4492" t="str">
        <f>HYPERLINK("https://www.773grp.com/globalSearch/CAT25010VI-GT3/page-1", "CAT25010VI-GT3")</f>
        <v>CAT25010VI-GT3</v>
      </c>
      <c r="B4492" s="3" t="str">
        <f>HYPERLINK("https://www.773grp.com/manufacturer/onsemi?pageNo=447", "Onsemi")</f>
        <v>Onsemi</v>
      </c>
      <c r="C4492" s="6">
        <v>50455</v>
      </c>
      <c r="D4492" s="7">
        <v>0.64</v>
      </c>
    </row>
    <row r="4493" spans="1:5" x14ac:dyDescent="0.25">
      <c r="A4493" t="str">
        <f>HYPERLINK("https://www.773grp.com/globalSearch/CAT25010YI-GT3/page-1", "CAT25010YI-GT3")</f>
        <v>CAT25010YI-GT3</v>
      </c>
      <c r="B4493" s="3" t="str">
        <f>HYPERLINK("https://www.773grp.com/manufacturer/onsemi?pageNo=448", "Onsemi")</f>
        <v>Onsemi</v>
      </c>
      <c r="C4493" s="6">
        <v>21000</v>
      </c>
      <c r="D4493" s="7">
        <v>0.64</v>
      </c>
    </row>
    <row r="4494" spans="1:5" x14ac:dyDescent="0.25">
      <c r="A4494" t="str">
        <f>HYPERLINK("https://www.773grp.com/globalSearch/CAT93C56VI-GT3/page-1", "CAT93C56VI-GT3")</f>
        <v>CAT93C56VI-GT3</v>
      </c>
      <c r="B4494" s="3" t="str">
        <f>HYPERLINK("https://www.773grp.com/manufacturer/onsemi?pageNo=449", "Onsemi")</f>
        <v>Onsemi</v>
      </c>
      <c r="C4494" s="6">
        <v>3000</v>
      </c>
      <c r="D4494" s="7">
        <v>0.64</v>
      </c>
      <c r="E4494" t="s">
        <v>52</v>
      </c>
    </row>
    <row r="4495" spans="1:5" x14ac:dyDescent="0.25">
      <c r="A4495" t="str">
        <f>HYPERLINK("https://www.773grp.com/globalSearch/CAT93C56YI-GT3/page-1", "CAT93C56YI-GT3")</f>
        <v>CAT93C56YI-GT3</v>
      </c>
      <c r="B4495" s="3" t="str">
        <f>HYPERLINK("https://www.773grp.com/manufacturer/onsemi?pageNo=450", "Onsemi")</f>
        <v>Onsemi</v>
      </c>
      <c r="C4495" s="6">
        <v>15000</v>
      </c>
      <c r="D4495" s="7">
        <v>0.64</v>
      </c>
      <c r="E4495" t="s">
        <v>52</v>
      </c>
    </row>
    <row r="4496" spans="1:5" x14ac:dyDescent="0.25">
      <c r="A4496" t="str">
        <f>HYPERLINK("https://www.773grp.com/globalSearch/CM1220-04CP/page-1", "CM1220-04CP")</f>
        <v>CM1220-04CP</v>
      </c>
      <c r="B4496" s="3" t="str">
        <f>HYPERLINK("https://www.773grp.com/manufacturer/onsemi?pageNo=451", "Onsemi")</f>
        <v>Onsemi</v>
      </c>
      <c r="C4496" s="6">
        <v>10500</v>
      </c>
      <c r="D4496" s="7">
        <v>0.64</v>
      </c>
      <c r="E4496" t="s">
        <v>75</v>
      </c>
    </row>
    <row r="4497" spans="1:5" x14ac:dyDescent="0.25">
      <c r="A4497" t="str">
        <f>HYPERLINK("https://www.773grp.com/globalSearch/CM1230-02CP/page-1", "CM1230-02CP")</f>
        <v>CM1230-02CP</v>
      </c>
      <c r="B4497" s="3" t="str">
        <f>HYPERLINK("https://www.773grp.com/manufacturer/onsemi?pageNo=452", "Onsemi")</f>
        <v>Onsemi</v>
      </c>
      <c r="C4497" s="6">
        <v>21900</v>
      </c>
      <c r="D4497" s="7">
        <v>0.64</v>
      </c>
      <c r="E4497" t="s">
        <v>75</v>
      </c>
    </row>
    <row r="4498" spans="1:5" x14ac:dyDescent="0.25">
      <c r="A4498" t="str">
        <f>HYPERLINK("https://www.773grp.com/globalSearch/CM1230-J2CP/page-1", "CM1230-J2CP")</f>
        <v>CM1230-J2CP</v>
      </c>
      <c r="B4498" s="3" t="str">
        <f>HYPERLINK("https://www.773grp.com/manufacturer/onsemi?pageNo=453", "Onsemi")</f>
        <v>Onsemi</v>
      </c>
      <c r="C4498" s="6">
        <v>14000</v>
      </c>
      <c r="D4498" s="7">
        <v>0.64</v>
      </c>
    </row>
    <row r="4499" spans="1:5" x14ac:dyDescent="0.25">
      <c r="A4499" t="str">
        <f>HYPERLINK("https://www.773grp.com/globalSearch/CM1231-02SO/page-1", "CM1231-02SO")</f>
        <v>CM1231-02SO</v>
      </c>
      <c r="B4499" s="3" t="str">
        <f>HYPERLINK("https://www.773grp.com/manufacturer/onsemi?pageNo=454", "Onsemi")</f>
        <v>Onsemi</v>
      </c>
      <c r="C4499" s="6">
        <v>3000</v>
      </c>
      <c r="D4499" s="7">
        <v>0.64</v>
      </c>
    </row>
    <row r="4500" spans="1:5" x14ac:dyDescent="0.25">
      <c r="A4500" t="str">
        <f>HYPERLINK("https://www.773grp.com/globalSearch/CM1293A-02SO/page-1", "CM1293A-02SO")</f>
        <v>CM1293A-02SO</v>
      </c>
      <c r="B4500" s="3" t="str">
        <f>HYPERLINK("https://www.773grp.com/manufacturer/onsemi?pageNo=455", "Onsemi")</f>
        <v>Onsemi</v>
      </c>
      <c r="C4500" s="6">
        <v>78000</v>
      </c>
      <c r="D4500" s="7">
        <v>0.64</v>
      </c>
      <c r="E4500" t="s">
        <v>75</v>
      </c>
    </row>
    <row r="4501" spans="1:5" x14ac:dyDescent="0.25">
      <c r="A4501" t="str">
        <f>HYPERLINK("https://www.773grp.com/globalSearch/CM1293A-02SR/page-1", "CM1293A-02SR")</f>
        <v>CM1293A-02SR</v>
      </c>
      <c r="B4501" s="3" t="str">
        <f>HYPERLINK("https://www.773grp.com/manufacturer/onsemi?pageNo=456", "Onsemi")</f>
        <v>Onsemi</v>
      </c>
      <c r="C4501" s="6">
        <v>20120</v>
      </c>
      <c r="D4501" s="7">
        <v>0.64</v>
      </c>
      <c r="E4501" t="s">
        <v>75</v>
      </c>
    </row>
    <row r="4502" spans="1:5" x14ac:dyDescent="0.25">
      <c r="A4502" t="str">
        <f>HYPERLINK("https://www.773grp.com/globalSearch/CM1431-06DE/page-1", "CM1431-06DE")</f>
        <v>CM1431-06DE</v>
      </c>
      <c r="B4502" s="3" t="str">
        <f>HYPERLINK("https://www.773grp.com/manufacturer/onsemi?pageNo=457", "Onsemi")</f>
        <v>Onsemi</v>
      </c>
      <c r="C4502" s="6">
        <v>33000</v>
      </c>
      <c r="D4502" s="7">
        <v>0.64</v>
      </c>
      <c r="E4502" t="s">
        <v>79</v>
      </c>
    </row>
    <row r="4503" spans="1:5" x14ac:dyDescent="0.25">
      <c r="A4503" t="str">
        <f>HYPERLINK("https://www.773grp.com/globalSearch/CM1460-06DE/page-1", "CM1460-06DE")</f>
        <v>CM1460-06DE</v>
      </c>
      <c r="B4503" s="3" t="str">
        <f>HYPERLINK("https://www.773grp.com/manufacturer/onsemi?pageNo=458", "Onsemi")</f>
        <v>Onsemi</v>
      </c>
      <c r="C4503" s="6">
        <v>12000</v>
      </c>
      <c r="D4503" s="7">
        <v>0.64</v>
      </c>
      <c r="E4503" t="s">
        <v>79</v>
      </c>
    </row>
    <row r="4504" spans="1:5" x14ac:dyDescent="0.25">
      <c r="A4504" t="str">
        <f>HYPERLINK("https://www.773grp.com/globalSearch/CM1620-06DE/page-1", "CM1620-06DE")</f>
        <v>CM1620-06DE</v>
      </c>
      <c r="B4504" s="3" t="str">
        <f>HYPERLINK("https://www.773grp.com/manufacturer/onsemi?pageNo=459", "Onsemi")</f>
        <v>Onsemi</v>
      </c>
      <c r="C4504" s="6">
        <v>3000</v>
      </c>
      <c r="D4504" s="7">
        <v>0.64</v>
      </c>
      <c r="E4504" t="s">
        <v>79</v>
      </c>
    </row>
    <row r="4505" spans="1:5" x14ac:dyDescent="0.25">
      <c r="A4505" t="str">
        <f>HYPERLINK("https://www.773grp.com/globalSearch/CM1630-04DE/page-1", "CM1630-04DE")</f>
        <v>CM1630-04DE</v>
      </c>
      <c r="B4505" s="3" t="str">
        <f>HYPERLINK("https://www.773grp.com/manufacturer/onsemi?pageNo=460", "Onsemi")</f>
        <v>Onsemi</v>
      </c>
      <c r="C4505" s="6">
        <v>18000</v>
      </c>
      <c r="D4505" s="7">
        <v>0.64</v>
      </c>
      <c r="E4505" t="s">
        <v>79</v>
      </c>
    </row>
    <row r="4506" spans="1:5" x14ac:dyDescent="0.25">
      <c r="A4506" t="str">
        <f>HYPERLINK("https://www.773grp.com/globalSearch/CM6200/page-1", "CM6200")</f>
        <v>CM6200</v>
      </c>
      <c r="B4506" s="3" t="str">
        <f>HYPERLINK("https://www.773grp.com/manufacturer/onsemi?pageNo=461", "Onsemi")</f>
        <v>Onsemi</v>
      </c>
      <c r="C4506" s="6">
        <v>1390</v>
      </c>
      <c r="D4506" s="7">
        <v>0.64</v>
      </c>
    </row>
    <row r="4507" spans="1:5" x14ac:dyDescent="0.25">
      <c r="A4507" t="str">
        <f>HYPERLINK("https://www.773grp.com/globalSearch/CPH3448-TL-H/page-1", "CPH3448-TL-H")</f>
        <v>CPH3448-TL-H</v>
      </c>
      <c r="B4507" s="3" t="str">
        <f>HYPERLINK("https://www.773grp.com/manufacturer/onsemi?pageNo=462", "Onsemi")</f>
        <v>Onsemi</v>
      </c>
      <c r="C4507" s="6">
        <v>83642</v>
      </c>
      <c r="D4507" s="7">
        <v>0.64</v>
      </c>
    </row>
    <row r="4508" spans="1:5" x14ac:dyDescent="0.25">
      <c r="A4508" t="str">
        <f>HYPERLINK("https://www.773grp.com/globalSearch/CPH6121-TL-E/page-1", "CPH6121-TL-E")</f>
        <v>CPH6121-TL-E</v>
      </c>
      <c r="B4508" s="3" t="str">
        <f>HYPERLINK("https://www.773grp.com/manufacturer/onsemi?pageNo=463", "Onsemi")</f>
        <v>Onsemi</v>
      </c>
      <c r="C4508" s="6">
        <v>3000</v>
      </c>
      <c r="D4508" s="7">
        <v>0.64</v>
      </c>
    </row>
    <row r="4509" spans="1:5" x14ac:dyDescent="0.25">
      <c r="A4509" t="str">
        <f>HYPERLINK("https://www.773grp.com/globalSearch/ECH8601M-TL-H/page-1", "ECH8601M-TL-H")</f>
        <v>ECH8601M-TL-H</v>
      </c>
      <c r="B4509" s="3" t="str">
        <f>HYPERLINK("https://www.773grp.com/manufacturer/onsemi?pageNo=464", "Onsemi")</f>
        <v>Onsemi</v>
      </c>
      <c r="C4509" s="6">
        <v>6000</v>
      </c>
      <c r="D4509" s="7">
        <v>0.64</v>
      </c>
    </row>
    <row r="4510" spans="1:5" x14ac:dyDescent="0.25">
      <c r="A4510" t="str">
        <f>HYPERLINK("https://www.773grp.com/globalSearch/ESD11N5.0ST5G/page-1", "ESD11N5.0ST5G")</f>
        <v>ESD11N5.0ST5G</v>
      </c>
      <c r="B4510" s="3" t="str">
        <f>HYPERLINK("https://www.773grp.com/manufacturer/onsemi?pageNo=465", "Onsemi")</f>
        <v>Onsemi</v>
      </c>
      <c r="C4510" s="6">
        <v>943000</v>
      </c>
      <c r="D4510" s="7">
        <v>0.64</v>
      </c>
      <c r="E4510" t="s">
        <v>75</v>
      </c>
    </row>
    <row r="4511" spans="1:5" x14ac:dyDescent="0.25">
      <c r="A4511" t="str">
        <f>HYPERLINK("https://www.773grp.com/globalSearch/ESD9R3.3ST5G/page-1", "ESD9R3.3ST5G")</f>
        <v>ESD9R3.3ST5G</v>
      </c>
      <c r="B4511" s="3" t="str">
        <f>HYPERLINK("https://www.773grp.com/manufacturer/onsemi?pageNo=466", "Onsemi")</f>
        <v>Onsemi</v>
      </c>
      <c r="C4511" s="6">
        <v>8000</v>
      </c>
      <c r="D4511" s="7">
        <v>0.64</v>
      </c>
      <c r="E4511" t="s">
        <v>75</v>
      </c>
    </row>
    <row r="4512" spans="1:5" x14ac:dyDescent="0.25">
      <c r="A4512" t="str">
        <f>HYPERLINK("https://www.773grp.com/globalSearch/LM2903DG/page-1", "LM2903DG")</f>
        <v>LM2903DG</v>
      </c>
      <c r="B4512" s="3" t="str">
        <f>HYPERLINK("https://www.773grp.com/manufacturer/onsemi?pageNo=467", "Onsemi")</f>
        <v>Onsemi</v>
      </c>
      <c r="C4512" s="6">
        <v>15532</v>
      </c>
      <c r="D4512" s="7">
        <v>0.64</v>
      </c>
      <c r="E4512" t="s">
        <v>6</v>
      </c>
    </row>
    <row r="4513" spans="1:5" x14ac:dyDescent="0.25">
      <c r="A4513" t="str">
        <f>HYPERLINK("https://www.773grp.com/globalSearch/LM2903DR2/page-1", "LM2903DR2")</f>
        <v>LM2903DR2</v>
      </c>
      <c r="B4513" s="3" t="str">
        <f>HYPERLINK("https://www.773grp.com/manufacturer/onsemi?pageNo=468", "Onsemi")</f>
        <v>Onsemi</v>
      </c>
      <c r="C4513" s="6">
        <v>12789</v>
      </c>
      <c r="D4513" s="7">
        <v>0.64</v>
      </c>
      <c r="E4513" t="s">
        <v>6</v>
      </c>
    </row>
    <row r="4514" spans="1:5" x14ac:dyDescent="0.25">
      <c r="A4514" t="str">
        <f>HYPERLINK("https://www.773grp.com/globalSearch/LM2903DR2G/page-1", "LM2903DR2G")</f>
        <v>LM2903DR2G</v>
      </c>
      <c r="B4514" s="3" t="str">
        <f>HYPERLINK("https://www.773grp.com/manufacturer/onsemi?pageNo=469", "Onsemi")</f>
        <v>Onsemi</v>
      </c>
      <c r="C4514" s="6">
        <v>234680</v>
      </c>
      <c r="D4514" s="7">
        <v>0.64</v>
      </c>
      <c r="E4514" t="s">
        <v>6</v>
      </c>
    </row>
    <row r="4515" spans="1:5" x14ac:dyDescent="0.25">
      <c r="A4515" t="str">
        <f>HYPERLINK("https://www.773grp.com/globalSearch/LM2904DG/page-1", "LM2904DG")</f>
        <v>LM2904DG</v>
      </c>
      <c r="B4515" s="3" t="str">
        <f>HYPERLINK("https://www.773grp.com/manufacturer/onsemi?pageNo=470", "Onsemi")</f>
        <v>Onsemi</v>
      </c>
      <c r="C4515" s="6">
        <v>7498</v>
      </c>
      <c r="D4515" s="7">
        <v>0.64</v>
      </c>
      <c r="E4515" t="s">
        <v>10</v>
      </c>
    </row>
    <row r="4516" spans="1:5" x14ac:dyDescent="0.25">
      <c r="A4516" t="str">
        <f>HYPERLINK("https://www.773grp.com/globalSearch/LM2904DR2G/page-1", "LM2904DR2G")</f>
        <v>LM2904DR2G</v>
      </c>
      <c r="B4516" s="3" t="str">
        <f>HYPERLINK("https://www.773grp.com/manufacturer/onsemi?pageNo=471", "Onsemi")</f>
        <v>Onsemi</v>
      </c>
      <c r="C4516" s="6">
        <v>804189</v>
      </c>
      <c r="D4516" s="7">
        <v>0.64</v>
      </c>
      <c r="E4516" t="s">
        <v>10</v>
      </c>
    </row>
    <row r="4517" spans="1:5" x14ac:dyDescent="0.25">
      <c r="A4517" t="str">
        <f>HYPERLINK("https://www.773grp.com/globalSearch/LM2904DR2GH/page-1", "LM2904DR2GH")</f>
        <v>LM2904DR2GH</v>
      </c>
      <c r="B4517" s="3" t="str">
        <f>HYPERLINK("https://www.773grp.com/manufacturer/onsemi?pageNo=472", "Onsemi")</f>
        <v>Onsemi</v>
      </c>
      <c r="C4517" s="6">
        <v>1534</v>
      </c>
      <c r="D4517" s="7">
        <v>0.64</v>
      </c>
    </row>
    <row r="4518" spans="1:5" x14ac:dyDescent="0.25">
      <c r="A4518" t="str">
        <f>HYPERLINK("https://www.773grp.com/globalSearch/LM317LBZ/page-1", "LM317LBZ")</f>
        <v>LM317LBZ</v>
      </c>
      <c r="B4518" s="3" t="str">
        <f>HYPERLINK("https://www.773grp.com/manufacturer/onsemi?pageNo=473", "Onsemi")</f>
        <v>Onsemi</v>
      </c>
      <c r="C4518" s="6">
        <v>2000</v>
      </c>
      <c r="D4518" s="7">
        <v>0.64</v>
      </c>
      <c r="E4518" t="s">
        <v>18</v>
      </c>
    </row>
    <row r="4519" spans="1:5" x14ac:dyDescent="0.25">
      <c r="A4519" t="str">
        <f>HYPERLINK("https://www.773grp.com/globalSearch/LM317LBZRA/page-1", "LM317LBZRA")</f>
        <v>LM317LBZRA</v>
      </c>
      <c r="B4519" s="3" t="str">
        <f>HYPERLINK("https://www.773grp.com/manufacturer/onsemi?pageNo=474", "Onsemi")</f>
        <v>Onsemi</v>
      </c>
      <c r="C4519" s="6">
        <v>178000</v>
      </c>
      <c r="D4519" s="7">
        <v>0.64</v>
      </c>
      <c r="E4519" t="s">
        <v>18</v>
      </c>
    </row>
    <row r="4520" spans="1:5" x14ac:dyDescent="0.25">
      <c r="A4520" t="str">
        <f>HYPERLINK("https://www.773grp.com/globalSearch/LM317LBZRP/page-1", "LM317LBZRP")</f>
        <v>LM317LBZRP</v>
      </c>
      <c r="B4520" s="3" t="str">
        <f>HYPERLINK("https://www.773grp.com/manufacturer/onsemi?pageNo=475", "Onsemi")</f>
        <v>Onsemi</v>
      </c>
      <c r="C4520" s="6">
        <v>118</v>
      </c>
      <c r="D4520" s="7">
        <v>0.64</v>
      </c>
      <c r="E4520" t="s">
        <v>18</v>
      </c>
    </row>
    <row r="4521" spans="1:5" x14ac:dyDescent="0.25">
      <c r="A4521" t="str">
        <f>HYPERLINK("https://www.773grp.com/globalSearch/LM324DG/page-1", "LM324DG")</f>
        <v>LM324DG</v>
      </c>
      <c r="B4521" s="3" t="str">
        <f>HYPERLINK("https://www.773grp.com/manufacturer/onsemi?pageNo=476", "Onsemi")</f>
        <v>Onsemi</v>
      </c>
      <c r="C4521" s="6">
        <v>19716</v>
      </c>
      <c r="D4521" s="7">
        <v>0.64</v>
      </c>
      <c r="E4521" t="s">
        <v>10</v>
      </c>
    </row>
    <row r="4522" spans="1:5" x14ac:dyDescent="0.25">
      <c r="A4522" t="str">
        <f>HYPERLINK("https://www.773grp.com/globalSearch/LM324DR2G/page-1", "LM324DR2G")</f>
        <v>LM324DR2G</v>
      </c>
      <c r="B4522" s="3" t="str">
        <f>HYPERLINK("https://www.773grp.com/manufacturer/onsemi?pageNo=477", "Onsemi")</f>
        <v>Onsemi</v>
      </c>
      <c r="C4522" s="6">
        <v>191158</v>
      </c>
      <c r="D4522" s="7">
        <v>0.64</v>
      </c>
      <c r="E4522" t="s">
        <v>10</v>
      </c>
    </row>
    <row r="4523" spans="1:5" x14ac:dyDescent="0.25">
      <c r="A4523" t="str">
        <f>HYPERLINK("https://www.773grp.com/globalSearch/LM339ADR2/page-1", "LM339ADR2")</f>
        <v>LM339ADR2</v>
      </c>
      <c r="B4523" s="3" t="str">
        <f>HYPERLINK("https://www.773grp.com/manufacturer/onsemi?pageNo=478", "Onsemi")</f>
        <v>Onsemi</v>
      </c>
      <c r="C4523" s="6">
        <v>2500</v>
      </c>
      <c r="D4523" s="7">
        <v>0.64</v>
      </c>
      <c r="E4523" t="s">
        <v>6</v>
      </c>
    </row>
    <row r="4524" spans="1:5" x14ac:dyDescent="0.25">
      <c r="A4524" t="str">
        <f>HYPERLINK("https://www.773grp.com/globalSearch/LM339ADR2/page-1", "LM339ADR2")</f>
        <v>LM339ADR2</v>
      </c>
      <c r="B4524" s="3" t="str">
        <f>HYPERLINK("https://www.773grp.com/manufacturer/onsemi?pageNo=479", "Onsemi")</f>
        <v>Onsemi</v>
      </c>
      <c r="C4524" s="6">
        <v>5000</v>
      </c>
      <c r="D4524" s="7">
        <v>0.64</v>
      </c>
      <c r="E4524" t="s">
        <v>6</v>
      </c>
    </row>
    <row r="4525" spans="1:5" x14ac:dyDescent="0.25">
      <c r="A4525" t="str">
        <f>HYPERLINK("https://www.773grp.com/globalSearch/LM339AN/page-1", "LM339AN")</f>
        <v>LM339AN</v>
      </c>
      <c r="B4525" s="3" t="str">
        <f>HYPERLINK("https://www.773grp.com/manufacturer/onsemi?pageNo=480", "Onsemi")</f>
        <v>Onsemi</v>
      </c>
      <c r="C4525" s="6">
        <v>37734</v>
      </c>
      <c r="D4525" s="7">
        <v>0.64</v>
      </c>
      <c r="E4525" t="s">
        <v>6</v>
      </c>
    </row>
    <row r="4526" spans="1:5" x14ac:dyDescent="0.25">
      <c r="A4526" t="str">
        <f>HYPERLINK("https://www.773grp.com/globalSearch/LM339DG/page-1", "LM339DG")</f>
        <v>LM339DG</v>
      </c>
      <c r="B4526" s="3" t="str">
        <f>HYPERLINK("https://www.773grp.com/manufacturer/onsemi?pageNo=481", "Onsemi")</f>
        <v>Onsemi</v>
      </c>
      <c r="C4526" s="6">
        <v>8215</v>
      </c>
      <c r="D4526" s="7">
        <v>0.64</v>
      </c>
      <c r="E4526" t="s">
        <v>6</v>
      </c>
    </row>
    <row r="4527" spans="1:5" x14ac:dyDescent="0.25">
      <c r="A4527" t="str">
        <f>HYPERLINK("https://www.773grp.com/globalSearch/LM339DR2G/page-1", "LM339DR2G")</f>
        <v>LM339DR2G</v>
      </c>
      <c r="B4527" s="3" t="str">
        <f>HYPERLINK("https://www.773grp.com/manufacturer/onsemi?pageNo=482", "Onsemi")</f>
        <v>Onsemi</v>
      </c>
      <c r="C4527" s="6">
        <v>157781</v>
      </c>
      <c r="D4527" s="7">
        <v>0.64</v>
      </c>
      <c r="E4527" t="s">
        <v>6</v>
      </c>
    </row>
    <row r="4528" spans="1:5" x14ac:dyDescent="0.25">
      <c r="A4528" t="str">
        <f>HYPERLINK("https://www.773grp.com/globalSearch/LM339DR2GH/page-1", "LM339DR2GH")</f>
        <v>LM339DR2GH</v>
      </c>
      <c r="B4528" s="3" t="str">
        <f>HYPERLINK("https://www.773grp.com/manufacturer/onsemi?pageNo=483", "Onsemi")</f>
        <v>Onsemi</v>
      </c>
      <c r="C4528" s="6">
        <v>22500</v>
      </c>
      <c r="D4528" s="7">
        <v>0.64</v>
      </c>
    </row>
    <row r="4529" spans="1:5" x14ac:dyDescent="0.25">
      <c r="A4529" t="str">
        <f>HYPERLINK("https://www.773grp.com/globalSearch/LM358DG/page-1", "LM358DG")</f>
        <v>LM358DG</v>
      </c>
      <c r="B4529" s="3" t="str">
        <f>HYPERLINK("https://www.773grp.com/manufacturer/onsemi?pageNo=484", "Onsemi")</f>
        <v>Onsemi</v>
      </c>
      <c r="C4529" s="6">
        <v>4646</v>
      </c>
      <c r="D4529" s="7">
        <v>0.64</v>
      </c>
      <c r="E4529" t="s">
        <v>10</v>
      </c>
    </row>
    <row r="4530" spans="1:5" x14ac:dyDescent="0.25">
      <c r="A4530" t="str">
        <f>HYPERLINK("https://www.773grp.com/globalSearch/LM358DR2G/page-1", "LM358DR2G")</f>
        <v>LM358DR2G</v>
      </c>
      <c r="B4530" s="3" t="str">
        <f>HYPERLINK("https://www.773grp.com/manufacturer/onsemi?pageNo=485", "Onsemi")</f>
        <v>Onsemi</v>
      </c>
      <c r="C4530" s="6">
        <v>138528</v>
      </c>
      <c r="D4530" s="7">
        <v>0.64</v>
      </c>
      <c r="E4530" t="s">
        <v>10</v>
      </c>
    </row>
    <row r="4531" spans="1:5" x14ac:dyDescent="0.25">
      <c r="A4531" t="str">
        <f>HYPERLINK("https://www.773grp.com/globalSearch/LM358DR2GH/page-1", "LM358DR2GH")</f>
        <v>LM358DR2GH</v>
      </c>
      <c r="B4531" s="3" t="str">
        <f>HYPERLINK("https://www.773grp.com/manufacturer/onsemi?pageNo=486", "Onsemi")</f>
        <v>Onsemi</v>
      </c>
      <c r="C4531" s="6">
        <v>4475</v>
      </c>
      <c r="D4531" s="7">
        <v>0.64</v>
      </c>
    </row>
    <row r="4532" spans="1:5" x14ac:dyDescent="0.25">
      <c r="A4532" t="str">
        <f>HYPERLINK("https://www.773grp.com/globalSearch/LM393D/page-1", "LM393D")</f>
        <v>LM393D</v>
      </c>
      <c r="B4532" s="3" t="str">
        <f>HYPERLINK("https://www.773grp.com/manufacturer/onsemi?pageNo=487", "Onsemi")</f>
        <v>Onsemi</v>
      </c>
      <c r="C4532" s="6">
        <v>18997</v>
      </c>
      <c r="D4532" s="7">
        <v>0.64</v>
      </c>
      <c r="E4532" t="s">
        <v>6</v>
      </c>
    </row>
    <row r="4533" spans="1:5" x14ac:dyDescent="0.25">
      <c r="A4533" t="str">
        <f>HYPERLINK("https://www.773grp.com/globalSearch/LM393DG/page-1", "LM393DG")</f>
        <v>LM393DG</v>
      </c>
      <c r="B4533" s="3" t="str">
        <f>HYPERLINK("https://www.773grp.com/manufacturer/onsemi?pageNo=488", "Onsemi")</f>
        <v>Onsemi</v>
      </c>
      <c r="C4533" s="6">
        <v>10569</v>
      </c>
      <c r="D4533" s="7">
        <v>0.64</v>
      </c>
      <c r="E4533" t="s">
        <v>6</v>
      </c>
    </row>
    <row r="4534" spans="1:5" x14ac:dyDescent="0.25">
      <c r="A4534" t="str">
        <f>HYPERLINK("https://www.773grp.com/globalSearch/LM393DR2G/page-1", "LM393DR2G")</f>
        <v>LM393DR2G</v>
      </c>
      <c r="B4534" s="3" t="str">
        <f>HYPERLINK("https://www.773grp.com/manufacturer/onsemi?pageNo=489", "Onsemi")</f>
        <v>Onsemi</v>
      </c>
      <c r="C4534" s="6">
        <v>265016</v>
      </c>
      <c r="D4534" s="7">
        <v>0.64</v>
      </c>
      <c r="E4534" t="s">
        <v>6</v>
      </c>
    </row>
    <row r="4535" spans="1:5" x14ac:dyDescent="0.25">
      <c r="A4535" t="str">
        <f>HYPERLINK("https://www.773grp.com/globalSearch/LP2950CZ-3.3/page-1", "LP2950CZ-3.3")</f>
        <v>LP2950CZ-3.3</v>
      </c>
      <c r="B4535" s="3" t="str">
        <f>HYPERLINK("https://www.773grp.com/manufacturer/onsemi?pageNo=490", "Onsemi")</f>
        <v>Onsemi</v>
      </c>
      <c r="C4535" s="6">
        <v>78800</v>
      </c>
      <c r="D4535" s="7">
        <v>0.64</v>
      </c>
      <c r="E4535" t="s">
        <v>15</v>
      </c>
    </row>
    <row r="4536" spans="1:5" x14ac:dyDescent="0.25">
      <c r="A4536" t="str">
        <f>HYPERLINK("https://www.773grp.com/globalSearch/LP2950CZ-3.3RA/page-1", "LP2950CZ-3.3RA")</f>
        <v>LP2950CZ-3.3RA</v>
      </c>
      <c r="B4536" s="3" t="str">
        <f>HYPERLINK("https://www.773grp.com/manufacturer/onsemi?pageNo=491", "Onsemi")</f>
        <v>Onsemi</v>
      </c>
      <c r="C4536" s="6">
        <v>1116</v>
      </c>
      <c r="D4536" s="7">
        <v>0.64</v>
      </c>
      <c r="E4536" t="s">
        <v>15</v>
      </c>
    </row>
    <row r="4537" spans="1:5" x14ac:dyDescent="0.25">
      <c r="A4537" t="str">
        <f>HYPERLINK("https://www.773grp.com/globalSearch/LV51144T-TE-F-E/page-1", "LV51144T-TE-F-E")</f>
        <v>LV51144T-TE-F-E</v>
      </c>
      <c r="B4537" s="3" t="str">
        <f>HYPERLINK("https://www.773grp.com/manufacturer/onsemi?pageNo=492", "Onsemi")</f>
        <v>Onsemi</v>
      </c>
      <c r="C4537" s="6">
        <v>18000</v>
      </c>
      <c r="D4537" s="7">
        <v>0.64</v>
      </c>
    </row>
    <row r="4538" spans="1:5" x14ac:dyDescent="0.25">
      <c r="A4538" t="str">
        <f>HYPERLINK("https://www.773grp.com/globalSearch/MAC97A4G/page-1", "MAC97A4G")</f>
        <v>MAC97A4G</v>
      </c>
      <c r="B4538" s="3" t="str">
        <f>HYPERLINK("https://www.773grp.com/manufacturer/onsemi?pageNo=493", "Onsemi")</f>
        <v>Onsemi</v>
      </c>
      <c r="C4538" s="6">
        <v>54633</v>
      </c>
      <c r="D4538" s="7">
        <v>0.64</v>
      </c>
      <c r="E4538" t="s">
        <v>81</v>
      </c>
    </row>
    <row r="4539" spans="1:5" x14ac:dyDescent="0.25">
      <c r="A4539" t="str">
        <f>HYPERLINK("https://www.773grp.com/globalSearch/MAC97A6G/page-1", "MAC97A6G")</f>
        <v>MAC97A6G</v>
      </c>
      <c r="B4539" s="3" t="str">
        <f>HYPERLINK("https://www.773grp.com/manufacturer/onsemi?pageNo=494", "Onsemi")</f>
        <v>Onsemi</v>
      </c>
      <c r="C4539" s="6">
        <v>216142</v>
      </c>
      <c r="D4539" s="7">
        <v>0.64</v>
      </c>
      <c r="E4539" t="s">
        <v>81</v>
      </c>
    </row>
    <row r="4540" spans="1:5" x14ac:dyDescent="0.25">
      <c r="A4540" t="str">
        <f>HYPERLINK("https://www.773grp.com/globalSearch/MAC97A6RL1G/page-1", "MAC97A6RL1G")</f>
        <v>MAC97A6RL1G</v>
      </c>
      <c r="B4540" s="3" t="str">
        <f>HYPERLINK("https://www.773grp.com/manufacturer/onsemi?pageNo=495", "Onsemi")</f>
        <v>Onsemi</v>
      </c>
      <c r="C4540" s="6">
        <v>20000</v>
      </c>
      <c r="D4540" s="7">
        <v>0.64</v>
      </c>
      <c r="E4540" t="s">
        <v>81</v>
      </c>
    </row>
    <row r="4541" spans="1:5" x14ac:dyDescent="0.25">
      <c r="A4541" t="str">
        <f>HYPERLINK("https://www.773grp.com/globalSearch/MAC97A6RLRPG/page-1", "MAC97A6RLRPG")</f>
        <v>MAC97A6RLRPG</v>
      </c>
      <c r="B4541" s="3" t="str">
        <f>HYPERLINK("https://www.773grp.com/manufacturer/onsemi?pageNo=496", "Onsemi")</f>
        <v>Onsemi</v>
      </c>
      <c r="C4541" s="6">
        <v>2000</v>
      </c>
      <c r="D4541" s="7">
        <v>0.64</v>
      </c>
      <c r="E4541" t="s">
        <v>81</v>
      </c>
    </row>
    <row r="4542" spans="1:5" x14ac:dyDescent="0.25">
      <c r="A4542" t="str">
        <f>HYPERLINK("https://www.773grp.com/globalSearch/MAC97A8G/page-1", "MAC97A8G")</f>
        <v>MAC97A8G</v>
      </c>
      <c r="B4542" s="3" t="str">
        <f>HYPERLINK("https://www.773grp.com/manufacturer/onsemi?pageNo=497", "Onsemi")</f>
        <v>Onsemi</v>
      </c>
      <c r="C4542" s="6">
        <v>530209</v>
      </c>
      <c r="D4542" s="7">
        <v>0.64</v>
      </c>
      <c r="E4542" t="s">
        <v>81</v>
      </c>
    </row>
    <row r="4543" spans="1:5" x14ac:dyDescent="0.25">
      <c r="A4543" t="str">
        <f>HYPERLINK("https://www.773grp.com/globalSearch/MAC97A8RL1G/page-1", "MAC97A8RL1G")</f>
        <v>MAC97A8RL1G</v>
      </c>
      <c r="B4543" s="3" t="str">
        <f>HYPERLINK("https://www.773grp.com/manufacturer/onsemi?pageNo=498", "Onsemi")</f>
        <v>Onsemi</v>
      </c>
      <c r="C4543" s="6">
        <v>4750</v>
      </c>
      <c r="D4543" s="7">
        <v>0.64</v>
      </c>
      <c r="E4543" t="s">
        <v>81</v>
      </c>
    </row>
    <row r="4544" spans="1:5" x14ac:dyDescent="0.25">
      <c r="A4544" t="str">
        <f>HYPERLINK("https://www.773grp.com/globalSearch/MAC97A8RLRMG/page-1", "MAC97A8RLRMG")</f>
        <v>MAC97A8RLRMG</v>
      </c>
      <c r="B4544" s="3" t="str">
        <f>HYPERLINK("https://www.773grp.com/manufacturer/onsemi?pageNo=499", "Onsemi")</f>
        <v>Onsemi</v>
      </c>
      <c r="C4544" s="6">
        <v>4000</v>
      </c>
      <c r="D4544" s="7">
        <v>0.64</v>
      </c>
    </row>
    <row r="4545" spans="1:5" x14ac:dyDescent="0.25">
      <c r="A4545" t="str">
        <f>HYPERLINK("https://www.773grp.com/globalSearch/MAC97A8RLRPG/page-1", "MAC97A8RLRPG")</f>
        <v>MAC97A8RLRPG</v>
      </c>
      <c r="B4545" s="3" t="str">
        <f>HYPERLINK("https://www.773grp.com/manufacturer/onsemi?pageNo=500", "Onsemi")</f>
        <v>Onsemi</v>
      </c>
      <c r="C4545" s="6">
        <v>5972</v>
      </c>
      <c r="D4545" s="7">
        <v>0.64</v>
      </c>
      <c r="E4545" t="s">
        <v>81</v>
      </c>
    </row>
    <row r="4546" spans="1:5" x14ac:dyDescent="0.25">
      <c r="A4546" t="str">
        <f>HYPERLINK("https://www.773grp.com/globalSearch/MAC997A8RL1G/page-1", "MAC997A8RL1G")</f>
        <v>MAC997A8RL1G</v>
      </c>
      <c r="B4546" s="3" t="str">
        <f>HYPERLINK("https://www.773grp.com/manufacturer/onsemi?pageNo=501", "Onsemi")</f>
        <v>Onsemi</v>
      </c>
      <c r="C4546" s="6">
        <v>2000</v>
      </c>
      <c r="D4546" s="7">
        <v>0.64</v>
      </c>
    </row>
    <row r="4547" spans="1:5" x14ac:dyDescent="0.25">
      <c r="A4547" t="str">
        <f>HYPERLINK("https://www.773grp.com/globalSearch/MAC997A8RLRPG/page-1", "MAC997A8RLRPG")</f>
        <v>MAC997A8RLRPG</v>
      </c>
      <c r="B4547" s="3" t="str">
        <f>HYPERLINK("https://www.773grp.com/manufacturer/onsemi?pageNo=502", "Onsemi")</f>
        <v>Onsemi</v>
      </c>
      <c r="C4547" s="6">
        <v>2000</v>
      </c>
      <c r="D4547" s="7">
        <v>0.64</v>
      </c>
      <c r="E4547" t="s">
        <v>81</v>
      </c>
    </row>
    <row r="4548" spans="1:5" x14ac:dyDescent="0.25">
      <c r="A4548" t="str">
        <f>HYPERLINK("https://www.773grp.com/globalSearch/MAX809RTR/page-1", "MAX809RTR")</f>
        <v>MAX809RTR</v>
      </c>
      <c r="B4548" s="3" t="str">
        <f>HYPERLINK("https://www.773grp.com/manufacturer/onsemi?pageNo=503", "Onsemi")</f>
        <v>Onsemi</v>
      </c>
      <c r="C4548" s="6">
        <v>2910</v>
      </c>
      <c r="D4548" s="7">
        <v>0.64</v>
      </c>
      <c r="E4548" t="s">
        <v>26</v>
      </c>
    </row>
    <row r="4549" spans="1:5" x14ac:dyDescent="0.25">
      <c r="A4549" t="str">
        <f>HYPERLINK("https://www.773grp.com/globalSearch/MAX809STR/page-1", "MAX809STR")</f>
        <v>MAX809STR</v>
      </c>
      <c r="B4549" s="3" t="str">
        <f>HYPERLINK("https://www.773grp.com/manufacturer/onsemi?pageNo=504", "Onsemi")</f>
        <v>Onsemi</v>
      </c>
      <c r="C4549" s="6">
        <v>69129</v>
      </c>
      <c r="D4549" s="7">
        <v>0.64</v>
      </c>
      <c r="E4549" t="s">
        <v>26</v>
      </c>
    </row>
    <row r="4550" spans="1:5" x14ac:dyDescent="0.25">
      <c r="A4550" t="str">
        <f>HYPERLINK("https://www.773grp.com/globalSearch/MAX810LTR/page-1", "MAX810LTR")</f>
        <v>MAX810LTR</v>
      </c>
      <c r="B4550" s="3" t="str">
        <f>HYPERLINK("https://www.773grp.com/manufacturer/onsemi?pageNo=505", "Onsemi")</f>
        <v>Onsemi</v>
      </c>
      <c r="C4550" s="6">
        <v>9000</v>
      </c>
      <c r="D4550" s="7">
        <v>0.64</v>
      </c>
      <c r="E4550" t="s">
        <v>26</v>
      </c>
    </row>
    <row r="4551" spans="1:5" x14ac:dyDescent="0.25">
      <c r="A4551" t="str">
        <f>HYPERLINK("https://www.773grp.com/globalSearch/MAX810MTR/page-1", "MAX810MTR")</f>
        <v>MAX810MTR</v>
      </c>
      <c r="B4551" s="3" t="str">
        <f>HYPERLINK("https://www.773grp.com/manufacturer/onsemi?pageNo=506", "Onsemi")</f>
        <v>Onsemi</v>
      </c>
      <c r="C4551" s="6">
        <v>9000</v>
      </c>
      <c r="D4551" s="7">
        <v>0.64</v>
      </c>
      <c r="E4551" t="s">
        <v>26</v>
      </c>
    </row>
    <row r="4552" spans="1:5" x14ac:dyDescent="0.25">
      <c r="A4552" t="str">
        <f>HYPERLINK("https://www.773grp.com/globalSearch/MAX810RTR/page-1", "MAX810RTR")</f>
        <v>MAX810RTR</v>
      </c>
      <c r="B4552" s="3" t="str">
        <f>HYPERLINK("https://www.773grp.com/manufacturer/onsemi?pageNo=507", "Onsemi")</f>
        <v>Onsemi</v>
      </c>
      <c r="C4552" s="6">
        <v>5375</v>
      </c>
      <c r="D4552" s="7">
        <v>0.64</v>
      </c>
      <c r="E4552" t="s">
        <v>26</v>
      </c>
    </row>
    <row r="4553" spans="1:5" x14ac:dyDescent="0.25">
      <c r="A4553" t="str">
        <f>HYPERLINK("https://www.773grp.com/globalSearch/MAX810STR/page-1", "MAX810STR")</f>
        <v>MAX810STR</v>
      </c>
      <c r="B4553" s="3" t="str">
        <f>HYPERLINK("https://www.773grp.com/manufacturer/onsemi?pageNo=508", "Onsemi")</f>
        <v>Onsemi</v>
      </c>
      <c r="C4553" s="6">
        <v>930</v>
      </c>
      <c r="D4553" s="7">
        <v>0.64</v>
      </c>
      <c r="E4553" t="s">
        <v>26</v>
      </c>
    </row>
    <row r="4554" spans="1:5" x14ac:dyDescent="0.25">
      <c r="A4554" t="str">
        <f>HYPERLINK("https://www.773grp.com/globalSearch/MAX810TTR/page-1", "MAX810TTR")</f>
        <v>MAX810TTR</v>
      </c>
      <c r="B4554" s="3" t="str">
        <f>HYPERLINK("https://www.773grp.com/manufacturer/onsemi?pageNo=509", "Onsemi")</f>
        <v>Onsemi</v>
      </c>
      <c r="C4554" s="6">
        <v>5820</v>
      </c>
      <c r="D4554" s="7">
        <v>0.64</v>
      </c>
      <c r="E4554" t="s">
        <v>26</v>
      </c>
    </row>
    <row r="4555" spans="1:5" x14ac:dyDescent="0.25">
      <c r="A4555" t="str">
        <f>HYPERLINK("https://www.773grp.com/globalSearch/MBRS2040LT3G/page-1", "MBRS2040LT3G")</f>
        <v>MBRS2040LT3G</v>
      </c>
      <c r="B4555" s="3" t="str">
        <f>HYPERLINK("https://www.773grp.com/manufacturer/onsemi?pageNo=510", "Onsemi")</f>
        <v>Onsemi</v>
      </c>
      <c r="C4555" s="6">
        <v>49637</v>
      </c>
      <c r="D4555" s="7">
        <v>0.64</v>
      </c>
      <c r="E4555" t="s">
        <v>82</v>
      </c>
    </row>
    <row r="4556" spans="1:5" x14ac:dyDescent="0.25">
      <c r="A4556" t="str">
        <f>HYPERLINK("https://www.773grp.com/globalSearch/MBRS240LT3G/page-1", "MBRS240LT3G")</f>
        <v>MBRS240LT3G</v>
      </c>
      <c r="B4556" s="3" t="str">
        <f>HYPERLINK("https://www.773grp.com/manufacturer/onsemi?pageNo=511", "Onsemi")</f>
        <v>Onsemi</v>
      </c>
      <c r="C4556" s="6">
        <v>32499</v>
      </c>
      <c r="D4556" s="7">
        <v>0.64</v>
      </c>
      <c r="E4556" t="s">
        <v>82</v>
      </c>
    </row>
    <row r="4557" spans="1:5" x14ac:dyDescent="0.25">
      <c r="A4557" t="str">
        <f>HYPERLINK("https://www.773grp.com/globalSearch/MC14018BCP/page-1", "MC14018BCP")</f>
        <v>MC14018BCP</v>
      </c>
      <c r="B4557" s="3" t="str">
        <f>HYPERLINK("https://www.773grp.com/manufacturer/onsemi?pageNo=512", "Onsemi")</f>
        <v>Onsemi</v>
      </c>
      <c r="C4557" s="6">
        <v>54</v>
      </c>
      <c r="D4557" s="7">
        <v>0.64</v>
      </c>
      <c r="E4557" t="s">
        <v>22</v>
      </c>
    </row>
    <row r="4558" spans="1:5" x14ac:dyDescent="0.25">
      <c r="A4558" t="str">
        <f>HYPERLINK("https://www.773grp.com/globalSearch/MC14029BCP/page-1", "MC14029BCP")</f>
        <v>MC14029BCP</v>
      </c>
      <c r="B4558" s="3" t="str">
        <f>HYPERLINK("https://www.773grp.com/manufacturer/onsemi?pageNo=513", "Onsemi")</f>
        <v>Onsemi</v>
      </c>
      <c r="C4558" s="6">
        <v>2031</v>
      </c>
      <c r="D4558" s="7">
        <v>0.64</v>
      </c>
      <c r="E4558" t="s">
        <v>22</v>
      </c>
    </row>
    <row r="4559" spans="1:5" x14ac:dyDescent="0.25">
      <c r="A4559" t="str">
        <f>HYPERLINK("https://www.773grp.com/globalSearch/MC14518BDWR2/page-1", "MC14518BDWR2")</f>
        <v>MC14518BDWR2</v>
      </c>
      <c r="B4559" s="3" t="str">
        <f>HYPERLINK("https://www.773grp.com/manufacturer/onsemi?pageNo=514", "Onsemi")</f>
        <v>Onsemi</v>
      </c>
      <c r="C4559" s="6">
        <v>1207</v>
      </c>
      <c r="D4559" s="7">
        <v>0.64</v>
      </c>
      <c r="E4559" t="s">
        <v>22</v>
      </c>
    </row>
    <row r="4560" spans="1:5" x14ac:dyDescent="0.25">
      <c r="A4560" t="str">
        <f>HYPERLINK("https://www.773grp.com/globalSearch/MC14520B/page-1", "MC14520B")</f>
        <v>MC14520B</v>
      </c>
      <c r="B4560" s="3" t="str">
        <f>HYPERLINK("https://www.773grp.com/manufacturer/onsemi?pageNo=515", "Onsemi")</f>
        <v>Onsemi</v>
      </c>
      <c r="C4560" s="6">
        <v>234</v>
      </c>
      <c r="D4560" s="7">
        <v>0.64</v>
      </c>
    </row>
    <row r="4561" spans="1:5" x14ac:dyDescent="0.25">
      <c r="A4561" t="str">
        <f>HYPERLINK("https://www.773grp.com/globalSearch/MC14520BCP/page-1", "MC14520BCP")</f>
        <v>MC14520BCP</v>
      </c>
      <c r="B4561" s="3" t="str">
        <f>HYPERLINK("https://www.773grp.com/manufacturer/onsemi?pageNo=516", "Onsemi")</f>
        <v>Onsemi</v>
      </c>
      <c r="C4561" s="6">
        <v>50</v>
      </c>
      <c r="D4561" s="7">
        <v>0.64</v>
      </c>
      <c r="E4561" t="s">
        <v>22</v>
      </c>
    </row>
    <row r="4562" spans="1:5" x14ac:dyDescent="0.25">
      <c r="A4562" t="str">
        <f>HYPERLINK("https://www.773grp.com/globalSearch/MC14528BF/page-1", "MC14528BF")</f>
        <v>MC14528BF</v>
      </c>
      <c r="B4562" s="3" t="str">
        <f>HYPERLINK("https://www.773grp.com/manufacturer/onsemi?pageNo=517", "Onsemi")</f>
        <v>Onsemi</v>
      </c>
      <c r="C4562" s="6">
        <v>311</v>
      </c>
      <c r="D4562" s="7">
        <v>0.64</v>
      </c>
      <c r="E4562" t="s">
        <v>44</v>
      </c>
    </row>
    <row r="4563" spans="1:5" x14ac:dyDescent="0.25">
      <c r="A4563" t="str">
        <f>HYPERLINK("https://www.773grp.com/globalSearch/MC14538BF/page-1", "MC14538BF")</f>
        <v>MC14538BF</v>
      </c>
      <c r="B4563" s="3" t="str">
        <f>HYPERLINK("https://www.773grp.com/manufacturer/onsemi?pageNo=518", "Onsemi")</f>
        <v>Onsemi</v>
      </c>
      <c r="C4563" s="6">
        <v>41</v>
      </c>
      <c r="D4563" s="7">
        <v>0.64</v>
      </c>
      <c r="E4563" t="s">
        <v>44</v>
      </c>
    </row>
    <row r="4564" spans="1:5" x14ac:dyDescent="0.25">
      <c r="A4564" t="str">
        <f>HYPERLINK("https://www.773grp.com/globalSearch/MC14543BCP/page-1", "MC14543BCP")</f>
        <v>MC14543BCP</v>
      </c>
      <c r="B4564" s="3" t="str">
        <f>HYPERLINK("https://www.773grp.com/manufacturer/onsemi?pageNo=519", "Onsemi")</f>
        <v>Onsemi</v>
      </c>
      <c r="C4564" s="6">
        <v>5946</v>
      </c>
      <c r="D4564" s="7">
        <v>0.64</v>
      </c>
      <c r="E4564" t="s">
        <v>32</v>
      </c>
    </row>
    <row r="4565" spans="1:5" x14ac:dyDescent="0.25">
      <c r="A4565" t="str">
        <f>HYPERLINK("https://www.773grp.com/globalSearch/MC14543BF/page-1", "MC14543BF")</f>
        <v>MC14543BF</v>
      </c>
      <c r="B4565" s="3" t="str">
        <f>HYPERLINK("https://www.773grp.com/manufacturer/onsemi?pageNo=520", "Onsemi")</f>
        <v>Onsemi</v>
      </c>
      <c r="C4565" s="6">
        <v>964</v>
      </c>
      <c r="D4565" s="7">
        <v>0.64</v>
      </c>
      <c r="E4565" t="s">
        <v>32</v>
      </c>
    </row>
    <row r="4566" spans="1:5" x14ac:dyDescent="0.25">
      <c r="A4566" t="str">
        <f>HYPERLINK("https://www.773grp.com/globalSearch/MC14555BD/page-1", "MC14555BD")</f>
        <v>MC14555BD</v>
      </c>
      <c r="B4566" s="3" t="str">
        <f>HYPERLINK("https://www.773grp.com/manufacturer/onsemi?pageNo=521", "Onsemi")</f>
        <v>Onsemi</v>
      </c>
      <c r="C4566" s="6">
        <v>2836</v>
      </c>
      <c r="D4566" s="7">
        <v>0.64</v>
      </c>
      <c r="E4566" t="s">
        <v>32</v>
      </c>
    </row>
    <row r="4567" spans="1:5" x14ac:dyDescent="0.25">
      <c r="A4567" t="str">
        <f>HYPERLINK("https://www.773grp.com/globalSearch/MC14555BDR2/page-1", "MC14555BDR2")</f>
        <v>MC14555BDR2</v>
      </c>
      <c r="B4567" s="3" t="str">
        <f>HYPERLINK("https://www.773grp.com/manufacturer/onsemi?pageNo=522", "Onsemi")</f>
        <v>Onsemi</v>
      </c>
      <c r="C4567" s="6">
        <v>5000</v>
      </c>
      <c r="D4567" s="7">
        <v>0.64</v>
      </c>
      <c r="E4567" t="s">
        <v>32</v>
      </c>
    </row>
    <row r="4568" spans="1:5" x14ac:dyDescent="0.25">
      <c r="A4568" t="str">
        <f>HYPERLINK("https://www.773grp.com/globalSearch/MC1488DR2/page-1", "MC1488DR2")</f>
        <v>MC1488DR2</v>
      </c>
      <c r="B4568" s="3" t="str">
        <f>HYPERLINK("https://www.773grp.com/manufacturer/onsemi?pageNo=523", "Onsemi")</f>
        <v>Onsemi</v>
      </c>
      <c r="C4568" s="6">
        <v>7500</v>
      </c>
      <c r="D4568" s="7">
        <v>0.64</v>
      </c>
      <c r="E4568" t="s">
        <v>17</v>
      </c>
    </row>
    <row r="4569" spans="1:5" x14ac:dyDescent="0.25">
      <c r="A4569" t="str">
        <f>HYPERLINK("https://www.773grp.com/globalSearch/MC1489AP/page-1", "MC1489AP")</f>
        <v>MC1489AP</v>
      </c>
      <c r="B4569" s="3" t="str">
        <f>HYPERLINK("https://www.773grp.com/manufacturer/onsemi?pageNo=524", "Onsemi")</f>
        <v>Onsemi</v>
      </c>
      <c r="C4569" s="6">
        <v>4003</v>
      </c>
      <c r="D4569" s="7">
        <v>0.64</v>
      </c>
      <c r="E4569" t="s">
        <v>17</v>
      </c>
    </row>
    <row r="4570" spans="1:5" x14ac:dyDescent="0.25">
      <c r="A4570" t="str">
        <f>HYPERLINK("https://www.773grp.com/globalSearch/MC1489D/page-1", "MC1489D")</f>
        <v>MC1489D</v>
      </c>
      <c r="B4570" s="3" t="str">
        <f>HYPERLINK("https://www.773grp.com/manufacturer/onsemi?pageNo=525", "Onsemi")</f>
        <v>Onsemi</v>
      </c>
      <c r="C4570" s="6">
        <v>2208</v>
      </c>
      <c r="D4570" s="7">
        <v>0.64</v>
      </c>
      <c r="E4570" t="s">
        <v>17</v>
      </c>
    </row>
    <row r="4571" spans="1:5" x14ac:dyDescent="0.25">
      <c r="A4571" t="str">
        <f>HYPERLINK("https://www.773grp.com/globalSearch/MC3403D/page-1", "MC3403D")</f>
        <v>MC3403D</v>
      </c>
      <c r="B4571" s="3" t="str">
        <f>HYPERLINK("https://www.773grp.com/manufacturer/onsemi?pageNo=526", "Onsemi")</f>
        <v>Onsemi</v>
      </c>
      <c r="C4571" s="6">
        <v>1160</v>
      </c>
      <c r="D4571" s="7">
        <v>0.64</v>
      </c>
      <c r="E4571" t="s">
        <v>10</v>
      </c>
    </row>
    <row r="4572" spans="1:5" x14ac:dyDescent="0.25">
      <c r="A4572" t="str">
        <f>HYPERLINK("https://www.773grp.com/globalSearch/MC3403P/page-1", "MC3403P")</f>
        <v>MC3403P</v>
      </c>
      <c r="B4572" s="3" t="str">
        <f>HYPERLINK("https://www.773grp.com/manufacturer/onsemi?pageNo=527", "Onsemi")</f>
        <v>Onsemi</v>
      </c>
      <c r="C4572" s="6">
        <v>3</v>
      </c>
      <c r="D4572" s="7">
        <v>0.64</v>
      </c>
      <c r="E4572" t="s">
        <v>10</v>
      </c>
    </row>
    <row r="4573" spans="1:5" x14ac:dyDescent="0.25">
      <c r="A4573" t="str">
        <f>HYPERLINK("https://www.773grp.com/globalSearch/MC34164DM-5R2/page-1", "MC34164DM-5R2")</f>
        <v>MC34164DM-5R2</v>
      </c>
      <c r="B4573" s="3" t="str">
        <f>HYPERLINK("https://www.773grp.com/manufacturer/onsemi?pageNo=528", "Onsemi")</f>
        <v>Onsemi</v>
      </c>
      <c r="C4573" s="6">
        <v>7919</v>
      </c>
      <c r="D4573" s="7">
        <v>0.64</v>
      </c>
      <c r="E4573" t="s">
        <v>26</v>
      </c>
    </row>
    <row r="4574" spans="1:5" x14ac:dyDescent="0.25">
      <c r="A4574" t="str">
        <f>HYPERLINK("https://www.773grp.com/globalSearch/MC34164P-3RP/page-1", "MC34164P-3RP")</f>
        <v>MC34164P-3RP</v>
      </c>
      <c r="B4574" s="3" t="str">
        <f>HYPERLINK("https://www.773grp.com/manufacturer/onsemi?pageNo=529", "Onsemi")</f>
        <v>Onsemi</v>
      </c>
      <c r="C4574" s="6">
        <v>1818</v>
      </c>
      <c r="D4574" s="7">
        <v>0.64</v>
      </c>
      <c r="E4574" t="s">
        <v>26</v>
      </c>
    </row>
    <row r="4575" spans="1:5" x14ac:dyDescent="0.25">
      <c r="A4575" t="str">
        <f>HYPERLINK("https://www.773grp.com/globalSearch/MC34164P-5RP/page-1", "MC34164P-5RP")</f>
        <v>MC34164P-5RP</v>
      </c>
      <c r="B4575" s="3" t="str">
        <f>HYPERLINK("https://www.773grp.com/manufacturer/onsemi?pageNo=530", "Onsemi")</f>
        <v>Onsemi</v>
      </c>
      <c r="C4575" s="6">
        <v>3988</v>
      </c>
      <c r="D4575" s="7">
        <v>0.64</v>
      </c>
      <c r="E4575" t="s">
        <v>26</v>
      </c>
    </row>
    <row r="4576" spans="1:5" x14ac:dyDescent="0.25">
      <c r="A4576" t="str">
        <f>HYPERLINK("https://www.773grp.com/globalSearch/MC74AC174D/page-1", "MC74AC174D")</f>
        <v>MC74AC174D</v>
      </c>
      <c r="B4576" s="3" t="str">
        <f>HYPERLINK("https://www.773grp.com/manufacturer/onsemi?pageNo=531", "Onsemi")</f>
        <v>Onsemi</v>
      </c>
      <c r="C4576" s="6">
        <v>4250</v>
      </c>
      <c r="D4576" s="7">
        <v>0.64</v>
      </c>
      <c r="E4576" t="s">
        <v>31</v>
      </c>
    </row>
    <row r="4577" spans="1:5" x14ac:dyDescent="0.25">
      <c r="A4577" t="str">
        <f>HYPERLINK("https://www.773grp.com/globalSearch/MC74AC174D/page-1", "MC74AC174D")</f>
        <v>MC74AC174D</v>
      </c>
      <c r="B4577" s="3" t="str">
        <f>HYPERLINK("https://www.773grp.com/manufacturer/onsemi?pageNo=532", "Onsemi")</f>
        <v>Onsemi</v>
      </c>
      <c r="C4577" s="6">
        <v>6266</v>
      </c>
      <c r="D4577" s="7">
        <v>0.64</v>
      </c>
      <c r="E4577" t="s">
        <v>31</v>
      </c>
    </row>
    <row r="4578" spans="1:5" x14ac:dyDescent="0.25">
      <c r="A4578" t="str">
        <f>HYPERLINK("https://www.773grp.com/globalSearch/MC74AC245N/page-1", "MC74AC245N")</f>
        <v>MC74AC245N</v>
      </c>
      <c r="B4578" s="3" t="str">
        <f>HYPERLINK("https://www.773grp.com/manufacturer/onsemi?pageNo=533", "Onsemi")</f>
        <v>Onsemi</v>
      </c>
      <c r="C4578" s="6">
        <v>2602</v>
      </c>
      <c r="D4578" s="7">
        <v>0.64</v>
      </c>
      <c r="E4578" t="s">
        <v>11</v>
      </c>
    </row>
    <row r="4579" spans="1:5" x14ac:dyDescent="0.25">
      <c r="A4579" t="str">
        <f>HYPERLINK("https://www.773grp.com/globalSearch/MC74AC253D/page-1", "MC74AC253D")</f>
        <v>MC74AC253D</v>
      </c>
      <c r="B4579" s="3" t="str">
        <f>HYPERLINK("https://www.773grp.com/manufacturer/onsemi?pageNo=534", "Onsemi")</f>
        <v>Onsemi</v>
      </c>
      <c r="C4579" s="6">
        <v>2447</v>
      </c>
      <c r="D4579" s="7">
        <v>0.64</v>
      </c>
      <c r="E4579" t="s">
        <v>16</v>
      </c>
    </row>
    <row r="4580" spans="1:5" x14ac:dyDescent="0.25">
      <c r="A4580" t="str">
        <f>HYPERLINK("https://www.773grp.com/globalSearch/MC74AC253D/page-1", "MC74AC253D")</f>
        <v>MC74AC253D</v>
      </c>
      <c r="B4580" s="3" t="str">
        <f>HYPERLINK("https://www.773grp.com/manufacturer/onsemi?pageNo=535", "Onsemi")</f>
        <v>Onsemi</v>
      </c>
      <c r="C4580" s="6">
        <v>48</v>
      </c>
      <c r="D4580" s="7">
        <v>0.64</v>
      </c>
      <c r="E4580" t="s">
        <v>16</v>
      </c>
    </row>
    <row r="4581" spans="1:5" x14ac:dyDescent="0.25">
      <c r="A4581" t="str">
        <f>HYPERLINK("https://www.773grp.com/globalSearch/MC74AC257D/page-1", "MC74AC257D")</f>
        <v>MC74AC257D</v>
      </c>
      <c r="B4581" s="3" t="str">
        <f>HYPERLINK("https://www.773grp.com/manufacturer/onsemi?pageNo=536", "Onsemi")</f>
        <v>Onsemi</v>
      </c>
      <c r="C4581" s="6">
        <v>18333</v>
      </c>
      <c r="D4581" s="7">
        <v>0.64</v>
      </c>
      <c r="E4581" t="s">
        <v>16</v>
      </c>
    </row>
    <row r="4582" spans="1:5" x14ac:dyDescent="0.25">
      <c r="A4582" t="str">
        <f>HYPERLINK("https://www.773grp.com/globalSearch/MC74AC257N/page-1", "MC74AC257N")</f>
        <v>MC74AC257N</v>
      </c>
      <c r="B4582" s="3" t="str">
        <f>HYPERLINK("https://www.773grp.com/manufacturer/onsemi?pageNo=537", "Onsemi")</f>
        <v>Onsemi</v>
      </c>
      <c r="C4582" s="6">
        <v>2725</v>
      </c>
      <c r="D4582" s="7">
        <v>0.64</v>
      </c>
      <c r="E4582" t="s">
        <v>16</v>
      </c>
    </row>
    <row r="4583" spans="1:5" x14ac:dyDescent="0.25">
      <c r="A4583" t="str">
        <f>HYPERLINK("https://www.773grp.com/globalSearch/MC74AC374DT/page-1", "MC74AC374DT")</f>
        <v>MC74AC374DT</v>
      </c>
      <c r="B4583" s="3" t="str">
        <f>HYPERLINK("https://www.773grp.com/manufacturer/onsemi?pageNo=538", "Onsemi")</f>
        <v>Onsemi</v>
      </c>
      <c r="C4583" s="6">
        <v>6000</v>
      </c>
      <c r="D4583" s="7">
        <v>0.64</v>
      </c>
      <c r="E4583" t="s">
        <v>11</v>
      </c>
    </row>
    <row r="4584" spans="1:5" x14ac:dyDescent="0.25">
      <c r="A4584" t="str">
        <f>HYPERLINK("https://www.773grp.com/globalSearch/MC74AC374N/page-1", "MC74AC374N")</f>
        <v>MC74AC374N</v>
      </c>
      <c r="B4584" s="3" t="str">
        <f>HYPERLINK("https://www.773grp.com/manufacturer/onsemi?pageNo=539", "Onsemi")</f>
        <v>Onsemi</v>
      </c>
      <c r="C4584" s="6">
        <v>1368</v>
      </c>
      <c r="D4584" s="7">
        <v>0.64</v>
      </c>
      <c r="E4584" t="s">
        <v>11</v>
      </c>
    </row>
    <row r="4585" spans="1:5" x14ac:dyDescent="0.25">
      <c r="A4585" t="str">
        <f>HYPERLINK("https://www.773grp.com/globalSearch/MC74AC377N/page-1", "MC74AC377N")</f>
        <v>MC74AC377N</v>
      </c>
      <c r="B4585" s="3" t="str">
        <f>HYPERLINK("https://www.773grp.com/manufacturer/onsemi?pageNo=540", "Onsemi")</f>
        <v>Onsemi</v>
      </c>
      <c r="C4585" s="6">
        <v>5476</v>
      </c>
      <c r="D4585" s="7">
        <v>0.64</v>
      </c>
      <c r="E4585" t="s">
        <v>31</v>
      </c>
    </row>
    <row r="4586" spans="1:5" x14ac:dyDescent="0.25">
      <c r="A4586" t="str">
        <f>HYPERLINK("https://www.773grp.com/globalSearch/MC74AC573N/page-1", "MC74AC573N")</f>
        <v>MC74AC573N</v>
      </c>
      <c r="B4586" s="3" t="str">
        <f>HYPERLINK("https://www.773grp.com/manufacturer/onsemi?pageNo=541", "Onsemi")</f>
        <v>Onsemi</v>
      </c>
      <c r="C4586" s="6">
        <v>6298</v>
      </c>
      <c r="D4586" s="7">
        <v>0.64</v>
      </c>
      <c r="E4586" t="s">
        <v>11</v>
      </c>
    </row>
    <row r="4587" spans="1:5" x14ac:dyDescent="0.25">
      <c r="A4587" t="str">
        <f>HYPERLINK("https://www.773grp.com/globalSearch/MC74AC574ANG/page-1", "MC74AC574ANG")</f>
        <v>MC74AC574ANG</v>
      </c>
      <c r="B4587" s="3" t="str">
        <f>HYPERLINK("https://www.773grp.com/manufacturer/onsemi?pageNo=542", "Onsemi")</f>
        <v>Onsemi</v>
      </c>
      <c r="C4587" s="6">
        <v>73</v>
      </c>
      <c r="D4587" s="7">
        <v>0.64</v>
      </c>
    </row>
    <row r="4588" spans="1:5" x14ac:dyDescent="0.25">
      <c r="A4588" t="str">
        <f>HYPERLINK("https://www.773grp.com/globalSearch/MC74ACT109D/page-1", "MC74ACT109D")</f>
        <v>MC74ACT109D</v>
      </c>
      <c r="B4588" s="3" t="str">
        <f>HYPERLINK("https://www.773grp.com/manufacturer/onsemi?pageNo=543", "Onsemi")</f>
        <v>Onsemi</v>
      </c>
      <c r="C4588" s="6">
        <v>1494</v>
      </c>
      <c r="D4588" s="7">
        <v>0.64</v>
      </c>
      <c r="E4588" t="s">
        <v>31</v>
      </c>
    </row>
    <row r="4589" spans="1:5" x14ac:dyDescent="0.25">
      <c r="A4589" t="str">
        <f>HYPERLINK("https://www.773grp.com/globalSearch/MC74ACT109DR2/page-1", "MC74ACT109DR2")</f>
        <v>MC74ACT109DR2</v>
      </c>
      <c r="B4589" s="3" t="str">
        <f>HYPERLINK("https://www.773grp.com/manufacturer/onsemi?pageNo=544", "Onsemi")</f>
        <v>Onsemi</v>
      </c>
      <c r="C4589" s="6">
        <v>125000</v>
      </c>
      <c r="D4589" s="7">
        <v>0.64</v>
      </c>
      <c r="E4589" t="s">
        <v>31</v>
      </c>
    </row>
    <row r="4590" spans="1:5" x14ac:dyDescent="0.25">
      <c r="A4590" t="str">
        <f>HYPERLINK("https://www.773grp.com/globalSearch/MC74ACT151D/page-1", "MC74ACT151D")</f>
        <v>MC74ACT151D</v>
      </c>
      <c r="B4590" s="3" t="str">
        <f>HYPERLINK("https://www.773grp.com/manufacturer/onsemi?pageNo=545", "Onsemi")</f>
        <v>Onsemi</v>
      </c>
      <c r="C4590" s="6">
        <v>223118</v>
      </c>
      <c r="D4590" s="7">
        <v>0.64</v>
      </c>
      <c r="E4590" t="s">
        <v>16</v>
      </c>
    </row>
    <row r="4591" spans="1:5" x14ac:dyDescent="0.25">
      <c r="A4591" t="str">
        <f>HYPERLINK("https://www.773grp.com/globalSearch/MC74ACT174DR2/page-1", "MC74ACT174DR2")</f>
        <v>MC74ACT174DR2</v>
      </c>
      <c r="B4591" s="3" t="str">
        <f>HYPERLINK("https://www.773grp.com/manufacturer/onsemi?pageNo=546", "Onsemi")</f>
        <v>Onsemi</v>
      </c>
      <c r="C4591" s="6">
        <v>15000</v>
      </c>
      <c r="D4591" s="7">
        <v>0.64</v>
      </c>
      <c r="E4591" t="s">
        <v>31</v>
      </c>
    </row>
    <row r="4592" spans="1:5" x14ac:dyDescent="0.25">
      <c r="A4592" t="str">
        <f>HYPERLINK("https://www.773grp.com/globalSearch/MC74ACT240DT/page-1", "MC74ACT240DT")</f>
        <v>MC74ACT240DT</v>
      </c>
      <c r="B4592" s="3" t="str">
        <f>HYPERLINK("https://www.773grp.com/manufacturer/onsemi?pageNo=547", "Onsemi")</f>
        <v>Onsemi</v>
      </c>
      <c r="C4592" s="6">
        <v>4375</v>
      </c>
      <c r="D4592" s="7">
        <v>0.64</v>
      </c>
      <c r="E4592" t="s">
        <v>11</v>
      </c>
    </row>
    <row r="4593" spans="1:5" x14ac:dyDescent="0.25">
      <c r="A4593" t="str">
        <f>HYPERLINK("https://www.773grp.com/globalSearch/MC74ACT244DTEL/page-1", "MC74ACT244DTEL")</f>
        <v>MC74ACT244DTEL</v>
      </c>
      <c r="B4593" s="3" t="str">
        <f>HYPERLINK("https://www.773grp.com/manufacturer/onsemi?pageNo=548", "Onsemi")</f>
        <v>Onsemi</v>
      </c>
      <c r="C4593" s="6">
        <v>63500</v>
      </c>
      <c r="D4593" s="7">
        <v>0.64</v>
      </c>
    </row>
    <row r="4594" spans="1:5" x14ac:dyDescent="0.25">
      <c r="A4594" t="str">
        <f>HYPERLINK("https://www.773grp.com/globalSearch/MC74ACT244N/page-1", "MC74ACT244N")</f>
        <v>MC74ACT244N</v>
      </c>
      <c r="B4594" s="3" t="str">
        <f>HYPERLINK("https://www.773grp.com/manufacturer/onsemi?pageNo=549", "Onsemi")</f>
        <v>Onsemi</v>
      </c>
      <c r="C4594" s="6">
        <v>1705</v>
      </c>
      <c r="D4594" s="7">
        <v>0.64</v>
      </c>
      <c r="E4594" t="s">
        <v>11</v>
      </c>
    </row>
    <row r="4595" spans="1:5" x14ac:dyDescent="0.25">
      <c r="A4595" t="str">
        <f>HYPERLINK("https://www.773grp.com/globalSearch/MC74ACT245N/page-1", "MC74ACT245N")</f>
        <v>MC74ACT245N</v>
      </c>
      <c r="B4595" s="3" t="str">
        <f>HYPERLINK("https://www.773grp.com/manufacturer/onsemi?pageNo=550", "Onsemi")</f>
        <v>Onsemi</v>
      </c>
      <c r="C4595" s="6">
        <v>7523</v>
      </c>
      <c r="D4595" s="7">
        <v>0.64</v>
      </c>
      <c r="E4595" t="s">
        <v>11</v>
      </c>
    </row>
    <row r="4596" spans="1:5" x14ac:dyDescent="0.25">
      <c r="A4596" t="str">
        <f>HYPERLINK("https://www.773grp.com/globalSearch/MC74ACT273N/page-1", "MC74ACT273N")</f>
        <v>MC74ACT273N</v>
      </c>
      <c r="B4596" s="3" t="str">
        <f>HYPERLINK("https://www.773grp.com/manufacturer/onsemi?pageNo=551", "Onsemi")</f>
        <v>Onsemi</v>
      </c>
      <c r="C4596" s="6">
        <v>2432</v>
      </c>
      <c r="D4596" s="7">
        <v>0.64</v>
      </c>
      <c r="E4596" t="s">
        <v>31</v>
      </c>
    </row>
    <row r="4597" spans="1:5" x14ac:dyDescent="0.25">
      <c r="A4597" t="str">
        <f>HYPERLINK("https://www.773grp.com/globalSearch/MC74ACT373N/page-1", "MC74ACT373N")</f>
        <v>MC74ACT373N</v>
      </c>
      <c r="B4597" s="3" t="str">
        <f>HYPERLINK("https://www.773grp.com/manufacturer/onsemi?pageNo=552", "Onsemi")</f>
        <v>Onsemi</v>
      </c>
      <c r="C4597" s="6">
        <v>6606</v>
      </c>
      <c r="D4597" s="7">
        <v>0.64</v>
      </c>
      <c r="E4597" t="s">
        <v>11</v>
      </c>
    </row>
    <row r="4598" spans="1:5" x14ac:dyDescent="0.25">
      <c r="A4598" t="str">
        <f>HYPERLINK("https://www.773grp.com/globalSearch/MC74ACT374DT/page-1", "MC74ACT374DT")</f>
        <v>MC74ACT374DT</v>
      </c>
      <c r="B4598" s="3" t="str">
        <f>HYPERLINK("https://www.773grp.com/manufacturer/onsemi?pageNo=553", "Onsemi")</f>
        <v>Onsemi</v>
      </c>
      <c r="C4598" s="6">
        <v>2800</v>
      </c>
      <c r="D4598" s="7">
        <v>0.64</v>
      </c>
      <c r="E4598" t="s">
        <v>11</v>
      </c>
    </row>
    <row r="4599" spans="1:5" x14ac:dyDescent="0.25">
      <c r="A4599" t="str">
        <f>HYPERLINK("https://www.773grp.com/globalSearch/MC74ACT377N/page-1", "MC74ACT377N")</f>
        <v>MC74ACT377N</v>
      </c>
      <c r="B4599" s="3" t="str">
        <f>HYPERLINK("https://www.773grp.com/manufacturer/onsemi?pageNo=554", "Onsemi")</f>
        <v>Onsemi</v>
      </c>
      <c r="C4599" s="6">
        <v>10599</v>
      </c>
      <c r="D4599" s="7">
        <v>0.64</v>
      </c>
      <c r="E4599" t="s">
        <v>31</v>
      </c>
    </row>
    <row r="4600" spans="1:5" x14ac:dyDescent="0.25">
      <c r="A4600" t="str">
        <f>HYPERLINK("https://www.773grp.com/globalSearch/MC74ACT573DT/page-1", "MC74ACT573DT")</f>
        <v>MC74ACT573DT</v>
      </c>
      <c r="B4600" s="3" t="str">
        <f>HYPERLINK("https://www.773grp.com/manufacturer/onsemi?pageNo=555", "Onsemi")</f>
        <v>Onsemi</v>
      </c>
      <c r="C4600" s="6">
        <v>200</v>
      </c>
      <c r="D4600" s="7">
        <v>0.64</v>
      </c>
      <c r="E4600" t="s">
        <v>11</v>
      </c>
    </row>
    <row r="4601" spans="1:5" x14ac:dyDescent="0.25">
      <c r="A4601" t="str">
        <f>HYPERLINK("https://www.773grp.com/globalSearch/MC74ACT573N/page-1", "MC74ACT573N")</f>
        <v>MC74ACT573N</v>
      </c>
      <c r="B4601" s="3" t="str">
        <f>HYPERLINK("https://www.773grp.com/manufacturer/onsemi?pageNo=556", "Onsemi")</f>
        <v>Onsemi</v>
      </c>
      <c r="C4601" s="6">
        <v>7067</v>
      </c>
      <c r="D4601" s="7">
        <v>0.64</v>
      </c>
      <c r="E4601" t="s">
        <v>11</v>
      </c>
    </row>
    <row r="4602" spans="1:5" x14ac:dyDescent="0.25">
      <c r="A4602" t="str">
        <f>HYPERLINK("https://www.773grp.com/globalSearch/MC74ACT574DT/page-1", "MC74ACT574DT")</f>
        <v>MC74ACT574DT</v>
      </c>
      <c r="B4602" s="3" t="str">
        <f>HYPERLINK("https://www.773grp.com/manufacturer/onsemi?pageNo=557", "Onsemi")</f>
        <v>Onsemi</v>
      </c>
      <c r="C4602" s="6">
        <v>35292</v>
      </c>
      <c r="D4602" s="7">
        <v>0.64</v>
      </c>
      <c r="E4602" t="s">
        <v>11</v>
      </c>
    </row>
    <row r="4603" spans="1:5" x14ac:dyDescent="0.25">
      <c r="A4603" t="str">
        <f>HYPERLINK("https://www.773grp.com/globalSearch/MC74F138M/page-1", "MC74F138M")</f>
        <v>MC74F138M</v>
      </c>
      <c r="B4603" s="3" t="str">
        <f>HYPERLINK("https://www.773grp.com/manufacturer/onsemi?pageNo=558", "Onsemi")</f>
        <v>Onsemi</v>
      </c>
      <c r="C4603" s="6">
        <v>1150</v>
      </c>
      <c r="D4603" s="7">
        <v>0.64</v>
      </c>
    </row>
    <row r="4604" spans="1:5" x14ac:dyDescent="0.25">
      <c r="A4604" t="str">
        <f>HYPERLINK("https://www.773grp.com/globalSearch/MC74F138ML1/page-1", "MC74F138ML1")</f>
        <v>MC74F138ML1</v>
      </c>
      <c r="B4604" s="3" t="str">
        <f>HYPERLINK("https://www.773grp.com/manufacturer/onsemi?pageNo=559", "Onsemi")</f>
        <v>Onsemi</v>
      </c>
      <c r="C4604" s="6">
        <v>10000</v>
      </c>
      <c r="D4604" s="7">
        <v>0.64</v>
      </c>
    </row>
    <row r="4605" spans="1:5" x14ac:dyDescent="0.25">
      <c r="A4605" t="str">
        <f>HYPERLINK("https://www.773grp.com/globalSearch/MC74F138MR1/page-1", "MC74F138MR1")</f>
        <v>MC74F138MR1</v>
      </c>
      <c r="B4605" s="3" t="str">
        <f>HYPERLINK("https://www.773grp.com/manufacturer/onsemi?pageNo=560", "Onsemi")</f>
        <v>Onsemi</v>
      </c>
      <c r="C4605" s="6">
        <v>4000</v>
      </c>
      <c r="D4605" s="7">
        <v>0.64</v>
      </c>
    </row>
    <row r="4606" spans="1:5" x14ac:dyDescent="0.25">
      <c r="A4606" t="str">
        <f>HYPERLINK("https://www.773grp.com/globalSearch/MC74F139M/page-1", "MC74F139M")</f>
        <v>MC74F139M</v>
      </c>
      <c r="B4606" s="3" t="str">
        <f>HYPERLINK("https://www.773grp.com/manufacturer/onsemi?pageNo=561", "Onsemi")</f>
        <v>Onsemi</v>
      </c>
      <c r="C4606" s="6">
        <v>861</v>
      </c>
      <c r="D4606" s="7">
        <v>0.64</v>
      </c>
    </row>
    <row r="4607" spans="1:5" x14ac:dyDescent="0.25">
      <c r="A4607" t="str">
        <f>HYPERLINK("https://www.773grp.com/globalSearch/MC74F139ML1/page-1", "MC74F139ML1")</f>
        <v>MC74F139ML1</v>
      </c>
      <c r="B4607" s="3" t="str">
        <f>HYPERLINK("https://www.773grp.com/manufacturer/onsemi?pageNo=562", "Onsemi")</f>
        <v>Onsemi</v>
      </c>
      <c r="C4607" s="6">
        <v>4000</v>
      </c>
      <c r="D4607" s="7">
        <v>0.64</v>
      </c>
    </row>
    <row r="4608" spans="1:5" x14ac:dyDescent="0.25">
      <c r="A4608" t="str">
        <f>HYPERLINK("https://www.773grp.com/globalSearch/MC74F139MR1/page-1", "MC74F139MR1")</f>
        <v>MC74F139MR1</v>
      </c>
      <c r="B4608" s="3" t="str">
        <f>HYPERLINK("https://www.773grp.com/manufacturer/onsemi?pageNo=563", "Onsemi")</f>
        <v>Onsemi</v>
      </c>
      <c r="C4608" s="6">
        <v>3000</v>
      </c>
      <c r="D4608" s="7">
        <v>0.64</v>
      </c>
    </row>
    <row r="4609" spans="1:5" x14ac:dyDescent="0.25">
      <c r="A4609" t="str">
        <f>HYPERLINK("https://www.773grp.com/globalSearch/MC74F139N/page-1", "MC74F139N")</f>
        <v>MC74F139N</v>
      </c>
      <c r="B4609" s="3" t="str">
        <f>HYPERLINK("https://www.773grp.com/manufacturer/onsemi?pageNo=564", "Onsemi")</f>
        <v>Onsemi</v>
      </c>
      <c r="C4609" s="6">
        <v>18441</v>
      </c>
      <c r="D4609" s="7">
        <v>0.64</v>
      </c>
      <c r="E4609" t="s">
        <v>32</v>
      </c>
    </row>
    <row r="4610" spans="1:5" x14ac:dyDescent="0.25">
      <c r="A4610" t="str">
        <f>HYPERLINK("https://www.773grp.com/globalSearch/MC74HC08ADR2/page-1", "MC74HC08ADR2")</f>
        <v>MC74HC08ADR2</v>
      </c>
      <c r="B4610" s="3" t="str">
        <f>HYPERLINK("https://www.773grp.com/manufacturer/onsemi?pageNo=565", "Onsemi")</f>
        <v>Onsemi</v>
      </c>
      <c r="C4610" s="6">
        <v>29358</v>
      </c>
      <c r="D4610" s="7">
        <v>0.64</v>
      </c>
      <c r="E4610" t="s">
        <v>27</v>
      </c>
    </row>
    <row r="4611" spans="1:5" x14ac:dyDescent="0.25">
      <c r="A4611" t="str">
        <f>HYPERLINK("https://www.773grp.com/globalSearch/MC74HC126ADT/page-1", "MC74HC126ADT")</f>
        <v>MC74HC126ADT</v>
      </c>
      <c r="B4611" s="3" t="str">
        <f>HYPERLINK("https://www.773grp.com/manufacturer/onsemi?pageNo=566", "Onsemi")</f>
        <v>Onsemi</v>
      </c>
      <c r="C4611" s="6">
        <v>13632</v>
      </c>
      <c r="D4611" s="7">
        <v>0.64</v>
      </c>
      <c r="E4611" t="s">
        <v>11</v>
      </c>
    </row>
    <row r="4612" spans="1:5" x14ac:dyDescent="0.25">
      <c r="A4612" t="str">
        <f>HYPERLINK("https://www.773grp.com/globalSearch/MC74HC126ADTEL/page-1", "MC74HC126ADTEL")</f>
        <v>MC74HC126ADTEL</v>
      </c>
      <c r="B4612" s="3" t="str">
        <f>HYPERLINK("https://www.773grp.com/manufacturer/onsemi?pageNo=567", "Onsemi")</f>
        <v>Onsemi</v>
      </c>
      <c r="C4612" s="6">
        <v>2000</v>
      </c>
      <c r="D4612" s="7">
        <v>0.64</v>
      </c>
    </row>
    <row r="4613" spans="1:5" x14ac:dyDescent="0.25">
      <c r="A4613" t="str">
        <f>HYPERLINK("https://www.773grp.com/globalSearch/MC74HC139ADT/page-1", "MC74HC139ADT")</f>
        <v>MC74HC139ADT</v>
      </c>
      <c r="B4613" s="3" t="str">
        <f>HYPERLINK("https://www.773grp.com/manufacturer/onsemi?pageNo=568", "Onsemi")</f>
        <v>Onsemi</v>
      </c>
      <c r="C4613" s="6">
        <v>13716</v>
      </c>
      <c r="D4613" s="7">
        <v>0.64</v>
      </c>
      <c r="E4613" t="s">
        <v>32</v>
      </c>
    </row>
    <row r="4614" spans="1:5" x14ac:dyDescent="0.25">
      <c r="A4614" t="str">
        <f>HYPERLINK("https://www.773grp.com/globalSearch/MC74HC165AFL1/page-1", "MC74HC165AFL1")</f>
        <v>MC74HC165AFL1</v>
      </c>
      <c r="B4614" s="3" t="str">
        <f>HYPERLINK("https://www.773grp.com/manufacturer/onsemi?pageNo=569", "Onsemi")</f>
        <v>Onsemi</v>
      </c>
      <c r="C4614" s="6">
        <v>15000</v>
      </c>
      <c r="D4614" s="7">
        <v>0.64</v>
      </c>
    </row>
    <row r="4615" spans="1:5" x14ac:dyDescent="0.25">
      <c r="A4615" t="str">
        <f>HYPERLINK("https://www.773grp.com/globalSearch/MC74HC165AFR1/page-1", "MC74HC165AFR1")</f>
        <v>MC74HC165AFR1</v>
      </c>
      <c r="B4615" s="3" t="str">
        <f>HYPERLINK("https://www.773grp.com/manufacturer/onsemi?pageNo=570", "Onsemi")</f>
        <v>Onsemi</v>
      </c>
      <c r="C4615" s="6">
        <v>12000</v>
      </c>
      <c r="D4615" s="7">
        <v>0.64</v>
      </c>
    </row>
    <row r="4616" spans="1:5" x14ac:dyDescent="0.25">
      <c r="A4616" t="str">
        <f>HYPERLINK("https://www.773grp.com/globalSearch/MC74HC244AF/page-1", "MC74HC244AF")</f>
        <v>MC74HC244AF</v>
      </c>
      <c r="B4616" s="3" t="str">
        <f>HYPERLINK("https://www.773grp.com/manufacturer/onsemi?pageNo=571", "Onsemi")</f>
        <v>Onsemi</v>
      </c>
      <c r="C4616" s="6">
        <v>3023</v>
      </c>
      <c r="D4616" s="7">
        <v>0.64</v>
      </c>
      <c r="E4616" t="s">
        <v>11</v>
      </c>
    </row>
    <row r="4617" spans="1:5" x14ac:dyDescent="0.25">
      <c r="A4617" t="str">
        <f>HYPERLINK("https://www.773grp.com/globalSearch/MC74HC244AFEL/page-1", "MC74HC244AFEL")</f>
        <v>MC74HC244AFEL</v>
      </c>
      <c r="B4617" s="3" t="str">
        <f>HYPERLINK("https://www.773grp.com/manufacturer/onsemi?pageNo=572", "Onsemi")</f>
        <v>Onsemi</v>
      </c>
      <c r="C4617" s="6">
        <v>18000</v>
      </c>
      <c r="D4617" s="7">
        <v>0.64</v>
      </c>
      <c r="E4617" t="s">
        <v>11</v>
      </c>
    </row>
    <row r="4618" spans="1:5" x14ac:dyDescent="0.25">
      <c r="A4618" t="str">
        <f>HYPERLINK("https://www.773grp.com/globalSearch/MC74HC245AF/page-1", "MC74HC245AF")</f>
        <v>MC74HC245AF</v>
      </c>
      <c r="B4618" s="3" t="str">
        <f>HYPERLINK("https://www.773grp.com/manufacturer/onsemi?pageNo=573", "Onsemi")</f>
        <v>Onsemi</v>
      </c>
      <c r="C4618" s="6">
        <v>317</v>
      </c>
      <c r="D4618" s="7">
        <v>0.64</v>
      </c>
      <c r="E4618" t="s">
        <v>11</v>
      </c>
    </row>
    <row r="4619" spans="1:5" x14ac:dyDescent="0.25">
      <c r="A4619" t="str">
        <f>HYPERLINK("https://www.773grp.com/globalSearch/MC74HC273AF/page-1", "MC74HC273AF")</f>
        <v>MC74HC273AF</v>
      </c>
      <c r="B4619" s="3" t="str">
        <f>HYPERLINK("https://www.773grp.com/manufacturer/onsemi?pageNo=574", "Onsemi")</f>
        <v>Onsemi</v>
      </c>
      <c r="C4619" s="6">
        <v>1560</v>
      </c>
      <c r="D4619" s="7">
        <v>0.64</v>
      </c>
      <c r="E4619" t="s">
        <v>31</v>
      </c>
    </row>
    <row r="4620" spans="1:5" x14ac:dyDescent="0.25">
      <c r="A4620" t="str">
        <f>HYPERLINK("https://www.773grp.com/globalSearch/MC74HC32ADTR2/page-1", "MC74HC32ADTR2")</f>
        <v>MC74HC32ADTR2</v>
      </c>
      <c r="B4620" s="3" t="str">
        <f>HYPERLINK("https://www.773grp.com/manufacturer/onsemi?pageNo=575", "Onsemi")</f>
        <v>Onsemi</v>
      </c>
      <c r="C4620" s="6">
        <v>40000</v>
      </c>
      <c r="D4620" s="7">
        <v>0.64</v>
      </c>
    </row>
    <row r="4621" spans="1:5" x14ac:dyDescent="0.25">
      <c r="A4621" t="str">
        <f>HYPERLINK("https://www.773grp.com/globalSearch/MC74HC373AF/page-1", "MC74HC373AF")</f>
        <v>MC74HC373AF</v>
      </c>
      <c r="B4621" s="3" t="str">
        <f>HYPERLINK("https://www.773grp.com/manufacturer/onsemi?pageNo=576", "Onsemi")</f>
        <v>Onsemi</v>
      </c>
      <c r="C4621" s="6">
        <v>6736</v>
      </c>
      <c r="D4621" s="7">
        <v>0.64</v>
      </c>
      <c r="E4621" t="s">
        <v>11</v>
      </c>
    </row>
    <row r="4622" spans="1:5" x14ac:dyDescent="0.25">
      <c r="A4622" t="str">
        <f>HYPERLINK("https://www.773grp.com/globalSearch/MC74HC373AFEL/page-1", "MC74HC373AFEL")</f>
        <v>MC74HC373AFEL</v>
      </c>
      <c r="B4622" s="3" t="str">
        <f>HYPERLINK("https://www.773grp.com/manufacturer/onsemi?pageNo=577", "Onsemi")</f>
        <v>Onsemi</v>
      </c>
      <c r="C4622" s="6">
        <v>4000</v>
      </c>
      <c r="D4622" s="7">
        <v>0.64</v>
      </c>
      <c r="E4622" t="s">
        <v>11</v>
      </c>
    </row>
    <row r="4623" spans="1:5" x14ac:dyDescent="0.25">
      <c r="A4623" t="str">
        <f>HYPERLINK("https://www.773grp.com/globalSearch/MC74HC373AFI/page-1", "MC74HC373AFI")</f>
        <v>MC74HC373AFI</v>
      </c>
      <c r="B4623" s="3" t="str">
        <f>HYPERLINK("https://www.773grp.com/manufacturer/onsemi?pageNo=578", "Onsemi")</f>
        <v>Onsemi</v>
      </c>
      <c r="C4623" s="6">
        <v>300</v>
      </c>
      <c r="D4623" s="7">
        <v>0.64</v>
      </c>
    </row>
    <row r="4624" spans="1:5" x14ac:dyDescent="0.25">
      <c r="A4624" t="str">
        <f>HYPERLINK("https://www.773grp.com/globalSearch/MC74HC374AFEL/page-1", "MC74HC374AFEL")</f>
        <v>MC74HC374AFEL</v>
      </c>
      <c r="B4624" s="3" t="str">
        <f>HYPERLINK("https://www.773grp.com/manufacturer/onsemi?pageNo=579", "Onsemi")</f>
        <v>Onsemi</v>
      </c>
      <c r="C4624" s="6">
        <v>4000</v>
      </c>
      <c r="D4624" s="7">
        <v>0.64</v>
      </c>
      <c r="E4624" t="s">
        <v>11</v>
      </c>
    </row>
    <row r="4625" spans="1:5" x14ac:dyDescent="0.25">
      <c r="A4625" t="str">
        <f>HYPERLINK("https://www.773grp.com/globalSearch/MC74HC4002D/page-1", "MC74HC4002D")</f>
        <v>MC74HC4002D</v>
      </c>
      <c r="B4625" s="3" t="str">
        <f>HYPERLINK("https://www.773grp.com/manufacturer/onsemi?pageNo=580", "Onsemi")</f>
        <v>Onsemi</v>
      </c>
      <c r="C4625" s="6">
        <v>392</v>
      </c>
      <c r="D4625" s="7">
        <v>0.64</v>
      </c>
      <c r="E4625" t="s">
        <v>27</v>
      </c>
    </row>
    <row r="4626" spans="1:5" x14ac:dyDescent="0.25">
      <c r="A4626" t="str">
        <f>HYPERLINK("https://www.773grp.com/globalSearch/MC74HC4002F/page-1", "MC74HC4002F")</f>
        <v>MC74HC4002F</v>
      </c>
      <c r="B4626" s="3" t="str">
        <f>HYPERLINK("https://www.773grp.com/manufacturer/onsemi?pageNo=581", "Onsemi")</f>
        <v>Onsemi</v>
      </c>
      <c r="C4626" s="6">
        <v>2320</v>
      </c>
      <c r="D4626" s="7">
        <v>0.64</v>
      </c>
    </row>
    <row r="4627" spans="1:5" x14ac:dyDescent="0.25">
      <c r="A4627" t="str">
        <f>HYPERLINK("https://www.773grp.com/globalSearch/MC74HC4002FEL/page-1", "MC74HC4002FEL")</f>
        <v>MC74HC4002FEL</v>
      </c>
      <c r="B4627" s="3" t="str">
        <f>HYPERLINK("https://www.773grp.com/manufacturer/onsemi?pageNo=582", "Onsemi")</f>
        <v>Onsemi</v>
      </c>
      <c r="C4627" s="6">
        <v>2000</v>
      </c>
      <c r="D4627" s="7">
        <v>0.64</v>
      </c>
    </row>
    <row r="4628" spans="1:5" x14ac:dyDescent="0.25">
      <c r="A4628" t="str">
        <f>HYPERLINK("https://www.773grp.com/globalSearch/MC74HC4002FL1/page-1", "MC74HC4002FL1")</f>
        <v>MC74HC4002FL1</v>
      </c>
      <c r="B4628" s="3" t="str">
        <f>HYPERLINK("https://www.773grp.com/manufacturer/onsemi?pageNo=583", "Onsemi")</f>
        <v>Onsemi</v>
      </c>
      <c r="C4628" s="6">
        <v>2000</v>
      </c>
      <c r="D4628" s="7">
        <v>0.64</v>
      </c>
    </row>
    <row r="4629" spans="1:5" x14ac:dyDescent="0.25">
      <c r="A4629" t="str">
        <f>HYPERLINK("https://www.773grp.com/globalSearch/MC74HC4051AFEL/page-1", "MC74HC4051AFEL")</f>
        <v>MC74HC4051AFEL</v>
      </c>
      <c r="B4629" s="3" t="str">
        <f>HYPERLINK("https://www.773grp.com/manufacturer/onsemi?pageNo=584", "Onsemi")</f>
        <v>Onsemi</v>
      </c>
      <c r="C4629" s="6">
        <v>7394</v>
      </c>
      <c r="D4629" s="7">
        <v>0.64</v>
      </c>
      <c r="E4629" t="s">
        <v>46</v>
      </c>
    </row>
    <row r="4630" spans="1:5" x14ac:dyDescent="0.25">
      <c r="A4630" t="str">
        <f>HYPERLINK("https://www.773grp.com/globalSearch/MC74HC4052AF/page-1", "MC74HC4052AF")</f>
        <v>MC74HC4052AF</v>
      </c>
      <c r="B4630" s="3" t="str">
        <f>HYPERLINK("https://www.773grp.com/manufacturer/onsemi?pageNo=585", "Onsemi")</f>
        <v>Onsemi</v>
      </c>
      <c r="C4630" s="6">
        <v>3300</v>
      </c>
      <c r="D4630" s="7">
        <v>0.64</v>
      </c>
      <c r="E4630" t="s">
        <v>46</v>
      </c>
    </row>
    <row r="4631" spans="1:5" x14ac:dyDescent="0.25">
      <c r="A4631" t="str">
        <f>HYPERLINK("https://www.773grp.com/globalSearch/MC74HC4053AF/page-1", "MC74HC4053AF")</f>
        <v>MC74HC4053AF</v>
      </c>
      <c r="B4631" s="3" t="str">
        <f>HYPERLINK("https://www.773grp.com/manufacturer/onsemi?pageNo=586", "Onsemi")</f>
        <v>Onsemi</v>
      </c>
      <c r="C4631" s="6">
        <v>3050</v>
      </c>
      <c r="D4631" s="7">
        <v>0.64</v>
      </c>
      <c r="E4631" t="s">
        <v>46</v>
      </c>
    </row>
    <row r="4632" spans="1:5" x14ac:dyDescent="0.25">
      <c r="A4632" t="str">
        <f>HYPERLINK("https://www.773grp.com/globalSearch/MC74HC4053AFEL/page-1", "MC74HC4053AFEL")</f>
        <v>MC74HC4053AFEL</v>
      </c>
      <c r="B4632" s="3" t="str">
        <f>HYPERLINK("https://www.773grp.com/manufacturer/onsemi?pageNo=587", "Onsemi")</f>
        <v>Onsemi</v>
      </c>
      <c r="C4632" s="6">
        <v>4000</v>
      </c>
      <c r="D4632" s="7">
        <v>0.64</v>
      </c>
      <c r="E4632" t="s">
        <v>46</v>
      </c>
    </row>
    <row r="4633" spans="1:5" x14ac:dyDescent="0.25">
      <c r="A4633" t="str">
        <f>HYPERLINK("https://www.773grp.com/globalSearch/MC74HC4075DR2/page-1", "MC74HC4075DR2")</f>
        <v>MC74HC4075DR2</v>
      </c>
      <c r="B4633" s="3" t="str">
        <f>HYPERLINK("https://www.773grp.com/manufacturer/onsemi?pageNo=588", "Onsemi")</f>
        <v>Onsemi</v>
      </c>
      <c r="C4633" s="6">
        <v>2500</v>
      </c>
      <c r="D4633" s="7">
        <v>0.64</v>
      </c>
      <c r="E4633" t="s">
        <v>27</v>
      </c>
    </row>
    <row r="4634" spans="1:5" x14ac:dyDescent="0.25">
      <c r="A4634" t="str">
        <f>HYPERLINK("https://www.773grp.com/globalSearch/MC74HC4075F/page-1", "MC74HC4075F")</f>
        <v>MC74HC4075F</v>
      </c>
      <c r="B4634" s="3" t="str">
        <f>HYPERLINK("https://www.773grp.com/manufacturer/onsemi?pageNo=589", "Onsemi")</f>
        <v>Onsemi</v>
      </c>
      <c r="C4634" s="6">
        <v>2550</v>
      </c>
      <c r="D4634" s="7">
        <v>0.64</v>
      </c>
    </row>
    <row r="4635" spans="1:5" x14ac:dyDescent="0.25">
      <c r="A4635" t="str">
        <f>HYPERLINK("https://www.773grp.com/globalSearch/MC74HC4075FL1/page-1", "MC74HC4075FL1")</f>
        <v>MC74HC4075FL1</v>
      </c>
      <c r="B4635" s="3" t="str">
        <f>HYPERLINK("https://www.773grp.com/manufacturer/onsemi?pageNo=590", "Onsemi")</f>
        <v>Onsemi</v>
      </c>
      <c r="C4635" s="6">
        <v>10000</v>
      </c>
      <c r="D4635" s="7">
        <v>0.64</v>
      </c>
    </row>
    <row r="4636" spans="1:5" x14ac:dyDescent="0.25">
      <c r="A4636" t="str">
        <f>HYPERLINK("https://www.773grp.com/globalSearch/MC74HC4075FR2/page-1", "MC74HC4075FR2")</f>
        <v>MC74HC4075FR2</v>
      </c>
      <c r="B4636" s="3" t="str">
        <f>HYPERLINK("https://www.773grp.com/manufacturer/onsemi?pageNo=591", "Onsemi")</f>
        <v>Onsemi</v>
      </c>
      <c r="C4636" s="6">
        <v>4000</v>
      </c>
      <c r="D4636" s="7">
        <v>0.64</v>
      </c>
    </row>
    <row r="4637" spans="1:5" x14ac:dyDescent="0.25">
      <c r="A4637" t="str">
        <f>HYPERLINK("https://www.773grp.com/globalSearch/MC74HC4078F/page-1", "MC74HC4078F")</f>
        <v>MC74HC4078F</v>
      </c>
      <c r="B4637" s="3" t="str">
        <f>HYPERLINK("https://www.773grp.com/manufacturer/onsemi?pageNo=592", "Onsemi")</f>
        <v>Onsemi</v>
      </c>
      <c r="C4637" s="6">
        <v>683</v>
      </c>
      <c r="D4637" s="7">
        <v>0.64</v>
      </c>
    </row>
    <row r="4638" spans="1:5" x14ac:dyDescent="0.25">
      <c r="A4638" t="str">
        <f>HYPERLINK("https://www.773grp.com/globalSearch/MC74HC4538AF/page-1", "MC74HC4538AF")</f>
        <v>MC74HC4538AF</v>
      </c>
      <c r="B4638" s="3" t="str">
        <f>HYPERLINK("https://www.773grp.com/manufacturer/onsemi?pageNo=593", "Onsemi")</f>
        <v>Onsemi</v>
      </c>
      <c r="C4638" s="6">
        <v>1850</v>
      </c>
      <c r="D4638" s="7">
        <v>0.64</v>
      </c>
      <c r="E4638" t="s">
        <v>44</v>
      </c>
    </row>
    <row r="4639" spans="1:5" x14ac:dyDescent="0.25">
      <c r="A4639" t="str">
        <f>HYPERLINK("https://www.773grp.com/globalSearch/MC74HC541AF/page-1", "MC74HC541AF")</f>
        <v>MC74HC541AF</v>
      </c>
      <c r="B4639" s="3" t="str">
        <f>HYPERLINK("https://www.773grp.com/manufacturer/onsemi?pageNo=594", "Onsemi")</f>
        <v>Onsemi</v>
      </c>
      <c r="C4639" s="6">
        <v>203</v>
      </c>
      <c r="D4639" s="7">
        <v>0.64</v>
      </c>
      <c r="E4639" t="s">
        <v>11</v>
      </c>
    </row>
    <row r="4640" spans="1:5" x14ac:dyDescent="0.25">
      <c r="A4640" t="str">
        <f>HYPERLINK("https://www.773grp.com/globalSearch/MC74HC574ADT/page-1", "MC74HC574ADT")</f>
        <v>MC74HC574ADT</v>
      </c>
      <c r="B4640" s="3" t="str">
        <f>HYPERLINK("https://www.773grp.com/manufacturer/onsemi?pageNo=595", "Onsemi")</f>
        <v>Onsemi</v>
      </c>
      <c r="C4640" s="6">
        <v>8450</v>
      </c>
      <c r="D4640" s="7">
        <v>0.64</v>
      </c>
      <c r="E4640" t="s">
        <v>11</v>
      </c>
    </row>
    <row r="4641" spans="1:5" x14ac:dyDescent="0.25">
      <c r="A4641" t="str">
        <f>HYPERLINK("https://www.773grp.com/globalSearch/MC74HC574AF/page-1", "MC74HC574AF")</f>
        <v>MC74HC574AF</v>
      </c>
      <c r="B4641" s="3" t="str">
        <f>HYPERLINK("https://www.773grp.com/manufacturer/onsemi?pageNo=596", "Onsemi")</f>
        <v>Onsemi</v>
      </c>
      <c r="C4641" s="6">
        <v>160</v>
      </c>
      <c r="D4641" s="7">
        <v>0.64</v>
      </c>
      <c r="E4641" t="s">
        <v>11</v>
      </c>
    </row>
    <row r="4642" spans="1:5" x14ac:dyDescent="0.25">
      <c r="A4642" t="str">
        <f>HYPERLINK("https://www.773grp.com/globalSearch/MC74HCT04ADR2/page-1", "MC74HCT04ADR2")</f>
        <v>MC74HCT04ADR2</v>
      </c>
      <c r="B4642" s="3" t="str">
        <f>HYPERLINK("https://www.773grp.com/manufacturer/onsemi?pageNo=597", "Onsemi")</f>
        <v>Onsemi</v>
      </c>
      <c r="C4642" s="6">
        <v>27500</v>
      </c>
      <c r="D4642" s="7">
        <v>0.64</v>
      </c>
    </row>
    <row r="4643" spans="1:5" x14ac:dyDescent="0.25">
      <c r="A4643" t="str">
        <f>HYPERLINK("https://www.773grp.com/globalSearch/MC74HCT244AF/page-1", "MC74HCT244AF")</f>
        <v>MC74HCT244AF</v>
      </c>
      <c r="B4643" s="3" t="str">
        <f>HYPERLINK("https://www.773grp.com/manufacturer/onsemi?pageNo=598", "Onsemi")</f>
        <v>Onsemi</v>
      </c>
      <c r="C4643" s="6">
        <v>2720</v>
      </c>
      <c r="D4643" s="7">
        <v>0.64</v>
      </c>
      <c r="E4643" t="s">
        <v>11</v>
      </c>
    </row>
    <row r="4644" spans="1:5" x14ac:dyDescent="0.25">
      <c r="A4644" t="str">
        <f>HYPERLINK("https://www.773grp.com/globalSearch/MC74HCT374AFEL/page-1", "MC74HCT374AFEL")</f>
        <v>MC74HCT374AFEL</v>
      </c>
      <c r="B4644" s="3" t="str">
        <f>HYPERLINK("https://www.773grp.com/manufacturer/onsemi?pageNo=599", "Onsemi")</f>
        <v>Onsemi</v>
      </c>
      <c r="C4644" s="6">
        <v>1908</v>
      </c>
      <c r="D4644" s="7">
        <v>0.64</v>
      </c>
      <c r="E4644" t="s">
        <v>11</v>
      </c>
    </row>
    <row r="4645" spans="1:5" x14ac:dyDescent="0.25">
      <c r="A4645" t="str">
        <f>HYPERLINK("https://www.773grp.com/globalSearch/MC74LCX257D/page-1", "MC74LCX257D")</f>
        <v>MC74LCX257D</v>
      </c>
      <c r="B4645" s="3" t="str">
        <f>HYPERLINK("https://www.773grp.com/manufacturer/onsemi?pageNo=600", "Onsemi")</f>
        <v>Onsemi</v>
      </c>
      <c r="C4645" s="6">
        <v>8655</v>
      </c>
      <c r="D4645" s="7">
        <v>0.64</v>
      </c>
      <c r="E4645" t="s">
        <v>16</v>
      </c>
    </row>
    <row r="4646" spans="1:5" x14ac:dyDescent="0.25">
      <c r="A4646" t="str">
        <f>HYPERLINK("https://www.773grp.com/globalSearch/MC74LCX257D/page-1", "MC74LCX257D")</f>
        <v>MC74LCX257D</v>
      </c>
      <c r="B4646" s="3" t="str">
        <f>HYPERLINK("https://www.773grp.com/manufacturer/onsemi?pageNo=601", "Onsemi")</f>
        <v>Onsemi</v>
      </c>
      <c r="C4646" s="6">
        <v>1776</v>
      </c>
      <c r="D4646" s="7">
        <v>0.64</v>
      </c>
      <c r="E4646" t="s">
        <v>16</v>
      </c>
    </row>
    <row r="4647" spans="1:5" x14ac:dyDescent="0.25">
      <c r="A4647" t="str">
        <f>HYPERLINK("https://www.773grp.com/globalSearch/MC74LCX373DW/page-1", "MC74LCX373DW")</f>
        <v>MC74LCX373DW</v>
      </c>
      <c r="B4647" s="3" t="str">
        <f>HYPERLINK("https://www.773grp.com/manufacturer/onsemi?pageNo=602", "Onsemi")</f>
        <v>Onsemi</v>
      </c>
      <c r="C4647" s="6">
        <v>41382</v>
      </c>
      <c r="D4647" s="7">
        <v>0.64</v>
      </c>
      <c r="E4647" t="s">
        <v>11</v>
      </c>
    </row>
    <row r="4648" spans="1:5" x14ac:dyDescent="0.25">
      <c r="A4648" t="str">
        <f>HYPERLINK("https://www.773grp.com/globalSearch/MC74LCX374DT/page-1", "MC74LCX374DT")</f>
        <v>MC74LCX374DT</v>
      </c>
      <c r="B4648" s="3" t="str">
        <f>HYPERLINK("https://www.773grp.com/manufacturer/onsemi?pageNo=603", "Onsemi")</f>
        <v>Onsemi</v>
      </c>
      <c r="C4648" s="6">
        <v>14225</v>
      </c>
      <c r="D4648" s="7">
        <v>0.64</v>
      </c>
      <c r="E4648" t="s">
        <v>11</v>
      </c>
    </row>
    <row r="4649" spans="1:5" x14ac:dyDescent="0.25">
      <c r="A4649" t="str">
        <f>HYPERLINK("https://www.773grp.com/globalSearch/MC74LCX374DW/page-1", "MC74LCX374DW")</f>
        <v>MC74LCX374DW</v>
      </c>
      <c r="B4649" s="3" t="str">
        <f>HYPERLINK("https://www.773grp.com/manufacturer/onsemi?pageNo=604", "Onsemi")</f>
        <v>Onsemi</v>
      </c>
      <c r="C4649" s="6">
        <v>15276</v>
      </c>
      <c r="D4649" s="7">
        <v>0.64</v>
      </c>
      <c r="E4649" t="s">
        <v>11</v>
      </c>
    </row>
    <row r="4650" spans="1:5" x14ac:dyDescent="0.25">
      <c r="A4650" t="str">
        <f>HYPERLINK("https://www.773grp.com/globalSearch/MC74LCX540DWR2/page-1", "MC74LCX540DWR2")</f>
        <v>MC74LCX540DWR2</v>
      </c>
      <c r="B4650" s="3" t="str">
        <f>HYPERLINK("https://www.773grp.com/manufacturer/onsemi?pageNo=605", "Onsemi")</f>
        <v>Onsemi</v>
      </c>
      <c r="C4650" s="6">
        <v>5619</v>
      </c>
      <c r="D4650" s="7">
        <v>0.64</v>
      </c>
      <c r="E4650" t="s">
        <v>11</v>
      </c>
    </row>
    <row r="4651" spans="1:5" x14ac:dyDescent="0.25">
      <c r="A4651" t="str">
        <f>HYPERLINK("https://www.773grp.com/globalSearch/MC74LCX541DT/page-1", "MC74LCX541DT")</f>
        <v>MC74LCX541DT</v>
      </c>
      <c r="B4651" s="3" t="str">
        <f>HYPERLINK("https://www.773grp.com/manufacturer/onsemi?pageNo=606", "Onsemi")</f>
        <v>Onsemi</v>
      </c>
      <c r="C4651" s="6">
        <v>24486</v>
      </c>
      <c r="D4651" s="7">
        <v>0.64</v>
      </c>
      <c r="E4651" t="s">
        <v>11</v>
      </c>
    </row>
    <row r="4652" spans="1:5" x14ac:dyDescent="0.25">
      <c r="A4652" t="str">
        <f>HYPERLINK("https://www.773grp.com/globalSearch/MC74LCX541DTR2/page-1", "MC74LCX541DTR2")</f>
        <v>MC74LCX541DTR2</v>
      </c>
      <c r="B4652" s="3" t="str">
        <f>HYPERLINK("https://www.773grp.com/manufacturer/onsemi?pageNo=607", "Onsemi")</f>
        <v>Onsemi</v>
      </c>
      <c r="C4652" s="6">
        <v>1910</v>
      </c>
      <c r="D4652" s="7">
        <v>0.64</v>
      </c>
      <c r="E4652" t="s">
        <v>11</v>
      </c>
    </row>
    <row r="4653" spans="1:5" x14ac:dyDescent="0.25">
      <c r="A4653" t="str">
        <f>HYPERLINK("https://www.773grp.com/globalSearch/MC74LCX541DW/page-1", "MC74LCX541DW")</f>
        <v>MC74LCX541DW</v>
      </c>
      <c r="B4653" s="3" t="str">
        <f>HYPERLINK("https://www.773grp.com/manufacturer/onsemi?pageNo=608", "Onsemi")</f>
        <v>Onsemi</v>
      </c>
      <c r="C4653" s="6">
        <v>15644</v>
      </c>
      <c r="D4653" s="7">
        <v>0.64</v>
      </c>
      <c r="E4653" t="s">
        <v>11</v>
      </c>
    </row>
    <row r="4654" spans="1:5" x14ac:dyDescent="0.25">
      <c r="A4654" t="str">
        <f>HYPERLINK("https://www.773grp.com/globalSearch/MC74LCX574DW/page-1", "MC74LCX574DW")</f>
        <v>MC74LCX574DW</v>
      </c>
      <c r="B4654" s="3" t="str">
        <f>HYPERLINK("https://www.773grp.com/manufacturer/onsemi?pageNo=609", "Onsemi")</f>
        <v>Onsemi</v>
      </c>
      <c r="C4654" s="6">
        <v>5326</v>
      </c>
      <c r="D4654" s="7">
        <v>0.64</v>
      </c>
      <c r="E4654" t="s">
        <v>11</v>
      </c>
    </row>
    <row r="4655" spans="1:5" x14ac:dyDescent="0.25">
      <c r="A4655" t="str">
        <f>HYPERLINK("https://www.773grp.com/globalSearch/MC74LCX86D/page-1", "MC74LCX86D")</f>
        <v>MC74LCX86D</v>
      </c>
      <c r="B4655" s="3" t="str">
        <f>HYPERLINK("https://www.773grp.com/manufacturer/onsemi?pageNo=610", "Onsemi")</f>
        <v>Onsemi</v>
      </c>
      <c r="C4655" s="6">
        <v>27881</v>
      </c>
      <c r="D4655" s="7">
        <v>0.64</v>
      </c>
      <c r="E4655" t="s">
        <v>27</v>
      </c>
    </row>
    <row r="4656" spans="1:5" x14ac:dyDescent="0.25">
      <c r="A4656" t="str">
        <f>HYPERLINK("https://www.773grp.com/globalSearch/MC74LVX14DR2G/page-1", "MC74LVX14DR2G")</f>
        <v>MC74LVX14DR2G</v>
      </c>
      <c r="B4656" s="3" t="str">
        <f>HYPERLINK("https://www.773grp.com/manufacturer/onsemi?pageNo=611", "Onsemi")</f>
        <v>Onsemi</v>
      </c>
      <c r="C4656" s="6">
        <v>30098</v>
      </c>
      <c r="D4656" s="7">
        <v>0.64</v>
      </c>
      <c r="E4656" t="s">
        <v>27</v>
      </c>
    </row>
    <row r="4657" spans="1:5" x14ac:dyDescent="0.25">
      <c r="A4657" t="str">
        <f>HYPERLINK("https://www.773grp.com/globalSearch/MC74LVX14DTR2G/page-1", "MC74LVX14DTR2G")</f>
        <v>MC74LVX14DTR2G</v>
      </c>
      <c r="B4657" s="3" t="str">
        <f>HYPERLINK("https://www.773grp.com/manufacturer/onsemi?pageNo=612", "Onsemi")</f>
        <v>Onsemi</v>
      </c>
      <c r="C4657" s="6">
        <v>15000</v>
      </c>
      <c r="D4657" s="7">
        <v>0.64</v>
      </c>
      <c r="E4657" t="s">
        <v>27</v>
      </c>
    </row>
    <row r="4658" spans="1:5" x14ac:dyDescent="0.25">
      <c r="A4658" t="str">
        <f>HYPERLINK("https://www.773grp.com/globalSearch/MC74LVX157D/page-1", "MC74LVX157D")</f>
        <v>MC74LVX157D</v>
      </c>
      <c r="B4658" s="3" t="str">
        <f>HYPERLINK("https://www.773grp.com/manufacturer/onsemi?pageNo=613", "Onsemi")</f>
        <v>Onsemi</v>
      </c>
      <c r="C4658" s="6">
        <v>960</v>
      </c>
      <c r="D4658" s="7">
        <v>0.64</v>
      </c>
      <c r="E4658" t="s">
        <v>16</v>
      </c>
    </row>
    <row r="4659" spans="1:5" x14ac:dyDescent="0.25">
      <c r="A4659" t="str">
        <f>HYPERLINK("https://www.773grp.com/globalSearch/MC74LVX74DR2G/page-1", "MC74LVX74DR2G")</f>
        <v>MC74LVX74DR2G</v>
      </c>
      <c r="B4659" s="3" t="str">
        <f>HYPERLINK("https://www.773grp.com/manufacturer/onsemi?pageNo=614", "Onsemi")</f>
        <v>Onsemi</v>
      </c>
      <c r="C4659" s="6">
        <v>39700</v>
      </c>
      <c r="D4659" s="7">
        <v>0.64</v>
      </c>
      <c r="E4659" t="s">
        <v>31</v>
      </c>
    </row>
    <row r="4660" spans="1:5" x14ac:dyDescent="0.25">
      <c r="A4660" t="str">
        <f>HYPERLINK("https://www.773grp.com/globalSearch/MC74LVX74DTG/page-1", "MC74LVX74DTG")</f>
        <v>MC74LVX74DTG</v>
      </c>
      <c r="B4660" s="3" t="str">
        <f>HYPERLINK("https://www.773grp.com/manufacturer/onsemi?pageNo=615", "Onsemi")</f>
        <v>Onsemi</v>
      </c>
      <c r="C4660" s="6">
        <v>50880</v>
      </c>
      <c r="D4660" s="7">
        <v>0.64</v>
      </c>
      <c r="E4660" t="s">
        <v>31</v>
      </c>
    </row>
    <row r="4661" spans="1:5" x14ac:dyDescent="0.25">
      <c r="A4661" t="str">
        <f>HYPERLINK("https://www.773grp.com/globalSearch/MC74LVX74DTR/page-1", "MC74LVX74DTR")</f>
        <v>MC74LVX74DTR</v>
      </c>
      <c r="B4661" s="3" t="str">
        <f>HYPERLINK("https://www.773grp.com/manufacturer/onsemi?pageNo=616", "Onsemi")</f>
        <v>Onsemi</v>
      </c>
      <c r="C4661" s="6">
        <v>2500</v>
      </c>
      <c r="D4661" s="7">
        <v>0.64</v>
      </c>
    </row>
    <row r="4662" spans="1:5" x14ac:dyDescent="0.25">
      <c r="A4662" t="str">
        <f>HYPERLINK("https://www.773grp.com/globalSearch/MC74LVX74DTR2G/page-1", "MC74LVX74DTR2G")</f>
        <v>MC74LVX74DTR2G</v>
      </c>
      <c r="B4662" s="3" t="str">
        <f>HYPERLINK("https://www.773grp.com/manufacturer/onsemi?pageNo=617", "Onsemi")</f>
        <v>Onsemi</v>
      </c>
      <c r="C4662" s="6">
        <v>55570</v>
      </c>
      <c r="D4662" s="7">
        <v>0.64</v>
      </c>
      <c r="E4662" t="s">
        <v>31</v>
      </c>
    </row>
    <row r="4663" spans="1:5" x14ac:dyDescent="0.25">
      <c r="A4663" t="str">
        <f>HYPERLINK("https://www.773grp.com/globalSearch/MC74LVX86DR2G/page-1", "MC74LVX86DR2G")</f>
        <v>MC74LVX86DR2G</v>
      </c>
      <c r="B4663" s="3" t="str">
        <f>HYPERLINK("https://www.773grp.com/manufacturer/onsemi?pageNo=618", "Onsemi")</f>
        <v>Onsemi</v>
      </c>
      <c r="C4663" s="6">
        <v>72500</v>
      </c>
      <c r="D4663" s="7">
        <v>0.64</v>
      </c>
      <c r="E4663" t="s">
        <v>27</v>
      </c>
    </row>
    <row r="4664" spans="1:5" x14ac:dyDescent="0.25">
      <c r="A4664" t="str">
        <f>HYPERLINK("https://www.773grp.com/globalSearch/MC74LVX86DTR2G/page-1", "MC74LVX86DTR2G")</f>
        <v>MC74LVX86DTR2G</v>
      </c>
      <c r="B4664" s="3" t="str">
        <f>HYPERLINK("https://www.773grp.com/manufacturer/onsemi?pageNo=619", "Onsemi")</f>
        <v>Onsemi</v>
      </c>
      <c r="C4664" s="6">
        <v>52290</v>
      </c>
      <c r="D4664" s="7">
        <v>0.64</v>
      </c>
      <c r="E4664" t="s">
        <v>27</v>
      </c>
    </row>
    <row r="4665" spans="1:5" x14ac:dyDescent="0.25">
      <c r="A4665" t="str">
        <f>HYPERLINK("https://www.773grp.com/globalSearch/MC74VHC14DG/page-1", "MC74VHC14DG")</f>
        <v>MC74VHC14DG</v>
      </c>
      <c r="B4665" s="3" t="str">
        <f>HYPERLINK("https://www.773grp.com/manufacturer/onsemi?pageNo=620", "Onsemi")</f>
        <v>Onsemi</v>
      </c>
      <c r="C4665" s="6">
        <v>3930</v>
      </c>
      <c r="D4665" s="7">
        <v>0.64</v>
      </c>
      <c r="E4665" t="s">
        <v>27</v>
      </c>
    </row>
    <row r="4666" spans="1:5" x14ac:dyDescent="0.25">
      <c r="A4666" t="str">
        <f>HYPERLINK("https://www.773grp.com/globalSearch/MC74VHC14DR2/page-1", "MC74VHC14DR2")</f>
        <v>MC74VHC14DR2</v>
      </c>
      <c r="B4666" s="3" t="str">
        <f>HYPERLINK("https://www.773grp.com/manufacturer/onsemi?pageNo=621", "Onsemi")</f>
        <v>Onsemi</v>
      </c>
      <c r="C4666" s="6">
        <v>17500</v>
      </c>
      <c r="D4666" s="7">
        <v>0.64</v>
      </c>
      <c r="E4666" t="s">
        <v>27</v>
      </c>
    </row>
    <row r="4667" spans="1:5" x14ac:dyDescent="0.25">
      <c r="A4667" t="str">
        <f>HYPERLINK("https://www.773grp.com/globalSearch/MC74VHC14DR2G/page-1", "MC74VHC14DR2G")</f>
        <v>MC74VHC14DR2G</v>
      </c>
      <c r="B4667" s="3" t="str">
        <f>HYPERLINK("https://www.773grp.com/manufacturer/onsemi?pageNo=622", "Onsemi")</f>
        <v>Onsemi</v>
      </c>
      <c r="C4667" s="6">
        <v>57619</v>
      </c>
      <c r="D4667" s="7">
        <v>0.64</v>
      </c>
      <c r="E4667" t="s">
        <v>27</v>
      </c>
    </row>
    <row r="4668" spans="1:5" x14ac:dyDescent="0.25">
      <c r="A4668" t="str">
        <f>HYPERLINK("https://www.773grp.com/globalSearch/MC74VHC14DT/page-1", "MC74VHC14DT")</f>
        <v>MC74VHC14DT</v>
      </c>
      <c r="B4668" s="3" t="str">
        <f>HYPERLINK("https://www.773grp.com/manufacturer/onsemi?pageNo=623", "Onsemi")</f>
        <v>Onsemi</v>
      </c>
      <c r="C4668" s="6">
        <v>14</v>
      </c>
      <c r="D4668" s="7">
        <v>0.64</v>
      </c>
      <c r="E4668" t="s">
        <v>27</v>
      </c>
    </row>
    <row r="4669" spans="1:5" x14ac:dyDescent="0.25">
      <c r="A4669" t="str">
        <f>HYPERLINK("https://www.773grp.com/globalSearch/MC74VHC14DTG/page-1", "MC74VHC14DTG")</f>
        <v>MC74VHC14DTG</v>
      </c>
      <c r="B4669" s="3" t="str">
        <f>HYPERLINK("https://www.773grp.com/manufacturer/onsemi?pageNo=624", "Onsemi")</f>
        <v>Onsemi</v>
      </c>
      <c r="C4669" s="6">
        <v>44035</v>
      </c>
      <c r="D4669" s="7">
        <v>0.64</v>
      </c>
      <c r="E4669" t="s">
        <v>27</v>
      </c>
    </row>
    <row r="4670" spans="1:5" x14ac:dyDescent="0.25">
      <c r="A4670" t="str">
        <f>HYPERLINK("https://www.773grp.com/globalSearch/MC74VHC14DTR2G/page-1", "MC74VHC14DTR2G")</f>
        <v>MC74VHC14DTR2G</v>
      </c>
      <c r="B4670" s="3" t="str">
        <f>HYPERLINK("https://www.773grp.com/manufacturer/onsemi?pageNo=625", "Onsemi")</f>
        <v>Onsemi</v>
      </c>
      <c r="C4670" s="6">
        <v>113559</v>
      </c>
      <c r="D4670" s="7">
        <v>0.64</v>
      </c>
      <c r="E4670" t="s">
        <v>27</v>
      </c>
    </row>
    <row r="4671" spans="1:5" x14ac:dyDescent="0.25">
      <c r="A4671" t="str">
        <f>HYPERLINK("https://www.773grp.com/globalSearch/MC74VHC74DR2G/page-1", "MC74VHC74DR2G")</f>
        <v>MC74VHC74DR2G</v>
      </c>
      <c r="B4671" s="3" t="str">
        <f>HYPERLINK("https://www.773grp.com/manufacturer/onsemi?pageNo=626", "Onsemi")</f>
        <v>Onsemi</v>
      </c>
      <c r="C4671" s="6">
        <v>9635</v>
      </c>
      <c r="D4671" s="7">
        <v>0.64</v>
      </c>
      <c r="E4671" t="s">
        <v>31</v>
      </c>
    </row>
    <row r="4672" spans="1:5" x14ac:dyDescent="0.25">
      <c r="A4672" t="str">
        <f>HYPERLINK("https://www.773grp.com/globalSearch/MC74VHC74DTG/page-1", "MC74VHC74DTG")</f>
        <v>MC74VHC74DTG</v>
      </c>
      <c r="B4672" s="3" t="str">
        <f>HYPERLINK("https://www.773grp.com/manufacturer/onsemi?pageNo=627", "Onsemi")</f>
        <v>Onsemi</v>
      </c>
      <c r="C4672" s="6">
        <v>15903</v>
      </c>
      <c r="D4672" s="7">
        <v>0.64</v>
      </c>
      <c r="E4672" t="s">
        <v>31</v>
      </c>
    </row>
    <row r="4673" spans="1:5" x14ac:dyDescent="0.25">
      <c r="A4673" t="str">
        <f>HYPERLINK("https://www.773grp.com/globalSearch/MC74VHC74DTR2G/page-1", "MC74VHC74DTR2G")</f>
        <v>MC74VHC74DTR2G</v>
      </c>
      <c r="B4673" s="3" t="str">
        <f>HYPERLINK("https://www.773grp.com/manufacturer/onsemi?pageNo=628", "Onsemi")</f>
        <v>Onsemi</v>
      </c>
      <c r="C4673" s="6">
        <v>14605</v>
      </c>
      <c r="D4673" s="7">
        <v>0.64</v>
      </c>
      <c r="E4673" t="s">
        <v>31</v>
      </c>
    </row>
    <row r="4674" spans="1:5" x14ac:dyDescent="0.25">
      <c r="A4674" t="str">
        <f>HYPERLINK("https://www.773grp.com/globalSearch/MC74VHC86DR2G/page-1", "MC74VHC86DR2G")</f>
        <v>MC74VHC86DR2G</v>
      </c>
      <c r="B4674" s="3" t="str">
        <f>HYPERLINK("https://www.773grp.com/manufacturer/onsemi?pageNo=629", "Onsemi")</f>
        <v>Onsemi</v>
      </c>
      <c r="C4674" s="6">
        <v>44449</v>
      </c>
      <c r="D4674" s="7">
        <v>0.64</v>
      </c>
      <c r="E4674" t="s">
        <v>27</v>
      </c>
    </row>
    <row r="4675" spans="1:5" x14ac:dyDescent="0.25">
      <c r="A4675" t="str">
        <f>HYPERLINK("https://www.773grp.com/globalSearch/MC74VHC86DTR2G/page-1", "MC74VHC86DTR2G")</f>
        <v>MC74VHC86DTR2G</v>
      </c>
      <c r="B4675" s="3" t="str">
        <f>HYPERLINK("https://www.773grp.com/manufacturer/onsemi?pageNo=630", "Onsemi")</f>
        <v>Onsemi</v>
      </c>
      <c r="C4675" s="6">
        <v>81534</v>
      </c>
      <c r="D4675" s="7">
        <v>0.64</v>
      </c>
      <c r="E4675" t="s">
        <v>27</v>
      </c>
    </row>
    <row r="4676" spans="1:5" x14ac:dyDescent="0.25">
      <c r="A4676" t="str">
        <f>HYPERLINK("https://www.773grp.com/globalSearch/MC74VHCT14ADR2G/page-1", "MC74VHCT14ADR2G")</f>
        <v>MC74VHCT14ADR2G</v>
      </c>
      <c r="B4676" s="3" t="str">
        <f>HYPERLINK("https://www.773grp.com/manufacturer/onsemi?pageNo=631", "Onsemi")</f>
        <v>Onsemi</v>
      </c>
      <c r="C4676" s="6">
        <v>17400</v>
      </c>
      <c r="D4676" s="7">
        <v>0.64</v>
      </c>
      <c r="E4676" t="s">
        <v>27</v>
      </c>
    </row>
    <row r="4677" spans="1:5" x14ac:dyDescent="0.25">
      <c r="A4677" t="str">
        <f>HYPERLINK("https://www.773grp.com/globalSearch/MC74VHCT14ADTR2G/page-1", "MC74VHCT14ADTR2G")</f>
        <v>MC74VHCT14ADTR2G</v>
      </c>
      <c r="B4677" s="3" t="str">
        <f>HYPERLINK("https://www.773grp.com/manufacturer/onsemi?pageNo=632", "Onsemi")</f>
        <v>Onsemi</v>
      </c>
      <c r="C4677" s="6">
        <v>446776</v>
      </c>
      <c r="D4677" s="7">
        <v>0.64</v>
      </c>
      <c r="E4677" t="s">
        <v>27</v>
      </c>
    </row>
    <row r="4678" spans="1:5" x14ac:dyDescent="0.25">
      <c r="A4678" t="str">
        <f>HYPERLINK("https://www.773grp.com/globalSearch/MC74VHCT74ADR2G/page-1", "MC74VHCT74ADR2G")</f>
        <v>MC74VHCT74ADR2G</v>
      </c>
      <c r="B4678" s="3" t="str">
        <f>HYPERLINK("https://www.773grp.com/manufacturer/onsemi?pageNo=633", "Onsemi")</f>
        <v>Onsemi</v>
      </c>
      <c r="C4678" s="6">
        <v>43266</v>
      </c>
      <c r="D4678" s="7">
        <v>0.64</v>
      </c>
      <c r="E4678" t="s">
        <v>31</v>
      </c>
    </row>
    <row r="4679" spans="1:5" x14ac:dyDescent="0.25">
      <c r="A4679" t="str">
        <f>HYPERLINK("https://www.773grp.com/globalSearch/MC74VHCT74ADTR2G/page-1", "MC74VHCT74ADTR2G")</f>
        <v>MC74VHCT74ADTR2G</v>
      </c>
      <c r="B4679" s="3" t="str">
        <f>HYPERLINK("https://www.773grp.com/manufacturer/onsemi?pageNo=634", "Onsemi")</f>
        <v>Onsemi</v>
      </c>
      <c r="C4679" s="6">
        <v>49730</v>
      </c>
      <c r="D4679" s="7">
        <v>0.64</v>
      </c>
      <c r="E4679" t="s">
        <v>31</v>
      </c>
    </row>
    <row r="4680" spans="1:5" x14ac:dyDescent="0.25">
      <c r="A4680" t="str">
        <f>HYPERLINK("https://www.773grp.com/globalSearch/MC74VHCT86ADR2G/page-1", "MC74VHCT86ADR2G")</f>
        <v>MC74VHCT86ADR2G</v>
      </c>
      <c r="B4680" s="3" t="str">
        <f>HYPERLINK("https://www.773grp.com/manufacturer/onsemi?pageNo=635", "Onsemi")</f>
        <v>Onsemi</v>
      </c>
      <c r="C4680" s="6">
        <v>48177</v>
      </c>
      <c r="D4680" s="7">
        <v>0.64</v>
      </c>
      <c r="E4680" t="s">
        <v>27</v>
      </c>
    </row>
    <row r="4681" spans="1:5" x14ac:dyDescent="0.25">
      <c r="A4681" t="str">
        <f>HYPERLINK("https://www.773grp.com/globalSearch/MC74VHCT86ADTR2G/page-1", "MC74VHCT86ADTR2G")</f>
        <v>MC74VHCT86ADTR2G</v>
      </c>
      <c r="B4681" s="3" t="str">
        <f>HYPERLINK("https://www.773grp.com/manufacturer/onsemi?pageNo=636", "Onsemi")</f>
        <v>Onsemi</v>
      </c>
      <c r="C4681" s="6">
        <v>49840</v>
      </c>
      <c r="D4681" s="7">
        <v>0.64</v>
      </c>
      <c r="E4681" t="s">
        <v>27</v>
      </c>
    </row>
    <row r="4682" spans="1:5" x14ac:dyDescent="0.25">
      <c r="A4682" t="str">
        <f>HYPERLINK("https://www.773grp.com/globalSearch/MC78M05CT/page-1", "MC78M05CT")</f>
        <v>MC78M05CT</v>
      </c>
      <c r="B4682" s="3" t="str">
        <f>HYPERLINK("https://www.773grp.com/manufacturer/onsemi?pageNo=637", "Onsemi")</f>
        <v>Onsemi</v>
      </c>
      <c r="C4682" s="6">
        <v>4546</v>
      </c>
      <c r="D4682" s="7">
        <v>0.64</v>
      </c>
      <c r="E4682" t="s">
        <v>24</v>
      </c>
    </row>
    <row r="4683" spans="1:5" x14ac:dyDescent="0.25">
      <c r="A4683" t="str">
        <f>HYPERLINK("https://www.773grp.com/globalSearch/MC78M06CT/page-1", "MC78M06CT")</f>
        <v>MC78M06CT</v>
      </c>
      <c r="B4683" s="3" t="str">
        <f>HYPERLINK("https://www.773grp.com/manufacturer/onsemi?pageNo=638", "Onsemi")</f>
        <v>Onsemi</v>
      </c>
      <c r="C4683" s="6">
        <v>350</v>
      </c>
      <c r="D4683" s="7">
        <v>0.64</v>
      </c>
      <c r="E4683" t="s">
        <v>24</v>
      </c>
    </row>
    <row r="4684" spans="1:5" x14ac:dyDescent="0.25">
      <c r="A4684" t="str">
        <f>HYPERLINK("https://www.773grp.com/globalSearch/MC78M08ABDT/page-1", "MC78M08ABDT")</f>
        <v>MC78M08ABDT</v>
      </c>
      <c r="B4684" s="3" t="str">
        <f>HYPERLINK("https://www.773grp.com/manufacturer/onsemi?pageNo=639", "Onsemi")</f>
        <v>Onsemi</v>
      </c>
      <c r="C4684" s="6">
        <v>750</v>
      </c>
      <c r="D4684" s="7">
        <v>0.64</v>
      </c>
      <c r="E4684" t="s">
        <v>24</v>
      </c>
    </row>
    <row r="4685" spans="1:5" x14ac:dyDescent="0.25">
      <c r="A4685" t="str">
        <f>HYPERLINK("https://www.773grp.com/globalSearch/MC78M09CT/page-1", "MC78M09CT")</f>
        <v>MC78M09CT</v>
      </c>
      <c r="B4685" s="3" t="str">
        <f>HYPERLINK("https://www.773grp.com/manufacturer/onsemi?pageNo=640", "Onsemi")</f>
        <v>Onsemi</v>
      </c>
      <c r="C4685" s="6">
        <v>135193</v>
      </c>
      <c r="D4685" s="7">
        <v>0.64</v>
      </c>
      <c r="E4685" t="s">
        <v>24</v>
      </c>
    </row>
    <row r="4686" spans="1:5" x14ac:dyDescent="0.25">
      <c r="A4686" t="str">
        <f>HYPERLINK("https://www.773grp.com/globalSearch/MC78M15CT/page-1", "MC78M15CT")</f>
        <v>MC78M15CT</v>
      </c>
      <c r="B4686" s="3" t="str">
        <f>HYPERLINK("https://www.773grp.com/manufacturer/onsemi?pageNo=641", "Onsemi")</f>
        <v>Onsemi</v>
      </c>
      <c r="C4686" s="6">
        <v>45450</v>
      </c>
      <c r="D4686" s="7">
        <v>0.64</v>
      </c>
      <c r="E4686" t="s">
        <v>24</v>
      </c>
    </row>
    <row r="4687" spans="1:5" x14ac:dyDescent="0.25">
      <c r="A4687" t="str">
        <f>HYPERLINK("https://www.773grp.com/globalSearch/MC78M18CT/page-1", "MC78M18CT")</f>
        <v>MC78M18CT</v>
      </c>
      <c r="B4687" s="3" t="str">
        <f>HYPERLINK("https://www.773grp.com/manufacturer/onsemi?pageNo=642", "Onsemi")</f>
        <v>Onsemi</v>
      </c>
      <c r="C4687" s="6">
        <v>1550</v>
      </c>
      <c r="D4687" s="7">
        <v>0.64</v>
      </c>
      <c r="E4687" t="s">
        <v>24</v>
      </c>
    </row>
    <row r="4688" spans="1:5" x14ac:dyDescent="0.25">
      <c r="A4688" t="str">
        <f>HYPERLINK("https://www.773grp.com/globalSearch/MC78M20CT/page-1", "MC78M20CT")</f>
        <v>MC78M20CT</v>
      </c>
      <c r="B4688" s="3" t="str">
        <f>HYPERLINK("https://www.773grp.com/manufacturer/onsemi?pageNo=643", "Onsemi")</f>
        <v>Onsemi</v>
      </c>
      <c r="C4688" s="6">
        <v>7000</v>
      </c>
      <c r="D4688" s="7">
        <v>0.64</v>
      </c>
      <c r="E4688" t="s">
        <v>24</v>
      </c>
    </row>
    <row r="4689" spans="1:5" x14ac:dyDescent="0.25">
      <c r="A4689" t="str">
        <f>HYPERLINK("https://www.773grp.com/globalSearch/MC78M24CT/page-1", "MC78M24CT")</f>
        <v>MC78M24CT</v>
      </c>
      <c r="B4689" s="3" t="str">
        <f>HYPERLINK("https://www.773grp.com/manufacturer/onsemi?pageNo=644", "Onsemi")</f>
        <v>Onsemi</v>
      </c>
      <c r="C4689" s="6">
        <v>402</v>
      </c>
      <c r="D4689" s="7">
        <v>0.64</v>
      </c>
      <c r="E4689" t="s">
        <v>24</v>
      </c>
    </row>
    <row r="4690" spans="1:5" x14ac:dyDescent="0.25">
      <c r="A4690" t="str">
        <f>HYPERLINK("https://www.773grp.com/globalSearch/MC79M05CT/page-1", "MC79M05CT")</f>
        <v>MC79M05CT</v>
      </c>
      <c r="B4690" s="3" t="str">
        <f>HYPERLINK("https://www.773grp.com/manufacturer/onsemi?pageNo=645", "Onsemi")</f>
        <v>Onsemi</v>
      </c>
      <c r="C4690" s="6">
        <v>788</v>
      </c>
      <c r="D4690" s="7">
        <v>0.64</v>
      </c>
      <c r="E4690" t="s">
        <v>53</v>
      </c>
    </row>
    <row r="4691" spans="1:5" x14ac:dyDescent="0.25">
      <c r="A4691" t="str">
        <f>HYPERLINK("https://www.773grp.com/globalSearch/MC79M15CT/page-1", "MC79M15CT")</f>
        <v>MC79M15CT</v>
      </c>
      <c r="B4691" s="3" t="str">
        <f>HYPERLINK("https://www.773grp.com/manufacturer/onsemi?pageNo=646", "Onsemi")</f>
        <v>Onsemi</v>
      </c>
      <c r="C4691" s="6">
        <v>1166</v>
      </c>
      <c r="D4691" s="7">
        <v>0.64</v>
      </c>
      <c r="E4691" t="s">
        <v>53</v>
      </c>
    </row>
    <row r="4692" spans="1:5" x14ac:dyDescent="0.25">
      <c r="A4692" t="str">
        <f>HYPERLINK("https://www.773grp.com/globalSearch/MCH6336-TL-E/page-1", "MCH6336-TL-E")</f>
        <v>MCH6336-TL-E</v>
      </c>
      <c r="B4692" s="3" t="str">
        <f>HYPERLINK("https://www.773grp.com/manufacturer/onsemi?pageNo=647", "Onsemi")</f>
        <v>Onsemi</v>
      </c>
      <c r="C4692" s="6">
        <v>3000</v>
      </c>
      <c r="D4692" s="7">
        <v>0.64</v>
      </c>
    </row>
    <row r="4693" spans="1:5" x14ac:dyDescent="0.25">
      <c r="A4693" t="str">
        <f>HYPERLINK("https://www.773grp.com/globalSearch/MCH6337-TL-E/page-1", "MCH6337-TL-E")</f>
        <v>MCH6337-TL-E</v>
      </c>
      <c r="B4693" s="3" t="str">
        <f>HYPERLINK("https://www.773grp.com/manufacturer/onsemi?pageNo=648", "Onsemi")</f>
        <v>Onsemi</v>
      </c>
      <c r="C4693" s="6">
        <v>9000</v>
      </c>
      <c r="D4693" s="7">
        <v>0.64</v>
      </c>
    </row>
    <row r="4694" spans="1:5" x14ac:dyDescent="0.25">
      <c r="A4694" t="str">
        <f>HYPERLINK("https://www.773grp.com/globalSearch/MCH6663-TL-H/page-1", "MCH6663-TL-H")</f>
        <v>MCH6663-TL-H</v>
      </c>
      <c r="B4694" s="3" t="str">
        <f>HYPERLINK("https://www.773grp.com/manufacturer/onsemi?pageNo=649", "Onsemi")</f>
        <v>Onsemi</v>
      </c>
      <c r="C4694" s="6">
        <v>3000</v>
      </c>
      <c r="D4694" s="7">
        <v>0.64</v>
      </c>
    </row>
    <row r="4695" spans="1:5" x14ac:dyDescent="0.25">
      <c r="A4695" t="str">
        <f>HYPERLINK("https://www.773grp.com/globalSearch/MCR100-3G/page-1", "MCR100-3G")</f>
        <v>MCR100-3G</v>
      </c>
      <c r="B4695" s="3" t="str">
        <f>HYPERLINK("https://www.773grp.com/manufacturer/onsemi?pageNo=650", "Onsemi")</f>
        <v>Onsemi</v>
      </c>
      <c r="C4695" s="6">
        <v>5500</v>
      </c>
      <c r="D4695" s="7">
        <v>0.64</v>
      </c>
      <c r="E4695" t="s">
        <v>76</v>
      </c>
    </row>
    <row r="4696" spans="1:5" x14ac:dyDescent="0.25">
      <c r="A4696" t="str">
        <f>HYPERLINK("https://www.773grp.com/globalSearch/MCR100-3RLG/page-1", "MCR100-3RLG")</f>
        <v>MCR100-3RLG</v>
      </c>
      <c r="B4696" s="3" t="str">
        <f>HYPERLINK("https://www.773grp.com/manufacturer/onsemi?pageNo=651", "Onsemi")</f>
        <v>Onsemi</v>
      </c>
      <c r="C4696" s="6">
        <v>403981</v>
      </c>
      <c r="D4696" s="7">
        <v>0.64</v>
      </c>
      <c r="E4696" t="s">
        <v>76</v>
      </c>
    </row>
    <row r="4697" spans="1:5" x14ac:dyDescent="0.25">
      <c r="A4697" t="str">
        <f>HYPERLINK("https://www.773grp.com/globalSearch/MCR100-4G/page-1", "MCR100-4G")</f>
        <v>MCR100-4G</v>
      </c>
      <c r="B4697" s="3" t="str">
        <f>HYPERLINK("https://www.773grp.com/manufacturer/onsemi?pageNo=652", "Onsemi")</f>
        <v>Onsemi</v>
      </c>
      <c r="C4697" s="6">
        <v>10000</v>
      </c>
      <c r="D4697" s="7">
        <v>0.64</v>
      </c>
      <c r="E4697" t="s">
        <v>76</v>
      </c>
    </row>
    <row r="4698" spans="1:5" x14ac:dyDescent="0.25">
      <c r="A4698" t="str">
        <f>HYPERLINK("https://www.773grp.com/globalSearch/MCR100-6G/page-1", "MCR100-6G")</f>
        <v>MCR100-6G</v>
      </c>
      <c r="B4698" s="3" t="str">
        <f>HYPERLINK("https://www.773grp.com/manufacturer/onsemi?pageNo=653", "Onsemi")</f>
        <v>Onsemi</v>
      </c>
      <c r="C4698" s="6">
        <v>453249</v>
      </c>
      <c r="D4698" s="7">
        <v>0.64</v>
      </c>
      <c r="E4698" t="s">
        <v>76</v>
      </c>
    </row>
    <row r="4699" spans="1:5" x14ac:dyDescent="0.25">
      <c r="A4699" t="str">
        <f>HYPERLINK("https://www.773grp.com/globalSearch/MCR100-6RLG/page-1", "MCR100-6RLG")</f>
        <v>MCR100-6RLG</v>
      </c>
      <c r="B4699" s="3" t="str">
        <f>HYPERLINK("https://www.773grp.com/manufacturer/onsemi?pageNo=654", "Onsemi")</f>
        <v>Onsemi</v>
      </c>
      <c r="C4699" s="6">
        <v>53900</v>
      </c>
      <c r="D4699" s="7">
        <v>0.64</v>
      </c>
      <c r="E4699" t="s">
        <v>76</v>
      </c>
    </row>
    <row r="4700" spans="1:5" x14ac:dyDescent="0.25">
      <c r="A4700" t="str">
        <f>HYPERLINK("https://www.773grp.com/globalSearch/MCR100-6RLRAG/page-1", "MCR100-6RLRAG")</f>
        <v>MCR100-6RLRAG</v>
      </c>
      <c r="B4700" s="3" t="str">
        <f>HYPERLINK("https://www.773grp.com/manufacturer/onsemi?pageNo=655", "Onsemi")</f>
        <v>Onsemi</v>
      </c>
      <c r="C4700" s="6">
        <v>1252523</v>
      </c>
      <c r="D4700" s="7">
        <v>0.64</v>
      </c>
      <c r="E4700" t="s">
        <v>76</v>
      </c>
    </row>
    <row r="4701" spans="1:5" x14ac:dyDescent="0.25">
      <c r="A4701" t="str">
        <f>HYPERLINK("https://www.773grp.com/globalSearch/MCR100-6RLRMG/page-1", "MCR100-6RLRMG")</f>
        <v>MCR100-6RLRMG</v>
      </c>
      <c r="B4701" s="3" t="str">
        <f>HYPERLINK("https://www.773grp.com/manufacturer/onsemi?pageNo=656", "Onsemi")</f>
        <v>Onsemi</v>
      </c>
      <c r="C4701" s="6">
        <v>436283</v>
      </c>
      <c r="D4701" s="7">
        <v>0.64</v>
      </c>
      <c r="E4701" t="s">
        <v>76</v>
      </c>
    </row>
    <row r="4702" spans="1:5" x14ac:dyDescent="0.25">
      <c r="A4702" t="str">
        <f>HYPERLINK("https://www.773grp.com/globalSearch/MCR100-6ZL1G/page-1", "MCR100-6ZL1G")</f>
        <v>MCR100-6ZL1G</v>
      </c>
      <c r="B4702" s="3" t="str">
        <f>HYPERLINK("https://www.773grp.com/manufacturer/onsemi?pageNo=657", "Onsemi")</f>
        <v>Onsemi</v>
      </c>
      <c r="C4702" s="6">
        <v>5995</v>
      </c>
      <c r="D4702" s="7">
        <v>0.64</v>
      </c>
      <c r="E4702" t="s">
        <v>76</v>
      </c>
    </row>
    <row r="4703" spans="1:5" x14ac:dyDescent="0.25">
      <c r="A4703" t="str">
        <f>HYPERLINK("https://www.773grp.com/globalSearch/MCR100-8G/page-1", "MCR100-8G")</f>
        <v>MCR100-8G</v>
      </c>
      <c r="B4703" s="3" t="str">
        <f>HYPERLINK("https://www.773grp.com/manufacturer/onsemi?pageNo=658", "Onsemi")</f>
        <v>Onsemi</v>
      </c>
      <c r="C4703" s="6">
        <v>108600</v>
      </c>
      <c r="D4703" s="7">
        <v>0.64</v>
      </c>
    </row>
    <row r="4704" spans="1:5" x14ac:dyDescent="0.25">
      <c r="A4704" t="str">
        <f>HYPERLINK("https://www.773grp.com/globalSearch/MCR100-8RLG/page-1", "MCR100-8RLG")</f>
        <v>MCR100-8RLG</v>
      </c>
      <c r="B4704" s="3" t="str">
        <f>HYPERLINK("https://www.773grp.com/manufacturer/onsemi?pageNo=659", "Onsemi")</f>
        <v>Onsemi</v>
      </c>
      <c r="C4704" s="6">
        <v>133955</v>
      </c>
      <c r="D4704" s="7">
        <v>0.64</v>
      </c>
      <c r="E4704" t="s">
        <v>76</v>
      </c>
    </row>
    <row r="4705" spans="1:5" x14ac:dyDescent="0.25">
      <c r="A4705" t="str">
        <f>HYPERLINK("https://www.773grp.com/globalSearch/MJD112-001/page-1", "MJD112-001")</f>
        <v>MJD112-001</v>
      </c>
      <c r="B4705" s="3" t="str">
        <f>HYPERLINK("https://www.773grp.com/manufacturer/onsemi?pageNo=660", "Onsemi")</f>
        <v>Onsemi</v>
      </c>
      <c r="C4705" s="6">
        <v>3825</v>
      </c>
      <c r="D4705" s="7">
        <v>0.64</v>
      </c>
      <c r="E4705" t="s">
        <v>47</v>
      </c>
    </row>
    <row r="4706" spans="1:5" x14ac:dyDescent="0.25">
      <c r="A4706" t="str">
        <f>HYPERLINK("https://www.773grp.com/globalSearch/MJE13007/page-1", "MJE13007")</f>
        <v>MJE13007</v>
      </c>
      <c r="B4706" s="3" t="str">
        <f>HYPERLINK("https://www.773grp.com/manufacturer/onsemi?pageNo=661", "Onsemi")</f>
        <v>Onsemi</v>
      </c>
      <c r="C4706" s="6">
        <v>219</v>
      </c>
      <c r="D4706" s="7">
        <v>0.64</v>
      </c>
      <c r="E4706" t="s">
        <v>47</v>
      </c>
    </row>
    <row r="4707" spans="1:5" x14ac:dyDescent="0.25">
      <c r="A4707" t="str">
        <f>HYPERLINK("https://www.773grp.com/globalSearch/MMBF4391LT1G/page-1", "MMBF4391LT1G")</f>
        <v>MMBF4391LT1G</v>
      </c>
      <c r="B4707" s="3" t="str">
        <f>HYPERLINK("https://www.773grp.com/manufacturer/onsemi?pageNo=662", "Onsemi")</f>
        <v>Onsemi</v>
      </c>
      <c r="C4707" s="6">
        <v>363</v>
      </c>
      <c r="D4707" s="7">
        <v>0.64</v>
      </c>
    </row>
    <row r="4708" spans="1:5" x14ac:dyDescent="0.25">
      <c r="A4708" t="str">
        <f>HYPERLINK("https://www.773grp.com/globalSearch/MMBF4392LT1G/page-1", "MMBF4392LT1G")</f>
        <v>MMBF4392LT1G</v>
      </c>
      <c r="B4708" s="3" t="str">
        <f>HYPERLINK("https://www.773grp.com/manufacturer/onsemi?pageNo=663", "Onsemi")</f>
        <v>Onsemi</v>
      </c>
      <c r="C4708" s="6">
        <v>63000</v>
      </c>
      <c r="D4708" s="7">
        <v>0.64</v>
      </c>
      <c r="E4708" t="s">
        <v>85</v>
      </c>
    </row>
    <row r="4709" spans="1:5" x14ac:dyDescent="0.25">
      <c r="A4709" t="str">
        <f>HYPERLINK("https://www.773grp.com/globalSearch/MMBF4393LT1G/page-1", "MMBF4393LT1G")</f>
        <v>MMBF4393LT1G</v>
      </c>
      <c r="B4709" s="3" t="str">
        <f>HYPERLINK("https://www.773grp.com/manufacturer/onsemi?pageNo=664", "Onsemi")</f>
        <v>Onsemi</v>
      </c>
      <c r="C4709" s="6">
        <v>6000</v>
      </c>
      <c r="D4709" s="7">
        <v>0.64</v>
      </c>
      <c r="E4709" t="s">
        <v>85</v>
      </c>
    </row>
    <row r="4710" spans="1:5" x14ac:dyDescent="0.25">
      <c r="A4710" t="str">
        <f>HYPERLINK("https://www.773grp.com/globalSearch/MMBFJ175LT1G/page-1", "MMBFJ175LT1G")</f>
        <v>MMBFJ175LT1G</v>
      </c>
      <c r="B4710" s="3" t="str">
        <f>HYPERLINK("https://www.773grp.com/manufacturer/onsemi?pageNo=665", "Onsemi")</f>
        <v>Onsemi</v>
      </c>
      <c r="C4710" s="6">
        <v>5950</v>
      </c>
      <c r="D4710" s="7">
        <v>0.64</v>
      </c>
      <c r="E4710" t="s">
        <v>85</v>
      </c>
    </row>
    <row r="4711" spans="1:5" x14ac:dyDescent="0.25">
      <c r="A4711" t="str">
        <f>HYPERLINK("https://www.773grp.com/globalSearch/MMBFJ177LT1G/page-1", "MMBFJ177LT1G")</f>
        <v>MMBFJ177LT1G</v>
      </c>
      <c r="B4711" s="3" t="str">
        <f>HYPERLINK("https://www.773grp.com/manufacturer/onsemi?pageNo=666", "Onsemi")</f>
        <v>Onsemi</v>
      </c>
      <c r="C4711" s="6">
        <v>435000</v>
      </c>
      <c r="D4711" s="7">
        <v>0.64</v>
      </c>
      <c r="E4711" t="s">
        <v>85</v>
      </c>
    </row>
    <row r="4712" spans="1:5" x14ac:dyDescent="0.25">
      <c r="A4712" t="str">
        <f>HYPERLINK("https://www.773grp.com/globalSearch/MMBFJ309LT1G/page-1", "MMBFJ309LT1G")</f>
        <v>MMBFJ309LT1G</v>
      </c>
      <c r="B4712" s="3" t="str">
        <f>HYPERLINK("https://www.773grp.com/manufacturer/onsemi?pageNo=667", "Onsemi")</f>
        <v>Onsemi</v>
      </c>
      <c r="C4712" s="6">
        <v>11934</v>
      </c>
      <c r="D4712" s="7">
        <v>0.64</v>
      </c>
      <c r="E4712" t="s">
        <v>83</v>
      </c>
    </row>
    <row r="4713" spans="1:5" x14ac:dyDescent="0.25">
      <c r="A4713" t="str">
        <f>HYPERLINK("https://www.773grp.com/globalSearch/MMBFJ310LT1G/page-1", "MMBFJ310LT1G")</f>
        <v>MMBFJ310LT1G</v>
      </c>
      <c r="B4713" s="3" t="str">
        <f>HYPERLINK("https://www.773grp.com/manufacturer/onsemi?pageNo=668", "Onsemi")</f>
        <v>Onsemi</v>
      </c>
      <c r="C4713" s="6">
        <v>458027</v>
      </c>
      <c r="D4713" s="7">
        <v>0.64</v>
      </c>
      <c r="E4713" t="s">
        <v>83</v>
      </c>
    </row>
    <row r="4714" spans="1:5" x14ac:dyDescent="0.25">
      <c r="A4714" t="str">
        <f>HYPERLINK("https://www.773grp.com/globalSearch/MMBFU310LT1G/page-1", "MMBFU310LT1G")</f>
        <v>MMBFU310LT1G</v>
      </c>
      <c r="B4714" s="3" t="str">
        <f>HYPERLINK("https://www.773grp.com/manufacturer/onsemi?pageNo=669", "Onsemi")</f>
        <v>Onsemi</v>
      </c>
      <c r="C4714" s="6">
        <v>12000</v>
      </c>
      <c r="D4714" s="7">
        <v>0.64</v>
      </c>
    </row>
    <row r="4715" spans="1:5" x14ac:dyDescent="0.25">
      <c r="A4715" t="str">
        <f>HYPERLINK("https://www.773grp.com/globalSearch/MMBT489LT1G/page-1", "MMBT489LT1G")</f>
        <v>MMBT489LT1G</v>
      </c>
      <c r="B4715" s="3" t="str">
        <f>HYPERLINK("https://www.773grp.com/manufacturer/onsemi?pageNo=670", "Onsemi")</f>
        <v>Onsemi</v>
      </c>
      <c r="C4715" s="6">
        <v>25680</v>
      </c>
      <c r="D4715" s="7">
        <v>0.64</v>
      </c>
      <c r="E4715" t="s">
        <v>57</v>
      </c>
    </row>
    <row r="4716" spans="1:5" x14ac:dyDescent="0.25">
      <c r="A4716" t="str">
        <f>HYPERLINK("https://www.773grp.com/globalSearch/MMBT589LT1G/page-1", "MMBT589LT1G")</f>
        <v>MMBT589LT1G</v>
      </c>
      <c r="B4716" s="3" t="str">
        <f>HYPERLINK("https://www.773grp.com/manufacturer/onsemi?pageNo=671", "Onsemi")</f>
        <v>Onsemi</v>
      </c>
      <c r="C4716" s="6">
        <v>195000</v>
      </c>
      <c r="D4716" s="7">
        <v>0.64</v>
      </c>
      <c r="E4716" t="s">
        <v>57</v>
      </c>
    </row>
    <row r="4717" spans="1:5" x14ac:dyDescent="0.25">
      <c r="A4717" t="str">
        <f>HYPERLINK("https://www.773grp.com/globalSearch/MMT05B260T3G/page-1", "MMT05B260T3G")</f>
        <v>MMT05B260T3G</v>
      </c>
      <c r="B4717" s="3" t="str">
        <f>HYPERLINK("https://www.773grp.com/manufacturer/onsemi?pageNo=672", "Onsemi")</f>
        <v>Onsemi</v>
      </c>
      <c r="C4717" s="6">
        <v>7500</v>
      </c>
      <c r="D4717" s="7">
        <v>0.64</v>
      </c>
    </row>
    <row r="4718" spans="1:5" x14ac:dyDescent="0.25">
      <c r="A4718" t="str">
        <f>HYPERLINK("https://www.773grp.com/globalSearch/MMT05B310T3G/page-1", "MMT05B310T3G")</f>
        <v>MMT05B310T3G</v>
      </c>
      <c r="B4718" s="3" t="str">
        <f>HYPERLINK("https://www.773grp.com/manufacturer/onsemi?pageNo=673", "Onsemi")</f>
        <v>Onsemi</v>
      </c>
      <c r="C4718" s="6">
        <v>106312</v>
      </c>
      <c r="D4718" s="7">
        <v>0.64</v>
      </c>
      <c r="E4718" t="s">
        <v>88</v>
      </c>
    </row>
    <row r="4719" spans="1:5" x14ac:dyDescent="0.25">
      <c r="A4719" t="str">
        <f>HYPERLINK("https://www.773grp.com/globalSearch/MPS6726G/page-1", "MPS6726G")</f>
        <v>MPS6726G</v>
      </c>
      <c r="B4719" s="3" t="str">
        <f>HYPERLINK("https://www.773grp.com/manufacturer/onsemi?pageNo=674", "Onsemi")</f>
        <v>Onsemi</v>
      </c>
      <c r="C4719" s="6">
        <v>20000</v>
      </c>
      <c r="D4719" s="7">
        <v>0.64</v>
      </c>
      <c r="E4719" t="s">
        <v>57</v>
      </c>
    </row>
    <row r="4720" spans="1:5" x14ac:dyDescent="0.25">
      <c r="A4720" t="str">
        <f>HYPERLINK("https://www.773grp.com/globalSearch/MPSW01AG/page-1", "MPSW01AG")</f>
        <v>MPSW01AG</v>
      </c>
      <c r="B4720" s="3" t="str">
        <f>HYPERLINK("https://www.773grp.com/manufacturer/onsemi?pageNo=675", "Onsemi")</f>
        <v>Onsemi</v>
      </c>
      <c r="C4720" s="6">
        <v>27417</v>
      </c>
      <c r="D4720" s="7">
        <v>0.64</v>
      </c>
      <c r="E4720" t="s">
        <v>57</v>
      </c>
    </row>
    <row r="4721" spans="1:5" x14ac:dyDescent="0.25">
      <c r="A4721" t="str">
        <f>HYPERLINK("https://www.773grp.com/globalSearch/MPSW01ARLRAG/page-1", "MPSW01ARLRAG")</f>
        <v>MPSW01ARLRAG</v>
      </c>
      <c r="B4721" s="3" t="str">
        <f>HYPERLINK("https://www.773grp.com/manufacturer/onsemi?pageNo=676", "Onsemi")</f>
        <v>Onsemi</v>
      </c>
      <c r="C4721" s="6">
        <v>1544000</v>
      </c>
      <c r="D4721" s="7">
        <v>0.64</v>
      </c>
      <c r="E4721" t="s">
        <v>57</v>
      </c>
    </row>
    <row r="4722" spans="1:5" x14ac:dyDescent="0.25">
      <c r="A4722" t="str">
        <f>HYPERLINK("https://www.773grp.com/globalSearch/MPSW01ARLRPG/page-1", "MPSW01ARLRPG")</f>
        <v>MPSW01ARLRPG</v>
      </c>
      <c r="B4722" s="3" t="str">
        <f>HYPERLINK("https://www.773grp.com/manufacturer/onsemi?pageNo=677", "Onsemi")</f>
        <v>Onsemi</v>
      </c>
      <c r="C4722" s="6">
        <v>16006</v>
      </c>
      <c r="D4722" s="7">
        <v>0.64</v>
      </c>
      <c r="E4722" t="s">
        <v>57</v>
      </c>
    </row>
    <row r="4723" spans="1:5" x14ac:dyDescent="0.25">
      <c r="A4723" t="str">
        <f>HYPERLINK("https://www.773grp.com/globalSearch/MPSW01G/page-1", "MPSW01G")</f>
        <v>MPSW01G</v>
      </c>
      <c r="B4723" s="3" t="str">
        <f>HYPERLINK("https://www.773grp.com/manufacturer/onsemi?pageNo=678", "Onsemi")</f>
        <v>Onsemi</v>
      </c>
      <c r="C4723" s="6">
        <v>54923</v>
      </c>
      <c r="D4723" s="7">
        <v>0.64</v>
      </c>
      <c r="E4723" t="s">
        <v>57</v>
      </c>
    </row>
    <row r="4724" spans="1:5" x14ac:dyDescent="0.25">
      <c r="A4724" t="str">
        <f>HYPERLINK("https://www.773grp.com/globalSearch/MPSW06G/page-1", "MPSW06G")</f>
        <v>MPSW06G</v>
      </c>
      <c r="B4724" s="3" t="str">
        <f>HYPERLINK("https://www.773grp.com/manufacturer/onsemi?pageNo=679", "Onsemi")</f>
        <v>Onsemi</v>
      </c>
      <c r="C4724" s="6">
        <v>33258</v>
      </c>
      <c r="D4724" s="7">
        <v>0.64</v>
      </c>
      <c r="E4724" t="s">
        <v>57</v>
      </c>
    </row>
    <row r="4725" spans="1:5" x14ac:dyDescent="0.25">
      <c r="A4725" t="str">
        <f>HYPERLINK("https://www.773grp.com/globalSearch/MPSW06RLRAG/page-1", "MPSW06RLRAG")</f>
        <v>MPSW06RLRAG</v>
      </c>
      <c r="B4725" s="3" t="str">
        <f>HYPERLINK("https://www.773grp.com/manufacturer/onsemi?pageNo=680", "Onsemi")</f>
        <v>Onsemi</v>
      </c>
      <c r="C4725" s="6">
        <v>311749</v>
      </c>
      <c r="D4725" s="7">
        <v>0.64</v>
      </c>
      <c r="E4725" t="s">
        <v>57</v>
      </c>
    </row>
    <row r="4726" spans="1:5" x14ac:dyDescent="0.25">
      <c r="A4726" t="str">
        <f>HYPERLINK("https://www.773grp.com/globalSearch/MPSW42RLRAG/page-1", "MPSW42RLRAG")</f>
        <v>MPSW42RLRAG</v>
      </c>
      <c r="B4726" s="3" t="str">
        <f>HYPERLINK("https://www.773grp.com/manufacturer/onsemi?pageNo=681", "Onsemi")</f>
        <v>Onsemi</v>
      </c>
      <c r="C4726" s="6">
        <v>762</v>
      </c>
      <c r="D4726" s="7">
        <v>0.64</v>
      </c>
      <c r="E4726" t="s">
        <v>57</v>
      </c>
    </row>
    <row r="4727" spans="1:5" x14ac:dyDescent="0.25">
      <c r="A4727" t="str">
        <f>HYPERLINK("https://www.773grp.com/globalSearch/MPSW45AG/page-1", "MPSW45AG")</f>
        <v>MPSW45AG</v>
      </c>
      <c r="B4727" s="3" t="str">
        <f>HYPERLINK("https://www.773grp.com/manufacturer/onsemi?pageNo=682", "Onsemi")</f>
        <v>Onsemi</v>
      </c>
      <c r="C4727" s="6">
        <v>12662</v>
      </c>
      <c r="D4727" s="7">
        <v>0.64</v>
      </c>
      <c r="E4727" t="s">
        <v>57</v>
      </c>
    </row>
    <row r="4728" spans="1:5" x14ac:dyDescent="0.25">
      <c r="A4728" t="str">
        <f>HYPERLINK("https://www.773grp.com/globalSearch/MPSW45ARLRAG/page-1", "MPSW45ARLRAG")</f>
        <v>MPSW45ARLRAG</v>
      </c>
      <c r="B4728" s="3" t="str">
        <f>HYPERLINK("https://www.773grp.com/manufacturer/onsemi?pageNo=683", "Onsemi")</f>
        <v>Onsemi</v>
      </c>
      <c r="C4728" s="6">
        <v>2762</v>
      </c>
      <c r="D4728" s="7">
        <v>0.64</v>
      </c>
      <c r="E4728" t="s">
        <v>57</v>
      </c>
    </row>
    <row r="4729" spans="1:5" x14ac:dyDescent="0.25">
      <c r="A4729" t="str">
        <f>HYPERLINK("https://www.773grp.com/globalSearch/MPSW45AZL1G/page-1", "MPSW45AZL1G")</f>
        <v>MPSW45AZL1G</v>
      </c>
      <c r="B4729" s="3" t="str">
        <f>HYPERLINK("https://www.773grp.com/manufacturer/onsemi?pageNo=684", "Onsemi")</f>
        <v>Onsemi</v>
      </c>
      <c r="C4729" s="6">
        <v>9422</v>
      </c>
      <c r="D4729" s="7">
        <v>0.64</v>
      </c>
      <c r="E4729" t="s">
        <v>57</v>
      </c>
    </row>
    <row r="4730" spans="1:5" x14ac:dyDescent="0.25">
      <c r="A4730" t="str">
        <f>HYPERLINK("https://www.773grp.com/globalSearch/MPSW45G/page-1", "MPSW45G")</f>
        <v>MPSW45G</v>
      </c>
      <c r="B4730" s="3" t="str">
        <f>HYPERLINK("https://www.773grp.com/manufacturer/onsemi?pageNo=685", "Onsemi")</f>
        <v>Onsemi</v>
      </c>
      <c r="C4730" s="6">
        <v>25000</v>
      </c>
      <c r="D4730" s="7">
        <v>0.64</v>
      </c>
      <c r="E4730" t="s">
        <v>57</v>
      </c>
    </row>
    <row r="4731" spans="1:5" x14ac:dyDescent="0.25">
      <c r="A4731" t="str">
        <f>HYPERLINK("https://www.773grp.com/globalSearch/MPSW51AG/page-1", "MPSW51AG")</f>
        <v>MPSW51AG</v>
      </c>
      <c r="B4731" s="3" t="str">
        <f>HYPERLINK("https://www.773grp.com/manufacturer/onsemi?pageNo=686", "Onsemi")</f>
        <v>Onsemi</v>
      </c>
      <c r="C4731" s="6">
        <v>5000</v>
      </c>
      <c r="D4731" s="7">
        <v>0.64</v>
      </c>
    </row>
    <row r="4732" spans="1:5" x14ac:dyDescent="0.25">
      <c r="A4732" t="str">
        <f>HYPERLINK("https://www.773grp.com/globalSearch/MPSW51ARLRAG/page-1", "MPSW51ARLRAG")</f>
        <v>MPSW51ARLRAG</v>
      </c>
      <c r="B4732" s="3" t="str">
        <f>HYPERLINK("https://www.773grp.com/manufacturer/onsemi?pageNo=687", "Onsemi")</f>
        <v>Onsemi</v>
      </c>
      <c r="C4732" s="6">
        <v>194000</v>
      </c>
      <c r="D4732" s="7">
        <v>0.64</v>
      </c>
      <c r="E4732" t="s">
        <v>57</v>
      </c>
    </row>
    <row r="4733" spans="1:5" x14ac:dyDescent="0.25">
      <c r="A4733" t="str">
        <f>HYPERLINK("https://www.773grp.com/globalSearch/MPSW51ARLRPG/page-1", "MPSW51ARLRPG")</f>
        <v>MPSW51ARLRPG</v>
      </c>
      <c r="B4733" s="3" t="str">
        <f>HYPERLINK("https://www.773grp.com/manufacturer/onsemi?pageNo=688", "Onsemi")</f>
        <v>Onsemi</v>
      </c>
      <c r="C4733" s="6">
        <v>4000</v>
      </c>
      <c r="D4733" s="7">
        <v>0.64</v>
      </c>
    </row>
    <row r="4734" spans="1:5" x14ac:dyDescent="0.25">
      <c r="A4734" t="str">
        <f>HYPERLINK("https://www.773grp.com/globalSearch/MPSW51G/page-1", "MPSW51G")</f>
        <v>MPSW51G</v>
      </c>
      <c r="B4734" s="3" t="str">
        <f>HYPERLINK("https://www.773grp.com/manufacturer/onsemi?pageNo=689", "Onsemi")</f>
        <v>Onsemi</v>
      </c>
      <c r="C4734" s="6">
        <v>14997</v>
      </c>
      <c r="D4734" s="7">
        <v>0.64</v>
      </c>
      <c r="E4734" t="s">
        <v>57</v>
      </c>
    </row>
    <row r="4735" spans="1:5" x14ac:dyDescent="0.25">
      <c r="A4735" t="str">
        <f>HYPERLINK("https://www.773grp.com/globalSearch/MPSW55G/page-1", "MPSW55G")</f>
        <v>MPSW55G</v>
      </c>
      <c r="B4735" s="3" t="str">
        <f>HYPERLINK("https://www.773grp.com/manufacturer/onsemi?pageNo=690", "Onsemi")</f>
        <v>Onsemi</v>
      </c>
      <c r="C4735" s="6">
        <v>15000</v>
      </c>
      <c r="D4735" s="7">
        <v>0.64</v>
      </c>
      <c r="E4735" t="s">
        <v>57</v>
      </c>
    </row>
    <row r="4736" spans="1:5" x14ac:dyDescent="0.25">
      <c r="A4736" t="str">
        <f>HYPERLINK("https://www.773grp.com/globalSearch/MURS360BT3G/page-1", "MURS360BT3G")</f>
        <v>MURS360BT3G</v>
      </c>
      <c r="B4736" s="3" t="str">
        <f>HYPERLINK("https://www.773grp.com/manufacturer/onsemi?pageNo=691", "Onsemi")</f>
        <v>Onsemi</v>
      </c>
      <c r="C4736" s="6">
        <v>159311</v>
      </c>
      <c r="D4736" s="7">
        <v>0.64</v>
      </c>
      <c r="E4736" t="s">
        <v>82</v>
      </c>
    </row>
    <row r="4737" spans="1:5" x14ac:dyDescent="0.25">
      <c r="A4737" t="str">
        <f>HYPERLINK("https://www.773grp.com/globalSearch/NCP1215DR2/page-1", "NCP1215DR2")</f>
        <v>NCP1215DR2</v>
      </c>
      <c r="B4737" s="3" t="str">
        <f>HYPERLINK("https://www.773grp.com/manufacturer/onsemi?pageNo=692", "Onsemi")</f>
        <v>Onsemi</v>
      </c>
      <c r="C4737" s="6">
        <v>1075215</v>
      </c>
      <c r="D4737" s="7">
        <v>0.64</v>
      </c>
      <c r="E4737" t="s">
        <v>5</v>
      </c>
    </row>
    <row r="4738" spans="1:5" x14ac:dyDescent="0.25">
      <c r="A4738" t="str">
        <f>HYPERLINK("https://www.773grp.com/globalSearch/NCP300HSN09T1G/page-1", "NCP300HSN09T1G")</f>
        <v>NCP300HSN09T1G</v>
      </c>
      <c r="B4738" s="3" t="str">
        <f>HYPERLINK("https://www.773grp.com/manufacturer/onsemi?pageNo=693", "Onsemi")</f>
        <v>Onsemi</v>
      </c>
      <c r="C4738" s="6">
        <v>65910</v>
      </c>
      <c r="D4738" s="7">
        <v>0.64</v>
      </c>
      <c r="E4738" t="s">
        <v>26</v>
      </c>
    </row>
    <row r="4739" spans="1:5" x14ac:dyDescent="0.25">
      <c r="A4739" t="str">
        <f>HYPERLINK("https://www.773grp.com/globalSearch/NCP300HSN18T1G/page-1", "NCP300HSN18T1G")</f>
        <v>NCP300HSN18T1G</v>
      </c>
      <c r="B4739" s="3" t="str">
        <f>HYPERLINK("https://www.773grp.com/manufacturer/onsemi?pageNo=694", "Onsemi")</f>
        <v>Onsemi</v>
      </c>
      <c r="C4739" s="6">
        <v>9000</v>
      </c>
      <c r="D4739" s="7">
        <v>0.64</v>
      </c>
      <c r="E4739" t="s">
        <v>26</v>
      </c>
    </row>
    <row r="4740" spans="1:5" x14ac:dyDescent="0.25">
      <c r="A4740" t="str">
        <f>HYPERLINK("https://www.773grp.com/globalSearch/NCP300HSN27T1G/page-1", "NCP300HSN27T1G")</f>
        <v>NCP300HSN27T1G</v>
      </c>
      <c r="B4740" s="3" t="str">
        <f>HYPERLINK("https://www.773grp.com/manufacturer/onsemi?pageNo=695", "Onsemi")</f>
        <v>Onsemi</v>
      </c>
      <c r="C4740" s="6">
        <v>480</v>
      </c>
      <c r="D4740" s="7">
        <v>0.64</v>
      </c>
      <c r="E4740" t="s">
        <v>26</v>
      </c>
    </row>
    <row r="4741" spans="1:5" x14ac:dyDescent="0.25">
      <c r="A4741" t="str">
        <f>HYPERLINK("https://www.773grp.com/globalSearch/NCP300HSN45T1G/page-1", "NCP300HSN45T1G")</f>
        <v>NCP300HSN45T1G</v>
      </c>
      <c r="B4741" s="3" t="str">
        <f>HYPERLINK("https://www.773grp.com/manufacturer/onsemi?pageNo=696", "Onsemi")</f>
        <v>Onsemi</v>
      </c>
      <c r="C4741" s="6">
        <v>17955</v>
      </c>
      <c r="D4741" s="7">
        <v>0.64</v>
      </c>
      <c r="E4741" t="s">
        <v>26</v>
      </c>
    </row>
    <row r="4742" spans="1:5" x14ac:dyDescent="0.25">
      <c r="A4742" t="str">
        <f>HYPERLINK("https://www.773grp.com/globalSearch/NCP300HSN47T1G/page-1", "NCP300HSN47T1G")</f>
        <v>NCP300HSN47T1G</v>
      </c>
      <c r="B4742" s="3" t="str">
        <f>HYPERLINK("https://www.773grp.com/manufacturer/onsemi?pageNo=697", "Onsemi")</f>
        <v>Onsemi</v>
      </c>
      <c r="C4742" s="6">
        <v>65464</v>
      </c>
      <c r="D4742" s="7">
        <v>0.64</v>
      </c>
      <c r="E4742" t="s">
        <v>26</v>
      </c>
    </row>
    <row r="4743" spans="1:5" x14ac:dyDescent="0.25">
      <c r="A4743" t="str">
        <f>HYPERLINK("https://www.773grp.com/globalSearch/NCP300LSN09T1G/page-1", "NCP300LSN09T1G")</f>
        <v>NCP300LSN09T1G</v>
      </c>
      <c r="B4743" s="3" t="str">
        <f>HYPERLINK("https://www.773grp.com/manufacturer/onsemi?pageNo=698", "Onsemi")</f>
        <v>Onsemi</v>
      </c>
      <c r="C4743" s="6">
        <v>8900</v>
      </c>
      <c r="D4743" s="7">
        <v>0.64</v>
      </c>
      <c r="E4743" t="s">
        <v>26</v>
      </c>
    </row>
    <row r="4744" spans="1:5" x14ac:dyDescent="0.25">
      <c r="A4744" t="str">
        <f>HYPERLINK("https://www.773grp.com/globalSearch/NCP300LSN18T1G/page-1", "NCP300LSN18T1G")</f>
        <v>NCP300LSN18T1G</v>
      </c>
      <c r="B4744" s="3" t="str">
        <f>HYPERLINK("https://www.773grp.com/manufacturer/onsemi?pageNo=699", "Onsemi")</f>
        <v>Onsemi</v>
      </c>
      <c r="C4744" s="6">
        <v>17799</v>
      </c>
      <c r="D4744" s="7">
        <v>0.64</v>
      </c>
      <c r="E4744" t="s">
        <v>26</v>
      </c>
    </row>
    <row r="4745" spans="1:5" x14ac:dyDescent="0.25">
      <c r="A4745" t="str">
        <f>HYPERLINK("https://www.773grp.com/globalSearch/NCP300LSN27T1G/page-1", "NCP300LSN27T1G")</f>
        <v>NCP300LSN27T1G</v>
      </c>
      <c r="B4745" s="3" t="str">
        <f>HYPERLINK("https://www.773grp.com/manufacturer/onsemi?pageNo=700", "Onsemi")</f>
        <v>Onsemi</v>
      </c>
      <c r="C4745" s="6">
        <v>149277</v>
      </c>
      <c r="D4745" s="7">
        <v>0.64</v>
      </c>
      <c r="E4745" t="s">
        <v>26</v>
      </c>
    </row>
    <row r="4746" spans="1:5" x14ac:dyDescent="0.25">
      <c r="A4746" t="str">
        <f>HYPERLINK("https://www.773grp.com/globalSearch/NCP300LSN33T1G/page-1", "NCP300LSN33T1G")</f>
        <v>NCP300LSN33T1G</v>
      </c>
      <c r="B4746" s="3" t="str">
        <f>HYPERLINK("https://www.773grp.com/manufacturer/onsemi?pageNo=701", "Onsemi")</f>
        <v>Onsemi</v>
      </c>
      <c r="C4746" s="6">
        <v>5315</v>
      </c>
      <c r="D4746" s="7">
        <v>0.64</v>
      </c>
      <c r="E4746" t="s">
        <v>26</v>
      </c>
    </row>
    <row r="4747" spans="1:5" x14ac:dyDescent="0.25">
      <c r="A4747" t="str">
        <f>HYPERLINK("https://www.773grp.com/globalSearch/NCP300LSN34T1G/page-1", "NCP300LSN34T1G")</f>
        <v>NCP300LSN34T1G</v>
      </c>
      <c r="B4747" s="3" t="str">
        <f>HYPERLINK("https://www.773grp.com/manufacturer/onsemi?pageNo=702", "Onsemi")</f>
        <v>Onsemi</v>
      </c>
      <c r="C4747" s="6">
        <v>28490</v>
      </c>
      <c r="D4747" s="7">
        <v>0.64</v>
      </c>
      <c r="E4747" t="s">
        <v>26</v>
      </c>
    </row>
    <row r="4748" spans="1:5" x14ac:dyDescent="0.25">
      <c r="A4748" t="str">
        <f>HYPERLINK("https://www.773grp.com/globalSearch/NCP300LSN45T1G/page-1", "NCP300LSN45T1G")</f>
        <v>NCP300LSN45T1G</v>
      </c>
      <c r="B4748" s="3" t="str">
        <f>HYPERLINK("https://www.773grp.com/manufacturer/onsemi?pageNo=703", "Onsemi")</f>
        <v>Onsemi</v>
      </c>
      <c r="C4748" s="6">
        <v>10406</v>
      </c>
      <c r="D4748" s="7">
        <v>0.64</v>
      </c>
      <c r="E4748" t="s">
        <v>26</v>
      </c>
    </row>
    <row r="4749" spans="1:5" x14ac:dyDescent="0.25">
      <c r="A4749" t="str">
        <f>HYPERLINK("https://www.773grp.com/globalSearch/NCP300LSN46T1G/page-1", "NCP300LSN46T1G")</f>
        <v>NCP300LSN46T1G</v>
      </c>
      <c r="B4749" s="3" t="str">
        <f>HYPERLINK("https://www.773grp.com/manufacturer/onsemi?pageNo=704", "Onsemi")</f>
        <v>Onsemi</v>
      </c>
      <c r="C4749" s="6">
        <v>29760</v>
      </c>
      <c r="D4749" s="7">
        <v>0.64</v>
      </c>
      <c r="E4749" t="s">
        <v>26</v>
      </c>
    </row>
    <row r="4750" spans="1:5" x14ac:dyDescent="0.25">
      <c r="A4750" t="str">
        <f>HYPERLINK("https://www.773grp.com/globalSearch/NCP300LSN47T1G/page-1", "NCP300LSN47T1G")</f>
        <v>NCP300LSN47T1G</v>
      </c>
      <c r="B4750" s="3" t="str">
        <f>HYPERLINK("https://www.773grp.com/manufacturer/onsemi?pageNo=705", "Onsemi")</f>
        <v>Onsemi</v>
      </c>
      <c r="C4750" s="6">
        <v>10576</v>
      </c>
      <c r="D4750" s="7">
        <v>0.64</v>
      </c>
      <c r="E4750" t="s">
        <v>26</v>
      </c>
    </row>
    <row r="4751" spans="1:5" x14ac:dyDescent="0.25">
      <c r="A4751" t="str">
        <f>HYPERLINK("https://www.773grp.com/globalSearch/NCP301HSN09T1G/page-1", "NCP301HSN09T1G")</f>
        <v>NCP301HSN09T1G</v>
      </c>
      <c r="B4751" s="3" t="str">
        <f>HYPERLINK("https://www.773grp.com/manufacturer/onsemi?pageNo=706", "Onsemi")</f>
        <v>Onsemi</v>
      </c>
      <c r="C4751" s="6">
        <v>2845</v>
      </c>
      <c r="D4751" s="7">
        <v>0.64</v>
      </c>
      <c r="E4751" t="s">
        <v>26</v>
      </c>
    </row>
    <row r="4752" spans="1:5" x14ac:dyDescent="0.25">
      <c r="A4752" t="str">
        <f>HYPERLINK("https://www.773grp.com/globalSearch/NCP301HSN18T1G/page-1", "NCP301HSN18T1G")</f>
        <v>NCP301HSN18T1G</v>
      </c>
      <c r="B4752" s="3" t="str">
        <f>HYPERLINK("https://www.773grp.com/manufacturer/onsemi?pageNo=707", "Onsemi")</f>
        <v>Onsemi</v>
      </c>
      <c r="C4752" s="6">
        <v>44588</v>
      </c>
      <c r="D4752" s="7">
        <v>0.64</v>
      </c>
      <c r="E4752" t="s">
        <v>26</v>
      </c>
    </row>
    <row r="4753" spans="1:5" x14ac:dyDescent="0.25">
      <c r="A4753" t="str">
        <f>HYPERLINK("https://www.773grp.com/globalSearch/NCP301HSN22T1G/page-1", "NCP301HSN22T1G")</f>
        <v>NCP301HSN22T1G</v>
      </c>
      <c r="B4753" s="3" t="str">
        <f>HYPERLINK("https://www.773grp.com/manufacturer/onsemi?pageNo=708", "Onsemi")</f>
        <v>Onsemi</v>
      </c>
      <c r="C4753" s="6">
        <v>20910</v>
      </c>
      <c r="D4753" s="7">
        <v>0.64</v>
      </c>
      <c r="E4753" t="s">
        <v>26</v>
      </c>
    </row>
    <row r="4754" spans="1:5" x14ac:dyDescent="0.25">
      <c r="A4754" t="str">
        <f>HYPERLINK("https://www.773grp.com/globalSearch/NCP301HSN30T1G/page-1", "NCP301HSN30T1G")</f>
        <v>NCP301HSN30T1G</v>
      </c>
      <c r="B4754" s="3" t="str">
        <f>HYPERLINK("https://www.773grp.com/manufacturer/onsemi?pageNo=709", "Onsemi")</f>
        <v>Onsemi</v>
      </c>
      <c r="C4754" s="6">
        <v>5767</v>
      </c>
      <c r="D4754" s="7">
        <v>0.64</v>
      </c>
      <c r="E4754" t="s">
        <v>26</v>
      </c>
    </row>
    <row r="4755" spans="1:5" x14ac:dyDescent="0.25">
      <c r="A4755" t="str">
        <f>HYPERLINK("https://www.773grp.com/globalSearch/NCP301HSN45T1G/page-1", "NCP301HSN45T1G")</f>
        <v>NCP301HSN45T1G</v>
      </c>
      <c r="B4755" s="3" t="str">
        <f>HYPERLINK("https://www.773grp.com/manufacturer/onsemi?pageNo=710", "Onsemi")</f>
        <v>Onsemi</v>
      </c>
      <c r="C4755" s="6">
        <v>6130</v>
      </c>
      <c r="D4755" s="7">
        <v>0.64</v>
      </c>
      <c r="E4755" t="s">
        <v>26</v>
      </c>
    </row>
    <row r="4756" spans="1:5" x14ac:dyDescent="0.25">
      <c r="A4756" t="str">
        <f>HYPERLINK("https://www.773grp.com/globalSearch/NCP301LSN12T1G/page-1", "NCP301LSN12T1G")</f>
        <v>NCP301LSN12T1G</v>
      </c>
      <c r="B4756" s="3" t="str">
        <f>HYPERLINK("https://www.773grp.com/manufacturer/onsemi?pageNo=711", "Onsemi")</f>
        <v>Onsemi</v>
      </c>
      <c r="C4756" s="6">
        <v>6308</v>
      </c>
      <c r="D4756" s="7">
        <v>0.64</v>
      </c>
      <c r="E4756" t="s">
        <v>26</v>
      </c>
    </row>
    <row r="4757" spans="1:5" x14ac:dyDescent="0.25">
      <c r="A4757" t="str">
        <f>HYPERLINK("https://www.773grp.com/globalSearch/NCP301LSN16T1G/page-1", "NCP301LSN16T1G")</f>
        <v>NCP301LSN16T1G</v>
      </c>
      <c r="B4757" s="3" t="str">
        <f>HYPERLINK("https://www.773grp.com/manufacturer/onsemi?pageNo=712", "Onsemi")</f>
        <v>Onsemi</v>
      </c>
      <c r="C4757" s="6">
        <v>109184</v>
      </c>
      <c r="D4757" s="7">
        <v>0.64</v>
      </c>
      <c r="E4757" t="s">
        <v>26</v>
      </c>
    </row>
    <row r="4758" spans="1:5" x14ac:dyDescent="0.25">
      <c r="A4758" t="str">
        <f>HYPERLINK("https://www.773grp.com/globalSearch/NCP301LSN22T1G/page-1", "NCP301LSN22T1G")</f>
        <v>NCP301LSN22T1G</v>
      </c>
      <c r="B4758" s="3" t="str">
        <f>HYPERLINK("https://www.773grp.com/manufacturer/onsemi?pageNo=713", "Onsemi")</f>
        <v>Onsemi</v>
      </c>
      <c r="C4758" s="6">
        <v>4853</v>
      </c>
      <c r="D4758" s="7">
        <v>0.64</v>
      </c>
      <c r="E4758" t="s">
        <v>26</v>
      </c>
    </row>
    <row r="4759" spans="1:5" x14ac:dyDescent="0.25">
      <c r="A4759" t="str">
        <f>HYPERLINK("https://www.773grp.com/globalSearch/NCP301LSN24T1G/page-1", "NCP301LSN24T1G")</f>
        <v>NCP301LSN24T1G</v>
      </c>
      <c r="B4759" s="3" t="str">
        <f>HYPERLINK("https://www.773grp.com/manufacturer/onsemi?pageNo=714", "Onsemi")</f>
        <v>Onsemi</v>
      </c>
      <c r="C4759" s="6">
        <v>4000</v>
      </c>
      <c r="D4759" s="7">
        <v>0.64</v>
      </c>
      <c r="E4759" t="s">
        <v>26</v>
      </c>
    </row>
    <row r="4760" spans="1:5" x14ac:dyDescent="0.25">
      <c r="A4760" t="str">
        <f>HYPERLINK("https://www.773grp.com/globalSearch/NCP301LSN26T1G/page-1", "NCP301LSN26T1G")</f>
        <v>NCP301LSN26T1G</v>
      </c>
      <c r="B4760" s="3" t="str">
        <f>HYPERLINK("https://www.773grp.com/manufacturer/onsemi?pageNo=715", "Onsemi")</f>
        <v>Onsemi</v>
      </c>
      <c r="C4760" s="6">
        <v>11325</v>
      </c>
      <c r="D4760" s="7">
        <v>0.64</v>
      </c>
      <c r="E4760" t="s">
        <v>26</v>
      </c>
    </row>
    <row r="4761" spans="1:5" x14ac:dyDescent="0.25">
      <c r="A4761" t="str">
        <f>HYPERLINK("https://www.773grp.com/globalSearch/NCP301LSN31T1G/page-1", "NCP301LSN31T1G")</f>
        <v>NCP301LSN31T1G</v>
      </c>
      <c r="B4761" s="3" t="str">
        <f>HYPERLINK("https://www.773grp.com/manufacturer/onsemi?pageNo=716", "Onsemi")</f>
        <v>Onsemi</v>
      </c>
      <c r="C4761" s="6">
        <v>11864</v>
      </c>
      <c r="D4761" s="7">
        <v>0.64</v>
      </c>
      <c r="E4761" t="s">
        <v>26</v>
      </c>
    </row>
    <row r="4762" spans="1:5" x14ac:dyDescent="0.25">
      <c r="A4762" t="str">
        <f>HYPERLINK("https://www.773grp.com/globalSearch/NCP301LSN32T1G/page-1", "NCP301LSN32T1G")</f>
        <v>NCP301LSN32T1G</v>
      </c>
      <c r="B4762" s="3" t="str">
        <f>HYPERLINK("https://www.773grp.com/manufacturer/onsemi?pageNo=717", "Onsemi")</f>
        <v>Onsemi</v>
      </c>
      <c r="C4762" s="6">
        <v>3000</v>
      </c>
      <c r="D4762" s="7">
        <v>0.64</v>
      </c>
      <c r="E4762" t="s">
        <v>26</v>
      </c>
    </row>
    <row r="4763" spans="1:5" x14ac:dyDescent="0.25">
      <c r="A4763" t="str">
        <f>HYPERLINK("https://www.773grp.com/globalSearch/NCP301LSN33T1G/page-1", "NCP301LSN33T1G")</f>
        <v>NCP301LSN33T1G</v>
      </c>
      <c r="B4763" s="3" t="str">
        <f>HYPERLINK("https://www.773grp.com/manufacturer/onsemi?pageNo=718", "Onsemi")</f>
        <v>Onsemi</v>
      </c>
      <c r="C4763" s="6">
        <v>6745</v>
      </c>
      <c r="D4763" s="7">
        <v>0.64</v>
      </c>
      <c r="E4763" t="s">
        <v>26</v>
      </c>
    </row>
    <row r="4764" spans="1:5" x14ac:dyDescent="0.25">
      <c r="A4764" t="str">
        <f>HYPERLINK("https://www.773grp.com/globalSearch/NCP301LSN34T1G/page-1", "NCP301LSN34T1G")</f>
        <v>NCP301LSN34T1G</v>
      </c>
      <c r="B4764" s="3" t="str">
        <f>HYPERLINK("https://www.773grp.com/manufacturer/onsemi?pageNo=719", "Onsemi")</f>
        <v>Onsemi</v>
      </c>
      <c r="C4764" s="6">
        <v>17900</v>
      </c>
      <c r="D4764" s="7">
        <v>0.64</v>
      </c>
      <c r="E4764" t="s">
        <v>26</v>
      </c>
    </row>
    <row r="4765" spans="1:5" x14ac:dyDescent="0.25">
      <c r="A4765" t="str">
        <f>HYPERLINK("https://www.773grp.com/globalSearch/NCP301LSN36T1G/page-1", "NCP301LSN36T1G")</f>
        <v>NCP301LSN36T1G</v>
      </c>
      <c r="B4765" s="3" t="str">
        <f>HYPERLINK("https://www.773grp.com/manufacturer/onsemi?pageNo=720", "Onsemi")</f>
        <v>Onsemi</v>
      </c>
      <c r="C4765" s="6">
        <v>99000</v>
      </c>
      <c r="D4765" s="7">
        <v>0.64</v>
      </c>
    </row>
    <row r="4766" spans="1:5" x14ac:dyDescent="0.25">
      <c r="A4766" t="str">
        <f>HYPERLINK("https://www.773grp.com/globalSearch/NCP301LSN39T1G/page-1", "NCP301LSN39T1G")</f>
        <v>NCP301LSN39T1G</v>
      </c>
      <c r="B4766" s="3" t="str">
        <f>HYPERLINK("https://www.773grp.com/manufacturer/onsemi?pageNo=721", "Onsemi")</f>
        <v>Onsemi</v>
      </c>
      <c r="C4766" s="6">
        <v>25730</v>
      </c>
      <c r="D4766" s="7">
        <v>0.64</v>
      </c>
      <c r="E4766" t="s">
        <v>26</v>
      </c>
    </row>
    <row r="4767" spans="1:5" x14ac:dyDescent="0.25">
      <c r="A4767" t="str">
        <f>HYPERLINK("https://www.773grp.com/globalSearch/NCP301LSN42T1G/page-1", "NCP301LSN42T1G")</f>
        <v>NCP301LSN42T1G</v>
      </c>
      <c r="B4767" s="3" t="str">
        <f>HYPERLINK("https://www.773grp.com/manufacturer/onsemi?pageNo=722", "Onsemi")</f>
        <v>Onsemi</v>
      </c>
      <c r="C4767" s="6">
        <v>39000</v>
      </c>
      <c r="D4767" s="7">
        <v>0.64</v>
      </c>
      <c r="E4767" t="s">
        <v>26</v>
      </c>
    </row>
    <row r="4768" spans="1:5" x14ac:dyDescent="0.25">
      <c r="A4768" t="str">
        <f>HYPERLINK("https://www.773grp.com/globalSearch/NCP301LSN46T1G/page-1", "NCP301LSN46T1G")</f>
        <v>NCP301LSN46T1G</v>
      </c>
      <c r="B4768" s="3" t="str">
        <f>HYPERLINK("https://www.773grp.com/manufacturer/onsemi?pageNo=723", "Onsemi")</f>
        <v>Onsemi</v>
      </c>
      <c r="C4768" s="6">
        <v>6910</v>
      </c>
      <c r="D4768" s="7">
        <v>0.64</v>
      </c>
    </row>
    <row r="4769" spans="1:5" x14ac:dyDescent="0.25">
      <c r="A4769" t="str">
        <f>HYPERLINK("https://www.773grp.com/globalSearch/NCP301LSN47T1G/page-1", "NCP301LSN47T1G")</f>
        <v>NCP301LSN47T1G</v>
      </c>
      <c r="B4769" s="3" t="str">
        <f>HYPERLINK("https://www.773grp.com/manufacturer/onsemi?pageNo=724", "Onsemi")</f>
        <v>Onsemi</v>
      </c>
      <c r="C4769" s="6">
        <v>6000</v>
      </c>
      <c r="D4769" s="7">
        <v>0.64</v>
      </c>
    </row>
    <row r="4770" spans="1:5" x14ac:dyDescent="0.25">
      <c r="A4770" t="str">
        <f>HYPERLINK("https://www.773grp.com/globalSearch/NCP302HSN09T1G/page-1", "NCP302HSN09T1G")</f>
        <v>NCP302HSN09T1G</v>
      </c>
      <c r="B4770" s="3" t="str">
        <f>HYPERLINK("https://www.773grp.com/manufacturer/onsemi?pageNo=725", "Onsemi")</f>
        <v>Onsemi</v>
      </c>
      <c r="C4770" s="6">
        <v>38990</v>
      </c>
      <c r="D4770" s="7">
        <v>0.64</v>
      </c>
      <c r="E4770" t="s">
        <v>26</v>
      </c>
    </row>
    <row r="4771" spans="1:5" x14ac:dyDescent="0.25">
      <c r="A4771" t="str">
        <f>HYPERLINK("https://www.773grp.com/globalSearch/NCP302HSN18T1G/page-1", "NCP302HSN18T1G")</f>
        <v>NCP302HSN18T1G</v>
      </c>
      <c r="B4771" s="3" t="str">
        <f>HYPERLINK("https://www.773grp.com/manufacturer/onsemi?pageNo=726", "Onsemi")</f>
        <v>Onsemi</v>
      </c>
      <c r="C4771" s="6">
        <v>32950</v>
      </c>
      <c r="D4771" s="7">
        <v>0.64</v>
      </c>
      <c r="E4771" t="s">
        <v>26</v>
      </c>
    </row>
    <row r="4772" spans="1:5" x14ac:dyDescent="0.25">
      <c r="A4772" t="str">
        <f>HYPERLINK("https://www.773grp.com/globalSearch/NCP302HSN40T1G/page-1", "NCP302HSN40T1G")</f>
        <v>NCP302HSN40T1G</v>
      </c>
      <c r="B4772" s="3" t="str">
        <f>HYPERLINK("https://www.773grp.com/manufacturer/onsemi?pageNo=727", "Onsemi")</f>
        <v>Onsemi</v>
      </c>
      <c r="C4772" s="6">
        <v>5919</v>
      </c>
      <c r="D4772" s="7">
        <v>0.64</v>
      </c>
      <c r="E4772" t="s">
        <v>26</v>
      </c>
    </row>
    <row r="4773" spans="1:5" x14ac:dyDescent="0.25">
      <c r="A4773" t="str">
        <f>HYPERLINK("https://www.773grp.com/globalSearch/NCP302HSN45T1G/page-1", "NCP302HSN45T1G")</f>
        <v>NCP302HSN45T1G</v>
      </c>
      <c r="B4773" s="3" t="str">
        <f>HYPERLINK("https://www.773grp.com/manufacturer/onsemi?pageNo=728", "Onsemi")</f>
        <v>Onsemi</v>
      </c>
      <c r="C4773" s="6">
        <v>182024</v>
      </c>
      <c r="D4773" s="7">
        <v>0.64</v>
      </c>
      <c r="E4773" t="s">
        <v>26</v>
      </c>
    </row>
    <row r="4774" spans="1:5" x14ac:dyDescent="0.25">
      <c r="A4774" t="str">
        <f>HYPERLINK("https://www.773grp.com/globalSearch/NCP302LSN09T1G/page-1", "NCP302LSN09T1G")</f>
        <v>NCP302LSN09T1G</v>
      </c>
      <c r="B4774" s="3" t="str">
        <f>HYPERLINK("https://www.773grp.com/manufacturer/onsemi?pageNo=729", "Onsemi")</f>
        <v>Onsemi</v>
      </c>
      <c r="C4774" s="6">
        <v>50888</v>
      </c>
      <c r="D4774" s="7">
        <v>0.64</v>
      </c>
      <c r="E4774" t="s">
        <v>26</v>
      </c>
    </row>
    <row r="4775" spans="1:5" x14ac:dyDescent="0.25">
      <c r="A4775" t="str">
        <f>HYPERLINK("https://www.773grp.com/globalSearch/NCP302LSN15T1G/page-1", "NCP302LSN15T1G")</f>
        <v>NCP302LSN15T1G</v>
      </c>
      <c r="B4775" s="3" t="str">
        <f>HYPERLINK("https://www.773grp.com/manufacturer/onsemi?pageNo=730", "Onsemi")</f>
        <v>Onsemi</v>
      </c>
      <c r="C4775" s="6">
        <v>15000</v>
      </c>
      <c r="D4775" s="7">
        <v>0.64</v>
      </c>
      <c r="E4775" t="s">
        <v>26</v>
      </c>
    </row>
    <row r="4776" spans="1:5" x14ac:dyDescent="0.25">
      <c r="A4776" t="str">
        <f>HYPERLINK("https://www.773grp.com/globalSearch/NCP302LSN18T1G/page-1", "NCP302LSN18T1G")</f>
        <v>NCP302LSN18T1G</v>
      </c>
      <c r="B4776" s="3" t="str">
        <f>HYPERLINK("https://www.773grp.com/manufacturer/onsemi?pageNo=731", "Onsemi")</f>
        <v>Onsemi</v>
      </c>
      <c r="C4776" s="6">
        <v>78000</v>
      </c>
      <c r="D4776" s="7">
        <v>0.64</v>
      </c>
      <c r="E4776" t="s">
        <v>26</v>
      </c>
    </row>
    <row r="4777" spans="1:5" x14ac:dyDescent="0.25">
      <c r="A4777" t="str">
        <f>HYPERLINK("https://www.773grp.com/globalSearch/NCP302LSN38T1G/page-1", "NCP302LSN38T1G")</f>
        <v>NCP302LSN38T1G</v>
      </c>
      <c r="B4777" s="3" t="str">
        <f>HYPERLINK("https://www.773grp.com/manufacturer/onsemi?pageNo=732", "Onsemi")</f>
        <v>Onsemi</v>
      </c>
      <c r="C4777" s="6">
        <v>19165</v>
      </c>
      <c r="D4777" s="7">
        <v>0.64</v>
      </c>
      <c r="E4777" t="s">
        <v>26</v>
      </c>
    </row>
    <row r="4778" spans="1:5" x14ac:dyDescent="0.25">
      <c r="A4778" t="str">
        <f>HYPERLINK("https://www.773grp.com/globalSearch/NCP302LSN40T1G/page-1", "NCP302LSN40T1G")</f>
        <v>NCP302LSN40T1G</v>
      </c>
      <c r="B4778" s="3" t="str">
        <f>HYPERLINK("https://www.773grp.com/manufacturer/onsemi?pageNo=733", "Onsemi")</f>
        <v>Onsemi</v>
      </c>
      <c r="C4778" s="6">
        <v>5544</v>
      </c>
      <c r="D4778" s="7">
        <v>0.64</v>
      </c>
      <c r="E4778" t="s">
        <v>26</v>
      </c>
    </row>
    <row r="4779" spans="1:5" x14ac:dyDescent="0.25">
      <c r="A4779" t="str">
        <f>HYPERLINK("https://www.773grp.com/globalSearch/NCP302LSN43T1G/page-1", "NCP302LSN43T1G")</f>
        <v>NCP302LSN43T1G</v>
      </c>
      <c r="B4779" s="3" t="str">
        <f>HYPERLINK("https://www.773grp.com/manufacturer/onsemi?pageNo=734", "Onsemi")</f>
        <v>Onsemi</v>
      </c>
      <c r="C4779" s="6">
        <v>77231</v>
      </c>
      <c r="D4779" s="7">
        <v>0.64</v>
      </c>
      <c r="E4779" t="s">
        <v>26</v>
      </c>
    </row>
    <row r="4780" spans="1:5" x14ac:dyDescent="0.25">
      <c r="A4780" t="str">
        <f>HYPERLINK("https://www.773grp.com/globalSearch/NCP302LSN47T1G/page-1", "NCP302LSN47T1G")</f>
        <v>NCP302LSN47T1G</v>
      </c>
      <c r="B4780" s="3" t="str">
        <f>HYPERLINK("https://www.773grp.com/manufacturer/onsemi?pageNo=735", "Onsemi")</f>
        <v>Onsemi</v>
      </c>
      <c r="C4780" s="6">
        <v>21009</v>
      </c>
      <c r="D4780" s="7">
        <v>0.64</v>
      </c>
      <c r="E4780" t="s">
        <v>26</v>
      </c>
    </row>
    <row r="4781" spans="1:5" x14ac:dyDescent="0.25">
      <c r="A4781" t="str">
        <f>HYPERLINK("https://www.773grp.com/globalSearch/NCP303LSN10T1G/page-1", "NCP303LSN10T1G")</f>
        <v>NCP303LSN10T1G</v>
      </c>
      <c r="B4781" s="3" t="str">
        <f>HYPERLINK("https://www.773grp.com/manufacturer/onsemi?pageNo=736", "Onsemi")</f>
        <v>Onsemi</v>
      </c>
      <c r="C4781" s="6">
        <v>57000</v>
      </c>
      <c r="D4781" s="7">
        <v>0.64</v>
      </c>
      <c r="E4781" t="s">
        <v>26</v>
      </c>
    </row>
    <row r="4782" spans="1:5" x14ac:dyDescent="0.25">
      <c r="A4782" t="str">
        <f>HYPERLINK("https://www.773grp.com/globalSearch/NCP303LSN11T1G/page-1", "NCP303LSN11T1G")</f>
        <v>NCP303LSN11T1G</v>
      </c>
      <c r="B4782" s="3" t="str">
        <f>HYPERLINK("https://www.773grp.com/manufacturer/onsemi?pageNo=737", "Onsemi")</f>
        <v>Onsemi</v>
      </c>
      <c r="C4782" s="6">
        <v>35736</v>
      </c>
      <c r="D4782" s="7">
        <v>0.64</v>
      </c>
      <c r="E4782" t="s">
        <v>26</v>
      </c>
    </row>
    <row r="4783" spans="1:5" x14ac:dyDescent="0.25">
      <c r="A4783" t="str">
        <f>HYPERLINK("https://www.773grp.com/globalSearch/NCP303LSN13T1G/page-1", "NCP303LSN13T1G")</f>
        <v>NCP303LSN13T1G</v>
      </c>
      <c r="B4783" s="3" t="str">
        <f>HYPERLINK("https://www.773grp.com/manufacturer/onsemi?pageNo=738", "Onsemi")</f>
        <v>Onsemi</v>
      </c>
      <c r="C4783" s="6">
        <v>2642</v>
      </c>
      <c r="D4783" s="7">
        <v>0.64</v>
      </c>
      <c r="E4783" t="s">
        <v>26</v>
      </c>
    </row>
    <row r="4784" spans="1:5" x14ac:dyDescent="0.25">
      <c r="A4784" t="str">
        <f>HYPERLINK("https://www.773grp.com/globalSearch/NCP303LSN14T1G/page-1", "NCP303LSN14T1G")</f>
        <v>NCP303LSN14T1G</v>
      </c>
      <c r="B4784" s="3" t="str">
        <f>HYPERLINK("https://www.773grp.com/manufacturer/onsemi?pageNo=739", "Onsemi")</f>
        <v>Onsemi</v>
      </c>
      <c r="C4784" s="6">
        <v>24354</v>
      </c>
      <c r="D4784" s="7">
        <v>0.64</v>
      </c>
      <c r="E4784" t="s">
        <v>26</v>
      </c>
    </row>
    <row r="4785" spans="1:5" x14ac:dyDescent="0.25">
      <c r="A4785" t="str">
        <f>HYPERLINK("https://www.773grp.com/globalSearch/NCP303LSN15T1G/page-1", "NCP303LSN15T1G")</f>
        <v>NCP303LSN15T1G</v>
      </c>
      <c r="B4785" s="3" t="str">
        <f>HYPERLINK("https://www.773grp.com/manufacturer/onsemi?pageNo=740", "Onsemi")</f>
        <v>Onsemi</v>
      </c>
      <c r="C4785" s="6">
        <v>8185</v>
      </c>
      <c r="D4785" s="7">
        <v>0.64</v>
      </c>
      <c r="E4785" t="s">
        <v>26</v>
      </c>
    </row>
    <row r="4786" spans="1:5" x14ac:dyDescent="0.25">
      <c r="A4786" t="str">
        <f>HYPERLINK("https://www.773grp.com/globalSearch/NCP303LSN16T1G/page-1", "NCP303LSN16T1G")</f>
        <v>NCP303LSN16T1G</v>
      </c>
      <c r="B4786" s="3" t="str">
        <f>HYPERLINK("https://www.773grp.com/manufacturer/onsemi?pageNo=741", "Onsemi")</f>
        <v>Onsemi</v>
      </c>
      <c r="C4786" s="6">
        <v>214836</v>
      </c>
      <c r="D4786" s="7">
        <v>0.64</v>
      </c>
      <c r="E4786" t="s">
        <v>26</v>
      </c>
    </row>
    <row r="4787" spans="1:5" x14ac:dyDescent="0.25">
      <c r="A4787" t="str">
        <f>HYPERLINK("https://www.773grp.com/globalSearch/NCP303LSN17T1G/page-1", "NCP303LSN17T1G")</f>
        <v>NCP303LSN17T1G</v>
      </c>
      <c r="B4787" s="3" t="str">
        <f>HYPERLINK("https://www.773grp.com/manufacturer/onsemi?pageNo=742", "Onsemi")</f>
        <v>Onsemi</v>
      </c>
      <c r="C4787" s="6">
        <v>10500</v>
      </c>
      <c r="D4787" s="7">
        <v>0.64</v>
      </c>
      <c r="E4787" t="s">
        <v>26</v>
      </c>
    </row>
    <row r="4788" spans="1:5" x14ac:dyDescent="0.25">
      <c r="A4788" t="str">
        <f>HYPERLINK("https://www.773grp.com/globalSearch/NCP303LSN18T1G/page-1", "NCP303LSN18T1G")</f>
        <v>NCP303LSN18T1G</v>
      </c>
      <c r="B4788" s="3" t="str">
        <f>HYPERLINK("https://www.773grp.com/manufacturer/onsemi?pageNo=743", "Onsemi")</f>
        <v>Onsemi</v>
      </c>
      <c r="C4788" s="6">
        <v>6000</v>
      </c>
      <c r="D4788" s="7">
        <v>0.64</v>
      </c>
      <c r="E4788" t="s">
        <v>26</v>
      </c>
    </row>
    <row r="4789" spans="1:5" x14ac:dyDescent="0.25">
      <c r="A4789" t="str">
        <f>HYPERLINK("https://www.773grp.com/globalSearch/NCP303LSN23T1G/page-1", "NCP303LSN23T1G")</f>
        <v>NCP303LSN23T1G</v>
      </c>
      <c r="B4789" s="3" t="str">
        <f>HYPERLINK("https://www.773grp.com/manufacturer/onsemi?pageNo=744", "Onsemi")</f>
        <v>Onsemi</v>
      </c>
      <c r="C4789" s="6">
        <v>20005</v>
      </c>
      <c r="D4789" s="7">
        <v>0.64</v>
      </c>
      <c r="E4789" t="s">
        <v>26</v>
      </c>
    </row>
    <row r="4790" spans="1:5" x14ac:dyDescent="0.25">
      <c r="A4790" t="str">
        <f>HYPERLINK("https://www.773grp.com/globalSearch/NCP303LSN24T1G/page-1", "NCP303LSN24T1G")</f>
        <v>NCP303LSN24T1G</v>
      </c>
      <c r="B4790" s="3" t="str">
        <f>HYPERLINK("https://www.773grp.com/manufacturer/onsemi?pageNo=745", "Onsemi")</f>
        <v>Onsemi</v>
      </c>
      <c r="C4790" s="6">
        <v>51000</v>
      </c>
      <c r="D4790" s="7">
        <v>0.64</v>
      </c>
    </row>
    <row r="4791" spans="1:5" x14ac:dyDescent="0.25">
      <c r="A4791" t="str">
        <f>HYPERLINK("https://www.773grp.com/globalSearch/NCP303LSN25T1G/page-1", "NCP303LSN25T1G")</f>
        <v>NCP303LSN25T1G</v>
      </c>
      <c r="B4791" s="3" t="str">
        <f>HYPERLINK("https://www.773grp.com/manufacturer/onsemi?pageNo=746", "Onsemi")</f>
        <v>Onsemi</v>
      </c>
      <c r="C4791" s="6">
        <v>18000</v>
      </c>
      <c r="D4791" s="7">
        <v>0.64</v>
      </c>
      <c r="E4791" t="s">
        <v>26</v>
      </c>
    </row>
    <row r="4792" spans="1:5" x14ac:dyDescent="0.25">
      <c r="A4792" t="str">
        <f>HYPERLINK("https://www.773grp.com/globalSearch/NCP303LSN26T1G/page-1", "NCP303LSN26T1G")</f>
        <v>NCP303LSN26T1G</v>
      </c>
      <c r="B4792" s="3" t="str">
        <f>HYPERLINK("https://www.773grp.com/manufacturer/onsemi?pageNo=747", "Onsemi")</f>
        <v>Onsemi</v>
      </c>
      <c r="C4792" s="6">
        <v>3000</v>
      </c>
      <c r="D4792" s="7">
        <v>0.64</v>
      </c>
      <c r="E4792" t="s">
        <v>26</v>
      </c>
    </row>
    <row r="4793" spans="1:5" x14ac:dyDescent="0.25">
      <c r="A4793" t="str">
        <f>HYPERLINK("https://www.773grp.com/globalSearch/NCP303LSN31T1G/page-1", "NCP303LSN31T1G")</f>
        <v>NCP303LSN31T1G</v>
      </c>
      <c r="B4793" s="3" t="str">
        <f>HYPERLINK("https://www.773grp.com/manufacturer/onsemi?pageNo=748", "Onsemi")</f>
        <v>Onsemi</v>
      </c>
      <c r="C4793" s="6">
        <v>13700</v>
      </c>
      <c r="D4793" s="7">
        <v>0.64</v>
      </c>
      <c r="E4793" t="s">
        <v>26</v>
      </c>
    </row>
    <row r="4794" spans="1:5" x14ac:dyDescent="0.25">
      <c r="A4794" t="str">
        <f>HYPERLINK("https://www.773grp.com/globalSearch/NCP303LSN32T1G/page-1", "NCP303LSN32T1G")</f>
        <v>NCP303LSN32T1G</v>
      </c>
      <c r="B4794" s="3" t="str">
        <f>HYPERLINK("https://www.773grp.com/manufacturer/onsemi?pageNo=749", "Onsemi")</f>
        <v>Onsemi</v>
      </c>
      <c r="C4794" s="6">
        <v>5949</v>
      </c>
      <c r="D4794" s="7">
        <v>0.64</v>
      </c>
      <c r="E4794" t="s">
        <v>26</v>
      </c>
    </row>
    <row r="4795" spans="1:5" x14ac:dyDescent="0.25">
      <c r="A4795" t="str">
        <f>HYPERLINK("https://www.773grp.com/globalSearch/NCP303LSN33T1G/page-1", "NCP303LSN33T1G")</f>
        <v>NCP303LSN33T1G</v>
      </c>
      <c r="B4795" s="3" t="str">
        <f>HYPERLINK("https://www.773grp.com/manufacturer/onsemi?pageNo=750", "Onsemi")</f>
        <v>Onsemi</v>
      </c>
      <c r="C4795" s="6">
        <v>299935</v>
      </c>
      <c r="D4795" s="7">
        <v>0.64</v>
      </c>
      <c r="E4795" t="s">
        <v>26</v>
      </c>
    </row>
    <row r="4796" spans="1:5" x14ac:dyDescent="0.25">
      <c r="A4796" t="str">
        <f>HYPERLINK("https://www.773grp.com/globalSearch/NCP303LSN38T1G/page-1", "NCP303LSN38T1G")</f>
        <v>NCP303LSN38T1G</v>
      </c>
      <c r="B4796" s="3" t="str">
        <f>HYPERLINK("https://www.773grp.com/manufacturer/onsemi?pageNo=751", "Onsemi")</f>
        <v>Onsemi</v>
      </c>
      <c r="C4796" s="6">
        <v>33000</v>
      </c>
      <c r="D4796" s="7">
        <v>0.64</v>
      </c>
      <c r="E4796" t="s">
        <v>26</v>
      </c>
    </row>
    <row r="4797" spans="1:5" x14ac:dyDescent="0.25">
      <c r="A4797" t="str">
        <f>HYPERLINK("https://www.773grp.com/globalSearch/NCP303LSN40T1G/page-1", "NCP303LSN40T1G")</f>
        <v>NCP303LSN40T1G</v>
      </c>
      <c r="B4797" s="3" t="str">
        <f>HYPERLINK("https://www.773grp.com/manufacturer/onsemi?pageNo=752", "Onsemi")</f>
        <v>Onsemi</v>
      </c>
      <c r="C4797" s="6">
        <v>68900</v>
      </c>
      <c r="D4797" s="7">
        <v>0.64</v>
      </c>
      <c r="E4797" t="s">
        <v>26</v>
      </c>
    </row>
    <row r="4798" spans="1:5" x14ac:dyDescent="0.25">
      <c r="A4798" t="str">
        <f>HYPERLINK("https://www.773grp.com/globalSearch/NCP303LSN42T1G/page-1", "NCP303LSN42T1G")</f>
        <v>NCP303LSN42T1G</v>
      </c>
      <c r="B4798" s="3" t="str">
        <f>HYPERLINK("https://www.773grp.com/manufacturer/onsemi?pageNo=753", "Onsemi")</f>
        <v>Onsemi</v>
      </c>
      <c r="C4798" s="6">
        <v>2415</v>
      </c>
      <c r="D4798" s="7">
        <v>0.64</v>
      </c>
      <c r="E4798" t="s">
        <v>26</v>
      </c>
    </row>
    <row r="4799" spans="1:5" x14ac:dyDescent="0.25">
      <c r="A4799" t="str">
        <f>HYPERLINK("https://www.773grp.com/globalSearch/NCP303LSN46T1G/page-1", "NCP303LSN46T1G")</f>
        <v>NCP303LSN46T1G</v>
      </c>
      <c r="B4799" s="3" t="str">
        <f>HYPERLINK("https://www.773grp.com/manufacturer/onsemi?pageNo=754", "Onsemi")</f>
        <v>Onsemi</v>
      </c>
      <c r="C4799" s="6">
        <v>11355</v>
      </c>
      <c r="D4799" s="7">
        <v>0.64</v>
      </c>
      <c r="E4799" t="s">
        <v>26</v>
      </c>
    </row>
    <row r="4800" spans="1:5" x14ac:dyDescent="0.25">
      <c r="A4800" t="str">
        <f>HYPERLINK("https://www.773grp.com/globalSearch/NCP303LSN47T1G/page-1", "NCP303LSN47T1G")</f>
        <v>NCP303LSN47T1G</v>
      </c>
      <c r="B4800" s="3" t="str">
        <f>HYPERLINK("https://www.773grp.com/manufacturer/onsemi?pageNo=755", "Onsemi")</f>
        <v>Onsemi</v>
      </c>
      <c r="C4800" s="6">
        <v>43776</v>
      </c>
      <c r="D4800" s="7">
        <v>0.64</v>
      </c>
      <c r="E4800" t="s">
        <v>26</v>
      </c>
    </row>
    <row r="4801" spans="1:5" x14ac:dyDescent="0.25">
      <c r="A4801" t="str">
        <f>HYPERLINK("https://www.773grp.com/globalSearch/NCP303LSN49T1G/page-1", "NCP303LSN49T1G")</f>
        <v>NCP303LSN49T1G</v>
      </c>
      <c r="B4801" s="3" t="str">
        <f>HYPERLINK("https://www.773grp.com/manufacturer/onsemi?pageNo=756", "Onsemi")</f>
        <v>Onsemi</v>
      </c>
      <c r="C4801" s="6">
        <v>14755</v>
      </c>
      <c r="D4801" s="7">
        <v>0.64</v>
      </c>
      <c r="E4801" t="s">
        <v>26</v>
      </c>
    </row>
    <row r="4802" spans="1:5" x14ac:dyDescent="0.25">
      <c r="A4802" t="str">
        <f>HYPERLINK("https://www.773grp.com/globalSearch/NCP304HSQ09T1G/page-1", "NCP304HSQ09T1G")</f>
        <v>NCP304HSQ09T1G</v>
      </c>
      <c r="B4802" s="3" t="str">
        <f>HYPERLINK("https://www.773grp.com/manufacturer/onsemi?pageNo=757", "Onsemi")</f>
        <v>Onsemi</v>
      </c>
      <c r="C4802" s="6">
        <v>38890</v>
      </c>
      <c r="D4802" s="7">
        <v>0.64</v>
      </c>
      <c r="E4802" t="s">
        <v>26</v>
      </c>
    </row>
    <row r="4803" spans="1:5" x14ac:dyDescent="0.25">
      <c r="A4803" t="str">
        <f>HYPERLINK("https://www.773grp.com/globalSearch/NCP304HSQ18T1G/page-1", "NCP304HSQ18T1G")</f>
        <v>NCP304HSQ18T1G</v>
      </c>
      <c r="B4803" s="3" t="str">
        <f>HYPERLINK("https://www.773grp.com/manufacturer/onsemi?pageNo=758", "Onsemi")</f>
        <v>Onsemi</v>
      </c>
      <c r="C4803" s="6">
        <v>41681</v>
      </c>
      <c r="D4803" s="7">
        <v>0.64</v>
      </c>
      <c r="E4803" t="s">
        <v>26</v>
      </c>
    </row>
    <row r="4804" spans="1:5" x14ac:dyDescent="0.25">
      <c r="A4804" t="str">
        <f>HYPERLINK("https://www.773grp.com/globalSearch/NCP304HSQ20T1G/page-1", "NCP304HSQ20T1G")</f>
        <v>NCP304HSQ20T1G</v>
      </c>
      <c r="B4804" s="3" t="str">
        <f>HYPERLINK("https://www.773grp.com/manufacturer/onsemi?pageNo=759", "Onsemi")</f>
        <v>Onsemi</v>
      </c>
      <c r="C4804" s="6">
        <v>29940</v>
      </c>
      <c r="D4804" s="7">
        <v>0.64</v>
      </c>
      <c r="E4804" t="s">
        <v>26</v>
      </c>
    </row>
    <row r="4805" spans="1:5" x14ac:dyDescent="0.25">
      <c r="A4805" t="str">
        <f>HYPERLINK("https://www.773grp.com/globalSearch/NCP304HSQ22T1G/page-1", "NCP304HSQ22T1G")</f>
        <v>NCP304HSQ22T1G</v>
      </c>
      <c r="B4805" s="3" t="str">
        <f>HYPERLINK("https://www.773grp.com/manufacturer/onsemi?pageNo=760", "Onsemi")</f>
        <v>Onsemi</v>
      </c>
      <c r="C4805" s="6">
        <v>35840</v>
      </c>
      <c r="D4805" s="7">
        <v>0.64</v>
      </c>
      <c r="E4805" t="s">
        <v>26</v>
      </c>
    </row>
    <row r="4806" spans="1:5" x14ac:dyDescent="0.25">
      <c r="A4806" t="str">
        <f>HYPERLINK("https://www.773grp.com/globalSearch/NCP304HSQ29T1G/page-1", "NCP304HSQ29T1G")</f>
        <v>NCP304HSQ29T1G</v>
      </c>
      <c r="B4806" s="3" t="str">
        <f>HYPERLINK("https://www.773grp.com/manufacturer/onsemi?pageNo=761", "Onsemi")</f>
        <v>Onsemi</v>
      </c>
      <c r="C4806" s="6">
        <v>14946</v>
      </c>
      <c r="D4806" s="7">
        <v>0.64</v>
      </c>
      <c r="E4806" t="s">
        <v>26</v>
      </c>
    </row>
    <row r="4807" spans="1:5" x14ac:dyDescent="0.25">
      <c r="A4807" t="str">
        <f>HYPERLINK("https://www.773grp.com/globalSearch/NCP304HSQ30T1G/page-1", "NCP304HSQ30T1G")</f>
        <v>NCP304HSQ30T1G</v>
      </c>
      <c r="B4807" s="3" t="str">
        <f>HYPERLINK("https://www.773grp.com/manufacturer/onsemi?pageNo=762", "Onsemi")</f>
        <v>Onsemi</v>
      </c>
      <c r="C4807" s="6">
        <v>6357</v>
      </c>
      <c r="D4807" s="7">
        <v>0.64</v>
      </c>
      <c r="E4807" t="s">
        <v>26</v>
      </c>
    </row>
    <row r="4808" spans="1:5" x14ac:dyDescent="0.25">
      <c r="A4808" t="str">
        <f>HYPERLINK("https://www.773grp.com/globalSearch/NCP304HSQ47T1G/page-1", "NCP304HSQ47T1G")</f>
        <v>NCP304HSQ47T1G</v>
      </c>
      <c r="B4808" s="3" t="str">
        <f>HYPERLINK("https://www.773grp.com/manufacturer/onsemi?pageNo=763", "Onsemi")</f>
        <v>Onsemi</v>
      </c>
      <c r="C4808" s="6">
        <v>89210</v>
      </c>
      <c r="D4808" s="7">
        <v>0.64</v>
      </c>
      <c r="E4808" t="s">
        <v>26</v>
      </c>
    </row>
    <row r="4809" spans="1:5" x14ac:dyDescent="0.25">
      <c r="A4809" t="str">
        <f>HYPERLINK("https://www.773grp.com/globalSearch/NCP304LSQ09T1G/page-1", "NCP304LSQ09T1G")</f>
        <v>NCP304LSQ09T1G</v>
      </c>
      <c r="B4809" s="3" t="str">
        <f>HYPERLINK("https://www.773grp.com/manufacturer/onsemi?pageNo=764", "Onsemi")</f>
        <v>Onsemi</v>
      </c>
      <c r="C4809" s="6">
        <v>35908</v>
      </c>
      <c r="D4809" s="7">
        <v>0.64</v>
      </c>
      <c r="E4809" t="s">
        <v>26</v>
      </c>
    </row>
    <row r="4810" spans="1:5" x14ac:dyDescent="0.25">
      <c r="A4810" t="str">
        <f>HYPERLINK("https://www.773grp.com/globalSearch/NCP304LSQ20T1G/page-1", "NCP304LSQ20T1G")</f>
        <v>NCP304LSQ20T1G</v>
      </c>
      <c r="B4810" s="3" t="str">
        <f>HYPERLINK("https://www.773grp.com/manufacturer/onsemi?pageNo=765", "Onsemi")</f>
        <v>Onsemi</v>
      </c>
      <c r="C4810" s="6">
        <v>20515</v>
      </c>
      <c r="D4810" s="7">
        <v>0.64</v>
      </c>
      <c r="E4810" t="s">
        <v>26</v>
      </c>
    </row>
    <row r="4811" spans="1:5" x14ac:dyDescent="0.25">
      <c r="A4811" t="str">
        <f>HYPERLINK("https://www.773grp.com/globalSearch/NCP304LSQ23T1G/page-1", "NCP304LSQ23T1G")</f>
        <v>NCP304LSQ23T1G</v>
      </c>
      <c r="B4811" s="3" t="str">
        <f>HYPERLINK("https://www.773grp.com/manufacturer/onsemi?pageNo=766", "Onsemi")</f>
        <v>Onsemi</v>
      </c>
      <c r="C4811" s="6">
        <v>32129</v>
      </c>
      <c r="D4811" s="7">
        <v>0.64</v>
      </c>
      <c r="E4811" t="s">
        <v>26</v>
      </c>
    </row>
    <row r="4812" spans="1:5" x14ac:dyDescent="0.25">
      <c r="A4812" t="str">
        <f>HYPERLINK("https://www.773grp.com/globalSearch/NCP304LSQ25T1G/page-1", "NCP304LSQ25T1G")</f>
        <v>NCP304LSQ25T1G</v>
      </c>
      <c r="B4812" s="3" t="str">
        <f>HYPERLINK("https://www.773grp.com/manufacturer/onsemi?pageNo=767", "Onsemi")</f>
        <v>Onsemi</v>
      </c>
      <c r="C4812" s="6">
        <v>29775</v>
      </c>
      <c r="D4812" s="7">
        <v>0.64</v>
      </c>
      <c r="E4812" t="s">
        <v>26</v>
      </c>
    </row>
    <row r="4813" spans="1:5" x14ac:dyDescent="0.25">
      <c r="A4813" t="str">
        <f>HYPERLINK("https://www.773grp.com/globalSearch/NCP304LSQ27T1G/page-1", "NCP304LSQ27T1G")</f>
        <v>NCP304LSQ27T1G</v>
      </c>
      <c r="B4813" s="3" t="str">
        <f>HYPERLINK("https://www.773grp.com/manufacturer/onsemi?pageNo=768", "Onsemi")</f>
        <v>Onsemi</v>
      </c>
      <c r="C4813" s="6">
        <v>17932</v>
      </c>
      <c r="D4813" s="7">
        <v>0.64</v>
      </c>
      <c r="E4813" t="s">
        <v>26</v>
      </c>
    </row>
    <row r="4814" spans="1:5" x14ac:dyDescent="0.25">
      <c r="A4814" t="str">
        <f>HYPERLINK("https://www.773grp.com/globalSearch/NCP304LSQ29T1G/page-1", "NCP304LSQ29T1G")</f>
        <v>NCP304LSQ29T1G</v>
      </c>
      <c r="B4814" s="3" t="str">
        <f>HYPERLINK("https://www.773grp.com/manufacturer/onsemi?pageNo=769", "Onsemi")</f>
        <v>Onsemi</v>
      </c>
      <c r="C4814" s="6">
        <v>14996</v>
      </c>
      <c r="D4814" s="7">
        <v>0.64</v>
      </c>
      <c r="E4814" t="s">
        <v>26</v>
      </c>
    </row>
    <row r="4815" spans="1:5" x14ac:dyDescent="0.25">
      <c r="A4815" t="str">
        <f>HYPERLINK("https://www.773grp.com/globalSearch/NCP304LSQ30T1G/page-1", "NCP304LSQ30T1G")</f>
        <v>NCP304LSQ30T1G</v>
      </c>
      <c r="B4815" s="3" t="str">
        <f>HYPERLINK("https://www.773grp.com/manufacturer/onsemi?pageNo=770", "Onsemi")</f>
        <v>Onsemi</v>
      </c>
      <c r="C4815" s="6">
        <v>22873</v>
      </c>
      <c r="D4815" s="7">
        <v>0.64</v>
      </c>
      <c r="E4815" t="s">
        <v>26</v>
      </c>
    </row>
    <row r="4816" spans="1:5" x14ac:dyDescent="0.25">
      <c r="A4816" t="str">
        <f>HYPERLINK("https://www.773grp.com/globalSearch/NCP304LSQ37T1G/page-1", "NCP304LSQ37T1G")</f>
        <v>NCP304LSQ37T1G</v>
      </c>
      <c r="B4816" s="3" t="str">
        <f>HYPERLINK("https://www.773grp.com/manufacturer/onsemi?pageNo=771", "Onsemi")</f>
        <v>Onsemi</v>
      </c>
      <c r="C4816" s="6">
        <v>15826</v>
      </c>
      <c r="D4816" s="7">
        <v>0.64</v>
      </c>
      <c r="E4816" t="s">
        <v>26</v>
      </c>
    </row>
    <row r="4817" spans="1:5" x14ac:dyDescent="0.25">
      <c r="A4817" t="str">
        <f>HYPERLINK("https://www.773grp.com/globalSearch/NCP304LSQ38T1G/page-1", "NCP304LSQ38T1G")</f>
        <v>NCP304LSQ38T1G</v>
      </c>
      <c r="B4817" s="3" t="str">
        <f>HYPERLINK("https://www.773grp.com/manufacturer/onsemi?pageNo=772", "Onsemi")</f>
        <v>Onsemi</v>
      </c>
      <c r="C4817" s="6">
        <v>12000</v>
      </c>
      <c r="D4817" s="7">
        <v>0.64</v>
      </c>
    </row>
    <row r="4818" spans="1:5" x14ac:dyDescent="0.25">
      <c r="A4818" t="str">
        <f>HYPERLINK("https://www.773grp.com/globalSearch/NCP304LSQ40T1G/page-1", "NCP304LSQ40T1G")</f>
        <v>NCP304LSQ40T1G</v>
      </c>
      <c r="B4818" s="3" t="str">
        <f>HYPERLINK("https://www.773grp.com/manufacturer/onsemi?pageNo=773", "Onsemi")</f>
        <v>Onsemi</v>
      </c>
      <c r="C4818" s="6">
        <v>29862</v>
      </c>
      <c r="D4818" s="7">
        <v>0.64</v>
      </c>
      <c r="E4818" t="s">
        <v>26</v>
      </c>
    </row>
    <row r="4819" spans="1:5" x14ac:dyDescent="0.25">
      <c r="A4819" t="str">
        <f>HYPERLINK("https://www.773grp.com/globalSearch/NCP304LSQ42T1G/page-1", "NCP304LSQ42T1G")</f>
        <v>NCP304LSQ42T1G</v>
      </c>
      <c r="B4819" s="3" t="str">
        <f>HYPERLINK("https://www.773grp.com/manufacturer/onsemi?pageNo=774", "Onsemi")</f>
        <v>Onsemi</v>
      </c>
      <c r="C4819" s="6">
        <v>20787</v>
      </c>
      <c r="D4819" s="7">
        <v>0.64</v>
      </c>
      <c r="E4819" t="s">
        <v>26</v>
      </c>
    </row>
    <row r="4820" spans="1:5" x14ac:dyDescent="0.25">
      <c r="A4820" t="str">
        <f>HYPERLINK("https://www.773grp.com/globalSearch/NCP304LSQ43T1G/page-1", "NCP304LSQ43T1G")</f>
        <v>NCP304LSQ43T1G</v>
      </c>
      <c r="B4820" s="3" t="str">
        <f>HYPERLINK("https://www.773grp.com/manufacturer/onsemi?pageNo=775", "Onsemi")</f>
        <v>Onsemi</v>
      </c>
      <c r="C4820" s="6">
        <v>94607</v>
      </c>
      <c r="D4820" s="7">
        <v>0.64</v>
      </c>
      <c r="E4820" t="s">
        <v>26</v>
      </c>
    </row>
    <row r="4821" spans="1:5" x14ac:dyDescent="0.25">
      <c r="A4821" t="str">
        <f>HYPERLINK("https://www.773grp.com/globalSearch/NCP304LSQ45T1G/page-1", "NCP304LSQ45T1G")</f>
        <v>NCP304LSQ45T1G</v>
      </c>
      <c r="B4821" s="3" t="str">
        <f>HYPERLINK("https://www.773grp.com/manufacturer/onsemi?pageNo=776", "Onsemi")</f>
        <v>Onsemi</v>
      </c>
      <c r="C4821" s="6">
        <v>17897</v>
      </c>
      <c r="D4821" s="7">
        <v>0.64</v>
      </c>
      <c r="E4821" t="s">
        <v>26</v>
      </c>
    </row>
    <row r="4822" spans="1:5" x14ac:dyDescent="0.25">
      <c r="A4822" t="str">
        <f>HYPERLINK("https://www.773grp.com/globalSearch/NCP304LSQ46T1G/page-1", "NCP304LSQ46T1G")</f>
        <v>NCP304LSQ46T1G</v>
      </c>
      <c r="B4822" s="3" t="str">
        <f>HYPERLINK("https://www.773grp.com/manufacturer/onsemi?pageNo=777", "Onsemi")</f>
        <v>Onsemi</v>
      </c>
      <c r="C4822" s="6">
        <v>42000</v>
      </c>
      <c r="D4822" s="7">
        <v>0.64</v>
      </c>
      <c r="E4822" t="s">
        <v>26</v>
      </c>
    </row>
    <row r="4823" spans="1:5" x14ac:dyDescent="0.25">
      <c r="A4823" t="str">
        <f>HYPERLINK("https://www.773grp.com/globalSearch/NCP304LSQ47T1G/page-1", "NCP304LSQ47T1G")</f>
        <v>NCP304LSQ47T1G</v>
      </c>
      <c r="B4823" s="3" t="str">
        <f>HYPERLINK("https://www.773grp.com/manufacturer/onsemi?pageNo=778", "Onsemi")</f>
        <v>Onsemi</v>
      </c>
      <c r="C4823" s="6">
        <v>28455</v>
      </c>
      <c r="D4823" s="7">
        <v>0.64</v>
      </c>
      <c r="E4823" t="s">
        <v>26</v>
      </c>
    </row>
    <row r="4824" spans="1:5" x14ac:dyDescent="0.25">
      <c r="A4824" t="str">
        <f>HYPERLINK("https://www.773grp.com/globalSearch/NCP305LSQ09T1G/page-1", "NCP305LSQ09T1G")</f>
        <v>NCP305LSQ09T1G</v>
      </c>
      <c r="B4824" s="3" t="str">
        <f>HYPERLINK("https://www.773grp.com/manufacturer/onsemi?pageNo=779", "Onsemi")</f>
        <v>Onsemi</v>
      </c>
      <c r="C4824" s="6">
        <v>9716</v>
      </c>
      <c r="D4824" s="7">
        <v>0.64</v>
      </c>
      <c r="E4824" t="s">
        <v>26</v>
      </c>
    </row>
    <row r="4825" spans="1:5" x14ac:dyDescent="0.25">
      <c r="A4825" t="str">
        <f>HYPERLINK("https://www.773grp.com/globalSearch/NCP305LSQ11T1G/page-1", "NCP305LSQ11T1G")</f>
        <v>NCP305LSQ11T1G</v>
      </c>
      <c r="B4825" s="3" t="str">
        <f>HYPERLINK("https://www.773grp.com/manufacturer/onsemi?pageNo=780", "Onsemi")</f>
        <v>Onsemi</v>
      </c>
      <c r="C4825" s="6">
        <v>35344</v>
      </c>
      <c r="D4825" s="7">
        <v>0.64</v>
      </c>
      <c r="E4825" t="s">
        <v>26</v>
      </c>
    </row>
    <row r="4826" spans="1:5" x14ac:dyDescent="0.25">
      <c r="A4826" t="str">
        <f>HYPERLINK("https://www.773grp.com/globalSearch/NCP305LSQ15T1G/page-1", "NCP305LSQ15T1G")</f>
        <v>NCP305LSQ15T1G</v>
      </c>
      <c r="B4826" s="3" t="str">
        <f>HYPERLINK("https://www.773grp.com/manufacturer/onsemi?pageNo=781", "Onsemi")</f>
        <v>Onsemi</v>
      </c>
      <c r="C4826" s="6">
        <v>41955</v>
      </c>
      <c r="D4826" s="7">
        <v>0.64</v>
      </c>
      <c r="E4826" t="s">
        <v>26</v>
      </c>
    </row>
    <row r="4827" spans="1:5" x14ac:dyDescent="0.25">
      <c r="A4827" t="str">
        <f>HYPERLINK("https://www.773grp.com/globalSearch/NCP305LSQ16T1G/page-1", "NCP305LSQ16T1G")</f>
        <v>NCP305LSQ16T1G</v>
      </c>
      <c r="B4827" s="3" t="str">
        <f>HYPERLINK("https://www.773grp.com/manufacturer/onsemi?pageNo=782", "Onsemi")</f>
        <v>Onsemi</v>
      </c>
      <c r="C4827" s="6">
        <v>11830</v>
      </c>
      <c r="D4827" s="7">
        <v>0.64</v>
      </c>
      <c r="E4827" t="s">
        <v>26</v>
      </c>
    </row>
    <row r="4828" spans="1:5" x14ac:dyDescent="0.25">
      <c r="A4828" t="str">
        <f>HYPERLINK("https://www.773grp.com/globalSearch/NCP305LSQ17T1G/page-1", "NCP305LSQ17T1G")</f>
        <v>NCP305LSQ17T1G</v>
      </c>
      <c r="B4828" s="3" t="str">
        <f>HYPERLINK("https://www.773grp.com/manufacturer/onsemi?pageNo=783", "Onsemi")</f>
        <v>Onsemi</v>
      </c>
      <c r="C4828" s="6">
        <v>41465</v>
      </c>
      <c r="D4828" s="7">
        <v>0.64</v>
      </c>
      <c r="E4828" t="s">
        <v>26</v>
      </c>
    </row>
    <row r="4829" spans="1:5" x14ac:dyDescent="0.25">
      <c r="A4829" t="str">
        <f>HYPERLINK("https://www.773grp.com/globalSearch/NCP305LSQ18T1G/page-1", "NCP305LSQ18T1G")</f>
        <v>NCP305LSQ18T1G</v>
      </c>
      <c r="B4829" s="3" t="str">
        <f>HYPERLINK("https://www.773grp.com/manufacturer/onsemi?pageNo=784", "Onsemi")</f>
        <v>Onsemi</v>
      </c>
      <c r="C4829" s="6">
        <v>69000</v>
      </c>
      <c r="D4829" s="7">
        <v>0.64</v>
      </c>
    </row>
    <row r="4830" spans="1:5" x14ac:dyDescent="0.25">
      <c r="A4830" t="str">
        <f>HYPERLINK("https://www.773grp.com/globalSearch/NCP305LSQ22T1G/page-1", "NCP305LSQ22T1G")</f>
        <v>NCP305LSQ22T1G</v>
      </c>
      <c r="B4830" s="3" t="str">
        <f>HYPERLINK("https://www.773grp.com/manufacturer/onsemi?pageNo=785", "Onsemi")</f>
        <v>Onsemi</v>
      </c>
      <c r="C4830" s="6">
        <v>23365</v>
      </c>
      <c r="D4830" s="7">
        <v>0.64</v>
      </c>
      <c r="E4830" t="s">
        <v>26</v>
      </c>
    </row>
    <row r="4831" spans="1:5" x14ac:dyDescent="0.25">
      <c r="A4831" t="str">
        <f>HYPERLINK("https://www.773grp.com/globalSearch/NCP305LSQ23T1G/page-1", "NCP305LSQ23T1G")</f>
        <v>NCP305LSQ23T1G</v>
      </c>
      <c r="B4831" s="3" t="str">
        <f>HYPERLINK("https://www.773grp.com/manufacturer/onsemi?pageNo=786", "Onsemi")</f>
        <v>Onsemi</v>
      </c>
      <c r="C4831" s="6">
        <v>6000</v>
      </c>
      <c r="D4831" s="7">
        <v>0.64</v>
      </c>
      <c r="E4831" t="s">
        <v>26</v>
      </c>
    </row>
    <row r="4832" spans="1:5" x14ac:dyDescent="0.25">
      <c r="A4832" t="str">
        <f>HYPERLINK("https://www.773grp.com/globalSearch/NCP305LSQ24T1G/page-1", "NCP305LSQ24T1G")</f>
        <v>NCP305LSQ24T1G</v>
      </c>
      <c r="B4832" s="3" t="str">
        <f>HYPERLINK("https://www.773grp.com/manufacturer/onsemi?pageNo=787", "Onsemi")</f>
        <v>Onsemi</v>
      </c>
      <c r="C4832" s="6">
        <v>41935</v>
      </c>
      <c r="D4832" s="7">
        <v>0.64</v>
      </c>
      <c r="E4832" t="s">
        <v>26</v>
      </c>
    </row>
    <row r="4833" spans="1:5" x14ac:dyDescent="0.25">
      <c r="A4833" t="str">
        <f>HYPERLINK("https://www.773grp.com/globalSearch/NCP305LSQ25T1G/page-1", "NCP305LSQ25T1G")</f>
        <v>NCP305LSQ25T1G</v>
      </c>
      <c r="B4833" s="3" t="str">
        <f>HYPERLINK("https://www.773grp.com/manufacturer/onsemi?pageNo=788", "Onsemi")</f>
        <v>Onsemi</v>
      </c>
      <c r="C4833" s="6">
        <v>3000</v>
      </c>
      <c r="D4833" s="7">
        <v>0.64</v>
      </c>
      <c r="E4833" t="s">
        <v>26</v>
      </c>
    </row>
    <row r="4834" spans="1:5" x14ac:dyDescent="0.25">
      <c r="A4834" t="str">
        <f>HYPERLINK("https://www.773grp.com/globalSearch/NCP305LSQ26T1G/page-1", "NCP305LSQ26T1G")</f>
        <v>NCP305LSQ26T1G</v>
      </c>
      <c r="B4834" s="3" t="str">
        <f>HYPERLINK("https://www.773grp.com/manufacturer/onsemi?pageNo=789", "Onsemi")</f>
        <v>Onsemi</v>
      </c>
      <c r="C4834" s="6">
        <v>38980</v>
      </c>
      <c r="D4834" s="7">
        <v>0.64</v>
      </c>
      <c r="E4834" t="s">
        <v>26</v>
      </c>
    </row>
    <row r="4835" spans="1:5" x14ac:dyDescent="0.25">
      <c r="A4835" t="str">
        <f>HYPERLINK("https://www.773grp.com/globalSearch/NCP305LSQ28T1G/page-1", "NCP305LSQ28T1G")</f>
        <v>NCP305LSQ28T1G</v>
      </c>
      <c r="B4835" s="3" t="str">
        <f>HYPERLINK("https://www.773grp.com/manufacturer/onsemi?pageNo=790", "Onsemi")</f>
        <v>Onsemi</v>
      </c>
      <c r="C4835" s="6">
        <v>5935</v>
      </c>
      <c r="D4835" s="7">
        <v>0.64</v>
      </c>
      <c r="E4835" t="s">
        <v>26</v>
      </c>
    </row>
    <row r="4836" spans="1:5" x14ac:dyDescent="0.25">
      <c r="A4836" t="str">
        <f>HYPERLINK("https://www.773grp.com/globalSearch/NCP305LSQ29T1G/page-1", "NCP305LSQ29T1G")</f>
        <v>NCP305LSQ29T1G</v>
      </c>
      <c r="B4836" s="3" t="str">
        <f>HYPERLINK("https://www.773grp.com/manufacturer/onsemi?pageNo=791", "Onsemi")</f>
        <v>Onsemi</v>
      </c>
      <c r="C4836" s="6">
        <v>47990</v>
      </c>
      <c r="D4836" s="7">
        <v>0.64</v>
      </c>
      <c r="E4836" t="s">
        <v>26</v>
      </c>
    </row>
    <row r="4837" spans="1:5" x14ac:dyDescent="0.25">
      <c r="A4837" t="str">
        <f>HYPERLINK("https://www.773grp.com/globalSearch/NCP305LSQ31T1G/page-1", "NCP305LSQ31T1G")</f>
        <v>NCP305LSQ31T1G</v>
      </c>
      <c r="B4837" s="3" t="str">
        <f>HYPERLINK("https://www.773grp.com/manufacturer/onsemi?pageNo=792", "Onsemi")</f>
        <v>Onsemi</v>
      </c>
      <c r="C4837" s="6">
        <v>20118</v>
      </c>
      <c r="D4837" s="7">
        <v>0.64</v>
      </c>
      <c r="E4837" t="s">
        <v>26</v>
      </c>
    </row>
    <row r="4838" spans="1:5" x14ac:dyDescent="0.25">
      <c r="A4838" t="str">
        <f>HYPERLINK("https://www.773grp.com/globalSearch/NCP305LSQ32T1G/page-1", "NCP305LSQ32T1G")</f>
        <v>NCP305LSQ32T1G</v>
      </c>
      <c r="B4838" s="3" t="str">
        <f>HYPERLINK("https://www.773grp.com/manufacturer/onsemi?pageNo=793", "Onsemi")</f>
        <v>Onsemi</v>
      </c>
      <c r="C4838" s="6">
        <v>45000</v>
      </c>
      <c r="D4838" s="7">
        <v>0.64</v>
      </c>
      <c r="E4838" t="s">
        <v>26</v>
      </c>
    </row>
    <row r="4839" spans="1:5" x14ac:dyDescent="0.25">
      <c r="A4839" t="str">
        <f>HYPERLINK("https://www.773grp.com/globalSearch/NCP305LSQ33T1G/page-1", "NCP305LSQ33T1G")</f>
        <v>NCP305LSQ33T1G</v>
      </c>
      <c r="B4839" s="3" t="str">
        <f>HYPERLINK("https://www.773grp.com/manufacturer/onsemi?pageNo=794", "Onsemi")</f>
        <v>Onsemi</v>
      </c>
      <c r="C4839" s="6">
        <v>29990</v>
      </c>
      <c r="D4839" s="7">
        <v>0.64</v>
      </c>
      <c r="E4839" t="s">
        <v>26</v>
      </c>
    </row>
    <row r="4840" spans="1:5" x14ac:dyDescent="0.25">
      <c r="A4840" t="str">
        <f>HYPERLINK("https://www.773grp.com/globalSearch/NCP305LSQ34T1G/page-1", "NCP305LSQ34T1G")</f>
        <v>NCP305LSQ34T1G</v>
      </c>
      <c r="B4840" s="3" t="str">
        <f>HYPERLINK("https://www.773grp.com/manufacturer/onsemi?pageNo=795", "Onsemi")</f>
        <v>Onsemi</v>
      </c>
      <c r="C4840" s="6">
        <v>17730</v>
      </c>
      <c r="D4840" s="7">
        <v>0.64</v>
      </c>
      <c r="E4840" t="s">
        <v>26</v>
      </c>
    </row>
    <row r="4841" spans="1:5" x14ac:dyDescent="0.25">
      <c r="A4841" t="str">
        <f>HYPERLINK("https://www.773grp.com/globalSearch/NCP305LSQ35T1G/page-1", "NCP305LSQ35T1G")</f>
        <v>NCP305LSQ35T1G</v>
      </c>
      <c r="B4841" s="3" t="str">
        <f>HYPERLINK("https://www.773grp.com/manufacturer/onsemi?pageNo=796", "Onsemi")</f>
        <v>Onsemi</v>
      </c>
      <c r="C4841" s="6">
        <v>29475</v>
      </c>
      <c r="D4841" s="7">
        <v>0.64</v>
      </c>
      <c r="E4841" t="s">
        <v>26</v>
      </c>
    </row>
    <row r="4842" spans="1:5" x14ac:dyDescent="0.25">
      <c r="A4842" t="str">
        <f>HYPERLINK("https://www.773grp.com/globalSearch/NCP305LSQ36T1G/page-1", "NCP305LSQ36T1G")</f>
        <v>NCP305LSQ36T1G</v>
      </c>
      <c r="B4842" s="3" t="str">
        <f>HYPERLINK("https://www.773grp.com/manufacturer/onsemi?pageNo=797", "Onsemi")</f>
        <v>Onsemi</v>
      </c>
      <c r="C4842" s="6">
        <v>14850</v>
      </c>
      <c r="D4842" s="7">
        <v>0.64</v>
      </c>
      <c r="E4842" t="s">
        <v>26</v>
      </c>
    </row>
    <row r="4843" spans="1:5" x14ac:dyDescent="0.25">
      <c r="A4843" t="str">
        <f>HYPERLINK("https://www.773grp.com/globalSearch/NCP305LSQ37T1G/page-1", "NCP305LSQ37T1G")</f>
        <v>NCP305LSQ37T1G</v>
      </c>
      <c r="B4843" s="3" t="str">
        <f>HYPERLINK("https://www.773grp.com/manufacturer/onsemi?pageNo=798", "Onsemi")</f>
        <v>Onsemi</v>
      </c>
      <c r="C4843" s="6">
        <v>38975</v>
      </c>
      <c r="D4843" s="7">
        <v>0.64</v>
      </c>
      <c r="E4843" t="s">
        <v>26</v>
      </c>
    </row>
    <row r="4844" spans="1:5" x14ac:dyDescent="0.25">
      <c r="A4844" t="str">
        <f>HYPERLINK("https://www.773grp.com/globalSearch/NCP305LSQ40T1G/page-1", "NCP305LSQ40T1G")</f>
        <v>NCP305LSQ40T1G</v>
      </c>
      <c r="B4844" s="3" t="str">
        <f>HYPERLINK("https://www.773grp.com/manufacturer/onsemi?pageNo=799", "Onsemi")</f>
        <v>Onsemi</v>
      </c>
      <c r="C4844" s="6">
        <v>14474</v>
      </c>
      <c r="D4844" s="7">
        <v>0.64</v>
      </c>
    </row>
    <row r="4845" spans="1:5" x14ac:dyDescent="0.25">
      <c r="A4845" t="str">
        <f>HYPERLINK("https://www.773grp.com/globalSearch/NCP305LSQ45T1G/page-1", "NCP305LSQ45T1G")</f>
        <v>NCP305LSQ45T1G</v>
      </c>
      <c r="B4845" s="3" t="str">
        <f>HYPERLINK("https://www.773grp.com/manufacturer/onsemi?pageNo=800", "Onsemi")</f>
        <v>Onsemi</v>
      </c>
      <c r="C4845" s="6">
        <v>3000</v>
      </c>
      <c r="D4845" s="7">
        <v>0.64</v>
      </c>
      <c r="E4845" t="s">
        <v>26</v>
      </c>
    </row>
    <row r="4846" spans="1:5" x14ac:dyDescent="0.25">
      <c r="A4846" t="str">
        <f>HYPERLINK("https://www.773grp.com/globalSearch/NCP305LSQ47T1G/page-1", "NCP305LSQ47T1G")</f>
        <v>NCP305LSQ47T1G</v>
      </c>
      <c r="B4846" s="3" t="str">
        <f>HYPERLINK("https://www.773grp.com/manufacturer/onsemi?pageNo=801", "Onsemi")</f>
        <v>Onsemi</v>
      </c>
      <c r="C4846" s="6">
        <v>5970</v>
      </c>
      <c r="D4846" s="7">
        <v>0.64</v>
      </c>
    </row>
    <row r="4847" spans="1:5" x14ac:dyDescent="0.25">
      <c r="A4847" t="str">
        <f>HYPERLINK("https://www.773grp.com/globalSearch/NCP334FCT2G/page-1", "NCP334FCT2G")</f>
        <v>NCP334FCT2G</v>
      </c>
      <c r="B4847" s="3" t="str">
        <f>HYPERLINK("https://www.773grp.com/manufacturer/onsemi?pageNo=802", "Onsemi")</f>
        <v>Onsemi</v>
      </c>
      <c r="C4847" s="6">
        <v>630000</v>
      </c>
      <c r="D4847" s="7">
        <v>0.64</v>
      </c>
    </row>
    <row r="4848" spans="1:5" x14ac:dyDescent="0.25">
      <c r="A4848" t="str">
        <f>HYPERLINK("https://www.773grp.com/globalSearch/NCP582DXV18T1G/page-1", "NCP582DXV18T1G")</f>
        <v>NCP582DXV18T1G</v>
      </c>
      <c r="B4848" s="3" t="str">
        <f>HYPERLINK("https://www.773grp.com/manufacturer/onsemi?pageNo=803", "Onsemi")</f>
        <v>Onsemi</v>
      </c>
      <c r="C4848" s="6">
        <v>3000</v>
      </c>
      <c r="D4848" s="7">
        <v>0.64</v>
      </c>
      <c r="E4848" t="s">
        <v>15</v>
      </c>
    </row>
    <row r="4849" spans="1:5" x14ac:dyDescent="0.25">
      <c r="A4849" t="str">
        <f>HYPERLINK("https://www.773grp.com/globalSearch/NCP5901DR2G/page-1", "NCP5901DR2G")</f>
        <v>NCP5901DR2G</v>
      </c>
      <c r="B4849" s="3" t="str">
        <f>HYPERLINK("https://www.773grp.com/manufacturer/onsemi?pageNo=804", "Onsemi")</f>
        <v>Onsemi</v>
      </c>
      <c r="C4849" s="6">
        <v>145000</v>
      </c>
      <c r="D4849" s="7">
        <v>0.64</v>
      </c>
    </row>
    <row r="4850" spans="1:5" x14ac:dyDescent="0.25">
      <c r="A4850" t="str">
        <f>HYPERLINK("https://www.773grp.com/globalSearch/NCP5901MNTBG/page-1", "NCP5901MNTBG")</f>
        <v>NCP5901MNTBG</v>
      </c>
      <c r="B4850" s="3" t="str">
        <f>HYPERLINK("https://www.773grp.com/manufacturer/onsemi?pageNo=805", "Onsemi")</f>
        <v>Onsemi</v>
      </c>
      <c r="C4850" s="6">
        <v>63982</v>
      </c>
      <c r="D4850" s="7">
        <v>0.64</v>
      </c>
      <c r="E4850" t="s">
        <v>12</v>
      </c>
    </row>
    <row r="4851" spans="1:5" x14ac:dyDescent="0.25">
      <c r="A4851" t="str">
        <f>HYPERLINK("https://www.773grp.com/globalSearch/NCP5911MNTBG/page-1", "NCP5911MNTBG")</f>
        <v>NCP5911MNTBG</v>
      </c>
      <c r="B4851" s="3" t="str">
        <f>HYPERLINK("https://www.773grp.com/manufacturer/onsemi?pageNo=806", "Onsemi")</f>
        <v>Onsemi</v>
      </c>
      <c r="C4851" s="6">
        <v>18000</v>
      </c>
      <c r="D4851" s="7">
        <v>0.64</v>
      </c>
    </row>
    <row r="4852" spans="1:5" x14ac:dyDescent="0.25">
      <c r="A4852" t="str">
        <f>HYPERLINK("https://www.773grp.com/globalSearch/NCP612SQ15T1/page-1", "NCP612SQ15T1")</f>
        <v>NCP612SQ15T1</v>
      </c>
      <c r="B4852" s="3" t="str">
        <f>HYPERLINK("https://www.773grp.com/manufacturer/onsemi?pageNo=807", "Onsemi")</f>
        <v>Onsemi</v>
      </c>
      <c r="C4852" s="6">
        <v>3858</v>
      </c>
      <c r="D4852" s="7">
        <v>0.64</v>
      </c>
      <c r="E4852" t="s">
        <v>24</v>
      </c>
    </row>
    <row r="4853" spans="1:5" x14ac:dyDescent="0.25">
      <c r="A4853" t="str">
        <f>HYPERLINK("https://www.773grp.com/globalSearch/NCP612SQ18T1/page-1", "NCP612SQ18T1")</f>
        <v>NCP612SQ18T1</v>
      </c>
      <c r="B4853" s="3" t="str">
        <f>HYPERLINK("https://www.773grp.com/manufacturer/onsemi?pageNo=808", "Onsemi")</f>
        <v>Onsemi</v>
      </c>
      <c r="C4853" s="6">
        <v>5423</v>
      </c>
      <c r="D4853" s="7">
        <v>0.64</v>
      </c>
      <c r="E4853" t="s">
        <v>24</v>
      </c>
    </row>
    <row r="4854" spans="1:5" x14ac:dyDescent="0.25">
      <c r="A4854" t="str">
        <f>HYPERLINK("https://www.773grp.com/globalSearch/NCP612SQ25T1/page-1", "NCP612SQ25T1")</f>
        <v>NCP612SQ25T1</v>
      </c>
      <c r="B4854" s="3" t="str">
        <f>HYPERLINK("https://www.773grp.com/manufacturer/onsemi?pageNo=809", "Onsemi")</f>
        <v>Onsemi</v>
      </c>
      <c r="C4854" s="6">
        <v>5248</v>
      </c>
      <c r="D4854" s="7">
        <v>0.64</v>
      </c>
      <c r="E4854" t="s">
        <v>24</v>
      </c>
    </row>
    <row r="4855" spans="1:5" x14ac:dyDescent="0.25">
      <c r="A4855" t="str">
        <f>HYPERLINK("https://www.773grp.com/globalSearch/NCP612SQ27T1/page-1", "NCP612SQ27T1")</f>
        <v>NCP612SQ27T1</v>
      </c>
      <c r="B4855" s="3" t="str">
        <f>HYPERLINK("https://www.773grp.com/manufacturer/onsemi?pageNo=810", "Onsemi")</f>
        <v>Onsemi</v>
      </c>
      <c r="C4855" s="6">
        <v>4286</v>
      </c>
      <c r="D4855" s="7">
        <v>0.64</v>
      </c>
      <c r="E4855" t="s">
        <v>24</v>
      </c>
    </row>
    <row r="4856" spans="1:5" x14ac:dyDescent="0.25">
      <c r="A4856" t="str">
        <f>HYPERLINK("https://www.773grp.com/globalSearch/NCP612SQ28T1/page-1", "NCP612SQ28T1")</f>
        <v>NCP612SQ28T1</v>
      </c>
      <c r="B4856" s="3" t="str">
        <f>HYPERLINK("https://www.773grp.com/manufacturer/onsemi?pageNo=811", "Onsemi")</f>
        <v>Onsemi</v>
      </c>
      <c r="C4856" s="6">
        <v>3250</v>
      </c>
      <c r="D4856" s="7">
        <v>0.64</v>
      </c>
      <c r="E4856" t="s">
        <v>24</v>
      </c>
    </row>
    <row r="4857" spans="1:5" x14ac:dyDescent="0.25">
      <c r="A4857" t="str">
        <f>HYPERLINK("https://www.773grp.com/globalSearch/NCP612SQ30T1/page-1", "NCP612SQ30T1")</f>
        <v>NCP612SQ30T1</v>
      </c>
      <c r="B4857" s="3" t="str">
        <f>HYPERLINK("https://www.773grp.com/manufacturer/onsemi?pageNo=812", "Onsemi")</f>
        <v>Onsemi</v>
      </c>
      <c r="C4857" s="6">
        <v>5675</v>
      </c>
      <c r="D4857" s="7">
        <v>0.64</v>
      </c>
      <c r="E4857" t="s">
        <v>24</v>
      </c>
    </row>
    <row r="4858" spans="1:5" x14ac:dyDescent="0.25">
      <c r="A4858" t="str">
        <f>HYPERLINK("https://www.773grp.com/globalSearch/NCP612SQ31T1/page-1", "NCP612SQ31T1")</f>
        <v>NCP612SQ31T1</v>
      </c>
      <c r="B4858" s="3" t="str">
        <f>HYPERLINK("https://www.773grp.com/manufacturer/onsemi?pageNo=813", "Onsemi")</f>
        <v>Onsemi</v>
      </c>
      <c r="C4858" s="6">
        <v>3597</v>
      </c>
      <c r="D4858" s="7">
        <v>0.64</v>
      </c>
      <c r="E4858" t="s">
        <v>24</v>
      </c>
    </row>
    <row r="4859" spans="1:5" x14ac:dyDescent="0.25">
      <c r="A4859" t="str">
        <f>HYPERLINK("https://www.773grp.com/globalSearch/NCP612SQ33T1/page-1", "NCP612SQ33T1")</f>
        <v>NCP612SQ33T1</v>
      </c>
      <c r="B4859" s="3" t="str">
        <f>HYPERLINK("https://www.773grp.com/manufacturer/onsemi?pageNo=814", "Onsemi")</f>
        <v>Onsemi</v>
      </c>
      <c r="C4859" s="6">
        <v>7830</v>
      </c>
      <c r="D4859" s="7">
        <v>0.64</v>
      </c>
      <c r="E4859" t="s">
        <v>24</v>
      </c>
    </row>
    <row r="4860" spans="1:5" x14ac:dyDescent="0.25">
      <c r="A4860" t="str">
        <f>HYPERLINK("https://www.773grp.com/globalSearch/NCP612SQ50T1/page-1", "NCP612SQ50T1")</f>
        <v>NCP612SQ50T1</v>
      </c>
      <c r="B4860" s="3" t="str">
        <f>HYPERLINK("https://www.773grp.com/manufacturer/onsemi?pageNo=815", "Onsemi")</f>
        <v>Onsemi</v>
      </c>
      <c r="C4860" s="6">
        <v>4750</v>
      </c>
      <c r="D4860" s="7">
        <v>0.64</v>
      </c>
      <c r="E4860" t="s">
        <v>24</v>
      </c>
    </row>
    <row r="4861" spans="1:5" x14ac:dyDescent="0.25">
      <c r="A4861" t="str">
        <f>HYPERLINK("https://www.773grp.com/globalSearch/NCP662SQ18T1/page-1", "NCP662SQ18T1")</f>
        <v>NCP662SQ18T1</v>
      </c>
      <c r="B4861" s="3" t="str">
        <f>HYPERLINK("https://www.773grp.com/manufacturer/onsemi?pageNo=816", "Onsemi")</f>
        <v>Onsemi</v>
      </c>
      <c r="C4861" s="6">
        <v>9000</v>
      </c>
      <c r="D4861" s="7">
        <v>0.64</v>
      </c>
      <c r="E4861" t="s">
        <v>15</v>
      </c>
    </row>
    <row r="4862" spans="1:5" x14ac:dyDescent="0.25">
      <c r="A4862" t="str">
        <f>HYPERLINK("https://www.773grp.com/globalSearch/NCP662SQ25T1/page-1", "NCP662SQ25T1")</f>
        <v>NCP662SQ25T1</v>
      </c>
      <c r="B4862" s="3" t="str">
        <f>HYPERLINK("https://www.773grp.com/manufacturer/onsemi?pageNo=817", "Onsemi")</f>
        <v>Onsemi</v>
      </c>
      <c r="C4862" s="6">
        <v>12000</v>
      </c>
      <c r="D4862" s="7">
        <v>0.64</v>
      </c>
      <c r="E4862" t="s">
        <v>15</v>
      </c>
    </row>
    <row r="4863" spans="1:5" x14ac:dyDescent="0.25">
      <c r="A4863" t="str">
        <f>HYPERLINK("https://www.773grp.com/globalSearch/NCP81051MNTBG/page-1", "NCP81051MNTBG")</f>
        <v>NCP81051MNTBG</v>
      </c>
      <c r="B4863" s="3" t="str">
        <f>HYPERLINK("https://www.773grp.com/manufacturer/onsemi?pageNo=818", "Onsemi")</f>
        <v>Onsemi</v>
      </c>
      <c r="C4863" s="6">
        <v>24000</v>
      </c>
      <c r="D4863" s="7">
        <v>0.64</v>
      </c>
    </row>
    <row r="4864" spans="1:5" x14ac:dyDescent="0.25">
      <c r="A4864" t="str">
        <f>HYPERLINK("https://www.773grp.com/globalSearch/NCR169DG/page-1", "NCR169DG")</f>
        <v>NCR169DG</v>
      </c>
      <c r="B4864" s="3" t="str">
        <f>HYPERLINK("https://www.773grp.com/manufacturer/onsemi?pageNo=819", "Onsemi")</f>
        <v>Onsemi</v>
      </c>
      <c r="C4864" s="6">
        <v>4980</v>
      </c>
      <c r="D4864" s="7">
        <v>0.64</v>
      </c>
      <c r="E4864" t="s">
        <v>76</v>
      </c>
    </row>
    <row r="4865" spans="1:5" x14ac:dyDescent="0.25">
      <c r="A4865" t="str">
        <f>HYPERLINK("https://www.773grp.com/globalSearch/NCR169DRLRAG/page-1", "NCR169DRLRAG")</f>
        <v>NCR169DRLRAG</v>
      </c>
      <c r="B4865" s="3" t="str">
        <f>HYPERLINK("https://www.773grp.com/manufacturer/onsemi?pageNo=820", "Onsemi")</f>
        <v>Onsemi</v>
      </c>
      <c r="C4865" s="6">
        <v>108000</v>
      </c>
      <c r="D4865" s="7">
        <v>0.64</v>
      </c>
      <c r="E4865" t="s">
        <v>76</v>
      </c>
    </row>
    <row r="4866" spans="1:5" x14ac:dyDescent="0.25">
      <c r="A4866" t="str">
        <f>HYPERLINK("https://www.773grp.com/globalSearch/NCV2901DR2/page-1", "NCV2901DR2")</f>
        <v>NCV2901DR2</v>
      </c>
      <c r="B4866" s="3" t="str">
        <f>HYPERLINK("https://www.773grp.com/manufacturer/onsemi?pageNo=821", "Onsemi")</f>
        <v>Onsemi</v>
      </c>
      <c r="C4866" s="6">
        <v>3865</v>
      </c>
      <c r="D4866" s="7">
        <v>0.64</v>
      </c>
      <c r="E4866" t="s">
        <v>6</v>
      </c>
    </row>
    <row r="4867" spans="1:5" x14ac:dyDescent="0.25">
      <c r="A4867" t="str">
        <f>HYPERLINK("https://www.773grp.com/globalSearch/NCV2901DR2G/page-1", "NCV2901DR2G")</f>
        <v>NCV2901DR2G</v>
      </c>
      <c r="B4867" s="3" t="str">
        <f>HYPERLINK("https://www.773grp.com/manufacturer/onsemi?pageNo=822", "Onsemi")</f>
        <v>Onsemi</v>
      </c>
      <c r="C4867" s="6">
        <v>26610</v>
      </c>
      <c r="D4867" s="7">
        <v>0.64</v>
      </c>
      <c r="E4867" t="s">
        <v>6</v>
      </c>
    </row>
    <row r="4868" spans="1:5" x14ac:dyDescent="0.25">
      <c r="A4868" t="str">
        <f>HYPERLINK("https://www.773grp.com/globalSearch/NCV2902DR2G/page-1", "NCV2902DR2G")</f>
        <v>NCV2902DR2G</v>
      </c>
      <c r="B4868" s="3" t="str">
        <f>HYPERLINK("https://www.773grp.com/manufacturer/onsemi?pageNo=823", "Onsemi")</f>
        <v>Onsemi</v>
      </c>
      <c r="C4868" s="6">
        <v>12500</v>
      </c>
      <c r="D4868" s="7">
        <v>0.64</v>
      </c>
      <c r="E4868" t="s">
        <v>10</v>
      </c>
    </row>
    <row r="4869" spans="1:5" x14ac:dyDescent="0.25">
      <c r="A4869" t="str">
        <f>HYPERLINK("https://www.773grp.com/globalSearch/NCV2903DR2/page-1", "NCV2903DR2")</f>
        <v>NCV2903DR2</v>
      </c>
      <c r="B4869" s="3" t="str">
        <f>HYPERLINK("https://www.773grp.com/manufacturer/onsemi?pageNo=824", "Onsemi")</f>
        <v>Onsemi</v>
      </c>
      <c r="C4869" s="6">
        <v>4867</v>
      </c>
      <c r="D4869" s="7">
        <v>0.64</v>
      </c>
      <c r="E4869" t="s">
        <v>6</v>
      </c>
    </row>
    <row r="4870" spans="1:5" x14ac:dyDescent="0.25">
      <c r="A4870" t="str">
        <f>HYPERLINK("https://www.773grp.com/globalSearch/NCV2903DR2G/page-1", "NCV2903DR2G")</f>
        <v>NCV2903DR2G</v>
      </c>
      <c r="B4870" s="3" t="str">
        <f>HYPERLINK("https://www.773grp.com/manufacturer/onsemi?pageNo=825", "Onsemi")</f>
        <v>Onsemi</v>
      </c>
      <c r="C4870" s="6">
        <v>8021</v>
      </c>
      <c r="D4870" s="7">
        <v>0.64</v>
      </c>
      <c r="E4870" t="s">
        <v>6</v>
      </c>
    </row>
    <row r="4871" spans="1:5" x14ac:dyDescent="0.25">
      <c r="A4871" t="str">
        <f>HYPERLINK("https://www.773grp.com/globalSearch/NCV2904DR2G/page-1", "NCV2904DR2G")</f>
        <v>NCV2904DR2G</v>
      </c>
      <c r="B4871" s="3" t="str">
        <f>HYPERLINK("https://www.773grp.com/manufacturer/onsemi?pageNo=826", "Onsemi")</f>
        <v>Onsemi</v>
      </c>
      <c r="C4871" s="6">
        <v>337500</v>
      </c>
      <c r="D4871" s="7">
        <v>0.64</v>
      </c>
      <c r="E4871" t="s">
        <v>10</v>
      </c>
    </row>
    <row r="4872" spans="1:5" x14ac:dyDescent="0.25">
      <c r="A4872" t="str">
        <f>HYPERLINK("https://www.773grp.com/globalSearch/NCV78L05ABDR2/page-1", "NCV78L05ABDR2")</f>
        <v>NCV78L05ABDR2</v>
      </c>
      <c r="B4872" s="3" t="str">
        <f>HYPERLINK("https://www.773grp.com/manufacturer/onsemi?pageNo=827", "Onsemi")</f>
        <v>Onsemi</v>
      </c>
      <c r="C4872" s="6">
        <v>17501</v>
      </c>
      <c r="D4872" s="7">
        <v>0.64</v>
      </c>
      <c r="E4872" t="s">
        <v>24</v>
      </c>
    </row>
    <row r="4873" spans="1:5" x14ac:dyDescent="0.25">
      <c r="A4873" t="str">
        <f>HYPERLINK("https://www.773grp.com/globalSearch/NDC3105LT1G/page-1", "NDC3105LT1G")</f>
        <v>NDC3105LT1G</v>
      </c>
      <c r="B4873" s="3" t="str">
        <f>HYPERLINK("https://www.773grp.com/manufacturer/onsemi?pageNo=828", "Onsemi")</f>
        <v>Onsemi</v>
      </c>
      <c r="C4873" s="6">
        <v>735000</v>
      </c>
      <c r="D4873" s="7">
        <v>0.64</v>
      </c>
    </row>
    <row r="4874" spans="1:5" x14ac:dyDescent="0.25">
      <c r="A4874" t="str">
        <f>HYPERLINK("https://www.773grp.com/globalSearch/NL7WB66USG/page-1", "NL7WB66USG")</f>
        <v>NL7WB66USG</v>
      </c>
      <c r="B4874" s="3" t="str">
        <f>HYPERLINK("https://www.773grp.com/manufacturer/onsemi?pageNo=829", "Onsemi")</f>
        <v>Onsemi</v>
      </c>
      <c r="C4874" s="6">
        <v>57000</v>
      </c>
      <c r="D4874" s="7">
        <v>0.64</v>
      </c>
    </row>
    <row r="4875" spans="1:5" x14ac:dyDescent="0.25">
      <c r="A4875" t="str">
        <f>HYPERLINK("https://www.773grp.com/globalSearch/NLAS4157DFT2G/page-1", "NLAS4157DFT2G")</f>
        <v>NLAS4157DFT2G</v>
      </c>
      <c r="B4875" s="3" t="str">
        <f>HYPERLINK("https://www.773grp.com/manufacturer/onsemi?pageNo=830", "Onsemi")</f>
        <v>Onsemi</v>
      </c>
      <c r="C4875" s="6">
        <v>711000</v>
      </c>
      <c r="D4875" s="7">
        <v>0.64</v>
      </c>
      <c r="E4875" t="s">
        <v>46</v>
      </c>
    </row>
    <row r="4876" spans="1:5" x14ac:dyDescent="0.25">
      <c r="A4876" t="str">
        <f>HYPERLINK("https://www.773grp.com/globalSearch/NLAS5213AMUTAG/page-1", "NLAS5213AMUTAG")</f>
        <v>NLAS5213AMUTAG</v>
      </c>
      <c r="B4876" s="3" t="str">
        <f>HYPERLINK("https://www.773grp.com/manufacturer/onsemi?pageNo=831", "Onsemi")</f>
        <v>Onsemi</v>
      </c>
      <c r="C4876" s="6">
        <v>41951</v>
      </c>
      <c r="D4876" s="7">
        <v>0.64</v>
      </c>
      <c r="E4876" t="s">
        <v>46</v>
      </c>
    </row>
    <row r="4877" spans="1:5" x14ac:dyDescent="0.25">
      <c r="A4877" t="str">
        <f>HYPERLINK("https://www.773grp.com/globalSearch/NLAS5213BMUTAG/page-1", "NLAS5213BMUTAG")</f>
        <v>NLAS5213BMUTAG</v>
      </c>
      <c r="B4877" s="3" t="str">
        <f>HYPERLINK("https://www.773grp.com/manufacturer/onsemi?pageNo=832", "Onsemi")</f>
        <v>Onsemi</v>
      </c>
      <c r="C4877" s="6">
        <v>111306</v>
      </c>
      <c r="D4877" s="7">
        <v>0.64</v>
      </c>
      <c r="E4877" t="s">
        <v>46</v>
      </c>
    </row>
    <row r="4878" spans="1:5" x14ac:dyDescent="0.25">
      <c r="A4878" t="str">
        <f>HYPERLINK("https://www.773grp.com/globalSearch/NLX1G74MUTCG/page-1", "NLX1G74MUTCG")</f>
        <v>NLX1G74MUTCG</v>
      </c>
      <c r="B4878" s="3" t="str">
        <f>HYPERLINK("https://www.773grp.com/manufacturer/onsemi?pageNo=833", "Onsemi")</f>
        <v>Onsemi</v>
      </c>
      <c r="C4878" s="6">
        <v>688900</v>
      </c>
      <c r="D4878" s="7">
        <v>0.64</v>
      </c>
    </row>
    <row r="4879" spans="1:5" x14ac:dyDescent="0.25">
      <c r="A4879" t="str">
        <f>HYPERLINK("https://www.773grp.com/globalSearch/NLX2G02AMX1TCG/page-1", "NLX2G02AMX1TCG")</f>
        <v>NLX2G02AMX1TCG</v>
      </c>
      <c r="B4879" s="3" t="str">
        <f>HYPERLINK("https://www.773grp.com/manufacturer/onsemi?pageNo=834", "Onsemi")</f>
        <v>Onsemi</v>
      </c>
      <c r="C4879" s="6">
        <v>6000</v>
      </c>
      <c r="D4879" s="7">
        <v>0.64</v>
      </c>
      <c r="E4879" t="s">
        <v>27</v>
      </c>
    </row>
    <row r="4880" spans="1:5" x14ac:dyDescent="0.25">
      <c r="A4880" t="str">
        <f>HYPERLINK("https://www.773grp.com/globalSearch/NLX2G02BMX1TCG/page-1", "NLX2G02BMX1TCG")</f>
        <v>NLX2G02BMX1TCG</v>
      </c>
      <c r="B4880" s="3" t="str">
        <f>HYPERLINK("https://www.773grp.com/manufacturer/onsemi?pageNo=835", "Onsemi")</f>
        <v>Onsemi</v>
      </c>
      <c r="C4880" s="6">
        <v>6000</v>
      </c>
      <c r="D4880" s="7">
        <v>0.64</v>
      </c>
      <c r="E4880" t="s">
        <v>27</v>
      </c>
    </row>
    <row r="4881" spans="1:5" x14ac:dyDescent="0.25">
      <c r="A4881" t="str">
        <f>HYPERLINK("https://www.773grp.com/globalSearch/NLX2G02CMX1TCG/page-1", "NLX2G02CMX1TCG")</f>
        <v>NLX2G02CMX1TCG</v>
      </c>
      <c r="B4881" s="3" t="str">
        <f>HYPERLINK("https://www.773grp.com/manufacturer/onsemi?pageNo=836", "Onsemi")</f>
        <v>Onsemi</v>
      </c>
      <c r="C4881" s="6">
        <v>2980</v>
      </c>
      <c r="D4881" s="7">
        <v>0.64</v>
      </c>
      <c r="E4881" t="s">
        <v>27</v>
      </c>
    </row>
    <row r="4882" spans="1:5" x14ac:dyDescent="0.25">
      <c r="A4882" t="str">
        <f>HYPERLINK("https://www.773grp.com/globalSearch/NP0720SAT3G/page-1", "NP0720SAT3G")</f>
        <v>NP0720SAT3G</v>
      </c>
      <c r="B4882" s="3" t="str">
        <f>HYPERLINK("https://www.773grp.com/manufacturer/onsemi?pageNo=837", "Onsemi")</f>
        <v>Onsemi</v>
      </c>
      <c r="C4882" s="6">
        <v>5000</v>
      </c>
      <c r="D4882" s="7">
        <v>0.64</v>
      </c>
      <c r="E4882" t="s">
        <v>88</v>
      </c>
    </row>
    <row r="4883" spans="1:5" x14ac:dyDescent="0.25">
      <c r="A4883" t="str">
        <f>HYPERLINK("https://www.773grp.com/globalSearch/NP1100SAT3G/page-1", "NP1100SAT3G")</f>
        <v>NP1100SAT3G</v>
      </c>
      <c r="B4883" s="3" t="str">
        <f>HYPERLINK("https://www.773grp.com/manufacturer/onsemi?pageNo=838", "Onsemi")</f>
        <v>Onsemi</v>
      </c>
      <c r="C4883" s="6">
        <v>12490</v>
      </c>
      <c r="D4883" s="7">
        <v>0.64</v>
      </c>
      <c r="E4883" t="s">
        <v>88</v>
      </c>
    </row>
    <row r="4884" spans="1:5" x14ac:dyDescent="0.25">
      <c r="A4884" t="str">
        <f>HYPERLINK("https://www.773grp.com/globalSearch/NP1300SAT3G/page-1", "NP1300SAT3G")</f>
        <v>NP1300SAT3G</v>
      </c>
      <c r="B4884" s="3" t="str">
        <f>HYPERLINK("https://www.773grp.com/manufacturer/onsemi?pageNo=839", "Onsemi")</f>
        <v>Onsemi</v>
      </c>
      <c r="C4884" s="6">
        <v>5410</v>
      </c>
      <c r="D4884" s="7">
        <v>0.64</v>
      </c>
      <c r="E4884" t="s">
        <v>88</v>
      </c>
    </row>
    <row r="4885" spans="1:5" x14ac:dyDescent="0.25">
      <c r="A4885" t="str">
        <f>HYPERLINK("https://www.773grp.com/globalSearch/NP1500SAT3G/page-1", "NP1500SAT3G")</f>
        <v>NP1500SAT3G</v>
      </c>
      <c r="B4885" s="3" t="str">
        <f>HYPERLINK("https://www.773grp.com/manufacturer/onsemi?pageNo=840", "Onsemi")</f>
        <v>Onsemi</v>
      </c>
      <c r="C4885" s="6">
        <v>173490</v>
      </c>
      <c r="D4885" s="7">
        <v>0.64</v>
      </c>
      <c r="E4885" t="s">
        <v>88</v>
      </c>
    </row>
    <row r="4886" spans="1:5" x14ac:dyDescent="0.25">
      <c r="A4886" t="str">
        <f>HYPERLINK("https://www.773grp.com/globalSearch/NP1800SAT3G/page-1", "NP1800SAT3G")</f>
        <v>NP1800SAT3G</v>
      </c>
      <c r="B4886" s="3" t="str">
        <f>HYPERLINK("https://www.773grp.com/manufacturer/onsemi?pageNo=841", "Onsemi")</f>
        <v>Onsemi</v>
      </c>
      <c r="C4886" s="6">
        <v>10000</v>
      </c>
      <c r="D4886" s="7">
        <v>0.64</v>
      </c>
    </row>
    <row r="4887" spans="1:5" x14ac:dyDescent="0.25">
      <c r="A4887" t="str">
        <f>HYPERLINK("https://www.773grp.com/globalSearch/NP2100SAT3G/page-1", "NP2100SAT3G")</f>
        <v>NP2100SAT3G</v>
      </c>
      <c r="B4887" s="3" t="str">
        <f>HYPERLINK("https://www.773grp.com/manufacturer/onsemi?pageNo=842", "Onsemi")</f>
        <v>Onsemi</v>
      </c>
      <c r="C4887" s="6">
        <v>9844</v>
      </c>
      <c r="D4887" s="7">
        <v>0.64</v>
      </c>
      <c r="E4887" t="s">
        <v>88</v>
      </c>
    </row>
    <row r="4888" spans="1:5" x14ac:dyDescent="0.25">
      <c r="A4888" t="str">
        <f>HYPERLINK("https://www.773grp.com/globalSearch/NP2600SAT3G/page-1", "NP2600SAT3G")</f>
        <v>NP2600SAT3G</v>
      </c>
      <c r="B4888" s="3" t="str">
        <f>HYPERLINK("https://www.773grp.com/manufacturer/onsemi?pageNo=843", "Onsemi")</f>
        <v>Onsemi</v>
      </c>
      <c r="C4888" s="6">
        <v>5000</v>
      </c>
      <c r="D4888" s="7">
        <v>0.64</v>
      </c>
      <c r="E4888" t="s">
        <v>88</v>
      </c>
    </row>
    <row r="4889" spans="1:5" x14ac:dyDescent="0.25">
      <c r="A4889" t="str">
        <f>HYPERLINK("https://www.773grp.com/globalSearch/NP3500SAT3G/page-1", "NP3500SAT3G")</f>
        <v>NP3500SAT3G</v>
      </c>
      <c r="B4889" s="3" t="str">
        <f>HYPERLINK("https://www.773grp.com/manufacturer/onsemi?pageNo=844", "Onsemi")</f>
        <v>Onsemi</v>
      </c>
      <c r="C4889" s="6">
        <v>1585</v>
      </c>
      <c r="D4889" s="7">
        <v>0.64</v>
      </c>
    </row>
    <row r="4890" spans="1:5" x14ac:dyDescent="0.25">
      <c r="A4890" t="str">
        <f>HYPERLINK("https://www.773grp.com/globalSearch/NSI45025ZT1G/page-1", "NSI45025ZT1G")</f>
        <v>NSI45025ZT1G</v>
      </c>
      <c r="B4890" s="3" t="str">
        <f>HYPERLINK("https://www.773grp.com/manufacturer/onsemi?pageNo=845", "Onsemi")</f>
        <v>Onsemi</v>
      </c>
      <c r="C4890" s="6">
        <v>230000</v>
      </c>
      <c r="D4890" s="7">
        <v>0.64</v>
      </c>
      <c r="E4890" t="s">
        <v>7</v>
      </c>
    </row>
    <row r="4891" spans="1:5" x14ac:dyDescent="0.25">
      <c r="A4891" t="str">
        <f>HYPERLINK("https://www.773grp.com/globalSearch/NSI45030ZT1G/page-1", "NSI45030ZT1G")</f>
        <v>NSI45030ZT1G</v>
      </c>
      <c r="B4891" s="3" t="str">
        <f>HYPERLINK("https://www.773grp.com/manufacturer/onsemi?pageNo=846", "Onsemi")</f>
        <v>Onsemi</v>
      </c>
      <c r="C4891" s="6">
        <v>425214</v>
      </c>
      <c r="D4891" s="7">
        <v>0.64</v>
      </c>
      <c r="E4891" t="s">
        <v>7</v>
      </c>
    </row>
    <row r="4892" spans="1:5" x14ac:dyDescent="0.25">
      <c r="A4892" t="str">
        <f>HYPERLINK("https://www.773grp.com/globalSearch/NSS1C200MZ4TIG/page-1", "NSS1C200MZ4TIG")</f>
        <v>NSS1C200MZ4TIG</v>
      </c>
      <c r="B4892" s="3" t="str">
        <f>HYPERLINK("https://www.773grp.com/manufacturer/onsemi?pageNo=847", "Onsemi")</f>
        <v>Onsemi</v>
      </c>
      <c r="C4892" s="6">
        <v>2000</v>
      </c>
      <c r="D4892" s="7">
        <v>0.64</v>
      </c>
    </row>
    <row r="4893" spans="1:5" x14ac:dyDescent="0.25">
      <c r="A4893" t="str">
        <f>HYPERLINK("https://www.773grp.com/globalSearch/NSS20201MR6T1G/page-1", "NSS20201MR6T1G")</f>
        <v>NSS20201MR6T1G</v>
      </c>
      <c r="B4893" s="3" t="str">
        <f>HYPERLINK("https://www.773grp.com/manufacturer/onsemi?pageNo=848", "Onsemi")</f>
        <v>Onsemi</v>
      </c>
      <c r="C4893" s="6">
        <v>34545</v>
      </c>
      <c r="D4893" s="7">
        <v>0.64</v>
      </c>
      <c r="E4893" t="s">
        <v>47</v>
      </c>
    </row>
    <row r="4894" spans="1:5" x14ac:dyDescent="0.25">
      <c r="A4894" t="str">
        <f>HYPERLINK("https://www.773grp.com/globalSearch/NSS30201MR6T1G/page-1", "NSS30201MR6T1G")</f>
        <v>NSS30201MR6T1G</v>
      </c>
      <c r="B4894" s="3" t="str">
        <f>HYPERLINK("https://www.773grp.com/manufacturer/onsemi?pageNo=849", "Onsemi")</f>
        <v>Onsemi</v>
      </c>
      <c r="C4894" s="6">
        <v>459507</v>
      </c>
      <c r="D4894" s="7">
        <v>0.64</v>
      </c>
      <c r="E4894" t="s">
        <v>57</v>
      </c>
    </row>
    <row r="4895" spans="1:5" x14ac:dyDescent="0.25">
      <c r="A4895" t="str">
        <f>HYPERLINK("https://www.773grp.com/globalSearch/NSS40500UW3T2G/page-1", "NSS40500UW3T2G")</f>
        <v>NSS40500UW3T2G</v>
      </c>
      <c r="B4895" s="3" t="str">
        <f>HYPERLINK("https://www.773grp.com/manufacturer/onsemi?pageNo=850", "Onsemi")</f>
        <v>Onsemi</v>
      </c>
      <c r="C4895" s="6">
        <v>107190</v>
      </c>
      <c r="D4895" s="7">
        <v>0.64</v>
      </c>
      <c r="E4895" t="s">
        <v>57</v>
      </c>
    </row>
    <row r="4896" spans="1:5" x14ac:dyDescent="0.25">
      <c r="A4896" t="str">
        <f>HYPERLINK("https://www.773grp.com/globalSearch/NTD4813N-1G/page-1", "NTD4813N-1G")</f>
        <v>NTD4813N-1G</v>
      </c>
      <c r="B4896" s="3" t="str">
        <f>HYPERLINK("https://www.773grp.com/manufacturer/onsemi?pageNo=851", "Onsemi")</f>
        <v>Onsemi</v>
      </c>
      <c r="C4896" s="6">
        <v>6645</v>
      </c>
      <c r="D4896" s="7">
        <v>0.64</v>
      </c>
      <c r="E4896" t="s">
        <v>84</v>
      </c>
    </row>
    <row r="4897" spans="1:5" x14ac:dyDescent="0.25">
      <c r="A4897" t="str">
        <f>HYPERLINK("https://www.773grp.com/globalSearch/NTD4813NH-1G/page-1", "NTD4813NH-1G")</f>
        <v>NTD4813NH-1G</v>
      </c>
      <c r="B4897" s="3" t="str">
        <f>HYPERLINK("https://www.773grp.com/manufacturer/onsemi?pageNo=852", "Onsemi")</f>
        <v>Onsemi</v>
      </c>
      <c r="C4897" s="6">
        <v>656</v>
      </c>
      <c r="D4897" s="7">
        <v>0.64</v>
      </c>
    </row>
    <row r="4898" spans="1:5" x14ac:dyDescent="0.25">
      <c r="A4898" t="str">
        <f>HYPERLINK("https://www.773grp.com/globalSearch/NTD4813NH-35G/page-1", "NTD4813NH-35G")</f>
        <v>NTD4813NH-35G</v>
      </c>
      <c r="B4898" s="3" t="str">
        <f>HYPERLINK("https://www.773grp.com/manufacturer/onsemi?pageNo=853", "Onsemi")</f>
        <v>Onsemi</v>
      </c>
      <c r="C4898" s="6">
        <v>16455</v>
      </c>
      <c r="D4898" s="7">
        <v>0.64</v>
      </c>
      <c r="E4898" t="s">
        <v>84</v>
      </c>
    </row>
    <row r="4899" spans="1:5" x14ac:dyDescent="0.25">
      <c r="A4899" t="str">
        <f>HYPERLINK("https://www.773grp.com/globalSearch/NTD4813NT4G/page-1", "NTD4813NT4G")</f>
        <v>NTD4813NT4G</v>
      </c>
      <c r="B4899" s="3" t="str">
        <f>HYPERLINK("https://www.773grp.com/manufacturer/onsemi?pageNo=854", "Onsemi")</f>
        <v>Onsemi</v>
      </c>
      <c r="C4899" s="6">
        <v>252500</v>
      </c>
      <c r="D4899" s="7">
        <v>0.64</v>
      </c>
      <c r="E4899" t="s">
        <v>84</v>
      </c>
    </row>
    <row r="4900" spans="1:5" x14ac:dyDescent="0.25">
      <c r="A4900" t="str">
        <f>HYPERLINK("https://www.773grp.com/globalSearch/NTD4815NH-35G/page-1", "NTD4815NH-35G")</f>
        <v>NTD4815NH-35G</v>
      </c>
      <c r="B4900" s="3" t="str">
        <f>HYPERLINK("https://www.773grp.com/manufacturer/onsemi?pageNo=855", "Onsemi")</f>
        <v>Onsemi</v>
      </c>
      <c r="C4900" s="6">
        <v>1635</v>
      </c>
      <c r="D4900" s="7">
        <v>0.64</v>
      </c>
      <c r="E4900" t="s">
        <v>84</v>
      </c>
    </row>
    <row r="4901" spans="1:5" x14ac:dyDescent="0.25">
      <c r="A4901" t="str">
        <f>HYPERLINK("https://www.773grp.com/globalSearch/NTD4865N-1G/page-1", "NTD4865N-1G")</f>
        <v>NTD4865N-1G</v>
      </c>
      <c r="B4901" s="3" t="str">
        <f>HYPERLINK("https://www.773grp.com/manufacturer/onsemi?pageNo=856", "Onsemi")</f>
        <v>Onsemi</v>
      </c>
      <c r="C4901" s="6">
        <v>13050</v>
      </c>
      <c r="D4901" s="7">
        <v>0.64</v>
      </c>
      <c r="E4901" t="s">
        <v>84</v>
      </c>
    </row>
    <row r="4902" spans="1:5" x14ac:dyDescent="0.25">
      <c r="A4902" t="str">
        <f>HYPERLINK("https://www.773grp.com/globalSearch/NTD4865NT4G/page-1", "NTD4865NT4G")</f>
        <v>NTD4865NT4G</v>
      </c>
      <c r="B4902" s="3" t="str">
        <f>HYPERLINK("https://www.773grp.com/manufacturer/onsemi?pageNo=857", "Onsemi")</f>
        <v>Onsemi</v>
      </c>
      <c r="C4902" s="6">
        <v>540000</v>
      </c>
      <c r="D4902" s="7">
        <v>0.64</v>
      </c>
      <c r="E4902" t="s">
        <v>84</v>
      </c>
    </row>
    <row r="4903" spans="1:5" x14ac:dyDescent="0.25">
      <c r="A4903" t="str">
        <f>HYPERLINK("https://www.773grp.com/globalSearch/NTD4865NT4H/page-1", "NTD4865NT4H")</f>
        <v>NTD4865NT4H</v>
      </c>
      <c r="B4903" s="3" t="str">
        <f>HYPERLINK("https://www.773grp.com/manufacturer/onsemi?pageNo=858", "Onsemi")</f>
        <v>Onsemi</v>
      </c>
      <c r="C4903" s="6">
        <v>10000</v>
      </c>
      <c r="D4903" s="7">
        <v>0.64</v>
      </c>
    </row>
    <row r="4904" spans="1:5" x14ac:dyDescent="0.25">
      <c r="A4904" t="str">
        <f>HYPERLINK("https://www.773grp.com/globalSearch/NTD4963NT4G/page-1", "NTD4963NT4G")</f>
        <v>NTD4963NT4G</v>
      </c>
      <c r="B4904" s="3" t="str">
        <f>HYPERLINK("https://www.773grp.com/manufacturer/onsemi?pageNo=859", "Onsemi")</f>
        <v>Onsemi</v>
      </c>
      <c r="C4904" s="6">
        <v>9982</v>
      </c>
      <c r="D4904" s="7">
        <v>0.64</v>
      </c>
      <c r="E4904" t="s">
        <v>84</v>
      </c>
    </row>
    <row r="4905" spans="1:5" x14ac:dyDescent="0.25">
      <c r="A4905" t="str">
        <f>HYPERLINK("https://www.773grp.com/globalSearch/NTD85N02R-001/page-1", "NTD85N02R-001")</f>
        <v>NTD85N02R-001</v>
      </c>
      <c r="B4905" s="3" t="str">
        <f>HYPERLINK("https://www.773grp.com/manufacturer/onsemi?pageNo=860", "Onsemi")</f>
        <v>Onsemi</v>
      </c>
      <c r="C4905" s="6">
        <v>38371</v>
      </c>
      <c r="D4905" s="7">
        <v>0.64</v>
      </c>
      <c r="E4905" t="s">
        <v>84</v>
      </c>
    </row>
    <row r="4906" spans="1:5" x14ac:dyDescent="0.25">
      <c r="A4906" t="str">
        <f>HYPERLINK("https://www.773grp.com/globalSearch/NTD85N02RT4G/page-1", "NTD85N02RT4G")</f>
        <v>NTD85N02RT4G</v>
      </c>
      <c r="B4906" s="3" t="str">
        <f>HYPERLINK("https://www.773grp.com/manufacturer/onsemi?pageNo=861", "Onsemi")</f>
        <v>Onsemi</v>
      </c>
      <c r="C4906" s="6">
        <v>12500</v>
      </c>
      <c r="D4906" s="7">
        <v>0.64</v>
      </c>
    </row>
    <row r="4907" spans="1:5" x14ac:dyDescent="0.25">
      <c r="A4907" t="str">
        <f>HYPERLINK("https://www.773grp.com/globalSearch/NTD95N02R-001/page-1", "NTD95N02R-001")</f>
        <v>NTD95N02R-001</v>
      </c>
      <c r="B4907" s="3" t="str">
        <f>HYPERLINK("https://www.773grp.com/manufacturer/onsemi?pageNo=862", "Onsemi")</f>
        <v>Onsemi</v>
      </c>
      <c r="C4907" s="6">
        <v>13725</v>
      </c>
      <c r="D4907" s="7">
        <v>0.64</v>
      </c>
      <c r="E4907" t="s">
        <v>84</v>
      </c>
    </row>
    <row r="4908" spans="1:5" x14ac:dyDescent="0.25">
      <c r="A4908" t="str">
        <f>HYPERLINK("https://www.773grp.com/globalSearch/NTGS3447PT1G/page-1", "NTGS3447PT1G")</f>
        <v>NTGS3447PT1G</v>
      </c>
      <c r="B4908" s="3" t="str">
        <f>HYPERLINK("https://www.773grp.com/manufacturer/onsemi?pageNo=863", "Onsemi")</f>
        <v>Onsemi</v>
      </c>
      <c r="C4908" s="6">
        <v>8980</v>
      </c>
      <c r="D4908" s="7">
        <v>0.64</v>
      </c>
      <c r="E4908" t="s">
        <v>85</v>
      </c>
    </row>
    <row r="4909" spans="1:5" x14ac:dyDescent="0.25">
      <c r="A4909" t="str">
        <f>HYPERLINK("https://www.773grp.com/globalSearch/NTHD4P02FT1G/page-1", "NTHD4P02FT1G")</f>
        <v>NTHD4P02FT1G</v>
      </c>
      <c r="B4909" s="3" t="str">
        <f>HYPERLINK("https://www.773grp.com/manufacturer/onsemi?pageNo=864", "Onsemi")</f>
        <v>Onsemi</v>
      </c>
      <c r="C4909" s="6">
        <v>553651</v>
      </c>
      <c r="D4909" s="7">
        <v>0.64</v>
      </c>
      <c r="E4909" t="s">
        <v>84</v>
      </c>
    </row>
    <row r="4910" spans="1:5" x14ac:dyDescent="0.25">
      <c r="A4910" t="str">
        <f>HYPERLINK("https://www.773grp.com/globalSearch/NTHS4501NT1G/page-1", "NTHS4501NT1G")</f>
        <v>NTHS4501NT1G</v>
      </c>
      <c r="B4910" s="3" t="str">
        <f>HYPERLINK("https://www.773grp.com/manufacturer/onsemi?pageNo=865", "Onsemi")</f>
        <v>Onsemi</v>
      </c>
      <c r="C4910" s="6">
        <v>483000</v>
      </c>
      <c r="D4910" s="7">
        <v>0.64</v>
      </c>
      <c r="E4910" t="s">
        <v>85</v>
      </c>
    </row>
    <row r="4911" spans="1:5" x14ac:dyDescent="0.25">
      <c r="A4911" t="str">
        <f>HYPERLINK("https://www.773grp.com/globalSearch/NTLJS3113PT1G/page-1", "NTLJS3113PT1G")</f>
        <v>NTLJS3113PT1G</v>
      </c>
      <c r="B4911" s="3" t="str">
        <f>HYPERLINK("https://www.773grp.com/manufacturer/onsemi?pageNo=866", "Onsemi")</f>
        <v>Onsemi</v>
      </c>
      <c r="C4911" s="6">
        <v>23125</v>
      </c>
      <c r="D4911" s="7">
        <v>0.64</v>
      </c>
      <c r="E4911" t="s">
        <v>84</v>
      </c>
    </row>
    <row r="4912" spans="1:5" x14ac:dyDescent="0.25">
      <c r="A4912" t="str">
        <f>HYPERLINK("https://www.773grp.com/globalSearch/NTLUD3191PZTAG/page-1", "NTLUD3191PZTAG")</f>
        <v>NTLUD3191PZTAG</v>
      </c>
      <c r="B4912" s="3" t="str">
        <f>HYPERLINK("https://www.773grp.com/manufacturer/onsemi?pageNo=867", "Onsemi")</f>
        <v>Onsemi</v>
      </c>
      <c r="C4912" s="6">
        <v>99480</v>
      </c>
      <c r="D4912" s="7">
        <v>0.64</v>
      </c>
      <c r="E4912" t="s">
        <v>85</v>
      </c>
    </row>
    <row r="4913" spans="1:5" x14ac:dyDescent="0.25">
      <c r="A4913" t="str">
        <f>HYPERLINK("https://www.773grp.com/globalSearch/NTMS4800NR2G/page-1", "NTMS4800NR2G")</f>
        <v>NTMS4800NR2G</v>
      </c>
      <c r="B4913" s="3" t="str">
        <f>HYPERLINK("https://www.773grp.com/manufacturer/onsemi?pageNo=868", "Onsemi")</f>
        <v>Onsemi</v>
      </c>
      <c r="C4913" s="6">
        <v>69400</v>
      </c>
      <c r="D4913" s="7">
        <v>0.64</v>
      </c>
      <c r="E4913" t="s">
        <v>85</v>
      </c>
    </row>
    <row r="4914" spans="1:5" x14ac:dyDescent="0.25">
      <c r="A4914" t="str">
        <f>HYPERLINK("https://www.773grp.com/globalSearch/NUD3105LT1/page-1", "NUD3105LT1")</f>
        <v>NUD3105LT1</v>
      </c>
      <c r="B4914" s="3" t="str">
        <f>HYPERLINK("https://www.773grp.com/manufacturer/onsemi?pageNo=869", "Onsemi")</f>
        <v>Onsemi</v>
      </c>
      <c r="C4914" s="6">
        <v>2668</v>
      </c>
      <c r="D4914" s="7">
        <v>0.64</v>
      </c>
      <c r="E4914" t="s">
        <v>85</v>
      </c>
    </row>
    <row r="4915" spans="1:5" x14ac:dyDescent="0.25">
      <c r="A4915" t="str">
        <f>HYPERLINK("https://www.773grp.com/globalSearch/NUD3105LT1G/page-1", "NUD3105LT1G")</f>
        <v>NUD3105LT1G</v>
      </c>
      <c r="B4915" s="3" t="str">
        <f>HYPERLINK("https://www.773grp.com/manufacturer/onsemi?pageNo=870", "Onsemi")</f>
        <v>Onsemi</v>
      </c>
      <c r="C4915" s="6">
        <v>124000</v>
      </c>
      <c r="D4915" s="7">
        <v>0.64</v>
      </c>
      <c r="E4915" t="s">
        <v>85</v>
      </c>
    </row>
    <row r="4916" spans="1:5" x14ac:dyDescent="0.25">
      <c r="A4916" t="str">
        <f>HYPERLINK("https://www.773grp.com/globalSearch/NUD3124LT1G/page-1", "NUD3124LT1G")</f>
        <v>NUD3124LT1G</v>
      </c>
      <c r="B4916" s="3" t="str">
        <f>HYPERLINK("https://www.773grp.com/manufacturer/onsemi?pageNo=871", "Onsemi")</f>
        <v>Onsemi</v>
      </c>
      <c r="C4916" s="6">
        <v>61050</v>
      </c>
      <c r="D4916" s="7">
        <v>0.64</v>
      </c>
      <c r="E4916" t="s">
        <v>85</v>
      </c>
    </row>
    <row r="4917" spans="1:5" x14ac:dyDescent="0.25">
      <c r="A4917" t="str">
        <f>HYPERLINK("https://www.773grp.com/globalSearch/NUD3160LT1G/page-1", "NUD3160LT1G")</f>
        <v>NUD3160LT1G</v>
      </c>
      <c r="B4917" s="3" t="str">
        <f>HYPERLINK("https://www.773grp.com/manufacturer/onsemi?pageNo=872", "Onsemi")</f>
        <v>Onsemi</v>
      </c>
      <c r="C4917" s="6">
        <v>3000</v>
      </c>
      <c r="D4917" s="7">
        <v>0.64</v>
      </c>
    </row>
    <row r="4918" spans="1:5" x14ac:dyDescent="0.25">
      <c r="A4918" t="str">
        <f>HYPERLINK("https://www.773grp.com/globalSearch/NUF2450MUT2G/page-1", "NUF2450MUT2G")</f>
        <v>NUF2450MUT2G</v>
      </c>
      <c r="B4918" s="3" t="str">
        <f>HYPERLINK("https://www.773grp.com/manufacturer/onsemi?pageNo=873", "Onsemi")</f>
        <v>Onsemi</v>
      </c>
      <c r="C4918" s="6">
        <v>30000</v>
      </c>
      <c r="D4918" s="7">
        <v>0.64</v>
      </c>
      <c r="E4918" t="s">
        <v>79</v>
      </c>
    </row>
    <row r="4919" spans="1:5" x14ac:dyDescent="0.25">
      <c r="A4919" t="str">
        <f>HYPERLINK("https://www.773grp.com/globalSearch/NUF4105FCT1/page-1", "NUF4105FCT1")</f>
        <v>NUF4105FCT1</v>
      </c>
      <c r="B4919" s="3" t="str">
        <f>HYPERLINK("https://www.773grp.com/manufacturer/onsemi?pageNo=874", "Onsemi")</f>
        <v>Onsemi</v>
      </c>
      <c r="C4919" s="6">
        <v>380793</v>
      </c>
      <c r="D4919" s="7">
        <v>0.64</v>
      </c>
      <c r="E4919" t="s">
        <v>79</v>
      </c>
    </row>
    <row r="4920" spans="1:5" x14ac:dyDescent="0.25">
      <c r="A4920" t="str">
        <f>HYPERLINK("https://www.773grp.com/globalSearch/NUF4401MNT1G/page-1", "NUF4401MNT1G")</f>
        <v>NUF4401MNT1G</v>
      </c>
      <c r="B4920" s="3" t="str">
        <f>HYPERLINK("https://www.773grp.com/manufacturer/onsemi?pageNo=875", "Onsemi")</f>
        <v>Onsemi</v>
      </c>
      <c r="C4920" s="6">
        <v>52361</v>
      </c>
      <c r="D4920" s="7">
        <v>0.64</v>
      </c>
      <c r="E4920" t="s">
        <v>79</v>
      </c>
    </row>
    <row r="4921" spans="1:5" x14ac:dyDescent="0.25">
      <c r="A4921" t="str">
        <f>HYPERLINK("https://www.773grp.com/globalSearch/NUF4402MNT1G/page-1", "NUF4402MNT1G")</f>
        <v>NUF4402MNT1G</v>
      </c>
      <c r="B4921" s="3" t="str">
        <f>HYPERLINK("https://www.773grp.com/manufacturer/onsemi?pageNo=876", "Onsemi")</f>
        <v>Onsemi</v>
      </c>
      <c r="C4921" s="6">
        <v>378252</v>
      </c>
      <c r="D4921" s="7">
        <v>0.64</v>
      </c>
      <c r="E4921" t="s">
        <v>79</v>
      </c>
    </row>
    <row r="4922" spans="1:5" x14ac:dyDescent="0.25">
      <c r="A4922" t="str">
        <f>HYPERLINK("https://www.773grp.com/globalSearch/NUF4403MNT1G/page-1", "NUF4403MNT1G")</f>
        <v>NUF4403MNT1G</v>
      </c>
      <c r="B4922" s="3" t="str">
        <f>HYPERLINK("https://www.773grp.com/manufacturer/onsemi?pageNo=877", "Onsemi")</f>
        <v>Onsemi</v>
      </c>
      <c r="C4922" s="6">
        <v>215020</v>
      </c>
      <c r="D4922" s="7">
        <v>0.64</v>
      </c>
      <c r="E4922" t="s">
        <v>79</v>
      </c>
    </row>
    <row r="4923" spans="1:5" x14ac:dyDescent="0.25">
      <c r="A4923" t="str">
        <f>HYPERLINK("https://www.773grp.com/globalSearch/NUF6105FCT1/page-1", "NUF6105FCT1")</f>
        <v>NUF6105FCT1</v>
      </c>
      <c r="B4923" s="3" t="str">
        <f>HYPERLINK("https://www.773grp.com/manufacturer/onsemi?pageNo=878", "Onsemi")</f>
        <v>Onsemi</v>
      </c>
      <c r="C4923" s="6">
        <v>1937910</v>
      </c>
      <c r="D4923" s="7">
        <v>0.64</v>
      </c>
      <c r="E4923" t="s">
        <v>79</v>
      </c>
    </row>
    <row r="4924" spans="1:5" x14ac:dyDescent="0.25">
      <c r="A4924" t="str">
        <f>HYPERLINK("https://www.773grp.com/globalSearch/NUF6402MNT1G/page-1", "NUF6402MNT1G")</f>
        <v>NUF6402MNT1G</v>
      </c>
      <c r="B4924" s="3" t="str">
        <f>HYPERLINK("https://www.773grp.com/manufacturer/onsemi?pageNo=879", "Onsemi")</f>
        <v>Onsemi</v>
      </c>
      <c r="C4924" s="6">
        <v>157481</v>
      </c>
      <c r="D4924" s="7">
        <v>0.64</v>
      </c>
      <c r="E4924" t="s">
        <v>79</v>
      </c>
    </row>
    <row r="4925" spans="1:5" x14ac:dyDescent="0.25">
      <c r="A4925" t="str">
        <f>HYPERLINK("https://www.773grp.com/globalSearch/NUF8402MNT4G/page-1", "NUF8402MNT4G")</f>
        <v>NUF8402MNT4G</v>
      </c>
      <c r="B4925" s="3" t="str">
        <f>HYPERLINK("https://www.773grp.com/manufacturer/onsemi?pageNo=880", "Onsemi")</f>
        <v>Onsemi</v>
      </c>
      <c r="C4925" s="6">
        <v>1060580</v>
      </c>
      <c r="D4925" s="7">
        <v>0.64</v>
      </c>
      <c r="E4925" t="s">
        <v>79</v>
      </c>
    </row>
    <row r="4926" spans="1:5" x14ac:dyDescent="0.25">
      <c r="A4926" t="str">
        <f>HYPERLINK("https://www.773grp.com/globalSearch/NUP4114HMR6T1G/page-1", "NUP4114HMR6T1G")</f>
        <v>NUP4114HMR6T1G</v>
      </c>
      <c r="B4926" s="3" t="str">
        <f>HYPERLINK("https://www.773grp.com/manufacturer/onsemi?pageNo=881", "Onsemi")</f>
        <v>Onsemi</v>
      </c>
      <c r="C4926" s="6">
        <v>327</v>
      </c>
      <c r="D4926" s="7">
        <v>0.64</v>
      </c>
      <c r="E4926" t="s">
        <v>75</v>
      </c>
    </row>
    <row r="4927" spans="1:5" x14ac:dyDescent="0.25">
      <c r="A4927" t="str">
        <f>HYPERLINK("https://www.773grp.com/globalSearch/NUP4301MR6T1/page-1", "NUP4301MR6T1")</f>
        <v>NUP4301MR6T1</v>
      </c>
      <c r="B4927" s="3" t="str">
        <f>HYPERLINK("https://www.773grp.com/manufacturer/onsemi?pageNo=882", "Onsemi")</f>
        <v>Onsemi</v>
      </c>
      <c r="C4927" s="6">
        <v>66000</v>
      </c>
      <c r="D4927" s="7">
        <v>0.64</v>
      </c>
      <c r="E4927" t="s">
        <v>75</v>
      </c>
    </row>
    <row r="4928" spans="1:5" x14ac:dyDescent="0.25">
      <c r="A4928" t="str">
        <f>HYPERLINK("https://www.773grp.com/globalSearch/NUP4301MR6T1G/page-1", "NUP4301MR6T1G")</f>
        <v>NUP4301MR6T1G</v>
      </c>
      <c r="B4928" s="3" t="str">
        <f>HYPERLINK("https://www.773grp.com/manufacturer/onsemi?pageNo=883", "Onsemi")</f>
        <v>Onsemi</v>
      </c>
      <c r="C4928" s="6">
        <v>24704</v>
      </c>
      <c r="D4928" s="7">
        <v>0.64</v>
      </c>
      <c r="E4928" t="s">
        <v>75</v>
      </c>
    </row>
    <row r="4929" spans="1:5" x14ac:dyDescent="0.25">
      <c r="A4929" t="str">
        <f>HYPERLINK("https://www.773grp.com/globalSearch/NUP4304MR6T1/page-1", "NUP4304MR6T1")</f>
        <v>NUP4304MR6T1</v>
      </c>
      <c r="B4929" s="3" t="str">
        <f>HYPERLINK("https://www.773grp.com/manufacturer/onsemi?pageNo=884", "Onsemi")</f>
        <v>Onsemi</v>
      </c>
      <c r="C4929" s="6">
        <v>114000</v>
      </c>
      <c r="D4929" s="7">
        <v>0.64</v>
      </c>
      <c r="E4929" t="s">
        <v>75</v>
      </c>
    </row>
    <row r="4930" spans="1:5" x14ac:dyDescent="0.25">
      <c r="A4930" t="str">
        <f>HYPERLINK("https://www.773grp.com/globalSearch/P6SMB10AT3G/page-1", "P6SMB10AT3G")</f>
        <v>P6SMB10AT3G</v>
      </c>
      <c r="B4930" s="3" t="str">
        <f>HYPERLINK("https://www.773grp.com/manufacturer/onsemi?pageNo=885", "Onsemi")</f>
        <v>Onsemi</v>
      </c>
      <c r="C4930" s="6">
        <v>5000</v>
      </c>
      <c r="D4930" s="7">
        <v>0.64</v>
      </c>
      <c r="E4930" t="s">
        <v>75</v>
      </c>
    </row>
    <row r="4931" spans="1:5" x14ac:dyDescent="0.25">
      <c r="A4931" t="str">
        <f>HYPERLINK("https://www.773grp.com/globalSearch/P6SMB15AT3G/page-1", "P6SMB15AT3G")</f>
        <v>P6SMB15AT3G</v>
      </c>
      <c r="B4931" s="3" t="str">
        <f>HYPERLINK("https://www.773grp.com/manufacturer/onsemi?pageNo=886", "Onsemi")</f>
        <v>Onsemi</v>
      </c>
      <c r="C4931" s="6">
        <v>10000</v>
      </c>
      <c r="D4931" s="7">
        <v>0.64</v>
      </c>
      <c r="E4931" t="s">
        <v>75</v>
      </c>
    </row>
    <row r="4932" spans="1:5" x14ac:dyDescent="0.25">
      <c r="A4932" t="str">
        <f>HYPERLINK("https://www.773grp.com/globalSearch/P6SMB18AT3G/page-1", "P6SMB18AT3G")</f>
        <v>P6SMB18AT3G</v>
      </c>
      <c r="B4932" s="3" t="str">
        <f>HYPERLINK("https://www.773grp.com/manufacturer/onsemi?pageNo=887", "Onsemi")</f>
        <v>Onsemi</v>
      </c>
      <c r="C4932" s="6">
        <v>10000</v>
      </c>
      <c r="D4932" s="7">
        <v>0.64</v>
      </c>
    </row>
    <row r="4933" spans="1:5" x14ac:dyDescent="0.25">
      <c r="A4933" t="str">
        <f>HYPERLINK("https://www.773grp.com/globalSearch/P6SMB20AT3G/page-1", "P6SMB20AT3G")</f>
        <v>P6SMB20AT3G</v>
      </c>
      <c r="B4933" s="3" t="str">
        <f>HYPERLINK("https://www.773grp.com/manufacturer/onsemi?pageNo=888", "Onsemi")</f>
        <v>Onsemi</v>
      </c>
      <c r="C4933" s="6">
        <v>11911</v>
      </c>
      <c r="D4933" s="7">
        <v>0.64</v>
      </c>
      <c r="E4933" t="s">
        <v>75</v>
      </c>
    </row>
    <row r="4934" spans="1:5" x14ac:dyDescent="0.25">
      <c r="A4934" t="str">
        <f>HYPERLINK("https://www.773grp.com/globalSearch/P6SMB22AT3G/page-1", "P6SMB22AT3G")</f>
        <v>P6SMB22AT3G</v>
      </c>
      <c r="B4934" s="3" t="str">
        <f>HYPERLINK("https://www.773grp.com/manufacturer/onsemi?pageNo=889", "Onsemi")</f>
        <v>Onsemi</v>
      </c>
      <c r="C4934" s="6">
        <v>18230</v>
      </c>
      <c r="D4934" s="7">
        <v>0.64</v>
      </c>
      <c r="E4934" t="s">
        <v>75</v>
      </c>
    </row>
    <row r="4935" spans="1:5" x14ac:dyDescent="0.25">
      <c r="A4935" t="str">
        <f>HYPERLINK("https://www.773grp.com/globalSearch/P6SMB27AT3G/page-1", "P6SMB27AT3G")</f>
        <v>P6SMB27AT3G</v>
      </c>
      <c r="B4935" s="3" t="str">
        <f>HYPERLINK("https://www.773grp.com/manufacturer/onsemi?pageNo=890", "Onsemi")</f>
        <v>Onsemi</v>
      </c>
      <c r="C4935" s="6">
        <v>67400</v>
      </c>
      <c r="D4935" s="7">
        <v>0.64</v>
      </c>
      <c r="E4935" t="s">
        <v>75</v>
      </c>
    </row>
    <row r="4936" spans="1:5" x14ac:dyDescent="0.25">
      <c r="A4936" t="str">
        <f>HYPERLINK("https://www.773grp.com/globalSearch/P6SMB30AT3G/page-1", "P6SMB30AT3G")</f>
        <v>P6SMB30AT3G</v>
      </c>
      <c r="B4936" s="3" t="str">
        <f>HYPERLINK("https://www.773grp.com/manufacturer/onsemi?pageNo=891", "Onsemi")</f>
        <v>Onsemi</v>
      </c>
      <c r="C4936" s="6">
        <v>27352</v>
      </c>
      <c r="D4936" s="7">
        <v>0.64</v>
      </c>
      <c r="E4936" t="s">
        <v>75</v>
      </c>
    </row>
    <row r="4937" spans="1:5" x14ac:dyDescent="0.25">
      <c r="A4937" t="str">
        <f>HYPERLINK("https://www.773grp.com/globalSearch/P6SMB33AT3G/page-1", "P6SMB33AT3G")</f>
        <v>P6SMB33AT3G</v>
      </c>
      <c r="B4937" s="3" t="str">
        <f>HYPERLINK("https://www.773grp.com/manufacturer/onsemi?pageNo=892", "Onsemi")</f>
        <v>Onsemi</v>
      </c>
      <c r="C4937" s="6">
        <v>32335</v>
      </c>
      <c r="D4937" s="7">
        <v>0.64</v>
      </c>
      <c r="E4937" t="s">
        <v>75</v>
      </c>
    </row>
    <row r="4938" spans="1:5" x14ac:dyDescent="0.25">
      <c r="A4938" t="str">
        <f>HYPERLINK("https://www.773grp.com/globalSearch/P6SMB36AT3G/page-1", "P6SMB36AT3G")</f>
        <v>P6SMB36AT3G</v>
      </c>
      <c r="B4938" s="3" t="str">
        <f>HYPERLINK("https://www.773grp.com/manufacturer/onsemi?pageNo=893", "Onsemi")</f>
        <v>Onsemi</v>
      </c>
      <c r="C4938" s="6">
        <v>30000</v>
      </c>
      <c r="D4938" s="7">
        <v>0.64</v>
      </c>
      <c r="E4938" t="s">
        <v>75</v>
      </c>
    </row>
    <row r="4939" spans="1:5" x14ac:dyDescent="0.25">
      <c r="A4939" t="str">
        <f>HYPERLINK("https://www.773grp.com/globalSearch/P6SMB39AT3G/page-1", "P6SMB39AT3G")</f>
        <v>P6SMB39AT3G</v>
      </c>
      <c r="B4939" s="3" t="str">
        <f>HYPERLINK("https://www.773grp.com/manufacturer/onsemi?pageNo=894", "Onsemi")</f>
        <v>Onsemi</v>
      </c>
      <c r="C4939" s="6">
        <v>16598</v>
      </c>
      <c r="D4939" s="7">
        <v>0.64</v>
      </c>
      <c r="E4939" t="s">
        <v>75</v>
      </c>
    </row>
    <row r="4940" spans="1:5" x14ac:dyDescent="0.25">
      <c r="A4940" t="str">
        <f>HYPERLINK("https://www.773grp.com/globalSearch/P6SMB43AT3G/page-1", "P6SMB43AT3G")</f>
        <v>P6SMB43AT3G</v>
      </c>
      <c r="B4940" s="3" t="str">
        <f>HYPERLINK("https://www.773grp.com/manufacturer/onsemi?pageNo=895", "Onsemi")</f>
        <v>Onsemi</v>
      </c>
      <c r="C4940" s="6">
        <v>7500</v>
      </c>
      <c r="D4940" s="7">
        <v>0.64</v>
      </c>
    </row>
    <row r="4941" spans="1:5" x14ac:dyDescent="0.25">
      <c r="A4941" t="str">
        <f>HYPERLINK("https://www.773grp.com/globalSearch/P6SMB51AT3G/page-1", "P6SMB51AT3G")</f>
        <v>P6SMB51AT3G</v>
      </c>
      <c r="B4941" s="3" t="str">
        <f>HYPERLINK("https://www.773grp.com/manufacturer/onsemi?pageNo=896", "Onsemi")</f>
        <v>Onsemi</v>
      </c>
      <c r="C4941" s="6">
        <v>22500</v>
      </c>
      <c r="D4941" s="7">
        <v>0.64</v>
      </c>
    </row>
    <row r="4942" spans="1:5" x14ac:dyDescent="0.25">
      <c r="A4942" t="str">
        <f>HYPERLINK("https://www.773grp.com/globalSearch/P6SMB6.8AT3G/page-1", "P6SMB6.8AT3G")</f>
        <v>P6SMB6.8AT3G</v>
      </c>
      <c r="B4942" s="3" t="str">
        <f>HYPERLINK("https://www.773grp.com/manufacturer/onsemi?pageNo=897", "Onsemi")</f>
        <v>Onsemi</v>
      </c>
      <c r="C4942" s="6">
        <v>57500</v>
      </c>
      <c r="D4942" s="7">
        <v>0.64</v>
      </c>
      <c r="E4942" t="s">
        <v>75</v>
      </c>
    </row>
    <row r="4943" spans="1:5" x14ac:dyDescent="0.25">
      <c r="A4943" t="str">
        <f>HYPERLINK("https://www.773grp.com/globalSearch/P6SMB68AT3G/page-1", "P6SMB68AT3G")</f>
        <v>P6SMB68AT3G</v>
      </c>
      <c r="B4943" s="3" t="str">
        <f>HYPERLINK("https://www.773grp.com/manufacturer/onsemi?pageNo=898", "Onsemi")</f>
        <v>Onsemi</v>
      </c>
      <c r="C4943" s="6">
        <v>762490</v>
      </c>
      <c r="D4943" s="7">
        <v>0.64</v>
      </c>
      <c r="E4943" t="s">
        <v>75</v>
      </c>
    </row>
    <row r="4944" spans="1:5" x14ac:dyDescent="0.25">
      <c r="A4944" t="str">
        <f>HYPERLINK("https://www.773grp.com/globalSearch/P6SMB82AT3G/page-1", "P6SMB82AT3G")</f>
        <v>P6SMB82AT3G</v>
      </c>
      <c r="B4944" s="3" t="str">
        <f>HYPERLINK("https://www.773grp.com/manufacturer/onsemi?pageNo=899", "Onsemi")</f>
        <v>Onsemi</v>
      </c>
      <c r="C4944" s="6">
        <v>11879</v>
      </c>
      <c r="D4944" s="7">
        <v>0.64</v>
      </c>
      <c r="E4944" t="s">
        <v>75</v>
      </c>
    </row>
    <row r="4945" spans="1:5" x14ac:dyDescent="0.25">
      <c r="A4945" t="str">
        <f>HYPERLINK("https://www.773grp.com/globalSearch/PCP1103-P-TD-H/page-1", "PCP1103-P-TD-H")</f>
        <v>PCP1103-P-TD-H</v>
      </c>
      <c r="B4945" s="3" t="str">
        <f>HYPERLINK("https://www.773grp.com/manufacturer/onsemi?pageNo=900", "Onsemi")</f>
        <v>Onsemi</v>
      </c>
      <c r="C4945" s="6">
        <v>21000</v>
      </c>
      <c r="D4945" s="7">
        <v>0.64</v>
      </c>
    </row>
    <row r="4946" spans="1:5" x14ac:dyDescent="0.25">
      <c r="A4946" t="str">
        <f>HYPERLINK("https://www.773grp.com/globalSearch/PZTA42T1G/page-1", "PZTA42T1G")</f>
        <v>PZTA42T1G</v>
      </c>
      <c r="B4946" s="3" t="str">
        <f>HYPERLINK("https://www.773grp.com/manufacturer/onsemi?pageNo=901", "Onsemi")</f>
        <v>Onsemi</v>
      </c>
      <c r="C4946" s="6">
        <v>22933</v>
      </c>
      <c r="D4946" s="7">
        <v>0.64</v>
      </c>
      <c r="E4946" t="s">
        <v>57</v>
      </c>
    </row>
    <row r="4947" spans="1:5" x14ac:dyDescent="0.25">
      <c r="A4947" t="str">
        <f>HYPERLINK("https://www.773grp.com/globalSearch/PZTA92T1G/page-1", "PZTA92T1G")</f>
        <v>PZTA92T1G</v>
      </c>
      <c r="B4947" s="3" t="str">
        <f>HYPERLINK("https://www.773grp.com/manufacturer/onsemi?pageNo=902", "Onsemi")</f>
        <v>Onsemi</v>
      </c>
      <c r="C4947" s="6">
        <v>867</v>
      </c>
      <c r="D4947" s="7">
        <v>0.64</v>
      </c>
      <c r="E4947" t="s">
        <v>57</v>
      </c>
    </row>
    <row r="4948" spans="1:5" x14ac:dyDescent="0.25">
      <c r="A4948" t="str">
        <f>HYPERLINK("https://www.773grp.com/globalSearch/SA14053BDR2/page-1", "SA14053BDR2")</f>
        <v>SA14053BDR2</v>
      </c>
      <c r="B4948" s="3" t="str">
        <f>HYPERLINK("https://www.773grp.com/manufacturer/onsemi?pageNo=903", "Onsemi")</f>
        <v>Onsemi</v>
      </c>
      <c r="C4948" s="6">
        <v>10000</v>
      </c>
      <c r="D4948" s="7">
        <v>0.64</v>
      </c>
    </row>
    <row r="4949" spans="1:5" x14ac:dyDescent="0.25">
      <c r="A4949" t="str">
        <f>HYPERLINK("https://www.773grp.com/globalSearch/SBCP56T1G/page-1", "SBCP56T1G")</f>
        <v>SBCP56T1G</v>
      </c>
      <c r="B4949" s="3" t="str">
        <f>HYPERLINK("https://www.773grp.com/manufacturer/onsemi?pageNo=904", "Onsemi")</f>
        <v>Onsemi</v>
      </c>
      <c r="C4949" s="6">
        <v>43000</v>
      </c>
      <c r="D4949" s="7">
        <v>0.64</v>
      </c>
    </row>
    <row r="4950" spans="1:5" x14ac:dyDescent="0.25">
      <c r="A4950" t="str">
        <f>HYPERLINK("https://www.773grp.com/globalSearch/SBCP56T3G/page-1", "SBCP56T3G")</f>
        <v>SBCP56T3G</v>
      </c>
      <c r="B4950" s="3" t="str">
        <f>HYPERLINK("https://www.773grp.com/manufacturer/onsemi?pageNo=905", "Onsemi")</f>
        <v>Onsemi</v>
      </c>
      <c r="C4950" s="6">
        <v>140000</v>
      </c>
      <c r="D4950" s="7">
        <v>0.64</v>
      </c>
    </row>
    <row r="4951" spans="1:5" x14ac:dyDescent="0.25">
      <c r="A4951" t="str">
        <f>HYPERLINK("https://www.773grp.com/globalSearch/SC111616P/page-1", "SC111616P")</f>
        <v>SC111616P</v>
      </c>
      <c r="B4951" s="3" t="str">
        <f>HYPERLINK("https://www.773grp.com/manufacturer/onsemi?pageNo=906", "Onsemi")</f>
        <v>Onsemi</v>
      </c>
      <c r="C4951" s="6">
        <v>3020</v>
      </c>
      <c r="D4951" s="7">
        <v>0.64</v>
      </c>
    </row>
    <row r="4952" spans="1:5" x14ac:dyDescent="0.25">
      <c r="A4952" t="str">
        <f>HYPERLINK("https://www.773grp.com/globalSearch/SC27962PK00/page-1", "SC27962PK00")</f>
        <v>SC27962PK00</v>
      </c>
      <c r="B4952" s="3" t="str">
        <f>HYPERLINK("https://www.773grp.com/manufacturer/onsemi?pageNo=907", "Onsemi")</f>
        <v>Onsemi</v>
      </c>
      <c r="C4952" s="6">
        <v>195</v>
      </c>
      <c r="D4952" s="7">
        <v>0.64</v>
      </c>
    </row>
    <row r="4953" spans="1:5" x14ac:dyDescent="0.25">
      <c r="A4953" t="str">
        <f>HYPERLINK("https://www.773grp.com/globalSearch/SC27962PK85/page-1", "SC27962PK85")</f>
        <v>SC27962PK85</v>
      </c>
      <c r="B4953" s="3" t="str">
        <f>HYPERLINK("https://www.773grp.com/manufacturer/onsemi?pageNo=908", "Onsemi")</f>
        <v>Onsemi</v>
      </c>
      <c r="C4953" s="6">
        <v>1817</v>
      </c>
      <c r="D4953" s="7">
        <v>0.64</v>
      </c>
    </row>
    <row r="4954" spans="1:5" x14ac:dyDescent="0.25">
      <c r="A4954" t="str">
        <f>HYPERLINK("https://www.773grp.com/globalSearch/SC27965P245/page-1", "SC27965P245")</f>
        <v>SC27965P245</v>
      </c>
      <c r="B4954" s="3" t="str">
        <f>HYPERLINK("https://www.773grp.com/manufacturer/onsemi?pageNo=909", "Onsemi")</f>
        <v>Onsemi</v>
      </c>
      <c r="C4954" s="6">
        <v>558</v>
      </c>
      <c r="D4954" s="7">
        <v>0.64</v>
      </c>
    </row>
    <row r="4955" spans="1:5" x14ac:dyDescent="0.25">
      <c r="A4955" t="str">
        <f>HYPERLINK("https://www.773grp.com/globalSearch/SC27973PK123/page-1", "SC27973PK123")</f>
        <v>SC27973PK123</v>
      </c>
      <c r="B4955" s="3" t="str">
        <f>HYPERLINK("https://www.773grp.com/manufacturer/onsemi?pageNo=910", "Onsemi")</f>
        <v>Onsemi</v>
      </c>
      <c r="C4955" s="6">
        <v>3000</v>
      </c>
      <c r="D4955" s="7">
        <v>0.64</v>
      </c>
    </row>
    <row r="4956" spans="1:5" x14ac:dyDescent="0.25">
      <c r="A4956" t="str">
        <f>HYPERLINK("https://www.773grp.com/globalSearch/SC27975LK393/page-1", "SC27975LK393")</f>
        <v>SC27975LK393</v>
      </c>
      <c r="B4956" s="3" t="str">
        <f>HYPERLINK("https://www.773grp.com/manufacturer/onsemi?pageNo=911", "Onsemi")</f>
        <v>Onsemi</v>
      </c>
      <c r="C4956" s="6">
        <v>4589</v>
      </c>
      <c r="D4956" s="7">
        <v>0.64</v>
      </c>
    </row>
    <row r="4957" spans="1:5" x14ac:dyDescent="0.25">
      <c r="A4957" t="str">
        <f>HYPERLINK("https://www.773grp.com/globalSearch/SC27975PK139/page-1", "SC27975PK139")</f>
        <v>SC27975PK139</v>
      </c>
      <c r="B4957" s="3" t="str">
        <f>HYPERLINK("https://www.773grp.com/manufacturer/onsemi?pageNo=912", "Onsemi")</f>
        <v>Onsemi</v>
      </c>
      <c r="C4957" s="6">
        <v>4262</v>
      </c>
      <c r="D4957" s="7">
        <v>0.64</v>
      </c>
    </row>
    <row r="4958" spans="1:5" x14ac:dyDescent="0.25">
      <c r="A4958" t="str">
        <f>HYPERLINK("https://www.773grp.com/globalSearch/SC27975PK257/page-1", "SC27975PK257")</f>
        <v>SC27975PK257</v>
      </c>
      <c r="B4958" s="3" t="str">
        <f>HYPERLINK("https://www.773grp.com/manufacturer/onsemi?pageNo=913", "Onsemi")</f>
        <v>Onsemi</v>
      </c>
      <c r="C4958" s="6">
        <v>4350</v>
      </c>
      <c r="D4958" s="7">
        <v>0.64</v>
      </c>
    </row>
    <row r="4959" spans="1:5" x14ac:dyDescent="0.25">
      <c r="A4959" t="str">
        <f>HYPERLINK("https://www.773grp.com/globalSearch/SC27975PK374/page-1", "SC27975PK374")</f>
        <v>SC27975PK374</v>
      </c>
      <c r="B4959" s="3" t="str">
        <f>HYPERLINK("https://www.773grp.com/manufacturer/onsemi?pageNo=914", "Onsemi")</f>
        <v>Onsemi</v>
      </c>
      <c r="C4959" s="6">
        <v>4248</v>
      </c>
      <c r="D4959" s="7">
        <v>0.64</v>
      </c>
    </row>
    <row r="4960" spans="1:5" x14ac:dyDescent="0.25">
      <c r="A4960" t="str">
        <f>HYPERLINK("https://www.773grp.com/globalSearch/SC2903N/page-1", "SC2903N")</f>
        <v>SC2903N</v>
      </c>
      <c r="B4960" s="3" t="str">
        <f>HYPERLINK("https://www.773grp.com/manufacturer/onsemi?pageNo=915", "Onsemi")</f>
        <v>Onsemi</v>
      </c>
      <c r="C4960" s="6">
        <v>5000</v>
      </c>
      <c r="D4960" s="7">
        <v>0.64</v>
      </c>
    </row>
    <row r="4961" spans="1:5" x14ac:dyDescent="0.25">
      <c r="A4961" t="str">
        <f>HYPERLINK("https://www.773grp.com/globalSearch/SC2904N/page-1", "SC2904N")</f>
        <v>SC2904N</v>
      </c>
      <c r="B4961" s="3" t="str">
        <f>HYPERLINK("https://www.773grp.com/manufacturer/onsemi?pageNo=916", "Onsemi")</f>
        <v>Onsemi</v>
      </c>
      <c r="C4961" s="6">
        <v>4500</v>
      </c>
      <c r="D4961" s="7">
        <v>0.64</v>
      </c>
    </row>
    <row r="4962" spans="1:5" x14ac:dyDescent="0.25">
      <c r="A4962" t="str">
        <f>HYPERLINK("https://www.773grp.com/globalSearch/SC358DR2G/page-1", "SC358DR2G")</f>
        <v>SC358DR2G</v>
      </c>
      <c r="B4962" s="3" t="str">
        <f>HYPERLINK("https://www.773grp.com/manufacturer/onsemi?pageNo=917", "Onsemi")</f>
        <v>Onsemi</v>
      </c>
      <c r="C4962" s="6">
        <v>2663</v>
      </c>
      <c r="D4962" s="7">
        <v>0.64</v>
      </c>
    </row>
    <row r="4963" spans="1:5" x14ac:dyDescent="0.25">
      <c r="A4963" t="str">
        <f>HYPERLINK("https://www.773grp.com/globalSearch/SC393DR2G/page-1", "SC393DR2G")</f>
        <v>SC393DR2G</v>
      </c>
      <c r="B4963" s="3" t="str">
        <f>HYPERLINK("https://www.773grp.com/manufacturer/onsemi?pageNo=918", "Onsemi")</f>
        <v>Onsemi</v>
      </c>
      <c r="C4963" s="6">
        <v>631</v>
      </c>
      <c r="D4963" s="7">
        <v>0.64</v>
      </c>
    </row>
    <row r="4964" spans="1:5" x14ac:dyDescent="0.25">
      <c r="A4964" t="str">
        <f>HYPERLINK("https://www.773grp.com/globalSearch/SN74LS22N/page-1", "SN74LS22N")</f>
        <v>SN74LS22N</v>
      </c>
      <c r="B4964" s="3" t="str">
        <f>HYPERLINK("https://www.773grp.com/manufacturer/onsemi?pageNo=919", "Onsemi")</f>
        <v>Onsemi</v>
      </c>
      <c r="C4964" s="6">
        <v>8355</v>
      </c>
      <c r="D4964" s="7">
        <v>0.64</v>
      </c>
      <c r="E4964" t="s">
        <v>27</v>
      </c>
    </row>
    <row r="4965" spans="1:5" x14ac:dyDescent="0.25">
      <c r="A4965" t="str">
        <f>HYPERLINK("https://www.773grp.com/globalSearch/SN74LS33D/page-1", "SN74LS33D")</f>
        <v>SN74LS33D</v>
      </c>
      <c r="B4965" s="3" t="str">
        <f>HYPERLINK("https://www.773grp.com/manufacturer/onsemi?pageNo=920", "Onsemi")</f>
        <v>Onsemi</v>
      </c>
      <c r="C4965" s="6">
        <v>4605</v>
      </c>
      <c r="D4965" s="7">
        <v>0.64</v>
      </c>
      <c r="E4965" t="s">
        <v>27</v>
      </c>
    </row>
    <row r="4966" spans="1:5" x14ac:dyDescent="0.25">
      <c r="A4966" t="str">
        <f>HYPERLINK("https://www.773grp.com/globalSearch/SN74LS33DR2/page-1", "SN74LS33DR2")</f>
        <v>SN74LS33DR2</v>
      </c>
      <c r="B4966" s="3" t="str">
        <f>HYPERLINK("https://www.773grp.com/manufacturer/onsemi?pageNo=921", "Onsemi")</f>
        <v>Onsemi</v>
      </c>
      <c r="C4966" s="6">
        <v>2500</v>
      </c>
      <c r="D4966" s="7">
        <v>0.64</v>
      </c>
      <c r="E4966" t="s">
        <v>27</v>
      </c>
    </row>
    <row r="4967" spans="1:5" x14ac:dyDescent="0.25">
      <c r="A4967" t="str">
        <f>HYPERLINK("https://www.773grp.com/globalSearch/SN74LS38D/page-1", "SN74LS38D")</f>
        <v>SN74LS38D</v>
      </c>
      <c r="B4967" s="3" t="str">
        <f>HYPERLINK("https://www.773grp.com/manufacturer/onsemi?pageNo=922", "Onsemi")</f>
        <v>Onsemi</v>
      </c>
      <c r="C4967" s="6">
        <v>9222</v>
      </c>
      <c r="D4967" s="7">
        <v>0.64</v>
      </c>
      <c r="E4967" t="s">
        <v>27</v>
      </c>
    </row>
    <row r="4968" spans="1:5" x14ac:dyDescent="0.25">
      <c r="A4968" t="str">
        <f>HYPERLINK("https://www.773grp.com/globalSearch/SN74LS38M/page-1", "SN74LS38M")</f>
        <v>SN74LS38M</v>
      </c>
      <c r="B4968" s="3" t="str">
        <f>HYPERLINK("https://www.773grp.com/manufacturer/onsemi?pageNo=923", "Onsemi")</f>
        <v>Onsemi</v>
      </c>
      <c r="C4968" s="6">
        <v>769</v>
      </c>
      <c r="D4968" s="7">
        <v>0.64</v>
      </c>
      <c r="E4968" t="s">
        <v>27</v>
      </c>
    </row>
    <row r="4969" spans="1:5" x14ac:dyDescent="0.25">
      <c r="A4969" t="str">
        <f>HYPERLINK("https://www.773grp.com/globalSearch/SN74LS38M/page-1", "SN74LS38M")</f>
        <v>SN74LS38M</v>
      </c>
      <c r="B4969" s="3" t="str">
        <f>HYPERLINK("https://www.773grp.com/manufacturer/onsemi?pageNo=924", "Onsemi")</f>
        <v>Onsemi</v>
      </c>
      <c r="C4969" s="6">
        <v>350</v>
      </c>
      <c r="D4969" s="7">
        <v>0.64</v>
      </c>
      <c r="E4969" t="s">
        <v>27</v>
      </c>
    </row>
    <row r="4970" spans="1:5" x14ac:dyDescent="0.25">
      <c r="A4970" t="str">
        <f>HYPERLINK("https://www.773grp.com/globalSearch/SN74LS38MEL/page-1", "SN74LS38MEL")</f>
        <v>SN74LS38MEL</v>
      </c>
      <c r="B4970" s="3" t="str">
        <f>HYPERLINK("https://www.773grp.com/manufacturer/onsemi?pageNo=925", "Onsemi")</f>
        <v>Onsemi</v>
      </c>
      <c r="C4970" s="6">
        <v>20000</v>
      </c>
      <c r="D4970" s="7">
        <v>0.64</v>
      </c>
      <c r="E4970" t="s">
        <v>27</v>
      </c>
    </row>
    <row r="4971" spans="1:5" x14ac:dyDescent="0.25">
      <c r="A4971" t="str">
        <f>HYPERLINK("https://www.773grp.com/globalSearch/SN74LS38ML1/page-1", "SN74LS38ML1")</f>
        <v>SN74LS38ML1</v>
      </c>
      <c r="B4971" s="3" t="str">
        <f>HYPERLINK("https://www.773grp.com/manufacturer/onsemi?pageNo=926", "Onsemi")</f>
        <v>Onsemi</v>
      </c>
      <c r="C4971" s="6">
        <v>3000</v>
      </c>
      <c r="D4971" s="7">
        <v>0.64</v>
      </c>
    </row>
    <row r="4972" spans="1:5" x14ac:dyDescent="0.25">
      <c r="A4972" t="str">
        <f>HYPERLINK("https://www.773grp.com/globalSearch/SN74LS38MR1/page-1", "SN74LS38MR1")</f>
        <v>SN74LS38MR1</v>
      </c>
      <c r="B4972" s="3" t="str">
        <f>HYPERLINK("https://www.773grp.com/manufacturer/onsemi?pageNo=927", "Onsemi")</f>
        <v>Onsemi</v>
      </c>
      <c r="C4972" s="6">
        <v>22000</v>
      </c>
      <c r="D4972" s="7">
        <v>0.64</v>
      </c>
      <c r="E4972" t="s">
        <v>27</v>
      </c>
    </row>
    <row r="4973" spans="1:5" x14ac:dyDescent="0.25">
      <c r="A4973" t="str">
        <f>HYPERLINK("https://www.773grp.com/globalSearch/SN74LS74AM/page-1", "SN74LS74AM")</f>
        <v>SN74LS74AM</v>
      </c>
      <c r="B4973" s="3" t="str">
        <f>HYPERLINK("https://www.773grp.com/manufacturer/onsemi?pageNo=928", "Onsemi")</f>
        <v>Onsemi</v>
      </c>
      <c r="C4973" s="6">
        <v>4500</v>
      </c>
      <c r="D4973" s="7">
        <v>0.64</v>
      </c>
      <c r="E4973" t="s">
        <v>31</v>
      </c>
    </row>
    <row r="4974" spans="1:5" x14ac:dyDescent="0.25">
      <c r="A4974" t="str">
        <f>HYPERLINK("https://www.773grp.com/globalSearch/SN74LS74AMEL/page-1", "SN74LS74AMEL")</f>
        <v>SN74LS74AMEL</v>
      </c>
      <c r="B4974" s="3" t="str">
        <f>HYPERLINK("https://www.773grp.com/manufacturer/onsemi?pageNo=929", "Onsemi")</f>
        <v>Onsemi</v>
      </c>
      <c r="C4974" s="6">
        <v>8000</v>
      </c>
      <c r="D4974" s="7">
        <v>0.64</v>
      </c>
      <c r="E4974" t="s">
        <v>31</v>
      </c>
    </row>
    <row r="4975" spans="1:5" x14ac:dyDescent="0.25">
      <c r="A4975" t="str">
        <f>HYPERLINK("https://www.773grp.com/globalSearch/SN7LS122D/page-1", "SN7LS122D")</f>
        <v>SN7LS122D</v>
      </c>
      <c r="B4975" s="3" t="str">
        <f>HYPERLINK("https://www.773grp.com/manufacturer/onsemi?pageNo=930", "Onsemi")</f>
        <v>Onsemi</v>
      </c>
      <c r="C4975" s="6">
        <v>55</v>
      </c>
      <c r="D4975" s="7">
        <v>0.64</v>
      </c>
    </row>
    <row r="4976" spans="1:5" x14ac:dyDescent="0.25">
      <c r="A4976" t="str">
        <f>HYPERLINK("https://www.773grp.com/globalSearch/SNJ74LS14N/page-1", "SNJ74LS14N")</f>
        <v>SNJ74LS14N</v>
      </c>
      <c r="B4976" s="3" t="str">
        <f>HYPERLINK("https://www.773grp.com/manufacturer/onsemi?pageNo=931", "Onsemi")</f>
        <v>Onsemi</v>
      </c>
      <c r="C4976" s="6">
        <v>844</v>
      </c>
      <c r="D4976" s="7">
        <v>0.64</v>
      </c>
    </row>
    <row r="4977" spans="1:5" x14ac:dyDescent="0.25">
      <c r="A4977" t="str">
        <f>HYPERLINK("https://www.773grp.com/globalSearch/SNZF220DFT1G/page-1", "SNZF220DFT1G")</f>
        <v>SNZF220DFT1G</v>
      </c>
      <c r="B4977" s="3" t="str">
        <f>HYPERLINK("https://www.773grp.com/manufacturer/onsemi?pageNo=932", "Onsemi")</f>
        <v>Onsemi</v>
      </c>
      <c r="C4977" s="6">
        <v>60000</v>
      </c>
      <c r="D4977" s="7">
        <v>0.64</v>
      </c>
    </row>
    <row r="4978" spans="1:5" x14ac:dyDescent="0.25">
      <c r="A4978" t="str">
        <f>HYPERLINK("https://www.773grp.com/globalSearch/SS22T3G/page-1", "SS22T3G")</f>
        <v>SS22T3G</v>
      </c>
      <c r="B4978" s="3" t="str">
        <f>HYPERLINK("https://www.773grp.com/manufacturer/onsemi?pageNo=933", "Onsemi")</f>
        <v>Onsemi</v>
      </c>
      <c r="C4978" s="6">
        <v>92500</v>
      </c>
      <c r="D4978" s="7">
        <v>0.64</v>
      </c>
      <c r="E4978" t="s">
        <v>82</v>
      </c>
    </row>
    <row r="4979" spans="1:5" x14ac:dyDescent="0.25">
      <c r="A4979" t="str">
        <f>HYPERLINK("https://www.773grp.com/globalSearch/SS24T3G/page-1", "SS24T3G")</f>
        <v>SS24T3G</v>
      </c>
      <c r="B4979" s="3" t="str">
        <f>HYPERLINK("https://www.773grp.com/manufacturer/onsemi?pageNo=934", "Onsemi")</f>
        <v>Onsemi</v>
      </c>
      <c r="C4979" s="6">
        <v>334830</v>
      </c>
      <c r="D4979" s="7">
        <v>0.64</v>
      </c>
      <c r="E4979" t="s">
        <v>82</v>
      </c>
    </row>
    <row r="4980" spans="1:5" x14ac:dyDescent="0.25">
      <c r="A4980" t="str">
        <f>HYPERLINK("https://www.773grp.com/globalSearch/SS26T3G/page-1", "SS26T3G")</f>
        <v>SS26T3G</v>
      </c>
      <c r="B4980" s="3" t="str">
        <f>HYPERLINK("https://www.773grp.com/manufacturer/onsemi?pageNo=935", "Onsemi")</f>
        <v>Onsemi</v>
      </c>
      <c r="C4980" s="6">
        <v>72700</v>
      </c>
      <c r="D4980" s="7">
        <v>0.64</v>
      </c>
      <c r="E4980" t="s">
        <v>82</v>
      </c>
    </row>
    <row r="4981" spans="1:5" x14ac:dyDescent="0.25">
      <c r="A4981" t="str">
        <f>HYPERLINK("https://www.773grp.com/globalSearch/SZ1SMA20AT3G/page-1", "SZ1SMA20AT3G")</f>
        <v>SZ1SMA20AT3G</v>
      </c>
      <c r="B4981" s="3" t="str">
        <f>HYPERLINK("https://www.773grp.com/manufacturer/onsemi?pageNo=936", "Onsemi")</f>
        <v>Onsemi</v>
      </c>
      <c r="C4981" s="6">
        <v>15000</v>
      </c>
      <c r="D4981" s="7">
        <v>0.64</v>
      </c>
    </row>
    <row r="4982" spans="1:5" x14ac:dyDescent="0.25">
      <c r="A4982" t="str">
        <f>HYPERLINK("https://www.773grp.com/globalSearch/TIP29A/page-1", "TIP29A")</f>
        <v>TIP29A</v>
      </c>
      <c r="B4982" s="3" t="str">
        <f>HYPERLINK("https://www.773grp.com/manufacturer/onsemi?pageNo=937", "Onsemi")</f>
        <v>Onsemi</v>
      </c>
      <c r="C4982" s="6">
        <v>3041</v>
      </c>
      <c r="D4982" s="7">
        <v>0.64</v>
      </c>
      <c r="E4982" t="s">
        <v>47</v>
      </c>
    </row>
    <row r="4983" spans="1:5" x14ac:dyDescent="0.25">
      <c r="A4983" t="str">
        <f>HYPERLINK("https://www.773grp.com/globalSearch/TIP29B/page-1", "TIP29B")</f>
        <v>TIP29B</v>
      </c>
      <c r="B4983" s="3" t="str">
        <f>HYPERLINK("https://www.773grp.com/manufacturer/onsemi?pageNo=938", "Onsemi")</f>
        <v>Onsemi</v>
      </c>
      <c r="C4983" s="6">
        <v>3200</v>
      </c>
      <c r="D4983" s="7">
        <v>0.64</v>
      </c>
      <c r="E4983" t="s">
        <v>47</v>
      </c>
    </row>
    <row r="4984" spans="1:5" x14ac:dyDescent="0.25">
      <c r="A4984" t="str">
        <f>HYPERLINK("https://www.773grp.com/globalSearch/TIP29C/page-1", "TIP29C")</f>
        <v>TIP29C</v>
      </c>
      <c r="B4984" s="3" t="str">
        <f>HYPERLINK("https://www.773grp.com/manufacturer/onsemi?pageNo=939", "Onsemi")</f>
        <v>Onsemi</v>
      </c>
      <c r="C4984" s="6">
        <v>844</v>
      </c>
      <c r="D4984" s="7">
        <v>0.64</v>
      </c>
      <c r="E4984" t="s">
        <v>47</v>
      </c>
    </row>
    <row r="4985" spans="1:5" x14ac:dyDescent="0.25">
      <c r="A4985" t="str">
        <f>HYPERLINK("https://www.773grp.com/globalSearch/TL082CD/page-1", "TL082CD")</f>
        <v>TL082CD</v>
      </c>
      <c r="B4985" s="3" t="str">
        <f>HYPERLINK("https://www.773grp.com/manufacturer/onsemi?pageNo=940", "Onsemi")</f>
        <v>Onsemi</v>
      </c>
      <c r="C4985" s="6">
        <v>583</v>
      </c>
      <c r="D4985" s="7">
        <v>0.64</v>
      </c>
      <c r="E4985" t="s">
        <v>10</v>
      </c>
    </row>
    <row r="4986" spans="1:5" x14ac:dyDescent="0.25">
      <c r="A4986" t="str">
        <f>HYPERLINK("https://www.773grp.com/globalSearch/TL431BIDMR2/page-1", "TL431BIDMR2")</f>
        <v>TL431BIDMR2</v>
      </c>
      <c r="B4986" s="3" t="str">
        <f>HYPERLINK("https://www.773grp.com/manufacturer/onsemi?pageNo=941", "Onsemi")</f>
        <v>Onsemi</v>
      </c>
      <c r="C4986" s="6">
        <v>3974</v>
      </c>
      <c r="D4986" s="7">
        <v>0.64</v>
      </c>
      <c r="E4986" t="s">
        <v>13</v>
      </c>
    </row>
    <row r="4987" spans="1:5" x14ac:dyDescent="0.25">
      <c r="A4987" t="str">
        <f>HYPERLINK("https://www.773grp.com/globalSearch/TLV431ALPG/page-1", "TLV431ALPG")</f>
        <v>TLV431ALPG</v>
      </c>
      <c r="B4987" s="3" t="str">
        <f>HYPERLINK("https://www.773grp.com/manufacturer/onsemi?pageNo=942", "Onsemi")</f>
        <v>Onsemi</v>
      </c>
      <c r="C4987" s="6">
        <v>101002</v>
      </c>
      <c r="D4987" s="7">
        <v>0.64</v>
      </c>
      <c r="E4987" t="s">
        <v>13</v>
      </c>
    </row>
    <row r="4988" spans="1:5" x14ac:dyDescent="0.25">
      <c r="A4988" t="str">
        <f>HYPERLINK("https://www.773grp.com/globalSearch/VN2222LL/page-1", "VN2222LL")</f>
        <v>VN2222LL</v>
      </c>
      <c r="B4988" s="3" t="str">
        <f>HYPERLINK("https://www.773grp.com/manufacturer/onsemi?pageNo=943", "Onsemi")</f>
        <v>Onsemi</v>
      </c>
      <c r="C4988" s="6">
        <v>1000</v>
      </c>
      <c r="D4988" s="7">
        <v>0.64</v>
      </c>
      <c r="E4988" t="s">
        <v>85</v>
      </c>
    </row>
    <row r="4989" spans="1:5" x14ac:dyDescent="0.25">
      <c r="A4989" t="str">
        <f>HYPERLINK("https://www.773grp.com/globalSearch/Z0103MARL1G/page-1", "Z0103MARL1G")</f>
        <v>Z0103MARL1G</v>
      </c>
      <c r="B4989" s="3" t="str">
        <f>HYPERLINK("https://www.773grp.com/manufacturer/onsemi?pageNo=944", "Onsemi")</f>
        <v>Onsemi</v>
      </c>
      <c r="C4989" s="6">
        <v>4000</v>
      </c>
      <c r="D4989" s="7">
        <v>0.64</v>
      </c>
    </row>
    <row r="4990" spans="1:5" x14ac:dyDescent="0.25">
      <c r="A4990" t="str">
        <f>HYPERLINK("https://www.773grp.com/globalSearch/Z0103MARLRFG/page-1", "Z0103MARLRFG")</f>
        <v>Z0103MARLRFG</v>
      </c>
      <c r="B4990" s="3" t="str">
        <f>HYPERLINK("https://www.773grp.com/manufacturer/onsemi?pageNo=945", "Onsemi")</f>
        <v>Onsemi</v>
      </c>
      <c r="C4990" s="6">
        <v>2000</v>
      </c>
      <c r="D4990" s="7">
        <v>0.64</v>
      </c>
    </row>
    <row r="4991" spans="1:5" x14ac:dyDescent="0.25">
      <c r="A4991" t="str">
        <f>HYPERLINK("https://www.773grp.com/globalSearch/Z0103MNT1G/page-1", "Z0103MNT1G")</f>
        <v>Z0103MNT1G</v>
      </c>
      <c r="B4991" s="3" t="str">
        <f>HYPERLINK("https://www.773grp.com/manufacturer/onsemi?pageNo=946", "Onsemi")</f>
        <v>Onsemi</v>
      </c>
      <c r="C4991" s="6">
        <v>74000</v>
      </c>
      <c r="D4991" s="7">
        <v>0.64</v>
      </c>
    </row>
    <row r="4992" spans="1:5" x14ac:dyDescent="0.25">
      <c r="A4992" t="str">
        <f>HYPERLINK("https://www.773grp.com/globalSearch/Z0107MARL1G/page-1", "Z0107MARL1G")</f>
        <v>Z0107MARL1G</v>
      </c>
      <c r="B4992" s="3" t="str">
        <f>HYPERLINK("https://www.773grp.com/manufacturer/onsemi?pageNo=947", "Onsemi")</f>
        <v>Onsemi</v>
      </c>
      <c r="C4992" s="6">
        <v>28000</v>
      </c>
      <c r="D4992" s="7">
        <v>0.64</v>
      </c>
      <c r="E4992" t="s">
        <v>81</v>
      </c>
    </row>
    <row r="4993" spans="1:5" x14ac:dyDescent="0.25">
      <c r="A4993" t="str">
        <f>HYPERLINK("https://www.773grp.com/globalSearch/Z0107MARLRPG/page-1", "Z0107MARLRPG")</f>
        <v>Z0107MARLRPG</v>
      </c>
      <c r="B4993" s="3" t="str">
        <f>HYPERLINK("https://www.773grp.com/manufacturer/onsemi?pageNo=948", "Onsemi")</f>
        <v>Onsemi</v>
      </c>
      <c r="C4993" s="6">
        <v>2000</v>
      </c>
      <c r="D4993" s="7">
        <v>0.64</v>
      </c>
      <c r="E4993" t="s">
        <v>81</v>
      </c>
    </row>
    <row r="4994" spans="1:5" x14ac:dyDescent="0.25">
      <c r="A4994" t="str">
        <f>HYPERLINK("https://www.773grp.com/globalSearch/Z0109MARL1G/page-1", "Z0109MARL1G")</f>
        <v>Z0109MARL1G</v>
      </c>
      <c r="B4994" s="3" t="str">
        <f>HYPERLINK("https://www.773grp.com/manufacturer/onsemi?pageNo=949", "Onsemi")</f>
        <v>Onsemi</v>
      </c>
      <c r="C4994" s="6">
        <v>48000</v>
      </c>
      <c r="D4994" s="7">
        <v>0.64</v>
      </c>
      <c r="E4994" t="s">
        <v>81</v>
      </c>
    </row>
    <row r="4995" spans="1:5" x14ac:dyDescent="0.25">
      <c r="A4995" t="str">
        <f>HYPERLINK("https://www.773grp.com/globalSearch/Z0109MNT1G/page-1", "Z0109MNT1G")</f>
        <v>Z0109MNT1G</v>
      </c>
      <c r="B4995" s="3" t="str">
        <f>HYPERLINK("https://www.773grp.com/manufacturer/onsemi?pageNo=950", "Onsemi")</f>
        <v>Onsemi</v>
      </c>
      <c r="C4995" s="6">
        <v>17000</v>
      </c>
      <c r="D4995" s="7">
        <v>0.64</v>
      </c>
      <c r="E4995" t="s">
        <v>81</v>
      </c>
    </row>
    <row r="4996" spans="1:5" x14ac:dyDescent="0.25">
      <c r="A4996" t="str">
        <f>HYPERLINK("https://www.773grp.com/globalSearch/1.5KE10A/page-1", "1.5KE10A")</f>
        <v>1.5KE10A</v>
      </c>
      <c r="B4996" s="3" t="str">
        <f>HYPERLINK("https://www.773grp.com/manufacturer/onsemi?pageNo=951", "Onsemi")</f>
        <v>Onsemi</v>
      </c>
      <c r="C4996" s="6">
        <v>37</v>
      </c>
      <c r="D4996" s="7">
        <v>0.69</v>
      </c>
      <c r="E4996" t="s">
        <v>75</v>
      </c>
    </row>
    <row r="4997" spans="1:5" x14ac:dyDescent="0.25">
      <c r="A4997" t="str">
        <f>HYPERLINK("https://www.773grp.com/globalSearch/1.5KE10AG/page-1", "1.5KE10AG")</f>
        <v>1.5KE10AG</v>
      </c>
      <c r="B4997" s="3" t="str">
        <f>HYPERLINK("https://www.773grp.com/manufacturer/onsemi?pageNo=952", "Onsemi")</f>
        <v>Onsemi</v>
      </c>
      <c r="C4997" s="6">
        <v>2754</v>
      </c>
      <c r="D4997" s="7">
        <v>0.69</v>
      </c>
      <c r="E4997" t="s">
        <v>75</v>
      </c>
    </row>
    <row r="4998" spans="1:5" x14ac:dyDescent="0.25">
      <c r="A4998" t="str">
        <f>HYPERLINK("https://www.773grp.com/globalSearch/1.5KE11AG/page-1", "1.5KE11AG")</f>
        <v>1.5KE11AG</v>
      </c>
      <c r="B4998" s="3" t="str">
        <f>HYPERLINK("https://www.773grp.com/manufacturer/onsemi?pageNo=953", "Onsemi")</f>
        <v>Onsemi</v>
      </c>
      <c r="C4998" s="6">
        <v>2500</v>
      </c>
      <c r="D4998" s="7">
        <v>0.69</v>
      </c>
      <c r="E4998" t="s">
        <v>75</v>
      </c>
    </row>
    <row r="4999" spans="1:5" x14ac:dyDescent="0.25">
      <c r="A4999" t="str">
        <f>HYPERLINK("https://www.773grp.com/globalSearch/1.5KE11ARL4/page-1", "1.5KE11ARL4")</f>
        <v>1.5KE11ARL4</v>
      </c>
      <c r="B4999" s="3" t="str">
        <f>HYPERLINK("https://www.773grp.com/manufacturer/onsemi?pageNo=954", "Onsemi")</f>
        <v>Onsemi</v>
      </c>
      <c r="C4999" s="6">
        <v>6000</v>
      </c>
      <c r="D4999" s="7">
        <v>0.69</v>
      </c>
      <c r="E4999" t="s">
        <v>75</v>
      </c>
    </row>
    <row r="5000" spans="1:5" x14ac:dyDescent="0.25">
      <c r="A5000" t="str">
        <f>HYPERLINK("https://www.773grp.com/globalSearch/1.5KE12A/page-1", "1.5KE12A")</f>
        <v>1.5KE12A</v>
      </c>
      <c r="B5000" s="3" t="str">
        <f>HYPERLINK("https://www.773grp.com/manufacturer/onsemi?pageNo=955", "Onsemi")</f>
        <v>Onsemi</v>
      </c>
      <c r="C5000" s="6">
        <v>2500</v>
      </c>
      <c r="D5000" s="7">
        <v>0.69</v>
      </c>
      <c r="E5000" t="s">
        <v>75</v>
      </c>
    </row>
    <row r="5001" spans="1:5" x14ac:dyDescent="0.25">
      <c r="A5001" t="str">
        <f>HYPERLINK("https://www.773grp.com/globalSearch/1.5KE12ARL4/page-1", "1.5KE12ARL4")</f>
        <v>1.5KE12ARL4</v>
      </c>
      <c r="B5001" s="3" t="str">
        <f>HYPERLINK("https://www.773grp.com/manufacturer/onsemi?pageNo=956", "Onsemi")</f>
        <v>Onsemi</v>
      </c>
      <c r="C5001" s="6">
        <v>4500</v>
      </c>
      <c r="D5001" s="7">
        <v>0.69</v>
      </c>
      <c r="E5001" t="s">
        <v>75</v>
      </c>
    </row>
    <row r="5002" spans="1:5" x14ac:dyDescent="0.25">
      <c r="A5002" t="str">
        <f>HYPERLINK("https://www.773grp.com/globalSearch/1.5KE15A/page-1", "1.5KE15A")</f>
        <v>1.5KE15A</v>
      </c>
      <c r="B5002" s="3" t="str">
        <f>HYPERLINK("https://www.773grp.com/manufacturer/onsemi?pageNo=957", "Onsemi")</f>
        <v>Onsemi</v>
      </c>
      <c r="C5002" s="6">
        <v>2000</v>
      </c>
      <c r="D5002" s="7">
        <v>0.69</v>
      </c>
      <c r="E5002" t="s">
        <v>75</v>
      </c>
    </row>
    <row r="5003" spans="1:5" x14ac:dyDescent="0.25">
      <c r="A5003" t="str">
        <f>HYPERLINK("https://www.773grp.com/globalSearch/1.5KE16AG/page-1", "1.5KE16AG")</f>
        <v>1.5KE16AG</v>
      </c>
      <c r="B5003" s="3" t="str">
        <f>HYPERLINK("https://www.773grp.com/manufacturer/onsemi?pageNo=958", "Onsemi")</f>
        <v>Onsemi</v>
      </c>
      <c r="C5003" s="6">
        <v>500</v>
      </c>
      <c r="D5003" s="7">
        <v>0.69</v>
      </c>
      <c r="E5003" t="s">
        <v>75</v>
      </c>
    </row>
    <row r="5004" spans="1:5" x14ac:dyDescent="0.25">
      <c r="A5004" t="str">
        <f>HYPERLINK("https://www.773grp.com/globalSearch/1.5KE22ARL4/page-1", "1.5KE22ARL4")</f>
        <v>1.5KE22ARL4</v>
      </c>
      <c r="B5004" s="3" t="str">
        <f>HYPERLINK("https://www.773grp.com/manufacturer/onsemi?pageNo=959", "Onsemi")</f>
        <v>Onsemi</v>
      </c>
      <c r="C5004" s="6">
        <v>1500</v>
      </c>
      <c r="D5004" s="7">
        <v>0.69</v>
      </c>
      <c r="E5004" t="s">
        <v>75</v>
      </c>
    </row>
    <row r="5005" spans="1:5" x14ac:dyDescent="0.25">
      <c r="A5005" t="str">
        <f>HYPERLINK("https://www.773grp.com/globalSearch/1.5KE27A/page-1", "1.5KE27A")</f>
        <v>1.5KE27A</v>
      </c>
      <c r="B5005" s="3" t="str">
        <f>HYPERLINK("https://www.773grp.com/manufacturer/onsemi?pageNo=960", "Onsemi")</f>
        <v>Onsemi</v>
      </c>
      <c r="C5005" s="6">
        <v>29</v>
      </c>
      <c r="D5005" s="7">
        <v>0.69</v>
      </c>
      <c r="E5005" t="s">
        <v>75</v>
      </c>
    </row>
    <row r="5006" spans="1:5" x14ac:dyDescent="0.25">
      <c r="A5006" t="str">
        <f>HYPERLINK("https://www.773grp.com/globalSearch/1.5KE30A/page-1", "1.5KE30A")</f>
        <v>1.5KE30A</v>
      </c>
      <c r="B5006" s="3" t="str">
        <f>HYPERLINK("https://www.773grp.com/manufacturer/onsemi?pageNo=961", "Onsemi")</f>
        <v>Onsemi</v>
      </c>
      <c r="C5006" s="6">
        <v>11</v>
      </c>
      <c r="D5006" s="7">
        <v>0.69</v>
      </c>
      <c r="E5006" t="s">
        <v>75</v>
      </c>
    </row>
    <row r="5007" spans="1:5" x14ac:dyDescent="0.25">
      <c r="A5007" t="str">
        <f>HYPERLINK("https://www.773grp.com/globalSearch/1.5KE30AG/page-1", "1.5KE30AG")</f>
        <v>1.5KE30AG</v>
      </c>
      <c r="B5007" s="3" t="str">
        <f>HYPERLINK("https://www.773grp.com/manufacturer/onsemi?pageNo=962", "Onsemi")</f>
        <v>Onsemi</v>
      </c>
      <c r="C5007" s="6">
        <v>10000</v>
      </c>
      <c r="D5007" s="7">
        <v>0.69</v>
      </c>
    </row>
    <row r="5008" spans="1:5" x14ac:dyDescent="0.25">
      <c r="A5008" t="str">
        <f>HYPERLINK("https://www.773grp.com/globalSearch/1.5KE30ARL4G/page-1", "1.5KE30ARL4G")</f>
        <v>1.5KE30ARL4G</v>
      </c>
      <c r="B5008" s="3" t="str">
        <f>HYPERLINK("https://www.773grp.com/manufacturer/onsemi?pageNo=963", "Onsemi")</f>
        <v>Onsemi</v>
      </c>
      <c r="C5008" s="6">
        <v>7500</v>
      </c>
      <c r="D5008" s="7">
        <v>0.69</v>
      </c>
      <c r="E5008" t="s">
        <v>75</v>
      </c>
    </row>
    <row r="5009" spans="1:5" x14ac:dyDescent="0.25">
      <c r="A5009" t="str">
        <f>HYPERLINK("https://www.773grp.com/globalSearch/1.5KE33ARL4/page-1", "1.5KE33ARL4")</f>
        <v>1.5KE33ARL4</v>
      </c>
      <c r="B5009" s="3" t="str">
        <f>HYPERLINK("https://www.773grp.com/manufacturer/onsemi?pageNo=964", "Onsemi")</f>
        <v>Onsemi</v>
      </c>
      <c r="C5009" s="6">
        <v>3000</v>
      </c>
      <c r="D5009" s="7">
        <v>0.69</v>
      </c>
      <c r="E5009" t="s">
        <v>75</v>
      </c>
    </row>
    <row r="5010" spans="1:5" x14ac:dyDescent="0.25">
      <c r="A5010" t="str">
        <f>HYPERLINK("https://www.773grp.com/globalSearch/1.5KE36AG/page-1", "1.5KE36AG")</f>
        <v>1.5KE36AG</v>
      </c>
      <c r="B5010" s="3" t="str">
        <f>HYPERLINK("https://www.773grp.com/manufacturer/onsemi?pageNo=965", "Onsemi")</f>
        <v>Onsemi</v>
      </c>
      <c r="C5010" s="6">
        <v>17955</v>
      </c>
      <c r="D5010" s="7">
        <v>0.69</v>
      </c>
      <c r="E5010" t="s">
        <v>75</v>
      </c>
    </row>
    <row r="5011" spans="1:5" x14ac:dyDescent="0.25">
      <c r="A5011" t="str">
        <f>HYPERLINK("https://www.773grp.com/globalSearch/1.5KE36ARL4/page-1", "1.5KE36ARL4")</f>
        <v>1.5KE36ARL4</v>
      </c>
      <c r="B5011" s="3" t="str">
        <f>HYPERLINK("https://www.773grp.com/manufacturer/onsemi?pageNo=966", "Onsemi")</f>
        <v>Onsemi</v>
      </c>
      <c r="C5011" s="6">
        <v>1500</v>
      </c>
      <c r="D5011" s="7">
        <v>0.69</v>
      </c>
      <c r="E5011" t="s">
        <v>75</v>
      </c>
    </row>
    <row r="5012" spans="1:5" x14ac:dyDescent="0.25">
      <c r="A5012" t="str">
        <f>HYPERLINK("https://www.773grp.com/globalSearch/1.5KE43AG/page-1", "1.5KE43AG")</f>
        <v>1.5KE43AG</v>
      </c>
      <c r="B5012" s="3" t="str">
        <f>HYPERLINK("https://www.773grp.com/manufacturer/onsemi?pageNo=967", "Onsemi")</f>
        <v>Onsemi</v>
      </c>
      <c r="C5012" s="6">
        <v>20920</v>
      </c>
      <c r="D5012" s="7">
        <v>0.69</v>
      </c>
      <c r="E5012" t="s">
        <v>75</v>
      </c>
    </row>
    <row r="5013" spans="1:5" x14ac:dyDescent="0.25">
      <c r="A5013" t="str">
        <f>HYPERLINK("https://www.773grp.com/globalSearch/1.5KE43ARL4/page-1", "1.5KE43ARL4")</f>
        <v>1.5KE43ARL4</v>
      </c>
      <c r="B5013" s="3" t="str">
        <f>HYPERLINK("https://www.773grp.com/manufacturer/onsemi?pageNo=968", "Onsemi")</f>
        <v>Onsemi</v>
      </c>
      <c r="C5013" s="6">
        <v>1500</v>
      </c>
      <c r="D5013" s="7">
        <v>0.69</v>
      </c>
      <c r="E5013" t="s">
        <v>75</v>
      </c>
    </row>
    <row r="5014" spans="1:5" x14ac:dyDescent="0.25">
      <c r="A5014" t="str">
        <f>HYPERLINK("https://www.773grp.com/globalSearch/1.5KE56ARL4/page-1", "1.5KE56ARL4")</f>
        <v>1.5KE56ARL4</v>
      </c>
      <c r="B5014" s="3" t="str">
        <f>HYPERLINK("https://www.773grp.com/manufacturer/onsemi?pageNo=969", "Onsemi")</f>
        <v>Onsemi</v>
      </c>
      <c r="C5014" s="6">
        <v>15000</v>
      </c>
      <c r="D5014" s="7">
        <v>0.69</v>
      </c>
      <c r="E5014" t="s">
        <v>75</v>
      </c>
    </row>
    <row r="5015" spans="1:5" x14ac:dyDescent="0.25">
      <c r="A5015" t="str">
        <f>HYPERLINK("https://www.773grp.com/globalSearch/1.5KE6.8A/page-1", "1.5KE6.8A")</f>
        <v>1.5KE6.8A</v>
      </c>
      <c r="B5015" s="3" t="str">
        <f>HYPERLINK("https://www.773grp.com/manufacturer/onsemi?pageNo=970", "Onsemi")</f>
        <v>Onsemi</v>
      </c>
      <c r="C5015" s="6">
        <v>317</v>
      </c>
      <c r="D5015" s="7">
        <v>0.69</v>
      </c>
      <c r="E5015" t="s">
        <v>75</v>
      </c>
    </row>
    <row r="5016" spans="1:5" x14ac:dyDescent="0.25">
      <c r="A5016" t="str">
        <f>HYPERLINK("https://www.773grp.com/globalSearch/1.5KE62A/page-1", "1.5KE62A")</f>
        <v>1.5KE62A</v>
      </c>
      <c r="B5016" s="3" t="str">
        <f>HYPERLINK("https://www.773grp.com/manufacturer/onsemi?pageNo=971", "Onsemi")</f>
        <v>Onsemi</v>
      </c>
      <c r="C5016" s="6">
        <v>665</v>
      </c>
      <c r="D5016" s="7">
        <v>0.69</v>
      </c>
      <c r="E5016" t="s">
        <v>75</v>
      </c>
    </row>
    <row r="5017" spans="1:5" x14ac:dyDescent="0.25">
      <c r="A5017" t="str">
        <f>HYPERLINK("https://www.773grp.com/globalSearch/1.5KE62ARL4/page-1", "1.5KE62ARL4")</f>
        <v>1.5KE62ARL4</v>
      </c>
      <c r="B5017" s="3" t="str">
        <f>HYPERLINK("https://www.773grp.com/manufacturer/onsemi?pageNo=972", "Onsemi")</f>
        <v>Onsemi</v>
      </c>
      <c r="C5017" s="6">
        <v>3000</v>
      </c>
      <c r="D5017" s="7">
        <v>0.69</v>
      </c>
      <c r="E5017" t="s">
        <v>75</v>
      </c>
    </row>
    <row r="5018" spans="1:5" x14ac:dyDescent="0.25">
      <c r="A5018" t="str">
        <f>HYPERLINK("https://www.773grp.com/globalSearch/1.5KE68A/page-1", "1.5KE68A")</f>
        <v>1.5KE68A</v>
      </c>
      <c r="B5018" s="3" t="str">
        <f>HYPERLINK("https://www.773grp.com/manufacturer/onsemi?pageNo=973", "Onsemi")</f>
        <v>Onsemi</v>
      </c>
      <c r="C5018" s="6">
        <v>2505</v>
      </c>
      <c r="D5018" s="7">
        <v>0.69</v>
      </c>
      <c r="E5018" t="s">
        <v>75</v>
      </c>
    </row>
    <row r="5019" spans="1:5" x14ac:dyDescent="0.25">
      <c r="A5019" t="str">
        <f>HYPERLINK("https://www.773grp.com/globalSearch/1.5KE75ARL4G/page-1", "1.5KE75ARL4G")</f>
        <v>1.5KE75ARL4G</v>
      </c>
      <c r="B5019" s="3" t="str">
        <f>HYPERLINK("https://www.773grp.com/manufacturer/onsemi?pageNo=974", "Onsemi")</f>
        <v>Onsemi</v>
      </c>
      <c r="C5019" s="6">
        <v>9863</v>
      </c>
      <c r="D5019" s="7">
        <v>0.69</v>
      </c>
      <c r="E5019" t="s">
        <v>75</v>
      </c>
    </row>
    <row r="5020" spans="1:5" x14ac:dyDescent="0.25">
      <c r="A5020" t="str">
        <f>HYPERLINK("https://www.773grp.com/globalSearch/1.5KE8.2AG/page-1", "1.5KE8.2AG")</f>
        <v>1.5KE8.2AG</v>
      </c>
      <c r="B5020" s="3" t="str">
        <f>HYPERLINK("https://www.773grp.com/manufacturer/onsemi?pageNo=975", "Onsemi")</f>
        <v>Onsemi</v>
      </c>
      <c r="C5020" s="6">
        <v>1000</v>
      </c>
      <c r="D5020" s="7">
        <v>0.69</v>
      </c>
      <c r="E5020" t="s">
        <v>75</v>
      </c>
    </row>
    <row r="5021" spans="1:5" x14ac:dyDescent="0.25">
      <c r="A5021" t="str">
        <f>HYPERLINK("https://www.773grp.com/globalSearch/1.5KE82AG/page-1", "1.5KE82AG")</f>
        <v>1.5KE82AG</v>
      </c>
      <c r="B5021" s="3" t="str">
        <f>HYPERLINK("https://www.773grp.com/manufacturer/onsemi?pageNo=976", "Onsemi")</f>
        <v>Onsemi</v>
      </c>
      <c r="C5021" s="6">
        <v>18000</v>
      </c>
      <c r="D5021" s="7">
        <v>0.69</v>
      </c>
      <c r="E5021" t="s">
        <v>75</v>
      </c>
    </row>
    <row r="5022" spans="1:5" x14ac:dyDescent="0.25">
      <c r="A5022" t="str">
        <f>HYPERLINK("https://www.773grp.com/globalSearch/1.5KE9.1ARL4/page-1", "1.5KE9.1ARL4")</f>
        <v>1.5KE9.1ARL4</v>
      </c>
      <c r="B5022" s="3" t="str">
        <f>HYPERLINK("https://www.773grp.com/manufacturer/onsemi?pageNo=977", "Onsemi")</f>
        <v>Onsemi</v>
      </c>
      <c r="C5022" s="6">
        <v>1500</v>
      </c>
      <c r="D5022" s="7">
        <v>0.69</v>
      </c>
      <c r="E5022" t="s">
        <v>75</v>
      </c>
    </row>
    <row r="5023" spans="1:5" x14ac:dyDescent="0.25">
      <c r="A5023" t="str">
        <f>HYPERLINK("https://www.773grp.com/globalSearch/1.5KE91ARL4G/page-1", "1.5KE91ARL4G")</f>
        <v>1.5KE91ARL4G</v>
      </c>
      <c r="B5023" s="3" t="str">
        <f>HYPERLINK("https://www.773grp.com/manufacturer/onsemi?pageNo=978", "Onsemi")</f>
        <v>Onsemi</v>
      </c>
      <c r="C5023" s="6">
        <v>127500</v>
      </c>
      <c r="D5023" s="7">
        <v>0.69</v>
      </c>
      <c r="E5023" t="s">
        <v>75</v>
      </c>
    </row>
    <row r="5024" spans="1:5" x14ac:dyDescent="0.25">
      <c r="A5024" t="str">
        <f>HYPERLINK("https://www.773grp.com/globalSearch/1N5820G/page-1", "1N5820G")</f>
        <v>1N5820G</v>
      </c>
      <c r="B5024" s="3" t="str">
        <f>HYPERLINK("https://www.773grp.com/manufacturer/onsemi?pageNo=979", "Onsemi")</f>
        <v>Onsemi</v>
      </c>
      <c r="C5024" s="6">
        <v>6651</v>
      </c>
      <c r="D5024" s="7">
        <v>0.69</v>
      </c>
      <c r="E5024" t="s">
        <v>82</v>
      </c>
    </row>
    <row r="5025" spans="1:5" x14ac:dyDescent="0.25">
      <c r="A5025" t="str">
        <f>HYPERLINK("https://www.773grp.com/globalSearch/1N5820RLG/page-1", "1N5820RLG")</f>
        <v>1N5820RLG</v>
      </c>
      <c r="B5025" s="3" t="str">
        <f>HYPERLINK("https://www.773grp.com/manufacturer/onsemi?pageNo=980", "Onsemi")</f>
        <v>Onsemi</v>
      </c>
      <c r="C5025" s="6">
        <v>132113</v>
      </c>
      <c r="D5025" s="7">
        <v>0.69</v>
      </c>
      <c r="E5025" t="s">
        <v>82</v>
      </c>
    </row>
    <row r="5026" spans="1:5" x14ac:dyDescent="0.25">
      <c r="A5026" t="str">
        <f>HYPERLINK("https://www.773grp.com/globalSearch/1N5821G/page-1", "1N5821G")</f>
        <v>1N5821G</v>
      </c>
      <c r="B5026" s="3" t="str">
        <f>HYPERLINK("https://www.773grp.com/manufacturer/onsemi?pageNo=981", "Onsemi")</f>
        <v>Onsemi</v>
      </c>
      <c r="C5026" s="6">
        <v>5000</v>
      </c>
      <c r="D5026" s="7">
        <v>0.69</v>
      </c>
    </row>
    <row r="5027" spans="1:5" x14ac:dyDescent="0.25">
      <c r="A5027" t="str">
        <f>HYPERLINK("https://www.773grp.com/globalSearch/1N5822G/page-1", "1N5822G")</f>
        <v>1N5822G</v>
      </c>
      <c r="B5027" s="3" t="str">
        <f>HYPERLINK("https://www.773grp.com/manufacturer/onsemi?pageNo=982", "Onsemi")</f>
        <v>Onsemi</v>
      </c>
      <c r="C5027" s="6">
        <v>21000</v>
      </c>
      <c r="D5027" s="7">
        <v>0.69</v>
      </c>
      <c r="E5027" t="s">
        <v>82</v>
      </c>
    </row>
    <row r="5028" spans="1:5" x14ac:dyDescent="0.25">
      <c r="A5028" t="str">
        <f>HYPERLINK("https://www.773grp.com/globalSearch/1N5822RLG/page-1", "1N5822RLG")</f>
        <v>1N5822RLG</v>
      </c>
      <c r="B5028" s="3" t="str">
        <f>HYPERLINK("https://www.773grp.com/manufacturer/onsemi?pageNo=983", "Onsemi")</f>
        <v>Onsemi</v>
      </c>
      <c r="C5028" s="6">
        <v>23989</v>
      </c>
      <c r="D5028" s="7">
        <v>0.69</v>
      </c>
      <c r="E5028" t="s">
        <v>82</v>
      </c>
    </row>
    <row r="5029" spans="1:5" x14ac:dyDescent="0.25">
      <c r="A5029" t="str">
        <f>HYPERLINK("https://www.773grp.com/globalSearch/1N5933B/page-1", "1N5933B")</f>
        <v>1N5933B</v>
      </c>
      <c r="B5029" s="3" t="str">
        <f>HYPERLINK("https://www.773grp.com/manufacturer/onsemi?pageNo=984", "Onsemi")</f>
        <v>Onsemi</v>
      </c>
      <c r="C5029" s="6">
        <v>3666</v>
      </c>
      <c r="D5029" s="7">
        <v>0.69</v>
      </c>
      <c r="E5029" t="s">
        <v>77</v>
      </c>
    </row>
    <row r="5030" spans="1:5" x14ac:dyDescent="0.25">
      <c r="A5030" t="str">
        <f>HYPERLINK("https://www.773grp.com/globalSearch/1N5954BRL/page-1", "1N5954BRL")</f>
        <v>1N5954BRL</v>
      </c>
      <c r="B5030" s="3" t="str">
        <f>HYPERLINK("https://www.773grp.com/manufacturer/onsemi?pageNo=985", "Onsemi")</f>
        <v>Onsemi</v>
      </c>
      <c r="C5030" s="6">
        <v>4000</v>
      </c>
      <c r="D5030" s="7">
        <v>0.69</v>
      </c>
      <c r="E5030" t="s">
        <v>77</v>
      </c>
    </row>
    <row r="5031" spans="1:5" x14ac:dyDescent="0.25">
      <c r="A5031" t="str">
        <f>HYPERLINK("https://www.773grp.com/globalSearch/1N6267ARL4/page-1", "1N6267ARL4")</f>
        <v>1N6267ARL4</v>
      </c>
      <c r="B5031" s="3" t="str">
        <f>HYPERLINK("https://www.773grp.com/manufacturer/onsemi?pageNo=986", "Onsemi")</f>
        <v>Onsemi</v>
      </c>
      <c r="C5031" s="6">
        <v>6680</v>
      </c>
      <c r="D5031" s="7">
        <v>0.69</v>
      </c>
      <c r="E5031" t="s">
        <v>75</v>
      </c>
    </row>
    <row r="5032" spans="1:5" x14ac:dyDescent="0.25">
      <c r="A5032" t="str">
        <f>HYPERLINK("https://www.773grp.com/globalSearch/1N6268ARL4G/page-1", "1N6268ARL4G")</f>
        <v>1N6268ARL4G</v>
      </c>
      <c r="B5032" s="3" t="str">
        <f>HYPERLINK("https://www.773grp.com/manufacturer/onsemi?pageNo=987", "Onsemi")</f>
        <v>Onsemi</v>
      </c>
      <c r="C5032" s="6">
        <v>4500</v>
      </c>
      <c r="D5032" s="7">
        <v>0.69</v>
      </c>
      <c r="E5032" t="s">
        <v>75</v>
      </c>
    </row>
    <row r="5033" spans="1:5" x14ac:dyDescent="0.25">
      <c r="A5033" t="str">
        <f>HYPERLINK("https://www.773grp.com/globalSearch/1N6271A/page-1", "1N6271A")</f>
        <v>1N6271A</v>
      </c>
      <c r="B5033" s="3" t="str">
        <f>HYPERLINK("https://www.773grp.com/manufacturer/onsemi?pageNo=988", "Onsemi")</f>
        <v>Onsemi</v>
      </c>
      <c r="C5033" s="6">
        <v>8</v>
      </c>
      <c r="D5033" s="7">
        <v>0.69</v>
      </c>
      <c r="E5033" t="s">
        <v>75</v>
      </c>
    </row>
    <row r="5034" spans="1:5" x14ac:dyDescent="0.25">
      <c r="A5034" t="str">
        <f>HYPERLINK("https://www.773grp.com/globalSearch/1N6271AG/page-1", "1N6271AG")</f>
        <v>1N6271AG</v>
      </c>
      <c r="B5034" s="3" t="str">
        <f>HYPERLINK("https://www.773grp.com/manufacturer/onsemi?pageNo=989", "Onsemi")</f>
        <v>Onsemi</v>
      </c>
      <c r="C5034" s="6">
        <v>2530</v>
      </c>
      <c r="D5034" s="7">
        <v>0.69</v>
      </c>
      <c r="E5034" t="s">
        <v>75</v>
      </c>
    </row>
    <row r="5035" spans="1:5" x14ac:dyDescent="0.25">
      <c r="A5035" t="str">
        <f>HYPERLINK("https://www.773grp.com/globalSearch/1N6272AG/page-1", "1N6272AG")</f>
        <v>1N6272AG</v>
      </c>
      <c r="B5035" s="3" t="str">
        <f>HYPERLINK("https://www.773grp.com/manufacturer/onsemi?pageNo=990", "Onsemi")</f>
        <v>Onsemi</v>
      </c>
      <c r="C5035" s="6">
        <v>3935</v>
      </c>
      <c r="D5035" s="7">
        <v>0.69</v>
      </c>
      <c r="E5035" t="s">
        <v>75</v>
      </c>
    </row>
    <row r="5036" spans="1:5" x14ac:dyDescent="0.25">
      <c r="A5036" t="str">
        <f>HYPERLINK("https://www.773grp.com/globalSearch/1N6273ARL4/page-1", "1N6273ARL4")</f>
        <v>1N6273ARL4</v>
      </c>
      <c r="B5036" s="3" t="str">
        <f>HYPERLINK("https://www.773grp.com/manufacturer/onsemi?pageNo=991", "Onsemi")</f>
        <v>Onsemi</v>
      </c>
      <c r="C5036" s="6">
        <v>1500</v>
      </c>
      <c r="D5036" s="7">
        <v>0.69</v>
      </c>
      <c r="E5036" t="s">
        <v>75</v>
      </c>
    </row>
    <row r="5037" spans="1:5" x14ac:dyDescent="0.25">
      <c r="A5037" t="str">
        <f>HYPERLINK("https://www.773grp.com/globalSearch/1N6274A/page-1", "1N6274A")</f>
        <v>1N6274A</v>
      </c>
      <c r="B5037" s="3" t="str">
        <f>HYPERLINK("https://www.773grp.com/manufacturer/onsemi?pageNo=992", "Onsemi")</f>
        <v>Onsemi</v>
      </c>
      <c r="C5037" s="6">
        <v>1435</v>
      </c>
      <c r="D5037" s="7">
        <v>0.69</v>
      </c>
      <c r="E5037" t="s">
        <v>75</v>
      </c>
    </row>
    <row r="5038" spans="1:5" x14ac:dyDescent="0.25">
      <c r="A5038" t="str">
        <f>HYPERLINK("https://www.773grp.com/globalSearch/1N6274ARL4G/page-1", "1N6274ARL4G")</f>
        <v>1N6274ARL4G</v>
      </c>
      <c r="B5038" s="3" t="str">
        <f>HYPERLINK("https://www.773grp.com/manufacturer/onsemi?pageNo=993", "Onsemi")</f>
        <v>Onsemi</v>
      </c>
      <c r="C5038" s="6">
        <v>1500</v>
      </c>
      <c r="D5038" s="7">
        <v>0.69</v>
      </c>
      <c r="E5038" t="s">
        <v>75</v>
      </c>
    </row>
    <row r="5039" spans="1:5" x14ac:dyDescent="0.25">
      <c r="A5039" t="str">
        <f>HYPERLINK("https://www.773grp.com/globalSearch/1N6275AG/page-1", "1N6275AG")</f>
        <v>1N6275AG</v>
      </c>
      <c r="B5039" s="3" t="str">
        <f>HYPERLINK("https://www.773grp.com/manufacturer/onsemi?pageNo=994", "Onsemi")</f>
        <v>Onsemi</v>
      </c>
      <c r="C5039" s="6">
        <v>4108</v>
      </c>
      <c r="D5039" s="7">
        <v>0.69</v>
      </c>
      <c r="E5039" t="s">
        <v>75</v>
      </c>
    </row>
    <row r="5040" spans="1:5" x14ac:dyDescent="0.25">
      <c r="A5040" t="str">
        <f>HYPERLINK("https://www.773grp.com/globalSearch/1N6276A/page-1", "1N6276A")</f>
        <v>1N6276A</v>
      </c>
      <c r="B5040" s="3" t="str">
        <f>HYPERLINK("https://www.773grp.com/manufacturer/onsemi?pageNo=995", "Onsemi")</f>
        <v>Onsemi</v>
      </c>
      <c r="C5040" s="6">
        <v>2000</v>
      </c>
      <c r="D5040" s="7">
        <v>0.69</v>
      </c>
      <c r="E5040" t="s">
        <v>75</v>
      </c>
    </row>
    <row r="5041" spans="1:5" x14ac:dyDescent="0.25">
      <c r="A5041" t="str">
        <f>HYPERLINK("https://www.773grp.com/globalSearch/1N6276ARL4/page-1", "1N6276ARL4")</f>
        <v>1N6276ARL4</v>
      </c>
      <c r="B5041" s="3" t="str">
        <f>HYPERLINK("https://www.773grp.com/manufacturer/onsemi?pageNo=996", "Onsemi")</f>
        <v>Onsemi</v>
      </c>
      <c r="C5041" s="6">
        <v>16500</v>
      </c>
      <c r="D5041" s="7">
        <v>0.69</v>
      </c>
      <c r="E5041" t="s">
        <v>75</v>
      </c>
    </row>
    <row r="5042" spans="1:5" x14ac:dyDescent="0.25">
      <c r="A5042" t="str">
        <f>HYPERLINK("https://www.773grp.com/globalSearch/1N6277AG/page-1", "1N6277AG")</f>
        <v>1N6277AG</v>
      </c>
      <c r="B5042" s="3" t="str">
        <f>HYPERLINK("https://www.773grp.com/manufacturer/onsemi?pageNo=997", "Onsemi")</f>
        <v>Onsemi</v>
      </c>
      <c r="C5042" s="6">
        <v>5503</v>
      </c>
      <c r="D5042" s="7">
        <v>0.69</v>
      </c>
      <c r="E5042" t="s">
        <v>75</v>
      </c>
    </row>
    <row r="5043" spans="1:5" x14ac:dyDescent="0.25">
      <c r="A5043" t="str">
        <f>HYPERLINK("https://www.773grp.com/globalSearch/1N6279A/page-1", "1N6279A")</f>
        <v>1N6279A</v>
      </c>
      <c r="B5043" s="3" t="str">
        <f>HYPERLINK("https://www.773grp.com/manufacturer/onsemi?pageNo=998", "Onsemi")</f>
        <v>Onsemi</v>
      </c>
      <c r="C5043" s="6">
        <v>505</v>
      </c>
      <c r="D5043" s="7">
        <v>0.69</v>
      </c>
      <c r="E5043" t="s">
        <v>75</v>
      </c>
    </row>
    <row r="5044" spans="1:5" x14ac:dyDescent="0.25">
      <c r="A5044" t="str">
        <f>HYPERLINK("https://www.773grp.com/globalSearch/1N6280AG/page-1", "1N6280AG")</f>
        <v>1N6280AG</v>
      </c>
      <c r="B5044" s="3" t="str">
        <f>HYPERLINK("https://www.773grp.com/manufacturer/onsemi?pageNo=999", "Onsemi")</f>
        <v>Onsemi</v>
      </c>
      <c r="C5044" s="6">
        <v>500</v>
      </c>
      <c r="D5044" s="7">
        <v>0.69</v>
      </c>
      <c r="E5044" t="s">
        <v>75</v>
      </c>
    </row>
    <row r="5045" spans="1:5" x14ac:dyDescent="0.25">
      <c r="A5045" t="str">
        <f>HYPERLINK("https://www.773grp.com/globalSearch/1N6282AG/page-1", "1N6282AG")</f>
        <v>1N6282AG</v>
      </c>
      <c r="B5045" s="3" t="str">
        <f>HYPERLINK("https://www.773grp.com/manufacturer/onsemi?pageNo=1000", "Onsemi")</f>
        <v>Onsemi</v>
      </c>
      <c r="C5045" s="6">
        <v>11500</v>
      </c>
      <c r="D5045" s="7">
        <v>0.69</v>
      </c>
      <c r="E5045" t="s">
        <v>75</v>
      </c>
    </row>
    <row r="5046" spans="1:5" x14ac:dyDescent="0.25">
      <c r="A5046" t="str">
        <f>HYPERLINK("https://www.773grp.com/globalSearch/1N6282ARL4G/page-1", "1N6282ARL4G")</f>
        <v>1N6282ARL4G</v>
      </c>
      <c r="B5046" s="3" t="str">
        <f>HYPERLINK("https://www.773grp.com/manufacturer/onsemi?pageNo=1001", "Onsemi")</f>
        <v>Onsemi</v>
      </c>
      <c r="C5046" s="6">
        <v>67500</v>
      </c>
      <c r="D5046" s="7">
        <v>0.69</v>
      </c>
      <c r="E5046" t="s">
        <v>75</v>
      </c>
    </row>
    <row r="5047" spans="1:5" x14ac:dyDescent="0.25">
      <c r="A5047" t="str">
        <f>HYPERLINK("https://www.773grp.com/globalSearch/1N6284AG/page-1", "1N6284AG")</f>
        <v>1N6284AG</v>
      </c>
      <c r="B5047" s="3" t="str">
        <f>HYPERLINK("https://www.773grp.com/manufacturer/onsemi?pageNo=1002", "Onsemi")</f>
        <v>Onsemi</v>
      </c>
      <c r="C5047" s="6">
        <v>10633</v>
      </c>
      <c r="D5047" s="7">
        <v>0.69</v>
      </c>
      <c r="E5047" t="s">
        <v>75</v>
      </c>
    </row>
    <row r="5048" spans="1:5" x14ac:dyDescent="0.25">
      <c r="A5048" t="str">
        <f>HYPERLINK("https://www.773grp.com/globalSearch/1N6284ARL4G/page-1", "1N6284ARL4G")</f>
        <v>1N6284ARL4G</v>
      </c>
      <c r="B5048" s="3" t="str">
        <f>HYPERLINK("https://www.773grp.com/manufacturer/onsemi?pageNo=1003", "Onsemi")</f>
        <v>Onsemi</v>
      </c>
      <c r="C5048" s="6">
        <v>3000</v>
      </c>
      <c r="D5048" s="7">
        <v>0.69</v>
      </c>
    </row>
    <row r="5049" spans="1:5" x14ac:dyDescent="0.25">
      <c r="A5049" t="str">
        <f>HYPERLINK("https://www.773grp.com/globalSearch/1N6286ARL4/page-1", "1N6286ARL4")</f>
        <v>1N6286ARL4</v>
      </c>
      <c r="B5049" s="3" t="str">
        <f>HYPERLINK("https://www.773grp.com/manufacturer/onsemi?pageNo=1004", "Onsemi")</f>
        <v>Onsemi</v>
      </c>
      <c r="C5049" s="6">
        <v>1500</v>
      </c>
      <c r="D5049" s="7">
        <v>0.69</v>
      </c>
      <c r="E5049" t="s">
        <v>75</v>
      </c>
    </row>
    <row r="5050" spans="1:5" x14ac:dyDescent="0.25">
      <c r="A5050" t="str">
        <f>HYPERLINK("https://www.773grp.com/globalSearch/1N6290AG/page-1", "1N6290AG")</f>
        <v>1N6290AG</v>
      </c>
      <c r="B5050" s="3" t="str">
        <f>HYPERLINK("https://www.773grp.com/manufacturer/onsemi?pageNo=1005", "Onsemi")</f>
        <v>Onsemi</v>
      </c>
      <c r="C5050" s="6">
        <v>10560</v>
      </c>
      <c r="D5050" s="7">
        <v>0.69</v>
      </c>
      <c r="E5050" t="s">
        <v>75</v>
      </c>
    </row>
    <row r="5051" spans="1:5" x14ac:dyDescent="0.25">
      <c r="A5051" t="str">
        <f>HYPERLINK("https://www.773grp.com/globalSearch/1N6290ARL4/page-1", "1N6290ARL4")</f>
        <v>1N6290ARL4</v>
      </c>
      <c r="B5051" s="3" t="str">
        <f>HYPERLINK("https://www.773grp.com/manufacturer/onsemi?pageNo=1006", "Onsemi")</f>
        <v>Onsemi</v>
      </c>
      <c r="C5051" s="6">
        <v>1500</v>
      </c>
      <c r="D5051" s="7">
        <v>0.69</v>
      </c>
      <c r="E5051" t="s">
        <v>75</v>
      </c>
    </row>
    <row r="5052" spans="1:5" x14ac:dyDescent="0.25">
      <c r="A5052" t="str">
        <f>HYPERLINK("https://www.773grp.com/globalSearch/1N6291A/page-1", "1N6291A")</f>
        <v>1N6291A</v>
      </c>
      <c r="B5052" s="3" t="str">
        <f>HYPERLINK("https://www.773grp.com/manufacturer/onsemi?pageNo=1007", "Onsemi")</f>
        <v>Onsemi</v>
      </c>
      <c r="C5052" s="6">
        <v>4401</v>
      </c>
      <c r="D5052" s="7">
        <v>0.69</v>
      </c>
      <c r="E5052" t="s">
        <v>75</v>
      </c>
    </row>
    <row r="5053" spans="1:5" x14ac:dyDescent="0.25">
      <c r="A5053" t="str">
        <f>HYPERLINK("https://www.773grp.com/globalSearch/1N6293ARL4G/page-1", "1N6293ARL4G")</f>
        <v>1N6293ARL4G</v>
      </c>
      <c r="B5053" s="3" t="str">
        <f>HYPERLINK("https://www.773grp.com/manufacturer/onsemi?pageNo=1008", "Onsemi")</f>
        <v>Onsemi</v>
      </c>
      <c r="C5053" s="6">
        <v>6000</v>
      </c>
      <c r="D5053" s="7">
        <v>0.69</v>
      </c>
      <c r="E5053" t="s">
        <v>75</v>
      </c>
    </row>
    <row r="5054" spans="1:5" x14ac:dyDescent="0.25">
      <c r="A5054" t="str">
        <f>HYPERLINK("https://www.773grp.com/globalSearch/1N6294AG/page-1", "1N6294AG")</f>
        <v>1N6294AG</v>
      </c>
      <c r="B5054" s="3" t="str">
        <f>HYPERLINK("https://www.773grp.com/manufacturer/onsemi?pageNo=1009", "Onsemi")</f>
        <v>Onsemi</v>
      </c>
      <c r="C5054" s="6">
        <v>500</v>
      </c>
      <c r="D5054" s="7">
        <v>0.69</v>
      </c>
      <c r="E5054" t="s">
        <v>75</v>
      </c>
    </row>
    <row r="5055" spans="1:5" x14ac:dyDescent="0.25">
      <c r="A5055" t="str">
        <f>HYPERLINK("https://www.773grp.com/globalSearch/1N6294ARL4G/page-1", "1N6294ARL4G")</f>
        <v>1N6294ARL4G</v>
      </c>
      <c r="B5055" s="3" t="str">
        <f>HYPERLINK("https://www.773grp.com/manufacturer/onsemi?pageNo=1010", "Onsemi")</f>
        <v>Onsemi</v>
      </c>
      <c r="C5055" s="6">
        <v>3000</v>
      </c>
      <c r="D5055" s="7">
        <v>0.69</v>
      </c>
      <c r="E5055" t="s">
        <v>75</v>
      </c>
    </row>
    <row r="5056" spans="1:5" x14ac:dyDescent="0.25">
      <c r="A5056" t="str">
        <f>HYPERLINK("https://www.773grp.com/globalSearch/1N6375/page-1", "1N6375")</f>
        <v>1N6375</v>
      </c>
      <c r="B5056" s="3" t="str">
        <f>HYPERLINK("https://www.773grp.com/manufacturer/onsemi?pageNo=1011", "Onsemi")</f>
        <v>Onsemi</v>
      </c>
      <c r="C5056" s="6">
        <v>705</v>
      </c>
      <c r="D5056" s="7">
        <v>0.69</v>
      </c>
      <c r="E5056" t="s">
        <v>75</v>
      </c>
    </row>
    <row r="5057" spans="1:5" x14ac:dyDescent="0.25">
      <c r="A5057" t="str">
        <f>HYPERLINK("https://www.773grp.com/globalSearch/1N6375G/page-1", "1N6375G")</f>
        <v>1N6375G</v>
      </c>
      <c r="B5057" s="3" t="str">
        <f>HYPERLINK("https://www.773grp.com/manufacturer/onsemi?pageNo=1012", "Onsemi")</f>
        <v>Onsemi</v>
      </c>
      <c r="C5057" s="6">
        <v>1410</v>
      </c>
      <c r="D5057" s="7">
        <v>0.69</v>
      </c>
      <c r="E5057" t="s">
        <v>75</v>
      </c>
    </row>
    <row r="5058" spans="1:5" x14ac:dyDescent="0.25">
      <c r="A5058" t="str">
        <f>HYPERLINK("https://www.773grp.com/globalSearch/1N6380RL4/page-1", "1N6380RL4")</f>
        <v>1N6380RL4</v>
      </c>
      <c r="B5058" s="3" t="str">
        <f>HYPERLINK("https://www.773grp.com/manufacturer/onsemi?pageNo=1013", "Onsemi")</f>
        <v>Onsemi</v>
      </c>
      <c r="C5058" s="6">
        <v>3000</v>
      </c>
      <c r="D5058" s="7">
        <v>0.69</v>
      </c>
      <c r="E5058" t="s">
        <v>75</v>
      </c>
    </row>
    <row r="5059" spans="1:5" x14ac:dyDescent="0.25">
      <c r="A5059" t="str">
        <f>HYPERLINK("https://www.773grp.com/globalSearch/1PMT12AT1G/page-1", "1PMT12AT1G")</f>
        <v>1PMT12AT1G</v>
      </c>
      <c r="B5059" s="3" t="str">
        <f>HYPERLINK("https://www.773grp.com/manufacturer/onsemi?pageNo=1014", "Onsemi")</f>
        <v>Onsemi</v>
      </c>
      <c r="C5059" s="6">
        <v>5900</v>
      </c>
      <c r="D5059" s="7">
        <v>0.69</v>
      </c>
      <c r="E5059" t="s">
        <v>75</v>
      </c>
    </row>
    <row r="5060" spans="1:5" x14ac:dyDescent="0.25">
      <c r="A5060" t="str">
        <f>HYPERLINK("https://www.773grp.com/globalSearch/1PMT12AT3G/page-1", "1PMT12AT3G")</f>
        <v>1PMT12AT3G</v>
      </c>
      <c r="B5060" s="3" t="str">
        <f>HYPERLINK("https://www.773grp.com/manufacturer/onsemi?pageNo=1015", "Onsemi")</f>
        <v>Onsemi</v>
      </c>
      <c r="C5060" s="6">
        <v>12000</v>
      </c>
      <c r="D5060" s="7">
        <v>0.69</v>
      </c>
      <c r="E5060" t="s">
        <v>75</v>
      </c>
    </row>
    <row r="5061" spans="1:5" x14ac:dyDescent="0.25">
      <c r="A5061" t="str">
        <f>HYPERLINK("https://www.773grp.com/globalSearch/1PMT16AT3G/page-1", "1PMT16AT3G")</f>
        <v>1PMT16AT3G</v>
      </c>
      <c r="B5061" s="3" t="str">
        <f>HYPERLINK("https://www.773grp.com/manufacturer/onsemi?pageNo=1016", "Onsemi")</f>
        <v>Onsemi</v>
      </c>
      <c r="C5061" s="6">
        <v>2508000</v>
      </c>
      <c r="D5061" s="7">
        <v>0.69</v>
      </c>
      <c r="E5061" t="s">
        <v>75</v>
      </c>
    </row>
    <row r="5062" spans="1:5" x14ac:dyDescent="0.25">
      <c r="A5062" t="str">
        <f>HYPERLINK("https://www.773grp.com/globalSearch/1PMT24AT1/page-1", "1PMT24AT1")</f>
        <v>1PMT24AT1</v>
      </c>
      <c r="B5062" s="3" t="str">
        <f>HYPERLINK("https://www.773grp.com/manufacturer/onsemi?pageNo=1017", "Onsemi")</f>
        <v>Onsemi</v>
      </c>
      <c r="C5062" s="6">
        <v>3000</v>
      </c>
      <c r="D5062" s="7">
        <v>0.69</v>
      </c>
      <c r="E5062" t="s">
        <v>75</v>
      </c>
    </row>
    <row r="5063" spans="1:5" x14ac:dyDescent="0.25">
      <c r="A5063" t="str">
        <f>HYPERLINK("https://www.773grp.com/globalSearch/1PMT36AT1/page-1", "1PMT36AT1")</f>
        <v>1PMT36AT1</v>
      </c>
      <c r="B5063" s="3" t="str">
        <f>HYPERLINK("https://www.773grp.com/manufacturer/onsemi?pageNo=1018", "Onsemi")</f>
        <v>Onsemi</v>
      </c>
      <c r="C5063" s="6">
        <v>9000</v>
      </c>
      <c r="D5063" s="7">
        <v>0.69</v>
      </c>
      <c r="E5063" t="s">
        <v>75</v>
      </c>
    </row>
    <row r="5064" spans="1:5" x14ac:dyDescent="0.25">
      <c r="A5064" t="str">
        <f>HYPERLINK("https://www.773grp.com/globalSearch/1PMT5.0AT1G/page-1", "1PMT5.0AT1G")</f>
        <v>1PMT5.0AT1G</v>
      </c>
      <c r="B5064" s="3" t="str">
        <f>HYPERLINK("https://www.773grp.com/manufacturer/onsemi?pageNo=1019", "Onsemi")</f>
        <v>Onsemi</v>
      </c>
      <c r="C5064" s="6">
        <v>29823</v>
      </c>
      <c r="D5064" s="7">
        <v>0.69</v>
      </c>
      <c r="E5064" t="s">
        <v>75</v>
      </c>
    </row>
    <row r="5065" spans="1:5" x14ac:dyDescent="0.25">
      <c r="A5065" t="str">
        <f>HYPERLINK("https://www.773grp.com/globalSearch/1PMT5.0AT3G/page-1", "1PMT5.0AT3G")</f>
        <v>1PMT5.0AT3G</v>
      </c>
      <c r="B5065" s="3" t="str">
        <f>HYPERLINK("https://www.773grp.com/manufacturer/onsemi?pageNo=1020", "Onsemi")</f>
        <v>Onsemi</v>
      </c>
      <c r="C5065" s="6">
        <v>12620</v>
      </c>
      <c r="D5065" s="7">
        <v>0.69</v>
      </c>
      <c r="E5065" t="s">
        <v>75</v>
      </c>
    </row>
    <row r="5066" spans="1:5" x14ac:dyDescent="0.25">
      <c r="A5066" t="str">
        <f>HYPERLINK("https://www.773grp.com/globalSearch/1PMT5920BT1G/page-1", "1PMT5920BT1G")</f>
        <v>1PMT5920BT1G</v>
      </c>
      <c r="B5066" s="3" t="str">
        <f>HYPERLINK("https://www.773grp.com/manufacturer/onsemi?pageNo=1021", "Onsemi")</f>
        <v>Onsemi</v>
      </c>
      <c r="C5066" s="6">
        <v>9000</v>
      </c>
      <c r="D5066" s="7">
        <v>0.69</v>
      </c>
    </row>
    <row r="5067" spans="1:5" x14ac:dyDescent="0.25">
      <c r="A5067" t="str">
        <f>HYPERLINK("https://www.773grp.com/globalSearch/1PMT5921BT1G/page-1", "1PMT5921BT1G")</f>
        <v>1PMT5921BT1G</v>
      </c>
      <c r="B5067" s="3" t="str">
        <f>HYPERLINK("https://www.773grp.com/manufacturer/onsemi?pageNo=1022", "Onsemi")</f>
        <v>Onsemi</v>
      </c>
      <c r="C5067" s="6">
        <v>3000</v>
      </c>
      <c r="D5067" s="7">
        <v>0.69</v>
      </c>
    </row>
    <row r="5068" spans="1:5" x14ac:dyDescent="0.25">
      <c r="A5068" t="str">
        <f>HYPERLINK("https://www.773grp.com/globalSearch/1PMT5927BT1G/page-1", "1PMT5927BT1G")</f>
        <v>1PMT5927BT1G</v>
      </c>
      <c r="B5068" s="3" t="str">
        <f>HYPERLINK("https://www.773grp.com/manufacturer/onsemi?pageNo=1023", "Onsemi")</f>
        <v>Onsemi</v>
      </c>
      <c r="C5068" s="6">
        <v>4771</v>
      </c>
      <c r="D5068" s="7">
        <v>0.69</v>
      </c>
      <c r="E5068" t="s">
        <v>77</v>
      </c>
    </row>
    <row r="5069" spans="1:5" x14ac:dyDescent="0.25">
      <c r="A5069" t="str">
        <f>HYPERLINK("https://www.773grp.com/globalSearch/2N4921/page-1", "2N4921")</f>
        <v>2N4921</v>
      </c>
      <c r="B5069" s="3" t="str">
        <f>HYPERLINK("https://www.773grp.com/manufacturer/onsemi?pageNo=1024", "Onsemi")</f>
        <v>Onsemi</v>
      </c>
      <c r="C5069" s="6">
        <v>784</v>
      </c>
      <c r="D5069" s="7">
        <v>0.69</v>
      </c>
      <c r="E5069" t="s">
        <v>47</v>
      </c>
    </row>
    <row r="5070" spans="1:5" x14ac:dyDescent="0.25">
      <c r="A5070" t="str">
        <f>HYPERLINK("https://www.773grp.com/globalSearch/2N4922/page-1", "2N4922")</f>
        <v>2N4922</v>
      </c>
      <c r="B5070" s="3" t="str">
        <f>HYPERLINK("https://www.773grp.com/manufacturer/onsemi?pageNo=1025", "Onsemi")</f>
        <v>Onsemi</v>
      </c>
      <c r="C5070" s="6">
        <v>16347</v>
      </c>
      <c r="D5070" s="7">
        <v>0.69</v>
      </c>
      <c r="E5070" t="s">
        <v>57</v>
      </c>
    </row>
    <row r="5071" spans="1:5" x14ac:dyDescent="0.25">
      <c r="A5071" t="str">
        <f>HYPERLINK("https://www.773grp.com/globalSearch/2SA1705T-AN/page-1", "2SA1705T-AN")</f>
        <v>2SA1705T-AN</v>
      </c>
      <c r="B5071" s="3" t="str">
        <f>HYPERLINK("https://www.773grp.com/manufacturer/onsemi?pageNo=1026", "Onsemi")</f>
        <v>Onsemi</v>
      </c>
      <c r="C5071" s="6">
        <v>5000</v>
      </c>
      <c r="D5071" s="7">
        <v>0.69</v>
      </c>
    </row>
    <row r="5072" spans="1:5" x14ac:dyDescent="0.25">
      <c r="A5072" t="str">
        <f>HYPERLINK("https://www.773grp.com/globalSearch/2SB1123S-TD-E/page-1", "2SB1123S-TD-E")</f>
        <v>2SB1123S-TD-E</v>
      </c>
      <c r="B5072" s="3" t="str">
        <f>HYPERLINK("https://www.773grp.com/manufacturer/onsemi?pageNo=1027", "Onsemi")</f>
        <v>Onsemi</v>
      </c>
      <c r="C5072" s="6">
        <v>3000</v>
      </c>
      <c r="D5072" s="7">
        <v>0.69</v>
      </c>
    </row>
    <row r="5073" spans="1:5" x14ac:dyDescent="0.25">
      <c r="A5073" t="str">
        <f>HYPERLINK("https://www.773grp.com/globalSearch/74FS3126DTR2/page-1", "74FS3126DTR2")</f>
        <v>74FS3126DTR2</v>
      </c>
      <c r="B5073" s="3" t="str">
        <f>HYPERLINK("https://www.773grp.com/manufacturer/onsemi?pageNo=1028", "Onsemi")</f>
        <v>Onsemi</v>
      </c>
      <c r="C5073" s="6">
        <v>2500</v>
      </c>
      <c r="D5073" s="7">
        <v>0.69</v>
      </c>
    </row>
    <row r="5074" spans="1:5" x14ac:dyDescent="0.25">
      <c r="A5074" t="str">
        <f>HYPERLINK("https://www.773grp.com/globalSearch/74FST3125D/page-1", "74FST3125D")</f>
        <v>74FST3125D</v>
      </c>
      <c r="B5074" s="3" t="str">
        <f>HYPERLINK("https://www.773grp.com/manufacturer/onsemi?pageNo=1029", "Onsemi")</f>
        <v>Onsemi</v>
      </c>
      <c r="C5074" s="6">
        <v>1375</v>
      </c>
      <c r="D5074" s="7">
        <v>0.69</v>
      </c>
      <c r="E5074" t="s">
        <v>11</v>
      </c>
    </row>
    <row r="5075" spans="1:5" x14ac:dyDescent="0.25">
      <c r="A5075" t="str">
        <f>HYPERLINK("https://www.773grp.com/globalSearch/74FST3125DR2/page-1", "74FST3125DR2")</f>
        <v>74FST3125DR2</v>
      </c>
      <c r="B5075" s="3" t="str">
        <f>HYPERLINK("https://www.773grp.com/manufacturer/onsemi?pageNo=1030", "Onsemi")</f>
        <v>Onsemi</v>
      </c>
      <c r="C5075" s="6">
        <v>7500</v>
      </c>
      <c r="D5075" s="7">
        <v>0.69</v>
      </c>
      <c r="E5075" t="s">
        <v>11</v>
      </c>
    </row>
    <row r="5076" spans="1:5" x14ac:dyDescent="0.25">
      <c r="A5076" t="str">
        <f>HYPERLINK("https://www.773grp.com/globalSearch/74FST3125DTR2/page-1", "74FST3125DTR2")</f>
        <v>74FST3125DTR2</v>
      </c>
      <c r="B5076" s="3" t="str">
        <f>HYPERLINK("https://www.773grp.com/manufacturer/onsemi?pageNo=1031", "Onsemi")</f>
        <v>Onsemi</v>
      </c>
      <c r="C5076" s="6">
        <v>19720</v>
      </c>
      <c r="D5076" s="7">
        <v>0.69</v>
      </c>
      <c r="E5076" t="s">
        <v>11</v>
      </c>
    </row>
    <row r="5077" spans="1:5" x14ac:dyDescent="0.25">
      <c r="A5077" t="str">
        <f>HYPERLINK("https://www.773grp.com/globalSearch/74FST3126D/page-1", "74FST3126D")</f>
        <v>74FST3126D</v>
      </c>
      <c r="B5077" s="3" t="str">
        <f>HYPERLINK("https://www.773grp.com/manufacturer/onsemi?pageNo=1032", "Onsemi")</f>
        <v>Onsemi</v>
      </c>
      <c r="C5077" s="6">
        <v>98285</v>
      </c>
      <c r="D5077" s="7">
        <v>0.69</v>
      </c>
      <c r="E5077" t="s">
        <v>11</v>
      </c>
    </row>
    <row r="5078" spans="1:5" x14ac:dyDescent="0.25">
      <c r="A5078" t="str">
        <f>HYPERLINK("https://www.773grp.com/globalSearch/74FST3126DT/page-1", "74FST3126DT")</f>
        <v>74FST3126DT</v>
      </c>
      <c r="B5078" s="3" t="str">
        <f>HYPERLINK("https://www.773grp.com/manufacturer/onsemi?pageNo=1033", "Onsemi")</f>
        <v>Onsemi</v>
      </c>
      <c r="C5078" s="6">
        <v>6984</v>
      </c>
      <c r="D5078" s="7">
        <v>0.69</v>
      </c>
      <c r="E5078" t="s">
        <v>11</v>
      </c>
    </row>
    <row r="5079" spans="1:5" x14ac:dyDescent="0.25">
      <c r="A5079" t="str">
        <f>HYPERLINK("https://www.773grp.com/globalSearch/74FST3126DTR2/page-1", "74FST3126DTR2")</f>
        <v>74FST3126DTR2</v>
      </c>
      <c r="B5079" s="3" t="str">
        <f>HYPERLINK("https://www.773grp.com/manufacturer/onsemi?pageNo=1034", "Onsemi")</f>
        <v>Onsemi</v>
      </c>
      <c r="C5079" s="6">
        <v>12500</v>
      </c>
      <c r="D5079" s="7">
        <v>0.69</v>
      </c>
      <c r="E5079" t="s">
        <v>11</v>
      </c>
    </row>
    <row r="5080" spans="1:5" x14ac:dyDescent="0.25">
      <c r="A5080" t="str">
        <f>HYPERLINK("https://www.773grp.com/globalSearch/74FST3244QS/page-1", "74FST3244QS")</f>
        <v>74FST3244QS</v>
      </c>
      <c r="B5080" s="3" t="str">
        <f>HYPERLINK("https://www.773grp.com/manufacturer/onsemi?pageNo=1035", "Onsemi")</f>
        <v>Onsemi</v>
      </c>
      <c r="C5080" s="6">
        <v>16660</v>
      </c>
      <c r="D5080" s="7">
        <v>0.69</v>
      </c>
      <c r="E5080" t="s">
        <v>11</v>
      </c>
    </row>
    <row r="5081" spans="1:5" x14ac:dyDescent="0.25">
      <c r="A5081" t="str">
        <f>HYPERLINK("https://www.773grp.com/globalSearch/74FST3245DW/page-1", "74FST3245DW")</f>
        <v>74FST3245DW</v>
      </c>
      <c r="B5081" s="3" t="str">
        <f>HYPERLINK("https://www.773grp.com/manufacturer/onsemi?pageNo=1036", "Onsemi")</f>
        <v>Onsemi</v>
      </c>
      <c r="C5081" s="6">
        <v>1876</v>
      </c>
      <c r="D5081" s="7">
        <v>0.69</v>
      </c>
      <c r="E5081" t="s">
        <v>11</v>
      </c>
    </row>
    <row r="5082" spans="1:5" x14ac:dyDescent="0.25">
      <c r="A5082" t="str">
        <f>HYPERLINK("https://www.773grp.com/globalSearch/74FST3245DWR2/page-1", "74FST3245DWR2")</f>
        <v>74FST3245DWR2</v>
      </c>
      <c r="B5082" s="3" t="str">
        <f>HYPERLINK("https://www.773grp.com/manufacturer/onsemi?pageNo=1037", "Onsemi")</f>
        <v>Onsemi</v>
      </c>
      <c r="C5082" s="6">
        <v>9000</v>
      </c>
      <c r="D5082" s="7">
        <v>0.69</v>
      </c>
      <c r="E5082" t="s">
        <v>11</v>
      </c>
    </row>
    <row r="5083" spans="1:5" x14ac:dyDescent="0.25">
      <c r="A5083" t="str">
        <f>HYPERLINK("https://www.773grp.com/globalSearch/74FST3245QS/page-1", "74FST3245QS")</f>
        <v>74FST3245QS</v>
      </c>
      <c r="B5083" s="3" t="str">
        <f>HYPERLINK("https://www.773grp.com/manufacturer/onsemi?pageNo=1038", "Onsemi")</f>
        <v>Onsemi</v>
      </c>
      <c r="C5083" s="6">
        <v>16610</v>
      </c>
      <c r="D5083" s="7">
        <v>0.69</v>
      </c>
      <c r="E5083" t="s">
        <v>11</v>
      </c>
    </row>
    <row r="5084" spans="1:5" x14ac:dyDescent="0.25">
      <c r="A5084" t="str">
        <f>HYPERLINK("https://www.773grp.com/globalSearch/74FST3245QSR/page-1", "74FST3245QSR")</f>
        <v>74FST3245QSR</v>
      </c>
      <c r="B5084" s="3" t="str">
        <f>HYPERLINK("https://www.773grp.com/manufacturer/onsemi?pageNo=1039", "Onsemi")</f>
        <v>Onsemi</v>
      </c>
      <c r="C5084" s="6">
        <v>25000</v>
      </c>
      <c r="D5084" s="7">
        <v>0.69</v>
      </c>
      <c r="E5084" t="s">
        <v>11</v>
      </c>
    </row>
    <row r="5085" spans="1:5" x14ac:dyDescent="0.25">
      <c r="A5085" t="str">
        <f>HYPERLINK("https://www.773grp.com/globalSearch/74FST3251D/page-1", "74FST3251D")</f>
        <v>74FST3251D</v>
      </c>
      <c r="B5085" s="3" t="str">
        <f>HYPERLINK("https://www.773grp.com/manufacturer/onsemi?pageNo=1040", "Onsemi")</f>
        <v>Onsemi</v>
      </c>
      <c r="C5085" s="6">
        <v>45342</v>
      </c>
      <c r="D5085" s="7">
        <v>0.69</v>
      </c>
      <c r="E5085" t="s">
        <v>16</v>
      </c>
    </row>
    <row r="5086" spans="1:5" x14ac:dyDescent="0.25">
      <c r="A5086" t="str">
        <f>HYPERLINK("https://www.773grp.com/globalSearch/74FST3251DR2/page-1", "74FST3251DR2")</f>
        <v>74FST3251DR2</v>
      </c>
      <c r="B5086" s="3" t="str">
        <f>HYPERLINK("https://www.773grp.com/manufacturer/onsemi?pageNo=1041", "Onsemi")</f>
        <v>Onsemi</v>
      </c>
      <c r="C5086" s="6">
        <v>35000</v>
      </c>
      <c r="D5086" s="7">
        <v>0.69</v>
      </c>
      <c r="E5086" t="s">
        <v>16</v>
      </c>
    </row>
    <row r="5087" spans="1:5" x14ac:dyDescent="0.25">
      <c r="A5087" t="str">
        <f>HYPERLINK("https://www.773grp.com/globalSearch/74FST3251DT/page-1", "74FST3251DT")</f>
        <v>74FST3251DT</v>
      </c>
      <c r="B5087" s="3" t="str">
        <f>HYPERLINK("https://www.773grp.com/manufacturer/onsemi?pageNo=1042", "Onsemi")</f>
        <v>Onsemi</v>
      </c>
      <c r="C5087" s="6">
        <v>3648</v>
      </c>
      <c r="D5087" s="7">
        <v>0.69</v>
      </c>
      <c r="E5087" t="s">
        <v>16</v>
      </c>
    </row>
    <row r="5088" spans="1:5" x14ac:dyDescent="0.25">
      <c r="A5088" t="str">
        <f>HYPERLINK("https://www.773grp.com/globalSearch/74FST3251DTR2/page-1", "74FST3251DTR2")</f>
        <v>74FST3251DTR2</v>
      </c>
      <c r="B5088" s="3" t="str">
        <f>HYPERLINK("https://www.773grp.com/manufacturer/onsemi?pageNo=1043", "Onsemi")</f>
        <v>Onsemi</v>
      </c>
      <c r="C5088" s="6">
        <v>22500</v>
      </c>
      <c r="D5088" s="7">
        <v>0.69</v>
      </c>
      <c r="E5088" t="s">
        <v>16</v>
      </c>
    </row>
    <row r="5089" spans="1:5" x14ac:dyDescent="0.25">
      <c r="A5089" t="str">
        <f>HYPERLINK("https://www.773grp.com/globalSearch/74FST3253D/page-1", "74FST3253D")</f>
        <v>74FST3253D</v>
      </c>
      <c r="B5089" s="3" t="str">
        <f>HYPERLINK("https://www.773grp.com/manufacturer/onsemi?pageNo=1044", "Onsemi")</f>
        <v>Onsemi</v>
      </c>
      <c r="C5089" s="6">
        <v>30735</v>
      </c>
      <c r="D5089" s="7">
        <v>0.69</v>
      </c>
      <c r="E5089" t="s">
        <v>16</v>
      </c>
    </row>
    <row r="5090" spans="1:5" x14ac:dyDescent="0.25">
      <c r="A5090" t="str">
        <f>HYPERLINK("https://www.773grp.com/globalSearch/74FST3253DR2/page-1", "74FST3253DR2")</f>
        <v>74FST3253DR2</v>
      </c>
      <c r="B5090" s="3" t="str">
        <f>HYPERLINK("https://www.773grp.com/manufacturer/onsemi?pageNo=1045", "Onsemi")</f>
        <v>Onsemi</v>
      </c>
      <c r="C5090" s="6">
        <v>27500</v>
      </c>
      <c r="D5090" s="7">
        <v>0.69</v>
      </c>
      <c r="E5090" t="s">
        <v>16</v>
      </c>
    </row>
    <row r="5091" spans="1:5" x14ac:dyDescent="0.25">
      <c r="A5091" t="str">
        <f>HYPERLINK("https://www.773grp.com/globalSearch/74FST3253DT/page-1", "74FST3253DT")</f>
        <v>74FST3253DT</v>
      </c>
      <c r="B5091" s="3" t="str">
        <f>HYPERLINK("https://www.773grp.com/manufacturer/onsemi?pageNo=1046", "Onsemi")</f>
        <v>Onsemi</v>
      </c>
      <c r="C5091" s="6">
        <v>576</v>
      </c>
      <c r="D5091" s="7">
        <v>0.69</v>
      </c>
      <c r="E5091" t="s">
        <v>16</v>
      </c>
    </row>
    <row r="5092" spans="1:5" x14ac:dyDescent="0.25">
      <c r="A5092" t="str">
        <f>HYPERLINK("https://www.773grp.com/globalSearch/74FST3253DTR2/page-1", "74FST3253DTR2")</f>
        <v>74FST3253DTR2</v>
      </c>
      <c r="B5092" s="3" t="str">
        <f>HYPERLINK("https://www.773grp.com/manufacturer/onsemi?pageNo=1047", "Onsemi")</f>
        <v>Onsemi</v>
      </c>
      <c r="C5092" s="6">
        <v>10000</v>
      </c>
      <c r="D5092" s="7">
        <v>0.69</v>
      </c>
      <c r="E5092" t="s">
        <v>16</v>
      </c>
    </row>
    <row r="5093" spans="1:5" x14ac:dyDescent="0.25">
      <c r="A5093" t="str">
        <f>HYPERLINK("https://www.773grp.com/globalSearch/74FST3257DR2G/page-1", "74FST3257DR2G")</f>
        <v>74FST3257DR2G</v>
      </c>
      <c r="B5093" s="3" t="str">
        <f>HYPERLINK("https://www.773grp.com/manufacturer/onsemi?pageNo=1048", "Onsemi")</f>
        <v>Onsemi</v>
      </c>
      <c r="C5093" s="6">
        <v>76122</v>
      </c>
      <c r="D5093" s="7">
        <v>0.69</v>
      </c>
      <c r="E5093" t="s">
        <v>16</v>
      </c>
    </row>
    <row r="5094" spans="1:5" x14ac:dyDescent="0.25">
      <c r="A5094" t="str">
        <f>HYPERLINK("https://www.773grp.com/globalSearch/74FST3257DTR2G/page-1", "74FST3257DTR2G")</f>
        <v>74FST3257DTR2G</v>
      </c>
      <c r="B5094" s="3" t="str">
        <f>HYPERLINK("https://www.773grp.com/manufacturer/onsemi?pageNo=1049", "Onsemi")</f>
        <v>Onsemi</v>
      </c>
      <c r="C5094" s="6">
        <v>173282</v>
      </c>
      <c r="D5094" s="7">
        <v>0.69</v>
      </c>
      <c r="E5094" t="s">
        <v>16</v>
      </c>
    </row>
    <row r="5095" spans="1:5" x14ac:dyDescent="0.25">
      <c r="A5095" t="str">
        <f>HYPERLINK("https://www.773grp.com/globalSearch/74FST3345QS/page-1", "74FST3345QS")</f>
        <v>74FST3345QS</v>
      </c>
      <c r="B5095" s="3" t="str">
        <f>HYPERLINK("https://www.773grp.com/manufacturer/onsemi?pageNo=1050", "Onsemi")</f>
        <v>Onsemi</v>
      </c>
      <c r="C5095" s="6">
        <v>605</v>
      </c>
      <c r="D5095" s="7">
        <v>0.69</v>
      </c>
      <c r="E5095" t="s">
        <v>11</v>
      </c>
    </row>
    <row r="5096" spans="1:5" x14ac:dyDescent="0.25">
      <c r="A5096" t="str">
        <f>HYPERLINK("https://www.773grp.com/globalSearch/74FST3345QSR/page-1", "74FST3345QSR")</f>
        <v>74FST3345QSR</v>
      </c>
      <c r="B5096" s="3" t="str">
        <f>HYPERLINK("https://www.773grp.com/manufacturer/onsemi?pageNo=1051", "Onsemi")</f>
        <v>Onsemi</v>
      </c>
      <c r="C5096" s="6">
        <v>27500</v>
      </c>
      <c r="D5096" s="7">
        <v>0.69</v>
      </c>
      <c r="E5096" t="s">
        <v>11</v>
      </c>
    </row>
    <row r="5097" spans="1:5" x14ac:dyDescent="0.25">
      <c r="A5097" t="str">
        <f>HYPERLINK("https://www.773grp.com/globalSearch/74HC574DTR2G/page-1", "74HC574DTR2G")</f>
        <v>74HC574DTR2G</v>
      </c>
      <c r="B5097" s="3" t="str">
        <f>HYPERLINK("https://www.773grp.com/manufacturer/onsemi?pageNo=1052", "Onsemi")</f>
        <v>Onsemi</v>
      </c>
      <c r="C5097" s="6">
        <v>100000</v>
      </c>
      <c r="D5097" s="7">
        <v>0.69</v>
      </c>
      <c r="E5097" t="s">
        <v>11</v>
      </c>
    </row>
    <row r="5098" spans="1:5" x14ac:dyDescent="0.25">
      <c r="A5098" t="str">
        <f>HYPERLINK("https://www.773grp.com/globalSearch/7WB3125AMX1TCG/page-1", "7WB3125AMX1TCG")</f>
        <v>7WB3125AMX1TCG</v>
      </c>
      <c r="B5098" s="3" t="str">
        <f>HYPERLINK("https://www.773grp.com/manufacturer/onsemi?pageNo=1053", "Onsemi")</f>
        <v>Onsemi</v>
      </c>
      <c r="C5098" s="6">
        <v>6000</v>
      </c>
      <c r="D5098" s="7">
        <v>0.69</v>
      </c>
      <c r="E5098" t="s">
        <v>11</v>
      </c>
    </row>
    <row r="5099" spans="1:5" x14ac:dyDescent="0.25">
      <c r="A5099" t="str">
        <f>HYPERLINK("https://www.773grp.com/globalSearch/7WB3125BMX1TCG/page-1", "7WB3125BMX1TCG")</f>
        <v>7WB3125BMX1TCG</v>
      </c>
      <c r="B5099" s="3" t="str">
        <f>HYPERLINK("https://www.773grp.com/manufacturer/onsemi?pageNo=1054", "Onsemi")</f>
        <v>Onsemi</v>
      </c>
      <c r="C5099" s="6">
        <v>5650</v>
      </c>
      <c r="D5099" s="7">
        <v>0.69</v>
      </c>
      <c r="E5099" t="s">
        <v>11</v>
      </c>
    </row>
    <row r="5100" spans="1:5" x14ac:dyDescent="0.25">
      <c r="A5100" t="str">
        <f>HYPERLINK("https://www.773grp.com/globalSearch/7WB3125CMX1TCG/page-1", "7WB3125CMX1TCG")</f>
        <v>7WB3125CMX1TCG</v>
      </c>
      <c r="B5100" s="3" t="str">
        <f>HYPERLINK("https://www.773grp.com/manufacturer/onsemi?pageNo=1055", "Onsemi")</f>
        <v>Onsemi</v>
      </c>
      <c r="C5100" s="6">
        <v>3000</v>
      </c>
      <c r="D5100" s="7">
        <v>0.69</v>
      </c>
      <c r="E5100" t="s">
        <v>11</v>
      </c>
    </row>
    <row r="5101" spans="1:5" x14ac:dyDescent="0.25">
      <c r="A5101" t="str">
        <f>HYPERLINK("https://www.773grp.com/globalSearch/7WB3125MUTAG/page-1", "7WB3125MUTAG")</f>
        <v>7WB3125MUTAG</v>
      </c>
      <c r="B5101" s="3" t="str">
        <f>HYPERLINK("https://www.773grp.com/manufacturer/onsemi?pageNo=1056", "Onsemi")</f>
        <v>Onsemi</v>
      </c>
      <c r="C5101" s="6">
        <v>8975</v>
      </c>
      <c r="D5101" s="7">
        <v>0.69</v>
      </c>
      <c r="E5101" t="s">
        <v>11</v>
      </c>
    </row>
    <row r="5102" spans="1:5" x14ac:dyDescent="0.25">
      <c r="A5102" t="str">
        <f>HYPERLINK("https://www.773grp.com/globalSearch/7WB3126AMX1TCG/page-1", "7WB3126AMX1TCG")</f>
        <v>7WB3126AMX1TCG</v>
      </c>
      <c r="B5102" s="3" t="str">
        <f>HYPERLINK("https://www.773grp.com/manufacturer/onsemi?pageNo=1057", "Onsemi")</f>
        <v>Onsemi</v>
      </c>
      <c r="C5102" s="6">
        <v>6000</v>
      </c>
      <c r="D5102" s="7">
        <v>0.69</v>
      </c>
      <c r="E5102" t="s">
        <v>11</v>
      </c>
    </row>
    <row r="5103" spans="1:5" x14ac:dyDescent="0.25">
      <c r="A5103" t="str">
        <f>HYPERLINK("https://www.773grp.com/globalSearch/7WB3126BMX1TCG/page-1", "7WB3126BMX1TCG")</f>
        <v>7WB3126BMX1TCG</v>
      </c>
      <c r="B5103" s="3" t="str">
        <f>HYPERLINK("https://www.773grp.com/manufacturer/onsemi?pageNo=1058", "Onsemi")</f>
        <v>Onsemi</v>
      </c>
      <c r="C5103" s="6">
        <v>6000</v>
      </c>
      <c r="D5103" s="7">
        <v>0.69</v>
      </c>
      <c r="E5103" t="s">
        <v>11</v>
      </c>
    </row>
    <row r="5104" spans="1:5" x14ac:dyDescent="0.25">
      <c r="A5104" t="str">
        <f>HYPERLINK("https://www.773grp.com/globalSearch/7WB3126CMX1TCG/page-1", "7WB3126CMX1TCG")</f>
        <v>7WB3126CMX1TCG</v>
      </c>
      <c r="B5104" s="3" t="str">
        <f>HYPERLINK("https://www.773grp.com/manufacturer/onsemi?pageNo=1059", "Onsemi")</f>
        <v>Onsemi</v>
      </c>
      <c r="C5104" s="6">
        <v>6000</v>
      </c>
      <c r="D5104" s="7">
        <v>0.69</v>
      </c>
      <c r="E5104" t="s">
        <v>11</v>
      </c>
    </row>
    <row r="5105" spans="1:5" x14ac:dyDescent="0.25">
      <c r="A5105" t="str">
        <f>HYPERLINK("https://www.773grp.com/globalSearch/7WB3126MUTAG/page-1", "7WB3126MUTAG")</f>
        <v>7WB3126MUTAG</v>
      </c>
      <c r="B5105" s="3" t="str">
        <f>HYPERLINK("https://www.773grp.com/manufacturer/onsemi?pageNo=1060", "Onsemi")</f>
        <v>Onsemi</v>
      </c>
      <c r="C5105" s="6">
        <v>5990</v>
      </c>
      <c r="D5105" s="7">
        <v>0.69</v>
      </c>
      <c r="E5105" t="s">
        <v>11</v>
      </c>
    </row>
    <row r="5106" spans="1:5" x14ac:dyDescent="0.25">
      <c r="A5106" t="str">
        <f>HYPERLINK("https://www.773grp.com/globalSearch/7WBD3125AMUTCG/page-1", "7WBD3125AMUTCG")</f>
        <v>7WBD3125AMUTCG</v>
      </c>
      <c r="B5106" s="3" t="str">
        <f>HYPERLINK("https://www.773grp.com/manufacturer/onsemi?pageNo=1061", "Onsemi")</f>
        <v>Onsemi</v>
      </c>
      <c r="C5106" s="6">
        <v>3259</v>
      </c>
      <c r="D5106" s="7">
        <v>0.69</v>
      </c>
      <c r="E5106" t="s">
        <v>11</v>
      </c>
    </row>
    <row r="5107" spans="1:5" x14ac:dyDescent="0.25">
      <c r="A5107" t="str">
        <f>HYPERLINK("https://www.773grp.com/globalSearch/7WBD3125USG/page-1", "7WBD3125USG")</f>
        <v>7WBD3125USG</v>
      </c>
      <c r="B5107" s="3" t="str">
        <f>HYPERLINK("https://www.773grp.com/manufacturer/onsemi?pageNo=1062", "Onsemi")</f>
        <v>Onsemi</v>
      </c>
      <c r="C5107" s="6">
        <v>5900</v>
      </c>
      <c r="D5107" s="7">
        <v>0.69</v>
      </c>
      <c r="E5107" t="s">
        <v>11</v>
      </c>
    </row>
    <row r="5108" spans="1:5" x14ac:dyDescent="0.25">
      <c r="A5108" t="str">
        <f>HYPERLINK("https://www.773grp.com/globalSearch/7WBD3126AMUTCG/page-1", "7WBD3126AMUTCG")</f>
        <v>7WBD3126AMUTCG</v>
      </c>
      <c r="B5108" s="3" t="str">
        <f>HYPERLINK("https://www.773grp.com/manufacturer/onsemi?pageNo=1063", "Onsemi")</f>
        <v>Onsemi</v>
      </c>
      <c r="C5108" s="6">
        <v>3000</v>
      </c>
      <c r="D5108" s="7">
        <v>0.69</v>
      </c>
      <c r="E5108" t="s">
        <v>11</v>
      </c>
    </row>
    <row r="5109" spans="1:5" x14ac:dyDescent="0.25">
      <c r="A5109" t="str">
        <f>HYPERLINK("https://www.773grp.com/globalSearch/7WBD3126USG/page-1", "7WBD3126USG")</f>
        <v>7WBD3126USG</v>
      </c>
      <c r="B5109" s="3" t="str">
        <f>HYPERLINK("https://www.773grp.com/manufacturer/onsemi?pageNo=1064", "Onsemi")</f>
        <v>Onsemi</v>
      </c>
      <c r="C5109" s="6">
        <v>9000</v>
      </c>
      <c r="D5109" s="7">
        <v>0.69</v>
      </c>
      <c r="E5109" t="s">
        <v>11</v>
      </c>
    </row>
    <row r="5110" spans="1:5" x14ac:dyDescent="0.25">
      <c r="A5110" t="str">
        <f>HYPERLINK("https://www.773grp.com/globalSearch/7WBD3305USG/page-1", "7WBD3305USG")</f>
        <v>7WBD3305USG</v>
      </c>
      <c r="B5110" s="3" t="str">
        <f>HYPERLINK("https://www.773grp.com/manufacturer/onsemi?pageNo=1065", "Onsemi")</f>
        <v>Onsemi</v>
      </c>
      <c r="C5110" s="6">
        <v>3000</v>
      </c>
      <c r="D5110" s="7">
        <v>0.69</v>
      </c>
      <c r="E5110" t="s">
        <v>11</v>
      </c>
    </row>
    <row r="5111" spans="1:5" x14ac:dyDescent="0.25">
      <c r="A5111" t="str">
        <f>HYPERLINK("https://www.773grp.com/globalSearch/7WBD3306AMUTCG/page-1", "7WBD3306AMUTCG")</f>
        <v>7WBD3306AMUTCG</v>
      </c>
      <c r="B5111" s="3" t="str">
        <f>HYPERLINK("https://www.773grp.com/manufacturer/onsemi?pageNo=1066", "Onsemi")</f>
        <v>Onsemi</v>
      </c>
      <c r="C5111" s="6">
        <v>3000</v>
      </c>
      <c r="D5111" s="7">
        <v>0.69</v>
      </c>
      <c r="E5111" t="s">
        <v>11</v>
      </c>
    </row>
    <row r="5112" spans="1:5" x14ac:dyDescent="0.25">
      <c r="A5112" t="str">
        <f>HYPERLINK("https://www.773grp.com/globalSearch/7WBD3306USG/page-1", "7WBD3306USG")</f>
        <v>7WBD3306USG</v>
      </c>
      <c r="B5112" s="3" t="str">
        <f>HYPERLINK("https://www.773grp.com/manufacturer/onsemi?pageNo=1067", "Onsemi")</f>
        <v>Onsemi</v>
      </c>
      <c r="C5112" s="6">
        <v>93000</v>
      </c>
      <c r="D5112" s="7">
        <v>0.69</v>
      </c>
      <c r="E5112" t="s">
        <v>11</v>
      </c>
    </row>
    <row r="5113" spans="1:5" x14ac:dyDescent="0.25">
      <c r="A5113" t="str">
        <f>HYPERLINK("https://www.773grp.com/globalSearch/BD179/page-1", "BD179")</f>
        <v>BD179</v>
      </c>
      <c r="B5113" s="3" t="str">
        <f>HYPERLINK("https://www.773grp.com/manufacturer/onsemi?pageNo=1068", "Onsemi")</f>
        <v>Onsemi</v>
      </c>
      <c r="C5113" s="6">
        <v>1500</v>
      </c>
      <c r="D5113" s="7">
        <v>0.69</v>
      </c>
      <c r="E5113" t="s">
        <v>47</v>
      </c>
    </row>
    <row r="5114" spans="1:5" x14ac:dyDescent="0.25">
      <c r="A5114" t="str">
        <f>HYPERLINK("https://www.773grp.com/globalSearch/BDX34B/page-1", "BDX34B")</f>
        <v>BDX34B</v>
      </c>
      <c r="B5114" s="3" t="str">
        <f>HYPERLINK("https://www.773grp.com/manufacturer/onsemi?pageNo=1069", "Onsemi")</f>
        <v>Onsemi</v>
      </c>
      <c r="C5114" s="6">
        <v>1265</v>
      </c>
      <c r="D5114" s="7">
        <v>0.69</v>
      </c>
      <c r="E5114" t="s">
        <v>47</v>
      </c>
    </row>
    <row r="5115" spans="1:5" x14ac:dyDescent="0.25">
      <c r="A5115" t="str">
        <f>HYPERLINK("https://www.773grp.com/globalSearch/BDX34C/page-1", "BDX34C")</f>
        <v>BDX34C</v>
      </c>
      <c r="B5115" s="3" t="str">
        <f>HYPERLINK("https://www.773grp.com/manufacturer/onsemi?pageNo=1070", "Onsemi")</f>
        <v>Onsemi</v>
      </c>
      <c r="C5115" s="6">
        <v>1553</v>
      </c>
      <c r="D5115" s="7">
        <v>0.69</v>
      </c>
      <c r="E5115" t="s">
        <v>47</v>
      </c>
    </row>
    <row r="5116" spans="1:5" x14ac:dyDescent="0.25">
      <c r="A5116" t="str">
        <f>HYPERLINK("https://www.773grp.com/globalSearch/CAT24C02WI-G/page-1", "CAT24C02WI-G")</f>
        <v>CAT24C02WI-G</v>
      </c>
      <c r="B5116" s="3" t="str">
        <f>HYPERLINK("https://www.773grp.com/manufacturer/onsemi?pageNo=1071", "Onsemi")</f>
        <v>Onsemi</v>
      </c>
      <c r="C5116" s="6">
        <v>200</v>
      </c>
      <c r="D5116" s="7">
        <v>0.69</v>
      </c>
    </row>
    <row r="5117" spans="1:5" x14ac:dyDescent="0.25">
      <c r="A5117" t="str">
        <f>HYPERLINK("https://www.773grp.com/globalSearch/CAT24C02WI-G/page-1", "CAT24C02WI-G")</f>
        <v>CAT24C02WI-G</v>
      </c>
      <c r="B5117" s="3" t="str">
        <f>HYPERLINK("https://www.773grp.com/manufacturer/onsemi?pageNo=1072", "Onsemi")</f>
        <v>Onsemi</v>
      </c>
      <c r="C5117" s="6">
        <v>8246</v>
      </c>
      <c r="D5117" s="7">
        <v>0.69</v>
      </c>
    </row>
    <row r="5118" spans="1:5" x14ac:dyDescent="0.25">
      <c r="A5118" t="str">
        <f>HYPERLINK("https://www.773grp.com/globalSearch/CAT24C02WI-G/page-1", "CAT24C02WI-G")</f>
        <v>CAT24C02WI-G</v>
      </c>
      <c r="B5118" s="3" t="str">
        <f>HYPERLINK("https://www.773grp.com/manufacturer/onsemi?pageNo=1073", "Onsemi")</f>
        <v>Onsemi</v>
      </c>
      <c r="C5118" s="6">
        <v>3340</v>
      </c>
      <c r="D5118" s="7">
        <v>0.69</v>
      </c>
    </row>
    <row r="5119" spans="1:5" x14ac:dyDescent="0.25">
      <c r="A5119" t="str">
        <f>HYPERLINK("https://www.773grp.com/globalSearch/CAT24C04VP2I-GT3/page-1", "CAT24C04VP2I-GT3")</f>
        <v>CAT24C04VP2I-GT3</v>
      </c>
      <c r="B5119" s="3" t="str">
        <f>HYPERLINK("https://www.773grp.com/manufacturer/onsemi?pageNo=1074", "Onsemi")</f>
        <v>Onsemi</v>
      </c>
      <c r="C5119" s="6">
        <v>12000</v>
      </c>
      <c r="D5119" s="7">
        <v>0.69</v>
      </c>
      <c r="E5119" t="s">
        <v>52</v>
      </c>
    </row>
    <row r="5120" spans="1:5" x14ac:dyDescent="0.25">
      <c r="A5120" t="str">
        <f>HYPERLINK("https://www.773grp.com/globalSearch/CAT24C04WI-G/page-1", "CAT24C04WI-G")</f>
        <v>CAT24C04WI-G</v>
      </c>
      <c r="B5120" s="3" t="str">
        <f>HYPERLINK("https://www.773grp.com/manufacturer/onsemi?pageNo=1075", "Onsemi")</f>
        <v>Onsemi</v>
      </c>
      <c r="C5120" s="6">
        <v>25454</v>
      </c>
      <c r="D5120" s="7">
        <v>0.69</v>
      </c>
    </row>
    <row r="5121" spans="1:5" x14ac:dyDescent="0.25">
      <c r="A5121" t="str">
        <f>HYPERLINK("https://www.773grp.com/globalSearch/CAT24C04ZI-GT3/page-1", "CAT24C04ZI-GT3")</f>
        <v>CAT24C04ZI-GT3</v>
      </c>
      <c r="B5121" s="3" t="str">
        <f>HYPERLINK("https://www.773grp.com/manufacturer/onsemi?pageNo=1076", "Onsemi")</f>
        <v>Onsemi</v>
      </c>
      <c r="C5121" s="6">
        <v>3000</v>
      </c>
      <c r="D5121" s="7">
        <v>0.69</v>
      </c>
      <c r="E5121" t="s">
        <v>52</v>
      </c>
    </row>
    <row r="5122" spans="1:5" x14ac:dyDescent="0.25">
      <c r="A5122" t="str">
        <f>HYPERLINK("https://www.773grp.com/globalSearch/CAT24C08LI/page-1", "CAT24C08LI")</f>
        <v>CAT24C08LI</v>
      </c>
      <c r="B5122" s="3" t="str">
        <f>HYPERLINK("https://www.773grp.com/manufacturer/onsemi?pageNo=1077", "Onsemi")</f>
        <v>Onsemi</v>
      </c>
      <c r="C5122" s="6">
        <v>1350</v>
      </c>
      <c r="D5122" s="7">
        <v>0.69</v>
      </c>
      <c r="E5122" t="s">
        <v>52</v>
      </c>
    </row>
    <row r="5123" spans="1:5" x14ac:dyDescent="0.25">
      <c r="A5123" t="str">
        <f>HYPERLINK("https://www.773grp.com/globalSearch/CAT24C08LI-G/page-1", "CAT24C08LI-G")</f>
        <v>CAT24C08LI-G</v>
      </c>
      <c r="B5123" s="3" t="str">
        <f>HYPERLINK("https://www.773grp.com/manufacturer/onsemi?pageNo=1078", "Onsemi")</f>
        <v>Onsemi</v>
      </c>
      <c r="C5123" s="6">
        <v>15841</v>
      </c>
      <c r="D5123" s="7">
        <v>0.69</v>
      </c>
      <c r="E5123" t="s">
        <v>52</v>
      </c>
    </row>
    <row r="5124" spans="1:5" x14ac:dyDescent="0.25">
      <c r="A5124" t="str">
        <f>HYPERLINK("https://www.773grp.com/globalSearch/CAT34C02YI-GT5A/page-1", "CAT34C02YI-GT5A")</f>
        <v>CAT34C02YI-GT5A</v>
      </c>
      <c r="B5124" s="3" t="str">
        <f>HYPERLINK("https://www.773grp.com/manufacturer/onsemi?pageNo=1079", "Onsemi")</f>
        <v>Onsemi</v>
      </c>
      <c r="C5124" s="6">
        <v>20000</v>
      </c>
      <c r="D5124" s="7">
        <v>0.69</v>
      </c>
      <c r="E5124" t="s">
        <v>52</v>
      </c>
    </row>
    <row r="5125" spans="1:5" x14ac:dyDescent="0.25">
      <c r="A5125" t="str">
        <f>HYPERLINK("https://www.773grp.com/globalSearch/CAT34C02YI-GT5A/page-1", "CAT34C02YI-GT5A")</f>
        <v>CAT34C02YI-GT5A</v>
      </c>
      <c r="B5125" s="3" t="str">
        <f>HYPERLINK("https://www.773grp.com/manufacturer/onsemi?pageNo=1080", "Onsemi")</f>
        <v>Onsemi</v>
      </c>
      <c r="C5125" s="6">
        <v>87590</v>
      </c>
      <c r="D5125" s="7">
        <v>0.69</v>
      </c>
      <c r="E5125" t="s">
        <v>52</v>
      </c>
    </row>
    <row r="5126" spans="1:5" x14ac:dyDescent="0.25">
      <c r="A5126" t="str">
        <f>HYPERLINK("https://www.773grp.com/globalSearch/CAT809LSDI-GT3/page-1", "CAT809LSDI-GT3")</f>
        <v>CAT809LSDI-GT3</v>
      </c>
      <c r="B5126" s="3" t="str">
        <f>HYPERLINK("https://www.773grp.com/manufacturer/onsemi?pageNo=1081", "Onsemi")</f>
        <v>Onsemi</v>
      </c>
      <c r="C5126" s="6">
        <v>9000</v>
      </c>
      <c r="D5126" s="7">
        <v>0.69</v>
      </c>
    </row>
    <row r="5127" spans="1:5" x14ac:dyDescent="0.25">
      <c r="A5127" t="str">
        <f>HYPERLINK("https://www.773grp.com/globalSearch/CAT809TSDI-T3/page-1", "CAT809TSDI-T3")</f>
        <v>CAT809TSDI-T3</v>
      </c>
      <c r="B5127" s="3" t="str">
        <f>HYPERLINK("https://www.773grp.com/manufacturer/onsemi?pageNo=1082", "Onsemi")</f>
        <v>Onsemi</v>
      </c>
      <c r="C5127" s="6">
        <v>18080</v>
      </c>
      <c r="D5127" s="7">
        <v>0.69</v>
      </c>
    </row>
    <row r="5128" spans="1:5" x14ac:dyDescent="0.25">
      <c r="A5128" t="str">
        <f>HYPERLINK("https://www.773grp.com/globalSearch/CAT810JSDI-GT3/page-1", "CAT810JSDI-GT3")</f>
        <v>CAT810JSDI-GT3</v>
      </c>
      <c r="B5128" s="3" t="str">
        <f>HYPERLINK("https://www.773grp.com/manufacturer/onsemi?pageNo=1083", "Onsemi")</f>
        <v>Onsemi</v>
      </c>
      <c r="C5128" s="6">
        <v>6000</v>
      </c>
      <c r="D5128" s="7">
        <v>0.69</v>
      </c>
    </row>
    <row r="5129" spans="1:5" x14ac:dyDescent="0.25">
      <c r="A5129" t="str">
        <f>HYPERLINK("https://www.773grp.com/globalSearch/CAT810SSDI-GT3/page-1", "CAT810SSDI-GT3")</f>
        <v>CAT810SSDI-GT3</v>
      </c>
      <c r="B5129" s="3" t="str">
        <f>HYPERLINK("https://www.773grp.com/manufacturer/onsemi?pageNo=1084", "Onsemi")</f>
        <v>Onsemi</v>
      </c>
      <c r="C5129" s="6">
        <v>39000</v>
      </c>
      <c r="D5129" s="7">
        <v>0.69</v>
      </c>
    </row>
    <row r="5130" spans="1:5" x14ac:dyDescent="0.25">
      <c r="A5130" t="str">
        <f>HYPERLINK("https://www.773grp.com/globalSearch/CAT810TTBI-GT3/page-1", "CAT810TTBI-GT3")</f>
        <v>CAT810TTBI-GT3</v>
      </c>
      <c r="B5130" s="3" t="str">
        <f>HYPERLINK("https://www.773grp.com/manufacturer/onsemi?pageNo=1085", "Onsemi")</f>
        <v>Onsemi</v>
      </c>
      <c r="C5130" s="6">
        <v>3000</v>
      </c>
      <c r="D5130" s="7">
        <v>0.69</v>
      </c>
      <c r="E5130" t="s">
        <v>26</v>
      </c>
    </row>
    <row r="5131" spans="1:5" x14ac:dyDescent="0.25">
      <c r="A5131" t="str">
        <f>HYPERLINK("https://www.773grp.com/globalSearch/CAT811ZTBI-GT3/page-1", "CAT811ZTBI-GT3")</f>
        <v>CAT811ZTBI-GT3</v>
      </c>
      <c r="B5131" s="3" t="str">
        <f>HYPERLINK("https://www.773grp.com/manufacturer/onsemi?pageNo=1086", "Onsemi")</f>
        <v>Onsemi</v>
      </c>
      <c r="C5131" s="6">
        <v>48000</v>
      </c>
      <c r="D5131" s="7">
        <v>0.69</v>
      </c>
    </row>
    <row r="5132" spans="1:5" x14ac:dyDescent="0.25">
      <c r="A5132" t="str">
        <f>HYPERLINK("https://www.773grp.com/globalSearch/CAT812JTBI-GT3/page-1", "CAT812JTBI-GT3")</f>
        <v>CAT812JTBI-GT3</v>
      </c>
      <c r="B5132" s="3" t="str">
        <f>HYPERLINK("https://www.773grp.com/manufacturer/onsemi?pageNo=1087", "Onsemi")</f>
        <v>Onsemi</v>
      </c>
      <c r="C5132" s="6">
        <v>12000</v>
      </c>
      <c r="D5132" s="7">
        <v>0.69</v>
      </c>
    </row>
    <row r="5133" spans="1:5" x14ac:dyDescent="0.25">
      <c r="A5133" t="str">
        <f>HYPERLINK("https://www.773grp.com/globalSearch/CAT812STBI-GT3/page-1", "CAT812STBI-GT3")</f>
        <v>CAT812STBI-GT3</v>
      </c>
      <c r="B5133" s="3" t="str">
        <f>HYPERLINK("https://www.773grp.com/manufacturer/onsemi?pageNo=1088", "Onsemi")</f>
        <v>Onsemi</v>
      </c>
      <c r="C5133" s="6">
        <v>6000</v>
      </c>
      <c r="D5133" s="7">
        <v>0.69</v>
      </c>
    </row>
    <row r="5134" spans="1:5" x14ac:dyDescent="0.25">
      <c r="A5134" t="str">
        <f>HYPERLINK("https://www.773grp.com/globalSearch/CAT93C66YI-GT3/page-1", "CAT93C66YI-GT3")</f>
        <v>CAT93C66YI-GT3</v>
      </c>
      <c r="B5134" s="3" t="str">
        <f>HYPERLINK("https://www.773grp.com/manufacturer/onsemi?pageNo=1089", "Onsemi")</f>
        <v>Onsemi</v>
      </c>
      <c r="C5134" s="6">
        <v>6000</v>
      </c>
      <c r="D5134" s="7">
        <v>0.69</v>
      </c>
    </row>
    <row r="5135" spans="1:5" x14ac:dyDescent="0.25">
      <c r="A5135" t="str">
        <f>HYPERLINK("https://www.773grp.com/globalSearch/CM1244-04CP/page-1", "CM1244-04CP")</f>
        <v>CM1244-04CP</v>
      </c>
      <c r="B5135" s="3" t="str">
        <f>HYPERLINK("https://www.773grp.com/manufacturer/onsemi?pageNo=1090", "Onsemi")</f>
        <v>Onsemi</v>
      </c>
      <c r="C5135" s="6">
        <v>24500</v>
      </c>
      <c r="D5135" s="7">
        <v>0.69</v>
      </c>
      <c r="E5135" t="s">
        <v>75</v>
      </c>
    </row>
    <row r="5136" spans="1:5" x14ac:dyDescent="0.25">
      <c r="A5136" t="str">
        <f>HYPERLINK("https://www.773grp.com/globalSearch/CM1244-04CP/page-1", "CM1244-04CP")</f>
        <v>CM1244-04CP</v>
      </c>
      <c r="B5136" s="3" t="str">
        <f>HYPERLINK("https://www.773grp.com/manufacturer/onsemi?pageNo=1091", "Onsemi")</f>
        <v>Onsemi</v>
      </c>
      <c r="C5136" s="6">
        <v>108500</v>
      </c>
      <c r="D5136" s="7">
        <v>0.69</v>
      </c>
      <c r="E5136" t="s">
        <v>75</v>
      </c>
    </row>
    <row r="5137" spans="1:5" x14ac:dyDescent="0.25">
      <c r="A5137" t="str">
        <f>HYPERLINK("https://www.773grp.com/globalSearch/CM1248-08DE/page-1", "CM1248-08DE")</f>
        <v>CM1248-08DE</v>
      </c>
      <c r="B5137" s="3" t="str">
        <f>HYPERLINK("https://www.773grp.com/manufacturer/onsemi?pageNo=1092", "Onsemi")</f>
        <v>Onsemi</v>
      </c>
      <c r="C5137" s="6">
        <v>12000</v>
      </c>
      <c r="D5137" s="7">
        <v>0.69</v>
      </c>
      <c r="E5137" t="s">
        <v>75</v>
      </c>
    </row>
    <row r="5138" spans="1:5" x14ac:dyDescent="0.25">
      <c r="A5138" t="str">
        <f>HYPERLINK("https://www.773grp.com/globalSearch/CM1402-03CP/page-1", "CM1402-03CP")</f>
        <v>CM1402-03CP</v>
      </c>
      <c r="B5138" s="3" t="str">
        <f>HYPERLINK("https://www.773grp.com/manufacturer/onsemi?pageNo=1093", "Onsemi")</f>
        <v>Onsemi</v>
      </c>
      <c r="C5138" s="6">
        <v>7172</v>
      </c>
      <c r="D5138" s="7">
        <v>0.69</v>
      </c>
      <c r="E5138" t="s">
        <v>79</v>
      </c>
    </row>
    <row r="5139" spans="1:5" x14ac:dyDescent="0.25">
      <c r="A5139" t="str">
        <f>HYPERLINK("https://www.773grp.com/globalSearch/CM1492-06DE/page-1", "CM1492-06DE")</f>
        <v>CM1492-06DE</v>
      </c>
      <c r="B5139" s="3" t="str">
        <f>HYPERLINK("https://www.773grp.com/manufacturer/onsemi?pageNo=1094", "Onsemi")</f>
        <v>Onsemi</v>
      </c>
      <c r="C5139" s="6">
        <v>135000</v>
      </c>
      <c r="D5139" s="7">
        <v>0.69</v>
      </c>
      <c r="E5139" t="s">
        <v>79</v>
      </c>
    </row>
    <row r="5140" spans="1:5" x14ac:dyDescent="0.25">
      <c r="A5140" t="str">
        <f>HYPERLINK("https://www.773grp.com/globalSearch/CM1621-06DE/page-1", "CM1621-06DE")</f>
        <v>CM1621-06DE</v>
      </c>
      <c r="B5140" s="3" t="str">
        <f>HYPERLINK("https://www.773grp.com/manufacturer/onsemi?pageNo=1095", "Onsemi")</f>
        <v>Onsemi</v>
      </c>
      <c r="C5140" s="6">
        <v>201000</v>
      </c>
      <c r="D5140" s="7">
        <v>0.69</v>
      </c>
      <c r="E5140" t="s">
        <v>75</v>
      </c>
    </row>
    <row r="5141" spans="1:5" x14ac:dyDescent="0.25">
      <c r="A5141" t="str">
        <f>HYPERLINK("https://www.773grp.com/globalSearch/CM1631-06DE/page-1", "CM1631-06DE")</f>
        <v>CM1631-06DE</v>
      </c>
      <c r="B5141" s="3" t="str">
        <f>HYPERLINK("https://www.773grp.com/manufacturer/onsemi?pageNo=1096", "Onsemi")</f>
        <v>Onsemi</v>
      </c>
      <c r="C5141" s="6">
        <v>3000</v>
      </c>
      <c r="D5141" s="7">
        <v>0.69</v>
      </c>
      <c r="E5141" t="s">
        <v>79</v>
      </c>
    </row>
    <row r="5142" spans="1:5" x14ac:dyDescent="0.25">
      <c r="A5142" t="str">
        <f>HYPERLINK("https://www.773grp.com/globalSearch/CM1690-04DE/page-1", "CM1690-04DE")</f>
        <v>CM1690-04DE</v>
      </c>
      <c r="B5142" s="3" t="str">
        <f>HYPERLINK("https://www.773grp.com/manufacturer/onsemi?pageNo=1097", "Onsemi")</f>
        <v>Onsemi</v>
      </c>
      <c r="C5142" s="6">
        <v>113975</v>
      </c>
      <c r="D5142" s="7">
        <v>0.69</v>
      </c>
      <c r="E5142" t="s">
        <v>79</v>
      </c>
    </row>
    <row r="5143" spans="1:5" x14ac:dyDescent="0.25">
      <c r="A5143" t="str">
        <f>HYPERLINK("https://www.773grp.com/globalSearch/CM1692-04DE/page-1", "CM1692-04DE")</f>
        <v>CM1692-04DE</v>
      </c>
      <c r="B5143" s="3" t="str">
        <f>HYPERLINK("https://www.773grp.com/manufacturer/onsemi?pageNo=1098", "Onsemi")</f>
        <v>Onsemi</v>
      </c>
      <c r="C5143" s="6">
        <v>162200</v>
      </c>
      <c r="D5143" s="7">
        <v>0.69</v>
      </c>
      <c r="E5143" t="s">
        <v>79</v>
      </c>
    </row>
    <row r="5144" spans="1:5" x14ac:dyDescent="0.25">
      <c r="A5144" t="str">
        <f>HYPERLINK("https://www.773grp.com/globalSearch/CM6100/page-1", "CM6100")</f>
        <v>CM6100</v>
      </c>
      <c r="B5144" s="3" t="str">
        <f>HYPERLINK("https://www.773grp.com/manufacturer/onsemi?pageNo=1099", "Onsemi")</f>
        <v>Onsemi</v>
      </c>
      <c r="C5144" s="6">
        <v>9600</v>
      </c>
      <c r="D5144" s="7">
        <v>0.69</v>
      </c>
      <c r="E5144" t="s">
        <v>75</v>
      </c>
    </row>
    <row r="5145" spans="1:5" x14ac:dyDescent="0.25">
      <c r="A5145" t="str">
        <f>HYPERLINK("https://www.773grp.com/globalSearch/ECH8601M-C-TL-HX/page-1", "ECH8601M-C-TL-HX")</f>
        <v>ECH8601M-C-TL-HX</v>
      </c>
      <c r="B5145" s="3" t="str">
        <f>HYPERLINK("https://www.773grp.com/manufacturer/onsemi?pageNo=1100", "Onsemi")</f>
        <v>Onsemi</v>
      </c>
      <c r="C5145" s="6">
        <v>33000</v>
      </c>
      <c r="D5145" s="7">
        <v>0.69</v>
      </c>
    </row>
    <row r="5146" spans="1:5" x14ac:dyDescent="0.25">
      <c r="A5146" t="str">
        <f>HYPERLINK("https://www.773grp.com/globalSearch/EMI7204MUTAG/page-1", "EMI7204MUTAG")</f>
        <v>EMI7204MUTAG</v>
      </c>
      <c r="B5146" s="3" t="str">
        <f>HYPERLINK("https://www.773grp.com/manufacturer/onsemi?pageNo=1101", "Onsemi")</f>
        <v>Onsemi</v>
      </c>
      <c r="C5146" s="6">
        <v>66000</v>
      </c>
      <c r="D5146" s="7">
        <v>0.69</v>
      </c>
      <c r="E5146" t="s">
        <v>79</v>
      </c>
    </row>
    <row r="5147" spans="1:5" x14ac:dyDescent="0.25">
      <c r="A5147" t="str">
        <f>HYPERLINK("https://www.773grp.com/globalSearch/ESD7104MUTAG/page-1", "ESD7104MUTAG")</f>
        <v>ESD7104MUTAG</v>
      </c>
      <c r="B5147" s="3" t="str">
        <f>HYPERLINK("https://www.773grp.com/manufacturer/onsemi?pageNo=1102", "Onsemi")</f>
        <v>Onsemi</v>
      </c>
      <c r="C5147" s="6">
        <v>18476</v>
      </c>
      <c r="D5147" s="7">
        <v>0.69</v>
      </c>
    </row>
    <row r="5148" spans="1:5" x14ac:dyDescent="0.25">
      <c r="A5148" t="str">
        <f>HYPERLINK("https://www.773grp.com/globalSearch/ESDR0502NMUTBG/page-1", "ESDR0502NMUTBG")</f>
        <v>ESDR0502NMUTBG</v>
      </c>
      <c r="B5148" s="3" t="str">
        <f>HYPERLINK("https://www.773grp.com/manufacturer/onsemi?pageNo=1103", "Onsemi")</f>
        <v>Onsemi</v>
      </c>
      <c r="C5148" s="6">
        <v>50454</v>
      </c>
      <c r="D5148" s="7">
        <v>0.69</v>
      </c>
      <c r="E5148" t="s">
        <v>75</v>
      </c>
    </row>
    <row r="5149" spans="1:5" x14ac:dyDescent="0.25">
      <c r="A5149" t="str">
        <f>HYPERLINK("https://www.773grp.com/globalSearch/ICTE-10RL4G/page-1", "ICTE-10RL4G")</f>
        <v>ICTE-10RL4G</v>
      </c>
      <c r="B5149" s="3" t="str">
        <f>HYPERLINK("https://www.773grp.com/manufacturer/onsemi?pageNo=1104", "Onsemi")</f>
        <v>Onsemi</v>
      </c>
      <c r="C5149" s="6">
        <v>3000</v>
      </c>
      <c r="D5149" s="7">
        <v>0.69</v>
      </c>
      <c r="E5149" t="s">
        <v>75</v>
      </c>
    </row>
    <row r="5150" spans="1:5" x14ac:dyDescent="0.25">
      <c r="A5150" t="str">
        <f>HYPERLINK("https://www.773grp.com/globalSearch/IRF510/page-1", "IRF510")</f>
        <v>IRF510</v>
      </c>
      <c r="B5150" s="3" t="str">
        <f>HYPERLINK("https://www.773grp.com/manufacturer/onsemi?pageNo=1105", "Onsemi")</f>
        <v>Onsemi</v>
      </c>
      <c r="C5150" s="6">
        <v>90</v>
      </c>
      <c r="D5150" s="7">
        <v>0.69</v>
      </c>
      <c r="E5150" t="s">
        <v>84</v>
      </c>
    </row>
    <row r="5151" spans="1:5" x14ac:dyDescent="0.25">
      <c r="A5151" t="str">
        <f>HYPERLINK("https://www.773grp.com/globalSearch/LM2901DG/page-1", "LM2901DG")</f>
        <v>LM2901DG</v>
      </c>
      <c r="B5151" s="3" t="str">
        <f>HYPERLINK("https://www.773grp.com/manufacturer/onsemi?pageNo=1106", "Onsemi")</f>
        <v>Onsemi</v>
      </c>
      <c r="C5151" s="6">
        <v>5645</v>
      </c>
      <c r="D5151" s="7">
        <v>0.69</v>
      </c>
      <c r="E5151" t="s">
        <v>6</v>
      </c>
    </row>
    <row r="5152" spans="1:5" x14ac:dyDescent="0.25">
      <c r="A5152" t="str">
        <f>HYPERLINK("https://www.773grp.com/globalSearch/LM2901DR2G/page-1", "LM2901DR2G")</f>
        <v>LM2901DR2G</v>
      </c>
      <c r="B5152" s="3" t="str">
        <f>HYPERLINK("https://www.773grp.com/manufacturer/onsemi?pageNo=1107", "Onsemi")</f>
        <v>Onsemi</v>
      </c>
      <c r="C5152" s="6">
        <v>204850</v>
      </c>
      <c r="D5152" s="7">
        <v>0.69</v>
      </c>
      <c r="E5152" t="s">
        <v>6</v>
      </c>
    </row>
    <row r="5153" spans="1:5" x14ac:dyDescent="0.25">
      <c r="A5153" t="str">
        <f>HYPERLINK("https://www.773grp.com/globalSearch/LM2902DG/page-1", "LM2902DG")</f>
        <v>LM2902DG</v>
      </c>
      <c r="B5153" s="3" t="str">
        <f>HYPERLINK("https://www.773grp.com/manufacturer/onsemi?pageNo=1108", "Onsemi")</f>
        <v>Onsemi</v>
      </c>
      <c r="C5153" s="6">
        <v>16794</v>
      </c>
      <c r="D5153" s="7">
        <v>0.69</v>
      </c>
      <c r="E5153" t="s">
        <v>10</v>
      </c>
    </row>
    <row r="5154" spans="1:5" x14ac:dyDescent="0.25">
      <c r="A5154" t="str">
        <f>HYPERLINK("https://www.773grp.com/globalSearch/LM2902DR2G/page-1", "LM2902DR2G")</f>
        <v>LM2902DR2G</v>
      </c>
      <c r="B5154" s="3" t="str">
        <f>HYPERLINK("https://www.773grp.com/manufacturer/onsemi?pageNo=1109", "Onsemi")</f>
        <v>Onsemi</v>
      </c>
      <c r="C5154" s="6">
        <v>1102500</v>
      </c>
      <c r="D5154" s="7">
        <v>0.69</v>
      </c>
      <c r="E5154" t="s">
        <v>10</v>
      </c>
    </row>
    <row r="5155" spans="1:5" x14ac:dyDescent="0.25">
      <c r="A5155" t="str">
        <f>HYPERLINK("https://www.773grp.com/globalSearch/LM2902VNG/page-1", "LM2902VNG")</f>
        <v>LM2902VNG</v>
      </c>
      <c r="B5155" s="3" t="str">
        <f>HYPERLINK("https://www.773grp.com/manufacturer/onsemi?pageNo=1110", "Onsemi")</f>
        <v>Onsemi</v>
      </c>
      <c r="C5155" s="6">
        <v>6497</v>
      </c>
      <c r="D5155" s="7">
        <v>0.69</v>
      </c>
      <c r="E5155" t="s">
        <v>10</v>
      </c>
    </row>
    <row r="5156" spans="1:5" x14ac:dyDescent="0.25">
      <c r="A5156" t="str">
        <f>HYPERLINK("https://www.773grp.com/globalSearch/LM2931AZ-5.0/page-1", "LM2931AZ-5.0")</f>
        <v>LM2931AZ-5.0</v>
      </c>
      <c r="B5156" s="3" t="str">
        <f>HYPERLINK("https://www.773grp.com/manufacturer/onsemi?pageNo=1111", "Onsemi")</f>
        <v>Onsemi</v>
      </c>
      <c r="C5156" s="6">
        <v>2602</v>
      </c>
      <c r="D5156" s="7">
        <v>0.69</v>
      </c>
      <c r="E5156" t="s">
        <v>15</v>
      </c>
    </row>
    <row r="5157" spans="1:5" x14ac:dyDescent="0.25">
      <c r="A5157" t="str">
        <f>HYPERLINK("https://www.773grp.com/globalSearch/LM2931AZ-5.0RA/page-1", "LM2931AZ-5.0RA")</f>
        <v>LM2931AZ-5.0RA</v>
      </c>
      <c r="B5157" s="3" t="str">
        <f>HYPERLINK("https://www.773grp.com/manufacturer/onsemi?pageNo=1112", "Onsemi")</f>
        <v>Onsemi</v>
      </c>
      <c r="C5157" s="6">
        <v>23881</v>
      </c>
      <c r="D5157" s="7">
        <v>0.69</v>
      </c>
      <c r="E5157" t="s">
        <v>15</v>
      </c>
    </row>
    <row r="5158" spans="1:5" x14ac:dyDescent="0.25">
      <c r="A5158" t="str">
        <f>HYPERLINK("https://www.773grp.com/globalSearch/LM311DR2/page-1", "LM311DR2")</f>
        <v>LM311DR2</v>
      </c>
      <c r="B5158" s="3" t="str">
        <f>HYPERLINK("https://www.773grp.com/manufacturer/onsemi?pageNo=1113", "Onsemi")</f>
        <v>Onsemi</v>
      </c>
      <c r="C5158" s="6">
        <v>4464</v>
      </c>
      <c r="D5158" s="7">
        <v>0.69</v>
      </c>
      <c r="E5158" t="s">
        <v>6</v>
      </c>
    </row>
    <row r="5159" spans="1:5" x14ac:dyDescent="0.25">
      <c r="A5159" t="str">
        <f>HYPERLINK("https://www.773grp.com/globalSearch/LM317T/page-1", "LM317T")</f>
        <v>LM317T</v>
      </c>
      <c r="B5159" s="3" t="str">
        <f>HYPERLINK("https://www.773grp.com/manufacturer/onsemi?pageNo=1114", "Onsemi")</f>
        <v>Onsemi</v>
      </c>
      <c r="C5159" s="6">
        <v>22457</v>
      </c>
      <c r="D5159" s="7">
        <v>0.69</v>
      </c>
      <c r="E5159" t="s">
        <v>18</v>
      </c>
    </row>
    <row r="5160" spans="1:5" x14ac:dyDescent="0.25">
      <c r="A5160" t="str">
        <f>HYPERLINK("https://www.773grp.com/globalSearch/LM324AD/page-1", "LM324AD")</f>
        <v>LM324AD</v>
      </c>
      <c r="B5160" s="3" t="str">
        <f>HYPERLINK("https://www.773grp.com/manufacturer/onsemi?pageNo=1115", "Onsemi")</f>
        <v>Onsemi</v>
      </c>
      <c r="C5160" s="6">
        <v>1375</v>
      </c>
      <c r="D5160" s="7">
        <v>0.69</v>
      </c>
      <c r="E5160" t="s">
        <v>10</v>
      </c>
    </row>
    <row r="5161" spans="1:5" x14ac:dyDescent="0.25">
      <c r="A5161" t="str">
        <f>HYPERLINK("https://www.773grp.com/globalSearch/LM358NG/page-1", "LM358NG")</f>
        <v>LM358NG</v>
      </c>
      <c r="B5161" s="3" t="str">
        <f>HYPERLINK("https://www.773grp.com/manufacturer/onsemi?pageNo=1116", "Onsemi")</f>
        <v>Onsemi</v>
      </c>
      <c r="C5161" s="6">
        <v>87798</v>
      </c>
      <c r="D5161" s="7">
        <v>0.69</v>
      </c>
      <c r="E5161" t="s">
        <v>10</v>
      </c>
    </row>
    <row r="5162" spans="1:5" x14ac:dyDescent="0.25">
      <c r="A5162" t="str">
        <f>HYPERLINK("https://www.773grp.com/globalSearch/LM385Z-2.5/page-1", "LM385Z-2.5")</f>
        <v>LM385Z-2.5</v>
      </c>
      <c r="B5162" s="3" t="str">
        <f>HYPERLINK("https://www.773grp.com/manufacturer/onsemi?pageNo=1117", "Onsemi")</f>
        <v>Onsemi</v>
      </c>
      <c r="C5162" s="6">
        <v>1007</v>
      </c>
      <c r="D5162" s="7">
        <v>0.69</v>
      </c>
      <c r="E5162" t="s">
        <v>13</v>
      </c>
    </row>
    <row r="5163" spans="1:5" x14ac:dyDescent="0.25">
      <c r="A5163" t="str">
        <f>HYPERLINK("https://www.773grp.com/globalSearch/LM385Z-2.5RP/page-1", "LM385Z-2.5RP")</f>
        <v>LM385Z-2.5RP</v>
      </c>
      <c r="B5163" s="3" t="str">
        <f>HYPERLINK("https://www.773grp.com/manufacturer/onsemi?pageNo=1118", "Onsemi")</f>
        <v>Onsemi</v>
      </c>
      <c r="C5163" s="6">
        <v>2000</v>
      </c>
      <c r="D5163" s="7">
        <v>0.69</v>
      </c>
      <c r="E5163" t="s">
        <v>13</v>
      </c>
    </row>
    <row r="5164" spans="1:5" x14ac:dyDescent="0.25">
      <c r="A5164" t="str">
        <f>HYPERLINK("https://www.773grp.com/globalSearch/LM393N/page-1", "LM393N")</f>
        <v>LM393N</v>
      </c>
      <c r="B5164" s="3" t="str">
        <f>HYPERLINK("https://www.773grp.com/manufacturer/onsemi?pageNo=1119", "Onsemi")</f>
        <v>Onsemi</v>
      </c>
      <c r="C5164" s="6">
        <v>10050</v>
      </c>
      <c r="D5164" s="7">
        <v>0.69</v>
      </c>
      <c r="E5164" t="s">
        <v>6</v>
      </c>
    </row>
    <row r="5165" spans="1:5" x14ac:dyDescent="0.25">
      <c r="A5165" t="str">
        <f>HYPERLINK("https://www.773grp.com/globalSearch/LM393NG/page-1", "LM393NG")</f>
        <v>LM393NG</v>
      </c>
      <c r="B5165" s="3" t="str">
        <f>HYPERLINK("https://www.773grp.com/manufacturer/onsemi?pageNo=1120", "Onsemi")</f>
        <v>Onsemi</v>
      </c>
      <c r="C5165" s="6">
        <v>416990</v>
      </c>
      <c r="D5165" s="7">
        <v>0.69</v>
      </c>
      <c r="E5165" t="s">
        <v>6</v>
      </c>
    </row>
    <row r="5166" spans="1:5" x14ac:dyDescent="0.25">
      <c r="A5166" t="str">
        <f>HYPERLINK("https://www.773grp.com/globalSearch/LV51142T-TE-F-E/page-1", "LV51142T-TE-F-E")</f>
        <v>LV51142T-TE-F-E</v>
      </c>
      <c r="B5166" s="3" t="str">
        <f>HYPERLINK("https://www.773grp.com/manufacturer/onsemi?pageNo=1121", "Onsemi")</f>
        <v>Onsemi</v>
      </c>
      <c r="C5166" s="6">
        <v>100</v>
      </c>
      <c r="D5166" s="7">
        <v>0.69</v>
      </c>
    </row>
    <row r="5167" spans="1:5" x14ac:dyDescent="0.25">
      <c r="A5167" t="str">
        <f>HYPERLINK("https://www.773grp.com/globalSearch/M74VHCT126ADTR2G/page-1", "M74VHCT126ADTR2G")</f>
        <v>M74VHCT126ADTR2G</v>
      </c>
      <c r="B5167" s="3" t="str">
        <f>HYPERLINK("https://www.773grp.com/manufacturer/onsemi?pageNo=1122", "Onsemi")</f>
        <v>Onsemi</v>
      </c>
      <c r="C5167" s="6">
        <v>5000</v>
      </c>
      <c r="D5167" s="7">
        <v>0.69</v>
      </c>
    </row>
    <row r="5168" spans="1:5" x14ac:dyDescent="0.25">
      <c r="A5168" t="str">
        <f>HYPERLINK("https://www.773grp.com/globalSearch/MAX803SQ120T1G/page-1", "MAX803SQ120T1G")</f>
        <v>MAX803SQ120T1G</v>
      </c>
      <c r="B5168" s="3" t="str">
        <f>HYPERLINK("https://www.773grp.com/manufacturer/onsemi?pageNo=1123", "Onsemi")</f>
        <v>Onsemi</v>
      </c>
      <c r="C5168" s="6">
        <v>2990</v>
      </c>
      <c r="D5168" s="7">
        <v>0.69</v>
      </c>
    </row>
    <row r="5169" spans="1:5" x14ac:dyDescent="0.25">
      <c r="A5169" t="str">
        <f>HYPERLINK("https://www.773grp.com/globalSearch/MAX809SN120T1G/page-1", "MAX809SN120T1G")</f>
        <v>MAX809SN120T1G</v>
      </c>
      <c r="B5169" s="3" t="str">
        <f>HYPERLINK("https://www.773grp.com/manufacturer/onsemi?pageNo=1124", "Onsemi")</f>
        <v>Onsemi</v>
      </c>
      <c r="C5169" s="6">
        <v>39000</v>
      </c>
      <c r="D5169" s="7">
        <v>0.69</v>
      </c>
      <c r="E5169" t="s">
        <v>26</v>
      </c>
    </row>
    <row r="5170" spans="1:5" x14ac:dyDescent="0.25">
      <c r="A5170" t="str">
        <f>HYPERLINK("https://www.773grp.com/globalSearch/MAX809SN490T1G/page-1", "MAX809SN490T1G")</f>
        <v>MAX809SN490T1G</v>
      </c>
      <c r="B5170" s="3" t="str">
        <f>HYPERLINK("https://www.773grp.com/manufacturer/onsemi?pageNo=1125", "Onsemi")</f>
        <v>Onsemi</v>
      </c>
      <c r="C5170" s="6">
        <v>18000</v>
      </c>
      <c r="D5170" s="7">
        <v>0.69</v>
      </c>
      <c r="E5170" t="s">
        <v>26</v>
      </c>
    </row>
    <row r="5171" spans="1:5" x14ac:dyDescent="0.25">
      <c r="A5171" t="str">
        <f>HYPERLINK("https://www.773grp.com/globalSearch/MAX809SQ120T1G/page-1", "MAX809SQ120T1G")</f>
        <v>MAX809SQ120T1G</v>
      </c>
      <c r="B5171" s="3" t="str">
        <f>HYPERLINK("https://www.773grp.com/manufacturer/onsemi?pageNo=1126", "Onsemi")</f>
        <v>Onsemi</v>
      </c>
      <c r="C5171" s="6">
        <v>12000</v>
      </c>
      <c r="D5171" s="7">
        <v>0.69</v>
      </c>
    </row>
    <row r="5172" spans="1:5" x14ac:dyDescent="0.25">
      <c r="A5172" t="str">
        <f>HYPERLINK("https://www.773grp.com/globalSearch/MAX809SQ293T1G/page-1", "MAX809SQ293T1G")</f>
        <v>MAX809SQ293T1G</v>
      </c>
      <c r="B5172" s="3" t="str">
        <f>HYPERLINK("https://www.773grp.com/manufacturer/onsemi?pageNo=1127", "Onsemi")</f>
        <v>Onsemi</v>
      </c>
      <c r="C5172" s="6">
        <v>45000</v>
      </c>
      <c r="D5172" s="7">
        <v>0.69</v>
      </c>
      <c r="E5172" t="s">
        <v>26</v>
      </c>
    </row>
    <row r="5173" spans="1:5" x14ac:dyDescent="0.25">
      <c r="A5173" t="str">
        <f>HYPERLINK("https://www.773grp.com/globalSearch/MAX809SQ400T1G/page-1", "MAX809SQ400T1G")</f>
        <v>MAX809SQ400T1G</v>
      </c>
      <c r="B5173" s="3" t="str">
        <f>HYPERLINK("https://www.773grp.com/manufacturer/onsemi?pageNo=1128", "Onsemi")</f>
        <v>Onsemi</v>
      </c>
      <c r="C5173" s="6">
        <v>1266738</v>
      </c>
      <c r="D5173" s="7">
        <v>0.69</v>
      </c>
      <c r="E5173" t="s">
        <v>26</v>
      </c>
    </row>
    <row r="5174" spans="1:5" x14ac:dyDescent="0.25">
      <c r="A5174" t="str">
        <f>HYPERLINK("https://www.773grp.com/globalSearch/MAX809SQ463T1G/page-1", "MAX809SQ463T1G")</f>
        <v>MAX809SQ463T1G</v>
      </c>
      <c r="B5174" s="3" t="str">
        <f>HYPERLINK("https://www.773grp.com/manufacturer/onsemi?pageNo=1129", "Onsemi")</f>
        <v>Onsemi</v>
      </c>
      <c r="C5174" s="6">
        <v>81000</v>
      </c>
      <c r="D5174" s="7">
        <v>0.69</v>
      </c>
      <c r="E5174" t="s">
        <v>26</v>
      </c>
    </row>
    <row r="5175" spans="1:5" x14ac:dyDescent="0.25">
      <c r="A5175" t="str">
        <f>HYPERLINK("https://www.773grp.com/globalSearch/MAX810RTRG/page-1", "MAX810RTRG")</f>
        <v>MAX810RTRG</v>
      </c>
      <c r="B5175" s="3" t="str">
        <f>HYPERLINK("https://www.773grp.com/manufacturer/onsemi?pageNo=1130", "Onsemi")</f>
        <v>Onsemi</v>
      </c>
      <c r="C5175" s="6">
        <v>72000</v>
      </c>
      <c r="D5175" s="7">
        <v>0.69</v>
      </c>
      <c r="E5175" t="s">
        <v>26</v>
      </c>
    </row>
    <row r="5176" spans="1:5" x14ac:dyDescent="0.25">
      <c r="A5176" t="str">
        <f>HYPERLINK("https://www.773grp.com/globalSearch/MAX810SN120T1G/page-1", "MAX810SN120T1G")</f>
        <v>MAX810SN120T1G</v>
      </c>
      <c r="B5176" s="3" t="str">
        <f>HYPERLINK("https://www.773grp.com/manufacturer/onsemi?pageNo=1131", "Onsemi")</f>
        <v>Onsemi</v>
      </c>
      <c r="C5176" s="6">
        <v>15000</v>
      </c>
      <c r="D5176" s="7">
        <v>0.69</v>
      </c>
    </row>
    <row r="5177" spans="1:5" x14ac:dyDescent="0.25">
      <c r="A5177" t="str">
        <f>HYPERLINK("https://www.773grp.com/globalSearch/MAX810SN293D1T1G/page-1", "MAX810SN293D1T1G")</f>
        <v>MAX810SN293D1T1G</v>
      </c>
      <c r="B5177" s="3" t="str">
        <f>HYPERLINK("https://www.773grp.com/manufacturer/onsemi?pageNo=1132", "Onsemi")</f>
        <v>Onsemi</v>
      </c>
      <c r="C5177" s="6">
        <v>3000</v>
      </c>
      <c r="D5177" s="7">
        <v>0.69</v>
      </c>
    </row>
    <row r="5178" spans="1:5" x14ac:dyDescent="0.25">
      <c r="A5178" t="str">
        <f>HYPERLINK("https://www.773grp.com/globalSearch/MAX810SQ263T1G/page-1", "MAX810SQ263T1G")</f>
        <v>MAX810SQ263T1G</v>
      </c>
      <c r="B5178" s="3" t="str">
        <f>HYPERLINK("https://www.773grp.com/manufacturer/onsemi?pageNo=1133", "Onsemi")</f>
        <v>Onsemi</v>
      </c>
      <c r="C5178" s="6">
        <v>45000</v>
      </c>
      <c r="D5178" s="7">
        <v>0.69</v>
      </c>
    </row>
    <row r="5179" spans="1:5" x14ac:dyDescent="0.25">
      <c r="A5179" t="str">
        <f>HYPERLINK("https://www.773grp.com/globalSearch/MAX810STRG/page-1", "MAX810STRG")</f>
        <v>MAX810STRG</v>
      </c>
      <c r="B5179" s="3" t="str">
        <f>HYPERLINK("https://www.773grp.com/manufacturer/onsemi?pageNo=1134", "Onsemi")</f>
        <v>Onsemi</v>
      </c>
      <c r="C5179" s="6">
        <v>13990</v>
      </c>
      <c r="D5179" s="7">
        <v>0.69</v>
      </c>
      <c r="E5179" t="s">
        <v>26</v>
      </c>
    </row>
    <row r="5180" spans="1:5" x14ac:dyDescent="0.25">
      <c r="A5180" t="str">
        <f>HYPERLINK("https://www.773grp.com/globalSearch/MAX810TTRG/page-1", "MAX810TTRG")</f>
        <v>MAX810TTRG</v>
      </c>
      <c r="B5180" s="3" t="str">
        <f>HYPERLINK("https://www.773grp.com/manufacturer/onsemi?pageNo=1135", "Onsemi")</f>
        <v>Onsemi</v>
      </c>
      <c r="C5180" s="6">
        <v>3370</v>
      </c>
      <c r="D5180" s="7">
        <v>0.69</v>
      </c>
      <c r="E5180" t="s">
        <v>26</v>
      </c>
    </row>
    <row r="5181" spans="1:5" x14ac:dyDescent="0.25">
      <c r="A5181" t="str">
        <f>HYPERLINK("https://www.773grp.com/globalSearch/MBT35200MT1/page-1", "MBT35200MT1")</f>
        <v>MBT35200MT1</v>
      </c>
      <c r="B5181" s="3" t="str">
        <f>HYPERLINK("https://www.773grp.com/manufacturer/onsemi?pageNo=1136", "Onsemi")</f>
        <v>Onsemi</v>
      </c>
      <c r="C5181" s="6">
        <v>33000</v>
      </c>
      <c r="D5181" s="7">
        <v>0.69</v>
      </c>
    </row>
    <row r="5182" spans="1:5" x14ac:dyDescent="0.25">
      <c r="A5182" t="str">
        <f>HYPERLINK("https://www.773grp.com/globalSearch/MC14001BDTR2G/page-1", "MC14001BDTR2G")</f>
        <v>MC14001BDTR2G</v>
      </c>
      <c r="B5182" s="3" t="str">
        <f>HYPERLINK("https://www.773grp.com/manufacturer/onsemi?pageNo=1137", "Onsemi")</f>
        <v>Onsemi</v>
      </c>
      <c r="C5182" s="6">
        <v>3685</v>
      </c>
      <c r="D5182" s="7">
        <v>0.69</v>
      </c>
      <c r="E5182" t="s">
        <v>27</v>
      </c>
    </row>
    <row r="5183" spans="1:5" x14ac:dyDescent="0.25">
      <c r="A5183" t="str">
        <f>HYPERLINK("https://www.773grp.com/globalSearch/MC14001UBDR2/page-1", "MC14001UBDR2")</f>
        <v>MC14001UBDR2</v>
      </c>
      <c r="B5183" s="3" t="str">
        <f>HYPERLINK("https://www.773grp.com/manufacturer/onsemi?pageNo=1138", "Onsemi")</f>
        <v>Onsemi</v>
      </c>
      <c r="C5183" s="6">
        <v>6066</v>
      </c>
      <c r="D5183" s="7">
        <v>0.69</v>
      </c>
      <c r="E5183" t="s">
        <v>27</v>
      </c>
    </row>
    <row r="5184" spans="1:5" x14ac:dyDescent="0.25">
      <c r="A5184" t="str">
        <f>HYPERLINK("https://www.773grp.com/globalSearch/MC14011BDTR2G/page-1", "MC14011BDTR2G")</f>
        <v>MC14011BDTR2G</v>
      </c>
      <c r="B5184" s="3" t="str">
        <f>HYPERLINK("https://www.773grp.com/manufacturer/onsemi?pageNo=1139", "Onsemi")</f>
        <v>Onsemi</v>
      </c>
      <c r="C5184" s="6">
        <v>43119</v>
      </c>
      <c r="D5184" s="7">
        <v>0.69</v>
      </c>
      <c r="E5184" t="s">
        <v>27</v>
      </c>
    </row>
    <row r="5185" spans="1:5" x14ac:dyDescent="0.25">
      <c r="A5185" t="str">
        <f>HYPERLINK("https://www.773grp.com/globalSearch/MC14013BDT/page-1", "MC14013BDT")</f>
        <v>MC14013BDT</v>
      </c>
      <c r="B5185" s="3" t="str">
        <f>HYPERLINK("https://www.773grp.com/manufacturer/onsemi?pageNo=1140", "Onsemi")</f>
        <v>Onsemi</v>
      </c>
      <c r="C5185" s="6">
        <v>2515</v>
      </c>
      <c r="D5185" s="7">
        <v>0.69</v>
      </c>
      <c r="E5185" t="s">
        <v>31</v>
      </c>
    </row>
    <row r="5186" spans="1:5" x14ac:dyDescent="0.25">
      <c r="A5186" t="str">
        <f>HYPERLINK("https://www.773grp.com/globalSearch/MC14014BF/page-1", "MC14014BF")</f>
        <v>MC14014BF</v>
      </c>
      <c r="B5186" s="3" t="str">
        <f>HYPERLINK("https://www.773grp.com/manufacturer/onsemi?pageNo=1141", "Onsemi")</f>
        <v>Onsemi</v>
      </c>
      <c r="C5186" s="6">
        <v>26868</v>
      </c>
      <c r="D5186" s="7">
        <v>0.69</v>
      </c>
      <c r="E5186" t="s">
        <v>28</v>
      </c>
    </row>
    <row r="5187" spans="1:5" x14ac:dyDescent="0.25">
      <c r="A5187" t="str">
        <f>HYPERLINK("https://www.773grp.com/globalSearch/MC14014BFEL/page-1", "MC14014BFEL")</f>
        <v>MC14014BFEL</v>
      </c>
      <c r="B5187" s="3" t="str">
        <f>HYPERLINK("https://www.773grp.com/manufacturer/onsemi?pageNo=1142", "Onsemi")</f>
        <v>Onsemi</v>
      </c>
      <c r="C5187" s="6">
        <v>2000</v>
      </c>
      <c r="D5187" s="7">
        <v>0.69</v>
      </c>
      <c r="E5187" t="s">
        <v>28</v>
      </c>
    </row>
    <row r="5188" spans="1:5" x14ac:dyDescent="0.25">
      <c r="A5188" t="str">
        <f>HYPERLINK("https://www.773grp.com/globalSearch/MC14015BF/page-1", "MC14015BF")</f>
        <v>MC14015BF</v>
      </c>
      <c r="B5188" s="3" t="str">
        <f>HYPERLINK("https://www.773grp.com/manufacturer/onsemi?pageNo=1143", "Onsemi")</f>
        <v>Onsemi</v>
      </c>
      <c r="C5188" s="6">
        <v>1350</v>
      </c>
      <c r="D5188" s="7">
        <v>0.69</v>
      </c>
      <c r="E5188" t="s">
        <v>28</v>
      </c>
    </row>
    <row r="5189" spans="1:5" x14ac:dyDescent="0.25">
      <c r="A5189" t="str">
        <f>HYPERLINK("https://www.773grp.com/globalSearch/MC14015BFEL/page-1", "MC14015BFEL")</f>
        <v>MC14015BFEL</v>
      </c>
      <c r="B5189" s="3" t="str">
        <f>HYPERLINK("https://www.773grp.com/manufacturer/onsemi?pageNo=1144", "Onsemi")</f>
        <v>Onsemi</v>
      </c>
      <c r="C5189" s="6">
        <v>4000</v>
      </c>
      <c r="D5189" s="7">
        <v>0.69</v>
      </c>
      <c r="E5189" t="s">
        <v>28</v>
      </c>
    </row>
    <row r="5190" spans="1:5" x14ac:dyDescent="0.25">
      <c r="A5190" t="str">
        <f>HYPERLINK("https://www.773grp.com/globalSearch/MC14016BF/page-1", "MC14016BF")</f>
        <v>MC14016BF</v>
      </c>
      <c r="B5190" s="3" t="str">
        <f>HYPERLINK("https://www.773grp.com/manufacturer/onsemi?pageNo=1145", "Onsemi")</f>
        <v>Onsemi</v>
      </c>
      <c r="C5190" s="6">
        <v>2946</v>
      </c>
      <c r="D5190" s="7">
        <v>0.69</v>
      </c>
      <c r="E5190" t="s">
        <v>46</v>
      </c>
    </row>
    <row r="5191" spans="1:5" x14ac:dyDescent="0.25">
      <c r="A5191" t="str">
        <f>HYPERLINK("https://www.773grp.com/globalSearch/MC14016BFL1/page-1", "MC14016BFL1")</f>
        <v>MC14016BFL1</v>
      </c>
      <c r="B5191" s="3" t="str">
        <f>HYPERLINK("https://www.773grp.com/manufacturer/onsemi?pageNo=1146", "Onsemi")</f>
        <v>Onsemi</v>
      </c>
      <c r="C5191" s="6">
        <v>1000</v>
      </c>
      <c r="D5191" s="7">
        <v>0.69</v>
      </c>
    </row>
    <row r="5192" spans="1:5" x14ac:dyDescent="0.25">
      <c r="A5192" t="str">
        <f>HYPERLINK("https://www.773grp.com/globalSearch/MC14024BF/page-1", "MC14024BF")</f>
        <v>MC14024BF</v>
      </c>
      <c r="B5192" s="3" t="str">
        <f>HYPERLINK("https://www.773grp.com/manufacturer/onsemi?pageNo=1147", "Onsemi")</f>
        <v>Onsemi</v>
      </c>
      <c r="C5192" s="6">
        <v>2350</v>
      </c>
      <c r="D5192" s="7">
        <v>0.69</v>
      </c>
      <c r="E5192" t="s">
        <v>22</v>
      </c>
    </row>
    <row r="5193" spans="1:5" x14ac:dyDescent="0.25">
      <c r="A5193" t="str">
        <f>HYPERLINK("https://www.773grp.com/globalSearch/MC14024BFL1/page-1", "MC14024BFL1")</f>
        <v>MC14024BFL1</v>
      </c>
      <c r="B5193" s="3" t="str">
        <f>HYPERLINK("https://www.773grp.com/manufacturer/onsemi?pageNo=1148", "Onsemi")</f>
        <v>Onsemi</v>
      </c>
      <c r="C5193" s="6">
        <v>2000</v>
      </c>
      <c r="D5193" s="7">
        <v>0.69</v>
      </c>
      <c r="E5193" t="s">
        <v>22</v>
      </c>
    </row>
    <row r="5194" spans="1:5" x14ac:dyDescent="0.25">
      <c r="A5194" t="str">
        <f>HYPERLINK("https://www.773grp.com/globalSearch/MC14024BFL2/page-1", "MC14024BFL2")</f>
        <v>MC14024BFL2</v>
      </c>
      <c r="B5194" s="3" t="str">
        <f>HYPERLINK("https://www.773grp.com/manufacturer/onsemi?pageNo=1149", "Onsemi")</f>
        <v>Onsemi</v>
      </c>
      <c r="C5194" s="6">
        <v>6000</v>
      </c>
      <c r="D5194" s="7">
        <v>0.69</v>
      </c>
      <c r="E5194" t="s">
        <v>22</v>
      </c>
    </row>
    <row r="5195" spans="1:5" x14ac:dyDescent="0.25">
      <c r="A5195" t="str">
        <f>HYPERLINK("https://www.773grp.com/globalSearch/MC14024BFR1/page-1", "MC14024BFR1")</f>
        <v>MC14024BFR1</v>
      </c>
      <c r="B5195" s="3" t="str">
        <f>HYPERLINK("https://www.773grp.com/manufacturer/onsemi?pageNo=1150", "Onsemi")</f>
        <v>Onsemi</v>
      </c>
      <c r="C5195" s="6">
        <v>8000</v>
      </c>
      <c r="D5195" s="7">
        <v>0.69</v>
      </c>
      <c r="E5195" t="s">
        <v>22</v>
      </c>
    </row>
    <row r="5196" spans="1:5" x14ac:dyDescent="0.25">
      <c r="A5196" t="str">
        <f>HYPERLINK("https://www.773grp.com/globalSearch/MC14027BF/page-1", "MC14027BF")</f>
        <v>MC14027BF</v>
      </c>
      <c r="B5196" s="3" t="str">
        <f>HYPERLINK("https://www.773grp.com/manufacturer/onsemi?pageNo=1151", "Onsemi")</f>
        <v>Onsemi</v>
      </c>
      <c r="C5196" s="6">
        <v>1826</v>
      </c>
      <c r="D5196" s="7">
        <v>0.69</v>
      </c>
      <c r="E5196" t="s">
        <v>31</v>
      </c>
    </row>
    <row r="5197" spans="1:5" x14ac:dyDescent="0.25">
      <c r="A5197" t="str">
        <f>HYPERLINK("https://www.773grp.com/globalSearch/MC14027BFL1/page-1", "MC14027BFL1")</f>
        <v>MC14027BFL1</v>
      </c>
      <c r="B5197" s="3" t="str">
        <f>HYPERLINK("https://www.773grp.com/manufacturer/onsemi?pageNo=1152", "Onsemi")</f>
        <v>Onsemi</v>
      </c>
      <c r="C5197" s="6">
        <v>9000</v>
      </c>
      <c r="D5197" s="7">
        <v>0.69</v>
      </c>
      <c r="E5197" t="s">
        <v>31</v>
      </c>
    </row>
    <row r="5198" spans="1:5" x14ac:dyDescent="0.25">
      <c r="A5198" t="str">
        <f>HYPERLINK("https://www.773grp.com/globalSearch/MC14046BCP/page-1", "MC14046BCP")</f>
        <v>MC14046BCP</v>
      </c>
      <c r="B5198" s="3" t="str">
        <f>HYPERLINK("https://www.773grp.com/manufacturer/onsemi?pageNo=1153", "Onsemi")</f>
        <v>Onsemi</v>
      </c>
      <c r="C5198" s="6">
        <v>13608</v>
      </c>
      <c r="D5198" s="7">
        <v>0.69</v>
      </c>
      <c r="E5198" t="s">
        <v>34</v>
      </c>
    </row>
    <row r="5199" spans="1:5" x14ac:dyDescent="0.25">
      <c r="A5199" t="str">
        <f>HYPERLINK("https://www.773grp.com/globalSearch/MC14046BF/page-1", "MC14046BF")</f>
        <v>MC14046BF</v>
      </c>
      <c r="B5199" s="3" t="str">
        <f>HYPERLINK("https://www.773grp.com/manufacturer/onsemi?pageNo=1154", "Onsemi")</f>
        <v>Onsemi</v>
      </c>
      <c r="C5199" s="6">
        <v>4900</v>
      </c>
      <c r="D5199" s="7">
        <v>0.69</v>
      </c>
      <c r="E5199" t="s">
        <v>34</v>
      </c>
    </row>
    <row r="5200" spans="1:5" x14ac:dyDescent="0.25">
      <c r="A5200" t="str">
        <f>HYPERLINK("https://www.773grp.com/globalSearch/MC14046BFEL/page-1", "MC14046BFEL")</f>
        <v>MC14046BFEL</v>
      </c>
      <c r="B5200" s="3" t="str">
        <f>HYPERLINK("https://www.773grp.com/manufacturer/onsemi?pageNo=1155", "Onsemi")</f>
        <v>Onsemi</v>
      </c>
      <c r="C5200" s="6">
        <v>2000</v>
      </c>
      <c r="D5200" s="7">
        <v>0.69</v>
      </c>
      <c r="E5200" t="s">
        <v>34</v>
      </c>
    </row>
    <row r="5201" spans="1:5" x14ac:dyDescent="0.25">
      <c r="A5201" t="str">
        <f>HYPERLINK("https://www.773grp.com/globalSearch/MC14049BF/page-1", "MC14049BF")</f>
        <v>MC14049BF</v>
      </c>
      <c r="B5201" s="3" t="str">
        <f>HYPERLINK("https://www.773grp.com/manufacturer/onsemi?pageNo=1156", "Onsemi")</f>
        <v>Onsemi</v>
      </c>
      <c r="C5201" s="6">
        <v>1050</v>
      </c>
      <c r="D5201" s="7">
        <v>0.69</v>
      </c>
      <c r="E5201" t="s">
        <v>27</v>
      </c>
    </row>
    <row r="5202" spans="1:5" x14ac:dyDescent="0.25">
      <c r="A5202" t="str">
        <f>HYPERLINK("https://www.773grp.com/globalSearch/MC14049BFL1/page-1", "MC14049BFL1")</f>
        <v>MC14049BFL1</v>
      </c>
      <c r="B5202" s="3" t="str">
        <f>HYPERLINK("https://www.773grp.com/manufacturer/onsemi?pageNo=1157", "Onsemi")</f>
        <v>Onsemi</v>
      </c>
      <c r="C5202" s="6">
        <v>6000</v>
      </c>
      <c r="D5202" s="7">
        <v>0.69</v>
      </c>
      <c r="E5202" t="s">
        <v>27</v>
      </c>
    </row>
    <row r="5203" spans="1:5" x14ac:dyDescent="0.25">
      <c r="A5203" t="str">
        <f>HYPERLINK("https://www.773grp.com/globalSearch/MC14049UBF/page-1", "MC14049UBF")</f>
        <v>MC14049UBF</v>
      </c>
      <c r="B5203" s="3" t="str">
        <f>HYPERLINK("https://www.773grp.com/manufacturer/onsemi?pageNo=1158", "Onsemi")</f>
        <v>Onsemi</v>
      </c>
      <c r="C5203" s="6">
        <v>3800</v>
      </c>
      <c r="D5203" s="7">
        <v>0.69</v>
      </c>
      <c r="E5203" t="s">
        <v>27</v>
      </c>
    </row>
    <row r="5204" spans="1:5" x14ac:dyDescent="0.25">
      <c r="A5204" t="str">
        <f>HYPERLINK("https://www.773grp.com/globalSearch/MC14049UBFL1/page-1", "MC14049UBFL1")</f>
        <v>MC14049UBFL1</v>
      </c>
      <c r="B5204" s="3" t="str">
        <f>HYPERLINK("https://www.773grp.com/manufacturer/onsemi?pageNo=1159", "Onsemi")</f>
        <v>Onsemi</v>
      </c>
      <c r="C5204" s="6">
        <v>51000</v>
      </c>
      <c r="D5204" s="7">
        <v>0.69</v>
      </c>
    </row>
    <row r="5205" spans="1:5" x14ac:dyDescent="0.25">
      <c r="A5205" t="str">
        <f>HYPERLINK("https://www.773grp.com/globalSearch/MC14049UBFR1/page-1", "MC14049UBFR1")</f>
        <v>MC14049UBFR1</v>
      </c>
      <c r="B5205" s="3" t="str">
        <f>HYPERLINK("https://www.773grp.com/manufacturer/onsemi?pageNo=1160", "Onsemi")</f>
        <v>Onsemi</v>
      </c>
      <c r="C5205" s="6">
        <v>5000</v>
      </c>
      <c r="D5205" s="7">
        <v>0.69</v>
      </c>
      <c r="E5205" t="s">
        <v>27</v>
      </c>
    </row>
    <row r="5206" spans="1:5" x14ac:dyDescent="0.25">
      <c r="A5206" t="str">
        <f>HYPERLINK("https://www.773grp.com/globalSearch/MC14049UBL2/page-1", "MC14049UBL2")</f>
        <v>MC14049UBL2</v>
      </c>
      <c r="B5206" s="3" t="str">
        <f>HYPERLINK("https://www.773grp.com/manufacturer/onsemi?pageNo=1161", "Onsemi")</f>
        <v>Onsemi</v>
      </c>
      <c r="C5206" s="6">
        <v>2000</v>
      </c>
      <c r="D5206" s="7">
        <v>0.69</v>
      </c>
    </row>
    <row r="5207" spans="1:5" x14ac:dyDescent="0.25">
      <c r="A5207" t="str">
        <f>HYPERLINK("https://www.773grp.com/globalSearch/MC14050BDTEL/page-1", "MC14050BDTEL")</f>
        <v>MC14050BDTEL</v>
      </c>
      <c r="B5207" s="3" t="str">
        <f>HYPERLINK("https://www.773grp.com/manufacturer/onsemi?pageNo=1162", "Onsemi")</f>
        <v>Onsemi</v>
      </c>
      <c r="C5207" s="6">
        <v>3900</v>
      </c>
      <c r="D5207" s="7">
        <v>0.69</v>
      </c>
      <c r="E5207" t="s">
        <v>27</v>
      </c>
    </row>
    <row r="5208" spans="1:5" x14ac:dyDescent="0.25">
      <c r="A5208" t="str">
        <f>HYPERLINK("https://www.773grp.com/globalSearch/MC14050BFL1/page-1", "MC14050BFL1")</f>
        <v>MC14050BFL1</v>
      </c>
      <c r="B5208" s="3" t="str">
        <f>HYPERLINK("https://www.773grp.com/manufacturer/onsemi?pageNo=1163", "Onsemi")</f>
        <v>Onsemi</v>
      </c>
      <c r="C5208" s="6">
        <v>1000</v>
      </c>
      <c r="D5208" s="7">
        <v>0.69</v>
      </c>
      <c r="E5208" t="s">
        <v>27</v>
      </c>
    </row>
    <row r="5209" spans="1:5" x14ac:dyDescent="0.25">
      <c r="A5209" t="str">
        <f>HYPERLINK("https://www.773grp.com/globalSearch/MC14051BFL1/page-1", "MC14051BFL1")</f>
        <v>MC14051BFL1</v>
      </c>
      <c r="B5209" s="3" t="str">
        <f>HYPERLINK("https://www.773grp.com/manufacturer/onsemi?pageNo=1164", "Onsemi")</f>
        <v>Onsemi</v>
      </c>
      <c r="C5209" s="6">
        <v>2000</v>
      </c>
      <c r="D5209" s="7">
        <v>0.69</v>
      </c>
      <c r="E5209" t="s">
        <v>46</v>
      </c>
    </row>
    <row r="5210" spans="1:5" x14ac:dyDescent="0.25">
      <c r="A5210" t="str">
        <f>HYPERLINK("https://www.773grp.com/globalSearch/MC14051BFL2/page-1", "MC14051BFL2")</f>
        <v>MC14051BFL2</v>
      </c>
      <c r="B5210" s="3" t="str">
        <f>HYPERLINK("https://www.773grp.com/manufacturer/onsemi?pageNo=1165", "Onsemi")</f>
        <v>Onsemi</v>
      </c>
      <c r="C5210" s="6">
        <v>4000</v>
      </c>
      <c r="D5210" s="7">
        <v>0.69</v>
      </c>
      <c r="E5210" t="s">
        <v>46</v>
      </c>
    </row>
    <row r="5211" spans="1:5" x14ac:dyDescent="0.25">
      <c r="A5211" t="str">
        <f>HYPERLINK("https://www.773grp.com/globalSearch/MC14051BFR1/page-1", "MC14051BFR1")</f>
        <v>MC14051BFR1</v>
      </c>
      <c r="B5211" s="3" t="str">
        <f>HYPERLINK("https://www.773grp.com/manufacturer/onsemi?pageNo=1166", "Onsemi")</f>
        <v>Onsemi</v>
      </c>
      <c r="C5211" s="6">
        <v>8000</v>
      </c>
      <c r="D5211" s="7">
        <v>0.69</v>
      </c>
      <c r="E5211" t="s">
        <v>46</v>
      </c>
    </row>
    <row r="5212" spans="1:5" x14ac:dyDescent="0.25">
      <c r="A5212" t="str">
        <f>HYPERLINK("https://www.773grp.com/globalSearch/MC14052BFL1/page-1", "MC14052BFL1")</f>
        <v>MC14052BFL1</v>
      </c>
      <c r="B5212" s="3" t="str">
        <f>HYPERLINK("https://www.773grp.com/manufacturer/onsemi?pageNo=1167", "Onsemi")</f>
        <v>Onsemi</v>
      </c>
      <c r="C5212" s="6">
        <v>6000</v>
      </c>
      <c r="D5212" s="7">
        <v>0.69</v>
      </c>
      <c r="E5212" t="s">
        <v>46</v>
      </c>
    </row>
    <row r="5213" spans="1:5" x14ac:dyDescent="0.25">
      <c r="A5213" t="str">
        <f>HYPERLINK("https://www.773grp.com/globalSearch/MC14052BFL2/page-1", "MC14052BFL2")</f>
        <v>MC14052BFL2</v>
      </c>
      <c r="B5213" s="3" t="str">
        <f>HYPERLINK("https://www.773grp.com/manufacturer/onsemi?pageNo=1168", "Onsemi")</f>
        <v>Onsemi</v>
      </c>
      <c r="C5213" s="6">
        <v>12000</v>
      </c>
      <c r="D5213" s="7">
        <v>0.69</v>
      </c>
      <c r="E5213" t="s">
        <v>46</v>
      </c>
    </row>
    <row r="5214" spans="1:5" x14ac:dyDescent="0.25">
      <c r="A5214" t="str">
        <f>HYPERLINK("https://www.773grp.com/globalSearch/MC14052BFR1/page-1", "MC14052BFR1")</f>
        <v>MC14052BFR1</v>
      </c>
      <c r="B5214" s="3" t="str">
        <f>HYPERLINK("https://www.773grp.com/manufacturer/onsemi?pageNo=1169", "Onsemi")</f>
        <v>Onsemi</v>
      </c>
      <c r="C5214" s="6">
        <v>8000</v>
      </c>
      <c r="D5214" s="7">
        <v>0.69</v>
      </c>
      <c r="E5214" t="s">
        <v>46</v>
      </c>
    </row>
    <row r="5215" spans="1:5" x14ac:dyDescent="0.25">
      <c r="A5215" t="str">
        <f>HYPERLINK("https://www.773grp.com/globalSearch/MC14052BFR2/page-1", "MC14052BFR2")</f>
        <v>MC14052BFR2</v>
      </c>
      <c r="B5215" s="3" t="str">
        <f>HYPERLINK("https://www.773grp.com/manufacturer/onsemi?pageNo=1170", "Onsemi")</f>
        <v>Onsemi</v>
      </c>
      <c r="C5215" s="6">
        <v>2000</v>
      </c>
      <c r="D5215" s="7">
        <v>0.69</v>
      </c>
      <c r="E5215" t="s">
        <v>46</v>
      </c>
    </row>
    <row r="5216" spans="1:5" x14ac:dyDescent="0.25">
      <c r="A5216" t="str">
        <f>HYPERLINK("https://www.773grp.com/globalSearch/MC14060BDT/page-1", "MC14060BDT")</f>
        <v>MC14060BDT</v>
      </c>
      <c r="B5216" s="3" t="str">
        <f>HYPERLINK("https://www.773grp.com/manufacturer/onsemi?pageNo=1171", "Onsemi")</f>
        <v>Onsemi</v>
      </c>
      <c r="C5216" s="6">
        <v>5109</v>
      </c>
      <c r="D5216" s="7">
        <v>0.69</v>
      </c>
      <c r="E5216" t="s">
        <v>22</v>
      </c>
    </row>
    <row r="5217" spans="1:5" x14ac:dyDescent="0.25">
      <c r="A5217" t="str">
        <f>HYPERLINK("https://www.773grp.com/globalSearch/MC14069UBD/page-1", "MC14069UBD")</f>
        <v>MC14069UBD</v>
      </c>
      <c r="B5217" s="3" t="str">
        <f>HYPERLINK("https://www.773grp.com/manufacturer/onsemi?pageNo=1172", "Onsemi")</f>
        <v>Onsemi</v>
      </c>
      <c r="C5217" s="6">
        <v>9240</v>
      </c>
      <c r="D5217" s="7">
        <v>0.69</v>
      </c>
      <c r="E5217" t="s">
        <v>27</v>
      </c>
    </row>
    <row r="5218" spans="1:5" x14ac:dyDescent="0.25">
      <c r="A5218" t="str">
        <f>HYPERLINK("https://www.773grp.com/globalSearch/MC14069UBDTR2G/page-1", "MC14069UBDTR2G")</f>
        <v>MC14069UBDTR2G</v>
      </c>
      <c r="B5218" s="3" t="str">
        <f>HYPERLINK("https://www.773grp.com/manufacturer/onsemi?pageNo=1173", "Onsemi")</f>
        <v>Onsemi</v>
      </c>
      <c r="C5218" s="6">
        <v>4353</v>
      </c>
      <c r="D5218" s="7">
        <v>0.69</v>
      </c>
      <c r="E5218" t="s">
        <v>27</v>
      </c>
    </row>
    <row r="5219" spans="1:5" x14ac:dyDescent="0.25">
      <c r="A5219" t="str">
        <f>HYPERLINK("https://www.773grp.com/globalSearch/MC14070BD/page-1", "MC14070BD")</f>
        <v>MC14070BD</v>
      </c>
      <c r="B5219" s="3" t="str">
        <f>HYPERLINK("https://www.773grp.com/manufacturer/onsemi?pageNo=1174", "Onsemi")</f>
        <v>Onsemi</v>
      </c>
      <c r="C5219" s="6">
        <v>2805</v>
      </c>
      <c r="D5219" s="7">
        <v>0.69</v>
      </c>
    </row>
    <row r="5220" spans="1:5" x14ac:dyDescent="0.25">
      <c r="A5220" t="str">
        <f>HYPERLINK("https://www.773grp.com/globalSearch/MC14071BDTG/page-1", "MC14071BDTG")</f>
        <v>MC14071BDTG</v>
      </c>
      <c r="B5220" s="3" t="str">
        <f>HYPERLINK("https://www.773grp.com/manufacturer/onsemi?pageNo=1175", "Onsemi")</f>
        <v>Onsemi</v>
      </c>
      <c r="C5220" s="6">
        <v>20544</v>
      </c>
      <c r="D5220" s="7">
        <v>0.69</v>
      </c>
      <c r="E5220" t="s">
        <v>27</v>
      </c>
    </row>
    <row r="5221" spans="1:5" x14ac:dyDescent="0.25">
      <c r="A5221" t="str">
        <f>HYPERLINK("https://www.773grp.com/globalSearch/MC14071BDTR2G/page-1", "MC14071BDTR2G")</f>
        <v>MC14071BDTR2G</v>
      </c>
      <c r="B5221" s="3" t="str">
        <f>HYPERLINK("https://www.773grp.com/manufacturer/onsemi?pageNo=1176", "Onsemi")</f>
        <v>Onsemi</v>
      </c>
      <c r="C5221" s="6">
        <v>2500</v>
      </c>
      <c r="D5221" s="7">
        <v>0.69</v>
      </c>
      <c r="E5221" t="s">
        <v>27</v>
      </c>
    </row>
    <row r="5222" spans="1:5" x14ac:dyDescent="0.25">
      <c r="A5222" t="str">
        <f>HYPERLINK("https://www.773grp.com/globalSearch/MC14073BD/page-1", "MC14073BD")</f>
        <v>MC14073BD</v>
      </c>
      <c r="B5222" s="3" t="str">
        <f>HYPERLINK("https://www.773grp.com/manufacturer/onsemi?pageNo=1177", "Onsemi")</f>
        <v>Onsemi</v>
      </c>
      <c r="C5222" s="6">
        <v>4180</v>
      </c>
      <c r="D5222" s="7">
        <v>0.69</v>
      </c>
      <c r="E5222" t="s">
        <v>27</v>
      </c>
    </row>
    <row r="5223" spans="1:5" x14ac:dyDescent="0.25">
      <c r="A5223" t="str">
        <f>HYPERLINK("https://www.773grp.com/globalSearch/MC14081BD/page-1", "MC14081BD")</f>
        <v>MC14081BD</v>
      </c>
      <c r="B5223" s="3" t="str">
        <f>HYPERLINK("https://www.773grp.com/manufacturer/onsemi?pageNo=1178", "Onsemi")</f>
        <v>Onsemi</v>
      </c>
      <c r="C5223" s="6">
        <v>11550</v>
      </c>
      <c r="D5223" s="7">
        <v>0.69</v>
      </c>
      <c r="E5223" t="s">
        <v>27</v>
      </c>
    </row>
    <row r="5224" spans="1:5" x14ac:dyDescent="0.25">
      <c r="A5224" t="str">
        <f>HYPERLINK("https://www.773grp.com/globalSearch/MC14081BDTR2G/page-1", "MC14081BDTR2G")</f>
        <v>MC14081BDTR2G</v>
      </c>
      <c r="B5224" s="3" t="str">
        <f>HYPERLINK("https://www.773grp.com/manufacturer/onsemi?pageNo=1179", "Onsemi")</f>
        <v>Onsemi</v>
      </c>
      <c r="C5224" s="6">
        <v>48757</v>
      </c>
      <c r="D5224" s="7">
        <v>0.69</v>
      </c>
      <c r="E5224" t="s">
        <v>27</v>
      </c>
    </row>
    <row r="5225" spans="1:5" x14ac:dyDescent="0.25">
      <c r="A5225" t="str">
        <f>HYPERLINK("https://www.773grp.com/globalSearch/MC14093BDG/page-1", "MC14093BDG")</f>
        <v>MC14093BDG</v>
      </c>
      <c r="B5225" s="3" t="str">
        <f>HYPERLINK("https://www.773grp.com/manufacturer/onsemi?pageNo=1180", "Onsemi")</f>
        <v>Onsemi</v>
      </c>
      <c r="C5225" s="6">
        <v>22640</v>
      </c>
      <c r="D5225" s="7">
        <v>0.69</v>
      </c>
      <c r="E5225" t="s">
        <v>27</v>
      </c>
    </row>
    <row r="5226" spans="1:5" x14ac:dyDescent="0.25">
      <c r="A5226" t="str">
        <f>HYPERLINK("https://www.773grp.com/globalSearch/MC14093BDR2G/page-1", "MC14093BDR2G")</f>
        <v>MC14093BDR2G</v>
      </c>
      <c r="B5226" s="3" t="str">
        <f>HYPERLINK("https://www.773grp.com/manufacturer/onsemi?pageNo=1181", "Onsemi")</f>
        <v>Onsemi</v>
      </c>
      <c r="C5226" s="6">
        <v>64072</v>
      </c>
      <c r="D5226" s="7">
        <v>0.69</v>
      </c>
      <c r="E5226" t="s">
        <v>27</v>
      </c>
    </row>
    <row r="5227" spans="1:5" x14ac:dyDescent="0.25">
      <c r="A5227" t="str">
        <f>HYPERLINK("https://www.773grp.com/globalSearch/MC14093BDTR2G/page-1", "MC14093BDTR2G")</f>
        <v>MC14093BDTR2G</v>
      </c>
      <c r="B5227" s="3" t="str">
        <f>HYPERLINK("https://www.773grp.com/manufacturer/onsemi?pageNo=1182", "Onsemi")</f>
        <v>Onsemi</v>
      </c>
      <c r="C5227" s="6">
        <v>18808</v>
      </c>
      <c r="D5227" s="7">
        <v>0.69</v>
      </c>
      <c r="E5227" t="s">
        <v>27</v>
      </c>
    </row>
    <row r="5228" spans="1:5" x14ac:dyDescent="0.25">
      <c r="A5228" t="str">
        <f>HYPERLINK("https://www.773grp.com/globalSearch/MC14511BDW/page-1", "MC14511BDW")</f>
        <v>MC14511BDW</v>
      </c>
      <c r="B5228" s="3" t="str">
        <f>HYPERLINK("https://www.773grp.com/manufacturer/onsemi?pageNo=1183", "Onsemi")</f>
        <v>Onsemi</v>
      </c>
      <c r="C5228" s="6">
        <v>2432</v>
      </c>
      <c r="D5228" s="7">
        <v>0.69</v>
      </c>
      <c r="E5228" t="s">
        <v>32</v>
      </c>
    </row>
    <row r="5229" spans="1:5" x14ac:dyDescent="0.25">
      <c r="A5229" t="str">
        <f>HYPERLINK("https://www.773grp.com/globalSearch/MC14511BF/page-1", "MC14511BF")</f>
        <v>MC14511BF</v>
      </c>
      <c r="B5229" s="3" t="str">
        <f>HYPERLINK("https://www.773grp.com/manufacturer/onsemi?pageNo=1184", "Onsemi")</f>
        <v>Onsemi</v>
      </c>
      <c r="C5229" s="6">
        <v>197</v>
      </c>
      <c r="D5229" s="7">
        <v>0.69</v>
      </c>
      <c r="E5229" t="s">
        <v>32</v>
      </c>
    </row>
    <row r="5230" spans="1:5" x14ac:dyDescent="0.25">
      <c r="A5230" t="str">
        <f>HYPERLINK("https://www.773grp.com/globalSearch/MC14520BF/page-1", "MC14520BF")</f>
        <v>MC14520BF</v>
      </c>
      <c r="B5230" s="3" t="str">
        <f>HYPERLINK("https://www.773grp.com/manufacturer/onsemi?pageNo=1185", "Onsemi")</f>
        <v>Onsemi</v>
      </c>
      <c r="C5230" s="6">
        <v>727</v>
      </c>
      <c r="D5230" s="7">
        <v>0.69</v>
      </c>
    </row>
    <row r="5231" spans="1:5" x14ac:dyDescent="0.25">
      <c r="A5231" t="str">
        <f>HYPERLINK("https://www.773grp.com/globalSearch/MC14532BCP/page-1", "MC14532BCP")</f>
        <v>MC14532BCP</v>
      </c>
      <c r="B5231" s="3" t="str">
        <f>HYPERLINK("https://www.773grp.com/manufacturer/onsemi?pageNo=1186", "Onsemi")</f>
        <v>Onsemi</v>
      </c>
      <c r="C5231" s="6">
        <v>1212</v>
      </c>
      <c r="D5231" s="7">
        <v>0.69</v>
      </c>
      <c r="E5231" t="s">
        <v>38</v>
      </c>
    </row>
    <row r="5232" spans="1:5" x14ac:dyDescent="0.25">
      <c r="A5232" t="str">
        <f>HYPERLINK("https://www.773grp.com/globalSearch/MC14532BD/page-1", "MC14532BD")</f>
        <v>MC14532BD</v>
      </c>
      <c r="B5232" s="3" t="str">
        <f>HYPERLINK("https://www.773grp.com/manufacturer/onsemi?pageNo=1187", "Onsemi")</f>
        <v>Onsemi</v>
      </c>
      <c r="C5232" s="6">
        <v>5870</v>
      </c>
      <c r="D5232" s="7">
        <v>0.69</v>
      </c>
      <c r="E5232" t="s">
        <v>38</v>
      </c>
    </row>
    <row r="5233" spans="1:5" x14ac:dyDescent="0.25">
      <c r="A5233" t="str">
        <f>HYPERLINK("https://www.773grp.com/globalSearch/MC14532BDR2/page-1", "MC14532BDR2")</f>
        <v>MC14532BDR2</v>
      </c>
      <c r="B5233" s="3" t="str">
        <f>HYPERLINK("https://www.773grp.com/manufacturer/onsemi?pageNo=1188", "Onsemi")</f>
        <v>Onsemi</v>
      </c>
      <c r="C5233" s="6">
        <v>12500</v>
      </c>
      <c r="D5233" s="7">
        <v>0.69</v>
      </c>
      <c r="E5233" t="s">
        <v>38</v>
      </c>
    </row>
    <row r="5234" spans="1:5" x14ac:dyDescent="0.25">
      <c r="A5234" t="str">
        <f>HYPERLINK("https://www.773grp.com/globalSearch/MC14555BCP/page-1", "MC14555BCP")</f>
        <v>MC14555BCP</v>
      </c>
      <c r="B5234" s="3" t="str">
        <f>HYPERLINK("https://www.773grp.com/manufacturer/onsemi?pageNo=1189", "Onsemi")</f>
        <v>Onsemi</v>
      </c>
      <c r="C5234" s="6">
        <v>1075</v>
      </c>
      <c r="D5234" s="7">
        <v>0.69</v>
      </c>
      <c r="E5234" t="s">
        <v>32</v>
      </c>
    </row>
    <row r="5235" spans="1:5" x14ac:dyDescent="0.25">
      <c r="A5235" t="str">
        <f>HYPERLINK("https://www.773grp.com/globalSearch/MC14584BFR1/page-1", "MC14584BFR1")</f>
        <v>MC14584BFR1</v>
      </c>
      <c r="B5235" s="3" t="str">
        <f>HYPERLINK("https://www.773grp.com/manufacturer/onsemi?pageNo=1190", "Onsemi")</f>
        <v>Onsemi</v>
      </c>
      <c r="C5235" s="6">
        <v>3000</v>
      </c>
      <c r="D5235" s="7">
        <v>0.69</v>
      </c>
      <c r="E5235" t="s">
        <v>27</v>
      </c>
    </row>
    <row r="5236" spans="1:5" x14ac:dyDescent="0.25">
      <c r="A5236" t="str">
        <f>HYPERLINK("https://www.773grp.com/globalSearch/MC1488M/page-1", "MC1488M")</f>
        <v>MC1488M</v>
      </c>
      <c r="B5236" s="3" t="str">
        <f>HYPERLINK("https://www.773grp.com/manufacturer/onsemi?pageNo=1191", "Onsemi")</f>
        <v>Onsemi</v>
      </c>
      <c r="C5236" s="6">
        <v>3688</v>
      </c>
      <c r="D5236" s="7">
        <v>0.69</v>
      </c>
      <c r="E5236" t="s">
        <v>17</v>
      </c>
    </row>
    <row r="5237" spans="1:5" x14ac:dyDescent="0.25">
      <c r="A5237" t="str">
        <f>HYPERLINK("https://www.773grp.com/globalSearch/MC1488P/page-1", "MC1488P")</f>
        <v>MC1488P</v>
      </c>
      <c r="B5237" s="3" t="str">
        <f>HYPERLINK("https://www.773grp.com/manufacturer/onsemi?pageNo=1192", "Onsemi")</f>
        <v>Onsemi</v>
      </c>
      <c r="C5237" s="6">
        <v>7789</v>
      </c>
      <c r="D5237" s="7">
        <v>0.69</v>
      </c>
      <c r="E5237" t="s">
        <v>17</v>
      </c>
    </row>
    <row r="5238" spans="1:5" x14ac:dyDescent="0.25">
      <c r="A5238" t="str">
        <f>HYPERLINK("https://www.773grp.com/globalSearch/MC1489AD/page-1", "MC1489AD")</f>
        <v>MC1489AD</v>
      </c>
      <c r="B5238" s="3" t="str">
        <f>HYPERLINK("https://www.773grp.com/manufacturer/onsemi?pageNo=1193", "Onsemi")</f>
        <v>Onsemi</v>
      </c>
      <c r="C5238" s="6">
        <v>23418</v>
      </c>
      <c r="D5238" s="7">
        <v>0.69</v>
      </c>
      <c r="E5238" t="s">
        <v>17</v>
      </c>
    </row>
    <row r="5239" spans="1:5" x14ac:dyDescent="0.25">
      <c r="A5239" t="str">
        <f>HYPERLINK("https://www.773grp.com/globalSearch/MC1489AM/page-1", "MC1489AM")</f>
        <v>MC1489AM</v>
      </c>
      <c r="B5239" s="3" t="str">
        <f>HYPERLINK("https://www.773grp.com/manufacturer/onsemi?pageNo=1194", "Onsemi")</f>
        <v>Onsemi</v>
      </c>
      <c r="C5239" s="6">
        <v>1636</v>
      </c>
      <c r="D5239" s="7">
        <v>0.69</v>
      </c>
      <c r="E5239" t="s">
        <v>17</v>
      </c>
    </row>
    <row r="5240" spans="1:5" x14ac:dyDescent="0.25">
      <c r="A5240" t="str">
        <f>HYPERLINK("https://www.773grp.com/globalSearch/MC1489M/page-1", "MC1489M")</f>
        <v>MC1489M</v>
      </c>
      <c r="B5240" s="3" t="str">
        <f>HYPERLINK("https://www.773grp.com/manufacturer/onsemi?pageNo=1195", "Onsemi")</f>
        <v>Onsemi</v>
      </c>
      <c r="C5240" s="6">
        <v>3150</v>
      </c>
      <c r="D5240" s="7">
        <v>0.69</v>
      </c>
      <c r="E5240" t="s">
        <v>17</v>
      </c>
    </row>
    <row r="5241" spans="1:5" x14ac:dyDescent="0.25">
      <c r="A5241" t="str">
        <f>HYPERLINK("https://www.773grp.com/globalSearch/MC34164DM-3R2G/page-1", "MC34164DM-3R2G")</f>
        <v>MC34164DM-3R2G</v>
      </c>
      <c r="B5241" s="3" t="str">
        <f>HYPERLINK("https://www.773grp.com/manufacturer/onsemi?pageNo=1196", "Onsemi")</f>
        <v>Onsemi</v>
      </c>
      <c r="C5241" s="6">
        <v>7475</v>
      </c>
      <c r="D5241" s="7">
        <v>0.69</v>
      </c>
      <c r="E5241" t="s">
        <v>26</v>
      </c>
    </row>
    <row r="5242" spans="1:5" x14ac:dyDescent="0.25">
      <c r="A5242" t="str">
        <f>HYPERLINK("https://www.773grp.com/globalSearch/MC74AC00D/page-1", "MC74AC00D")</f>
        <v>MC74AC00D</v>
      </c>
      <c r="B5242" s="3" t="str">
        <f>HYPERLINK("https://www.773grp.com/manufacturer/onsemi?pageNo=1197", "Onsemi")</f>
        <v>Onsemi</v>
      </c>
      <c r="C5242" s="6">
        <v>7781</v>
      </c>
      <c r="D5242" s="7">
        <v>0.69</v>
      </c>
      <c r="E5242" t="s">
        <v>27</v>
      </c>
    </row>
    <row r="5243" spans="1:5" x14ac:dyDescent="0.25">
      <c r="A5243" t="str">
        <f>HYPERLINK("https://www.773grp.com/globalSearch/MC74AC00DR2/page-1", "MC74AC00DR2")</f>
        <v>MC74AC00DR2</v>
      </c>
      <c r="B5243" s="3" t="str">
        <f>HYPERLINK("https://www.773grp.com/manufacturer/onsemi?pageNo=1198", "Onsemi")</f>
        <v>Onsemi</v>
      </c>
      <c r="C5243" s="6">
        <v>1088</v>
      </c>
      <c r="D5243" s="7">
        <v>0.69</v>
      </c>
      <c r="E5243" t="s">
        <v>27</v>
      </c>
    </row>
    <row r="5244" spans="1:5" x14ac:dyDescent="0.25">
      <c r="A5244" t="str">
        <f>HYPERLINK("https://www.773grp.com/globalSearch/MC74AC04DR2/page-1", "MC74AC04DR2")</f>
        <v>MC74AC04DR2</v>
      </c>
      <c r="B5244" s="3" t="str">
        <f>HYPERLINK("https://www.773grp.com/manufacturer/onsemi?pageNo=1199", "Onsemi")</f>
        <v>Onsemi</v>
      </c>
      <c r="C5244" s="6">
        <v>69</v>
      </c>
      <c r="D5244" s="7">
        <v>0.69</v>
      </c>
      <c r="E5244" t="s">
        <v>27</v>
      </c>
    </row>
    <row r="5245" spans="1:5" x14ac:dyDescent="0.25">
      <c r="A5245" t="str">
        <f>HYPERLINK("https://www.773grp.com/globalSearch/MC74AC08DR2/page-1", "MC74AC08DR2")</f>
        <v>MC74AC08DR2</v>
      </c>
      <c r="B5245" s="3" t="str">
        <f>HYPERLINK("https://www.773grp.com/manufacturer/onsemi?pageNo=1200", "Onsemi")</f>
        <v>Onsemi</v>
      </c>
      <c r="C5245" s="6">
        <v>12118</v>
      </c>
      <c r="D5245" s="7">
        <v>0.69</v>
      </c>
      <c r="E5245" t="s">
        <v>27</v>
      </c>
    </row>
    <row r="5246" spans="1:5" x14ac:dyDescent="0.25">
      <c r="A5246" t="str">
        <f>HYPERLINK("https://www.773grp.com/globalSearch/MC74AC126D/page-1", "MC74AC126D")</f>
        <v>MC74AC126D</v>
      </c>
      <c r="B5246" s="3" t="str">
        <f>HYPERLINK("https://www.773grp.com/manufacturer/onsemi?pageNo=1201", "Onsemi")</f>
        <v>Onsemi</v>
      </c>
      <c r="C5246" s="6">
        <v>2000</v>
      </c>
      <c r="D5246" s="7">
        <v>0.69</v>
      </c>
      <c r="E5246" t="s">
        <v>11</v>
      </c>
    </row>
    <row r="5247" spans="1:5" x14ac:dyDescent="0.25">
      <c r="A5247" t="str">
        <f>HYPERLINK("https://www.773grp.com/globalSearch/MC74AC126N/page-1", "MC74AC126N")</f>
        <v>MC74AC126N</v>
      </c>
      <c r="B5247" s="3" t="str">
        <f>HYPERLINK("https://www.773grp.com/manufacturer/onsemi?pageNo=1202", "Onsemi")</f>
        <v>Onsemi</v>
      </c>
      <c r="C5247" s="6">
        <v>1012</v>
      </c>
      <c r="D5247" s="7">
        <v>0.69</v>
      </c>
      <c r="E5247" t="s">
        <v>11</v>
      </c>
    </row>
    <row r="5248" spans="1:5" x14ac:dyDescent="0.25">
      <c r="A5248" t="str">
        <f>HYPERLINK("https://www.773grp.com/globalSearch/MC74AC14DG/page-1", "MC74AC14DG")</f>
        <v>MC74AC14DG</v>
      </c>
      <c r="B5248" s="3" t="str">
        <f>HYPERLINK("https://www.773grp.com/manufacturer/onsemi?pageNo=1203", "Onsemi")</f>
        <v>Onsemi</v>
      </c>
      <c r="C5248" s="6">
        <v>20350</v>
      </c>
      <c r="D5248" s="7">
        <v>0.69</v>
      </c>
      <c r="E5248" t="s">
        <v>27</v>
      </c>
    </row>
    <row r="5249" spans="1:5" x14ac:dyDescent="0.25">
      <c r="A5249" t="str">
        <f>HYPERLINK("https://www.773grp.com/globalSearch/MC74AC14DR2G/page-1", "MC74AC14DR2G")</f>
        <v>MC74AC14DR2G</v>
      </c>
      <c r="B5249" s="3" t="str">
        <f>HYPERLINK("https://www.773grp.com/manufacturer/onsemi?pageNo=1204", "Onsemi")</f>
        <v>Onsemi</v>
      </c>
      <c r="C5249" s="6">
        <v>22500</v>
      </c>
      <c r="D5249" s="7">
        <v>0.69</v>
      </c>
      <c r="E5249" t="s">
        <v>27</v>
      </c>
    </row>
    <row r="5250" spans="1:5" x14ac:dyDescent="0.25">
      <c r="A5250" t="str">
        <f>HYPERLINK("https://www.773grp.com/globalSearch/MC74AC151D/page-1", "MC74AC151D")</f>
        <v>MC74AC151D</v>
      </c>
      <c r="B5250" s="3" t="str">
        <f>HYPERLINK("https://www.773grp.com/manufacturer/onsemi?pageNo=1205", "Onsemi")</f>
        <v>Onsemi</v>
      </c>
      <c r="C5250" s="6">
        <v>35951</v>
      </c>
      <c r="D5250" s="7">
        <v>0.69</v>
      </c>
      <c r="E5250" t="s">
        <v>16</v>
      </c>
    </row>
    <row r="5251" spans="1:5" x14ac:dyDescent="0.25">
      <c r="A5251" t="str">
        <f>HYPERLINK("https://www.773grp.com/globalSearch/MC74AC153DR2/page-1", "MC74AC153DR2")</f>
        <v>MC74AC153DR2</v>
      </c>
      <c r="B5251" s="3" t="str">
        <f>HYPERLINK("https://www.773grp.com/manufacturer/onsemi?pageNo=1206", "Onsemi")</f>
        <v>Onsemi</v>
      </c>
      <c r="C5251" s="6">
        <v>3500</v>
      </c>
      <c r="D5251" s="7">
        <v>0.69</v>
      </c>
      <c r="E5251" t="s">
        <v>16</v>
      </c>
    </row>
    <row r="5252" spans="1:5" x14ac:dyDescent="0.25">
      <c r="A5252" t="str">
        <f>HYPERLINK("https://www.773grp.com/globalSearch/MC74AC163D/page-1", "MC74AC163D")</f>
        <v>MC74AC163D</v>
      </c>
      <c r="B5252" s="3" t="str">
        <f>HYPERLINK("https://www.773grp.com/manufacturer/onsemi?pageNo=1207", "Onsemi")</f>
        <v>Onsemi</v>
      </c>
      <c r="C5252" s="6">
        <v>17945</v>
      </c>
      <c r="D5252" s="7">
        <v>0.69</v>
      </c>
      <c r="E5252" t="s">
        <v>22</v>
      </c>
    </row>
    <row r="5253" spans="1:5" x14ac:dyDescent="0.25">
      <c r="A5253" t="str">
        <f>HYPERLINK("https://www.773grp.com/globalSearch/MC74AC32MELG/page-1", "MC74AC32MELG")</f>
        <v>MC74AC32MELG</v>
      </c>
      <c r="B5253" s="3" t="str">
        <f>HYPERLINK("https://www.773grp.com/manufacturer/onsemi?pageNo=1208", "Onsemi")</f>
        <v>Onsemi</v>
      </c>
      <c r="C5253" s="6">
        <v>7677</v>
      </c>
      <c r="D5253" s="7">
        <v>0.69</v>
      </c>
      <c r="E5253" t="s">
        <v>27</v>
      </c>
    </row>
    <row r="5254" spans="1:5" x14ac:dyDescent="0.25">
      <c r="A5254" t="str">
        <f>HYPERLINK("https://www.773grp.com/globalSearch/MC74AC377DT/page-1", "MC74AC377DT")</f>
        <v>MC74AC377DT</v>
      </c>
      <c r="B5254" s="3" t="str">
        <f>HYPERLINK("https://www.773grp.com/manufacturer/onsemi?pageNo=1209", "Onsemi")</f>
        <v>Onsemi</v>
      </c>
      <c r="C5254" s="6">
        <v>8325</v>
      </c>
      <c r="D5254" s="7">
        <v>0.69</v>
      </c>
      <c r="E5254" t="s">
        <v>31</v>
      </c>
    </row>
    <row r="5255" spans="1:5" x14ac:dyDescent="0.25">
      <c r="A5255" t="str">
        <f>HYPERLINK("https://www.773grp.com/globalSearch/MC74AC377DW/page-1", "MC74AC377DW")</f>
        <v>MC74AC377DW</v>
      </c>
      <c r="B5255" s="3" t="str">
        <f>HYPERLINK("https://www.773grp.com/manufacturer/onsemi?pageNo=1210", "Onsemi")</f>
        <v>Onsemi</v>
      </c>
      <c r="C5255" s="6">
        <v>608</v>
      </c>
      <c r="D5255" s="7">
        <v>0.69</v>
      </c>
      <c r="E5255" t="s">
        <v>31</v>
      </c>
    </row>
    <row r="5256" spans="1:5" x14ac:dyDescent="0.25">
      <c r="A5256" t="str">
        <f>HYPERLINK("https://www.773grp.com/globalSearch/MC74AC377DWR2/page-1", "MC74AC377DWR2")</f>
        <v>MC74AC377DWR2</v>
      </c>
      <c r="B5256" s="3" t="str">
        <f>HYPERLINK("https://www.773grp.com/manufacturer/onsemi?pageNo=1211", "Onsemi")</f>
        <v>Onsemi</v>
      </c>
      <c r="C5256" s="6">
        <v>2000</v>
      </c>
      <c r="D5256" s="7">
        <v>0.69</v>
      </c>
      <c r="E5256" t="s">
        <v>31</v>
      </c>
    </row>
    <row r="5257" spans="1:5" x14ac:dyDescent="0.25">
      <c r="A5257" t="str">
        <f>HYPERLINK("https://www.773grp.com/globalSearch/MC74AC540N/page-1", "MC74AC540N")</f>
        <v>MC74AC540N</v>
      </c>
      <c r="B5257" s="3" t="str">
        <f>HYPERLINK("https://www.773grp.com/manufacturer/onsemi?pageNo=1212", "Onsemi")</f>
        <v>Onsemi</v>
      </c>
      <c r="C5257" s="6">
        <v>774</v>
      </c>
      <c r="D5257" s="7">
        <v>0.69</v>
      </c>
      <c r="E5257" t="s">
        <v>11</v>
      </c>
    </row>
    <row r="5258" spans="1:5" x14ac:dyDescent="0.25">
      <c r="A5258" t="str">
        <f>HYPERLINK("https://www.773grp.com/globalSearch/MC74AC541M/page-1", "MC74AC541M")</f>
        <v>MC74AC541M</v>
      </c>
      <c r="B5258" s="3" t="str">
        <f>HYPERLINK("https://www.773grp.com/manufacturer/onsemi?pageNo=1213", "Onsemi")</f>
        <v>Onsemi</v>
      </c>
      <c r="C5258" s="6">
        <v>1075</v>
      </c>
      <c r="D5258" s="7">
        <v>0.69</v>
      </c>
      <c r="E5258" t="s">
        <v>11</v>
      </c>
    </row>
    <row r="5259" spans="1:5" x14ac:dyDescent="0.25">
      <c r="A5259" t="str">
        <f>HYPERLINK("https://www.773grp.com/globalSearch/MC74AC541MEL/page-1", "MC74AC541MEL")</f>
        <v>MC74AC541MEL</v>
      </c>
      <c r="B5259" s="3" t="str">
        <f>HYPERLINK("https://www.773grp.com/manufacturer/onsemi?pageNo=1214", "Onsemi")</f>
        <v>Onsemi</v>
      </c>
      <c r="C5259" s="6">
        <v>8958</v>
      </c>
      <c r="D5259" s="7">
        <v>0.69</v>
      </c>
      <c r="E5259" t="s">
        <v>11</v>
      </c>
    </row>
    <row r="5260" spans="1:5" x14ac:dyDescent="0.25">
      <c r="A5260" t="str">
        <f>HYPERLINK("https://www.773grp.com/globalSearch/MC74AC541N/page-1", "MC74AC541N")</f>
        <v>MC74AC541N</v>
      </c>
      <c r="B5260" s="3" t="str">
        <f>HYPERLINK("https://www.773grp.com/manufacturer/onsemi?pageNo=1215", "Onsemi")</f>
        <v>Onsemi</v>
      </c>
      <c r="C5260" s="6">
        <v>978</v>
      </c>
      <c r="D5260" s="7">
        <v>0.69</v>
      </c>
      <c r="E5260" t="s">
        <v>11</v>
      </c>
    </row>
    <row r="5261" spans="1:5" x14ac:dyDescent="0.25">
      <c r="A5261" t="str">
        <f>HYPERLINK("https://www.773grp.com/globalSearch/MC74AC74DG/page-1", "MC74AC74DG")</f>
        <v>MC74AC74DG</v>
      </c>
      <c r="B5261" s="3" t="str">
        <f>HYPERLINK("https://www.773grp.com/manufacturer/onsemi?pageNo=1216", "Onsemi")</f>
        <v>Onsemi</v>
      </c>
      <c r="C5261" s="6">
        <v>33378</v>
      </c>
      <c r="D5261" s="7">
        <v>0.69</v>
      </c>
      <c r="E5261" t="s">
        <v>31</v>
      </c>
    </row>
    <row r="5262" spans="1:5" x14ac:dyDescent="0.25">
      <c r="A5262" t="str">
        <f>HYPERLINK("https://www.773grp.com/globalSearch/MC74AC74DR2G/page-1", "MC74AC74DR2G")</f>
        <v>MC74AC74DR2G</v>
      </c>
      <c r="B5262" s="3" t="str">
        <f>HYPERLINK("https://www.773grp.com/manufacturer/onsemi?pageNo=1217", "Onsemi")</f>
        <v>Onsemi</v>
      </c>
      <c r="C5262" s="6">
        <v>5118</v>
      </c>
      <c r="D5262" s="7">
        <v>0.69</v>
      </c>
      <c r="E5262" t="s">
        <v>31</v>
      </c>
    </row>
    <row r="5263" spans="1:5" x14ac:dyDescent="0.25">
      <c r="A5263" t="str">
        <f>HYPERLINK("https://www.773grp.com/globalSearch/MC74AC74MELG/page-1", "MC74AC74MELG")</f>
        <v>MC74AC74MELG</v>
      </c>
      <c r="B5263" s="3" t="str">
        <f>HYPERLINK("https://www.773grp.com/manufacturer/onsemi?pageNo=1218", "Onsemi")</f>
        <v>Onsemi</v>
      </c>
      <c r="C5263" s="6">
        <v>5169</v>
      </c>
      <c r="D5263" s="7">
        <v>0.69</v>
      </c>
      <c r="E5263" t="s">
        <v>31</v>
      </c>
    </row>
    <row r="5264" spans="1:5" x14ac:dyDescent="0.25">
      <c r="A5264" t="str">
        <f>HYPERLINK("https://www.773grp.com/globalSearch/MC74AC86DG/page-1", "MC74AC86DG")</f>
        <v>MC74AC86DG</v>
      </c>
      <c r="B5264" s="3" t="str">
        <f>HYPERLINK("https://www.773grp.com/manufacturer/onsemi?pageNo=1219", "Onsemi")</f>
        <v>Onsemi</v>
      </c>
      <c r="C5264" s="6">
        <v>16867</v>
      </c>
      <c r="D5264" s="7">
        <v>0.69</v>
      </c>
      <c r="E5264" t="s">
        <v>27</v>
      </c>
    </row>
    <row r="5265" spans="1:5" x14ac:dyDescent="0.25">
      <c r="A5265" t="str">
        <f>HYPERLINK("https://www.773grp.com/globalSearch/MC74AC86DR2G/page-1", "MC74AC86DR2G")</f>
        <v>MC74AC86DR2G</v>
      </c>
      <c r="B5265" s="3" t="str">
        <f>HYPERLINK("https://www.773grp.com/manufacturer/onsemi?pageNo=1220", "Onsemi")</f>
        <v>Onsemi</v>
      </c>
      <c r="C5265" s="6">
        <v>9800</v>
      </c>
      <c r="D5265" s="7">
        <v>0.69</v>
      </c>
      <c r="E5265" t="s">
        <v>27</v>
      </c>
    </row>
    <row r="5266" spans="1:5" x14ac:dyDescent="0.25">
      <c r="A5266" t="str">
        <f>HYPERLINK("https://www.773grp.com/globalSearch/MC74ACT126D/page-1", "MC74ACT126D")</f>
        <v>MC74ACT126D</v>
      </c>
      <c r="B5266" s="3" t="str">
        <f>HYPERLINK("https://www.773grp.com/manufacturer/onsemi?pageNo=1221", "Onsemi")</f>
        <v>Onsemi</v>
      </c>
      <c r="C5266" s="6">
        <v>5576</v>
      </c>
      <c r="D5266" s="7">
        <v>0.69</v>
      </c>
      <c r="E5266" t="s">
        <v>11</v>
      </c>
    </row>
    <row r="5267" spans="1:5" x14ac:dyDescent="0.25">
      <c r="A5267" t="str">
        <f>HYPERLINK("https://www.773grp.com/globalSearch/MC74ACT126DR2/page-1", "MC74ACT126DR2")</f>
        <v>MC74ACT126DR2</v>
      </c>
      <c r="B5267" s="3" t="str">
        <f>HYPERLINK("https://www.773grp.com/manufacturer/onsemi?pageNo=1222", "Onsemi")</f>
        <v>Onsemi</v>
      </c>
      <c r="C5267" s="6">
        <v>9000</v>
      </c>
      <c r="D5267" s="7">
        <v>0.69</v>
      </c>
      <c r="E5267" t="s">
        <v>11</v>
      </c>
    </row>
    <row r="5268" spans="1:5" x14ac:dyDescent="0.25">
      <c r="A5268" t="str">
        <f>HYPERLINK("https://www.773grp.com/globalSearch/MC74ACT126ML1/page-1", "MC74ACT126ML1")</f>
        <v>MC74ACT126ML1</v>
      </c>
      <c r="B5268" s="3" t="str">
        <f>HYPERLINK("https://www.773grp.com/manufacturer/onsemi?pageNo=1223", "Onsemi")</f>
        <v>Onsemi</v>
      </c>
      <c r="C5268" s="6">
        <v>4000</v>
      </c>
      <c r="D5268" s="7">
        <v>0.69</v>
      </c>
    </row>
    <row r="5269" spans="1:5" x14ac:dyDescent="0.25">
      <c r="A5269" t="str">
        <f>HYPERLINK("https://www.773grp.com/globalSearch/MC74ACT14D/page-1", "MC74ACT14D")</f>
        <v>MC74ACT14D</v>
      </c>
      <c r="B5269" s="3" t="str">
        <f>HYPERLINK("https://www.773grp.com/manufacturer/onsemi?pageNo=1224", "Onsemi")</f>
        <v>Onsemi</v>
      </c>
      <c r="C5269" s="6">
        <v>3710</v>
      </c>
      <c r="D5269" s="7">
        <v>0.69</v>
      </c>
    </row>
    <row r="5270" spans="1:5" x14ac:dyDescent="0.25">
      <c r="A5270" t="str">
        <f>HYPERLINK("https://www.773grp.com/globalSearch/MC74ACT14DG/page-1", "MC74ACT14DG")</f>
        <v>MC74ACT14DG</v>
      </c>
      <c r="B5270" s="3" t="str">
        <f>HYPERLINK("https://www.773grp.com/manufacturer/onsemi?pageNo=1225", "Onsemi")</f>
        <v>Onsemi</v>
      </c>
      <c r="C5270" s="6">
        <v>1760</v>
      </c>
      <c r="D5270" s="7">
        <v>0.69</v>
      </c>
    </row>
    <row r="5271" spans="1:5" x14ac:dyDescent="0.25">
      <c r="A5271" t="str">
        <f>HYPERLINK("https://www.773grp.com/globalSearch/MC74ACT14DR2G/page-1", "MC74ACT14DR2G")</f>
        <v>MC74ACT14DR2G</v>
      </c>
      <c r="B5271" s="3" t="str">
        <f>HYPERLINK("https://www.773grp.com/manufacturer/onsemi?pageNo=1226", "Onsemi")</f>
        <v>Onsemi</v>
      </c>
      <c r="C5271" s="6">
        <v>44500</v>
      </c>
      <c r="D5271" s="7">
        <v>0.69</v>
      </c>
      <c r="E5271" t="s">
        <v>27</v>
      </c>
    </row>
    <row r="5272" spans="1:5" x14ac:dyDescent="0.25">
      <c r="A5272" t="str">
        <f>HYPERLINK("https://www.773grp.com/globalSearch/MC74ACT153N/page-1", "MC74ACT153N")</f>
        <v>MC74ACT153N</v>
      </c>
      <c r="B5272" s="3" t="str">
        <f>HYPERLINK("https://www.773grp.com/manufacturer/onsemi?pageNo=1227", "Onsemi")</f>
        <v>Onsemi</v>
      </c>
      <c r="C5272" s="6">
        <v>8760</v>
      </c>
      <c r="D5272" s="7">
        <v>0.69</v>
      </c>
      <c r="E5272" t="s">
        <v>16</v>
      </c>
    </row>
    <row r="5273" spans="1:5" x14ac:dyDescent="0.25">
      <c r="A5273" t="str">
        <f>HYPERLINK("https://www.773grp.com/globalSearch/MC74ACT174D/page-1", "MC74ACT174D")</f>
        <v>MC74ACT174D</v>
      </c>
      <c r="B5273" s="3" t="str">
        <f>HYPERLINK("https://www.773grp.com/manufacturer/onsemi?pageNo=1228", "Onsemi")</f>
        <v>Onsemi</v>
      </c>
      <c r="C5273" s="6">
        <v>7786</v>
      </c>
      <c r="D5273" s="7">
        <v>0.69</v>
      </c>
      <c r="E5273" t="s">
        <v>31</v>
      </c>
    </row>
    <row r="5274" spans="1:5" x14ac:dyDescent="0.25">
      <c r="A5274" t="str">
        <f>HYPERLINK("https://www.773grp.com/globalSearch/MC74ACT273DT/page-1", "MC74ACT273DT")</f>
        <v>MC74ACT273DT</v>
      </c>
      <c r="B5274" s="3" t="str">
        <f>HYPERLINK("https://www.773grp.com/manufacturer/onsemi?pageNo=1229", "Onsemi")</f>
        <v>Onsemi</v>
      </c>
      <c r="C5274" s="6">
        <v>7350</v>
      </c>
      <c r="D5274" s="7">
        <v>0.69</v>
      </c>
      <c r="E5274" t="s">
        <v>31</v>
      </c>
    </row>
    <row r="5275" spans="1:5" x14ac:dyDescent="0.25">
      <c r="A5275" t="str">
        <f>HYPERLINK("https://www.773grp.com/globalSearch/MC74ACT541M/page-1", "MC74ACT541M")</f>
        <v>MC74ACT541M</v>
      </c>
      <c r="B5275" s="3" t="str">
        <f>HYPERLINK("https://www.773grp.com/manufacturer/onsemi?pageNo=1230", "Onsemi")</f>
        <v>Onsemi</v>
      </c>
      <c r="C5275" s="6">
        <v>6780</v>
      </c>
      <c r="D5275" s="7">
        <v>0.69</v>
      </c>
      <c r="E5275" t="s">
        <v>11</v>
      </c>
    </row>
    <row r="5276" spans="1:5" x14ac:dyDescent="0.25">
      <c r="A5276" t="str">
        <f>HYPERLINK("https://www.773grp.com/globalSearch/MC74ACT541MEL/page-1", "MC74ACT541MEL")</f>
        <v>MC74ACT541MEL</v>
      </c>
      <c r="B5276" s="3" t="str">
        <f>HYPERLINK("https://www.773grp.com/manufacturer/onsemi?pageNo=1231", "Onsemi")</f>
        <v>Onsemi</v>
      </c>
      <c r="C5276" s="6">
        <v>2000</v>
      </c>
      <c r="D5276" s="7">
        <v>0.69</v>
      </c>
      <c r="E5276" t="s">
        <v>11</v>
      </c>
    </row>
    <row r="5277" spans="1:5" x14ac:dyDescent="0.25">
      <c r="A5277" t="str">
        <f>HYPERLINK("https://www.773grp.com/globalSearch/MC74ACT564N/page-1", "MC74ACT564N")</f>
        <v>MC74ACT564N</v>
      </c>
      <c r="B5277" s="3" t="str">
        <f>HYPERLINK("https://www.773grp.com/manufacturer/onsemi?pageNo=1232", "Onsemi")</f>
        <v>Onsemi</v>
      </c>
      <c r="C5277" s="6">
        <v>7373</v>
      </c>
      <c r="D5277" s="7">
        <v>0.69</v>
      </c>
      <c r="E5277" t="s">
        <v>11</v>
      </c>
    </row>
    <row r="5278" spans="1:5" x14ac:dyDescent="0.25">
      <c r="A5278" t="str">
        <f>HYPERLINK("https://www.773grp.com/globalSearch/MC74ACT74DG/page-1", "MC74ACT74DG")</f>
        <v>MC74ACT74DG</v>
      </c>
      <c r="B5278" s="3" t="str">
        <f>HYPERLINK("https://www.773grp.com/manufacturer/onsemi?pageNo=1233", "Onsemi")</f>
        <v>Onsemi</v>
      </c>
      <c r="C5278" s="6">
        <v>7774</v>
      </c>
      <c r="D5278" s="7">
        <v>0.69</v>
      </c>
      <c r="E5278" t="s">
        <v>31</v>
      </c>
    </row>
    <row r="5279" spans="1:5" x14ac:dyDescent="0.25">
      <c r="A5279" t="str">
        <f>HYPERLINK("https://www.773grp.com/globalSearch/MC74ACT74DR2/page-1", "MC74ACT74DR2")</f>
        <v>MC74ACT74DR2</v>
      </c>
      <c r="B5279" s="3" t="str">
        <f>HYPERLINK("https://www.773grp.com/manufacturer/onsemi?pageNo=1234", "Onsemi")</f>
        <v>Onsemi</v>
      </c>
      <c r="C5279" s="6">
        <v>4079</v>
      </c>
      <c r="D5279" s="7">
        <v>0.69</v>
      </c>
      <c r="E5279" t="s">
        <v>31</v>
      </c>
    </row>
    <row r="5280" spans="1:5" x14ac:dyDescent="0.25">
      <c r="A5280" t="str">
        <f>HYPERLINK("https://www.773grp.com/globalSearch/MC74ACT74DR2G/page-1", "MC74ACT74DR2G")</f>
        <v>MC74ACT74DR2G</v>
      </c>
      <c r="B5280" s="3" t="str">
        <f>HYPERLINK("https://www.773grp.com/manufacturer/onsemi?pageNo=1235", "Onsemi")</f>
        <v>Onsemi</v>
      </c>
      <c r="C5280" s="6">
        <v>12695</v>
      </c>
      <c r="D5280" s="7">
        <v>0.69</v>
      </c>
      <c r="E5280" t="s">
        <v>31</v>
      </c>
    </row>
    <row r="5281" spans="1:5" x14ac:dyDescent="0.25">
      <c r="A5281" t="str">
        <f>HYPERLINK("https://www.773grp.com/globalSearch/MC74ACT86DG/page-1", "MC74ACT86DG")</f>
        <v>MC74ACT86DG</v>
      </c>
      <c r="B5281" s="3" t="str">
        <f>HYPERLINK("https://www.773grp.com/manufacturer/onsemi?pageNo=1236", "Onsemi")</f>
        <v>Onsemi</v>
      </c>
      <c r="C5281" s="6">
        <v>5805</v>
      </c>
      <c r="D5281" s="7">
        <v>0.69</v>
      </c>
      <c r="E5281" t="s">
        <v>27</v>
      </c>
    </row>
    <row r="5282" spans="1:5" x14ac:dyDescent="0.25">
      <c r="A5282" t="str">
        <f>HYPERLINK("https://www.773grp.com/globalSearch/MC74ACT86DR2G/page-1", "MC74ACT86DR2G")</f>
        <v>MC74ACT86DR2G</v>
      </c>
      <c r="B5282" s="3" t="str">
        <f>HYPERLINK("https://www.773grp.com/manufacturer/onsemi?pageNo=1237", "Onsemi")</f>
        <v>Onsemi</v>
      </c>
      <c r="C5282" s="6">
        <v>35480</v>
      </c>
      <c r="D5282" s="7">
        <v>0.69</v>
      </c>
      <c r="E5282" t="s">
        <v>27</v>
      </c>
    </row>
    <row r="5283" spans="1:5" x14ac:dyDescent="0.25">
      <c r="A5283" t="str">
        <f>HYPERLINK("https://www.773grp.com/globalSearch/MC74ACT86MELG/page-1", "MC74ACT86MELG")</f>
        <v>MC74ACT86MELG</v>
      </c>
      <c r="B5283" s="3" t="str">
        <f>HYPERLINK("https://www.773grp.com/manufacturer/onsemi?pageNo=1238", "Onsemi")</f>
        <v>Onsemi</v>
      </c>
      <c r="C5283" s="6">
        <v>10000</v>
      </c>
      <c r="D5283" s="7">
        <v>0.69</v>
      </c>
      <c r="E5283" t="s">
        <v>27</v>
      </c>
    </row>
    <row r="5284" spans="1:5" x14ac:dyDescent="0.25">
      <c r="A5284" t="str">
        <f>HYPERLINK("https://www.773grp.com/globalSearch/MC74F38ML1/page-1", "MC74F38ML1")</f>
        <v>MC74F38ML1</v>
      </c>
      <c r="B5284" s="3" t="str">
        <f>HYPERLINK("https://www.773grp.com/manufacturer/onsemi?pageNo=1239", "Onsemi")</f>
        <v>Onsemi</v>
      </c>
      <c r="C5284" s="6">
        <v>3999</v>
      </c>
      <c r="D5284" s="7">
        <v>0.69</v>
      </c>
    </row>
    <row r="5285" spans="1:5" x14ac:dyDescent="0.25">
      <c r="A5285" t="str">
        <f>HYPERLINK("https://www.773grp.com/globalSearch/MC74F38MR1/page-1", "MC74F38MR1")</f>
        <v>MC74F38MR1</v>
      </c>
      <c r="B5285" s="3" t="str">
        <f>HYPERLINK("https://www.773grp.com/manufacturer/onsemi?pageNo=1240", "Onsemi")</f>
        <v>Onsemi</v>
      </c>
      <c r="C5285" s="6">
        <v>3000</v>
      </c>
      <c r="D5285" s="7">
        <v>0.69</v>
      </c>
    </row>
    <row r="5286" spans="1:5" x14ac:dyDescent="0.25">
      <c r="A5286" t="str">
        <f>HYPERLINK("https://www.773grp.com/globalSearch/MC74HC139AFEL/page-1", "MC74HC139AFEL")</f>
        <v>MC74HC139AFEL</v>
      </c>
      <c r="B5286" s="3" t="str">
        <f>HYPERLINK("https://www.773grp.com/manufacturer/onsemi?pageNo=1241", "Onsemi")</f>
        <v>Onsemi</v>
      </c>
      <c r="C5286" s="6">
        <v>10904</v>
      </c>
      <c r="D5286" s="7">
        <v>0.69</v>
      </c>
      <c r="E5286" t="s">
        <v>32</v>
      </c>
    </row>
    <row r="5287" spans="1:5" x14ac:dyDescent="0.25">
      <c r="A5287" t="str">
        <f>HYPERLINK("https://www.773grp.com/globalSearch/MC74HC14AD/page-1", "MC74HC14AD")</f>
        <v>MC74HC14AD</v>
      </c>
      <c r="B5287" s="3" t="str">
        <f>HYPERLINK("https://www.773grp.com/manufacturer/onsemi?pageNo=1242", "Onsemi")</f>
        <v>Onsemi</v>
      </c>
      <c r="C5287" s="6">
        <v>10</v>
      </c>
      <c r="D5287" s="7">
        <v>0.69</v>
      </c>
      <c r="E5287" t="s">
        <v>27</v>
      </c>
    </row>
    <row r="5288" spans="1:5" x14ac:dyDescent="0.25">
      <c r="A5288" t="str">
        <f>HYPERLINK("https://www.773grp.com/globalSearch/MC74HC14ADR2/page-1", "MC74HC14ADR2")</f>
        <v>MC74HC14ADR2</v>
      </c>
      <c r="B5288" s="3" t="str">
        <f>HYPERLINK("https://www.773grp.com/manufacturer/onsemi?pageNo=1243", "Onsemi")</f>
        <v>Onsemi</v>
      </c>
      <c r="C5288" s="6">
        <v>16983</v>
      </c>
      <c r="D5288" s="7">
        <v>0.69</v>
      </c>
    </row>
    <row r="5289" spans="1:5" x14ac:dyDescent="0.25">
      <c r="A5289" t="str">
        <f>HYPERLINK("https://www.773grp.com/globalSearch/MC74HC14ADTR2/page-1", "MC74HC14ADTR2")</f>
        <v>MC74HC14ADTR2</v>
      </c>
      <c r="B5289" s="3" t="str">
        <f>HYPERLINK("https://www.773grp.com/manufacturer/onsemi?pageNo=1244", "Onsemi")</f>
        <v>Onsemi</v>
      </c>
      <c r="C5289" s="6">
        <v>72500</v>
      </c>
      <c r="D5289" s="7">
        <v>0.69</v>
      </c>
    </row>
    <row r="5290" spans="1:5" x14ac:dyDescent="0.25">
      <c r="A5290" t="str">
        <f>HYPERLINK("https://www.773grp.com/globalSearch/MC74HC153D/page-1", "MC74HC153D")</f>
        <v>MC74HC153D</v>
      </c>
      <c r="B5290" s="3" t="str">
        <f>HYPERLINK("https://www.773grp.com/manufacturer/onsemi?pageNo=1245", "Onsemi")</f>
        <v>Onsemi</v>
      </c>
      <c r="C5290" s="6">
        <v>9234</v>
      </c>
      <c r="D5290" s="7">
        <v>0.69</v>
      </c>
      <c r="E5290" t="s">
        <v>16</v>
      </c>
    </row>
    <row r="5291" spans="1:5" x14ac:dyDescent="0.25">
      <c r="A5291" t="str">
        <f>HYPERLINK("https://www.773grp.com/globalSearch/MC74HC153FL1/page-1", "MC74HC153FL1")</f>
        <v>MC74HC153FL1</v>
      </c>
      <c r="B5291" s="3" t="str">
        <f>HYPERLINK("https://www.773grp.com/manufacturer/onsemi?pageNo=1246", "Onsemi")</f>
        <v>Onsemi</v>
      </c>
      <c r="C5291" s="6">
        <v>1000</v>
      </c>
      <c r="D5291" s="7">
        <v>0.69</v>
      </c>
    </row>
    <row r="5292" spans="1:5" x14ac:dyDescent="0.25">
      <c r="A5292" t="str">
        <f>HYPERLINK("https://www.773grp.com/globalSearch/MC74HC153FR1/page-1", "MC74HC153FR1")</f>
        <v>MC74HC153FR1</v>
      </c>
      <c r="B5292" s="3" t="str">
        <f>HYPERLINK("https://www.773grp.com/manufacturer/onsemi?pageNo=1247", "Onsemi")</f>
        <v>Onsemi</v>
      </c>
      <c r="C5292" s="6">
        <v>2000</v>
      </c>
      <c r="D5292" s="7">
        <v>0.69</v>
      </c>
    </row>
    <row r="5293" spans="1:5" x14ac:dyDescent="0.25">
      <c r="A5293" t="str">
        <f>HYPERLINK("https://www.773grp.com/globalSearch/MC74HC153FR2/page-1", "MC74HC153FR2")</f>
        <v>MC74HC153FR2</v>
      </c>
      <c r="B5293" s="3" t="str">
        <f>HYPERLINK("https://www.773grp.com/manufacturer/onsemi?pageNo=1248", "Onsemi")</f>
        <v>Onsemi</v>
      </c>
      <c r="C5293" s="6">
        <v>2000</v>
      </c>
      <c r="D5293" s="7">
        <v>0.69</v>
      </c>
    </row>
    <row r="5294" spans="1:5" x14ac:dyDescent="0.25">
      <c r="A5294" t="str">
        <f>HYPERLINK("https://www.773grp.com/globalSearch/MC74HC161AF/page-1", "MC74HC161AF")</f>
        <v>MC74HC161AF</v>
      </c>
      <c r="B5294" s="3" t="str">
        <f>HYPERLINK("https://www.773grp.com/manufacturer/onsemi?pageNo=1249", "Onsemi")</f>
        <v>Onsemi</v>
      </c>
      <c r="C5294" s="6">
        <v>1100</v>
      </c>
      <c r="D5294" s="7">
        <v>0.69</v>
      </c>
    </row>
    <row r="5295" spans="1:5" x14ac:dyDescent="0.25">
      <c r="A5295" t="str">
        <f>HYPERLINK("https://www.773grp.com/globalSearch/MC74HC163AN/page-1", "MC74HC163AN")</f>
        <v>MC74HC163AN</v>
      </c>
      <c r="B5295" s="3" t="str">
        <f>HYPERLINK("https://www.773grp.com/manufacturer/onsemi?pageNo=1250", "Onsemi")</f>
        <v>Onsemi</v>
      </c>
      <c r="C5295" s="6">
        <v>4890</v>
      </c>
      <c r="D5295" s="7">
        <v>0.69</v>
      </c>
      <c r="E5295" t="s">
        <v>22</v>
      </c>
    </row>
    <row r="5296" spans="1:5" x14ac:dyDescent="0.25">
      <c r="A5296" t="str">
        <f>HYPERLINK("https://www.773grp.com/globalSearch/MC74HC245AH/page-1", "MC74HC245AH")</f>
        <v>MC74HC245AH</v>
      </c>
      <c r="B5296" s="3" t="str">
        <f>HYPERLINK("https://www.773grp.com/manufacturer/onsemi?pageNo=1251", "Onsemi")</f>
        <v>Onsemi</v>
      </c>
      <c r="C5296" s="6">
        <v>5040</v>
      </c>
      <c r="D5296" s="7">
        <v>0.69</v>
      </c>
    </row>
    <row r="5297" spans="1:5" x14ac:dyDescent="0.25">
      <c r="A5297" t="str">
        <f>HYPERLINK("https://www.773grp.com/globalSearch/MC74HC245AN/page-1", "MC74HC245AN")</f>
        <v>MC74HC245AN</v>
      </c>
      <c r="B5297" s="3" t="str">
        <f>HYPERLINK("https://www.773grp.com/manufacturer/onsemi?pageNo=1252", "Onsemi")</f>
        <v>Onsemi</v>
      </c>
      <c r="C5297" s="6">
        <v>22397</v>
      </c>
      <c r="D5297" s="7">
        <v>0.69</v>
      </c>
      <c r="E5297" t="s">
        <v>11</v>
      </c>
    </row>
    <row r="5298" spans="1:5" x14ac:dyDescent="0.25">
      <c r="A5298" t="str">
        <f>HYPERLINK("https://www.773grp.com/globalSearch/MC74HC273AH/page-1", "MC74HC273AH")</f>
        <v>MC74HC273AH</v>
      </c>
      <c r="B5298" s="3" t="str">
        <f>HYPERLINK("https://www.773grp.com/manufacturer/onsemi?pageNo=1253", "Onsemi")</f>
        <v>Onsemi</v>
      </c>
      <c r="C5298" s="6">
        <v>3407</v>
      </c>
      <c r="D5298" s="7">
        <v>0.69</v>
      </c>
      <c r="E5298" t="s">
        <v>31</v>
      </c>
    </row>
    <row r="5299" spans="1:5" x14ac:dyDescent="0.25">
      <c r="A5299" t="str">
        <f>HYPERLINK("https://www.773grp.com/globalSearch/MC74HC273AN/page-1", "MC74HC273AN")</f>
        <v>MC74HC273AN</v>
      </c>
      <c r="B5299" s="3" t="str">
        <f>HYPERLINK("https://www.773grp.com/manufacturer/onsemi?pageNo=1254", "Onsemi")</f>
        <v>Onsemi</v>
      </c>
      <c r="C5299" s="6">
        <v>23588</v>
      </c>
      <c r="D5299" s="7">
        <v>0.69</v>
      </c>
      <c r="E5299" t="s">
        <v>31</v>
      </c>
    </row>
    <row r="5300" spans="1:5" x14ac:dyDescent="0.25">
      <c r="A5300" t="str">
        <f>HYPERLINK("https://www.773grp.com/globalSearch/MC74HC374AH/page-1", "MC74HC374AH")</f>
        <v>MC74HC374AH</v>
      </c>
      <c r="B5300" s="3" t="str">
        <f>HYPERLINK("https://www.773grp.com/manufacturer/onsemi?pageNo=1255", "Onsemi")</f>
        <v>Onsemi</v>
      </c>
      <c r="C5300" s="6">
        <v>3960</v>
      </c>
      <c r="D5300" s="7">
        <v>0.69</v>
      </c>
    </row>
    <row r="5301" spans="1:5" x14ac:dyDescent="0.25">
      <c r="A5301" t="str">
        <f>HYPERLINK("https://www.773grp.com/globalSearch/MC74HC390ADT/page-1", "MC74HC390ADT")</f>
        <v>MC74HC390ADT</v>
      </c>
      <c r="B5301" s="3" t="str">
        <f>HYPERLINK("https://www.773grp.com/manufacturer/onsemi?pageNo=1256", "Onsemi")</f>
        <v>Onsemi</v>
      </c>
      <c r="C5301" s="6">
        <v>5280</v>
      </c>
      <c r="D5301" s="7">
        <v>0.69</v>
      </c>
      <c r="E5301" t="s">
        <v>22</v>
      </c>
    </row>
    <row r="5302" spans="1:5" x14ac:dyDescent="0.25">
      <c r="A5302" t="str">
        <f>HYPERLINK("https://www.773grp.com/globalSearch/MC74HC4051AD/page-1", "MC74HC4051AD")</f>
        <v>MC74HC4051AD</v>
      </c>
      <c r="B5302" s="3" t="str">
        <f>HYPERLINK("https://www.773grp.com/manufacturer/onsemi?pageNo=1257", "Onsemi")</f>
        <v>Onsemi</v>
      </c>
      <c r="C5302" s="6">
        <v>254</v>
      </c>
      <c r="D5302" s="7">
        <v>0.69</v>
      </c>
      <c r="E5302" t="s">
        <v>46</v>
      </c>
    </row>
    <row r="5303" spans="1:5" x14ac:dyDescent="0.25">
      <c r="A5303" t="str">
        <f>HYPERLINK("https://www.773grp.com/globalSearch/MC74HC4051ADR2/page-1", "MC74HC4051ADR2")</f>
        <v>MC74HC4051ADR2</v>
      </c>
      <c r="B5303" s="3" t="str">
        <f>HYPERLINK("https://www.773grp.com/manufacturer/onsemi?pageNo=1258", "Onsemi")</f>
        <v>Onsemi</v>
      </c>
      <c r="C5303" s="6">
        <v>41377</v>
      </c>
      <c r="D5303" s="7">
        <v>0.69</v>
      </c>
      <c r="E5303" t="s">
        <v>46</v>
      </c>
    </row>
    <row r="5304" spans="1:5" x14ac:dyDescent="0.25">
      <c r="A5304" t="str">
        <f>HYPERLINK("https://www.773grp.com/globalSearch/MC74HC4051ADT/page-1", "MC74HC4051ADT")</f>
        <v>MC74HC4051ADT</v>
      </c>
      <c r="B5304" s="3" t="str">
        <f>HYPERLINK("https://www.773grp.com/manufacturer/onsemi?pageNo=1259", "Onsemi")</f>
        <v>Onsemi</v>
      </c>
      <c r="C5304" s="6">
        <v>1056</v>
      </c>
      <c r="D5304" s="7">
        <v>0.69</v>
      </c>
      <c r="E5304" t="s">
        <v>46</v>
      </c>
    </row>
    <row r="5305" spans="1:5" x14ac:dyDescent="0.25">
      <c r="A5305" t="str">
        <f>HYPERLINK("https://www.773grp.com/globalSearch/MC74HC4052ADR2/page-1", "MC74HC4052ADR2")</f>
        <v>MC74HC4052ADR2</v>
      </c>
      <c r="B5305" s="3" t="str">
        <f>HYPERLINK("https://www.773grp.com/manufacturer/onsemi?pageNo=1260", "Onsemi")</f>
        <v>Onsemi</v>
      </c>
      <c r="C5305" s="6">
        <v>14300</v>
      </c>
      <c r="D5305" s="7">
        <v>0.69</v>
      </c>
      <c r="E5305" t="s">
        <v>46</v>
      </c>
    </row>
    <row r="5306" spans="1:5" x14ac:dyDescent="0.25">
      <c r="A5306" t="str">
        <f>HYPERLINK("https://www.773grp.com/globalSearch/MC74HC4053AD/page-1", "MC74HC4053AD")</f>
        <v>MC74HC4053AD</v>
      </c>
      <c r="B5306" s="3" t="str">
        <f>HYPERLINK("https://www.773grp.com/manufacturer/onsemi?pageNo=1261", "Onsemi")</f>
        <v>Onsemi</v>
      </c>
      <c r="C5306" s="6">
        <v>11311</v>
      </c>
      <c r="D5306" s="7">
        <v>0.69</v>
      </c>
      <c r="E5306" t="s">
        <v>46</v>
      </c>
    </row>
    <row r="5307" spans="1:5" x14ac:dyDescent="0.25">
      <c r="A5307" t="str">
        <f>HYPERLINK("https://www.773grp.com/globalSearch/MC74HC4053ADR2/page-1", "MC74HC4053ADR2")</f>
        <v>MC74HC4053ADR2</v>
      </c>
      <c r="B5307" s="3" t="str">
        <f>HYPERLINK("https://www.773grp.com/manufacturer/onsemi?pageNo=1262", "Onsemi")</f>
        <v>Onsemi</v>
      </c>
      <c r="C5307" s="6">
        <v>7500</v>
      </c>
      <c r="D5307" s="7">
        <v>0.69</v>
      </c>
      <c r="E5307" t="s">
        <v>46</v>
      </c>
    </row>
    <row r="5308" spans="1:5" x14ac:dyDescent="0.25">
      <c r="A5308" t="str">
        <f>HYPERLINK("https://www.773grp.com/globalSearch/MC74HC4066ADG/page-1", "MC74HC4066ADG")</f>
        <v>MC74HC4066ADG</v>
      </c>
      <c r="B5308" s="3" t="str">
        <f>HYPERLINK("https://www.773grp.com/manufacturer/onsemi?pageNo=1263", "Onsemi")</f>
        <v>Onsemi</v>
      </c>
      <c r="C5308" s="6">
        <v>5714</v>
      </c>
      <c r="D5308" s="7">
        <v>0.69</v>
      </c>
      <c r="E5308" t="s">
        <v>46</v>
      </c>
    </row>
    <row r="5309" spans="1:5" x14ac:dyDescent="0.25">
      <c r="A5309" t="str">
        <f>HYPERLINK("https://www.773grp.com/globalSearch/MC74HC4066ADR2/page-1", "MC74HC4066ADR2")</f>
        <v>MC74HC4066ADR2</v>
      </c>
      <c r="B5309" s="3" t="str">
        <f>HYPERLINK("https://www.773grp.com/manufacturer/onsemi?pageNo=1264", "Onsemi")</f>
        <v>Onsemi</v>
      </c>
      <c r="C5309" s="6">
        <v>1702</v>
      </c>
      <c r="D5309" s="7">
        <v>0.69</v>
      </c>
    </row>
    <row r="5310" spans="1:5" x14ac:dyDescent="0.25">
      <c r="A5310" t="str">
        <f>HYPERLINK("https://www.773grp.com/globalSearch/MC74HC4066ADR2G/page-1", "MC74HC4066ADR2G")</f>
        <v>MC74HC4066ADR2G</v>
      </c>
      <c r="B5310" s="3" t="str">
        <f>HYPERLINK("https://www.773grp.com/manufacturer/onsemi?pageNo=1265", "Onsemi")</f>
        <v>Onsemi</v>
      </c>
      <c r="C5310" s="6">
        <v>5363</v>
      </c>
      <c r="D5310" s="7">
        <v>0.69</v>
      </c>
      <c r="E5310" t="s">
        <v>46</v>
      </c>
    </row>
    <row r="5311" spans="1:5" x14ac:dyDescent="0.25">
      <c r="A5311" t="str">
        <f>HYPERLINK("https://www.773grp.com/globalSearch/MC74HC4066ADTR2G/page-1", "MC74HC4066ADTR2G")</f>
        <v>MC74HC4066ADTR2G</v>
      </c>
      <c r="B5311" s="3" t="str">
        <f>HYPERLINK("https://www.773grp.com/manufacturer/onsemi?pageNo=1266", "Onsemi")</f>
        <v>Onsemi</v>
      </c>
      <c r="C5311" s="6">
        <v>790000</v>
      </c>
      <c r="D5311" s="7">
        <v>0.69</v>
      </c>
      <c r="E5311" t="s">
        <v>46</v>
      </c>
    </row>
    <row r="5312" spans="1:5" x14ac:dyDescent="0.25">
      <c r="A5312" t="str">
        <f>HYPERLINK("https://www.773grp.com/globalSearch/MC74HC4066AF/page-1", "MC74HC4066AF")</f>
        <v>MC74HC4066AF</v>
      </c>
      <c r="B5312" s="3" t="str">
        <f>HYPERLINK("https://www.773grp.com/manufacturer/onsemi?pageNo=1267", "Onsemi")</f>
        <v>Onsemi</v>
      </c>
      <c r="C5312" s="6">
        <v>12200</v>
      </c>
      <c r="D5312" s="7">
        <v>0.69</v>
      </c>
      <c r="E5312" t="s">
        <v>46</v>
      </c>
    </row>
    <row r="5313" spans="1:5" x14ac:dyDescent="0.25">
      <c r="A5313" t="str">
        <f>HYPERLINK("https://www.773grp.com/globalSearch/MC74HC4066F/page-1", "MC74HC4066F")</f>
        <v>MC74HC4066F</v>
      </c>
      <c r="B5313" s="3" t="str">
        <f>HYPERLINK("https://www.773grp.com/manufacturer/onsemi?pageNo=1268", "Onsemi")</f>
        <v>Onsemi</v>
      </c>
      <c r="C5313" s="6">
        <v>3310</v>
      </c>
      <c r="D5313" s="7">
        <v>0.69</v>
      </c>
    </row>
    <row r="5314" spans="1:5" x14ac:dyDescent="0.25">
      <c r="A5314" t="str">
        <f>HYPERLINK("https://www.773grp.com/globalSearch/MC74HC4066FL1/page-1", "MC74HC4066FL1")</f>
        <v>MC74HC4066FL1</v>
      </c>
      <c r="B5314" s="3" t="str">
        <f>HYPERLINK("https://www.773grp.com/manufacturer/onsemi?pageNo=1269", "Onsemi")</f>
        <v>Onsemi</v>
      </c>
      <c r="C5314" s="6">
        <v>3000</v>
      </c>
      <c r="D5314" s="7">
        <v>0.69</v>
      </c>
    </row>
    <row r="5315" spans="1:5" x14ac:dyDescent="0.25">
      <c r="A5315" t="str">
        <f>HYPERLINK("https://www.773grp.com/globalSearch/MC74HC4066FL2/page-1", "MC74HC4066FL2")</f>
        <v>MC74HC4066FL2</v>
      </c>
      <c r="B5315" s="3" t="str">
        <f>HYPERLINK("https://www.773grp.com/manufacturer/onsemi?pageNo=1270", "Onsemi")</f>
        <v>Onsemi</v>
      </c>
      <c r="C5315" s="6">
        <v>6000</v>
      </c>
      <c r="D5315" s="7">
        <v>0.69</v>
      </c>
    </row>
    <row r="5316" spans="1:5" x14ac:dyDescent="0.25">
      <c r="A5316" t="str">
        <f>HYPERLINK("https://www.773grp.com/globalSearch/MC74HC4066FR2/page-1", "MC74HC4066FR2")</f>
        <v>MC74HC4066FR2</v>
      </c>
      <c r="B5316" s="3" t="str">
        <f>HYPERLINK("https://www.773grp.com/manufacturer/onsemi?pageNo=1271", "Onsemi")</f>
        <v>Onsemi</v>
      </c>
      <c r="C5316" s="6">
        <v>102000</v>
      </c>
      <c r="D5316" s="7">
        <v>0.69</v>
      </c>
    </row>
    <row r="5317" spans="1:5" x14ac:dyDescent="0.25">
      <c r="A5317" t="str">
        <f>HYPERLINK("https://www.773grp.com/globalSearch/MC74HC4075D/page-1", "MC74HC4075D")</f>
        <v>MC74HC4075D</v>
      </c>
      <c r="B5317" s="3" t="str">
        <f>HYPERLINK("https://www.773grp.com/manufacturer/onsemi?pageNo=1272", "Onsemi")</f>
        <v>Onsemi</v>
      </c>
      <c r="C5317" s="6">
        <v>1892</v>
      </c>
      <c r="D5317" s="7">
        <v>0.69</v>
      </c>
      <c r="E5317" t="s">
        <v>27</v>
      </c>
    </row>
    <row r="5318" spans="1:5" x14ac:dyDescent="0.25">
      <c r="A5318" t="str">
        <f>HYPERLINK("https://www.773grp.com/globalSearch/MC74HC4316AD/page-1", "MC74HC4316AD")</f>
        <v>MC74HC4316AD</v>
      </c>
      <c r="B5318" s="3" t="str">
        <f>HYPERLINK("https://www.773grp.com/manufacturer/onsemi?pageNo=1273", "Onsemi")</f>
        <v>Onsemi</v>
      </c>
      <c r="C5318" s="6">
        <v>10088</v>
      </c>
      <c r="D5318" s="7">
        <v>0.69</v>
      </c>
      <c r="E5318" t="s">
        <v>46</v>
      </c>
    </row>
    <row r="5319" spans="1:5" x14ac:dyDescent="0.25">
      <c r="A5319" t="str">
        <f>HYPERLINK("https://www.773grp.com/globalSearch/MC74HC540ADT/page-1", "MC74HC540ADT")</f>
        <v>MC74HC540ADT</v>
      </c>
      <c r="B5319" s="3" t="str">
        <f>HYPERLINK("https://www.773grp.com/manufacturer/onsemi?pageNo=1274", "Onsemi")</f>
        <v>Onsemi</v>
      </c>
      <c r="C5319" s="6">
        <v>9369</v>
      </c>
      <c r="D5319" s="7">
        <v>0.69</v>
      </c>
      <c r="E5319" t="s">
        <v>11</v>
      </c>
    </row>
    <row r="5320" spans="1:5" x14ac:dyDescent="0.25">
      <c r="A5320" t="str">
        <f>HYPERLINK("https://www.773grp.com/globalSearch/MC74HC540ADW/page-1", "MC74HC540ADW")</f>
        <v>MC74HC540ADW</v>
      </c>
      <c r="B5320" s="3" t="str">
        <f>HYPERLINK("https://www.773grp.com/manufacturer/onsemi?pageNo=1275", "Onsemi")</f>
        <v>Onsemi</v>
      </c>
      <c r="C5320" s="6">
        <v>1773</v>
      </c>
      <c r="D5320" s="7">
        <v>0.69</v>
      </c>
      <c r="E5320" t="s">
        <v>11</v>
      </c>
    </row>
    <row r="5321" spans="1:5" x14ac:dyDescent="0.25">
      <c r="A5321" t="str">
        <f>HYPERLINK("https://www.773grp.com/globalSearch/MC74HC541ADT/page-1", "MC74HC541ADT")</f>
        <v>MC74HC541ADT</v>
      </c>
      <c r="B5321" s="3" t="str">
        <f>HYPERLINK("https://www.773grp.com/manufacturer/onsemi?pageNo=1276", "Onsemi")</f>
        <v>Onsemi</v>
      </c>
      <c r="C5321" s="6">
        <v>29625</v>
      </c>
      <c r="D5321" s="7">
        <v>0.69</v>
      </c>
      <c r="E5321" t="s">
        <v>11</v>
      </c>
    </row>
    <row r="5322" spans="1:5" x14ac:dyDescent="0.25">
      <c r="A5322" t="str">
        <f>HYPERLINK("https://www.773grp.com/globalSearch/MC74HC573AH/page-1", "MC74HC573AH")</f>
        <v>MC74HC573AH</v>
      </c>
      <c r="B5322" s="3" t="str">
        <f>HYPERLINK("https://www.773grp.com/manufacturer/onsemi?pageNo=1277", "Onsemi")</f>
        <v>Onsemi</v>
      </c>
      <c r="C5322" s="6">
        <v>1860</v>
      </c>
      <c r="D5322" s="7">
        <v>0.69</v>
      </c>
    </row>
    <row r="5323" spans="1:5" x14ac:dyDescent="0.25">
      <c r="A5323" t="str">
        <f>HYPERLINK("https://www.773grp.com/globalSearch/MC74HC573AN/page-1", "MC74HC573AN")</f>
        <v>MC74HC573AN</v>
      </c>
      <c r="B5323" s="3" t="str">
        <f>HYPERLINK("https://www.773grp.com/manufacturer/onsemi?pageNo=1278", "Onsemi")</f>
        <v>Onsemi</v>
      </c>
      <c r="C5323" s="6">
        <v>24440</v>
      </c>
      <c r="D5323" s="7">
        <v>0.69</v>
      </c>
      <c r="E5323" t="s">
        <v>11</v>
      </c>
    </row>
    <row r="5324" spans="1:5" x14ac:dyDescent="0.25">
      <c r="A5324" t="str">
        <f>HYPERLINK("https://www.773grp.com/globalSearch/MC74HC574AH/page-1", "MC74HC574AH")</f>
        <v>MC74HC574AH</v>
      </c>
      <c r="B5324" s="3" t="str">
        <f>HYPERLINK("https://www.773grp.com/manufacturer/onsemi?pageNo=1279", "Onsemi")</f>
        <v>Onsemi</v>
      </c>
      <c r="C5324" s="6">
        <v>222</v>
      </c>
      <c r="D5324" s="7">
        <v>0.69</v>
      </c>
    </row>
    <row r="5325" spans="1:5" x14ac:dyDescent="0.25">
      <c r="A5325" t="str">
        <f>HYPERLINK("https://www.773grp.com/globalSearch/MC74HC574AN/page-1", "MC74HC574AN")</f>
        <v>MC74HC574AN</v>
      </c>
      <c r="B5325" s="3" t="str">
        <f>HYPERLINK("https://www.773grp.com/manufacturer/onsemi?pageNo=1280", "Onsemi")</f>
        <v>Onsemi</v>
      </c>
      <c r="C5325" s="6">
        <v>2738</v>
      </c>
      <c r="D5325" s="7">
        <v>0.69</v>
      </c>
      <c r="E5325" t="s">
        <v>11</v>
      </c>
    </row>
    <row r="5326" spans="1:5" x14ac:dyDescent="0.25">
      <c r="A5326" t="str">
        <f>HYPERLINK("https://www.773grp.com/globalSearch/MC74HC74ADR2/page-1", "MC74HC74ADR2")</f>
        <v>MC74HC74ADR2</v>
      </c>
      <c r="B5326" s="3" t="str">
        <f>HYPERLINK("https://www.773grp.com/manufacturer/onsemi?pageNo=1281", "Onsemi")</f>
        <v>Onsemi</v>
      </c>
      <c r="C5326" s="6">
        <v>60404</v>
      </c>
      <c r="D5326" s="7">
        <v>0.69</v>
      </c>
    </row>
    <row r="5327" spans="1:5" x14ac:dyDescent="0.25">
      <c r="A5327" t="str">
        <f>HYPERLINK("https://www.773grp.com/globalSearch/MC74HC85F/page-1", "MC74HC85F")</f>
        <v>MC74HC85F</v>
      </c>
      <c r="B5327" s="3" t="str">
        <f>HYPERLINK("https://www.773grp.com/manufacturer/onsemi?pageNo=1282", "Onsemi")</f>
        <v>Onsemi</v>
      </c>
      <c r="C5327" s="6">
        <v>45</v>
      </c>
      <c r="D5327" s="7">
        <v>0.69</v>
      </c>
    </row>
    <row r="5328" spans="1:5" x14ac:dyDescent="0.25">
      <c r="A5328" t="str">
        <f>HYPERLINK("https://www.773grp.com/globalSearch/MC74HC85FL1/page-1", "MC74HC85FL1")</f>
        <v>MC74HC85FL1</v>
      </c>
      <c r="B5328" s="3" t="str">
        <f>HYPERLINK("https://www.773grp.com/manufacturer/onsemi?pageNo=1283", "Onsemi")</f>
        <v>Onsemi</v>
      </c>
      <c r="C5328" s="6">
        <v>3000</v>
      </c>
      <c r="D5328" s="7">
        <v>0.69</v>
      </c>
    </row>
    <row r="5329" spans="1:5" x14ac:dyDescent="0.25">
      <c r="A5329" t="str">
        <f>HYPERLINK("https://www.773grp.com/globalSearch/MC74HC85N/page-1", "MC74HC85N")</f>
        <v>MC74HC85N</v>
      </c>
      <c r="B5329" s="3" t="str">
        <f>HYPERLINK("https://www.773grp.com/manufacturer/onsemi?pageNo=1284", "Onsemi")</f>
        <v>Onsemi</v>
      </c>
      <c r="C5329" s="6">
        <v>12</v>
      </c>
      <c r="D5329" s="7">
        <v>0.69</v>
      </c>
      <c r="E5329" t="s">
        <v>38</v>
      </c>
    </row>
    <row r="5330" spans="1:5" x14ac:dyDescent="0.25">
      <c r="A5330" t="str">
        <f>HYPERLINK("https://www.773grp.com/globalSearch/MC74HCT138ADT/page-1", "MC74HCT138ADT")</f>
        <v>MC74HCT138ADT</v>
      </c>
      <c r="B5330" s="3" t="str">
        <f>HYPERLINK("https://www.773grp.com/manufacturer/onsemi?pageNo=1285", "Onsemi")</f>
        <v>Onsemi</v>
      </c>
      <c r="C5330" s="6">
        <v>710</v>
      </c>
      <c r="D5330" s="7">
        <v>0.69</v>
      </c>
      <c r="E5330" t="s">
        <v>32</v>
      </c>
    </row>
    <row r="5331" spans="1:5" x14ac:dyDescent="0.25">
      <c r="A5331" t="str">
        <f>HYPERLINK("https://www.773grp.com/globalSearch/MC74HCT14ADG/page-1", "MC74HCT14ADG")</f>
        <v>MC74HCT14ADG</v>
      </c>
      <c r="B5331" s="3" t="str">
        <f>HYPERLINK("https://www.773grp.com/manufacturer/onsemi?pageNo=1286", "Onsemi")</f>
        <v>Onsemi</v>
      </c>
      <c r="C5331" s="6">
        <v>1430</v>
      </c>
      <c r="D5331" s="7">
        <v>0.69</v>
      </c>
      <c r="E5331" t="s">
        <v>27</v>
      </c>
    </row>
    <row r="5332" spans="1:5" x14ac:dyDescent="0.25">
      <c r="A5332" t="str">
        <f>HYPERLINK("https://www.773grp.com/globalSearch/MC74HCT273AN/page-1", "MC74HCT273AN")</f>
        <v>MC74HCT273AN</v>
      </c>
      <c r="B5332" s="3" t="str">
        <f>HYPERLINK("https://www.773grp.com/manufacturer/onsemi?pageNo=1287", "Onsemi")</f>
        <v>Onsemi</v>
      </c>
      <c r="C5332" s="6">
        <v>1078</v>
      </c>
      <c r="D5332" s="7">
        <v>0.69</v>
      </c>
      <c r="E5332" t="s">
        <v>31</v>
      </c>
    </row>
    <row r="5333" spans="1:5" x14ac:dyDescent="0.25">
      <c r="A5333" t="str">
        <f>HYPERLINK("https://www.773grp.com/globalSearch/MC74HCT373AN/page-1", "MC74HCT373AN")</f>
        <v>MC74HCT373AN</v>
      </c>
      <c r="B5333" s="3" t="str">
        <f>HYPERLINK("https://www.773grp.com/manufacturer/onsemi?pageNo=1288", "Onsemi")</f>
        <v>Onsemi</v>
      </c>
      <c r="C5333" s="6">
        <v>1318</v>
      </c>
      <c r="D5333" s="7">
        <v>0.69</v>
      </c>
      <c r="E5333" t="s">
        <v>11</v>
      </c>
    </row>
    <row r="5334" spans="1:5" x14ac:dyDescent="0.25">
      <c r="A5334" t="str">
        <f>HYPERLINK("https://www.773grp.com/globalSearch/MC74HCT374AN/page-1", "MC74HCT374AN")</f>
        <v>MC74HCT374AN</v>
      </c>
      <c r="B5334" s="3" t="str">
        <f>HYPERLINK("https://www.773grp.com/manufacturer/onsemi?pageNo=1289", "Onsemi")</f>
        <v>Onsemi</v>
      </c>
      <c r="C5334" s="6">
        <v>2312</v>
      </c>
      <c r="D5334" s="7">
        <v>0.69</v>
      </c>
      <c r="E5334" t="s">
        <v>11</v>
      </c>
    </row>
    <row r="5335" spans="1:5" x14ac:dyDescent="0.25">
      <c r="A5335" t="str">
        <f>HYPERLINK("https://www.773grp.com/globalSearch/MC74HCT541ADTR2/page-1", "MC74HCT541ADTR2")</f>
        <v>MC74HCT541ADTR2</v>
      </c>
      <c r="B5335" s="3" t="str">
        <f>HYPERLINK("https://www.773grp.com/manufacturer/onsemi?pageNo=1290", "Onsemi")</f>
        <v>Onsemi</v>
      </c>
      <c r="C5335" s="6">
        <v>5000</v>
      </c>
      <c r="D5335" s="7">
        <v>0.69</v>
      </c>
      <c r="E5335" t="s">
        <v>11</v>
      </c>
    </row>
    <row r="5336" spans="1:5" x14ac:dyDescent="0.25">
      <c r="A5336" t="str">
        <f>HYPERLINK("https://www.773grp.com/globalSearch/MC74HCT541AF/page-1", "MC74HCT541AF")</f>
        <v>MC74HCT541AF</v>
      </c>
      <c r="B5336" s="3" t="str">
        <f>HYPERLINK("https://www.773grp.com/manufacturer/onsemi?pageNo=1291", "Onsemi")</f>
        <v>Onsemi</v>
      </c>
      <c r="C5336" s="6">
        <v>1977</v>
      </c>
      <c r="D5336" s="7">
        <v>0.69</v>
      </c>
    </row>
    <row r="5337" spans="1:5" x14ac:dyDescent="0.25">
      <c r="A5337" t="str">
        <f>HYPERLINK("https://www.773grp.com/globalSearch/MC74HCT541AN/page-1", "MC74HCT541AN")</f>
        <v>MC74HCT541AN</v>
      </c>
      <c r="B5337" s="3" t="str">
        <f>HYPERLINK("https://www.773grp.com/manufacturer/onsemi?pageNo=1292", "Onsemi")</f>
        <v>Onsemi</v>
      </c>
      <c r="C5337" s="6">
        <v>776</v>
      </c>
      <c r="D5337" s="7">
        <v>0.69</v>
      </c>
      <c r="E5337" t="s">
        <v>11</v>
      </c>
    </row>
    <row r="5338" spans="1:5" x14ac:dyDescent="0.25">
      <c r="A5338" t="str">
        <f>HYPERLINK("https://www.773grp.com/globalSearch/MC74HCT573AN/page-1", "MC74HCT573AN")</f>
        <v>MC74HCT573AN</v>
      </c>
      <c r="B5338" s="3" t="str">
        <f>HYPERLINK("https://www.773grp.com/manufacturer/onsemi?pageNo=1293", "Onsemi")</f>
        <v>Onsemi</v>
      </c>
      <c r="C5338" s="6">
        <v>9404</v>
      </c>
      <c r="D5338" s="7">
        <v>0.69</v>
      </c>
      <c r="E5338" t="s">
        <v>11</v>
      </c>
    </row>
    <row r="5339" spans="1:5" x14ac:dyDescent="0.25">
      <c r="A5339" t="str">
        <f>HYPERLINK("https://www.773grp.com/globalSearch/MC74HCT574AN/page-1", "MC74HCT574AN")</f>
        <v>MC74HCT574AN</v>
      </c>
      <c r="B5339" s="3" t="str">
        <f>HYPERLINK("https://www.773grp.com/manufacturer/onsemi?pageNo=1294", "Onsemi")</f>
        <v>Onsemi</v>
      </c>
      <c r="C5339" s="6">
        <v>254</v>
      </c>
      <c r="D5339" s="7">
        <v>0.69</v>
      </c>
      <c r="E5339" t="s">
        <v>11</v>
      </c>
    </row>
    <row r="5340" spans="1:5" x14ac:dyDescent="0.25">
      <c r="A5340" t="str">
        <f>HYPERLINK("https://www.773grp.com/globalSearch/MC74HCT74ADG/page-1", "MC74HCT74ADG")</f>
        <v>MC74HCT74ADG</v>
      </c>
      <c r="B5340" s="3" t="str">
        <f>HYPERLINK("https://www.773grp.com/manufacturer/onsemi?pageNo=1295", "Onsemi")</f>
        <v>Onsemi</v>
      </c>
      <c r="C5340" s="6">
        <v>18525</v>
      </c>
      <c r="D5340" s="7">
        <v>0.69</v>
      </c>
      <c r="E5340" t="s">
        <v>31</v>
      </c>
    </row>
    <row r="5341" spans="1:5" x14ac:dyDescent="0.25">
      <c r="A5341" t="str">
        <f>HYPERLINK("https://www.773grp.com/globalSearch/MC74LCX240DT/page-1", "MC74LCX240DT")</f>
        <v>MC74LCX240DT</v>
      </c>
      <c r="B5341" s="3" t="str">
        <f>HYPERLINK("https://www.773grp.com/manufacturer/onsemi?pageNo=1296", "Onsemi")</f>
        <v>Onsemi</v>
      </c>
      <c r="C5341" s="6">
        <v>3958</v>
      </c>
      <c r="D5341" s="7">
        <v>0.69</v>
      </c>
      <c r="E5341" t="s">
        <v>11</v>
      </c>
    </row>
    <row r="5342" spans="1:5" x14ac:dyDescent="0.25">
      <c r="A5342" t="str">
        <f>HYPERLINK("https://www.773grp.com/globalSearch/MC74LCX245M/page-1", "MC74LCX245M")</f>
        <v>MC74LCX245M</v>
      </c>
      <c r="B5342" s="3" t="str">
        <f>HYPERLINK("https://www.773grp.com/manufacturer/onsemi?pageNo=1297", "Onsemi")</f>
        <v>Onsemi</v>
      </c>
      <c r="C5342" s="6">
        <v>1120</v>
      </c>
      <c r="D5342" s="7">
        <v>0.69</v>
      </c>
      <c r="E5342" t="s">
        <v>11</v>
      </c>
    </row>
    <row r="5343" spans="1:5" x14ac:dyDescent="0.25">
      <c r="A5343" t="str">
        <f>HYPERLINK("https://www.773grp.com/globalSearch/MC74LCX245MEL/page-1", "MC74LCX245MEL")</f>
        <v>MC74LCX245MEL</v>
      </c>
      <c r="B5343" s="3" t="str">
        <f>HYPERLINK("https://www.773grp.com/manufacturer/onsemi?pageNo=1298", "Onsemi")</f>
        <v>Onsemi</v>
      </c>
      <c r="C5343" s="6">
        <v>16126</v>
      </c>
      <c r="D5343" s="7">
        <v>0.69</v>
      </c>
      <c r="E5343" t="s">
        <v>11</v>
      </c>
    </row>
    <row r="5344" spans="1:5" x14ac:dyDescent="0.25">
      <c r="A5344" t="str">
        <f>HYPERLINK("https://www.773grp.com/globalSearch/MC74LCX374MEL/page-1", "MC74LCX374MEL")</f>
        <v>MC74LCX374MEL</v>
      </c>
      <c r="B5344" s="3" t="str">
        <f>HYPERLINK("https://www.773grp.com/manufacturer/onsemi?pageNo=1299", "Onsemi")</f>
        <v>Onsemi</v>
      </c>
      <c r="C5344" s="6">
        <v>4000</v>
      </c>
      <c r="D5344" s="7">
        <v>0.69</v>
      </c>
      <c r="E5344" t="s">
        <v>11</v>
      </c>
    </row>
    <row r="5345" spans="1:5" x14ac:dyDescent="0.25">
      <c r="A5345" t="str">
        <f>HYPERLINK("https://www.773grp.com/globalSearch/MC74LVX125DG/page-1", "MC74LVX125DG")</f>
        <v>MC74LVX125DG</v>
      </c>
      <c r="B5345" s="3" t="str">
        <f>HYPERLINK("https://www.773grp.com/manufacturer/onsemi?pageNo=1300", "Onsemi")</f>
        <v>Onsemi</v>
      </c>
      <c r="C5345" s="6">
        <v>28550</v>
      </c>
      <c r="D5345" s="7">
        <v>0.69</v>
      </c>
      <c r="E5345" t="s">
        <v>11</v>
      </c>
    </row>
    <row r="5346" spans="1:5" x14ac:dyDescent="0.25">
      <c r="A5346" t="str">
        <f>HYPERLINK("https://www.773grp.com/globalSearch/MC74LVX125DR2G/page-1", "MC74LVX125DR2G")</f>
        <v>MC74LVX125DR2G</v>
      </c>
      <c r="B5346" s="3" t="str">
        <f>HYPERLINK("https://www.773grp.com/manufacturer/onsemi?pageNo=1301", "Onsemi")</f>
        <v>Onsemi</v>
      </c>
      <c r="C5346" s="6">
        <v>7064</v>
      </c>
      <c r="D5346" s="7">
        <v>0.69</v>
      </c>
      <c r="E5346" t="s">
        <v>11</v>
      </c>
    </row>
    <row r="5347" spans="1:5" x14ac:dyDescent="0.25">
      <c r="A5347" t="str">
        <f>HYPERLINK("https://www.773grp.com/globalSearch/MC74LVX125DTG/page-1", "MC74LVX125DTG")</f>
        <v>MC74LVX125DTG</v>
      </c>
      <c r="B5347" s="3" t="str">
        <f>HYPERLINK("https://www.773grp.com/manufacturer/onsemi?pageNo=1302", "Onsemi")</f>
        <v>Onsemi</v>
      </c>
      <c r="C5347" s="6">
        <v>5548</v>
      </c>
      <c r="D5347" s="7">
        <v>0.69</v>
      </c>
      <c r="E5347" t="s">
        <v>11</v>
      </c>
    </row>
    <row r="5348" spans="1:5" x14ac:dyDescent="0.25">
      <c r="A5348" t="str">
        <f>HYPERLINK("https://www.773grp.com/globalSearch/MC74LVX125DTR2G/page-1", "MC74LVX125DTR2G")</f>
        <v>MC74LVX125DTR2G</v>
      </c>
      <c r="B5348" s="3" t="str">
        <f>HYPERLINK("https://www.773grp.com/manufacturer/onsemi?pageNo=1303", "Onsemi")</f>
        <v>Onsemi</v>
      </c>
      <c r="C5348" s="6">
        <v>22202</v>
      </c>
      <c r="D5348" s="7">
        <v>0.69</v>
      </c>
      <c r="E5348" t="s">
        <v>11</v>
      </c>
    </row>
    <row r="5349" spans="1:5" x14ac:dyDescent="0.25">
      <c r="A5349" t="str">
        <f>HYPERLINK("https://www.773grp.com/globalSearch/MC74LVX132DR2G/page-1", "MC74LVX132DR2G")</f>
        <v>MC74LVX132DR2G</v>
      </c>
      <c r="B5349" s="3" t="str">
        <f>HYPERLINK("https://www.773grp.com/manufacturer/onsemi?pageNo=1304", "Onsemi")</f>
        <v>Onsemi</v>
      </c>
      <c r="C5349" s="6">
        <v>20920</v>
      </c>
      <c r="D5349" s="7">
        <v>0.69</v>
      </c>
      <c r="E5349" t="s">
        <v>27</v>
      </c>
    </row>
    <row r="5350" spans="1:5" x14ac:dyDescent="0.25">
      <c r="A5350" t="str">
        <f>HYPERLINK("https://www.773grp.com/globalSearch/MC74LVX132DTG/page-1", "MC74LVX132DTG")</f>
        <v>MC74LVX132DTG</v>
      </c>
      <c r="B5350" s="3" t="str">
        <f>HYPERLINK("https://www.773grp.com/manufacturer/onsemi?pageNo=1305", "Onsemi")</f>
        <v>Onsemi</v>
      </c>
      <c r="C5350" s="6">
        <v>23136</v>
      </c>
      <c r="D5350" s="7">
        <v>0.69</v>
      </c>
      <c r="E5350" t="s">
        <v>27</v>
      </c>
    </row>
    <row r="5351" spans="1:5" x14ac:dyDescent="0.25">
      <c r="A5351" t="str">
        <f>HYPERLINK("https://www.773grp.com/globalSearch/MC74LVX132DTR2G/page-1", "MC74LVX132DTR2G")</f>
        <v>MC74LVX132DTR2G</v>
      </c>
      <c r="B5351" s="3" t="str">
        <f>HYPERLINK("https://www.773grp.com/manufacturer/onsemi?pageNo=1306", "Onsemi")</f>
        <v>Onsemi</v>
      </c>
      <c r="C5351" s="6">
        <v>24120</v>
      </c>
      <c r="D5351" s="7">
        <v>0.69</v>
      </c>
      <c r="E5351" t="s">
        <v>27</v>
      </c>
    </row>
    <row r="5352" spans="1:5" x14ac:dyDescent="0.25">
      <c r="A5352" t="str">
        <f>HYPERLINK("https://www.773grp.com/globalSearch/MC74LVX4052MEL/page-1", "MC74LVX4052MEL")</f>
        <v>MC74LVX4052MEL</v>
      </c>
      <c r="B5352" s="3" t="str">
        <f>HYPERLINK("https://www.773grp.com/manufacturer/onsemi?pageNo=1307", "Onsemi")</f>
        <v>Onsemi</v>
      </c>
      <c r="C5352" s="6">
        <v>1041</v>
      </c>
      <c r="D5352" s="7">
        <v>0.69</v>
      </c>
      <c r="E5352" t="s">
        <v>46</v>
      </c>
    </row>
    <row r="5353" spans="1:5" x14ac:dyDescent="0.25">
      <c r="A5353" t="str">
        <f>HYPERLINK("https://www.773grp.com/globalSearch/MC74LVX541MEL/page-1", "MC74LVX541MEL")</f>
        <v>MC74LVX541MEL</v>
      </c>
      <c r="B5353" s="3" t="str">
        <f>HYPERLINK("https://www.773grp.com/manufacturer/onsemi?pageNo=1308", "Onsemi")</f>
        <v>Onsemi</v>
      </c>
      <c r="C5353" s="6">
        <v>24000</v>
      </c>
      <c r="D5353" s="7">
        <v>0.69</v>
      </c>
      <c r="E5353" t="s">
        <v>11</v>
      </c>
    </row>
    <row r="5354" spans="1:5" x14ac:dyDescent="0.25">
      <c r="A5354" t="str">
        <f>HYPERLINK("https://www.773grp.com/globalSearch/MC74LVXT4052M/page-1", "MC74LVXT4052M")</f>
        <v>MC74LVXT4052M</v>
      </c>
      <c r="B5354" s="3" t="str">
        <f>HYPERLINK("https://www.773grp.com/manufacturer/onsemi?pageNo=1309", "Onsemi")</f>
        <v>Onsemi</v>
      </c>
      <c r="C5354" s="6">
        <v>8300</v>
      </c>
      <c r="D5354" s="7">
        <v>0.69</v>
      </c>
      <c r="E5354" t="s">
        <v>46</v>
      </c>
    </row>
    <row r="5355" spans="1:5" x14ac:dyDescent="0.25">
      <c r="A5355" t="str">
        <f>HYPERLINK("https://www.773grp.com/globalSearch/MC74VHC125DG/page-1", "MC74VHC125DG")</f>
        <v>MC74VHC125DG</v>
      </c>
      <c r="B5355" s="3" t="str">
        <f>HYPERLINK("https://www.773grp.com/manufacturer/onsemi?pageNo=1310", "Onsemi")</f>
        <v>Onsemi</v>
      </c>
      <c r="C5355" s="6">
        <v>7920</v>
      </c>
      <c r="D5355" s="7">
        <v>0.69</v>
      </c>
      <c r="E5355" t="s">
        <v>11</v>
      </c>
    </row>
    <row r="5356" spans="1:5" x14ac:dyDescent="0.25">
      <c r="A5356" t="str">
        <f>HYPERLINK("https://www.773grp.com/globalSearch/MC74VHC125DR2G/page-1", "MC74VHC125DR2G")</f>
        <v>MC74VHC125DR2G</v>
      </c>
      <c r="B5356" s="3" t="str">
        <f>HYPERLINK("https://www.773grp.com/manufacturer/onsemi?pageNo=1311", "Onsemi")</f>
        <v>Onsemi</v>
      </c>
      <c r="C5356" s="6">
        <v>16384</v>
      </c>
      <c r="D5356" s="7">
        <v>0.69</v>
      </c>
      <c r="E5356" t="s">
        <v>11</v>
      </c>
    </row>
    <row r="5357" spans="1:5" x14ac:dyDescent="0.25">
      <c r="A5357" t="str">
        <f>HYPERLINK("https://www.773grp.com/globalSearch/MC74VHC125DTR2G/page-1", "MC74VHC125DTR2G")</f>
        <v>MC74VHC125DTR2G</v>
      </c>
      <c r="B5357" s="3" t="str">
        <f>HYPERLINK("https://www.773grp.com/manufacturer/onsemi?pageNo=1312", "Onsemi")</f>
        <v>Onsemi</v>
      </c>
      <c r="C5357" s="6">
        <v>16647</v>
      </c>
      <c r="D5357" s="7">
        <v>0.69</v>
      </c>
      <c r="E5357" t="s">
        <v>11</v>
      </c>
    </row>
    <row r="5358" spans="1:5" x14ac:dyDescent="0.25">
      <c r="A5358" t="str">
        <f>HYPERLINK("https://www.773grp.com/globalSearch/MC74VHC126DR2G/page-1", "MC74VHC126DR2G")</f>
        <v>MC74VHC126DR2G</v>
      </c>
      <c r="B5358" s="3" t="str">
        <f>HYPERLINK("https://www.773grp.com/manufacturer/onsemi?pageNo=1313", "Onsemi")</f>
        <v>Onsemi</v>
      </c>
      <c r="C5358" s="6">
        <v>2500</v>
      </c>
      <c r="D5358" s="7">
        <v>0.69</v>
      </c>
      <c r="E5358" t="s">
        <v>11</v>
      </c>
    </row>
    <row r="5359" spans="1:5" x14ac:dyDescent="0.25">
      <c r="A5359" t="str">
        <f>HYPERLINK("https://www.773grp.com/globalSearch/MC74VHC126DTR2G/page-1", "MC74VHC126DTR2G")</f>
        <v>MC74VHC126DTR2G</v>
      </c>
      <c r="B5359" s="3" t="str">
        <f>HYPERLINK("https://www.773grp.com/manufacturer/onsemi?pageNo=1314", "Onsemi")</f>
        <v>Onsemi</v>
      </c>
      <c r="C5359" s="6">
        <v>10000</v>
      </c>
      <c r="D5359" s="7">
        <v>0.69</v>
      </c>
      <c r="E5359" t="s">
        <v>11</v>
      </c>
    </row>
    <row r="5360" spans="1:5" x14ac:dyDescent="0.25">
      <c r="A5360" t="str">
        <f>HYPERLINK("https://www.773grp.com/globalSearch/MC74VHC132DG/page-1", "MC74VHC132DG")</f>
        <v>MC74VHC132DG</v>
      </c>
      <c r="B5360" s="3" t="str">
        <f>HYPERLINK("https://www.773grp.com/manufacturer/onsemi?pageNo=1315", "Onsemi")</f>
        <v>Onsemi</v>
      </c>
      <c r="C5360" s="6">
        <v>41350</v>
      </c>
      <c r="D5360" s="7">
        <v>0.69</v>
      </c>
      <c r="E5360" t="s">
        <v>27</v>
      </c>
    </row>
    <row r="5361" spans="1:5" x14ac:dyDescent="0.25">
      <c r="A5361" t="str">
        <f>HYPERLINK("https://www.773grp.com/globalSearch/MC74VHC132DR2G/page-1", "MC74VHC132DR2G")</f>
        <v>MC74VHC132DR2G</v>
      </c>
      <c r="B5361" s="3" t="str">
        <f>HYPERLINK("https://www.773grp.com/manufacturer/onsemi?pageNo=1316", "Onsemi")</f>
        <v>Onsemi</v>
      </c>
      <c r="C5361" s="6">
        <v>2500</v>
      </c>
      <c r="D5361" s="7">
        <v>0.69</v>
      </c>
      <c r="E5361" t="s">
        <v>27</v>
      </c>
    </row>
    <row r="5362" spans="1:5" x14ac:dyDescent="0.25">
      <c r="A5362" t="str">
        <f>HYPERLINK("https://www.773grp.com/globalSearch/MC74VHC132DTR2G/page-1", "MC74VHC132DTR2G")</f>
        <v>MC74VHC132DTR2G</v>
      </c>
      <c r="B5362" s="3" t="str">
        <f>HYPERLINK("https://www.773grp.com/manufacturer/onsemi?pageNo=1317", "Onsemi")</f>
        <v>Onsemi</v>
      </c>
      <c r="C5362" s="6">
        <v>27575</v>
      </c>
      <c r="D5362" s="7">
        <v>0.69</v>
      </c>
      <c r="E5362" t="s">
        <v>27</v>
      </c>
    </row>
    <row r="5363" spans="1:5" x14ac:dyDescent="0.25">
      <c r="A5363" t="str">
        <f>HYPERLINK("https://www.773grp.com/globalSearch/MC74VHC540DT/page-1", "MC74VHC540DT")</f>
        <v>MC74VHC540DT</v>
      </c>
      <c r="B5363" s="3" t="str">
        <f>HYPERLINK("https://www.773grp.com/manufacturer/onsemi?pageNo=1318", "Onsemi")</f>
        <v>Onsemi</v>
      </c>
      <c r="C5363" s="6">
        <v>9225</v>
      </c>
      <c r="D5363" s="7">
        <v>0.69</v>
      </c>
      <c r="E5363" t="s">
        <v>11</v>
      </c>
    </row>
    <row r="5364" spans="1:5" x14ac:dyDescent="0.25">
      <c r="A5364" t="str">
        <f>HYPERLINK("https://www.773grp.com/globalSearch/MC74VHC541DW/page-1", "MC74VHC541DW")</f>
        <v>MC74VHC541DW</v>
      </c>
      <c r="B5364" s="3" t="str">
        <f>HYPERLINK("https://www.773grp.com/manufacturer/onsemi?pageNo=1319", "Onsemi")</f>
        <v>Onsemi</v>
      </c>
      <c r="C5364" s="6">
        <v>795</v>
      </c>
      <c r="D5364" s="7">
        <v>0.69</v>
      </c>
      <c r="E5364" t="s">
        <v>11</v>
      </c>
    </row>
    <row r="5365" spans="1:5" x14ac:dyDescent="0.25">
      <c r="A5365" t="str">
        <f>HYPERLINK("https://www.773grp.com/globalSearch/MC74VHCT125ADR2G/page-1", "MC74VHCT125ADR2G")</f>
        <v>MC74VHCT125ADR2G</v>
      </c>
      <c r="B5365" s="3" t="str">
        <f>HYPERLINK("https://www.773grp.com/manufacturer/onsemi?pageNo=1320", "Onsemi")</f>
        <v>Onsemi</v>
      </c>
      <c r="C5365" s="6">
        <v>289812</v>
      </c>
      <c r="D5365" s="7">
        <v>0.69</v>
      </c>
      <c r="E5365" t="s">
        <v>11</v>
      </c>
    </row>
    <row r="5366" spans="1:5" x14ac:dyDescent="0.25">
      <c r="A5366" t="str">
        <f>HYPERLINK("https://www.773grp.com/globalSearch/MC74VHCT125ADTRG/page-1", "MC74VHCT125ADTRG")</f>
        <v>MC74VHCT125ADTRG</v>
      </c>
      <c r="B5366" s="3" t="str">
        <f>HYPERLINK("https://www.773grp.com/manufacturer/onsemi?pageNo=1321", "Onsemi")</f>
        <v>Onsemi</v>
      </c>
      <c r="C5366" s="6">
        <v>71970</v>
      </c>
      <c r="D5366" s="7">
        <v>0.69</v>
      </c>
      <c r="E5366" t="s">
        <v>11</v>
      </c>
    </row>
    <row r="5367" spans="1:5" x14ac:dyDescent="0.25">
      <c r="A5367" t="str">
        <f>HYPERLINK("https://www.773grp.com/globalSearch/MC74VHCT126ADR2G/page-1", "MC74VHCT126ADR2G")</f>
        <v>MC74VHCT126ADR2G</v>
      </c>
      <c r="B5367" s="3" t="str">
        <f>HYPERLINK("https://www.773grp.com/manufacturer/onsemi?pageNo=1322", "Onsemi")</f>
        <v>Onsemi</v>
      </c>
      <c r="C5367" s="6">
        <v>16635</v>
      </c>
      <c r="D5367" s="7">
        <v>0.69</v>
      </c>
      <c r="E5367" t="s">
        <v>11</v>
      </c>
    </row>
    <row r="5368" spans="1:5" x14ac:dyDescent="0.25">
      <c r="A5368" t="str">
        <f>HYPERLINK("https://www.773grp.com/globalSearch/MC74VHCT132ADR2G/page-1", "MC74VHCT132ADR2G")</f>
        <v>MC74VHCT132ADR2G</v>
      </c>
      <c r="B5368" s="3" t="str">
        <f>HYPERLINK("https://www.773grp.com/manufacturer/onsemi?pageNo=1323", "Onsemi")</f>
        <v>Onsemi</v>
      </c>
      <c r="C5368" s="6">
        <v>17070</v>
      </c>
      <c r="D5368" s="7">
        <v>0.69</v>
      </c>
      <c r="E5368" t="s">
        <v>27</v>
      </c>
    </row>
    <row r="5369" spans="1:5" x14ac:dyDescent="0.25">
      <c r="A5369" t="str">
        <f>HYPERLINK("https://www.773grp.com/globalSearch/MC74VHCT132ADTRG/page-1", "MC74VHCT132ADTRG")</f>
        <v>MC74VHCT132ADTRG</v>
      </c>
      <c r="B5369" s="3" t="str">
        <f>HYPERLINK("https://www.773grp.com/manufacturer/onsemi?pageNo=1324", "Onsemi")</f>
        <v>Onsemi</v>
      </c>
      <c r="C5369" s="6">
        <v>23815</v>
      </c>
      <c r="D5369" s="7">
        <v>0.69</v>
      </c>
      <c r="E5369" t="s">
        <v>27</v>
      </c>
    </row>
    <row r="5370" spans="1:5" x14ac:dyDescent="0.25">
      <c r="A5370" t="str">
        <f>HYPERLINK("https://www.773grp.com/globalSearch/MC74VHCT540ADT/page-1", "MC74VHCT540ADT")</f>
        <v>MC74VHCT540ADT</v>
      </c>
      <c r="B5370" s="3" t="str">
        <f>HYPERLINK("https://www.773grp.com/manufacturer/onsemi?pageNo=1325", "Onsemi")</f>
        <v>Onsemi</v>
      </c>
      <c r="C5370" s="6">
        <v>6050</v>
      </c>
      <c r="D5370" s="7">
        <v>0.69</v>
      </c>
      <c r="E5370" t="s">
        <v>11</v>
      </c>
    </row>
    <row r="5371" spans="1:5" x14ac:dyDescent="0.25">
      <c r="A5371" t="str">
        <f>HYPERLINK("https://www.773grp.com/globalSearch/MC74VHCT541ADW/page-1", "MC74VHCT541ADW")</f>
        <v>MC74VHCT541ADW</v>
      </c>
      <c r="B5371" s="3" t="str">
        <f>HYPERLINK("https://www.773grp.com/manufacturer/onsemi?pageNo=1326", "Onsemi")</f>
        <v>Onsemi</v>
      </c>
      <c r="C5371" s="6">
        <v>874</v>
      </c>
      <c r="D5371" s="7">
        <v>0.69</v>
      </c>
      <c r="E5371" t="s">
        <v>11</v>
      </c>
    </row>
    <row r="5372" spans="1:5" x14ac:dyDescent="0.25">
      <c r="A5372" t="str">
        <f>HYPERLINK("https://www.773grp.com/globalSearch/MC7806ACTG/page-1", "MC7806ACTG")</f>
        <v>MC7806ACTG</v>
      </c>
      <c r="B5372" s="3" t="str">
        <f>HYPERLINK("https://www.773grp.com/manufacturer/onsemi?pageNo=1327", "Onsemi")</f>
        <v>Onsemi</v>
      </c>
      <c r="C5372" s="6">
        <v>7698</v>
      </c>
      <c r="D5372" s="7">
        <v>0.69</v>
      </c>
      <c r="E5372" t="s">
        <v>24</v>
      </c>
    </row>
    <row r="5373" spans="1:5" x14ac:dyDescent="0.25">
      <c r="A5373" t="str">
        <f>HYPERLINK("https://www.773grp.com/globalSearch/MC78M08BT/page-1", "MC78M08BT")</f>
        <v>MC78M08BT</v>
      </c>
      <c r="B5373" s="3" t="str">
        <f>HYPERLINK("https://www.773grp.com/manufacturer/onsemi?pageNo=1328", "Onsemi")</f>
        <v>Onsemi</v>
      </c>
      <c r="C5373" s="6">
        <v>26</v>
      </c>
      <c r="D5373" s="7">
        <v>0.69</v>
      </c>
      <c r="E5373" t="s">
        <v>24</v>
      </c>
    </row>
    <row r="5374" spans="1:5" x14ac:dyDescent="0.25">
      <c r="A5374" t="str">
        <f>HYPERLINK("https://www.773grp.com/globalSearch/MC78M15ACT/page-1", "MC78M15ACT")</f>
        <v>MC78M15ACT</v>
      </c>
      <c r="B5374" s="3" t="str">
        <f>HYPERLINK("https://www.773grp.com/manufacturer/onsemi?pageNo=1329", "Onsemi")</f>
        <v>Onsemi</v>
      </c>
      <c r="C5374" s="6">
        <v>2100</v>
      </c>
      <c r="D5374" s="7">
        <v>0.69</v>
      </c>
      <c r="E5374" t="s">
        <v>24</v>
      </c>
    </row>
    <row r="5375" spans="1:5" x14ac:dyDescent="0.25">
      <c r="A5375" t="str">
        <f>HYPERLINK("https://www.773grp.com/globalSearch/MC78PC18NTR/page-1", "MC78PC18NTR")</f>
        <v>MC78PC18NTR</v>
      </c>
      <c r="B5375" s="3" t="str">
        <f>HYPERLINK("https://www.773grp.com/manufacturer/onsemi?pageNo=1330", "Onsemi")</f>
        <v>Onsemi</v>
      </c>
      <c r="C5375" s="6">
        <v>3000</v>
      </c>
      <c r="D5375" s="7">
        <v>0.69</v>
      </c>
      <c r="E5375" t="s">
        <v>15</v>
      </c>
    </row>
    <row r="5376" spans="1:5" x14ac:dyDescent="0.25">
      <c r="A5376" t="str">
        <f>HYPERLINK("https://www.773grp.com/globalSearch/MC78PC25NTR/page-1", "MC78PC25NTR")</f>
        <v>MC78PC25NTR</v>
      </c>
      <c r="B5376" s="3" t="str">
        <f>HYPERLINK("https://www.773grp.com/manufacturer/onsemi?pageNo=1331", "Onsemi")</f>
        <v>Onsemi</v>
      </c>
      <c r="C5376" s="6">
        <v>39637</v>
      </c>
      <c r="D5376" s="7">
        <v>0.69</v>
      </c>
      <c r="E5376" t="s">
        <v>15</v>
      </c>
    </row>
    <row r="5377" spans="1:5" x14ac:dyDescent="0.25">
      <c r="A5377" t="str">
        <f>HYPERLINK("https://www.773grp.com/globalSearch/MC78PC30NTR/page-1", "MC78PC30NTR")</f>
        <v>MC78PC30NTR</v>
      </c>
      <c r="B5377" s="3" t="str">
        <f>HYPERLINK("https://www.773grp.com/manufacturer/onsemi?pageNo=1332", "Onsemi")</f>
        <v>Onsemi</v>
      </c>
      <c r="C5377" s="6">
        <v>6425</v>
      </c>
      <c r="D5377" s="7">
        <v>0.69</v>
      </c>
      <c r="E5377" t="s">
        <v>15</v>
      </c>
    </row>
    <row r="5378" spans="1:5" x14ac:dyDescent="0.25">
      <c r="A5378" t="str">
        <f>HYPERLINK("https://www.773grp.com/globalSearch/MC78PC33NTR/page-1", "MC78PC33NTR")</f>
        <v>MC78PC33NTR</v>
      </c>
      <c r="B5378" s="3" t="str">
        <f>HYPERLINK("https://www.773grp.com/manufacturer/onsemi?pageNo=1333", "Onsemi")</f>
        <v>Onsemi</v>
      </c>
      <c r="C5378" s="6">
        <v>256396</v>
      </c>
      <c r="D5378" s="7">
        <v>0.69</v>
      </c>
      <c r="E5378" t="s">
        <v>15</v>
      </c>
    </row>
    <row r="5379" spans="1:5" x14ac:dyDescent="0.25">
      <c r="A5379" t="str">
        <f>HYPERLINK("https://www.773grp.com/globalSearch/MC78PC50NTR/page-1", "MC78PC50NTR")</f>
        <v>MC78PC50NTR</v>
      </c>
      <c r="B5379" s="3" t="str">
        <f>HYPERLINK("https://www.773grp.com/manufacturer/onsemi?pageNo=1334", "Onsemi")</f>
        <v>Onsemi</v>
      </c>
      <c r="C5379" s="6">
        <v>45000</v>
      </c>
      <c r="D5379" s="7">
        <v>0.69</v>
      </c>
      <c r="E5379" t="s">
        <v>15</v>
      </c>
    </row>
    <row r="5380" spans="1:5" x14ac:dyDescent="0.25">
      <c r="A5380" t="str">
        <f>HYPERLINK("https://www.773grp.com/globalSearch/MC7905.2CT/page-1", "MC7905.2CT")</f>
        <v>MC7905.2CT</v>
      </c>
      <c r="B5380" s="3" t="str">
        <f>HYPERLINK("https://www.773grp.com/manufacturer/onsemi?pageNo=1335", "Onsemi")</f>
        <v>Onsemi</v>
      </c>
      <c r="C5380" s="6">
        <v>10915</v>
      </c>
      <c r="D5380" s="7">
        <v>0.69</v>
      </c>
      <c r="E5380" t="s">
        <v>53</v>
      </c>
    </row>
    <row r="5381" spans="1:5" x14ac:dyDescent="0.25">
      <c r="A5381" t="str">
        <f>HYPERLINK("https://www.773grp.com/globalSearch/MC7908ACTG/page-1", "MC7908ACTG")</f>
        <v>MC7908ACTG</v>
      </c>
      <c r="B5381" s="3" t="str">
        <f>HYPERLINK("https://www.773grp.com/manufacturer/onsemi?pageNo=1336", "Onsemi")</f>
        <v>Onsemi</v>
      </c>
      <c r="C5381" s="6">
        <v>6400</v>
      </c>
      <c r="D5381" s="7">
        <v>0.69</v>
      </c>
      <c r="E5381" t="s">
        <v>53</v>
      </c>
    </row>
    <row r="5382" spans="1:5" x14ac:dyDescent="0.25">
      <c r="A5382" t="str">
        <f>HYPERLINK("https://www.773grp.com/globalSearch/MC7924BTG/page-1", "MC7924BTG")</f>
        <v>MC7924BTG</v>
      </c>
      <c r="B5382" s="3" t="str">
        <f>HYPERLINK("https://www.773grp.com/manufacturer/onsemi?pageNo=1337", "Onsemi")</f>
        <v>Onsemi</v>
      </c>
      <c r="C5382" s="6">
        <v>2700</v>
      </c>
      <c r="D5382" s="7">
        <v>0.69</v>
      </c>
      <c r="E5382" t="s">
        <v>53</v>
      </c>
    </row>
    <row r="5383" spans="1:5" x14ac:dyDescent="0.25">
      <c r="A5383" t="str">
        <f>HYPERLINK("https://www.773grp.com/globalSearch/MC79M05BT/page-1", "MC79M05BT")</f>
        <v>MC79M05BT</v>
      </c>
      <c r="B5383" s="3" t="str">
        <f>HYPERLINK("https://www.773grp.com/manufacturer/onsemi?pageNo=1338", "Onsemi")</f>
        <v>Onsemi</v>
      </c>
      <c r="C5383" s="6">
        <v>2000</v>
      </c>
      <c r="D5383" s="7">
        <v>0.69</v>
      </c>
      <c r="E5383" t="s">
        <v>53</v>
      </c>
    </row>
    <row r="5384" spans="1:5" x14ac:dyDescent="0.25">
      <c r="A5384" t="str">
        <f>HYPERLINK("https://www.773grp.com/globalSearch/MC79M08BT/page-1", "MC79M08BT")</f>
        <v>MC79M08BT</v>
      </c>
      <c r="B5384" s="3" t="str">
        <f>HYPERLINK("https://www.773grp.com/manufacturer/onsemi?pageNo=1339", "Onsemi")</f>
        <v>Onsemi</v>
      </c>
      <c r="C5384" s="6">
        <v>550</v>
      </c>
      <c r="D5384" s="7">
        <v>0.69</v>
      </c>
      <c r="E5384" t="s">
        <v>53</v>
      </c>
    </row>
    <row r="5385" spans="1:5" x14ac:dyDescent="0.25">
      <c r="A5385" t="str">
        <f>HYPERLINK("https://www.773grp.com/globalSearch/MMBD352LT1/page-1", "MMBD352LT1")</f>
        <v>MMBD352LT1</v>
      </c>
      <c r="B5385" s="3" t="str">
        <f>HYPERLINK("https://www.773grp.com/manufacturer/onsemi?pageNo=1340", "Onsemi")</f>
        <v>Onsemi</v>
      </c>
      <c r="C5385" s="6">
        <v>75000</v>
      </c>
      <c r="D5385" s="7">
        <v>0.69</v>
      </c>
    </row>
    <row r="5386" spans="1:5" x14ac:dyDescent="0.25">
      <c r="A5386" t="str">
        <f>HYPERLINK("https://www.773grp.com/globalSearch/MMBT6517LT1G/page-1", "MMBT6517LT1G")</f>
        <v>MMBT6517LT1G</v>
      </c>
      <c r="B5386" s="3" t="str">
        <f>HYPERLINK("https://www.773grp.com/manufacturer/onsemi?pageNo=1341", "Onsemi")</f>
        <v>Onsemi</v>
      </c>
      <c r="C5386" s="6">
        <v>16</v>
      </c>
      <c r="D5386" s="7">
        <v>0.69</v>
      </c>
      <c r="E5386" t="s">
        <v>57</v>
      </c>
    </row>
    <row r="5387" spans="1:5" x14ac:dyDescent="0.25">
      <c r="A5387" t="str">
        <f>HYPERLINK("https://www.773grp.com/globalSearch/MMFT1N20T1/page-1", "MMFT1N20T1")</f>
        <v>MMFT1N20T1</v>
      </c>
      <c r="B5387" s="3" t="str">
        <f>HYPERLINK("https://www.773grp.com/manufacturer/onsemi?pageNo=1342", "Onsemi")</f>
        <v>Onsemi</v>
      </c>
      <c r="C5387" s="6">
        <v>275</v>
      </c>
      <c r="D5387" s="7">
        <v>0.69</v>
      </c>
    </row>
    <row r="5388" spans="1:5" x14ac:dyDescent="0.25">
      <c r="A5388" t="str">
        <f>HYPERLINK("https://www.773grp.com/globalSearch/MMJT9410T1G/page-1", "MMJT9410T1G")</f>
        <v>MMJT9410T1G</v>
      </c>
      <c r="B5388" s="3" t="str">
        <f>HYPERLINK("https://www.773grp.com/manufacturer/onsemi?pageNo=1343", "Onsemi")</f>
        <v>Onsemi</v>
      </c>
      <c r="C5388" s="6">
        <v>2666</v>
      </c>
      <c r="D5388" s="7">
        <v>0.69</v>
      </c>
      <c r="E5388" t="s">
        <v>57</v>
      </c>
    </row>
    <row r="5389" spans="1:5" x14ac:dyDescent="0.25">
      <c r="A5389" t="str">
        <f>HYPERLINK("https://www.773grp.com/globalSearch/MPTE-005G/page-1", "MPTE-005G")</f>
        <v>MPTE-005G</v>
      </c>
      <c r="B5389" s="3" t="str">
        <f>HYPERLINK("https://www.773grp.com/manufacturer/onsemi?pageNo=1344", "Onsemi")</f>
        <v>Onsemi</v>
      </c>
      <c r="C5389" s="6">
        <v>166</v>
      </c>
      <c r="D5389" s="7">
        <v>0.69</v>
      </c>
    </row>
    <row r="5390" spans="1:5" x14ac:dyDescent="0.25">
      <c r="A5390" t="str">
        <f>HYPERLINK("https://www.773grp.com/globalSearch/MPTE-010G/page-1", "MPTE-010G")</f>
        <v>MPTE-010G</v>
      </c>
      <c r="B5390" s="3" t="str">
        <f>HYPERLINK("https://www.773grp.com/manufacturer/onsemi?pageNo=1345", "Onsemi")</f>
        <v>Onsemi</v>
      </c>
      <c r="C5390" s="6">
        <v>1490</v>
      </c>
      <c r="D5390" s="7">
        <v>0.69</v>
      </c>
    </row>
    <row r="5391" spans="1:5" x14ac:dyDescent="0.25">
      <c r="A5391" t="str">
        <f>HYPERLINK("https://www.773grp.com/globalSearch/MPTE-015/page-1", "MPTE-015")</f>
        <v>MPTE-015</v>
      </c>
      <c r="B5391" s="3" t="str">
        <f>HYPERLINK("https://www.773grp.com/manufacturer/onsemi?pageNo=1346", "Onsemi")</f>
        <v>Onsemi</v>
      </c>
      <c r="C5391" s="6">
        <v>500</v>
      </c>
      <c r="D5391" s="7">
        <v>0.69</v>
      </c>
    </row>
    <row r="5392" spans="1:5" x14ac:dyDescent="0.25">
      <c r="A5392" t="str">
        <f>HYPERLINK("https://www.773grp.com/globalSearch/MPTE-015G/page-1", "MPTE-015G")</f>
        <v>MPTE-015G</v>
      </c>
      <c r="B5392" s="3" t="str">
        <f>HYPERLINK("https://www.773grp.com/manufacturer/onsemi?pageNo=1347", "Onsemi")</f>
        <v>Onsemi</v>
      </c>
      <c r="C5392" s="6">
        <v>5000</v>
      </c>
      <c r="D5392" s="7">
        <v>0.69</v>
      </c>
    </row>
    <row r="5393" spans="1:5" x14ac:dyDescent="0.25">
      <c r="A5393" t="str">
        <f>HYPERLINK("https://www.773grp.com/globalSearch/MPTE-018/page-1", "MPTE-018")</f>
        <v>MPTE-018</v>
      </c>
      <c r="B5393" s="3" t="str">
        <f>HYPERLINK("https://www.773grp.com/manufacturer/onsemi?pageNo=1348", "Onsemi")</f>
        <v>Onsemi</v>
      </c>
      <c r="C5393" s="6">
        <v>2500</v>
      </c>
      <c r="D5393" s="7">
        <v>0.69</v>
      </c>
    </row>
    <row r="5394" spans="1:5" x14ac:dyDescent="0.25">
      <c r="A5394" t="str">
        <f>HYPERLINK("https://www.773grp.com/globalSearch/MPTE-12RL4/page-1", "MPTE-12RL4")</f>
        <v>MPTE-12RL4</v>
      </c>
      <c r="B5394" s="3" t="str">
        <f>HYPERLINK("https://www.773grp.com/manufacturer/onsemi?pageNo=1", "Onsemi")</f>
        <v>Onsemi</v>
      </c>
      <c r="C5394" s="6">
        <v>1500</v>
      </c>
      <c r="D5394" s="7">
        <v>0.69</v>
      </c>
      <c r="E5394" t="s">
        <v>75</v>
      </c>
    </row>
    <row r="5395" spans="1:5" x14ac:dyDescent="0.25">
      <c r="A5395" t="str">
        <f>HYPERLINK("https://www.773grp.com/globalSearch/MPTE-12RL4G/page-1", "MPTE-12RL4G")</f>
        <v>MPTE-12RL4G</v>
      </c>
      <c r="B5395" s="3" t="str">
        <f>HYPERLINK("https://www.773grp.com/manufacturer/onsemi?pageNo=2", "Onsemi")</f>
        <v>Onsemi</v>
      </c>
      <c r="C5395" s="6">
        <v>1500</v>
      </c>
      <c r="D5395" s="7">
        <v>0.69</v>
      </c>
      <c r="E5395" t="s">
        <v>75</v>
      </c>
    </row>
    <row r="5396" spans="1:5" x14ac:dyDescent="0.25">
      <c r="A5396" t="str">
        <f>HYPERLINK("https://www.773grp.com/globalSearch/MT12AT1G/page-1", "MT12AT1G")</f>
        <v>MT12AT1G</v>
      </c>
      <c r="B5396" s="3" t="str">
        <f>HYPERLINK("https://www.773grp.com/manufacturer/onsemi?pageNo=3", "Onsemi")</f>
        <v>Onsemi</v>
      </c>
      <c r="C5396" s="6">
        <v>30000</v>
      </c>
      <c r="D5396" s="7">
        <v>0.69</v>
      </c>
    </row>
    <row r="5397" spans="1:5" x14ac:dyDescent="0.25">
      <c r="A5397" t="str">
        <f>HYPERLINK("https://www.773grp.com/globalSearch/MT16AT3G/page-1", "MT16AT3G")</f>
        <v>MT16AT3G</v>
      </c>
      <c r="B5397" s="3" t="str">
        <f>HYPERLINK("https://www.773grp.com/manufacturer/onsemi?pageNo=4", "Onsemi")</f>
        <v>Onsemi</v>
      </c>
      <c r="C5397" s="6">
        <v>84000</v>
      </c>
      <c r="D5397" s="7">
        <v>0.69</v>
      </c>
    </row>
    <row r="5398" spans="1:5" x14ac:dyDescent="0.25">
      <c r="A5398" t="str">
        <f>HYPERLINK("https://www.773grp.com/globalSearch/MT22AT1G/page-1", "MT22AT1G")</f>
        <v>MT22AT1G</v>
      </c>
      <c r="B5398" s="3" t="str">
        <f>HYPERLINK("https://www.773grp.com/manufacturer/onsemi?pageNo=5", "Onsemi")</f>
        <v>Onsemi</v>
      </c>
      <c r="C5398" s="6">
        <v>23993</v>
      </c>
      <c r="D5398" s="7">
        <v>0.69</v>
      </c>
    </row>
    <row r="5399" spans="1:5" x14ac:dyDescent="0.25">
      <c r="A5399" t="str">
        <f>HYPERLINK("https://www.773grp.com/globalSearch/MT26AT1G/page-1", "MT26AT1G")</f>
        <v>MT26AT1G</v>
      </c>
      <c r="B5399" s="3" t="str">
        <f>HYPERLINK("https://www.773grp.com/manufacturer/onsemi?pageNo=6", "Onsemi")</f>
        <v>Onsemi</v>
      </c>
      <c r="C5399" s="6">
        <v>14980</v>
      </c>
      <c r="D5399" s="7">
        <v>0.69</v>
      </c>
    </row>
    <row r="5400" spans="1:5" x14ac:dyDescent="0.25">
      <c r="A5400" t="str">
        <f>HYPERLINK("https://www.773grp.com/globalSearch/MT33AT3G/page-1", "MT33AT3G")</f>
        <v>MT33AT3G</v>
      </c>
      <c r="B5400" s="3" t="str">
        <f>HYPERLINK("https://www.773grp.com/manufacturer/onsemi?pageNo=7", "Onsemi")</f>
        <v>Onsemi</v>
      </c>
      <c r="C5400" s="6">
        <v>24000</v>
      </c>
      <c r="D5400" s="7">
        <v>0.69</v>
      </c>
    </row>
    <row r="5401" spans="1:5" x14ac:dyDescent="0.25">
      <c r="A5401" t="str">
        <f>HYPERLINK("https://www.773grp.com/globalSearch/MT5924BT1G/page-1", "MT5924BT1G")</f>
        <v>MT5924BT1G</v>
      </c>
      <c r="B5401" s="3" t="str">
        <f>HYPERLINK("https://www.773grp.com/manufacturer/onsemi?pageNo=8", "Onsemi")</f>
        <v>Onsemi</v>
      </c>
      <c r="C5401" s="6">
        <v>3000</v>
      </c>
      <c r="D5401" s="7">
        <v>0.69</v>
      </c>
    </row>
    <row r="5402" spans="1:5" x14ac:dyDescent="0.25">
      <c r="A5402" t="str">
        <f>HYPERLINK("https://www.773grp.com/globalSearch/MTD5P06V1/page-1", "MTD5P06V1")</f>
        <v>MTD5P06V1</v>
      </c>
      <c r="B5402" s="3" t="str">
        <f>HYPERLINK("https://www.773grp.com/manufacturer/onsemi?pageNo=9", "Onsemi")</f>
        <v>Onsemi</v>
      </c>
      <c r="C5402" s="6">
        <v>4783</v>
      </c>
      <c r="D5402" s="7">
        <v>0.69</v>
      </c>
      <c r="E5402" t="s">
        <v>84</v>
      </c>
    </row>
    <row r="5403" spans="1:5" x14ac:dyDescent="0.25">
      <c r="A5403" t="str">
        <f>HYPERLINK("https://www.773grp.com/globalSearch/MURA105T3G/page-1", "MURA105T3G")</f>
        <v>MURA105T3G</v>
      </c>
      <c r="B5403" s="3" t="str">
        <f>HYPERLINK("https://www.773grp.com/manufacturer/onsemi?pageNo=10", "Onsemi")</f>
        <v>Onsemi</v>
      </c>
      <c r="C5403" s="6">
        <v>20000</v>
      </c>
      <c r="D5403" s="7">
        <v>0.69</v>
      </c>
    </row>
    <row r="5404" spans="1:5" x14ac:dyDescent="0.25">
      <c r="A5404" t="str">
        <f>HYPERLINK("https://www.773grp.com/globalSearch/MURA110T3G/page-1", "MURA110T3G")</f>
        <v>MURA110T3G</v>
      </c>
      <c r="B5404" s="3" t="str">
        <f>HYPERLINK("https://www.773grp.com/manufacturer/onsemi?pageNo=11", "Onsemi")</f>
        <v>Onsemi</v>
      </c>
      <c r="C5404" s="6">
        <v>10000</v>
      </c>
      <c r="D5404" s="7">
        <v>0.69</v>
      </c>
      <c r="E5404" t="s">
        <v>82</v>
      </c>
    </row>
    <row r="5405" spans="1:5" x14ac:dyDescent="0.25">
      <c r="A5405" t="str">
        <f>HYPERLINK("https://www.773grp.com/globalSearch/MURA115T3G/page-1", "MURA115T3G")</f>
        <v>MURA115T3G</v>
      </c>
      <c r="B5405" s="3" t="str">
        <f>HYPERLINK("https://www.773grp.com/manufacturer/onsemi?pageNo=12", "Onsemi")</f>
        <v>Onsemi</v>
      </c>
      <c r="C5405" s="6">
        <v>1451923</v>
      </c>
      <c r="D5405" s="7">
        <v>0.69</v>
      </c>
      <c r="E5405" t="s">
        <v>82</v>
      </c>
    </row>
    <row r="5406" spans="1:5" x14ac:dyDescent="0.25">
      <c r="A5406" t="str">
        <f>HYPERLINK("https://www.773grp.com/globalSearch/MURA120T3G/page-1", "MURA120T3G")</f>
        <v>MURA120T3G</v>
      </c>
      <c r="B5406" s="3" t="str">
        <f>HYPERLINK("https://www.773grp.com/manufacturer/onsemi?pageNo=13", "Onsemi")</f>
        <v>Onsemi</v>
      </c>
      <c r="C5406" s="6">
        <v>179765</v>
      </c>
      <c r="D5406" s="7">
        <v>0.69</v>
      </c>
      <c r="E5406" t="s">
        <v>82</v>
      </c>
    </row>
    <row r="5407" spans="1:5" x14ac:dyDescent="0.25">
      <c r="A5407" t="str">
        <f>HYPERLINK("https://www.773grp.com/globalSearch/MURA140T3G/page-1", "MURA140T3G")</f>
        <v>MURA140T3G</v>
      </c>
      <c r="B5407" s="3" t="str">
        <f>HYPERLINK("https://www.773grp.com/manufacturer/onsemi?pageNo=14", "Onsemi")</f>
        <v>Onsemi</v>
      </c>
      <c r="C5407" s="6">
        <v>984640</v>
      </c>
      <c r="D5407" s="7">
        <v>0.69</v>
      </c>
      <c r="E5407" t="s">
        <v>82</v>
      </c>
    </row>
    <row r="5408" spans="1:5" x14ac:dyDescent="0.25">
      <c r="A5408" t="str">
        <f>HYPERLINK("https://www.773grp.com/globalSearch/MURA160T3G/page-1", "MURA160T3G")</f>
        <v>MURA160T3G</v>
      </c>
      <c r="B5408" s="3" t="str">
        <f>HYPERLINK("https://www.773grp.com/manufacturer/onsemi?pageNo=15", "Onsemi")</f>
        <v>Onsemi</v>
      </c>
      <c r="C5408" s="6">
        <v>235000</v>
      </c>
      <c r="D5408" s="7">
        <v>0.69</v>
      </c>
      <c r="E5408" t="s">
        <v>82</v>
      </c>
    </row>
    <row r="5409" spans="1:5" x14ac:dyDescent="0.25">
      <c r="A5409" t="str">
        <f>HYPERLINK("https://www.773grp.com/globalSearch/NCP1117DT12/page-1", "NCP1117DT12")</f>
        <v>NCP1117DT12</v>
      </c>
      <c r="B5409" s="3" t="str">
        <f>HYPERLINK("https://www.773grp.com/manufacturer/onsemi?pageNo=16", "Onsemi")</f>
        <v>Onsemi</v>
      </c>
      <c r="C5409" s="6">
        <v>300</v>
      </c>
      <c r="D5409" s="7">
        <v>0.69</v>
      </c>
      <c r="E5409" t="s">
        <v>15</v>
      </c>
    </row>
    <row r="5410" spans="1:5" x14ac:dyDescent="0.25">
      <c r="A5410" t="str">
        <f>HYPERLINK("https://www.773grp.com/globalSearch/NCP1117DT12RK/page-1", "NCP1117DT12RK")</f>
        <v>NCP1117DT12RK</v>
      </c>
      <c r="B5410" s="3" t="str">
        <f>HYPERLINK("https://www.773grp.com/manufacturer/onsemi?pageNo=17", "Onsemi")</f>
        <v>Onsemi</v>
      </c>
      <c r="C5410" s="6">
        <v>2490</v>
      </c>
      <c r="D5410" s="7">
        <v>0.69</v>
      </c>
      <c r="E5410" t="s">
        <v>15</v>
      </c>
    </row>
    <row r="5411" spans="1:5" x14ac:dyDescent="0.25">
      <c r="A5411" t="str">
        <f>HYPERLINK("https://www.773grp.com/globalSearch/NCP1117DT18T5/page-1", "NCP1117DT18T5")</f>
        <v>NCP1117DT18T5</v>
      </c>
      <c r="B5411" s="3" t="str">
        <f>HYPERLINK("https://www.773grp.com/manufacturer/onsemi?pageNo=18", "Onsemi")</f>
        <v>Onsemi</v>
      </c>
      <c r="C5411" s="6">
        <v>10000</v>
      </c>
      <c r="D5411" s="7">
        <v>0.69</v>
      </c>
      <c r="E5411" t="s">
        <v>15</v>
      </c>
    </row>
    <row r="5412" spans="1:5" x14ac:dyDescent="0.25">
      <c r="A5412" t="str">
        <f>HYPERLINK("https://www.773grp.com/globalSearch/NCP1117DT20/page-1", "NCP1117DT20")</f>
        <v>NCP1117DT20</v>
      </c>
      <c r="B5412" s="3" t="str">
        <f>HYPERLINK("https://www.773grp.com/manufacturer/onsemi?pageNo=19", "Onsemi")</f>
        <v>Onsemi</v>
      </c>
      <c r="C5412" s="6">
        <v>1252</v>
      </c>
      <c r="D5412" s="7">
        <v>0.69</v>
      </c>
      <c r="E5412" t="s">
        <v>15</v>
      </c>
    </row>
    <row r="5413" spans="1:5" x14ac:dyDescent="0.25">
      <c r="A5413" t="str">
        <f>HYPERLINK("https://www.773grp.com/globalSearch/NCP1117DT20RK/page-1", "NCP1117DT20RK")</f>
        <v>NCP1117DT20RK</v>
      </c>
      <c r="B5413" s="3" t="str">
        <f>HYPERLINK("https://www.773grp.com/manufacturer/onsemi?pageNo=20", "Onsemi")</f>
        <v>Onsemi</v>
      </c>
      <c r="C5413" s="6">
        <v>5000</v>
      </c>
      <c r="D5413" s="7">
        <v>0.69</v>
      </c>
      <c r="E5413" t="s">
        <v>15</v>
      </c>
    </row>
    <row r="5414" spans="1:5" x14ac:dyDescent="0.25">
      <c r="A5414" t="str">
        <f>HYPERLINK("https://www.773grp.com/globalSearch/NCP1117DT25RK/page-1", "NCP1117DT25RK")</f>
        <v>NCP1117DT25RK</v>
      </c>
      <c r="B5414" s="3" t="str">
        <f>HYPERLINK("https://www.773grp.com/manufacturer/onsemi?pageNo=21", "Onsemi")</f>
        <v>Onsemi</v>
      </c>
      <c r="C5414" s="6">
        <v>17270</v>
      </c>
      <c r="D5414" s="7">
        <v>0.69</v>
      </c>
      <c r="E5414" t="s">
        <v>15</v>
      </c>
    </row>
    <row r="5415" spans="1:5" x14ac:dyDescent="0.25">
      <c r="A5415" t="str">
        <f>HYPERLINK("https://www.773grp.com/globalSearch/NCP1117DT25T5/page-1", "NCP1117DT25T5")</f>
        <v>NCP1117DT25T5</v>
      </c>
      <c r="B5415" s="3" t="str">
        <f>HYPERLINK("https://www.773grp.com/manufacturer/onsemi?pageNo=22", "Onsemi")</f>
        <v>Onsemi</v>
      </c>
      <c r="C5415" s="6">
        <v>2500</v>
      </c>
      <c r="D5415" s="7">
        <v>0.69</v>
      </c>
      <c r="E5415" t="s">
        <v>15</v>
      </c>
    </row>
    <row r="5416" spans="1:5" x14ac:dyDescent="0.25">
      <c r="A5416" t="str">
        <f>HYPERLINK("https://www.773grp.com/globalSearch/NCP1117DT285RK/page-1", "NCP1117DT285RK")</f>
        <v>NCP1117DT285RK</v>
      </c>
      <c r="B5416" s="3" t="str">
        <f>HYPERLINK("https://www.773grp.com/manufacturer/onsemi?pageNo=23", "Onsemi")</f>
        <v>Onsemi</v>
      </c>
      <c r="C5416" s="6">
        <v>5000</v>
      </c>
      <c r="D5416" s="7">
        <v>0.69</v>
      </c>
      <c r="E5416" t="s">
        <v>15</v>
      </c>
    </row>
    <row r="5417" spans="1:5" x14ac:dyDescent="0.25">
      <c r="A5417" t="str">
        <f>HYPERLINK("https://www.773grp.com/globalSearch/NCP1117DT33/page-1", "NCP1117DT33")</f>
        <v>NCP1117DT33</v>
      </c>
      <c r="B5417" s="3" t="str">
        <f>HYPERLINK("https://www.773grp.com/manufacturer/onsemi?pageNo=24", "Onsemi")</f>
        <v>Onsemi</v>
      </c>
      <c r="C5417" s="6">
        <v>130125</v>
      </c>
      <c r="D5417" s="7">
        <v>0.69</v>
      </c>
      <c r="E5417" t="s">
        <v>15</v>
      </c>
    </row>
    <row r="5418" spans="1:5" x14ac:dyDescent="0.25">
      <c r="A5418" t="str">
        <f>HYPERLINK("https://www.773grp.com/globalSearch/NCP1117DT33RK/page-1", "NCP1117DT33RK")</f>
        <v>NCP1117DT33RK</v>
      </c>
      <c r="B5418" s="3" t="str">
        <f>HYPERLINK("https://www.773grp.com/manufacturer/onsemi?pageNo=25", "Onsemi")</f>
        <v>Onsemi</v>
      </c>
      <c r="C5418" s="6">
        <v>7500</v>
      </c>
      <c r="D5418" s="7">
        <v>0.69</v>
      </c>
      <c r="E5418" t="s">
        <v>15</v>
      </c>
    </row>
    <row r="5419" spans="1:5" x14ac:dyDescent="0.25">
      <c r="A5419" t="str">
        <f>HYPERLINK("https://www.773grp.com/globalSearch/NCP1117DT33T5/page-1", "NCP1117DT33T5")</f>
        <v>NCP1117DT33T5</v>
      </c>
      <c r="B5419" s="3" t="str">
        <f>HYPERLINK("https://www.773grp.com/manufacturer/onsemi?pageNo=26", "Onsemi")</f>
        <v>Onsemi</v>
      </c>
      <c r="C5419" s="6">
        <v>5000</v>
      </c>
      <c r="D5419" s="7">
        <v>0.69</v>
      </c>
      <c r="E5419" t="s">
        <v>15</v>
      </c>
    </row>
    <row r="5420" spans="1:5" x14ac:dyDescent="0.25">
      <c r="A5420" t="str">
        <f>HYPERLINK("https://www.773grp.com/globalSearch/NCP1117LPST15T3G/page-1", "NCP1117LPST15T3G")</f>
        <v>NCP1117LPST15T3G</v>
      </c>
      <c r="B5420" s="3" t="str">
        <f>HYPERLINK("https://www.773grp.com/manufacturer/onsemi?pageNo=27", "Onsemi")</f>
        <v>Onsemi</v>
      </c>
      <c r="C5420" s="6">
        <v>8000</v>
      </c>
      <c r="D5420" s="7">
        <v>0.69</v>
      </c>
    </row>
    <row r="5421" spans="1:5" x14ac:dyDescent="0.25">
      <c r="A5421" t="str">
        <f>HYPERLINK("https://www.773grp.com/globalSearch/NCP1117LPST18T3G/page-1", "NCP1117LPST18T3G")</f>
        <v>NCP1117LPST18T3G</v>
      </c>
      <c r="B5421" s="3" t="str">
        <f>HYPERLINK("https://www.773grp.com/manufacturer/onsemi?pageNo=28", "Onsemi")</f>
        <v>Onsemi</v>
      </c>
      <c r="C5421" s="6">
        <v>247842</v>
      </c>
      <c r="D5421" s="7">
        <v>0.69</v>
      </c>
      <c r="E5421" t="s">
        <v>15</v>
      </c>
    </row>
    <row r="5422" spans="1:5" x14ac:dyDescent="0.25">
      <c r="A5422" t="str">
        <f>HYPERLINK("https://www.773grp.com/globalSearch/NCP1117LPST25T3G/page-1", "NCP1117LPST25T3G")</f>
        <v>NCP1117LPST25T3G</v>
      </c>
      <c r="B5422" s="3" t="str">
        <f>HYPERLINK("https://www.773grp.com/manufacturer/onsemi?pageNo=29", "Onsemi")</f>
        <v>Onsemi</v>
      </c>
      <c r="C5422" s="6">
        <v>20000</v>
      </c>
      <c r="D5422" s="7">
        <v>0.69</v>
      </c>
      <c r="E5422" t="s">
        <v>15</v>
      </c>
    </row>
    <row r="5423" spans="1:5" x14ac:dyDescent="0.25">
      <c r="A5423" t="str">
        <f>HYPERLINK("https://www.773grp.com/globalSearch/NCP1117LPST33T3G/page-1", "NCP1117LPST33T3G")</f>
        <v>NCP1117LPST33T3G</v>
      </c>
      <c r="B5423" s="3" t="str">
        <f>HYPERLINK("https://www.773grp.com/manufacturer/onsemi?pageNo=30", "Onsemi")</f>
        <v>Onsemi</v>
      </c>
      <c r="C5423" s="6">
        <v>11620</v>
      </c>
      <c r="D5423" s="7">
        <v>0.69</v>
      </c>
      <c r="E5423" t="s">
        <v>15</v>
      </c>
    </row>
    <row r="5424" spans="1:5" x14ac:dyDescent="0.25">
      <c r="A5424" t="str">
        <f>HYPERLINK("https://www.773grp.com/globalSearch/NCP1117LPSTADT3G/page-1", "NCP1117LPSTADT3G")</f>
        <v>NCP1117LPSTADT3G</v>
      </c>
      <c r="B5424" s="3" t="str">
        <f>HYPERLINK("https://www.773grp.com/manufacturer/onsemi?pageNo=31", "Onsemi")</f>
        <v>Onsemi</v>
      </c>
      <c r="C5424" s="6">
        <v>100000</v>
      </c>
      <c r="D5424" s="7">
        <v>0.69</v>
      </c>
      <c r="E5424" t="s">
        <v>21</v>
      </c>
    </row>
    <row r="5425" spans="1:5" x14ac:dyDescent="0.25">
      <c r="A5425" t="str">
        <f>HYPERLINK("https://www.773grp.com/globalSearch/NCP1579DR2G/page-1", "NCP1579DR2G")</f>
        <v>NCP1579DR2G</v>
      </c>
      <c r="B5425" s="3" t="str">
        <f>HYPERLINK("https://www.773grp.com/manufacturer/onsemi?pageNo=32", "Onsemi")</f>
        <v>Onsemi</v>
      </c>
      <c r="C5425" s="6">
        <v>9500</v>
      </c>
      <c r="D5425" s="7">
        <v>0.69</v>
      </c>
      <c r="E5425" t="s">
        <v>5</v>
      </c>
    </row>
    <row r="5426" spans="1:5" x14ac:dyDescent="0.25">
      <c r="A5426" t="str">
        <f>HYPERLINK("https://www.773grp.com/globalSearch/NCP304HSQ18T1/page-1", "NCP304HSQ18T1")</f>
        <v>NCP304HSQ18T1</v>
      </c>
      <c r="B5426" s="3" t="str">
        <f>HYPERLINK("https://www.773grp.com/manufacturer/onsemi?pageNo=33", "Onsemi")</f>
        <v>Onsemi</v>
      </c>
      <c r="C5426" s="6">
        <v>21000</v>
      </c>
      <c r="D5426" s="7">
        <v>0.69</v>
      </c>
      <c r="E5426" t="s">
        <v>26</v>
      </c>
    </row>
    <row r="5427" spans="1:5" x14ac:dyDescent="0.25">
      <c r="A5427" t="str">
        <f>HYPERLINK("https://www.773grp.com/globalSearch/NCP304HSQ22T1/page-1", "NCP304HSQ22T1")</f>
        <v>NCP304HSQ22T1</v>
      </c>
      <c r="B5427" s="3" t="str">
        <f>HYPERLINK("https://www.773grp.com/manufacturer/onsemi?pageNo=34", "Onsemi")</f>
        <v>Onsemi</v>
      </c>
      <c r="C5427" s="6">
        <v>234000</v>
      </c>
      <c r="D5427" s="7">
        <v>0.69</v>
      </c>
      <c r="E5427" t="s">
        <v>26</v>
      </c>
    </row>
    <row r="5428" spans="1:5" x14ac:dyDescent="0.25">
      <c r="A5428" t="str">
        <f>HYPERLINK("https://www.773grp.com/globalSearch/NCP304HSQ29T1/page-1", "NCP304HSQ29T1")</f>
        <v>NCP304HSQ29T1</v>
      </c>
      <c r="B5428" s="3" t="str">
        <f>HYPERLINK("https://www.773grp.com/manufacturer/onsemi?pageNo=35", "Onsemi")</f>
        <v>Onsemi</v>
      </c>
      <c r="C5428" s="6">
        <v>29450</v>
      </c>
      <c r="D5428" s="7">
        <v>0.69</v>
      </c>
      <c r="E5428" t="s">
        <v>26</v>
      </c>
    </row>
    <row r="5429" spans="1:5" x14ac:dyDescent="0.25">
      <c r="A5429" t="str">
        <f>HYPERLINK("https://www.773grp.com/globalSearch/NCP304HSQ45T1/page-1", "NCP304HSQ45T1")</f>
        <v>NCP304HSQ45T1</v>
      </c>
      <c r="B5429" s="3" t="str">
        <f>HYPERLINK("https://www.773grp.com/manufacturer/onsemi?pageNo=36", "Onsemi")</f>
        <v>Onsemi</v>
      </c>
      <c r="C5429" s="6">
        <v>57000</v>
      </c>
      <c r="D5429" s="7">
        <v>0.69</v>
      </c>
      <c r="E5429" t="s">
        <v>26</v>
      </c>
    </row>
    <row r="5430" spans="1:5" x14ac:dyDescent="0.25">
      <c r="A5430" t="str">
        <f>HYPERLINK("https://www.773grp.com/globalSearch/NCP304HSQ47T1/page-1", "NCP304HSQ47T1")</f>
        <v>NCP304HSQ47T1</v>
      </c>
      <c r="B5430" s="3" t="str">
        <f>HYPERLINK("https://www.773grp.com/manufacturer/onsemi?pageNo=37", "Onsemi")</f>
        <v>Onsemi</v>
      </c>
      <c r="C5430" s="6">
        <v>3000</v>
      </c>
      <c r="D5430" s="7">
        <v>0.69</v>
      </c>
      <c r="E5430" t="s">
        <v>26</v>
      </c>
    </row>
    <row r="5431" spans="1:5" x14ac:dyDescent="0.25">
      <c r="A5431" t="str">
        <f>HYPERLINK("https://www.773grp.com/globalSearch/NCP304LSQ09T1/page-1", "NCP304LSQ09T1")</f>
        <v>NCP304LSQ09T1</v>
      </c>
      <c r="B5431" s="3" t="str">
        <f>HYPERLINK("https://www.773grp.com/manufacturer/onsemi?pageNo=38", "Onsemi")</f>
        <v>Onsemi</v>
      </c>
      <c r="C5431" s="6">
        <v>210000</v>
      </c>
      <c r="D5431" s="7">
        <v>0.69</v>
      </c>
      <c r="E5431" t="s">
        <v>26</v>
      </c>
    </row>
    <row r="5432" spans="1:5" x14ac:dyDescent="0.25">
      <c r="A5432" t="str">
        <f>HYPERLINK("https://www.773grp.com/globalSearch/NCP304LSQ18T1/page-1", "NCP304LSQ18T1")</f>
        <v>NCP304LSQ18T1</v>
      </c>
      <c r="B5432" s="3" t="str">
        <f>HYPERLINK("https://www.773grp.com/manufacturer/onsemi?pageNo=39", "Onsemi")</f>
        <v>Onsemi</v>
      </c>
      <c r="C5432" s="6">
        <v>21000</v>
      </c>
      <c r="D5432" s="7">
        <v>0.69</v>
      </c>
      <c r="E5432" t="s">
        <v>26</v>
      </c>
    </row>
    <row r="5433" spans="1:5" x14ac:dyDescent="0.25">
      <c r="A5433" t="str">
        <f>HYPERLINK("https://www.773grp.com/globalSearch/NCP304LSQ20T1/page-1", "NCP304LSQ20T1")</f>
        <v>NCP304LSQ20T1</v>
      </c>
      <c r="B5433" s="3" t="str">
        <f>HYPERLINK("https://www.773grp.com/manufacturer/onsemi?pageNo=40", "Onsemi")</f>
        <v>Onsemi</v>
      </c>
      <c r="C5433" s="6">
        <v>9000</v>
      </c>
      <c r="D5433" s="7">
        <v>0.69</v>
      </c>
      <c r="E5433" t="s">
        <v>26</v>
      </c>
    </row>
    <row r="5434" spans="1:5" x14ac:dyDescent="0.25">
      <c r="A5434" t="str">
        <f>HYPERLINK("https://www.773grp.com/globalSearch/NCP304LSQ23T1/page-1", "NCP304LSQ23T1")</f>
        <v>NCP304LSQ23T1</v>
      </c>
      <c r="B5434" s="3" t="str">
        <f>HYPERLINK("https://www.773grp.com/manufacturer/onsemi?pageNo=41", "Onsemi")</f>
        <v>Onsemi</v>
      </c>
      <c r="C5434" s="6">
        <v>45856</v>
      </c>
      <c r="D5434" s="7">
        <v>0.69</v>
      </c>
      <c r="E5434" t="s">
        <v>26</v>
      </c>
    </row>
    <row r="5435" spans="1:5" x14ac:dyDescent="0.25">
      <c r="A5435" t="str">
        <f>HYPERLINK("https://www.773grp.com/globalSearch/NCP304LSQ25T1/page-1", "NCP304LSQ25T1")</f>
        <v>NCP304LSQ25T1</v>
      </c>
      <c r="B5435" s="3" t="str">
        <f>HYPERLINK("https://www.773grp.com/manufacturer/onsemi?pageNo=42", "Onsemi")</f>
        <v>Onsemi</v>
      </c>
      <c r="C5435" s="6">
        <v>18272</v>
      </c>
      <c r="D5435" s="7">
        <v>0.69</v>
      </c>
      <c r="E5435" t="s">
        <v>26</v>
      </c>
    </row>
    <row r="5436" spans="1:5" x14ac:dyDescent="0.25">
      <c r="A5436" t="str">
        <f>HYPERLINK("https://www.773grp.com/globalSearch/NCP304LSQ29T1/page-1", "NCP304LSQ29T1")</f>
        <v>NCP304LSQ29T1</v>
      </c>
      <c r="B5436" s="3" t="str">
        <f>HYPERLINK("https://www.773grp.com/manufacturer/onsemi?pageNo=43", "Onsemi")</f>
        <v>Onsemi</v>
      </c>
      <c r="C5436" s="6">
        <v>42408</v>
      </c>
      <c r="D5436" s="7">
        <v>0.69</v>
      </c>
      <c r="E5436" t="s">
        <v>26</v>
      </c>
    </row>
    <row r="5437" spans="1:5" x14ac:dyDescent="0.25">
      <c r="A5437" t="str">
        <f>HYPERLINK("https://www.773grp.com/globalSearch/NCP304LSQ33T1/page-1", "NCP304LSQ33T1")</f>
        <v>NCP304LSQ33T1</v>
      </c>
      <c r="B5437" s="3" t="str">
        <f>HYPERLINK("https://www.773grp.com/manufacturer/onsemi?pageNo=44", "Onsemi")</f>
        <v>Onsemi</v>
      </c>
      <c r="C5437" s="6">
        <v>12000</v>
      </c>
      <c r="D5437" s="7">
        <v>0.69</v>
      </c>
      <c r="E5437" t="s">
        <v>26</v>
      </c>
    </row>
    <row r="5438" spans="1:5" x14ac:dyDescent="0.25">
      <c r="A5438" t="str">
        <f>HYPERLINK("https://www.773grp.com/globalSearch/NCP304LSQ37T1/page-1", "NCP304LSQ37T1")</f>
        <v>NCP304LSQ37T1</v>
      </c>
      <c r="B5438" s="3" t="str">
        <f>HYPERLINK("https://www.773grp.com/manufacturer/onsemi?pageNo=45", "Onsemi")</f>
        <v>Onsemi</v>
      </c>
      <c r="C5438" s="6">
        <v>38361</v>
      </c>
      <c r="D5438" s="7">
        <v>0.69</v>
      </c>
      <c r="E5438" t="s">
        <v>26</v>
      </c>
    </row>
    <row r="5439" spans="1:5" x14ac:dyDescent="0.25">
      <c r="A5439" t="str">
        <f>HYPERLINK("https://www.773grp.com/globalSearch/NCP304LSQ38T1/page-1", "NCP304LSQ38T1")</f>
        <v>NCP304LSQ38T1</v>
      </c>
      <c r="B5439" s="3" t="str">
        <f>HYPERLINK("https://www.773grp.com/manufacturer/onsemi?pageNo=46", "Onsemi")</f>
        <v>Onsemi</v>
      </c>
      <c r="C5439" s="6">
        <v>15000</v>
      </c>
      <c r="D5439" s="7">
        <v>0.69</v>
      </c>
      <c r="E5439" t="s">
        <v>26</v>
      </c>
    </row>
    <row r="5440" spans="1:5" x14ac:dyDescent="0.25">
      <c r="A5440" t="str">
        <f>HYPERLINK("https://www.773grp.com/globalSearch/NCP304LSQ42T1/page-1", "NCP304LSQ42T1")</f>
        <v>NCP304LSQ42T1</v>
      </c>
      <c r="B5440" s="3" t="str">
        <f>HYPERLINK("https://www.773grp.com/manufacturer/onsemi?pageNo=47", "Onsemi")</f>
        <v>Onsemi</v>
      </c>
      <c r="C5440" s="6">
        <v>24000</v>
      </c>
      <c r="D5440" s="7">
        <v>0.69</v>
      </c>
      <c r="E5440" t="s">
        <v>26</v>
      </c>
    </row>
    <row r="5441" spans="1:5" x14ac:dyDescent="0.25">
      <c r="A5441" t="str">
        <f>HYPERLINK("https://www.773grp.com/globalSearch/NCP304LSQ43T1/page-1", "NCP304LSQ43T1")</f>
        <v>NCP304LSQ43T1</v>
      </c>
      <c r="B5441" s="3" t="str">
        <f>HYPERLINK("https://www.773grp.com/manufacturer/onsemi?pageNo=48", "Onsemi")</f>
        <v>Onsemi</v>
      </c>
      <c r="C5441" s="6">
        <v>406509</v>
      </c>
      <c r="D5441" s="7">
        <v>0.69</v>
      </c>
      <c r="E5441" t="s">
        <v>26</v>
      </c>
    </row>
    <row r="5442" spans="1:5" x14ac:dyDescent="0.25">
      <c r="A5442" t="str">
        <f>HYPERLINK("https://www.773grp.com/globalSearch/NCP304LSQ46T1/page-1", "NCP304LSQ46T1")</f>
        <v>NCP304LSQ46T1</v>
      </c>
      <c r="B5442" s="3" t="str">
        <f>HYPERLINK("https://www.773grp.com/manufacturer/onsemi?pageNo=49", "Onsemi")</f>
        <v>Onsemi</v>
      </c>
      <c r="C5442" s="6">
        <v>45603</v>
      </c>
      <c r="D5442" s="7">
        <v>0.69</v>
      </c>
      <c r="E5442" t="s">
        <v>26</v>
      </c>
    </row>
    <row r="5443" spans="1:5" x14ac:dyDescent="0.25">
      <c r="A5443" t="str">
        <f>HYPERLINK("https://www.773grp.com/globalSearch/NCP305LSQ11T1/page-1", "NCP305LSQ11T1")</f>
        <v>NCP305LSQ11T1</v>
      </c>
      <c r="B5443" s="3" t="str">
        <f>HYPERLINK("https://www.773grp.com/manufacturer/onsemi?pageNo=50", "Onsemi")</f>
        <v>Onsemi</v>
      </c>
      <c r="C5443" s="6">
        <v>17950</v>
      </c>
      <c r="D5443" s="7">
        <v>0.69</v>
      </c>
      <c r="E5443" t="s">
        <v>26</v>
      </c>
    </row>
    <row r="5444" spans="1:5" x14ac:dyDescent="0.25">
      <c r="A5444" t="str">
        <f>HYPERLINK("https://www.773grp.com/globalSearch/NCP305LSQ15T1/page-1", "NCP305LSQ15T1")</f>
        <v>NCP305LSQ15T1</v>
      </c>
      <c r="B5444" s="3" t="str">
        <f>HYPERLINK("https://www.773grp.com/manufacturer/onsemi?pageNo=51", "Onsemi")</f>
        <v>Onsemi</v>
      </c>
      <c r="C5444" s="6">
        <v>663802</v>
      </c>
      <c r="D5444" s="7">
        <v>0.69</v>
      </c>
      <c r="E5444" t="s">
        <v>26</v>
      </c>
    </row>
    <row r="5445" spans="1:5" x14ac:dyDescent="0.25">
      <c r="A5445" t="str">
        <f>HYPERLINK("https://www.773grp.com/globalSearch/NCP305LSQ16T1/page-1", "NCP305LSQ16T1")</f>
        <v>NCP305LSQ16T1</v>
      </c>
      <c r="B5445" s="3" t="str">
        <f>HYPERLINK("https://www.773grp.com/manufacturer/onsemi?pageNo=52", "Onsemi")</f>
        <v>Onsemi</v>
      </c>
      <c r="C5445" s="6">
        <v>6000</v>
      </c>
      <c r="D5445" s="7">
        <v>0.69</v>
      </c>
      <c r="E5445" t="s">
        <v>26</v>
      </c>
    </row>
    <row r="5446" spans="1:5" x14ac:dyDescent="0.25">
      <c r="A5446" t="str">
        <f>HYPERLINK("https://www.773grp.com/globalSearch/NCP305LSQ17T1/page-1", "NCP305LSQ17T1")</f>
        <v>NCP305LSQ17T1</v>
      </c>
      <c r="B5446" s="3" t="str">
        <f>HYPERLINK("https://www.773grp.com/manufacturer/onsemi?pageNo=53", "Onsemi")</f>
        <v>Onsemi</v>
      </c>
      <c r="C5446" s="6">
        <v>3850</v>
      </c>
      <c r="D5446" s="7">
        <v>0.69</v>
      </c>
      <c r="E5446" t="s">
        <v>26</v>
      </c>
    </row>
    <row r="5447" spans="1:5" x14ac:dyDescent="0.25">
      <c r="A5447" t="str">
        <f>HYPERLINK("https://www.773grp.com/globalSearch/NCP305LSQ25T1/page-1", "NCP305LSQ25T1")</f>
        <v>NCP305LSQ25T1</v>
      </c>
      <c r="B5447" s="3" t="str">
        <f>HYPERLINK("https://www.773grp.com/manufacturer/onsemi?pageNo=54", "Onsemi")</f>
        <v>Onsemi</v>
      </c>
      <c r="C5447" s="6">
        <v>196300</v>
      </c>
      <c r="D5447" s="7">
        <v>0.69</v>
      </c>
      <c r="E5447" t="s">
        <v>26</v>
      </c>
    </row>
    <row r="5448" spans="1:5" x14ac:dyDescent="0.25">
      <c r="A5448" t="str">
        <f>HYPERLINK("https://www.773grp.com/globalSearch/NCP305LSQ26T1/page-1", "NCP305LSQ26T1")</f>
        <v>NCP305LSQ26T1</v>
      </c>
      <c r="B5448" s="3" t="str">
        <f>HYPERLINK("https://www.773grp.com/manufacturer/onsemi?pageNo=55", "Onsemi")</f>
        <v>Onsemi</v>
      </c>
      <c r="C5448" s="6">
        <v>24355</v>
      </c>
      <c r="D5448" s="7">
        <v>0.69</v>
      </c>
      <c r="E5448" t="s">
        <v>26</v>
      </c>
    </row>
    <row r="5449" spans="1:5" x14ac:dyDescent="0.25">
      <c r="A5449" t="str">
        <f>HYPERLINK("https://www.773grp.com/globalSearch/NCP305LSQ29T1/page-1", "NCP305LSQ29T1")</f>
        <v>NCP305LSQ29T1</v>
      </c>
      <c r="B5449" s="3" t="str">
        <f>HYPERLINK("https://www.773grp.com/manufacturer/onsemi?pageNo=56", "Onsemi")</f>
        <v>Onsemi</v>
      </c>
      <c r="C5449" s="6">
        <v>18000</v>
      </c>
      <c r="D5449" s="7">
        <v>0.69</v>
      </c>
      <c r="E5449" t="s">
        <v>26</v>
      </c>
    </row>
    <row r="5450" spans="1:5" x14ac:dyDescent="0.25">
      <c r="A5450" t="str">
        <f>HYPERLINK("https://www.773grp.com/globalSearch/NCP305LSQ30T1/page-1", "NCP305LSQ30T1")</f>
        <v>NCP305LSQ30T1</v>
      </c>
      <c r="B5450" s="3" t="str">
        <f>HYPERLINK("https://www.773grp.com/manufacturer/onsemi?pageNo=57", "Onsemi")</f>
        <v>Onsemi</v>
      </c>
      <c r="C5450" s="6">
        <v>96000</v>
      </c>
      <c r="D5450" s="7">
        <v>0.69</v>
      </c>
      <c r="E5450" t="s">
        <v>26</v>
      </c>
    </row>
    <row r="5451" spans="1:5" x14ac:dyDescent="0.25">
      <c r="A5451" t="str">
        <f>HYPERLINK("https://www.773grp.com/globalSearch/NCP305LSQ31T1/page-1", "NCP305LSQ31T1")</f>
        <v>NCP305LSQ31T1</v>
      </c>
      <c r="B5451" s="3" t="str">
        <f>HYPERLINK("https://www.773grp.com/manufacturer/onsemi?pageNo=58", "Onsemi")</f>
        <v>Onsemi</v>
      </c>
      <c r="C5451" s="6">
        <v>22675</v>
      </c>
      <c r="D5451" s="7">
        <v>0.69</v>
      </c>
      <c r="E5451" t="s">
        <v>26</v>
      </c>
    </row>
    <row r="5452" spans="1:5" x14ac:dyDescent="0.25">
      <c r="A5452" t="str">
        <f>HYPERLINK("https://www.773grp.com/globalSearch/NCP305LSQ32T1/page-1", "NCP305LSQ32T1")</f>
        <v>NCP305LSQ32T1</v>
      </c>
      <c r="B5452" s="3" t="str">
        <f>HYPERLINK("https://www.773grp.com/manufacturer/onsemi?pageNo=59", "Onsemi")</f>
        <v>Onsemi</v>
      </c>
      <c r="C5452" s="6">
        <v>18000</v>
      </c>
      <c r="D5452" s="7">
        <v>0.69</v>
      </c>
      <c r="E5452" t="s">
        <v>26</v>
      </c>
    </row>
    <row r="5453" spans="1:5" x14ac:dyDescent="0.25">
      <c r="A5453" t="str">
        <f>HYPERLINK("https://www.773grp.com/globalSearch/NCP305LSQ33T1/page-1", "NCP305LSQ33T1")</f>
        <v>NCP305LSQ33T1</v>
      </c>
      <c r="B5453" s="3" t="str">
        <f>HYPERLINK("https://www.773grp.com/manufacturer/onsemi?pageNo=60", "Onsemi")</f>
        <v>Onsemi</v>
      </c>
      <c r="C5453" s="6">
        <v>6000</v>
      </c>
      <c r="D5453" s="7">
        <v>0.69</v>
      </c>
      <c r="E5453" t="s">
        <v>26</v>
      </c>
    </row>
    <row r="5454" spans="1:5" x14ac:dyDescent="0.25">
      <c r="A5454" t="str">
        <f>HYPERLINK("https://www.773grp.com/globalSearch/NCP305LSQ35T1/page-1", "NCP305LSQ35T1")</f>
        <v>NCP305LSQ35T1</v>
      </c>
      <c r="B5454" s="3" t="str">
        <f>HYPERLINK("https://www.773grp.com/manufacturer/onsemi?pageNo=61", "Onsemi")</f>
        <v>Onsemi</v>
      </c>
      <c r="C5454" s="6">
        <v>43858</v>
      </c>
      <c r="D5454" s="7">
        <v>0.69</v>
      </c>
      <c r="E5454" t="s">
        <v>26</v>
      </c>
    </row>
    <row r="5455" spans="1:5" x14ac:dyDescent="0.25">
      <c r="A5455" t="str">
        <f>HYPERLINK("https://www.773grp.com/globalSearch/NCP305LSQ36T1/page-1", "NCP305LSQ36T1")</f>
        <v>NCP305LSQ36T1</v>
      </c>
      <c r="B5455" s="3" t="str">
        <f>HYPERLINK("https://www.773grp.com/manufacturer/onsemi?pageNo=62", "Onsemi")</f>
        <v>Onsemi</v>
      </c>
      <c r="C5455" s="6">
        <v>25013</v>
      </c>
      <c r="D5455" s="7">
        <v>0.69</v>
      </c>
      <c r="E5455" t="s">
        <v>26</v>
      </c>
    </row>
    <row r="5456" spans="1:5" x14ac:dyDescent="0.25">
      <c r="A5456" t="str">
        <f>HYPERLINK("https://www.773grp.com/globalSearch/NCP305LSQ37T1/page-1", "NCP305LSQ37T1")</f>
        <v>NCP305LSQ37T1</v>
      </c>
      <c r="B5456" s="3" t="str">
        <f>HYPERLINK("https://www.773grp.com/manufacturer/onsemi?pageNo=63", "Onsemi")</f>
        <v>Onsemi</v>
      </c>
      <c r="C5456" s="6">
        <v>22815</v>
      </c>
      <c r="D5456" s="7">
        <v>0.69</v>
      </c>
      <c r="E5456" t="s">
        <v>26</v>
      </c>
    </row>
    <row r="5457" spans="1:5" x14ac:dyDescent="0.25">
      <c r="A5457" t="str">
        <f>HYPERLINK("https://www.773grp.com/globalSearch/NCP305LSQ40T1/page-1", "NCP305LSQ40T1")</f>
        <v>NCP305LSQ40T1</v>
      </c>
      <c r="B5457" s="3" t="str">
        <f>HYPERLINK("https://www.773grp.com/manufacturer/onsemi?pageNo=64", "Onsemi")</f>
        <v>Onsemi</v>
      </c>
      <c r="C5457" s="6">
        <v>39000</v>
      </c>
      <c r="D5457" s="7">
        <v>0.69</v>
      </c>
      <c r="E5457" t="s">
        <v>26</v>
      </c>
    </row>
    <row r="5458" spans="1:5" x14ac:dyDescent="0.25">
      <c r="A5458" t="str">
        <f>HYPERLINK("https://www.773grp.com/globalSearch/NCP305LSQ44T1/page-1", "NCP305LSQ44T1")</f>
        <v>NCP305LSQ44T1</v>
      </c>
      <c r="B5458" s="3" t="str">
        <f>HYPERLINK("https://www.773grp.com/manufacturer/onsemi?pageNo=65", "Onsemi")</f>
        <v>Onsemi</v>
      </c>
      <c r="C5458" s="6">
        <v>58950</v>
      </c>
      <c r="D5458" s="7">
        <v>0.69</v>
      </c>
      <c r="E5458" t="s">
        <v>26</v>
      </c>
    </row>
    <row r="5459" spans="1:5" x14ac:dyDescent="0.25">
      <c r="A5459" t="str">
        <f>HYPERLINK("https://www.773grp.com/globalSearch/NCP305LSQ45T1/page-1", "NCP305LSQ45T1")</f>
        <v>NCP305LSQ45T1</v>
      </c>
      <c r="B5459" s="3" t="str">
        <f>HYPERLINK("https://www.773grp.com/manufacturer/onsemi?pageNo=66", "Onsemi")</f>
        <v>Onsemi</v>
      </c>
      <c r="C5459" s="6">
        <v>3010</v>
      </c>
      <c r="D5459" s="7">
        <v>0.69</v>
      </c>
      <c r="E5459" t="s">
        <v>26</v>
      </c>
    </row>
    <row r="5460" spans="1:5" x14ac:dyDescent="0.25">
      <c r="A5460" t="str">
        <f>HYPERLINK("https://www.773grp.com/globalSearch/NCP305LSQ47T1/page-1", "NCP305LSQ47T1")</f>
        <v>NCP305LSQ47T1</v>
      </c>
      <c r="B5460" s="3" t="str">
        <f>HYPERLINK("https://www.773grp.com/manufacturer/onsemi?pageNo=67", "Onsemi")</f>
        <v>Onsemi</v>
      </c>
      <c r="C5460" s="6">
        <v>6000</v>
      </c>
      <c r="D5460" s="7">
        <v>0.69</v>
      </c>
      <c r="E5460" t="s">
        <v>26</v>
      </c>
    </row>
    <row r="5461" spans="1:5" x14ac:dyDescent="0.25">
      <c r="A5461" t="str">
        <f>HYPERLINK("https://www.773grp.com/globalSearch/NCP305LSQ49T1/page-1", "NCP305LSQ49T1")</f>
        <v>NCP305LSQ49T1</v>
      </c>
      <c r="B5461" s="3" t="str">
        <f>HYPERLINK("https://www.773grp.com/manufacturer/onsemi?pageNo=68", "Onsemi")</f>
        <v>Onsemi</v>
      </c>
      <c r="C5461" s="6">
        <v>3000</v>
      </c>
      <c r="D5461" s="7">
        <v>0.69</v>
      </c>
      <c r="E5461" t="s">
        <v>26</v>
      </c>
    </row>
    <row r="5462" spans="1:5" x14ac:dyDescent="0.25">
      <c r="A5462" t="str">
        <f>HYPERLINK("https://www.773grp.com/globalSearch/NCP802SAN1T1G/page-1", "NCP802SAN1T1G")</f>
        <v>NCP802SAN1T1G</v>
      </c>
      <c r="B5462" s="3" t="str">
        <f>HYPERLINK("https://www.773grp.com/manufacturer/onsemi?pageNo=69", "Onsemi")</f>
        <v>Onsemi</v>
      </c>
      <c r="C5462" s="6">
        <v>12961</v>
      </c>
      <c r="D5462" s="7">
        <v>0.69</v>
      </c>
      <c r="E5462" t="s">
        <v>26</v>
      </c>
    </row>
    <row r="5463" spans="1:5" x14ac:dyDescent="0.25">
      <c r="A5463" t="str">
        <f>HYPERLINK("https://www.773grp.com/globalSearch/NCP802SAN5T1/page-1", "NCP802SAN5T1")</f>
        <v>NCP802SAN5T1</v>
      </c>
      <c r="B5463" s="3" t="str">
        <f>HYPERLINK("https://www.773grp.com/manufacturer/onsemi?pageNo=70", "Onsemi")</f>
        <v>Onsemi</v>
      </c>
      <c r="C5463" s="6">
        <v>45000</v>
      </c>
      <c r="D5463" s="7">
        <v>0.69</v>
      </c>
      <c r="E5463" t="s">
        <v>26</v>
      </c>
    </row>
    <row r="5464" spans="1:5" x14ac:dyDescent="0.25">
      <c r="A5464" t="str">
        <f>HYPERLINK("https://www.773grp.com/globalSearch/NCP803SN293D2T1G/page-1", "NCP803SN293D2T1G")</f>
        <v>NCP803SN293D2T1G</v>
      </c>
      <c r="B5464" s="3" t="str">
        <f>HYPERLINK("https://www.773grp.com/manufacturer/onsemi?pageNo=71", "Onsemi")</f>
        <v>Onsemi</v>
      </c>
      <c r="C5464" s="6">
        <v>118000</v>
      </c>
      <c r="D5464" s="7">
        <v>0.69</v>
      </c>
      <c r="E5464" t="s">
        <v>26</v>
      </c>
    </row>
    <row r="5465" spans="1:5" x14ac:dyDescent="0.25">
      <c r="A5465" t="str">
        <f>HYPERLINK("https://www.773grp.com/globalSearch/NCP803SN400T1G/page-1", "NCP803SN400T1G")</f>
        <v>NCP803SN400T1G</v>
      </c>
      <c r="B5465" s="3" t="str">
        <f>HYPERLINK("https://www.773grp.com/manufacturer/onsemi?pageNo=72", "Onsemi")</f>
        <v>Onsemi</v>
      </c>
      <c r="C5465" s="6">
        <v>11350</v>
      </c>
      <c r="D5465" s="7">
        <v>0.69</v>
      </c>
      <c r="E5465" t="s">
        <v>26</v>
      </c>
    </row>
    <row r="5466" spans="1:5" x14ac:dyDescent="0.25">
      <c r="A5466" t="str">
        <f>HYPERLINK("https://www.773grp.com/globalSearch/NCS2553DG/page-1", "NCS2553DG")</f>
        <v>NCS2553DG</v>
      </c>
      <c r="B5466" s="3" t="str">
        <f>HYPERLINK("https://www.773grp.com/manufacturer/onsemi?pageNo=73", "Onsemi")</f>
        <v>Onsemi</v>
      </c>
      <c r="C5466" s="6">
        <v>6272</v>
      </c>
      <c r="D5466" s="7">
        <v>0.69</v>
      </c>
      <c r="E5466" t="s">
        <v>14</v>
      </c>
    </row>
    <row r="5467" spans="1:5" x14ac:dyDescent="0.25">
      <c r="A5467" t="str">
        <f>HYPERLINK("https://www.773grp.com/globalSearch/NCS2553DR2G/page-1", "NCS2553DR2G")</f>
        <v>NCS2553DR2G</v>
      </c>
      <c r="B5467" s="3" t="str">
        <f>HYPERLINK("https://www.773grp.com/manufacturer/onsemi?pageNo=74", "Onsemi")</f>
        <v>Onsemi</v>
      </c>
      <c r="C5467" s="6">
        <v>49461</v>
      </c>
      <c r="D5467" s="7">
        <v>0.69</v>
      </c>
      <c r="E5467" t="s">
        <v>14</v>
      </c>
    </row>
    <row r="5468" spans="1:5" x14ac:dyDescent="0.25">
      <c r="A5468" t="str">
        <f>HYPERLINK("https://www.773grp.com/globalSearch/NCV553SQ50T1/page-1", "NCV553SQ50T1")</f>
        <v>NCV553SQ50T1</v>
      </c>
      <c r="B5468" s="3" t="str">
        <f>HYPERLINK("https://www.773grp.com/manufacturer/onsemi?pageNo=75", "Onsemi")</f>
        <v>Onsemi</v>
      </c>
      <c r="C5468" s="6">
        <v>9000</v>
      </c>
      <c r="D5468" s="7">
        <v>0.69</v>
      </c>
      <c r="E5468" t="s">
        <v>15</v>
      </c>
    </row>
    <row r="5469" spans="1:5" x14ac:dyDescent="0.25">
      <c r="A5469" t="str">
        <f>HYPERLINK("https://www.773grp.com/globalSearch/NIS1050MNTBG/page-1", "NIS1050MNTBG")</f>
        <v>NIS1050MNTBG</v>
      </c>
      <c r="B5469" s="3" t="str">
        <f>HYPERLINK("https://www.773grp.com/manufacturer/onsemi?pageNo=76", "Onsemi")</f>
        <v>Onsemi</v>
      </c>
      <c r="C5469" s="6">
        <v>162000</v>
      </c>
      <c r="D5469" s="7">
        <v>0.69</v>
      </c>
      <c r="E5469" t="s">
        <v>26</v>
      </c>
    </row>
    <row r="5470" spans="1:5" x14ac:dyDescent="0.25">
      <c r="A5470" t="str">
        <f>HYPERLINK("https://www.773grp.com/globalSearch/NLU1G04MUTCG/page-1", "NLU1G04MUTCG")</f>
        <v>NLU1G04MUTCG</v>
      </c>
      <c r="B5470" s="3" t="str">
        <f>HYPERLINK("https://www.773grp.com/manufacturer/onsemi?pageNo=77", "Onsemi")</f>
        <v>Onsemi</v>
      </c>
      <c r="C5470" s="6">
        <v>102000</v>
      </c>
      <c r="D5470" s="7">
        <v>0.69</v>
      </c>
      <c r="E5470" t="s">
        <v>27</v>
      </c>
    </row>
    <row r="5471" spans="1:5" x14ac:dyDescent="0.25">
      <c r="A5471" t="str">
        <f>HYPERLINK("https://www.773grp.com/globalSearch/NLU1G07MUTCG/page-1", "NLU1G07MUTCG")</f>
        <v>NLU1G07MUTCG</v>
      </c>
      <c r="B5471" s="3" t="str">
        <f>HYPERLINK("https://www.773grp.com/manufacturer/onsemi?pageNo=78", "Onsemi")</f>
        <v>Onsemi</v>
      </c>
      <c r="C5471" s="6">
        <v>45000</v>
      </c>
      <c r="D5471" s="7">
        <v>0.69</v>
      </c>
      <c r="E5471" t="s">
        <v>27</v>
      </c>
    </row>
    <row r="5472" spans="1:5" x14ac:dyDescent="0.25">
      <c r="A5472" t="str">
        <f>HYPERLINK("https://www.773grp.com/globalSearch/NLU1G08MUTCG/page-1", "NLU1G08MUTCG")</f>
        <v>NLU1G08MUTCG</v>
      </c>
      <c r="B5472" s="3" t="str">
        <f>HYPERLINK("https://www.773grp.com/manufacturer/onsemi?pageNo=79", "Onsemi")</f>
        <v>Onsemi</v>
      </c>
      <c r="C5472" s="6">
        <v>21000</v>
      </c>
      <c r="D5472" s="7">
        <v>0.69</v>
      </c>
      <c r="E5472" t="s">
        <v>27</v>
      </c>
    </row>
    <row r="5473" spans="1:5" x14ac:dyDescent="0.25">
      <c r="A5473" t="str">
        <f>HYPERLINK("https://www.773grp.com/globalSearch/NLU1G14MUTCG/page-1", "NLU1G14MUTCG")</f>
        <v>NLU1G14MUTCG</v>
      </c>
      <c r="B5473" s="3" t="str">
        <f>HYPERLINK("https://www.773grp.com/manufacturer/onsemi?pageNo=80", "Onsemi")</f>
        <v>Onsemi</v>
      </c>
      <c r="C5473" s="6">
        <v>52053</v>
      </c>
      <c r="D5473" s="7">
        <v>0.69</v>
      </c>
      <c r="E5473" t="s">
        <v>27</v>
      </c>
    </row>
    <row r="5474" spans="1:5" x14ac:dyDescent="0.25">
      <c r="A5474" t="str">
        <f>HYPERLINK("https://www.773grp.com/globalSearch/NLU1G32MUTCG/page-1", "NLU1G32MUTCG")</f>
        <v>NLU1G32MUTCG</v>
      </c>
      <c r="B5474" s="3" t="str">
        <f>HYPERLINK("https://www.773grp.com/manufacturer/onsemi?pageNo=81", "Onsemi")</f>
        <v>Onsemi</v>
      </c>
      <c r="C5474" s="6">
        <v>92853</v>
      </c>
      <c r="D5474" s="7">
        <v>0.69</v>
      </c>
      <c r="E5474" t="s">
        <v>27</v>
      </c>
    </row>
    <row r="5475" spans="1:5" x14ac:dyDescent="0.25">
      <c r="A5475" t="str">
        <f>HYPERLINK("https://www.773grp.com/globalSearch/NLU1G86MUTCG/page-1", "NLU1G86MUTCG")</f>
        <v>NLU1G86MUTCG</v>
      </c>
      <c r="B5475" s="3" t="str">
        <f>HYPERLINK("https://www.773grp.com/manufacturer/onsemi?pageNo=82", "Onsemi")</f>
        <v>Onsemi</v>
      </c>
      <c r="C5475" s="6">
        <v>82177</v>
      </c>
      <c r="D5475" s="7">
        <v>0.69</v>
      </c>
      <c r="E5475" t="s">
        <v>27</v>
      </c>
    </row>
    <row r="5476" spans="1:5" x14ac:dyDescent="0.25">
      <c r="A5476" t="str">
        <f>HYPERLINK("https://www.773grp.com/globalSearch/NLU1GT04MUTCG/page-1", "NLU1GT04MUTCG")</f>
        <v>NLU1GT04MUTCG</v>
      </c>
      <c r="B5476" s="3" t="str">
        <f>HYPERLINK("https://www.773grp.com/manufacturer/onsemi?pageNo=83", "Onsemi")</f>
        <v>Onsemi</v>
      </c>
      <c r="C5476" s="6">
        <v>66000</v>
      </c>
      <c r="D5476" s="7">
        <v>0.69</v>
      </c>
      <c r="E5476" t="s">
        <v>27</v>
      </c>
    </row>
    <row r="5477" spans="1:5" x14ac:dyDescent="0.25">
      <c r="A5477" t="str">
        <f>HYPERLINK("https://www.773grp.com/globalSearch/NLU1GT126MUTCG/page-1", "NLU1GT126MUTCG")</f>
        <v>NLU1GT126MUTCG</v>
      </c>
      <c r="B5477" s="3" t="str">
        <f>HYPERLINK("https://www.773grp.com/manufacturer/onsemi?pageNo=84", "Onsemi")</f>
        <v>Onsemi</v>
      </c>
      <c r="C5477" s="6">
        <v>52000</v>
      </c>
      <c r="D5477" s="7">
        <v>0.69</v>
      </c>
      <c r="E5477" t="s">
        <v>27</v>
      </c>
    </row>
    <row r="5478" spans="1:5" x14ac:dyDescent="0.25">
      <c r="A5478" t="str">
        <f>HYPERLINK("https://www.773grp.com/globalSearch/NLU1GT14MUTCG/page-1", "NLU1GT14MUTCG")</f>
        <v>NLU1GT14MUTCG</v>
      </c>
      <c r="B5478" s="3" t="str">
        <f>HYPERLINK("https://www.773grp.com/manufacturer/onsemi?pageNo=85", "Onsemi")</f>
        <v>Onsemi</v>
      </c>
      <c r="C5478" s="6">
        <v>92957</v>
      </c>
      <c r="D5478" s="7">
        <v>0.69</v>
      </c>
      <c r="E5478" t="s">
        <v>27</v>
      </c>
    </row>
    <row r="5479" spans="1:5" x14ac:dyDescent="0.25">
      <c r="A5479" t="str">
        <f>HYPERLINK("https://www.773grp.com/globalSearch/NLU1GT32MUTCG/page-1", "NLU1GT32MUTCG")</f>
        <v>NLU1GT32MUTCG</v>
      </c>
      <c r="B5479" s="3" t="str">
        <f>HYPERLINK("https://www.773grp.com/manufacturer/onsemi?pageNo=86", "Onsemi")</f>
        <v>Onsemi</v>
      </c>
      <c r="C5479" s="6">
        <v>207000</v>
      </c>
      <c r="D5479" s="7">
        <v>0.69</v>
      </c>
      <c r="E5479" t="s">
        <v>27</v>
      </c>
    </row>
    <row r="5480" spans="1:5" x14ac:dyDescent="0.25">
      <c r="A5480" t="str">
        <f>HYPERLINK("https://www.773grp.com/globalSearch/NLU1GT50MUTCG/page-1", "NLU1GT50MUTCG")</f>
        <v>NLU1GT50MUTCG</v>
      </c>
      <c r="B5480" s="3" t="str">
        <f>HYPERLINK("https://www.773grp.com/manufacturer/onsemi?pageNo=87", "Onsemi")</f>
        <v>Onsemi</v>
      </c>
      <c r="C5480" s="6">
        <v>147000</v>
      </c>
      <c r="D5480" s="7">
        <v>0.69</v>
      </c>
      <c r="E5480" t="s">
        <v>27</v>
      </c>
    </row>
    <row r="5481" spans="1:5" x14ac:dyDescent="0.25">
      <c r="A5481" t="str">
        <f>HYPERLINK("https://www.773grp.com/globalSearch/NLU1GT86MUTCG/page-1", "NLU1GT86MUTCG")</f>
        <v>NLU1GT86MUTCG</v>
      </c>
      <c r="B5481" s="3" t="str">
        <f>HYPERLINK("https://www.773grp.com/manufacturer/onsemi?pageNo=88", "Onsemi")</f>
        <v>Onsemi</v>
      </c>
      <c r="C5481" s="6">
        <v>38750</v>
      </c>
      <c r="D5481" s="7">
        <v>0.69</v>
      </c>
      <c r="E5481" t="s">
        <v>27</v>
      </c>
    </row>
    <row r="5482" spans="1:5" x14ac:dyDescent="0.25">
      <c r="A5482" t="str">
        <f>HYPERLINK("https://www.773grp.com/globalSearch/NLU1GU04MUTCG/page-1", "NLU1GU04MUTCG")</f>
        <v>NLU1GU04MUTCG</v>
      </c>
      <c r="B5482" s="3" t="str">
        <f>HYPERLINK("https://www.773grp.com/manufacturer/onsemi?pageNo=89", "Onsemi")</f>
        <v>Onsemi</v>
      </c>
      <c r="C5482" s="6">
        <v>142758</v>
      </c>
      <c r="D5482" s="7">
        <v>0.69</v>
      </c>
      <c r="E5482" t="s">
        <v>27</v>
      </c>
    </row>
    <row r="5483" spans="1:5" x14ac:dyDescent="0.25">
      <c r="A5483" t="str">
        <f>HYPERLINK("https://www.773grp.com/globalSearch/NLV14069UBDR2/page-1", "NLV14069UBDR2")</f>
        <v>NLV14069UBDR2</v>
      </c>
      <c r="B5483" s="3" t="str">
        <f>HYPERLINK("https://www.773grp.com/manufacturer/onsemi?pageNo=90", "Onsemi")</f>
        <v>Onsemi</v>
      </c>
      <c r="C5483" s="6">
        <v>10148</v>
      </c>
      <c r="D5483" s="7">
        <v>0.69</v>
      </c>
    </row>
    <row r="5484" spans="1:5" x14ac:dyDescent="0.25">
      <c r="A5484" t="str">
        <f>HYPERLINK("https://www.773grp.com/globalSearch/NLV74HC02ADTR2G/page-1", "NLV74HC02ADTR2G")</f>
        <v>NLV74HC02ADTR2G</v>
      </c>
      <c r="B5484" s="3" t="str">
        <f>HYPERLINK("https://www.773grp.com/manufacturer/onsemi?pageNo=91", "Onsemi")</f>
        <v>Onsemi</v>
      </c>
      <c r="C5484" s="6">
        <v>3248</v>
      </c>
      <c r="D5484" s="7">
        <v>0.69</v>
      </c>
    </row>
    <row r="5485" spans="1:5" x14ac:dyDescent="0.25">
      <c r="A5485" t="str">
        <f>HYPERLINK("https://www.773grp.com/globalSearch/NLV74HC32ADTR2G/page-1", "NLV74HC32ADTR2G")</f>
        <v>NLV74HC32ADTR2G</v>
      </c>
      <c r="B5485" s="3" t="str">
        <f>HYPERLINK("https://www.773grp.com/manufacturer/onsemi?pageNo=92", "Onsemi")</f>
        <v>Onsemi</v>
      </c>
      <c r="C5485" s="6">
        <v>52500</v>
      </c>
      <c r="D5485" s="7">
        <v>0.69</v>
      </c>
    </row>
    <row r="5486" spans="1:5" x14ac:dyDescent="0.25">
      <c r="A5486" t="str">
        <f>HYPERLINK("https://www.773grp.com/globalSearch/NRVBS2040LT3G/page-1", "NRVBS2040LT3G")</f>
        <v>NRVBS2040LT3G</v>
      </c>
      <c r="B5486" s="3" t="str">
        <f>HYPERLINK("https://www.773grp.com/manufacturer/onsemi?pageNo=93", "Onsemi")</f>
        <v>Onsemi</v>
      </c>
      <c r="C5486" s="6">
        <v>2500</v>
      </c>
      <c r="D5486" s="7">
        <v>0.69</v>
      </c>
    </row>
    <row r="5487" spans="1:5" x14ac:dyDescent="0.25">
      <c r="A5487" t="str">
        <f>HYPERLINK("https://www.773grp.com/globalSearch/NRVBS240LT3G/page-1", "NRVBS240LT3G")</f>
        <v>NRVBS240LT3G</v>
      </c>
      <c r="B5487" s="3" t="str">
        <f>HYPERLINK("https://www.773grp.com/manufacturer/onsemi?pageNo=94", "Onsemi")</f>
        <v>Onsemi</v>
      </c>
      <c r="C5487" s="6">
        <v>2500</v>
      </c>
      <c r="D5487" s="7">
        <v>0.69</v>
      </c>
    </row>
    <row r="5488" spans="1:5" x14ac:dyDescent="0.25">
      <c r="A5488" t="str">
        <f>HYPERLINK("https://www.773grp.com/globalSearch/NSI45025AZT1G/page-1", "NSI45025AZT1G")</f>
        <v>NSI45025AZT1G</v>
      </c>
      <c r="B5488" s="3" t="str">
        <f>HYPERLINK("https://www.773grp.com/manufacturer/onsemi?pageNo=95", "Onsemi")</f>
        <v>Onsemi</v>
      </c>
      <c r="C5488" s="6">
        <v>108242</v>
      </c>
      <c r="D5488" s="7">
        <v>0.69</v>
      </c>
      <c r="E5488" t="s">
        <v>7</v>
      </c>
    </row>
    <row r="5489" spans="1:5" x14ac:dyDescent="0.25">
      <c r="A5489" t="str">
        <f>HYPERLINK("https://www.773grp.com/globalSearch/NSS1C200MZ4T1G/page-1", "NSS1C200MZ4T1G")</f>
        <v>NSS1C200MZ4T1G</v>
      </c>
      <c r="B5489" s="3" t="str">
        <f>HYPERLINK("https://www.773grp.com/manufacturer/onsemi?pageNo=96", "Onsemi")</f>
        <v>Onsemi</v>
      </c>
      <c r="C5489" s="6">
        <v>25090</v>
      </c>
      <c r="D5489" s="7">
        <v>0.69</v>
      </c>
    </row>
    <row r="5490" spans="1:5" x14ac:dyDescent="0.25">
      <c r="A5490" t="str">
        <f>HYPERLINK("https://www.773grp.com/globalSearch/NSS1C200MZ4T3G/page-1", "NSS1C200MZ4T3G")</f>
        <v>NSS1C200MZ4T3G</v>
      </c>
      <c r="B5490" s="3" t="str">
        <f>HYPERLINK("https://www.773grp.com/manufacturer/onsemi?pageNo=97", "Onsemi")</f>
        <v>Onsemi</v>
      </c>
      <c r="C5490" s="6">
        <v>28500</v>
      </c>
      <c r="D5490" s="7">
        <v>0.69</v>
      </c>
    </row>
    <row r="5491" spans="1:5" x14ac:dyDescent="0.25">
      <c r="A5491" t="str">
        <f>HYPERLINK("https://www.773grp.com/globalSearch/NSS60600MZ4T3G/page-1", "NSS60600MZ4T3G")</f>
        <v>NSS60600MZ4T3G</v>
      </c>
      <c r="B5491" s="3" t="str">
        <f>HYPERLINK("https://www.773grp.com/manufacturer/onsemi?pageNo=98", "Onsemi")</f>
        <v>Onsemi</v>
      </c>
      <c r="C5491" s="6">
        <v>84150</v>
      </c>
      <c r="D5491" s="7">
        <v>0.69</v>
      </c>
      <c r="E5491" t="s">
        <v>57</v>
      </c>
    </row>
    <row r="5492" spans="1:5" x14ac:dyDescent="0.25">
      <c r="A5492" t="str">
        <f>HYPERLINK("https://www.773grp.com/globalSearch/NSS60601MZ4T1G/page-1", "NSS60601MZ4T1G")</f>
        <v>NSS60601MZ4T1G</v>
      </c>
      <c r="B5492" s="3" t="str">
        <f>HYPERLINK("https://www.773grp.com/manufacturer/onsemi?pageNo=99", "Onsemi")</f>
        <v>Onsemi</v>
      </c>
      <c r="C5492" s="6">
        <v>2129</v>
      </c>
      <c r="D5492" s="7">
        <v>0.69</v>
      </c>
    </row>
    <row r="5493" spans="1:5" x14ac:dyDescent="0.25">
      <c r="A5493" t="str">
        <f>HYPERLINK("https://www.773grp.com/globalSearch/NSS60601MZ4T3G/page-1", "NSS60601MZ4T3G")</f>
        <v>NSS60601MZ4T3G</v>
      </c>
      <c r="B5493" s="3" t="str">
        <f>HYPERLINK("https://www.773grp.com/manufacturer/onsemi?pageNo=100", "Onsemi")</f>
        <v>Onsemi</v>
      </c>
      <c r="C5493" s="6">
        <v>24000</v>
      </c>
      <c r="D5493" s="7">
        <v>0.69</v>
      </c>
    </row>
    <row r="5494" spans="1:5" x14ac:dyDescent="0.25">
      <c r="A5494" t="str">
        <f>HYPERLINK("https://www.773grp.com/globalSearch/NSVMMBT589LT1G/page-1", "NSVMMBT589LT1G")</f>
        <v>NSVMMBT589LT1G</v>
      </c>
      <c r="B5494" s="3" t="str">
        <f>HYPERLINK("https://www.773grp.com/manufacturer/onsemi?pageNo=101", "Onsemi")</f>
        <v>Onsemi</v>
      </c>
      <c r="C5494" s="6">
        <v>3000</v>
      </c>
      <c r="D5494" s="7">
        <v>0.69</v>
      </c>
    </row>
    <row r="5495" spans="1:5" x14ac:dyDescent="0.25">
      <c r="A5495" t="str">
        <f>HYPERLINK("https://www.773grp.com/globalSearch/NTD20N03L27-001/page-1", "NTD20N03L27-001")</f>
        <v>NTD20N03L27-001</v>
      </c>
      <c r="B5495" s="3" t="str">
        <f>HYPERLINK("https://www.773grp.com/manufacturer/onsemi?pageNo=102", "Onsemi")</f>
        <v>Onsemi</v>
      </c>
      <c r="C5495" s="6">
        <v>10315</v>
      </c>
      <c r="D5495" s="7">
        <v>0.69</v>
      </c>
    </row>
    <row r="5496" spans="1:5" x14ac:dyDescent="0.25">
      <c r="A5496" t="str">
        <f>HYPERLINK("https://www.773grp.com/globalSearch/NTD24N06-001/page-1", "NTD24N06-001")</f>
        <v>NTD24N06-001</v>
      </c>
      <c r="B5496" s="3" t="str">
        <f>HYPERLINK("https://www.773grp.com/manufacturer/onsemi?pageNo=103", "Onsemi")</f>
        <v>Onsemi</v>
      </c>
      <c r="C5496" s="6">
        <v>146</v>
      </c>
      <c r="D5496" s="7">
        <v>0.69</v>
      </c>
    </row>
    <row r="5497" spans="1:5" x14ac:dyDescent="0.25">
      <c r="A5497" t="str">
        <f>HYPERLINK("https://www.773grp.com/globalSearch/NTD24N06-1G/page-1", "NTD24N06-1G")</f>
        <v>NTD24N06-1G</v>
      </c>
      <c r="B5497" s="3" t="str">
        <f>HYPERLINK("https://www.773grp.com/manufacturer/onsemi?pageNo=104", "Onsemi")</f>
        <v>Onsemi</v>
      </c>
      <c r="C5497" s="6">
        <v>3148</v>
      </c>
      <c r="D5497" s="7">
        <v>0.69</v>
      </c>
    </row>
    <row r="5498" spans="1:5" x14ac:dyDescent="0.25">
      <c r="A5498" t="str">
        <f>HYPERLINK("https://www.773grp.com/globalSearch/NTD30N02G/page-1", "NTD30N02G")</f>
        <v>NTD30N02G</v>
      </c>
      <c r="B5498" s="3" t="str">
        <f>HYPERLINK("https://www.773grp.com/manufacturer/onsemi?pageNo=105", "Onsemi")</f>
        <v>Onsemi</v>
      </c>
      <c r="C5498" s="6">
        <v>4800</v>
      </c>
      <c r="D5498" s="7">
        <v>0.69</v>
      </c>
      <c r="E5498" t="s">
        <v>84</v>
      </c>
    </row>
    <row r="5499" spans="1:5" x14ac:dyDescent="0.25">
      <c r="A5499" t="str">
        <f>HYPERLINK("https://www.773grp.com/globalSearch/NTD3817N-1G/page-1", "NTD3817N-1G")</f>
        <v>NTD3817N-1G</v>
      </c>
      <c r="B5499" s="3" t="str">
        <f>HYPERLINK("https://www.773grp.com/manufacturer/onsemi?pageNo=106", "Onsemi")</f>
        <v>Onsemi</v>
      </c>
      <c r="C5499" s="6">
        <v>14400</v>
      </c>
      <c r="D5499" s="7">
        <v>0.69</v>
      </c>
      <c r="E5499" t="s">
        <v>84</v>
      </c>
    </row>
    <row r="5500" spans="1:5" x14ac:dyDescent="0.25">
      <c r="A5500" t="str">
        <f>HYPERLINK("https://www.773grp.com/globalSearch/NTD3817N-35G/page-1", "NTD3817N-35G")</f>
        <v>NTD3817N-35G</v>
      </c>
      <c r="B5500" s="3" t="str">
        <f>HYPERLINK("https://www.773grp.com/manufacturer/onsemi?pageNo=107", "Onsemi")</f>
        <v>Onsemi</v>
      </c>
      <c r="C5500" s="6">
        <v>15525</v>
      </c>
      <c r="D5500" s="7">
        <v>0.69</v>
      </c>
      <c r="E5500" t="s">
        <v>84</v>
      </c>
    </row>
    <row r="5501" spans="1:5" x14ac:dyDescent="0.25">
      <c r="A5501" t="str">
        <f>HYPERLINK("https://www.773grp.com/globalSearch/NTD4804NA-1G/page-1", "NTD4804NA-1G")</f>
        <v>NTD4804NA-1G</v>
      </c>
      <c r="B5501" s="3" t="str">
        <f>HYPERLINK("https://www.773grp.com/manufacturer/onsemi?pageNo=108", "Onsemi")</f>
        <v>Onsemi</v>
      </c>
      <c r="C5501" s="6">
        <v>975</v>
      </c>
      <c r="D5501" s="7">
        <v>0.69</v>
      </c>
    </row>
    <row r="5502" spans="1:5" x14ac:dyDescent="0.25">
      <c r="A5502" t="str">
        <f>HYPERLINK("https://www.773grp.com/globalSearch/NTD4804NA-35G/page-1", "NTD4804NA-35G")</f>
        <v>NTD4804NA-35G</v>
      </c>
      <c r="B5502" s="3" t="str">
        <f>HYPERLINK("https://www.773grp.com/manufacturer/onsemi?pageNo=109", "Onsemi")</f>
        <v>Onsemi</v>
      </c>
      <c r="C5502" s="6">
        <v>1500</v>
      </c>
      <c r="D5502" s="7">
        <v>0.69</v>
      </c>
    </row>
    <row r="5503" spans="1:5" x14ac:dyDescent="0.25">
      <c r="A5503" t="str">
        <f>HYPERLINK("https://www.773grp.com/globalSearch/NTD4809NH-1G/page-1", "NTD4809NH-1G")</f>
        <v>NTD4809NH-1G</v>
      </c>
      <c r="B5503" s="3" t="str">
        <f>HYPERLINK("https://www.773grp.com/manufacturer/onsemi?pageNo=110", "Onsemi")</f>
        <v>Onsemi</v>
      </c>
      <c r="C5503" s="6">
        <v>6624</v>
      </c>
      <c r="D5503" s="7">
        <v>0.69</v>
      </c>
      <c r="E5503" t="s">
        <v>84</v>
      </c>
    </row>
    <row r="5504" spans="1:5" x14ac:dyDescent="0.25">
      <c r="A5504" t="str">
        <f>HYPERLINK("https://www.773grp.com/globalSearch/NTD4809NH-35G/page-1", "NTD4809NH-35G")</f>
        <v>NTD4809NH-35G</v>
      </c>
      <c r="B5504" s="3" t="str">
        <f>HYPERLINK("https://www.773grp.com/manufacturer/onsemi?pageNo=111", "Onsemi")</f>
        <v>Onsemi</v>
      </c>
      <c r="C5504" s="6">
        <v>58847</v>
      </c>
      <c r="D5504" s="7">
        <v>0.69</v>
      </c>
      <c r="E5504" t="s">
        <v>84</v>
      </c>
    </row>
    <row r="5505" spans="1:5" x14ac:dyDescent="0.25">
      <c r="A5505" t="str">
        <f>HYPERLINK("https://www.773grp.com/globalSearch/NTD4813NHT4G/page-1", "NTD4813NHT4G")</f>
        <v>NTD4813NHT4G</v>
      </c>
      <c r="B5505" s="3" t="str">
        <f>HYPERLINK("https://www.773grp.com/manufacturer/onsemi?pageNo=112", "Onsemi")</f>
        <v>Onsemi</v>
      </c>
      <c r="C5505" s="6">
        <v>802830</v>
      </c>
      <c r="D5505" s="7">
        <v>0.69</v>
      </c>
      <c r="E5505" t="s">
        <v>84</v>
      </c>
    </row>
    <row r="5506" spans="1:5" x14ac:dyDescent="0.25">
      <c r="A5506" t="str">
        <f>HYPERLINK("https://www.773grp.com/globalSearch/NTD4815N-1G/page-1", "NTD4815N-1G")</f>
        <v>NTD4815N-1G</v>
      </c>
      <c r="B5506" s="3" t="str">
        <f>HYPERLINK("https://www.773grp.com/manufacturer/onsemi?pageNo=113", "Onsemi")</f>
        <v>Onsemi</v>
      </c>
      <c r="C5506" s="6">
        <v>3150</v>
      </c>
      <c r="D5506" s="7">
        <v>0.69</v>
      </c>
      <c r="E5506" t="s">
        <v>84</v>
      </c>
    </row>
    <row r="5507" spans="1:5" x14ac:dyDescent="0.25">
      <c r="A5507" t="str">
        <f>HYPERLINK("https://www.773grp.com/globalSearch/NTD4815N-35G/page-1", "NTD4815N-35G")</f>
        <v>NTD4815N-35G</v>
      </c>
      <c r="B5507" s="3" t="str">
        <f>HYPERLINK("https://www.773grp.com/manufacturer/onsemi?pageNo=114", "Onsemi")</f>
        <v>Onsemi</v>
      </c>
      <c r="C5507" s="6">
        <v>14650</v>
      </c>
      <c r="D5507" s="7">
        <v>0.69</v>
      </c>
      <c r="E5507" t="s">
        <v>84</v>
      </c>
    </row>
    <row r="5508" spans="1:5" x14ac:dyDescent="0.25">
      <c r="A5508" t="str">
        <f>HYPERLINK("https://www.773grp.com/globalSearch/NTD4815NT4G/page-1", "NTD4815NT4G")</f>
        <v>NTD4815NT4G</v>
      </c>
      <c r="B5508" s="3" t="str">
        <f>HYPERLINK("https://www.773grp.com/manufacturer/onsemi?pageNo=115", "Onsemi")</f>
        <v>Onsemi</v>
      </c>
      <c r="C5508" s="6">
        <v>35800</v>
      </c>
      <c r="D5508" s="7">
        <v>0.69</v>
      </c>
      <c r="E5508" t="s">
        <v>84</v>
      </c>
    </row>
    <row r="5509" spans="1:5" x14ac:dyDescent="0.25">
      <c r="A5509" t="str">
        <f>HYPERLINK("https://www.773grp.com/globalSearch/NTD4909N-1G/page-1", "NTD4909N-1G")</f>
        <v>NTD4909N-1G</v>
      </c>
      <c r="B5509" s="3" t="str">
        <f>HYPERLINK("https://www.773grp.com/manufacturer/onsemi?pageNo=116", "Onsemi")</f>
        <v>Onsemi</v>
      </c>
      <c r="C5509" s="6">
        <v>6000</v>
      </c>
      <c r="D5509" s="7">
        <v>0.69</v>
      </c>
    </row>
    <row r="5510" spans="1:5" x14ac:dyDescent="0.25">
      <c r="A5510" t="str">
        <f>HYPERLINK("https://www.773grp.com/globalSearch/NTD4909N-35G/page-1", "NTD4909N-35G")</f>
        <v>NTD4909N-35G</v>
      </c>
      <c r="B5510" s="3" t="str">
        <f>HYPERLINK("https://www.773grp.com/manufacturer/onsemi?pageNo=117", "Onsemi")</f>
        <v>Onsemi</v>
      </c>
      <c r="C5510" s="6">
        <v>7200</v>
      </c>
      <c r="D5510" s="7">
        <v>0.69</v>
      </c>
    </row>
    <row r="5511" spans="1:5" x14ac:dyDescent="0.25">
      <c r="A5511" t="str">
        <f>HYPERLINK("https://www.773grp.com/globalSearch/NTD4909NT4G/page-1", "NTD4909NT4G")</f>
        <v>NTD4909NT4G</v>
      </c>
      <c r="B5511" s="3" t="str">
        <f>HYPERLINK("https://www.773grp.com/manufacturer/onsemi?pageNo=118", "Onsemi")</f>
        <v>Onsemi</v>
      </c>
      <c r="C5511" s="6">
        <v>65654</v>
      </c>
      <c r="D5511" s="7">
        <v>0.69</v>
      </c>
      <c r="E5511" t="s">
        <v>84</v>
      </c>
    </row>
    <row r="5512" spans="1:5" x14ac:dyDescent="0.25">
      <c r="A5512" t="str">
        <f>HYPERLINK("https://www.773grp.com/globalSearch/NTD4909NT4H/page-1", "NTD4909NT4H")</f>
        <v>NTD4909NT4H</v>
      </c>
      <c r="B5512" s="3" t="str">
        <f>HYPERLINK("https://www.773grp.com/manufacturer/onsemi?pageNo=119", "Onsemi")</f>
        <v>Onsemi</v>
      </c>
      <c r="C5512" s="6">
        <v>30000</v>
      </c>
      <c r="D5512" s="7">
        <v>0.69</v>
      </c>
    </row>
    <row r="5513" spans="1:5" x14ac:dyDescent="0.25">
      <c r="A5513" t="str">
        <f>HYPERLINK("https://www.773grp.com/globalSearch/NTD4910N-35G/page-1", "NTD4910N-35G")</f>
        <v>NTD4910N-35G</v>
      </c>
      <c r="B5513" s="3" t="str">
        <f>HYPERLINK("https://www.773grp.com/manufacturer/onsemi?pageNo=120", "Onsemi")</f>
        <v>Onsemi</v>
      </c>
      <c r="C5513" s="6">
        <v>12225</v>
      </c>
      <c r="D5513" s="7">
        <v>0.69</v>
      </c>
    </row>
    <row r="5514" spans="1:5" x14ac:dyDescent="0.25">
      <c r="A5514" t="str">
        <f>HYPERLINK("https://www.773grp.com/globalSearch/NTD4910NT4G/page-1", "NTD4910NT4G")</f>
        <v>NTD4910NT4G</v>
      </c>
      <c r="B5514" s="3" t="str">
        <f>HYPERLINK("https://www.773grp.com/manufacturer/onsemi?pageNo=121", "Onsemi")</f>
        <v>Onsemi</v>
      </c>
      <c r="C5514" s="6">
        <v>122500</v>
      </c>
      <c r="D5514" s="7">
        <v>0.69</v>
      </c>
      <c r="E5514" t="s">
        <v>84</v>
      </c>
    </row>
    <row r="5515" spans="1:5" x14ac:dyDescent="0.25">
      <c r="A5515" t="str">
        <f>HYPERLINK("https://www.773grp.com/globalSearch/NTD4959NHT4G/page-1", "NTD4959NHT4G")</f>
        <v>NTD4959NHT4G</v>
      </c>
      <c r="B5515" s="3" t="str">
        <f>HYPERLINK("https://www.773grp.com/manufacturer/onsemi?pageNo=122", "Onsemi")</f>
        <v>Onsemi</v>
      </c>
      <c r="C5515" s="6">
        <v>7500</v>
      </c>
      <c r="D5515" s="7">
        <v>0.69</v>
      </c>
    </row>
    <row r="5516" spans="1:5" x14ac:dyDescent="0.25">
      <c r="A5516" t="str">
        <f>HYPERLINK("https://www.773grp.com/globalSearch/NTD4963N-35G/page-1", "NTD4963N-35G")</f>
        <v>NTD4963N-35G</v>
      </c>
      <c r="B5516" s="3" t="str">
        <f>HYPERLINK("https://www.773grp.com/manufacturer/onsemi?pageNo=123", "Onsemi")</f>
        <v>Onsemi</v>
      </c>
      <c r="C5516" s="6">
        <v>6100</v>
      </c>
      <c r="D5516" s="7">
        <v>0.69</v>
      </c>
    </row>
    <row r="5517" spans="1:5" x14ac:dyDescent="0.25">
      <c r="A5517" t="str">
        <f>HYPERLINK("https://www.773grp.com/globalSearch/NTF3055-160T1/page-1", "NTF3055-160T1")</f>
        <v>NTF3055-160T1</v>
      </c>
      <c r="B5517" s="3" t="str">
        <f>HYPERLINK("https://www.773grp.com/manufacturer/onsemi?pageNo=124", "Onsemi")</f>
        <v>Onsemi</v>
      </c>
      <c r="C5517" s="6">
        <v>51693</v>
      </c>
      <c r="D5517" s="7">
        <v>0.69</v>
      </c>
      <c r="E5517" t="s">
        <v>84</v>
      </c>
    </row>
    <row r="5518" spans="1:5" x14ac:dyDescent="0.25">
      <c r="A5518" t="str">
        <f>HYPERLINK("https://www.773grp.com/globalSearch/NTF3055-160T3/page-1", "NTF3055-160T3")</f>
        <v>NTF3055-160T3</v>
      </c>
      <c r="B5518" s="3" t="str">
        <f>HYPERLINK("https://www.773grp.com/manufacturer/onsemi?pageNo=125", "Onsemi")</f>
        <v>Onsemi</v>
      </c>
      <c r="C5518" s="6">
        <v>6214</v>
      </c>
      <c r="D5518" s="7">
        <v>0.69</v>
      </c>
      <c r="E5518" t="s">
        <v>84</v>
      </c>
    </row>
    <row r="5519" spans="1:5" x14ac:dyDescent="0.25">
      <c r="A5519" t="str">
        <f>HYPERLINK("https://www.773grp.com/globalSearch/NTHD3101FT1G/page-1", "NTHD3101FT1G")</f>
        <v>NTHD3101FT1G</v>
      </c>
      <c r="B5519" s="3" t="str">
        <f>HYPERLINK("https://www.773grp.com/manufacturer/onsemi?pageNo=126", "Onsemi")</f>
        <v>Onsemi</v>
      </c>
      <c r="C5519" s="6">
        <v>478837</v>
      </c>
      <c r="D5519" s="7">
        <v>0.69</v>
      </c>
      <c r="E5519" t="s">
        <v>84</v>
      </c>
    </row>
    <row r="5520" spans="1:5" x14ac:dyDescent="0.25">
      <c r="A5520" t="str">
        <f>HYPERLINK("https://www.773grp.com/globalSearch/NTLJD3115PTAG/page-1", "NTLJD3115PTAG")</f>
        <v>NTLJD3115PTAG</v>
      </c>
      <c r="B5520" s="3" t="str">
        <f>HYPERLINK("https://www.773grp.com/manufacturer/onsemi?pageNo=127", "Onsemi")</f>
        <v>Onsemi</v>
      </c>
      <c r="C5520" s="6">
        <v>6000</v>
      </c>
      <c r="D5520" s="7">
        <v>0.69</v>
      </c>
      <c r="E5520" t="s">
        <v>84</v>
      </c>
    </row>
    <row r="5521" spans="1:5" x14ac:dyDescent="0.25">
      <c r="A5521" t="str">
        <f>HYPERLINK("https://www.773grp.com/globalSearch/NTLJS4159NT1G/page-1", "NTLJS4159NT1G")</f>
        <v>NTLJS4159NT1G</v>
      </c>
      <c r="B5521" s="3" t="str">
        <f>HYPERLINK("https://www.773grp.com/manufacturer/onsemi?pageNo=128", "Onsemi")</f>
        <v>Onsemi</v>
      </c>
      <c r="C5521" s="6">
        <v>3000</v>
      </c>
      <c r="D5521" s="7">
        <v>0.69</v>
      </c>
      <c r="E5521" t="s">
        <v>84</v>
      </c>
    </row>
    <row r="5522" spans="1:5" x14ac:dyDescent="0.25">
      <c r="A5522" t="str">
        <f>HYPERLINK("https://www.773grp.com/globalSearch/NTMD2P01R2/page-1", "NTMD2P01R2")</f>
        <v>NTMD2P01R2</v>
      </c>
      <c r="B5522" s="3" t="str">
        <f>HYPERLINK("https://www.773grp.com/manufacturer/onsemi?pageNo=129", "Onsemi")</f>
        <v>Onsemi</v>
      </c>
      <c r="C5522" s="6">
        <v>619</v>
      </c>
      <c r="D5522" s="7">
        <v>0.69</v>
      </c>
      <c r="E5522" t="s">
        <v>84</v>
      </c>
    </row>
    <row r="5523" spans="1:5" x14ac:dyDescent="0.25">
      <c r="A5523" t="str">
        <f>HYPERLINK("https://www.773grp.com/globalSearch/NTMD4N03R2/page-1", "NTMD4N03R2")</f>
        <v>NTMD4N03R2</v>
      </c>
      <c r="B5523" s="3" t="str">
        <f>HYPERLINK("https://www.773grp.com/manufacturer/onsemi?pageNo=130", "Onsemi")</f>
        <v>Onsemi</v>
      </c>
      <c r="C5523" s="6">
        <v>15</v>
      </c>
      <c r="D5523" s="7">
        <v>0.69</v>
      </c>
      <c r="E5523" t="s">
        <v>84</v>
      </c>
    </row>
    <row r="5524" spans="1:5" x14ac:dyDescent="0.25">
      <c r="A5524" t="str">
        <f>HYPERLINK("https://www.773grp.com/globalSearch/NTMS3P03R2/page-1", "NTMS3P03R2")</f>
        <v>NTMS3P03R2</v>
      </c>
      <c r="B5524" s="3" t="str">
        <f>HYPERLINK("https://www.773grp.com/manufacturer/onsemi?pageNo=131", "Onsemi")</f>
        <v>Onsemi</v>
      </c>
      <c r="C5524" s="6">
        <v>47399</v>
      </c>
      <c r="D5524" s="7">
        <v>0.69</v>
      </c>
      <c r="E5524" t="s">
        <v>85</v>
      </c>
    </row>
    <row r="5525" spans="1:5" x14ac:dyDescent="0.25">
      <c r="A5525" t="str">
        <f>HYPERLINK("https://www.773grp.com/globalSearch/NTMS4N01R2/page-1", "NTMS4N01R2")</f>
        <v>NTMS4N01R2</v>
      </c>
      <c r="B5525" s="3" t="str">
        <f>HYPERLINK("https://www.773grp.com/manufacturer/onsemi?pageNo=132", "Onsemi")</f>
        <v>Onsemi</v>
      </c>
      <c r="C5525" s="6">
        <v>17191</v>
      </c>
      <c r="D5525" s="7">
        <v>0.69</v>
      </c>
      <c r="E5525" t="s">
        <v>85</v>
      </c>
    </row>
    <row r="5526" spans="1:5" x14ac:dyDescent="0.25">
      <c r="A5526" t="str">
        <f>HYPERLINK("https://www.773grp.com/globalSearch/NUF8401MNT4G/page-1", "NUF8401MNT4G")</f>
        <v>NUF8401MNT4G</v>
      </c>
      <c r="B5526" s="3" t="str">
        <f>HYPERLINK("https://www.773grp.com/manufacturer/onsemi?pageNo=133", "Onsemi")</f>
        <v>Onsemi</v>
      </c>
      <c r="C5526" s="6">
        <v>762365</v>
      </c>
      <c r="D5526" s="7">
        <v>0.69</v>
      </c>
      <c r="E5526" t="s">
        <v>79</v>
      </c>
    </row>
    <row r="5527" spans="1:5" x14ac:dyDescent="0.25">
      <c r="A5527" t="str">
        <f>HYPERLINK("https://www.773grp.com/globalSearch/NUF8600MNTXG/page-1", "NUF8600MNTXG")</f>
        <v>NUF8600MNTXG</v>
      </c>
      <c r="B5527" s="3" t="str">
        <f>HYPERLINK("https://www.773grp.com/manufacturer/onsemi?pageNo=134", "Onsemi")</f>
        <v>Onsemi</v>
      </c>
      <c r="C5527" s="6">
        <v>23000</v>
      </c>
      <c r="D5527" s="7">
        <v>0.69</v>
      </c>
      <c r="E5527" t="s">
        <v>79</v>
      </c>
    </row>
    <row r="5528" spans="1:5" x14ac:dyDescent="0.25">
      <c r="A5528" t="str">
        <f>HYPERLINK("https://www.773grp.com/globalSearch/NUF8610MNTXG/page-1", "NUF8610MNTXG")</f>
        <v>NUF8610MNTXG</v>
      </c>
      <c r="B5528" s="3" t="str">
        <f>HYPERLINK("https://www.773grp.com/manufacturer/onsemi?pageNo=135", "Onsemi")</f>
        <v>Onsemi</v>
      </c>
      <c r="C5528" s="6">
        <v>24000</v>
      </c>
      <c r="D5528" s="7">
        <v>0.69</v>
      </c>
      <c r="E5528" t="s">
        <v>79</v>
      </c>
    </row>
    <row r="5529" spans="1:5" x14ac:dyDescent="0.25">
      <c r="A5529" t="str">
        <f>HYPERLINK("https://www.773grp.com/globalSearch/NUP4302MR6T1/page-1", "NUP4302MR6T1")</f>
        <v>NUP4302MR6T1</v>
      </c>
      <c r="B5529" s="3" t="str">
        <f>HYPERLINK("https://www.773grp.com/manufacturer/onsemi?pageNo=136", "Onsemi")</f>
        <v>Onsemi</v>
      </c>
      <c r="C5529" s="6">
        <v>446</v>
      </c>
      <c r="D5529" s="7">
        <v>0.69</v>
      </c>
      <c r="E5529" t="s">
        <v>75</v>
      </c>
    </row>
    <row r="5530" spans="1:5" x14ac:dyDescent="0.25">
      <c r="A5530" t="str">
        <f>HYPERLINK("https://www.773grp.com/globalSearch/NUP5120X6T1/page-1", "NUP5120X6T1")</f>
        <v>NUP5120X6T1</v>
      </c>
      <c r="B5530" s="3" t="str">
        <f>HYPERLINK("https://www.773grp.com/manufacturer/onsemi?pageNo=137", "Onsemi")</f>
        <v>Onsemi</v>
      </c>
      <c r="C5530" s="6">
        <v>3970</v>
      </c>
      <c r="D5530" s="7">
        <v>0.69</v>
      </c>
      <c r="E5530" t="s">
        <v>75</v>
      </c>
    </row>
    <row r="5531" spans="1:5" x14ac:dyDescent="0.25">
      <c r="A5531" t="str">
        <f>HYPERLINK("https://www.773grp.com/globalSearch/NUP8010MNT1G/page-1", "NUP8010MNT1G")</f>
        <v>NUP8010MNT1G</v>
      </c>
      <c r="B5531" s="3" t="str">
        <f>HYPERLINK("https://www.773grp.com/manufacturer/onsemi?pageNo=138", "Onsemi")</f>
        <v>Onsemi</v>
      </c>
      <c r="C5531" s="6">
        <v>32713</v>
      </c>
      <c r="D5531" s="7">
        <v>0.69</v>
      </c>
      <c r="E5531" t="s">
        <v>75</v>
      </c>
    </row>
    <row r="5532" spans="1:5" x14ac:dyDescent="0.25">
      <c r="A5532" t="str">
        <f>HYPERLINK("https://www.773grp.com/globalSearch/SA14052BD/page-1", "SA14052BD")</f>
        <v>SA14052BD</v>
      </c>
      <c r="B5532" s="3" t="str">
        <f>HYPERLINK("https://www.773grp.com/manufacturer/onsemi?pageNo=139", "Onsemi")</f>
        <v>Onsemi</v>
      </c>
      <c r="C5532" s="6">
        <v>1008</v>
      </c>
      <c r="D5532" s="7">
        <v>0.69</v>
      </c>
    </row>
    <row r="5533" spans="1:5" x14ac:dyDescent="0.25">
      <c r="A5533" t="str">
        <f>HYPERLINK("https://www.773grp.com/globalSearch/SA14584BDR2/page-1", "SA14584BDR2")</f>
        <v>SA14584BDR2</v>
      </c>
      <c r="B5533" s="3" t="str">
        <f>HYPERLINK("https://www.773grp.com/manufacturer/onsemi?pageNo=140", "Onsemi")</f>
        <v>Onsemi</v>
      </c>
      <c r="C5533" s="6">
        <v>7500</v>
      </c>
      <c r="D5533" s="7">
        <v>0.69</v>
      </c>
    </row>
    <row r="5534" spans="1:5" x14ac:dyDescent="0.25">
      <c r="A5534" t="str">
        <f>HYPERLINK("https://www.773grp.com/globalSearch/SA90A/page-1", "SA90A")</f>
        <v>SA90A</v>
      </c>
      <c r="B5534" s="3" t="str">
        <f>HYPERLINK("https://www.773grp.com/manufacturer/onsemi?pageNo=141", "Onsemi")</f>
        <v>Onsemi</v>
      </c>
      <c r="C5534" s="6">
        <v>11</v>
      </c>
      <c r="D5534" s="7">
        <v>0.69</v>
      </c>
      <c r="E5534" t="s">
        <v>75</v>
      </c>
    </row>
    <row r="5535" spans="1:5" x14ac:dyDescent="0.25">
      <c r="A5535" t="str">
        <f>HYPERLINK("https://www.773grp.com/globalSearch/SC2901DR2G/page-1", "SC2901DR2G")</f>
        <v>SC2901DR2G</v>
      </c>
      <c r="B5535" s="3" t="str">
        <f>HYPERLINK("https://www.773grp.com/manufacturer/onsemi?pageNo=142", "Onsemi")</f>
        <v>Onsemi</v>
      </c>
      <c r="C5535" s="6">
        <v>3801</v>
      </c>
      <c r="D5535" s="7">
        <v>0.69</v>
      </c>
    </row>
    <row r="5536" spans="1:5" x14ac:dyDescent="0.25">
      <c r="A5536" t="str">
        <f>HYPERLINK("https://www.773grp.com/globalSearch/SC2902DG/page-1", "SC2902DG")</f>
        <v>SC2902DG</v>
      </c>
      <c r="B5536" s="3" t="str">
        <f>HYPERLINK("https://www.773grp.com/manufacturer/onsemi?pageNo=143", "Onsemi")</f>
        <v>Onsemi</v>
      </c>
      <c r="C5536" s="6">
        <v>1155</v>
      </c>
      <c r="D5536" s="7">
        <v>0.69</v>
      </c>
    </row>
    <row r="5537" spans="1:5" x14ac:dyDescent="0.25">
      <c r="A5537" t="str">
        <f>HYPERLINK("https://www.773grp.com/globalSearch/SC2902DR2G/page-1", "SC2902DR2G")</f>
        <v>SC2902DR2G</v>
      </c>
      <c r="B5537" s="3" t="str">
        <f>HYPERLINK("https://www.773grp.com/manufacturer/onsemi?pageNo=144", "Onsemi")</f>
        <v>Onsemi</v>
      </c>
      <c r="C5537" s="6">
        <v>6673</v>
      </c>
      <c r="D5537" s="7">
        <v>0.69</v>
      </c>
    </row>
    <row r="5538" spans="1:5" x14ac:dyDescent="0.25">
      <c r="A5538" t="str">
        <f>HYPERLINK("https://www.773grp.com/globalSearch/SC2903DG/page-1", "SC2903DG")</f>
        <v>SC2903DG</v>
      </c>
      <c r="B5538" s="3" t="str">
        <f>HYPERLINK("https://www.773grp.com/manufacturer/onsemi?pageNo=145", "Onsemi")</f>
        <v>Onsemi</v>
      </c>
      <c r="C5538" s="6">
        <v>2156</v>
      </c>
      <c r="D5538" s="7">
        <v>0.69</v>
      </c>
    </row>
    <row r="5539" spans="1:5" x14ac:dyDescent="0.25">
      <c r="A5539" t="str">
        <f>HYPERLINK("https://www.773grp.com/globalSearch/SC2904DR2G/page-1", "SC2904DR2G")</f>
        <v>SC2904DR2G</v>
      </c>
      <c r="B5539" s="3" t="str">
        <f>HYPERLINK("https://www.773grp.com/manufacturer/onsemi?pageNo=146", "Onsemi")</f>
        <v>Onsemi</v>
      </c>
      <c r="C5539" s="6">
        <v>4066</v>
      </c>
      <c r="D5539" s="7">
        <v>0.69</v>
      </c>
    </row>
    <row r="5540" spans="1:5" x14ac:dyDescent="0.25">
      <c r="A5540" t="str">
        <f>HYPERLINK("https://www.773grp.com/globalSearch/SC74730D1R2/page-1", "SC74730D1R2")</f>
        <v>SC74730D1R2</v>
      </c>
      <c r="B5540" s="3" t="str">
        <f>HYPERLINK("https://www.773grp.com/manufacturer/onsemi?pageNo=147", "Onsemi")</f>
        <v>Onsemi</v>
      </c>
      <c r="C5540" s="6">
        <v>11862</v>
      </c>
      <c r="D5540" s="7">
        <v>0.69</v>
      </c>
    </row>
    <row r="5541" spans="1:5" x14ac:dyDescent="0.25">
      <c r="A5541" t="str">
        <f>HYPERLINK("https://www.773grp.com/globalSearch/SCR5162-005/page-1", "SCR5162-005")</f>
        <v>SCR5162-005</v>
      </c>
      <c r="B5541" s="3" t="str">
        <f>HYPERLINK("https://www.773grp.com/manufacturer/onsemi?pageNo=148", "Onsemi")</f>
        <v>Onsemi</v>
      </c>
      <c r="C5541" s="6">
        <v>105000</v>
      </c>
      <c r="D5541" s="7">
        <v>0.69</v>
      </c>
    </row>
    <row r="5542" spans="1:5" x14ac:dyDescent="0.25">
      <c r="A5542" t="str">
        <f>HYPERLINK("https://www.773grp.com/globalSearch/SN74LS04DR2/page-1", "SN74LS04DR2")</f>
        <v>SN74LS04DR2</v>
      </c>
      <c r="B5542" s="3" t="str">
        <f>HYPERLINK("https://www.773grp.com/manufacturer/onsemi?pageNo=149", "Onsemi")</f>
        <v>Onsemi</v>
      </c>
      <c r="C5542" s="6">
        <v>93</v>
      </c>
      <c r="D5542" s="7">
        <v>0.69</v>
      </c>
      <c r="E5542" t="s">
        <v>27</v>
      </c>
    </row>
    <row r="5543" spans="1:5" x14ac:dyDescent="0.25">
      <c r="A5543" t="str">
        <f>HYPERLINK("https://www.773grp.com/globalSearch/SN74LS107AN/page-1", "SN74LS107AN")</f>
        <v>SN74LS107AN</v>
      </c>
      <c r="B5543" s="3" t="str">
        <f>HYPERLINK("https://www.773grp.com/manufacturer/onsemi?pageNo=150", "Onsemi")</f>
        <v>Onsemi</v>
      </c>
      <c r="C5543" s="6">
        <v>376</v>
      </c>
      <c r="D5543" s="7">
        <v>0.69</v>
      </c>
      <c r="E5543" t="s">
        <v>31</v>
      </c>
    </row>
    <row r="5544" spans="1:5" x14ac:dyDescent="0.25">
      <c r="A5544" t="str">
        <f>HYPERLINK("https://www.773grp.com/globalSearch/SN74LS112AMEL/page-1", "SN74LS112AMEL")</f>
        <v>SN74LS112AMEL</v>
      </c>
      <c r="B5544" s="3" t="str">
        <f>HYPERLINK("https://www.773grp.com/manufacturer/onsemi?pageNo=151", "Onsemi")</f>
        <v>Onsemi</v>
      </c>
      <c r="C5544" s="6">
        <v>2000</v>
      </c>
      <c r="D5544" s="7">
        <v>0.69</v>
      </c>
    </row>
    <row r="5545" spans="1:5" x14ac:dyDescent="0.25">
      <c r="A5545" t="str">
        <f>HYPERLINK("https://www.773grp.com/globalSearch/SN74LS112AN/page-1", "SN74LS112AN")</f>
        <v>SN74LS112AN</v>
      </c>
      <c r="B5545" s="3" t="str">
        <f>HYPERLINK("https://www.773grp.com/manufacturer/onsemi?pageNo=152", "Onsemi")</f>
        <v>Onsemi</v>
      </c>
      <c r="C5545" s="6">
        <v>2885</v>
      </c>
      <c r="D5545" s="7">
        <v>0.69</v>
      </c>
      <c r="E5545" t="s">
        <v>31</v>
      </c>
    </row>
    <row r="5546" spans="1:5" x14ac:dyDescent="0.25">
      <c r="A5546" t="str">
        <f>HYPERLINK("https://www.773grp.com/globalSearch/SN74LS125AD/page-1", "SN74LS125AD")</f>
        <v>SN74LS125AD</v>
      </c>
      <c r="B5546" s="3" t="str">
        <f>HYPERLINK("https://www.773grp.com/manufacturer/onsemi?pageNo=153", "Onsemi")</f>
        <v>Onsemi</v>
      </c>
      <c r="C5546" s="6">
        <v>172849</v>
      </c>
      <c r="D5546" s="7">
        <v>0.69</v>
      </c>
      <c r="E5546" t="s">
        <v>11</v>
      </c>
    </row>
    <row r="5547" spans="1:5" x14ac:dyDescent="0.25">
      <c r="A5547" t="str">
        <f>HYPERLINK("https://www.773grp.com/globalSearch/SN74LS125AML1/page-1", "SN74LS125AML1")</f>
        <v>SN74LS125AML1</v>
      </c>
      <c r="B5547" s="3" t="str">
        <f>HYPERLINK("https://www.773grp.com/manufacturer/onsemi?pageNo=154", "Onsemi")</f>
        <v>Onsemi</v>
      </c>
      <c r="C5547" s="6">
        <v>5000</v>
      </c>
      <c r="D5547" s="7">
        <v>0.69</v>
      </c>
    </row>
    <row r="5548" spans="1:5" x14ac:dyDescent="0.25">
      <c r="A5548" t="str">
        <f>HYPERLINK("https://www.773grp.com/globalSearch/SN74LS125AMR1/page-1", "SN74LS125AMR1")</f>
        <v>SN74LS125AMR1</v>
      </c>
      <c r="B5548" s="3" t="str">
        <f>HYPERLINK("https://www.773grp.com/manufacturer/onsemi?pageNo=155", "Onsemi")</f>
        <v>Onsemi</v>
      </c>
      <c r="C5548" s="6">
        <v>63000</v>
      </c>
      <c r="D5548" s="7">
        <v>0.69</v>
      </c>
      <c r="E5548" t="s">
        <v>11</v>
      </c>
    </row>
    <row r="5549" spans="1:5" x14ac:dyDescent="0.25">
      <c r="A5549" t="str">
        <f>HYPERLINK("https://www.773grp.com/globalSearch/SN74LS125AN/page-1", "SN74LS125AN")</f>
        <v>SN74LS125AN</v>
      </c>
      <c r="B5549" s="3" t="str">
        <f>HYPERLINK("https://www.773grp.com/manufacturer/onsemi?pageNo=156", "Onsemi")</f>
        <v>Onsemi</v>
      </c>
      <c r="C5549" s="6">
        <v>1129</v>
      </c>
      <c r="D5549" s="7">
        <v>0.69</v>
      </c>
      <c r="E5549" t="s">
        <v>11</v>
      </c>
    </row>
    <row r="5550" spans="1:5" x14ac:dyDescent="0.25">
      <c r="A5550" t="str">
        <f>HYPERLINK("https://www.773grp.com/globalSearch/SN74LS126AD/page-1", "SN74LS126AD")</f>
        <v>SN74LS126AD</v>
      </c>
      <c r="B5550" s="3" t="str">
        <f>HYPERLINK("https://www.773grp.com/manufacturer/onsemi?pageNo=157", "Onsemi")</f>
        <v>Onsemi</v>
      </c>
      <c r="C5550" s="6">
        <v>6324</v>
      </c>
      <c r="D5550" s="7">
        <v>0.69</v>
      </c>
      <c r="E5550" t="s">
        <v>11</v>
      </c>
    </row>
    <row r="5551" spans="1:5" x14ac:dyDescent="0.25">
      <c r="A5551" t="str">
        <f>HYPERLINK("https://www.773grp.com/globalSearch/SN74LS126ADR2/page-1", "SN74LS126ADR2")</f>
        <v>SN74LS126ADR2</v>
      </c>
      <c r="B5551" s="3" t="str">
        <f>HYPERLINK("https://www.773grp.com/manufacturer/onsemi?pageNo=158", "Onsemi")</f>
        <v>Onsemi</v>
      </c>
      <c r="C5551" s="6">
        <v>42500</v>
      </c>
      <c r="D5551" s="7">
        <v>0.69</v>
      </c>
      <c r="E5551" t="s">
        <v>11</v>
      </c>
    </row>
    <row r="5552" spans="1:5" x14ac:dyDescent="0.25">
      <c r="A5552" t="str">
        <f>HYPERLINK("https://www.773grp.com/globalSearch/SN74LS126AM/page-1", "SN74LS126AM")</f>
        <v>SN74LS126AM</v>
      </c>
      <c r="B5552" s="3" t="str">
        <f>HYPERLINK("https://www.773grp.com/manufacturer/onsemi?pageNo=159", "Onsemi")</f>
        <v>Onsemi</v>
      </c>
      <c r="C5552" s="6">
        <v>201</v>
      </c>
      <c r="D5552" s="7">
        <v>0.69</v>
      </c>
      <c r="E5552" t="s">
        <v>11</v>
      </c>
    </row>
    <row r="5553" spans="1:5" x14ac:dyDescent="0.25">
      <c r="A5553" t="str">
        <f>HYPERLINK("https://www.773grp.com/globalSearch/SN74LS126AN/page-1", "SN74LS126AN")</f>
        <v>SN74LS126AN</v>
      </c>
      <c r="B5553" s="3" t="str">
        <f>HYPERLINK("https://www.773grp.com/manufacturer/onsemi?pageNo=160", "Onsemi")</f>
        <v>Onsemi</v>
      </c>
      <c r="C5553" s="6">
        <v>5200</v>
      </c>
      <c r="D5553" s="7">
        <v>0.69</v>
      </c>
      <c r="E5553" t="s">
        <v>11</v>
      </c>
    </row>
    <row r="5554" spans="1:5" x14ac:dyDescent="0.25">
      <c r="A5554" t="str">
        <f>HYPERLINK("https://www.773grp.com/globalSearch/SN74LS132MR1/page-1", "SN74LS132MR1")</f>
        <v>SN74LS132MR1</v>
      </c>
      <c r="B5554" s="3" t="str">
        <f>HYPERLINK("https://www.773grp.com/manufacturer/onsemi?pageNo=161", "Onsemi")</f>
        <v>Onsemi</v>
      </c>
      <c r="C5554" s="6">
        <v>7000</v>
      </c>
      <c r="D5554" s="7">
        <v>0.69</v>
      </c>
    </row>
    <row r="5555" spans="1:5" x14ac:dyDescent="0.25">
      <c r="A5555" t="str">
        <f>HYPERLINK("https://www.773grp.com/globalSearch/SN74LS138D/page-1", "SN74LS138D")</f>
        <v>SN74LS138D</v>
      </c>
      <c r="B5555" s="3" t="str">
        <f>HYPERLINK("https://www.773grp.com/manufacturer/onsemi?pageNo=162", "Onsemi")</f>
        <v>Onsemi</v>
      </c>
      <c r="C5555" s="6">
        <v>13689</v>
      </c>
      <c r="D5555" s="7">
        <v>0.69</v>
      </c>
      <c r="E5555" t="s">
        <v>32</v>
      </c>
    </row>
    <row r="5556" spans="1:5" x14ac:dyDescent="0.25">
      <c r="A5556" t="str">
        <f>HYPERLINK("https://www.773grp.com/globalSearch/SN74LS138M/page-1", "SN74LS138M")</f>
        <v>SN74LS138M</v>
      </c>
      <c r="B5556" s="3" t="str">
        <f>HYPERLINK("https://www.773grp.com/manufacturer/onsemi?pageNo=163", "Onsemi")</f>
        <v>Onsemi</v>
      </c>
      <c r="C5556" s="6">
        <v>3052</v>
      </c>
      <c r="D5556" s="7">
        <v>0.69</v>
      </c>
      <c r="E5556" t="s">
        <v>32</v>
      </c>
    </row>
    <row r="5557" spans="1:5" x14ac:dyDescent="0.25">
      <c r="A5557" t="str">
        <f>HYPERLINK("https://www.773grp.com/globalSearch/SN74LS138ML1/page-1", "SN74LS138ML1")</f>
        <v>SN74LS138ML1</v>
      </c>
      <c r="B5557" s="3" t="str">
        <f>HYPERLINK("https://www.773grp.com/manufacturer/onsemi?pageNo=164", "Onsemi")</f>
        <v>Onsemi</v>
      </c>
      <c r="C5557" s="6">
        <v>3000</v>
      </c>
      <c r="D5557" s="7">
        <v>0.69</v>
      </c>
    </row>
    <row r="5558" spans="1:5" x14ac:dyDescent="0.25">
      <c r="A5558" t="str">
        <f>HYPERLINK("https://www.773grp.com/globalSearch/SN74LS138MR1/page-1", "SN74LS138MR1")</f>
        <v>SN74LS138MR1</v>
      </c>
      <c r="B5558" s="3" t="str">
        <f>HYPERLINK("https://www.773grp.com/manufacturer/onsemi?pageNo=165", "Onsemi")</f>
        <v>Onsemi</v>
      </c>
      <c r="C5558" s="6">
        <v>66000</v>
      </c>
      <c r="D5558" s="7">
        <v>0.69</v>
      </c>
      <c r="E5558" t="s">
        <v>32</v>
      </c>
    </row>
    <row r="5559" spans="1:5" x14ac:dyDescent="0.25">
      <c r="A5559" t="str">
        <f>HYPERLINK("https://www.773grp.com/globalSearch/SN74LS139D/page-1", "SN74LS139D")</f>
        <v>SN74LS139D</v>
      </c>
      <c r="B5559" s="3" t="str">
        <f>HYPERLINK("https://www.773grp.com/manufacturer/onsemi?pageNo=166", "Onsemi")</f>
        <v>Onsemi</v>
      </c>
      <c r="C5559" s="6">
        <v>6552</v>
      </c>
      <c r="D5559" s="7">
        <v>0.69</v>
      </c>
      <c r="E5559" t="s">
        <v>32</v>
      </c>
    </row>
    <row r="5560" spans="1:5" x14ac:dyDescent="0.25">
      <c r="A5560" t="str">
        <f>HYPERLINK("https://www.773grp.com/globalSearch/SN74LS155D/page-1", "SN74LS155D")</f>
        <v>SN74LS155D</v>
      </c>
      <c r="B5560" s="3" t="str">
        <f>HYPERLINK("https://www.773grp.com/manufacturer/onsemi?pageNo=167", "Onsemi")</f>
        <v>Onsemi</v>
      </c>
      <c r="C5560" s="6">
        <v>276</v>
      </c>
      <c r="D5560" s="7">
        <v>0.69</v>
      </c>
      <c r="E5560" t="s">
        <v>32</v>
      </c>
    </row>
    <row r="5561" spans="1:5" x14ac:dyDescent="0.25">
      <c r="A5561" t="str">
        <f>HYPERLINK("https://www.773grp.com/globalSearch/SN74LS155MEL/page-1", "SN74LS155MEL")</f>
        <v>SN74LS155MEL</v>
      </c>
      <c r="B5561" s="3" t="str">
        <f>HYPERLINK("https://www.773grp.com/manufacturer/onsemi?pageNo=168", "Onsemi")</f>
        <v>Onsemi</v>
      </c>
      <c r="C5561" s="6">
        <v>12000</v>
      </c>
      <c r="D5561" s="7">
        <v>0.69</v>
      </c>
    </row>
    <row r="5562" spans="1:5" x14ac:dyDescent="0.25">
      <c r="A5562" t="str">
        <f>HYPERLINK("https://www.773grp.com/globalSearch/SN74LS155ML1/page-1", "SN74LS155ML1")</f>
        <v>SN74LS155ML1</v>
      </c>
      <c r="B5562" s="3" t="str">
        <f>HYPERLINK("https://www.773grp.com/manufacturer/onsemi?pageNo=169", "Onsemi")</f>
        <v>Onsemi</v>
      </c>
      <c r="C5562" s="6">
        <v>3000</v>
      </c>
      <c r="D5562" s="7">
        <v>0.69</v>
      </c>
    </row>
    <row r="5563" spans="1:5" x14ac:dyDescent="0.25">
      <c r="A5563" t="str">
        <f>HYPERLINK("https://www.773grp.com/globalSearch/SN74LS155N/page-1", "SN74LS155N")</f>
        <v>SN74LS155N</v>
      </c>
      <c r="B5563" s="3" t="str">
        <f>HYPERLINK("https://www.773grp.com/manufacturer/onsemi?pageNo=170", "Onsemi")</f>
        <v>Onsemi</v>
      </c>
      <c r="C5563" s="6">
        <v>9431</v>
      </c>
      <c r="D5563" s="7">
        <v>0.69</v>
      </c>
      <c r="E5563" t="s">
        <v>32</v>
      </c>
    </row>
    <row r="5564" spans="1:5" x14ac:dyDescent="0.25">
      <c r="A5564" t="str">
        <f>HYPERLINK("https://www.773grp.com/globalSearch/SN74LS156D/page-1", "SN74LS156D")</f>
        <v>SN74LS156D</v>
      </c>
      <c r="B5564" s="3" t="str">
        <f>HYPERLINK("https://www.773grp.com/manufacturer/onsemi?pageNo=171", "Onsemi")</f>
        <v>Onsemi</v>
      </c>
      <c r="C5564" s="6">
        <v>752</v>
      </c>
      <c r="D5564" s="7">
        <v>0.69</v>
      </c>
      <c r="E5564" t="s">
        <v>32</v>
      </c>
    </row>
    <row r="5565" spans="1:5" x14ac:dyDescent="0.25">
      <c r="A5565" t="str">
        <f>HYPERLINK("https://www.773grp.com/globalSearch/SN74LS157D/page-1", "SN74LS157D")</f>
        <v>SN74LS157D</v>
      </c>
      <c r="B5565" s="3" t="str">
        <f>HYPERLINK("https://www.773grp.com/manufacturer/onsemi?pageNo=172", "Onsemi")</f>
        <v>Onsemi</v>
      </c>
      <c r="C5565" s="6">
        <v>2496</v>
      </c>
      <c r="D5565" s="7">
        <v>0.69</v>
      </c>
      <c r="E5565" t="s">
        <v>16</v>
      </c>
    </row>
    <row r="5566" spans="1:5" x14ac:dyDescent="0.25">
      <c r="A5566" t="str">
        <f>HYPERLINK("https://www.773grp.com/globalSearch/SN74LS157M/page-1", "SN74LS157M")</f>
        <v>SN74LS157M</v>
      </c>
      <c r="B5566" s="3" t="str">
        <f>HYPERLINK("https://www.773grp.com/manufacturer/onsemi?pageNo=173", "Onsemi")</f>
        <v>Onsemi</v>
      </c>
      <c r="C5566" s="6">
        <v>450</v>
      </c>
      <c r="D5566" s="7">
        <v>0.69</v>
      </c>
      <c r="E5566" t="s">
        <v>16</v>
      </c>
    </row>
    <row r="5567" spans="1:5" x14ac:dyDescent="0.25">
      <c r="A5567" t="str">
        <f>HYPERLINK("https://www.773grp.com/globalSearch/SN74LS157ML1/page-1", "SN74LS157ML1")</f>
        <v>SN74LS157ML1</v>
      </c>
      <c r="B5567" s="3" t="str">
        <f>HYPERLINK("https://www.773grp.com/manufacturer/onsemi?pageNo=174", "Onsemi")</f>
        <v>Onsemi</v>
      </c>
      <c r="C5567" s="6">
        <v>16000</v>
      </c>
      <c r="D5567" s="7">
        <v>0.69</v>
      </c>
    </row>
    <row r="5568" spans="1:5" x14ac:dyDescent="0.25">
      <c r="A5568" t="str">
        <f>HYPERLINK("https://www.773grp.com/globalSearch/SN74LS157MR1/page-1", "SN74LS157MR1")</f>
        <v>SN74LS157MR1</v>
      </c>
      <c r="B5568" s="3" t="str">
        <f>HYPERLINK("https://www.773grp.com/manufacturer/onsemi?pageNo=175", "Onsemi")</f>
        <v>Onsemi</v>
      </c>
      <c r="C5568" s="6">
        <v>5000</v>
      </c>
      <c r="D5568" s="7">
        <v>0.69</v>
      </c>
      <c r="E5568" t="s">
        <v>16</v>
      </c>
    </row>
    <row r="5569" spans="1:5" x14ac:dyDescent="0.25">
      <c r="A5569" t="str">
        <f>HYPERLINK("https://www.773grp.com/globalSearch/SN74LS158M/page-1", "SN74LS158M")</f>
        <v>SN74LS158M</v>
      </c>
      <c r="B5569" s="3" t="str">
        <f>HYPERLINK("https://www.773grp.com/manufacturer/onsemi?pageNo=176", "Onsemi")</f>
        <v>Onsemi</v>
      </c>
      <c r="C5569" s="6">
        <v>2500</v>
      </c>
      <c r="D5569" s="7">
        <v>0.69</v>
      </c>
    </row>
    <row r="5570" spans="1:5" x14ac:dyDescent="0.25">
      <c r="A5570" t="str">
        <f>HYPERLINK("https://www.773grp.com/globalSearch/SN74LS158MEL/page-1", "SN74LS158MEL")</f>
        <v>SN74LS158MEL</v>
      </c>
      <c r="B5570" s="3" t="str">
        <f>HYPERLINK("https://www.773grp.com/manufacturer/onsemi?pageNo=177", "Onsemi")</f>
        <v>Onsemi</v>
      </c>
      <c r="C5570" s="6">
        <v>4000</v>
      </c>
      <c r="D5570" s="7">
        <v>0.69</v>
      </c>
    </row>
    <row r="5571" spans="1:5" x14ac:dyDescent="0.25">
      <c r="A5571" t="str">
        <f>HYPERLINK("https://www.773grp.com/globalSearch/SN74LS158ML1/page-1", "SN74LS158ML1")</f>
        <v>SN74LS158ML1</v>
      </c>
      <c r="B5571" s="3" t="str">
        <f>HYPERLINK("https://www.773grp.com/manufacturer/onsemi?pageNo=178", "Onsemi")</f>
        <v>Onsemi</v>
      </c>
      <c r="C5571" s="6">
        <v>4000</v>
      </c>
      <c r="D5571" s="7">
        <v>0.69</v>
      </c>
    </row>
    <row r="5572" spans="1:5" x14ac:dyDescent="0.25">
      <c r="A5572" t="str">
        <f>HYPERLINK("https://www.773grp.com/globalSearch/SN74LS158N/page-1", "SN74LS158N")</f>
        <v>SN74LS158N</v>
      </c>
      <c r="B5572" s="3" t="str">
        <f>HYPERLINK("https://www.773grp.com/manufacturer/onsemi?pageNo=179", "Onsemi")</f>
        <v>Onsemi</v>
      </c>
      <c r="C5572" s="6">
        <v>137</v>
      </c>
      <c r="D5572" s="7">
        <v>0.69</v>
      </c>
      <c r="E5572" t="s">
        <v>16</v>
      </c>
    </row>
    <row r="5573" spans="1:5" x14ac:dyDescent="0.25">
      <c r="A5573" t="str">
        <f>HYPERLINK("https://www.773grp.com/globalSearch/SN74LS161AD/page-1", "SN74LS161AD")</f>
        <v>SN74LS161AD</v>
      </c>
      <c r="B5573" s="3" t="str">
        <f>HYPERLINK("https://www.773grp.com/manufacturer/onsemi?pageNo=180", "Onsemi")</f>
        <v>Onsemi</v>
      </c>
      <c r="C5573" s="6">
        <v>1324</v>
      </c>
      <c r="D5573" s="7">
        <v>0.69</v>
      </c>
      <c r="E5573" t="s">
        <v>22</v>
      </c>
    </row>
    <row r="5574" spans="1:5" x14ac:dyDescent="0.25">
      <c r="A5574" t="str">
        <f>HYPERLINK("https://www.773grp.com/globalSearch/SN74LS161ADR2/page-1", "SN74LS161ADR2")</f>
        <v>SN74LS161ADR2</v>
      </c>
      <c r="B5574" s="3" t="str">
        <f>HYPERLINK("https://www.773grp.com/manufacturer/onsemi?pageNo=181", "Onsemi")</f>
        <v>Onsemi</v>
      </c>
      <c r="C5574" s="6">
        <v>2500</v>
      </c>
      <c r="D5574" s="7">
        <v>0.69</v>
      </c>
      <c r="E5574" t="s">
        <v>22</v>
      </c>
    </row>
    <row r="5575" spans="1:5" x14ac:dyDescent="0.25">
      <c r="A5575" t="str">
        <f>HYPERLINK("https://www.773grp.com/globalSearch/SN74LS161AMEL/page-1", "SN74LS161AMEL")</f>
        <v>SN74LS161AMEL</v>
      </c>
      <c r="B5575" s="3" t="str">
        <f>HYPERLINK("https://www.773grp.com/manufacturer/onsemi?pageNo=182", "Onsemi")</f>
        <v>Onsemi</v>
      </c>
      <c r="C5575" s="6">
        <v>2000</v>
      </c>
      <c r="D5575" s="7">
        <v>0.69</v>
      </c>
      <c r="E5575" t="s">
        <v>22</v>
      </c>
    </row>
    <row r="5576" spans="1:5" x14ac:dyDescent="0.25">
      <c r="A5576" t="str">
        <f>HYPERLINK("https://www.773grp.com/globalSearch/SN74LS161AML/page-1", "SN74LS161AML")</f>
        <v>SN74LS161AML</v>
      </c>
      <c r="B5576" s="3" t="str">
        <f>HYPERLINK("https://www.773grp.com/manufacturer/onsemi?pageNo=183", "Onsemi")</f>
        <v>Onsemi</v>
      </c>
      <c r="C5576" s="6">
        <v>3000</v>
      </c>
      <c r="D5576" s="7">
        <v>0.69</v>
      </c>
    </row>
    <row r="5577" spans="1:5" x14ac:dyDescent="0.25">
      <c r="A5577" t="str">
        <f>HYPERLINK("https://www.773grp.com/globalSearch/SN74LS161AMR1/page-1", "SN74LS161AMR1")</f>
        <v>SN74LS161AMR1</v>
      </c>
      <c r="B5577" s="3" t="str">
        <f>HYPERLINK("https://www.773grp.com/manufacturer/onsemi?pageNo=184", "Onsemi")</f>
        <v>Onsemi</v>
      </c>
      <c r="C5577" s="6">
        <v>4000</v>
      </c>
      <c r="D5577" s="7">
        <v>0.69</v>
      </c>
      <c r="E5577" t="s">
        <v>22</v>
      </c>
    </row>
    <row r="5578" spans="1:5" x14ac:dyDescent="0.25">
      <c r="A5578" t="str">
        <f>HYPERLINK("https://www.773grp.com/globalSearch/SN74LS163AD/page-1", "SN74LS163AD")</f>
        <v>SN74LS163AD</v>
      </c>
      <c r="B5578" s="3" t="str">
        <f>HYPERLINK("https://www.773grp.com/manufacturer/onsemi?pageNo=185", "Onsemi")</f>
        <v>Onsemi</v>
      </c>
      <c r="C5578" s="6">
        <v>144</v>
      </c>
      <c r="D5578" s="7">
        <v>0.69</v>
      </c>
      <c r="E5578" t="s">
        <v>22</v>
      </c>
    </row>
    <row r="5579" spans="1:5" x14ac:dyDescent="0.25">
      <c r="A5579" t="str">
        <f>HYPERLINK("https://www.773grp.com/globalSearch/SN74LS163AM/page-1", "SN74LS163AM")</f>
        <v>SN74LS163AM</v>
      </c>
      <c r="B5579" s="3" t="str">
        <f>HYPERLINK("https://www.773grp.com/manufacturer/onsemi?pageNo=186", "Onsemi")</f>
        <v>Onsemi</v>
      </c>
      <c r="C5579" s="6">
        <v>2600</v>
      </c>
      <c r="D5579" s="7">
        <v>0.69</v>
      </c>
      <c r="E5579" t="s">
        <v>22</v>
      </c>
    </row>
    <row r="5580" spans="1:5" x14ac:dyDescent="0.25">
      <c r="A5580" t="str">
        <f>HYPERLINK("https://www.773grp.com/globalSearch/SN74LS163AML1/page-1", "SN74LS163AML1")</f>
        <v>SN74LS163AML1</v>
      </c>
      <c r="B5580" s="3" t="str">
        <f>HYPERLINK("https://www.773grp.com/manufacturer/onsemi?pageNo=187", "Onsemi")</f>
        <v>Onsemi</v>
      </c>
      <c r="C5580" s="6">
        <v>3000</v>
      </c>
      <c r="D5580" s="7">
        <v>0.69</v>
      </c>
    </row>
    <row r="5581" spans="1:5" x14ac:dyDescent="0.25">
      <c r="A5581" t="str">
        <f>HYPERLINK("https://www.773grp.com/globalSearch/SN74LS240N/page-1", "SN74LS240N")</f>
        <v>SN74LS240N</v>
      </c>
      <c r="B5581" s="3" t="str">
        <f>HYPERLINK("https://www.773grp.com/manufacturer/onsemi?pageNo=188", "Onsemi")</f>
        <v>Onsemi</v>
      </c>
      <c r="C5581" s="6">
        <v>2846</v>
      </c>
      <c r="D5581" s="7">
        <v>0.69</v>
      </c>
      <c r="E5581" t="s">
        <v>11</v>
      </c>
    </row>
    <row r="5582" spans="1:5" x14ac:dyDescent="0.25">
      <c r="A5582" t="str">
        <f>HYPERLINK("https://www.773grp.com/globalSearch/SN74LS251D/page-1", "SN74LS251D")</f>
        <v>SN74LS251D</v>
      </c>
      <c r="B5582" s="3" t="str">
        <f>HYPERLINK("https://www.773grp.com/manufacturer/onsemi?pageNo=189", "Onsemi")</f>
        <v>Onsemi</v>
      </c>
      <c r="C5582" s="6">
        <v>4584</v>
      </c>
      <c r="D5582" s="7">
        <v>0.69</v>
      </c>
      <c r="E5582" t="s">
        <v>16</v>
      </c>
    </row>
    <row r="5583" spans="1:5" x14ac:dyDescent="0.25">
      <c r="A5583" t="str">
        <f>HYPERLINK("https://www.773grp.com/globalSearch/SN74LS251MEL/page-1", "SN74LS251MEL")</f>
        <v>SN74LS251MEL</v>
      </c>
      <c r="B5583" s="3" t="str">
        <f>HYPERLINK("https://www.773grp.com/manufacturer/onsemi?pageNo=190", "Onsemi")</f>
        <v>Onsemi</v>
      </c>
      <c r="C5583" s="6">
        <v>2000</v>
      </c>
      <c r="D5583" s="7">
        <v>0.69</v>
      </c>
      <c r="E5583" t="s">
        <v>16</v>
      </c>
    </row>
    <row r="5584" spans="1:5" x14ac:dyDescent="0.25">
      <c r="A5584" t="str">
        <f>HYPERLINK("https://www.773grp.com/globalSearch/SN74LS257BD/page-1", "SN74LS257BD")</f>
        <v>SN74LS257BD</v>
      </c>
      <c r="B5584" s="3" t="str">
        <f>HYPERLINK("https://www.773grp.com/manufacturer/onsemi?pageNo=191", "Onsemi")</f>
        <v>Onsemi</v>
      </c>
      <c r="C5584" s="6">
        <v>1118</v>
      </c>
      <c r="D5584" s="7">
        <v>0.69</v>
      </c>
      <c r="E5584" t="s">
        <v>16</v>
      </c>
    </row>
    <row r="5585" spans="1:5" x14ac:dyDescent="0.25">
      <c r="A5585" t="str">
        <f>HYPERLINK("https://www.773grp.com/globalSearch/SN74LS257BMEL/page-1", "SN74LS257BMEL")</f>
        <v>SN74LS257BMEL</v>
      </c>
      <c r="B5585" s="3" t="str">
        <f>HYPERLINK("https://www.773grp.com/manufacturer/onsemi?pageNo=192", "Onsemi")</f>
        <v>Onsemi</v>
      </c>
      <c r="C5585" s="6">
        <v>2000</v>
      </c>
      <c r="D5585" s="7">
        <v>0.69</v>
      </c>
      <c r="E5585" t="s">
        <v>16</v>
      </c>
    </row>
    <row r="5586" spans="1:5" x14ac:dyDescent="0.25">
      <c r="A5586" t="str">
        <f>HYPERLINK("https://www.773grp.com/globalSearch/SN74LS257BMR1/page-1", "SN74LS257BMR1")</f>
        <v>SN74LS257BMR1</v>
      </c>
      <c r="B5586" s="3" t="str">
        <f>HYPERLINK("https://www.773grp.com/manufacturer/onsemi?pageNo=193", "Onsemi")</f>
        <v>Onsemi</v>
      </c>
      <c r="C5586" s="6">
        <v>2000</v>
      </c>
      <c r="D5586" s="7">
        <v>0.69</v>
      </c>
      <c r="E5586" t="s">
        <v>16</v>
      </c>
    </row>
    <row r="5587" spans="1:5" x14ac:dyDescent="0.25">
      <c r="A5587" t="str">
        <f>HYPERLINK("https://www.773grp.com/globalSearch/SN74LS258BD/page-1", "SN74LS258BD")</f>
        <v>SN74LS258BD</v>
      </c>
      <c r="B5587" s="3" t="str">
        <f>HYPERLINK("https://www.773grp.com/manufacturer/onsemi?pageNo=194", "Onsemi")</f>
        <v>Onsemi</v>
      </c>
      <c r="C5587" s="6">
        <v>11328</v>
      </c>
      <c r="D5587" s="7">
        <v>0.69</v>
      </c>
      <c r="E5587" t="s">
        <v>16</v>
      </c>
    </row>
    <row r="5588" spans="1:5" x14ac:dyDescent="0.25">
      <c r="A5588" t="str">
        <f>HYPERLINK("https://www.773grp.com/globalSearch/SN74LS258BDR2/page-1", "SN74LS258BDR2")</f>
        <v>SN74LS258BDR2</v>
      </c>
      <c r="B5588" s="3" t="str">
        <f>HYPERLINK("https://www.773grp.com/manufacturer/onsemi?pageNo=195", "Onsemi")</f>
        <v>Onsemi</v>
      </c>
      <c r="C5588" s="6">
        <v>27500</v>
      </c>
      <c r="D5588" s="7">
        <v>0.69</v>
      </c>
      <c r="E5588" t="s">
        <v>16</v>
      </c>
    </row>
    <row r="5589" spans="1:5" x14ac:dyDescent="0.25">
      <c r="A5589" t="str">
        <f>HYPERLINK("https://www.773grp.com/globalSearch/SN74LS258BML1/page-1", "SN74LS258BML1")</f>
        <v>SN74LS258BML1</v>
      </c>
      <c r="B5589" s="3" t="str">
        <f>HYPERLINK("https://www.773grp.com/manufacturer/onsemi?pageNo=196", "Onsemi")</f>
        <v>Onsemi</v>
      </c>
      <c r="C5589" s="6">
        <v>5000</v>
      </c>
      <c r="D5589" s="7">
        <v>0.69</v>
      </c>
    </row>
    <row r="5590" spans="1:5" x14ac:dyDescent="0.25">
      <c r="A5590" t="str">
        <f>HYPERLINK("https://www.773grp.com/globalSearch/SN74LS2600D/page-1", "SN74LS2600D")</f>
        <v>SN74LS2600D</v>
      </c>
      <c r="B5590" s="3" t="str">
        <f>HYPERLINK("https://www.773grp.com/manufacturer/onsemi?pageNo=197", "Onsemi")</f>
        <v>Onsemi</v>
      </c>
      <c r="C5590" s="6">
        <v>1660</v>
      </c>
      <c r="D5590" s="7">
        <v>0.69</v>
      </c>
    </row>
    <row r="5591" spans="1:5" x14ac:dyDescent="0.25">
      <c r="A5591" t="str">
        <f>HYPERLINK("https://www.773grp.com/globalSearch/SN74LS266N/page-1", "SN74LS266N")</f>
        <v>SN74LS266N</v>
      </c>
      <c r="B5591" s="3" t="str">
        <f>HYPERLINK("https://www.773grp.com/manufacturer/onsemi?pageNo=198", "Onsemi")</f>
        <v>Onsemi</v>
      </c>
      <c r="C5591" s="6">
        <v>555</v>
      </c>
      <c r="D5591" s="7">
        <v>0.69</v>
      </c>
      <c r="E5591" t="s">
        <v>27</v>
      </c>
    </row>
    <row r="5592" spans="1:5" x14ac:dyDescent="0.25">
      <c r="A5592" t="str">
        <f>HYPERLINK("https://www.773grp.com/globalSearch/SN74LS85D/page-1", "SN74LS85D")</f>
        <v>SN74LS85D</v>
      </c>
      <c r="B5592" s="3" t="str">
        <f>HYPERLINK("https://www.773grp.com/manufacturer/onsemi?pageNo=199", "Onsemi")</f>
        <v>Onsemi</v>
      </c>
      <c r="C5592" s="6">
        <v>536</v>
      </c>
      <c r="D5592" s="7">
        <v>0.69</v>
      </c>
      <c r="E5592" t="s">
        <v>38</v>
      </c>
    </row>
    <row r="5593" spans="1:5" x14ac:dyDescent="0.25">
      <c r="A5593" t="str">
        <f>HYPERLINK("https://www.773grp.com/globalSearch/SN74LS85MEL/page-1", "SN74LS85MEL")</f>
        <v>SN74LS85MEL</v>
      </c>
      <c r="B5593" s="3" t="str">
        <f>HYPERLINK("https://www.773grp.com/manufacturer/onsemi?pageNo=200", "Onsemi")</f>
        <v>Onsemi</v>
      </c>
      <c r="C5593" s="6">
        <v>2000</v>
      </c>
      <c r="D5593" s="7">
        <v>0.69</v>
      </c>
      <c r="E5593" t="s">
        <v>38</v>
      </c>
    </row>
    <row r="5594" spans="1:5" x14ac:dyDescent="0.25">
      <c r="A5594" t="str">
        <f>HYPERLINK("https://www.773grp.com/globalSearch/SN74LS85ML1/page-1", "SN74LS85ML1")</f>
        <v>SN74LS85ML1</v>
      </c>
      <c r="B5594" s="3" t="str">
        <f>HYPERLINK("https://www.773grp.com/manufacturer/onsemi?pageNo=201", "Onsemi")</f>
        <v>Onsemi</v>
      </c>
      <c r="C5594" s="6">
        <v>6000</v>
      </c>
      <c r="D5594" s="7">
        <v>0.69</v>
      </c>
    </row>
    <row r="5595" spans="1:5" x14ac:dyDescent="0.25">
      <c r="A5595" t="str">
        <f>HYPERLINK("https://www.773grp.com/globalSearch/SZ1SMB5.0AT3G/page-1", "SZ1SMB5.0AT3G")</f>
        <v>SZ1SMB5.0AT3G</v>
      </c>
      <c r="B5595" s="3" t="str">
        <f>HYPERLINK("https://www.773grp.com/manufacturer/onsemi?pageNo=202", "Onsemi")</f>
        <v>Onsemi</v>
      </c>
      <c r="C5595" s="6">
        <v>12500</v>
      </c>
      <c r="D5595" s="7">
        <v>0.69</v>
      </c>
    </row>
    <row r="5596" spans="1:5" x14ac:dyDescent="0.25">
      <c r="A5596" t="str">
        <f>HYPERLINK("https://www.773grp.com/globalSearch/SZ30016-86RL/page-1", "SZ30016-86RL")</f>
        <v>SZ30016-86RL</v>
      </c>
      <c r="B5596" s="3" t="str">
        <f>HYPERLINK("https://www.773grp.com/manufacturer/onsemi?pageNo=203", "Onsemi")</f>
        <v>Onsemi</v>
      </c>
      <c r="C5596" s="6">
        <v>5000</v>
      </c>
      <c r="D5596" s="7">
        <v>0.69</v>
      </c>
    </row>
    <row r="5597" spans="1:5" x14ac:dyDescent="0.25">
      <c r="A5597" t="str">
        <f>HYPERLINK("https://www.773grp.com/globalSearch/TIP116/page-1", "TIP116")</f>
        <v>TIP116</v>
      </c>
      <c r="B5597" s="3" t="str">
        <f>HYPERLINK("https://www.773grp.com/manufacturer/onsemi?pageNo=204", "Onsemi")</f>
        <v>Onsemi</v>
      </c>
      <c r="C5597" s="6">
        <v>1350</v>
      </c>
      <c r="D5597" s="7">
        <v>0.69</v>
      </c>
      <c r="E5597" t="s">
        <v>47</v>
      </c>
    </row>
    <row r="5598" spans="1:5" x14ac:dyDescent="0.25">
      <c r="A5598" t="str">
        <f>HYPERLINK("https://www.773grp.com/globalSearch/TIP125/page-1", "TIP125")</f>
        <v>TIP125</v>
      </c>
      <c r="B5598" s="3" t="str">
        <f>HYPERLINK("https://www.773grp.com/manufacturer/onsemi?pageNo=205", "Onsemi")</f>
        <v>Onsemi</v>
      </c>
      <c r="C5598" s="6">
        <v>4550</v>
      </c>
      <c r="D5598" s="7">
        <v>0.69</v>
      </c>
      <c r="E5598" t="s">
        <v>47</v>
      </c>
    </row>
    <row r="5599" spans="1:5" x14ac:dyDescent="0.25">
      <c r="A5599" t="str">
        <f>HYPERLINK("https://www.773grp.com/globalSearch/TIP126/page-1", "TIP126")</f>
        <v>TIP126</v>
      </c>
      <c r="B5599" s="3" t="str">
        <f>HYPERLINK("https://www.773grp.com/manufacturer/onsemi?pageNo=206", "Onsemi")</f>
        <v>Onsemi</v>
      </c>
      <c r="C5599" s="6">
        <v>7312</v>
      </c>
      <c r="D5599" s="7">
        <v>0.69</v>
      </c>
      <c r="E5599" t="s">
        <v>47</v>
      </c>
    </row>
    <row r="5600" spans="1:5" x14ac:dyDescent="0.25">
      <c r="A5600" t="str">
        <f>HYPERLINK("https://www.773grp.com/globalSearch/TIP127/page-1", "TIP127")</f>
        <v>TIP127</v>
      </c>
      <c r="B5600" s="3" t="str">
        <f>HYPERLINK("https://www.773grp.com/manufacturer/onsemi?pageNo=207", "Onsemi")</f>
        <v>Onsemi</v>
      </c>
      <c r="C5600" s="6">
        <v>610</v>
      </c>
      <c r="D5600" s="7">
        <v>0.69</v>
      </c>
      <c r="E5600" t="s">
        <v>47</v>
      </c>
    </row>
    <row r="5601" spans="1:5" x14ac:dyDescent="0.25">
      <c r="A5601" t="str">
        <f>HYPERLINK("https://www.773grp.com/globalSearch/TL431BCDMR2G/page-1", "TL431BCDMR2G")</f>
        <v>TL431BCDMR2G</v>
      </c>
      <c r="B5601" s="3" t="str">
        <f>HYPERLINK("https://www.773grp.com/manufacturer/onsemi?pageNo=208", "Onsemi")</f>
        <v>Onsemi</v>
      </c>
      <c r="C5601" s="6">
        <v>15938</v>
      </c>
      <c r="D5601" s="7">
        <v>0.69</v>
      </c>
      <c r="E5601" t="s">
        <v>13</v>
      </c>
    </row>
    <row r="5602" spans="1:5" x14ac:dyDescent="0.25">
      <c r="A5602" t="str">
        <f>HYPERLINK("https://www.773grp.com/globalSearch/TL431BCDR2G/page-1", "TL431BCDR2G")</f>
        <v>TL431BCDR2G</v>
      </c>
      <c r="B5602" s="3" t="str">
        <f>HYPERLINK("https://www.773grp.com/manufacturer/onsemi?pageNo=209", "Onsemi")</f>
        <v>Onsemi</v>
      </c>
      <c r="C5602" s="6">
        <v>17844</v>
      </c>
      <c r="D5602" s="7">
        <v>0.69</v>
      </c>
      <c r="E5602" t="s">
        <v>13</v>
      </c>
    </row>
    <row r="5603" spans="1:5" x14ac:dyDescent="0.25">
      <c r="A5603" t="str">
        <f>HYPERLINK("https://www.773grp.com/globalSearch/TL431BCLPG/page-1", "TL431BCLPG")</f>
        <v>TL431BCLPG</v>
      </c>
      <c r="B5603" s="3" t="str">
        <f>HYPERLINK("https://www.773grp.com/manufacturer/onsemi?pageNo=210", "Onsemi")</f>
        <v>Onsemi</v>
      </c>
      <c r="C5603" s="6">
        <v>16293</v>
      </c>
      <c r="D5603" s="7">
        <v>0.69</v>
      </c>
      <c r="E5603" t="s">
        <v>13</v>
      </c>
    </row>
    <row r="5604" spans="1:5" x14ac:dyDescent="0.25">
      <c r="A5604" t="str">
        <f>HYPERLINK("https://www.773grp.com/globalSearch/TL431BCLPRMG/page-1", "TL431BCLPRMG")</f>
        <v>TL431BCLPRMG</v>
      </c>
      <c r="B5604" s="3" t="str">
        <f>HYPERLINK("https://www.773grp.com/manufacturer/onsemi?pageNo=211", "Onsemi")</f>
        <v>Onsemi</v>
      </c>
      <c r="C5604" s="6">
        <v>30000</v>
      </c>
      <c r="D5604" s="7">
        <v>0.69</v>
      </c>
    </row>
    <row r="5605" spans="1:5" x14ac:dyDescent="0.25">
      <c r="A5605" t="str">
        <f>HYPERLINK("https://www.773grp.com/globalSearch/NC74ACT02NG/page-1", "NC74ACT02NG")</f>
        <v>NC74ACT02NG</v>
      </c>
      <c r="B5605" s="3" t="str">
        <f>HYPERLINK("https://www.773grp.com/manufacturer/onsemi?pageNo=212", "Onsemi")</f>
        <v>Onsemi</v>
      </c>
      <c r="C5605" s="6">
        <v>800</v>
      </c>
      <c r="D5605" s="7">
        <v>0.71</v>
      </c>
    </row>
    <row r="5606" spans="1:5" x14ac:dyDescent="0.25">
      <c r="A5606" t="str">
        <f>HYPERLINK("https://www.773grp.com/globalSearch/1.5KE100CARL4/page-1", "1.5KE100CARL4")</f>
        <v>1.5KE100CARL4</v>
      </c>
      <c r="B5606" s="3" t="str">
        <f>HYPERLINK("https://www.773grp.com/manufacturer/onsemi?pageNo=213", "Onsemi")</f>
        <v>Onsemi</v>
      </c>
      <c r="C5606" s="6">
        <v>21500</v>
      </c>
      <c r="D5606" s="7">
        <v>0.74</v>
      </c>
      <c r="E5606" t="s">
        <v>75</v>
      </c>
    </row>
    <row r="5607" spans="1:5" x14ac:dyDescent="0.25">
      <c r="A5607" t="str">
        <f>HYPERLINK("https://www.773grp.com/globalSearch/1.5KE10CA/page-1", "1.5KE10CA")</f>
        <v>1.5KE10CA</v>
      </c>
      <c r="B5607" s="3" t="str">
        <f>HYPERLINK("https://www.773grp.com/manufacturer/onsemi?pageNo=214", "Onsemi")</f>
        <v>Onsemi</v>
      </c>
      <c r="C5607" s="6">
        <v>8437</v>
      </c>
      <c r="D5607" s="7">
        <v>0.74</v>
      </c>
      <c r="E5607" t="s">
        <v>75</v>
      </c>
    </row>
    <row r="5608" spans="1:5" x14ac:dyDescent="0.25">
      <c r="A5608" t="str">
        <f>HYPERLINK("https://www.773grp.com/globalSearch/1.5KE10CARL4/page-1", "1.5KE10CARL4")</f>
        <v>1.5KE10CARL4</v>
      </c>
      <c r="B5608" s="3" t="str">
        <f>HYPERLINK("https://www.773grp.com/manufacturer/onsemi?pageNo=215", "Onsemi")</f>
        <v>Onsemi</v>
      </c>
      <c r="C5608" s="6">
        <v>9000</v>
      </c>
      <c r="D5608" s="7">
        <v>0.74</v>
      </c>
      <c r="E5608" t="s">
        <v>75</v>
      </c>
    </row>
    <row r="5609" spans="1:5" x14ac:dyDescent="0.25">
      <c r="A5609" t="str">
        <f>HYPERLINK("https://www.773grp.com/globalSearch/1.5KE120CARL4/page-1", "1.5KE120CARL4")</f>
        <v>1.5KE120CARL4</v>
      </c>
      <c r="B5609" s="3" t="str">
        <f>HYPERLINK("https://www.773grp.com/manufacturer/onsemi?pageNo=216", "Onsemi")</f>
        <v>Onsemi</v>
      </c>
      <c r="C5609" s="6">
        <v>3000</v>
      </c>
      <c r="D5609" s="7">
        <v>0.74</v>
      </c>
      <c r="E5609" t="s">
        <v>75</v>
      </c>
    </row>
    <row r="5610" spans="1:5" x14ac:dyDescent="0.25">
      <c r="A5610" t="str">
        <f>HYPERLINK("https://www.773grp.com/globalSearch/1.5KE13ARL4G/page-1", "1.5KE13ARL4G")</f>
        <v>1.5KE13ARL4G</v>
      </c>
      <c r="B5610" s="3" t="str">
        <f>HYPERLINK("https://www.773grp.com/manufacturer/onsemi?pageNo=217", "Onsemi")</f>
        <v>Onsemi</v>
      </c>
      <c r="C5610" s="6">
        <v>231730</v>
      </c>
      <c r="D5610" s="7">
        <v>0.74</v>
      </c>
      <c r="E5610" t="s">
        <v>75</v>
      </c>
    </row>
    <row r="5611" spans="1:5" x14ac:dyDescent="0.25">
      <c r="A5611" t="str">
        <f>HYPERLINK("https://www.773grp.com/globalSearch/1.5KE15CA/page-1", "1.5KE15CA")</f>
        <v>1.5KE15CA</v>
      </c>
      <c r="B5611" s="3" t="str">
        <f>HYPERLINK("https://www.773grp.com/manufacturer/onsemi?pageNo=218", "Onsemi")</f>
        <v>Onsemi</v>
      </c>
      <c r="C5611" s="6">
        <v>35550</v>
      </c>
      <c r="D5611" s="7">
        <v>0.74</v>
      </c>
      <c r="E5611" t="s">
        <v>75</v>
      </c>
    </row>
    <row r="5612" spans="1:5" x14ac:dyDescent="0.25">
      <c r="A5612" t="str">
        <f>HYPERLINK("https://www.773grp.com/globalSearch/1.5KE15CARL4/page-1", "1.5KE15CARL4")</f>
        <v>1.5KE15CARL4</v>
      </c>
      <c r="B5612" s="3" t="str">
        <f>HYPERLINK("https://www.773grp.com/manufacturer/onsemi?pageNo=219", "Onsemi")</f>
        <v>Onsemi</v>
      </c>
      <c r="C5612" s="6">
        <v>9000</v>
      </c>
      <c r="D5612" s="7">
        <v>0.74</v>
      </c>
      <c r="E5612" t="s">
        <v>75</v>
      </c>
    </row>
    <row r="5613" spans="1:5" x14ac:dyDescent="0.25">
      <c r="A5613" t="str">
        <f>HYPERLINK("https://www.773grp.com/globalSearch/1.5KE16ARL4G/page-1", "1.5KE16ARL4G")</f>
        <v>1.5KE16ARL4G</v>
      </c>
      <c r="B5613" s="3" t="str">
        <f>HYPERLINK("https://www.773grp.com/manufacturer/onsemi?pageNo=220", "Onsemi")</f>
        <v>Onsemi</v>
      </c>
      <c r="C5613" s="6">
        <v>9090</v>
      </c>
      <c r="D5613" s="7">
        <v>0.74</v>
      </c>
      <c r="E5613" t="s">
        <v>75</v>
      </c>
    </row>
    <row r="5614" spans="1:5" x14ac:dyDescent="0.25">
      <c r="A5614" t="str">
        <f>HYPERLINK("https://www.773grp.com/globalSearch/1.5KE16CA/page-1", "1.5KE16CA")</f>
        <v>1.5KE16CA</v>
      </c>
      <c r="B5614" s="3" t="str">
        <f>HYPERLINK("https://www.773grp.com/manufacturer/onsemi?pageNo=221", "Onsemi")</f>
        <v>Onsemi</v>
      </c>
      <c r="C5614" s="6">
        <v>1027</v>
      </c>
      <c r="D5614" s="7">
        <v>0.74</v>
      </c>
      <c r="E5614" t="s">
        <v>75</v>
      </c>
    </row>
    <row r="5615" spans="1:5" x14ac:dyDescent="0.25">
      <c r="A5615" t="str">
        <f>HYPERLINK("https://www.773grp.com/globalSearch/1.5KE180ARL4/page-1", "1.5KE180ARL4")</f>
        <v>1.5KE180ARL4</v>
      </c>
      <c r="B5615" s="3" t="str">
        <f>HYPERLINK("https://www.773grp.com/manufacturer/onsemi?pageNo=222", "Onsemi")</f>
        <v>Onsemi</v>
      </c>
      <c r="C5615" s="6">
        <v>4500</v>
      </c>
      <c r="D5615" s="7">
        <v>0.74</v>
      </c>
      <c r="E5615" t="s">
        <v>75</v>
      </c>
    </row>
    <row r="5616" spans="1:5" x14ac:dyDescent="0.25">
      <c r="A5616" t="str">
        <f>HYPERLINK("https://www.773grp.com/globalSearch/1.5KE180CARL4/page-1", "1.5KE180CARL4")</f>
        <v>1.5KE180CARL4</v>
      </c>
      <c r="B5616" s="3" t="str">
        <f>HYPERLINK("https://www.773grp.com/manufacturer/onsemi?pageNo=223", "Onsemi")</f>
        <v>Onsemi</v>
      </c>
      <c r="C5616" s="6">
        <v>4500</v>
      </c>
      <c r="D5616" s="7">
        <v>0.74</v>
      </c>
      <c r="E5616" t="s">
        <v>75</v>
      </c>
    </row>
    <row r="5617" spans="1:5" x14ac:dyDescent="0.25">
      <c r="A5617" t="str">
        <f>HYPERLINK("https://www.773grp.com/globalSearch/1.5KE18ARL4G/page-1", "1.5KE18ARL4G")</f>
        <v>1.5KE18ARL4G</v>
      </c>
      <c r="B5617" s="3" t="str">
        <f>HYPERLINK("https://www.773grp.com/manufacturer/onsemi?pageNo=224", "Onsemi")</f>
        <v>Onsemi</v>
      </c>
      <c r="C5617" s="6">
        <v>22500</v>
      </c>
      <c r="D5617" s="7">
        <v>0.74</v>
      </c>
      <c r="E5617" t="s">
        <v>75</v>
      </c>
    </row>
    <row r="5618" spans="1:5" x14ac:dyDescent="0.25">
      <c r="A5618" t="str">
        <f>HYPERLINK("https://www.773grp.com/globalSearch/1.5KE20CA/page-1", "1.5KE20CA")</f>
        <v>1.5KE20CA</v>
      </c>
      <c r="B5618" s="3" t="str">
        <f>HYPERLINK("https://www.773grp.com/manufacturer/onsemi?pageNo=225", "Onsemi")</f>
        <v>Onsemi</v>
      </c>
      <c r="C5618" s="6">
        <v>377</v>
      </c>
      <c r="D5618" s="7">
        <v>0.74</v>
      </c>
      <c r="E5618" t="s">
        <v>75</v>
      </c>
    </row>
    <row r="5619" spans="1:5" x14ac:dyDescent="0.25">
      <c r="A5619" t="str">
        <f>HYPERLINK("https://www.773grp.com/globalSearch/1.5KE220A/page-1", "1.5KE220A")</f>
        <v>1.5KE220A</v>
      </c>
      <c r="B5619" s="3" t="str">
        <f>HYPERLINK("https://www.773grp.com/manufacturer/onsemi?pageNo=226", "Onsemi")</f>
        <v>Onsemi</v>
      </c>
      <c r="C5619" s="6">
        <v>8628</v>
      </c>
      <c r="D5619" s="7">
        <v>0.74</v>
      </c>
      <c r="E5619" t="s">
        <v>75</v>
      </c>
    </row>
    <row r="5620" spans="1:5" x14ac:dyDescent="0.25">
      <c r="A5620" t="str">
        <f>HYPERLINK("https://www.773grp.com/globalSearch/1.5KE22CA/page-1", "1.5KE22CA")</f>
        <v>1.5KE22CA</v>
      </c>
      <c r="B5620" s="3" t="str">
        <f>HYPERLINK("https://www.773grp.com/manufacturer/onsemi?pageNo=227", "Onsemi")</f>
        <v>Onsemi</v>
      </c>
      <c r="C5620" s="6">
        <v>2000</v>
      </c>
      <c r="D5620" s="7">
        <v>0.74</v>
      </c>
      <c r="E5620" t="s">
        <v>75</v>
      </c>
    </row>
    <row r="5621" spans="1:5" x14ac:dyDescent="0.25">
      <c r="A5621" t="str">
        <f>HYPERLINK("https://www.773grp.com/globalSearch/1.5KE22CARL4/page-1", "1.5KE22CARL4")</f>
        <v>1.5KE22CARL4</v>
      </c>
      <c r="B5621" s="3" t="str">
        <f>HYPERLINK("https://www.773grp.com/manufacturer/onsemi?pageNo=228", "Onsemi")</f>
        <v>Onsemi</v>
      </c>
      <c r="C5621" s="6">
        <v>6000</v>
      </c>
      <c r="D5621" s="7">
        <v>0.74</v>
      </c>
      <c r="E5621" t="s">
        <v>75</v>
      </c>
    </row>
    <row r="5622" spans="1:5" x14ac:dyDescent="0.25">
      <c r="A5622" t="str">
        <f>HYPERLINK("https://www.773grp.com/globalSearch/1.5KE24CARL4/page-1", "1.5KE24CARL4")</f>
        <v>1.5KE24CARL4</v>
      </c>
      <c r="B5622" s="3" t="str">
        <f>HYPERLINK("https://www.773grp.com/manufacturer/onsemi?pageNo=229", "Onsemi")</f>
        <v>Onsemi</v>
      </c>
      <c r="C5622" s="6">
        <v>19500</v>
      </c>
      <c r="D5622" s="7">
        <v>0.74</v>
      </c>
      <c r="E5622" t="s">
        <v>75</v>
      </c>
    </row>
    <row r="5623" spans="1:5" x14ac:dyDescent="0.25">
      <c r="A5623" t="str">
        <f>HYPERLINK("https://www.773grp.com/globalSearch/1.5KE27ARL4G/page-1", "1.5KE27ARL4G")</f>
        <v>1.5KE27ARL4G</v>
      </c>
      <c r="B5623" s="3" t="str">
        <f>HYPERLINK("https://www.773grp.com/manufacturer/onsemi?pageNo=230", "Onsemi")</f>
        <v>Onsemi</v>
      </c>
      <c r="C5623" s="6">
        <v>48000</v>
      </c>
      <c r="D5623" s="7">
        <v>0.74</v>
      </c>
      <c r="E5623" t="s">
        <v>75</v>
      </c>
    </row>
    <row r="5624" spans="1:5" x14ac:dyDescent="0.25">
      <c r="A5624" t="str">
        <f>HYPERLINK("https://www.773grp.com/globalSearch/1.5KE27CA/page-1", "1.5KE27CA")</f>
        <v>1.5KE27CA</v>
      </c>
      <c r="B5624" s="3" t="str">
        <f>HYPERLINK("https://www.773grp.com/manufacturer/onsemi?pageNo=231", "Onsemi")</f>
        <v>Onsemi</v>
      </c>
      <c r="C5624" s="6">
        <v>11433</v>
      </c>
      <c r="D5624" s="7">
        <v>0.74</v>
      </c>
      <c r="E5624" t="s">
        <v>75</v>
      </c>
    </row>
    <row r="5625" spans="1:5" x14ac:dyDescent="0.25">
      <c r="A5625" t="str">
        <f>HYPERLINK("https://www.773grp.com/globalSearch/1.5KE30CA/page-1", "1.5KE30CA")</f>
        <v>1.5KE30CA</v>
      </c>
      <c r="B5625" s="3" t="str">
        <f>HYPERLINK("https://www.773grp.com/manufacturer/onsemi?pageNo=232", "Onsemi")</f>
        <v>Onsemi</v>
      </c>
      <c r="C5625" s="6">
        <v>14000</v>
      </c>
      <c r="D5625" s="7">
        <v>0.74</v>
      </c>
      <c r="E5625" t="s">
        <v>75</v>
      </c>
    </row>
    <row r="5626" spans="1:5" x14ac:dyDescent="0.25">
      <c r="A5626" t="str">
        <f>HYPERLINK("https://www.773grp.com/globalSearch/1.5KE33CA/page-1", "1.5KE33CA")</f>
        <v>1.5KE33CA</v>
      </c>
      <c r="B5626" s="3" t="str">
        <f>HYPERLINK("https://www.773grp.com/manufacturer/onsemi?pageNo=233", "Onsemi")</f>
        <v>Onsemi</v>
      </c>
      <c r="C5626" s="6">
        <v>12000</v>
      </c>
      <c r="D5626" s="7">
        <v>0.74</v>
      </c>
      <c r="E5626" t="s">
        <v>75</v>
      </c>
    </row>
    <row r="5627" spans="1:5" x14ac:dyDescent="0.25">
      <c r="A5627" t="str">
        <f>HYPERLINK("https://www.773grp.com/globalSearch/1.5KE36ARL4G/page-1", "1.5KE36ARL4G")</f>
        <v>1.5KE36ARL4G</v>
      </c>
      <c r="B5627" s="3" t="str">
        <f>HYPERLINK("https://www.773grp.com/manufacturer/onsemi?pageNo=234", "Onsemi")</f>
        <v>Onsemi</v>
      </c>
      <c r="C5627" s="6">
        <v>3000</v>
      </c>
      <c r="D5627" s="7">
        <v>0.74</v>
      </c>
      <c r="E5627" t="s">
        <v>75</v>
      </c>
    </row>
    <row r="5628" spans="1:5" x14ac:dyDescent="0.25">
      <c r="A5628" t="str">
        <f>HYPERLINK("https://www.773grp.com/globalSearch/1.5KE36ARL4G/page-1", "1.5KE36ARL4G")</f>
        <v>1.5KE36ARL4G</v>
      </c>
      <c r="B5628" s="3" t="str">
        <f>HYPERLINK("https://www.773grp.com/manufacturer/onsemi?pageNo=235", "Onsemi")</f>
        <v>Onsemi</v>
      </c>
      <c r="C5628" s="6">
        <v>19500</v>
      </c>
      <c r="D5628" s="7">
        <v>0.74</v>
      </c>
      <c r="E5628" t="s">
        <v>75</v>
      </c>
    </row>
    <row r="5629" spans="1:5" x14ac:dyDescent="0.25">
      <c r="A5629" t="str">
        <f>HYPERLINK("https://www.773grp.com/globalSearch/1.5KE36CA/page-1", "1.5KE36CA")</f>
        <v>1.5KE36CA</v>
      </c>
      <c r="B5629" s="3" t="str">
        <f>HYPERLINK("https://www.773grp.com/manufacturer/onsemi?pageNo=236", "Onsemi")</f>
        <v>Onsemi</v>
      </c>
      <c r="C5629" s="6">
        <v>19000</v>
      </c>
      <c r="D5629" s="7">
        <v>0.74</v>
      </c>
      <c r="E5629" t="s">
        <v>75</v>
      </c>
    </row>
    <row r="5630" spans="1:5" x14ac:dyDescent="0.25">
      <c r="A5630" t="str">
        <f>HYPERLINK("https://www.773grp.com/globalSearch/1.5KE36CARL4/page-1", "1.5KE36CARL4")</f>
        <v>1.5KE36CARL4</v>
      </c>
      <c r="B5630" s="3" t="str">
        <f>HYPERLINK("https://www.773grp.com/manufacturer/onsemi?pageNo=237", "Onsemi")</f>
        <v>Onsemi</v>
      </c>
      <c r="C5630" s="6">
        <v>5745</v>
      </c>
      <c r="D5630" s="7">
        <v>0.74</v>
      </c>
      <c r="E5630" t="s">
        <v>75</v>
      </c>
    </row>
    <row r="5631" spans="1:5" x14ac:dyDescent="0.25">
      <c r="A5631" t="str">
        <f>HYPERLINK("https://www.773grp.com/globalSearch/1.5KE43CA/page-1", "1.5KE43CA")</f>
        <v>1.5KE43CA</v>
      </c>
      <c r="B5631" s="3" t="str">
        <f>HYPERLINK("https://www.773grp.com/manufacturer/onsemi?pageNo=238", "Onsemi")</f>
        <v>Onsemi</v>
      </c>
      <c r="C5631" s="6">
        <v>8815</v>
      </c>
      <c r="D5631" s="7">
        <v>0.74</v>
      </c>
      <c r="E5631" t="s">
        <v>75</v>
      </c>
    </row>
    <row r="5632" spans="1:5" x14ac:dyDescent="0.25">
      <c r="A5632" t="str">
        <f>HYPERLINK("https://www.773grp.com/globalSearch/1.5KE43CARL4/page-1", "1.5KE43CARL4")</f>
        <v>1.5KE43CARL4</v>
      </c>
      <c r="B5632" s="3" t="str">
        <f>HYPERLINK("https://www.773grp.com/manufacturer/onsemi?pageNo=239", "Onsemi")</f>
        <v>Onsemi</v>
      </c>
      <c r="C5632" s="6">
        <v>7500</v>
      </c>
      <c r="D5632" s="7">
        <v>0.74</v>
      </c>
      <c r="E5632" t="s">
        <v>75</v>
      </c>
    </row>
    <row r="5633" spans="1:5" x14ac:dyDescent="0.25">
      <c r="A5633" t="str">
        <f>HYPERLINK("https://www.773grp.com/globalSearch/1.5KE56ARL4G/page-1", "1.5KE56ARL4G")</f>
        <v>1.5KE56ARL4G</v>
      </c>
      <c r="B5633" s="3" t="str">
        <f>HYPERLINK("https://www.773grp.com/manufacturer/onsemi?pageNo=240", "Onsemi")</f>
        <v>Onsemi</v>
      </c>
      <c r="C5633" s="6">
        <v>6000</v>
      </c>
      <c r="D5633" s="7">
        <v>0.74</v>
      </c>
      <c r="E5633" t="s">
        <v>75</v>
      </c>
    </row>
    <row r="5634" spans="1:5" x14ac:dyDescent="0.25">
      <c r="A5634" t="str">
        <f>HYPERLINK("https://www.773grp.com/globalSearch/1.5KE6.8AG/page-1", "1.5KE6.8AG")</f>
        <v>1.5KE6.8AG</v>
      </c>
      <c r="B5634" s="3" t="str">
        <f>HYPERLINK("https://www.773grp.com/manufacturer/onsemi?pageNo=241", "Onsemi")</f>
        <v>Onsemi</v>
      </c>
      <c r="C5634" s="6">
        <v>1977</v>
      </c>
      <c r="D5634" s="7">
        <v>0.74</v>
      </c>
      <c r="E5634" t="s">
        <v>75</v>
      </c>
    </row>
    <row r="5635" spans="1:5" x14ac:dyDescent="0.25">
      <c r="A5635" t="str">
        <f>HYPERLINK("https://www.773grp.com/globalSearch/1.5KE6.8ARL4G/page-1", "1.5KE6.8ARL4G")</f>
        <v>1.5KE6.8ARL4G</v>
      </c>
      <c r="B5635" s="3" t="str">
        <f>HYPERLINK("https://www.773grp.com/manufacturer/onsemi?pageNo=242", "Onsemi")</f>
        <v>Onsemi</v>
      </c>
      <c r="C5635" s="6">
        <v>6000</v>
      </c>
      <c r="D5635" s="7">
        <v>0.74</v>
      </c>
      <c r="E5635" t="s">
        <v>75</v>
      </c>
    </row>
    <row r="5636" spans="1:5" x14ac:dyDescent="0.25">
      <c r="A5636" t="str">
        <f>HYPERLINK("https://www.773grp.com/globalSearch/1.5KE62CA/page-1", "1.5KE62CA")</f>
        <v>1.5KE62CA</v>
      </c>
      <c r="B5636" s="3" t="str">
        <f>HYPERLINK("https://www.773grp.com/manufacturer/onsemi?pageNo=243", "Onsemi")</f>
        <v>Onsemi</v>
      </c>
      <c r="C5636" s="6">
        <v>5</v>
      </c>
      <c r="D5636" s="7">
        <v>0.74</v>
      </c>
      <c r="E5636" t="s">
        <v>75</v>
      </c>
    </row>
    <row r="5637" spans="1:5" x14ac:dyDescent="0.25">
      <c r="A5637" t="str">
        <f>HYPERLINK("https://www.773grp.com/globalSearch/1.5KE7.5CA/page-1", "1.5KE7.5CA")</f>
        <v>1.5KE7.5CA</v>
      </c>
      <c r="B5637" s="3" t="str">
        <f>HYPERLINK("https://www.773grp.com/manufacturer/onsemi?pageNo=244", "Onsemi")</f>
        <v>Onsemi</v>
      </c>
      <c r="C5637" s="6">
        <v>1550</v>
      </c>
      <c r="D5637" s="7">
        <v>0.74</v>
      </c>
      <c r="E5637" t="s">
        <v>75</v>
      </c>
    </row>
    <row r="5638" spans="1:5" x14ac:dyDescent="0.25">
      <c r="A5638" t="str">
        <f>HYPERLINK("https://www.773grp.com/globalSearch/1.5KE7.5CARL4/page-1", "1.5KE7.5CARL4")</f>
        <v>1.5KE7.5CARL4</v>
      </c>
      <c r="B5638" s="3" t="str">
        <f>HYPERLINK("https://www.773grp.com/manufacturer/onsemi?pageNo=245", "Onsemi")</f>
        <v>Onsemi</v>
      </c>
      <c r="C5638" s="6">
        <v>9000</v>
      </c>
      <c r="D5638" s="7">
        <v>0.74</v>
      </c>
      <c r="E5638" t="s">
        <v>75</v>
      </c>
    </row>
    <row r="5639" spans="1:5" x14ac:dyDescent="0.25">
      <c r="A5639" t="str">
        <f>HYPERLINK("https://www.773grp.com/globalSearch/1N4695/page-1", "1N4695")</f>
        <v>1N4695</v>
      </c>
      <c r="B5639" s="3" t="str">
        <f>HYPERLINK("https://www.773grp.com/manufacturer/onsemi?pageNo=246", "Onsemi")</f>
        <v>Onsemi</v>
      </c>
      <c r="C5639" s="6">
        <v>5087</v>
      </c>
      <c r="D5639" s="7">
        <v>0.74</v>
      </c>
      <c r="E5639" t="s">
        <v>77</v>
      </c>
    </row>
    <row r="5640" spans="1:5" x14ac:dyDescent="0.25">
      <c r="A5640" t="str">
        <f>HYPERLINK("https://www.773grp.com/globalSearch/1N4696/page-1", "1N4696")</f>
        <v>1N4696</v>
      </c>
      <c r="B5640" s="3" t="str">
        <f>HYPERLINK("https://www.773grp.com/manufacturer/onsemi?pageNo=247", "Onsemi")</f>
        <v>Onsemi</v>
      </c>
      <c r="C5640" s="6">
        <v>1</v>
      </c>
      <c r="D5640" s="7">
        <v>0.74</v>
      </c>
      <c r="E5640" t="s">
        <v>77</v>
      </c>
    </row>
    <row r="5641" spans="1:5" x14ac:dyDescent="0.25">
      <c r="A5641" t="str">
        <f>HYPERLINK("https://www.773grp.com/globalSearch/1N6267ARL4G/page-1", "1N6267ARL4G")</f>
        <v>1N6267ARL4G</v>
      </c>
      <c r="B5641" s="3" t="str">
        <f>HYPERLINK("https://www.773grp.com/manufacturer/onsemi?pageNo=248", "Onsemi")</f>
        <v>Onsemi</v>
      </c>
      <c r="C5641" s="6">
        <v>1084</v>
      </c>
      <c r="D5641" s="7">
        <v>0.74</v>
      </c>
    </row>
    <row r="5642" spans="1:5" x14ac:dyDescent="0.25">
      <c r="A5642" t="str">
        <f>HYPERLINK("https://www.773grp.com/globalSearch/1N6270A/page-1", "1N6270A")</f>
        <v>1N6270A</v>
      </c>
      <c r="B5642" s="3" t="str">
        <f>HYPERLINK("https://www.773grp.com/manufacturer/onsemi?pageNo=249", "Onsemi")</f>
        <v>Onsemi</v>
      </c>
      <c r="C5642" s="6">
        <v>638</v>
      </c>
      <c r="D5642" s="7">
        <v>0.74</v>
      </c>
      <c r="E5642" t="s">
        <v>75</v>
      </c>
    </row>
    <row r="5643" spans="1:5" x14ac:dyDescent="0.25">
      <c r="A5643" t="str">
        <f>HYPERLINK("https://www.773grp.com/globalSearch/1N6288ARL4G/page-1", "1N6288ARL4G")</f>
        <v>1N6288ARL4G</v>
      </c>
      <c r="B5643" s="3" t="str">
        <f>HYPERLINK("https://www.773grp.com/manufacturer/onsemi?pageNo=250", "Onsemi")</f>
        <v>Onsemi</v>
      </c>
      <c r="C5643" s="6">
        <v>3000</v>
      </c>
      <c r="D5643" s="7">
        <v>0.74</v>
      </c>
      <c r="E5643" t="s">
        <v>75</v>
      </c>
    </row>
    <row r="5644" spans="1:5" x14ac:dyDescent="0.25">
      <c r="A5644" t="str">
        <f>HYPERLINK("https://www.773grp.com/globalSearch/1SMB5914BT3G/page-1", "1SMB5914BT3G")</f>
        <v>1SMB5914BT3G</v>
      </c>
      <c r="B5644" s="3" t="str">
        <f>HYPERLINK("https://www.773grp.com/manufacturer/onsemi?pageNo=251", "Onsemi")</f>
        <v>Onsemi</v>
      </c>
      <c r="C5644" s="6">
        <v>14711</v>
      </c>
      <c r="D5644" s="7">
        <v>0.74</v>
      </c>
      <c r="E5644" t="s">
        <v>77</v>
      </c>
    </row>
    <row r="5645" spans="1:5" x14ac:dyDescent="0.25">
      <c r="A5645" t="str">
        <f>HYPERLINK("https://www.773grp.com/globalSearch/1SMB5915BT3G/page-1", "1SMB5915BT3G")</f>
        <v>1SMB5915BT3G</v>
      </c>
      <c r="B5645" s="3" t="str">
        <f>HYPERLINK("https://www.773grp.com/manufacturer/onsemi?pageNo=252", "Onsemi")</f>
        <v>Onsemi</v>
      </c>
      <c r="C5645" s="6">
        <v>644</v>
      </c>
      <c r="D5645" s="7">
        <v>0.74</v>
      </c>
      <c r="E5645" t="s">
        <v>77</v>
      </c>
    </row>
    <row r="5646" spans="1:5" x14ac:dyDescent="0.25">
      <c r="A5646" t="str">
        <f>HYPERLINK("https://www.773grp.com/globalSearch/1SMB5916BT3G/page-1", "1SMB5916BT3G")</f>
        <v>1SMB5916BT3G</v>
      </c>
      <c r="B5646" s="3" t="str">
        <f>HYPERLINK("https://www.773grp.com/manufacturer/onsemi?pageNo=253", "Onsemi")</f>
        <v>Onsemi</v>
      </c>
      <c r="C5646" s="6">
        <v>19484</v>
      </c>
      <c r="D5646" s="7">
        <v>0.74</v>
      </c>
      <c r="E5646" t="s">
        <v>77</v>
      </c>
    </row>
    <row r="5647" spans="1:5" x14ac:dyDescent="0.25">
      <c r="A5647" t="str">
        <f>HYPERLINK("https://www.773grp.com/globalSearch/1SMB5926BT3G/page-1", "1SMB5926BT3G")</f>
        <v>1SMB5926BT3G</v>
      </c>
      <c r="B5647" s="3" t="str">
        <f>HYPERLINK("https://www.773grp.com/manufacturer/onsemi?pageNo=254", "Onsemi")</f>
        <v>Onsemi</v>
      </c>
      <c r="C5647" s="6">
        <v>155000</v>
      </c>
      <c r="D5647" s="7">
        <v>0.74</v>
      </c>
      <c r="E5647" t="s">
        <v>77</v>
      </c>
    </row>
    <row r="5648" spans="1:5" x14ac:dyDescent="0.25">
      <c r="A5648" t="str">
        <f>HYPERLINK("https://www.773grp.com/globalSearch/1SMB5927BT3G/page-1", "1SMB5927BT3G")</f>
        <v>1SMB5927BT3G</v>
      </c>
      <c r="B5648" s="3" t="str">
        <f>HYPERLINK("https://www.773grp.com/manufacturer/onsemi?pageNo=255", "Onsemi")</f>
        <v>Onsemi</v>
      </c>
      <c r="C5648" s="6">
        <v>328422</v>
      </c>
      <c r="D5648" s="7">
        <v>0.74</v>
      </c>
      <c r="E5648" t="s">
        <v>77</v>
      </c>
    </row>
    <row r="5649" spans="1:5" x14ac:dyDescent="0.25">
      <c r="A5649" t="str">
        <f>HYPERLINK("https://www.773grp.com/globalSearch/1SMB5933BT3G/page-1", "1SMB5933BT3G")</f>
        <v>1SMB5933BT3G</v>
      </c>
      <c r="B5649" s="3" t="str">
        <f>HYPERLINK("https://www.773grp.com/manufacturer/onsemi?pageNo=256", "Onsemi")</f>
        <v>Onsemi</v>
      </c>
      <c r="C5649" s="6">
        <v>5000</v>
      </c>
      <c r="D5649" s="7">
        <v>0.74</v>
      </c>
      <c r="E5649" t="s">
        <v>77</v>
      </c>
    </row>
    <row r="5650" spans="1:5" x14ac:dyDescent="0.25">
      <c r="A5650" t="str">
        <f>HYPERLINK("https://www.773grp.com/globalSearch/1SMB5937BT3G/page-1", "1SMB5937BT3G")</f>
        <v>1SMB5937BT3G</v>
      </c>
      <c r="B5650" s="3" t="str">
        <f>HYPERLINK("https://www.773grp.com/manufacturer/onsemi?pageNo=257", "Onsemi")</f>
        <v>Onsemi</v>
      </c>
      <c r="C5650" s="6">
        <v>7500</v>
      </c>
      <c r="D5650" s="7">
        <v>0.74</v>
      </c>
      <c r="E5650" t="s">
        <v>77</v>
      </c>
    </row>
    <row r="5651" spans="1:5" x14ac:dyDescent="0.25">
      <c r="A5651" t="str">
        <f>HYPERLINK("https://www.773grp.com/globalSearch/1SMB5938BT3G/page-1", "1SMB5938BT3G")</f>
        <v>1SMB5938BT3G</v>
      </c>
      <c r="B5651" s="3" t="str">
        <f>HYPERLINK("https://www.773grp.com/manufacturer/onsemi?pageNo=258", "Onsemi")</f>
        <v>Onsemi</v>
      </c>
      <c r="C5651" s="6">
        <v>67468</v>
      </c>
      <c r="D5651" s="7">
        <v>0.74</v>
      </c>
      <c r="E5651" t="s">
        <v>77</v>
      </c>
    </row>
    <row r="5652" spans="1:5" x14ac:dyDescent="0.25">
      <c r="A5652" t="str">
        <f>HYPERLINK("https://www.773grp.com/globalSearch/1SMB5939BT3G/page-1", "1SMB5939BT3G")</f>
        <v>1SMB5939BT3G</v>
      </c>
      <c r="B5652" s="3" t="str">
        <f>HYPERLINK("https://www.773grp.com/manufacturer/onsemi?pageNo=259", "Onsemi")</f>
        <v>Onsemi</v>
      </c>
      <c r="C5652" s="6">
        <v>305000</v>
      </c>
      <c r="D5652" s="7">
        <v>0.74</v>
      </c>
      <c r="E5652" t="s">
        <v>77</v>
      </c>
    </row>
    <row r="5653" spans="1:5" x14ac:dyDescent="0.25">
      <c r="A5653" t="str">
        <f>HYPERLINK("https://www.773grp.com/globalSearch/1SMB5940BT3G/page-1", "1SMB5940BT3G")</f>
        <v>1SMB5940BT3G</v>
      </c>
      <c r="B5653" s="3" t="str">
        <f>HYPERLINK("https://www.773grp.com/manufacturer/onsemi?pageNo=260", "Onsemi")</f>
        <v>Onsemi</v>
      </c>
      <c r="C5653" s="6">
        <v>40000</v>
      </c>
      <c r="D5653" s="7">
        <v>0.74</v>
      </c>
      <c r="E5653" t="s">
        <v>77</v>
      </c>
    </row>
    <row r="5654" spans="1:5" x14ac:dyDescent="0.25">
      <c r="A5654" t="str">
        <f>HYPERLINK("https://www.773grp.com/globalSearch/1SMB5942BT3G/page-1", "1SMB5942BT3G")</f>
        <v>1SMB5942BT3G</v>
      </c>
      <c r="B5654" s="3" t="str">
        <f>HYPERLINK("https://www.773grp.com/manufacturer/onsemi?pageNo=261", "Onsemi")</f>
        <v>Onsemi</v>
      </c>
      <c r="C5654" s="6">
        <v>12500</v>
      </c>
      <c r="D5654" s="7">
        <v>0.74</v>
      </c>
      <c r="E5654" t="s">
        <v>77</v>
      </c>
    </row>
    <row r="5655" spans="1:5" x14ac:dyDescent="0.25">
      <c r="A5655" t="str">
        <f>HYPERLINK("https://www.773grp.com/globalSearch/1SMB5943BT3G/page-1", "1SMB5943BT3G")</f>
        <v>1SMB5943BT3G</v>
      </c>
      <c r="B5655" s="3" t="str">
        <f>HYPERLINK("https://www.773grp.com/manufacturer/onsemi?pageNo=262", "Onsemi")</f>
        <v>Onsemi</v>
      </c>
      <c r="C5655" s="6">
        <v>608</v>
      </c>
      <c r="D5655" s="7">
        <v>0.74</v>
      </c>
      <c r="E5655" t="s">
        <v>77</v>
      </c>
    </row>
    <row r="5656" spans="1:5" x14ac:dyDescent="0.25">
      <c r="A5656" t="str">
        <f>HYPERLINK("https://www.773grp.com/globalSearch/1SMB5944BT3G/page-1", "1SMB5944BT3G")</f>
        <v>1SMB5944BT3G</v>
      </c>
      <c r="B5656" s="3" t="str">
        <f>HYPERLINK("https://www.773grp.com/manufacturer/onsemi?pageNo=263", "Onsemi")</f>
        <v>Onsemi</v>
      </c>
      <c r="C5656" s="6">
        <v>41259</v>
      </c>
      <c r="D5656" s="7">
        <v>0.74</v>
      </c>
      <c r="E5656" t="s">
        <v>77</v>
      </c>
    </row>
    <row r="5657" spans="1:5" x14ac:dyDescent="0.25">
      <c r="A5657" t="str">
        <f>HYPERLINK("https://www.773grp.com/globalSearch/1SMB5945BT3G/page-1", "1SMB5945BT3G")</f>
        <v>1SMB5945BT3G</v>
      </c>
      <c r="B5657" s="3" t="str">
        <f>HYPERLINK("https://www.773grp.com/manufacturer/onsemi?pageNo=264", "Onsemi")</f>
        <v>Onsemi</v>
      </c>
      <c r="C5657" s="6">
        <v>44031</v>
      </c>
      <c r="D5657" s="7">
        <v>0.74</v>
      </c>
      <c r="E5657" t="s">
        <v>77</v>
      </c>
    </row>
    <row r="5658" spans="1:5" x14ac:dyDescent="0.25">
      <c r="A5658" t="str">
        <f>HYPERLINK("https://www.773grp.com/globalSearch/1SMB5946BT3G/page-1", "1SMB5946BT3G")</f>
        <v>1SMB5946BT3G</v>
      </c>
      <c r="B5658" s="3" t="str">
        <f>HYPERLINK("https://www.773grp.com/manufacturer/onsemi?pageNo=265", "Onsemi")</f>
        <v>Onsemi</v>
      </c>
      <c r="C5658" s="6">
        <v>19805</v>
      </c>
      <c r="D5658" s="7">
        <v>0.74</v>
      </c>
      <c r="E5658" t="s">
        <v>77</v>
      </c>
    </row>
    <row r="5659" spans="1:5" x14ac:dyDescent="0.25">
      <c r="A5659" t="str">
        <f>HYPERLINK("https://www.773grp.com/globalSearch/1SMB5947BT3G/page-1", "1SMB5947BT3G")</f>
        <v>1SMB5947BT3G</v>
      </c>
      <c r="B5659" s="3" t="str">
        <f>HYPERLINK("https://www.773grp.com/manufacturer/onsemi?pageNo=266", "Onsemi")</f>
        <v>Onsemi</v>
      </c>
      <c r="C5659" s="6">
        <v>22420</v>
      </c>
      <c r="D5659" s="7">
        <v>0.74</v>
      </c>
      <c r="E5659" t="s">
        <v>77</v>
      </c>
    </row>
    <row r="5660" spans="1:5" x14ac:dyDescent="0.25">
      <c r="A5660" t="str">
        <f>HYPERLINK("https://www.773grp.com/globalSearch/1SMB5948BT3G/page-1", "1SMB5948BT3G")</f>
        <v>1SMB5948BT3G</v>
      </c>
      <c r="B5660" s="3" t="str">
        <f>HYPERLINK("https://www.773grp.com/manufacturer/onsemi?pageNo=267", "Onsemi")</f>
        <v>Onsemi</v>
      </c>
      <c r="C5660" s="6">
        <v>35000</v>
      </c>
      <c r="D5660" s="7">
        <v>0.74</v>
      </c>
      <c r="E5660" t="s">
        <v>77</v>
      </c>
    </row>
    <row r="5661" spans="1:5" x14ac:dyDescent="0.25">
      <c r="A5661" t="str">
        <f>HYPERLINK("https://www.773grp.com/globalSearch/1SMB5949BT3G/page-1", "1SMB5949BT3G")</f>
        <v>1SMB5949BT3G</v>
      </c>
      <c r="B5661" s="3" t="str">
        <f>HYPERLINK("https://www.773grp.com/manufacturer/onsemi?pageNo=268", "Onsemi")</f>
        <v>Onsemi</v>
      </c>
      <c r="C5661" s="6">
        <v>94465</v>
      </c>
      <c r="D5661" s="7">
        <v>0.74</v>
      </c>
      <c r="E5661" t="s">
        <v>77</v>
      </c>
    </row>
    <row r="5662" spans="1:5" x14ac:dyDescent="0.25">
      <c r="A5662" t="str">
        <f>HYPERLINK("https://www.773grp.com/globalSearch/1SMB5951BT3G/page-1", "1SMB5951BT3G")</f>
        <v>1SMB5951BT3G</v>
      </c>
      <c r="B5662" s="3" t="str">
        <f>HYPERLINK("https://www.773grp.com/manufacturer/onsemi?pageNo=269", "Onsemi")</f>
        <v>Onsemi</v>
      </c>
      <c r="C5662" s="6">
        <v>2500</v>
      </c>
      <c r="D5662" s="7">
        <v>0.74</v>
      </c>
      <c r="E5662" t="s">
        <v>77</v>
      </c>
    </row>
    <row r="5663" spans="1:5" x14ac:dyDescent="0.25">
      <c r="A5663" t="str">
        <f>HYPERLINK("https://www.773grp.com/globalSearch/1SMB5952BT3G/page-1", "1SMB5952BT3G")</f>
        <v>1SMB5952BT3G</v>
      </c>
      <c r="B5663" s="3" t="str">
        <f>HYPERLINK("https://www.773grp.com/manufacturer/onsemi?pageNo=270", "Onsemi")</f>
        <v>Onsemi</v>
      </c>
      <c r="C5663" s="6">
        <v>18590</v>
      </c>
      <c r="D5663" s="7">
        <v>0.74</v>
      </c>
      <c r="E5663" t="s">
        <v>77</v>
      </c>
    </row>
    <row r="5664" spans="1:5" x14ac:dyDescent="0.25">
      <c r="A5664" t="str">
        <f>HYPERLINK("https://www.773grp.com/globalSearch/1SMB5954BT3G/page-1", "1SMB5954BT3G")</f>
        <v>1SMB5954BT3G</v>
      </c>
      <c r="B5664" s="3" t="str">
        <f>HYPERLINK("https://www.773grp.com/manufacturer/onsemi?pageNo=271", "Onsemi")</f>
        <v>Onsemi</v>
      </c>
      <c r="C5664" s="6">
        <v>25000</v>
      </c>
      <c r="D5664" s="7">
        <v>0.74</v>
      </c>
      <c r="E5664" t="s">
        <v>77</v>
      </c>
    </row>
    <row r="5665" spans="1:5" x14ac:dyDescent="0.25">
      <c r="A5665" t="str">
        <f>HYPERLINK("https://www.773grp.com/globalSearch/1SMB5955BT3G/page-1", "1SMB5955BT3G")</f>
        <v>1SMB5955BT3G</v>
      </c>
      <c r="B5665" s="3" t="str">
        <f>HYPERLINK("https://www.773grp.com/manufacturer/onsemi?pageNo=272", "Onsemi")</f>
        <v>Onsemi</v>
      </c>
      <c r="C5665" s="6">
        <v>20000</v>
      </c>
      <c r="D5665" s="7">
        <v>0.74</v>
      </c>
      <c r="E5665" t="s">
        <v>77</v>
      </c>
    </row>
    <row r="5666" spans="1:5" x14ac:dyDescent="0.25">
      <c r="A5666" t="str">
        <f>HYPERLINK("https://www.773grp.com/globalSearch/2N5191/page-1", "2N5191")</f>
        <v>2N5191</v>
      </c>
      <c r="B5666" s="3" t="str">
        <f>HYPERLINK("https://www.773grp.com/manufacturer/onsemi?pageNo=273", "Onsemi")</f>
        <v>Onsemi</v>
      </c>
      <c r="C5666" s="6">
        <v>2292</v>
      </c>
      <c r="D5666" s="7">
        <v>0.74</v>
      </c>
      <c r="E5666" t="s">
        <v>47</v>
      </c>
    </row>
    <row r="5667" spans="1:5" x14ac:dyDescent="0.25">
      <c r="A5667" t="str">
        <f>HYPERLINK("https://www.773grp.com/globalSearch/2N5192/page-1", "2N5192")</f>
        <v>2N5192</v>
      </c>
      <c r="B5667" s="3" t="str">
        <f>HYPERLINK("https://www.773grp.com/manufacturer/onsemi?pageNo=274", "Onsemi")</f>
        <v>Onsemi</v>
      </c>
      <c r="C5667" s="6">
        <v>1211</v>
      </c>
      <c r="D5667" s="7">
        <v>0.74</v>
      </c>
      <c r="E5667" t="s">
        <v>47</v>
      </c>
    </row>
    <row r="5668" spans="1:5" x14ac:dyDescent="0.25">
      <c r="A5668" t="str">
        <f>HYPERLINK("https://www.773grp.com/globalSearch/2N6045/page-1", "2N6045")</f>
        <v>2N6045</v>
      </c>
      <c r="B5668" s="3" t="str">
        <f>HYPERLINK("https://www.773grp.com/manufacturer/onsemi?pageNo=275", "Onsemi")</f>
        <v>Onsemi</v>
      </c>
      <c r="C5668" s="6">
        <v>366</v>
      </c>
      <c r="D5668" s="7">
        <v>0.74</v>
      </c>
      <c r="E5668" t="s">
        <v>47</v>
      </c>
    </row>
    <row r="5669" spans="1:5" x14ac:dyDescent="0.25">
      <c r="A5669" t="str">
        <f>HYPERLINK("https://www.773grp.com/globalSearch/2N6515RLRMG/page-1", "2N6515RLRMG")</f>
        <v>2N6515RLRMG</v>
      </c>
      <c r="B5669" s="3" t="str">
        <f>HYPERLINK("https://www.773grp.com/manufacturer/onsemi?pageNo=276", "Onsemi")</f>
        <v>Onsemi</v>
      </c>
      <c r="C5669" s="6">
        <v>20410</v>
      </c>
      <c r="D5669" s="7">
        <v>0.74</v>
      </c>
      <c r="E5669" t="s">
        <v>57</v>
      </c>
    </row>
    <row r="5670" spans="1:5" x14ac:dyDescent="0.25">
      <c r="A5670" t="str">
        <f>HYPERLINK("https://www.773grp.com/globalSearch/2N6519RLRA/page-1", "2N6519RLRA")</f>
        <v>2N6519RLRA</v>
      </c>
      <c r="B5670" s="3" t="str">
        <f>HYPERLINK("https://www.773grp.com/manufacturer/onsemi?pageNo=277", "Onsemi")</f>
        <v>Onsemi</v>
      </c>
      <c r="C5670" s="6">
        <v>12000</v>
      </c>
      <c r="D5670" s="7">
        <v>0.74</v>
      </c>
      <c r="E5670" t="s">
        <v>57</v>
      </c>
    </row>
    <row r="5671" spans="1:5" x14ac:dyDescent="0.25">
      <c r="A5671" t="str">
        <f>HYPERLINK("https://www.773grp.com/globalSearch/2SC4488S-AN/page-1", "2SC4488S-AN")</f>
        <v>2SC4488S-AN</v>
      </c>
      <c r="B5671" s="3" t="str">
        <f>HYPERLINK("https://www.773grp.com/manufacturer/onsemi?pageNo=278", "Onsemi")</f>
        <v>Onsemi</v>
      </c>
      <c r="C5671" s="6">
        <v>2500</v>
      </c>
      <c r="D5671" s="7">
        <v>0.74</v>
      </c>
    </row>
    <row r="5672" spans="1:5" x14ac:dyDescent="0.25">
      <c r="A5672" t="str">
        <f>HYPERLINK("https://www.773grp.com/globalSearch/2SD1623S-TD-E/page-1", "2SD1623S-TD-E")</f>
        <v>2SD1623S-TD-E</v>
      </c>
      <c r="B5672" s="3" t="str">
        <f>HYPERLINK("https://www.773grp.com/manufacturer/onsemi?pageNo=279", "Onsemi")</f>
        <v>Onsemi</v>
      </c>
      <c r="C5672" s="6">
        <v>3000</v>
      </c>
      <c r="D5672" s="7">
        <v>0.74</v>
      </c>
    </row>
    <row r="5673" spans="1:5" x14ac:dyDescent="0.25">
      <c r="A5673" t="str">
        <f>HYPERLINK("https://www.773grp.com/globalSearch/2SD1623T-TD-E/page-1", "2SD1623T-TD-E")</f>
        <v>2SD1623T-TD-E</v>
      </c>
      <c r="B5673" s="3" t="str">
        <f>HYPERLINK("https://www.773grp.com/manufacturer/onsemi?pageNo=280", "Onsemi")</f>
        <v>Onsemi</v>
      </c>
      <c r="C5673" s="6">
        <v>4000</v>
      </c>
      <c r="D5673" s="7">
        <v>0.74</v>
      </c>
    </row>
    <row r="5674" spans="1:5" x14ac:dyDescent="0.25">
      <c r="A5674" t="str">
        <f>HYPERLINK("https://www.773grp.com/globalSearch/2SD1624T-TD-E/page-1", "2SD1624T-TD-E")</f>
        <v>2SD1624T-TD-E</v>
      </c>
      <c r="B5674" s="3" t="str">
        <f>HYPERLINK("https://www.773grp.com/manufacturer/onsemi?pageNo=281", "Onsemi")</f>
        <v>Onsemi</v>
      </c>
      <c r="C5674" s="6">
        <v>3000</v>
      </c>
      <c r="D5674" s="7">
        <v>0.74</v>
      </c>
    </row>
    <row r="5675" spans="1:5" x14ac:dyDescent="0.25">
      <c r="A5675" t="str">
        <f>HYPERLINK("https://www.773grp.com/globalSearch/2SD2050-E/page-1", "2SD2050-E")</f>
        <v>2SD2050-E</v>
      </c>
      <c r="B5675" s="3" t="str">
        <f>HYPERLINK("https://www.773grp.com/manufacturer/onsemi?pageNo=282", "Onsemi")</f>
        <v>Onsemi</v>
      </c>
      <c r="C5675" s="6">
        <v>1000</v>
      </c>
      <c r="D5675" s="7">
        <v>0.74</v>
      </c>
    </row>
    <row r="5676" spans="1:5" x14ac:dyDescent="0.25">
      <c r="A5676" t="str">
        <f>HYPERLINK("https://www.773grp.com/globalSearch/74FST3257D/page-1", "74FST3257D")</f>
        <v>74FST3257D</v>
      </c>
      <c r="B5676" s="3" t="str">
        <f>HYPERLINK("https://www.773grp.com/manufacturer/onsemi?pageNo=283", "Onsemi")</f>
        <v>Onsemi</v>
      </c>
      <c r="C5676" s="6">
        <v>10654</v>
      </c>
      <c r="D5676" s="7">
        <v>0.74</v>
      </c>
      <c r="E5676" t="s">
        <v>16</v>
      </c>
    </row>
    <row r="5677" spans="1:5" x14ac:dyDescent="0.25">
      <c r="A5677" t="str">
        <f>HYPERLINK("https://www.773grp.com/globalSearch/7WB3305AMX1TCG/page-1", "7WB3305AMX1TCG")</f>
        <v>7WB3305AMX1TCG</v>
      </c>
      <c r="B5677" s="3" t="str">
        <f>HYPERLINK("https://www.773grp.com/manufacturer/onsemi?pageNo=284", "Onsemi")</f>
        <v>Onsemi</v>
      </c>
      <c r="C5677" s="6">
        <v>9000</v>
      </c>
      <c r="D5677" s="7">
        <v>0.74</v>
      </c>
      <c r="E5677" t="s">
        <v>11</v>
      </c>
    </row>
    <row r="5678" spans="1:5" x14ac:dyDescent="0.25">
      <c r="A5678" t="str">
        <f>HYPERLINK("https://www.773grp.com/globalSearch/7WB3305BMX1TCG/page-1", "7WB3305BMX1TCG")</f>
        <v>7WB3305BMX1TCG</v>
      </c>
      <c r="B5678" s="3" t="str">
        <f>HYPERLINK("https://www.773grp.com/manufacturer/onsemi?pageNo=285", "Onsemi")</f>
        <v>Onsemi</v>
      </c>
      <c r="C5678" s="6">
        <v>9000</v>
      </c>
      <c r="D5678" s="7">
        <v>0.74</v>
      </c>
      <c r="E5678" t="s">
        <v>11</v>
      </c>
    </row>
    <row r="5679" spans="1:5" x14ac:dyDescent="0.25">
      <c r="A5679" t="str">
        <f>HYPERLINK("https://www.773grp.com/globalSearch/7WB3305CMX1TCG/page-1", "7WB3305CMX1TCG")</f>
        <v>7WB3305CMX1TCG</v>
      </c>
      <c r="B5679" s="3" t="str">
        <f>HYPERLINK("https://www.773grp.com/manufacturer/onsemi?pageNo=286", "Onsemi")</f>
        <v>Onsemi</v>
      </c>
      <c r="C5679" s="6">
        <v>5990</v>
      </c>
      <c r="D5679" s="7">
        <v>0.74</v>
      </c>
      <c r="E5679" t="s">
        <v>11</v>
      </c>
    </row>
    <row r="5680" spans="1:5" x14ac:dyDescent="0.25">
      <c r="A5680" t="str">
        <f>HYPERLINK("https://www.773grp.com/globalSearch/7WB3305MUTAG/page-1", "7WB3305MUTAG")</f>
        <v>7WB3305MUTAG</v>
      </c>
      <c r="B5680" s="3" t="str">
        <f>HYPERLINK("https://www.773grp.com/manufacturer/onsemi?pageNo=287", "Onsemi")</f>
        <v>Onsemi</v>
      </c>
      <c r="C5680" s="6">
        <v>9000</v>
      </c>
      <c r="D5680" s="7">
        <v>0.74</v>
      </c>
      <c r="E5680" t="s">
        <v>11</v>
      </c>
    </row>
    <row r="5681" spans="1:5" x14ac:dyDescent="0.25">
      <c r="A5681" t="str">
        <f>HYPERLINK("https://www.773grp.com/globalSearch/7WB3306AMX1TCG/page-1", "7WB3306AMX1TCG")</f>
        <v>7WB3306AMX1TCG</v>
      </c>
      <c r="B5681" s="3" t="str">
        <f>HYPERLINK("https://www.773grp.com/manufacturer/onsemi?pageNo=288", "Onsemi")</f>
        <v>Onsemi</v>
      </c>
      <c r="C5681" s="6">
        <v>9000</v>
      </c>
      <c r="D5681" s="7">
        <v>0.74</v>
      </c>
      <c r="E5681" t="s">
        <v>11</v>
      </c>
    </row>
    <row r="5682" spans="1:5" x14ac:dyDescent="0.25">
      <c r="A5682" t="str">
        <f>HYPERLINK("https://www.773grp.com/globalSearch/7WB3306BMX1TCG/page-1", "7WB3306BMX1TCG")</f>
        <v>7WB3306BMX1TCG</v>
      </c>
      <c r="B5682" s="3" t="str">
        <f>HYPERLINK("https://www.773grp.com/manufacturer/onsemi?pageNo=289", "Onsemi")</f>
        <v>Onsemi</v>
      </c>
      <c r="C5682" s="6">
        <v>6000</v>
      </c>
      <c r="D5682" s="7">
        <v>0.74</v>
      </c>
      <c r="E5682" t="s">
        <v>11</v>
      </c>
    </row>
    <row r="5683" spans="1:5" x14ac:dyDescent="0.25">
      <c r="A5683" t="str">
        <f>HYPERLINK("https://www.773grp.com/globalSearch/7WB3306CMX1TCG/page-1", "7WB3306CMX1TCG")</f>
        <v>7WB3306CMX1TCG</v>
      </c>
      <c r="B5683" s="3" t="str">
        <f>HYPERLINK("https://www.773grp.com/manufacturer/onsemi?pageNo=290", "Onsemi")</f>
        <v>Onsemi</v>
      </c>
      <c r="C5683" s="6">
        <v>6000</v>
      </c>
      <c r="D5683" s="7">
        <v>0.74</v>
      </c>
      <c r="E5683" t="s">
        <v>11</v>
      </c>
    </row>
    <row r="5684" spans="1:5" x14ac:dyDescent="0.25">
      <c r="A5684" t="str">
        <f>HYPERLINK("https://www.773grp.com/globalSearch/7WB3306MUTAG/page-1", "7WB3306MUTAG")</f>
        <v>7WB3306MUTAG</v>
      </c>
      <c r="B5684" s="3" t="str">
        <f>HYPERLINK("https://www.773grp.com/manufacturer/onsemi?pageNo=291", "Onsemi")</f>
        <v>Onsemi</v>
      </c>
      <c r="C5684" s="6">
        <v>8900</v>
      </c>
      <c r="D5684" s="7">
        <v>0.74</v>
      </c>
      <c r="E5684" t="s">
        <v>11</v>
      </c>
    </row>
    <row r="5685" spans="1:5" x14ac:dyDescent="0.25">
      <c r="A5685" t="str">
        <f>HYPERLINK("https://www.773grp.com/globalSearch/7WB383AMX1TCG/page-1", "7WB383AMX1TCG")</f>
        <v>7WB383AMX1TCG</v>
      </c>
      <c r="B5685" s="3" t="str">
        <f>HYPERLINK("https://www.773grp.com/manufacturer/onsemi?pageNo=292", "Onsemi")</f>
        <v>Onsemi</v>
      </c>
      <c r="C5685" s="6">
        <v>6000</v>
      </c>
      <c r="D5685" s="7">
        <v>0.74</v>
      </c>
      <c r="E5685" t="s">
        <v>46</v>
      </c>
    </row>
    <row r="5686" spans="1:5" x14ac:dyDescent="0.25">
      <c r="A5686" t="str">
        <f>HYPERLINK("https://www.773grp.com/globalSearch/7WB383BMX1TCG/page-1", "7WB383BMX1TCG")</f>
        <v>7WB383BMX1TCG</v>
      </c>
      <c r="B5686" s="3" t="str">
        <f>HYPERLINK("https://www.773grp.com/manufacturer/onsemi?pageNo=293", "Onsemi")</f>
        <v>Onsemi</v>
      </c>
      <c r="C5686" s="6">
        <v>5990</v>
      </c>
      <c r="D5686" s="7">
        <v>0.74</v>
      </c>
      <c r="E5686" t="s">
        <v>46</v>
      </c>
    </row>
    <row r="5687" spans="1:5" x14ac:dyDescent="0.25">
      <c r="A5687" t="str">
        <f>HYPERLINK("https://www.773grp.com/globalSearch/7WB383CMX1TCG/page-1", "7WB383CMX1TCG")</f>
        <v>7WB383CMX1TCG</v>
      </c>
      <c r="B5687" s="3" t="str">
        <f>HYPERLINK("https://www.773grp.com/manufacturer/onsemi?pageNo=294", "Onsemi")</f>
        <v>Onsemi</v>
      </c>
      <c r="C5687" s="6">
        <v>6000</v>
      </c>
      <c r="D5687" s="7">
        <v>0.74</v>
      </c>
      <c r="E5687" t="s">
        <v>46</v>
      </c>
    </row>
    <row r="5688" spans="1:5" x14ac:dyDescent="0.25">
      <c r="A5688" t="str">
        <f>HYPERLINK("https://www.773grp.com/globalSearch/7WB383MUTAG/page-1", "7WB383MUTAG")</f>
        <v>7WB383MUTAG</v>
      </c>
      <c r="B5688" s="3" t="str">
        <f>HYPERLINK("https://www.773grp.com/manufacturer/onsemi?pageNo=295", "Onsemi")</f>
        <v>Onsemi</v>
      </c>
      <c r="C5688" s="6">
        <v>9000</v>
      </c>
      <c r="D5688" s="7">
        <v>0.74</v>
      </c>
      <c r="E5688" t="s">
        <v>46</v>
      </c>
    </row>
    <row r="5689" spans="1:5" x14ac:dyDescent="0.25">
      <c r="A5689" t="str">
        <f>HYPERLINK("https://www.773grp.com/globalSearch/7WBD3125MUTAG/page-1", "7WBD3125MUTAG")</f>
        <v>7WBD3125MUTAG</v>
      </c>
      <c r="B5689" s="3" t="str">
        <f>HYPERLINK("https://www.773grp.com/manufacturer/onsemi?pageNo=296", "Onsemi")</f>
        <v>Onsemi</v>
      </c>
      <c r="C5689" s="6">
        <v>12000</v>
      </c>
      <c r="D5689" s="7">
        <v>0.74</v>
      </c>
      <c r="E5689" t="s">
        <v>11</v>
      </c>
    </row>
    <row r="5690" spans="1:5" x14ac:dyDescent="0.25">
      <c r="A5690" t="str">
        <f>HYPERLINK("https://www.773grp.com/globalSearch/7WBD3126MUTAG/page-1", "7WBD3126MUTAG")</f>
        <v>7WBD3126MUTAG</v>
      </c>
      <c r="B5690" s="3" t="str">
        <f>HYPERLINK("https://www.773grp.com/manufacturer/onsemi?pageNo=297", "Onsemi")</f>
        <v>Onsemi</v>
      </c>
      <c r="C5690" s="6">
        <v>9000</v>
      </c>
      <c r="D5690" s="7">
        <v>0.74</v>
      </c>
      <c r="E5690" t="s">
        <v>11</v>
      </c>
    </row>
    <row r="5691" spans="1:5" x14ac:dyDescent="0.25">
      <c r="A5691" t="str">
        <f>HYPERLINK("https://www.773grp.com/globalSearch/7WBD3305AMUTCG/page-1", "7WBD3305AMUTCG")</f>
        <v>7WBD3305AMUTCG</v>
      </c>
      <c r="B5691" s="3" t="str">
        <f>HYPERLINK("https://www.773grp.com/manufacturer/onsemi?pageNo=298", "Onsemi")</f>
        <v>Onsemi</v>
      </c>
      <c r="C5691" s="6">
        <v>9000</v>
      </c>
      <c r="D5691" s="7">
        <v>0.74</v>
      </c>
      <c r="E5691" t="s">
        <v>11</v>
      </c>
    </row>
    <row r="5692" spans="1:5" x14ac:dyDescent="0.25">
      <c r="A5692" t="str">
        <f>HYPERLINK("https://www.773grp.com/globalSearch/7WBD3305MUTAG/page-1", "7WBD3305MUTAG")</f>
        <v>7WBD3305MUTAG</v>
      </c>
      <c r="B5692" s="3" t="str">
        <f>HYPERLINK("https://www.773grp.com/manufacturer/onsemi?pageNo=299", "Onsemi")</f>
        <v>Onsemi</v>
      </c>
      <c r="C5692" s="6">
        <v>12000</v>
      </c>
      <c r="D5692" s="7">
        <v>0.74</v>
      </c>
      <c r="E5692" t="s">
        <v>11</v>
      </c>
    </row>
    <row r="5693" spans="1:5" x14ac:dyDescent="0.25">
      <c r="A5693" t="str">
        <f>HYPERLINK("https://www.773grp.com/globalSearch/7WBD3306MUTAG/page-1", "7WBD3306MUTAG")</f>
        <v>7WBD3306MUTAG</v>
      </c>
      <c r="B5693" s="3" t="str">
        <f>HYPERLINK("https://www.773grp.com/manufacturer/onsemi?pageNo=300", "Onsemi")</f>
        <v>Onsemi</v>
      </c>
      <c r="C5693" s="6">
        <v>12000</v>
      </c>
      <c r="D5693" s="7">
        <v>0.74</v>
      </c>
      <c r="E5693" t="s">
        <v>11</v>
      </c>
    </row>
    <row r="5694" spans="1:5" x14ac:dyDescent="0.25">
      <c r="A5694" t="str">
        <f>HYPERLINK("https://www.773grp.com/globalSearch/7WBD383AMUTCG/page-1", "7WBD383AMUTCG")</f>
        <v>7WBD383AMUTCG</v>
      </c>
      <c r="B5694" s="3" t="str">
        <f>HYPERLINK("https://www.773grp.com/manufacturer/onsemi?pageNo=301", "Onsemi")</f>
        <v>Onsemi</v>
      </c>
      <c r="C5694" s="6">
        <v>9000</v>
      </c>
      <c r="D5694" s="7">
        <v>0.74</v>
      </c>
      <c r="E5694" t="s">
        <v>11</v>
      </c>
    </row>
    <row r="5695" spans="1:5" x14ac:dyDescent="0.25">
      <c r="A5695" t="str">
        <f>HYPERLINK("https://www.773grp.com/globalSearch/7WBD383MUTAG/page-1", "7WBD383MUTAG")</f>
        <v>7WBD383MUTAG</v>
      </c>
      <c r="B5695" s="3" t="str">
        <f>HYPERLINK("https://www.773grp.com/manufacturer/onsemi?pageNo=302", "Onsemi")</f>
        <v>Onsemi</v>
      </c>
      <c r="C5695" s="6">
        <v>11485</v>
      </c>
      <c r="D5695" s="7">
        <v>0.74</v>
      </c>
      <c r="E5695" t="s">
        <v>11</v>
      </c>
    </row>
    <row r="5696" spans="1:5" x14ac:dyDescent="0.25">
      <c r="A5696" t="str">
        <f>HYPERLINK("https://www.773grp.com/globalSearch/7WBD383USG/page-1", "7WBD383USG")</f>
        <v>7WBD383USG</v>
      </c>
      <c r="B5696" s="3" t="str">
        <f>HYPERLINK("https://www.773grp.com/manufacturer/onsemi?pageNo=303", "Onsemi")</f>
        <v>Onsemi</v>
      </c>
      <c r="C5696" s="6">
        <v>2925</v>
      </c>
      <c r="D5696" s="7">
        <v>0.74</v>
      </c>
      <c r="E5696" t="s">
        <v>11</v>
      </c>
    </row>
    <row r="5697" spans="1:5" x14ac:dyDescent="0.25">
      <c r="A5697" t="str">
        <f>HYPERLINK("https://www.773grp.com/globalSearch/ADP3110AKCPZ-RL/page-1", "ADP3110AKCPZ-RL")</f>
        <v>ADP3110AKCPZ-RL</v>
      </c>
      <c r="B5697" s="3" t="str">
        <f>HYPERLINK("https://www.773grp.com/manufacturer/onsemi?pageNo=304", "Onsemi")</f>
        <v>Onsemi</v>
      </c>
      <c r="C5697" s="6">
        <v>3000</v>
      </c>
      <c r="D5697" s="7">
        <v>0.74</v>
      </c>
      <c r="E5697" t="s">
        <v>12</v>
      </c>
    </row>
    <row r="5698" spans="1:5" x14ac:dyDescent="0.25">
      <c r="A5698" t="str">
        <f>HYPERLINK("https://www.773grp.com/globalSearch/ADP3110AKRZ-RL/page-1", "ADP3110AKRZ-RL")</f>
        <v>ADP3110AKRZ-RL</v>
      </c>
      <c r="B5698" s="3" t="str">
        <f>HYPERLINK("https://www.773grp.com/manufacturer/onsemi?pageNo=305", "Onsemi")</f>
        <v>Onsemi</v>
      </c>
      <c r="C5698" s="6">
        <v>4926</v>
      </c>
      <c r="D5698" s="7">
        <v>0.74</v>
      </c>
      <c r="E5698" t="s">
        <v>12</v>
      </c>
    </row>
    <row r="5699" spans="1:5" x14ac:dyDescent="0.25">
      <c r="A5699" t="str">
        <f>HYPERLINK("https://www.773grp.com/globalSearch/ASM810SEURF-T/page-1", "ASM810SEURF-T")</f>
        <v>ASM810SEURF-T</v>
      </c>
      <c r="B5699" s="3" t="str">
        <f>HYPERLINK("https://www.773grp.com/manufacturer/onsemi?pageNo=306", "Onsemi")</f>
        <v>Onsemi</v>
      </c>
      <c r="C5699" s="6">
        <v>18000</v>
      </c>
      <c r="D5699" s="7">
        <v>0.74</v>
      </c>
    </row>
    <row r="5700" spans="1:5" x14ac:dyDescent="0.25">
      <c r="A5700" t="str">
        <f>HYPERLINK("https://www.773grp.com/globalSearch/ASM811LEUSF-T/page-1", "ASM811LEUSF-T")</f>
        <v>ASM811LEUSF-T</v>
      </c>
      <c r="B5700" s="3" t="str">
        <f>HYPERLINK("https://www.773grp.com/manufacturer/onsemi?pageNo=307", "Onsemi")</f>
        <v>Onsemi</v>
      </c>
      <c r="C5700" s="6">
        <v>6000</v>
      </c>
      <c r="D5700" s="7">
        <v>0.74</v>
      </c>
    </row>
    <row r="5701" spans="1:5" x14ac:dyDescent="0.25">
      <c r="A5701" t="str">
        <f>HYPERLINK("https://www.773grp.com/globalSearch/ASM811REUSF-T/page-1", "ASM811REUSF-T")</f>
        <v>ASM811REUSF-T</v>
      </c>
      <c r="B5701" s="3" t="str">
        <f>HYPERLINK("https://www.773grp.com/manufacturer/onsemi?pageNo=308", "Onsemi")</f>
        <v>Onsemi</v>
      </c>
      <c r="C5701" s="6">
        <v>2000</v>
      </c>
      <c r="D5701" s="7">
        <v>0.74</v>
      </c>
    </row>
    <row r="5702" spans="1:5" x14ac:dyDescent="0.25">
      <c r="A5702" t="str">
        <f>HYPERLINK("https://www.773grp.com/globalSearch/ASM811SEUSF-T/page-1", "ASM811SEUSF-T")</f>
        <v>ASM811SEUSF-T</v>
      </c>
      <c r="B5702" s="3" t="str">
        <f>HYPERLINK("https://www.773grp.com/manufacturer/onsemi?pageNo=309", "Onsemi")</f>
        <v>Onsemi</v>
      </c>
      <c r="C5702" s="6">
        <v>7648</v>
      </c>
      <c r="D5702" s="7">
        <v>0.74</v>
      </c>
      <c r="E5702" t="s">
        <v>26</v>
      </c>
    </row>
    <row r="5703" spans="1:5" x14ac:dyDescent="0.25">
      <c r="A5703" t="str">
        <f>HYPERLINK("https://www.773grp.com/globalSearch/ASM811TEUSF-T/page-1", "ASM811TEUSF-T")</f>
        <v>ASM811TEUSF-T</v>
      </c>
      <c r="B5703" s="3" t="str">
        <f>HYPERLINK("https://www.773grp.com/manufacturer/onsemi?pageNo=310", "Onsemi")</f>
        <v>Onsemi</v>
      </c>
      <c r="C5703" s="6">
        <v>5680</v>
      </c>
      <c r="D5703" s="7">
        <v>0.74</v>
      </c>
      <c r="E5703" t="s">
        <v>26</v>
      </c>
    </row>
    <row r="5704" spans="1:5" x14ac:dyDescent="0.25">
      <c r="A5704" t="str">
        <f>HYPERLINK("https://www.773grp.com/globalSearch/BC140-016/page-1", "BC140-016")</f>
        <v>BC140-016</v>
      </c>
      <c r="B5704" s="3" t="str">
        <f>HYPERLINK("https://www.773grp.com/manufacturer/onsemi?pageNo=311", "Onsemi")</f>
        <v>Onsemi</v>
      </c>
      <c r="C5704" s="6">
        <v>4875</v>
      </c>
      <c r="D5704" s="7">
        <v>0.74</v>
      </c>
    </row>
    <row r="5705" spans="1:5" x14ac:dyDescent="0.25">
      <c r="A5705" t="str">
        <f>HYPERLINK("https://www.773grp.com/globalSearch/BC184RL1/page-1", "BC184RL1")</f>
        <v>BC184RL1</v>
      </c>
      <c r="B5705" s="3" t="str">
        <f>HYPERLINK("https://www.773grp.com/manufacturer/onsemi?pageNo=312", "Onsemi")</f>
        <v>Onsemi</v>
      </c>
      <c r="C5705" s="6">
        <v>20000</v>
      </c>
      <c r="D5705" s="7">
        <v>0.74</v>
      </c>
      <c r="E5705" t="s">
        <v>57</v>
      </c>
    </row>
    <row r="5706" spans="1:5" x14ac:dyDescent="0.25">
      <c r="A5706" t="str">
        <f>HYPERLINK("https://www.773grp.com/globalSearch/BDW42/page-1", "BDW42")</f>
        <v>BDW42</v>
      </c>
      <c r="B5706" s="3" t="str">
        <f>HYPERLINK("https://www.773grp.com/manufacturer/onsemi?pageNo=313", "Onsemi")</f>
        <v>Onsemi</v>
      </c>
      <c r="C5706" s="6">
        <v>1561</v>
      </c>
      <c r="D5706" s="7">
        <v>0.74</v>
      </c>
      <c r="E5706" t="s">
        <v>47</v>
      </c>
    </row>
    <row r="5707" spans="1:5" x14ac:dyDescent="0.25">
      <c r="A5707" t="str">
        <f>HYPERLINK("https://www.773grp.com/globalSearch/CAT24C08HU4I-GT3/page-1", "CAT24C08HU4I-GT3")</f>
        <v>CAT24C08HU4I-GT3</v>
      </c>
      <c r="B5707" s="3" t="str">
        <f>HYPERLINK("https://www.773grp.com/manufacturer/onsemi?pageNo=314", "Onsemi")</f>
        <v>Onsemi</v>
      </c>
      <c r="C5707" s="6">
        <v>1788</v>
      </c>
      <c r="D5707" s="7">
        <v>0.74</v>
      </c>
    </row>
    <row r="5708" spans="1:5" x14ac:dyDescent="0.25">
      <c r="A5708" t="str">
        <f>HYPERLINK("https://www.773grp.com/globalSearch/CAT24C08ZI-GT3/page-1", "CAT24C08ZI-GT3")</f>
        <v>CAT24C08ZI-GT3</v>
      </c>
      <c r="B5708" s="3" t="str">
        <f>HYPERLINK("https://www.773grp.com/manufacturer/onsemi?pageNo=315", "Onsemi")</f>
        <v>Onsemi</v>
      </c>
      <c r="C5708" s="6">
        <v>44375</v>
      </c>
      <c r="D5708" s="7">
        <v>0.74</v>
      </c>
      <c r="E5708" t="s">
        <v>52</v>
      </c>
    </row>
    <row r="5709" spans="1:5" x14ac:dyDescent="0.25">
      <c r="A5709" t="str">
        <f>HYPERLINK("https://www.773grp.com/globalSearch/CAT24C16LI-G/page-1", "CAT24C16LI-G")</f>
        <v>CAT24C16LI-G</v>
      </c>
      <c r="B5709" s="3" t="str">
        <f>HYPERLINK("https://www.773grp.com/manufacturer/onsemi?pageNo=316", "Onsemi")</f>
        <v>Onsemi</v>
      </c>
      <c r="C5709" s="6">
        <v>124300</v>
      </c>
      <c r="D5709" s="7">
        <v>0.74</v>
      </c>
      <c r="E5709" t="s">
        <v>52</v>
      </c>
    </row>
    <row r="5710" spans="1:5" x14ac:dyDescent="0.25">
      <c r="A5710" t="str">
        <f>HYPERLINK("https://www.773grp.com/globalSearch/CAT24C32WI-GT3/page-1", "CAT24C32WI-GT3")</f>
        <v>CAT24C32WI-GT3</v>
      </c>
      <c r="B5710" s="3" t="str">
        <f>HYPERLINK("https://www.773grp.com/manufacturer/onsemi?pageNo=317", "Onsemi")</f>
        <v>Onsemi</v>
      </c>
      <c r="C5710" s="6">
        <v>279000</v>
      </c>
      <c r="D5710" s="7">
        <v>0.74</v>
      </c>
      <c r="E5710" t="s">
        <v>52</v>
      </c>
    </row>
    <row r="5711" spans="1:5" x14ac:dyDescent="0.25">
      <c r="A5711" t="str">
        <f>HYPERLINK("https://www.773grp.com/globalSearch/CAT24C32WI-GT3/page-1", "CAT24C32WI-GT3")</f>
        <v>CAT24C32WI-GT3</v>
      </c>
      <c r="B5711" s="3" t="str">
        <f>HYPERLINK("https://www.773grp.com/manufacturer/onsemi?pageNo=318", "Onsemi")</f>
        <v>Onsemi</v>
      </c>
      <c r="C5711" s="6">
        <v>126000</v>
      </c>
      <c r="D5711" s="7">
        <v>0.74</v>
      </c>
      <c r="E5711" t="s">
        <v>52</v>
      </c>
    </row>
    <row r="5712" spans="1:5" x14ac:dyDescent="0.25">
      <c r="A5712" t="str">
        <f>HYPERLINK("https://www.773grp.com/globalSearch/CAT24C32YI-GT3/page-1", "CAT24C32YI-GT3")</f>
        <v>CAT24C32YI-GT3</v>
      </c>
      <c r="B5712" s="3" t="str">
        <f>HYPERLINK("https://www.773grp.com/manufacturer/onsemi?pageNo=319", "Onsemi")</f>
        <v>Onsemi</v>
      </c>
      <c r="C5712" s="6">
        <v>3000</v>
      </c>
      <c r="D5712" s="7">
        <v>0.74</v>
      </c>
    </row>
    <row r="5713" spans="1:5" x14ac:dyDescent="0.25">
      <c r="A5713" t="str">
        <f>HYPERLINK("https://www.773grp.com/globalSearch/CAT25020YI-GT3/page-1", "CAT25020YI-GT3")</f>
        <v>CAT25020YI-GT3</v>
      </c>
      <c r="B5713" s="3" t="str">
        <f>HYPERLINK("https://www.773grp.com/manufacturer/onsemi?pageNo=320", "Onsemi")</f>
        <v>Onsemi</v>
      </c>
      <c r="C5713" s="6">
        <v>435000</v>
      </c>
      <c r="D5713" s="7">
        <v>0.74</v>
      </c>
      <c r="E5713" t="s">
        <v>52</v>
      </c>
    </row>
    <row r="5714" spans="1:5" x14ac:dyDescent="0.25">
      <c r="A5714" t="str">
        <f>HYPERLINK("https://www.773grp.com/globalSearch/CAT25040VI-G/page-1", "CAT25040VI-G")</f>
        <v>CAT25040VI-G</v>
      </c>
      <c r="B5714" s="3" t="str">
        <f>HYPERLINK("https://www.773grp.com/manufacturer/onsemi?pageNo=321", "Onsemi")</f>
        <v>Onsemi</v>
      </c>
      <c r="C5714" s="6">
        <v>3000</v>
      </c>
      <c r="D5714" s="7">
        <v>0.74</v>
      </c>
    </row>
    <row r="5715" spans="1:5" x14ac:dyDescent="0.25">
      <c r="A5715" t="str">
        <f>HYPERLINK("https://www.773grp.com/globalSearch/CAT25040YI-G/page-1", "CAT25040YI-G")</f>
        <v>CAT25040YI-G</v>
      </c>
      <c r="B5715" s="3" t="str">
        <f>HYPERLINK("https://www.773grp.com/manufacturer/onsemi?pageNo=322", "Onsemi")</f>
        <v>Onsemi</v>
      </c>
      <c r="C5715" s="6">
        <v>6400</v>
      </c>
      <c r="D5715" s="7">
        <v>0.74</v>
      </c>
    </row>
    <row r="5716" spans="1:5" x14ac:dyDescent="0.25">
      <c r="A5716" t="str">
        <f>HYPERLINK("https://www.773grp.com/globalSearch/CAT93C46XI-T2/page-1", "CAT93C46XI-T2")</f>
        <v>CAT93C46XI-T2</v>
      </c>
      <c r="B5716" s="3" t="str">
        <f>HYPERLINK("https://www.773grp.com/manufacturer/onsemi?pageNo=323", "Onsemi")</f>
        <v>Onsemi</v>
      </c>
      <c r="C5716" s="6">
        <v>2000</v>
      </c>
      <c r="D5716" s="7">
        <v>0.74</v>
      </c>
    </row>
    <row r="5717" spans="1:5" x14ac:dyDescent="0.25">
      <c r="A5717" t="str">
        <f>HYPERLINK("https://www.773grp.com/globalSearch/CAV24C02WE-GT3/page-1", "CAV24C02WE-GT3")</f>
        <v>CAV24C02WE-GT3</v>
      </c>
      <c r="B5717" s="3" t="str">
        <f>HYPERLINK("https://www.773grp.com/manufacturer/onsemi?pageNo=324", "Onsemi")</f>
        <v>Onsemi</v>
      </c>
      <c r="C5717" s="6">
        <v>6000</v>
      </c>
      <c r="D5717" s="7">
        <v>0.74</v>
      </c>
    </row>
    <row r="5718" spans="1:5" x14ac:dyDescent="0.25">
      <c r="A5718" t="str">
        <f>HYPERLINK("https://www.773grp.com/globalSearch/CM1409-08DE/page-1", "CM1409-08DE")</f>
        <v>CM1409-08DE</v>
      </c>
      <c r="B5718" s="3" t="str">
        <f>HYPERLINK("https://www.773grp.com/manufacturer/onsemi?pageNo=325", "Onsemi")</f>
        <v>Onsemi</v>
      </c>
      <c r="C5718" s="6">
        <v>1125993</v>
      </c>
      <c r="D5718" s="7">
        <v>0.74</v>
      </c>
      <c r="E5718" t="s">
        <v>79</v>
      </c>
    </row>
    <row r="5719" spans="1:5" x14ac:dyDescent="0.25">
      <c r="A5719" t="str">
        <f>HYPERLINK("https://www.773grp.com/globalSearch/CM1624-08DE/page-1", "CM1624-08DE")</f>
        <v>CM1624-08DE</v>
      </c>
      <c r="B5719" s="3" t="str">
        <f>HYPERLINK("https://www.773grp.com/manufacturer/onsemi?pageNo=326", "Onsemi")</f>
        <v>Onsemi</v>
      </c>
      <c r="C5719" s="6">
        <v>74290</v>
      </c>
      <c r="D5719" s="7">
        <v>0.74</v>
      </c>
      <c r="E5719" t="s">
        <v>79</v>
      </c>
    </row>
    <row r="5720" spans="1:5" x14ac:dyDescent="0.25">
      <c r="A5720" t="str">
        <f>HYPERLINK("https://www.773grp.com/globalSearch/CM1630-06DE/page-1", "CM1630-06DE")</f>
        <v>CM1630-06DE</v>
      </c>
      <c r="B5720" s="3" t="str">
        <f>HYPERLINK("https://www.773grp.com/manufacturer/onsemi?pageNo=327", "Onsemi")</f>
        <v>Onsemi</v>
      </c>
      <c r="C5720" s="6">
        <v>3000</v>
      </c>
      <c r="D5720" s="7">
        <v>0.74</v>
      </c>
      <c r="E5720" t="s">
        <v>79</v>
      </c>
    </row>
    <row r="5721" spans="1:5" x14ac:dyDescent="0.25">
      <c r="A5721" t="str">
        <f>HYPERLINK("https://www.773grp.com/globalSearch/CM1630-08DE/page-1", "CM1630-08DE")</f>
        <v>CM1630-08DE</v>
      </c>
      <c r="B5721" s="3" t="str">
        <f>HYPERLINK("https://www.773grp.com/manufacturer/onsemi?pageNo=328", "Onsemi")</f>
        <v>Onsemi</v>
      </c>
      <c r="C5721" s="6">
        <v>36000</v>
      </c>
      <c r="D5721" s="7">
        <v>0.74</v>
      </c>
      <c r="E5721" t="s">
        <v>79</v>
      </c>
    </row>
    <row r="5722" spans="1:5" x14ac:dyDescent="0.25">
      <c r="A5722" t="str">
        <f>HYPERLINK("https://www.773grp.com/globalSearch/CM1693-04DE/page-1", "CM1693-04DE")</f>
        <v>CM1693-04DE</v>
      </c>
      <c r="B5722" s="3" t="str">
        <f>HYPERLINK("https://www.773grp.com/manufacturer/onsemi?pageNo=329", "Onsemi")</f>
        <v>Onsemi</v>
      </c>
      <c r="C5722" s="6">
        <v>891000</v>
      </c>
      <c r="D5722" s="7">
        <v>0.74</v>
      </c>
    </row>
    <row r="5723" spans="1:5" x14ac:dyDescent="0.25">
      <c r="A5723" t="str">
        <f>HYPERLINK("https://www.773grp.com/globalSearch/CM6317/page-1", "CM6317")</f>
        <v>CM6317</v>
      </c>
      <c r="B5723" s="3" t="str">
        <f>HYPERLINK("https://www.773grp.com/manufacturer/onsemi?pageNo=330", "Onsemi")</f>
        <v>Onsemi</v>
      </c>
      <c r="C5723" s="6">
        <v>5000</v>
      </c>
      <c r="D5723" s="7">
        <v>0.74</v>
      </c>
    </row>
    <row r="5724" spans="1:5" x14ac:dyDescent="0.25">
      <c r="A5724" t="str">
        <f>HYPERLINK("https://www.773grp.com/globalSearch/CPH5901G-TL-E/page-1", "CPH5901G-TL-E")</f>
        <v>CPH5901G-TL-E</v>
      </c>
      <c r="B5724" s="3" t="str">
        <f>HYPERLINK("https://www.773grp.com/manufacturer/onsemi?pageNo=331", "Onsemi")</f>
        <v>Onsemi</v>
      </c>
      <c r="C5724" s="6">
        <v>30000</v>
      </c>
      <c r="D5724" s="7">
        <v>0.74</v>
      </c>
    </row>
    <row r="5725" spans="1:5" x14ac:dyDescent="0.25">
      <c r="A5725" t="str">
        <f>HYPERLINK("https://www.773grp.com/globalSearch/EMI7208MUTAG/page-1", "EMI7208MUTAG")</f>
        <v>EMI7208MUTAG</v>
      </c>
      <c r="B5725" s="3" t="str">
        <f>HYPERLINK("https://www.773grp.com/manufacturer/onsemi?pageNo=332", "Onsemi")</f>
        <v>Onsemi</v>
      </c>
      <c r="C5725" s="6">
        <v>36000</v>
      </c>
      <c r="D5725" s="7">
        <v>0.74</v>
      </c>
      <c r="E5725" t="s">
        <v>79</v>
      </c>
    </row>
    <row r="5726" spans="1:5" x14ac:dyDescent="0.25">
      <c r="A5726" t="str">
        <f>HYPERLINK("https://www.773grp.com/globalSearch/LM211D/page-1", "LM211D")</f>
        <v>LM211D</v>
      </c>
      <c r="B5726" s="3" t="str">
        <f>HYPERLINK("https://www.773grp.com/manufacturer/onsemi?pageNo=333", "Onsemi")</f>
        <v>Onsemi</v>
      </c>
      <c r="C5726" s="6">
        <v>1085</v>
      </c>
      <c r="D5726" s="7">
        <v>0.74</v>
      </c>
      <c r="E5726" t="s">
        <v>6</v>
      </c>
    </row>
    <row r="5727" spans="1:5" x14ac:dyDescent="0.25">
      <c r="A5727" t="str">
        <f>HYPERLINK("https://www.773grp.com/globalSearch/LM285Z-1.2/page-1", "LM285Z-1.2")</f>
        <v>LM285Z-1.2</v>
      </c>
      <c r="B5727" s="3" t="str">
        <f>HYPERLINK("https://www.773grp.com/manufacturer/onsemi?pageNo=334", "Onsemi")</f>
        <v>Onsemi</v>
      </c>
      <c r="C5727" s="6">
        <v>950</v>
      </c>
      <c r="D5727" s="7">
        <v>0.74</v>
      </c>
      <c r="E5727" t="s">
        <v>13</v>
      </c>
    </row>
    <row r="5728" spans="1:5" x14ac:dyDescent="0.25">
      <c r="A5728" t="str">
        <f>HYPERLINK("https://www.773grp.com/globalSearch/LM2901DR2/page-1", "LM2901DR2")</f>
        <v>LM2901DR2</v>
      </c>
      <c r="B5728" s="3" t="str">
        <f>HYPERLINK("https://www.773grp.com/manufacturer/onsemi?pageNo=335", "Onsemi")</f>
        <v>Onsemi</v>
      </c>
      <c r="C5728" s="6">
        <v>5000</v>
      </c>
      <c r="D5728" s="7">
        <v>0.74</v>
      </c>
      <c r="E5728" t="s">
        <v>6</v>
      </c>
    </row>
    <row r="5729" spans="1:5" x14ac:dyDescent="0.25">
      <c r="A5729" t="str">
        <f>HYPERLINK("https://www.773grp.com/globalSearch/LM2902DR2/page-1", "LM2902DR2")</f>
        <v>LM2902DR2</v>
      </c>
      <c r="B5729" s="3" t="str">
        <f>HYPERLINK("https://www.773grp.com/manufacturer/onsemi?pageNo=336", "Onsemi")</f>
        <v>Onsemi</v>
      </c>
      <c r="C5729" s="6">
        <v>2652</v>
      </c>
      <c r="D5729" s="7">
        <v>0.74</v>
      </c>
      <c r="E5729" t="s">
        <v>10</v>
      </c>
    </row>
    <row r="5730" spans="1:5" x14ac:dyDescent="0.25">
      <c r="A5730" t="str">
        <f>HYPERLINK("https://www.773grp.com/globalSearch/LM2904D/page-1", "LM2904D")</f>
        <v>LM2904D</v>
      </c>
      <c r="B5730" s="3" t="str">
        <f>HYPERLINK("https://www.773grp.com/manufacturer/onsemi?pageNo=337", "Onsemi")</f>
        <v>Onsemi</v>
      </c>
      <c r="C5730" s="6">
        <v>29596</v>
      </c>
      <c r="D5730" s="7">
        <v>0.74</v>
      </c>
      <c r="E5730" t="s">
        <v>10</v>
      </c>
    </row>
    <row r="5731" spans="1:5" x14ac:dyDescent="0.25">
      <c r="A5731" t="str">
        <f>HYPERLINK("https://www.773grp.com/globalSearch/LM301A/page-1", "LM301A")</f>
        <v>LM301A</v>
      </c>
      <c r="B5731" s="3" t="str">
        <f>HYPERLINK("https://www.773grp.com/manufacturer/onsemi?pageNo=338", "Onsemi")</f>
        <v>Onsemi</v>
      </c>
      <c r="C5731" s="6">
        <v>5194</v>
      </c>
      <c r="D5731" s="7">
        <v>0.74</v>
      </c>
    </row>
    <row r="5732" spans="1:5" x14ac:dyDescent="0.25">
      <c r="A5732" t="str">
        <f>HYPERLINK("https://www.773grp.com/globalSearch/LM301AD/page-1", "LM301AD")</f>
        <v>LM301AD</v>
      </c>
      <c r="B5732" s="3" t="str">
        <f>HYPERLINK("https://www.773grp.com/manufacturer/onsemi?pageNo=339", "Onsemi")</f>
        <v>Onsemi</v>
      </c>
      <c r="C5732" s="6">
        <v>950</v>
      </c>
      <c r="D5732" s="7">
        <v>0.74</v>
      </c>
      <c r="E5732" t="s">
        <v>10</v>
      </c>
    </row>
    <row r="5733" spans="1:5" x14ac:dyDescent="0.25">
      <c r="A5733" t="str">
        <f>HYPERLINK("https://www.773grp.com/globalSearch/LM301AN/page-1", "LM301AN")</f>
        <v>LM301AN</v>
      </c>
      <c r="B5733" s="3" t="str">
        <f>HYPERLINK("https://www.773grp.com/manufacturer/onsemi?pageNo=340", "Onsemi")</f>
        <v>Onsemi</v>
      </c>
      <c r="C5733" s="6">
        <v>3250</v>
      </c>
      <c r="D5733" s="7">
        <v>0.74</v>
      </c>
      <c r="E5733" t="s">
        <v>10</v>
      </c>
    </row>
    <row r="5734" spans="1:5" x14ac:dyDescent="0.25">
      <c r="A5734" t="str">
        <f>HYPERLINK("https://www.773grp.com/globalSearch/LM317LBD/page-1", "LM317LBD")</f>
        <v>LM317LBD</v>
      </c>
      <c r="B5734" s="3" t="str">
        <f>HYPERLINK("https://www.773grp.com/manufacturer/onsemi?pageNo=341", "Onsemi")</f>
        <v>Onsemi</v>
      </c>
      <c r="C5734" s="6">
        <v>7938</v>
      </c>
      <c r="D5734" s="7">
        <v>0.74</v>
      </c>
      <c r="E5734" t="s">
        <v>18</v>
      </c>
    </row>
    <row r="5735" spans="1:5" x14ac:dyDescent="0.25">
      <c r="A5735" t="str">
        <f>HYPERLINK("https://www.773grp.com/globalSearch/LM317LD/page-1", "LM317LD")</f>
        <v>LM317LD</v>
      </c>
      <c r="B5735" s="3" t="str">
        <f>HYPERLINK("https://www.773grp.com/manufacturer/onsemi?pageNo=342", "Onsemi")</f>
        <v>Onsemi</v>
      </c>
      <c r="C5735" s="6">
        <v>3712</v>
      </c>
      <c r="D5735" s="7">
        <v>0.74</v>
      </c>
      <c r="E5735" t="s">
        <v>18</v>
      </c>
    </row>
    <row r="5736" spans="1:5" x14ac:dyDescent="0.25">
      <c r="A5736" t="str">
        <f>HYPERLINK("https://www.773grp.com/globalSearch/LM317LDR2/page-1", "LM317LDR2")</f>
        <v>LM317LDR2</v>
      </c>
      <c r="B5736" s="3" t="str">
        <f>HYPERLINK("https://www.773grp.com/manufacturer/onsemi?pageNo=343", "Onsemi")</f>
        <v>Onsemi</v>
      </c>
      <c r="C5736" s="6">
        <v>7594</v>
      </c>
      <c r="D5736" s="7">
        <v>0.74</v>
      </c>
      <c r="E5736" t="s">
        <v>18</v>
      </c>
    </row>
    <row r="5737" spans="1:5" x14ac:dyDescent="0.25">
      <c r="A5737" t="str">
        <f>HYPERLINK("https://www.773grp.com/globalSearch/LM317MT/page-1", "LM317MT")</f>
        <v>LM317MT</v>
      </c>
      <c r="B5737" s="3" t="str">
        <f>HYPERLINK("https://www.773grp.com/manufacturer/onsemi?pageNo=344", "Onsemi")</f>
        <v>Onsemi</v>
      </c>
      <c r="C5737" s="6">
        <v>66169</v>
      </c>
      <c r="D5737" s="7">
        <v>0.74</v>
      </c>
      <c r="E5737" t="s">
        <v>18</v>
      </c>
    </row>
    <row r="5738" spans="1:5" x14ac:dyDescent="0.25">
      <c r="A5738" t="str">
        <f>HYPERLINK("https://www.773grp.com/globalSearch/LM324N/page-1", "LM324N")</f>
        <v>LM324N</v>
      </c>
      <c r="B5738" s="3" t="str">
        <f>HYPERLINK("https://www.773grp.com/manufacturer/onsemi?pageNo=345", "Onsemi")</f>
        <v>Onsemi</v>
      </c>
      <c r="C5738" s="6">
        <v>790</v>
      </c>
      <c r="D5738" s="7">
        <v>0.74</v>
      </c>
      <c r="E5738" t="s">
        <v>10</v>
      </c>
    </row>
    <row r="5739" spans="1:5" x14ac:dyDescent="0.25">
      <c r="A5739" t="str">
        <f>HYPERLINK("https://www.773grp.com/globalSearch/LM324NG/page-1", "LM324NG")</f>
        <v>LM324NG</v>
      </c>
      <c r="B5739" s="3" t="str">
        <f>HYPERLINK("https://www.773grp.com/manufacturer/onsemi?pageNo=346", "Onsemi")</f>
        <v>Onsemi</v>
      </c>
      <c r="C5739" s="6">
        <v>219714</v>
      </c>
      <c r="D5739" s="7">
        <v>0.74</v>
      </c>
      <c r="E5739" t="s">
        <v>10</v>
      </c>
    </row>
    <row r="5740" spans="1:5" x14ac:dyDescent="0.25">
      <c r="A5740" t="str">
        <f>HYPERLINK("https://www.773grp.com/globalSearch/LM339N/page-1", "LM339N")</f>
        <v>LM339N</v>
      </c>
      <c r="B5740" s="3" t="str">
        <f>HYPERLINK("https://www.773grp.com/manufacturer/onsemi?pageNo=347", "Onsemi")</f>
        <v>Onsemi</v>
      </c>
      <c r="C5740" s="6">
        <v>2625</v>
      </c>
      <c r="D5740" s="7">
        <v>0.74</v>
      </c>
      <c r="E5740" t="s">
        <v>6</v>
      </c>
    </row>
    <row r="5741" spans="1:5" x14ac:dyDescent="0.25">
      <c r="A5741" t="str">
        <f>HYPERLINK("https://www.773grp.com/globalSearch/LM339NG/page-1", "LM339NG")</f>
        <v>LM339NG</v>
      </c>
      <c r="B5741" s="3" t="str">
        <f>HYPERLINK("https://www.773grp.com/manufacturer/onsemi?pageNo=348", "Onsemi")</f>
        <v>Onsemi</v>
      </c>
      <c r="C5741" s="6">
        <v>491036</v>
      </c>
      <c r="D5741" s="7">
        <v>0.74</v>
      </c>
      <c r="E5741" t="s">
        <v>6</v>
      </c>
    </row>
    <row r="5742" spans="1:5" x14ac:dyDescent="0.25">
      <c r="A5742" t="str">
        <f>HYPERLINK("https://www.773grp.com/globalSearch/LM358ADR2G/page-1", "LM358ADR2G")</f>
        <v>LM358ADR2G</v>
      </c>
      <c r="B5742" s="3" t="str">
        <f>HYPERLINK("https://www.773grp.com/manufacturer/onsemi?pageNo=349", "Onsemi")</f>
        <v>Onsemi</v>
      </c>
      <c r="C5742" s="6">
        <v>30751</v>
      </c>
      <c r="D5742" s="7">
        <v>0.74</v>
      </c>
      <c r="E5742" t="s">
        <v>10</v>
      </c>
    </row>
    <row r="5743" spans="1:5" x14ac:dyDescent="0.25">
      <c r="A5743" t="str">
        <f>HYPERLINK("https://www.773grp.com/globalSearch/LM358ADR2GH/page-1", "LM358ADR2GH")</f>
        <v>LM358ADR2GH</v>
      </c>
      <c r="B5743" s="3" t="str">
        <f>HYPERLINK("https://www.773grp.com/manufacturer/onsemi?pageNo=350", "Onsemi")</f>
        <v>Onsemi</v>
      </c>
      <c r="C5743" s="6">
        <v>2500</v>
      </c>
      <c r="D5743" s="7">
        <v>0.74</v>
      </c>
    </row>
    <row r="5744" spans="1:5" x14ac:dyDescent="0.25">
      <c r="A5744" t="str">
        <f>HYPERLINK("https://www.773grp.com/globalSearch/LM358DMR2G/page-1", "LM358DMR2G")</f>
        <v>LM358DMR2G</v>
      </c>
      <c r="B5744" s="3" t="str">
        <f>HYPERLINK("https://www.773grp.com/manufacturer/onsemi?pageNo=351", "Onsemi")</f>
        <v>Onsemi</v>
      </c>
      <c r="C5744" s="6">
        <v>196000</v>
      </c>
      <c r="D5744" s="7">
        <v>0.74</v>
      </c>
      <c r="E5744" t="s">
        <v>10</v>
      </c>
    </row>
    <row r="5745" spans="1:5" x14ac:dyDescent="0.25">
      <c r="A5745" t="str">
        <f>HYPERLINK("https://www.773grp.com/globalSearch/LM393DMR2G/page-1", "LM393DMR2G")</f>
        <v>LM393DMR2G</v>
      </c>
      <c r="B5745" s="3" t="str">
        <f>HYPERLINK("https://www.773grp.com/manufacturer/onsemi?pageNo=352", "Onsemi")</f>
        <v>Onsemi</v>
      </c>
      <c r="C5745" s="6">
        <v>36000</v>
      </c>
      <c r="D5745" s="7">
        <v>0.74</v>
      </c>
      <c r="E5745" t="s">
        <v>6</v>
      </c>
    </row>
    <row r="5746" spans="1:5" x14ac:dyDescent="0.25">
      <c r="A5746" t="str">
        <f>HYPERLINK("https://www.773grp.com/globalSearch/M74VHCT257ADTR2G/page-1", "M74VHCT257ADTR2G")</f>
        <v>M74VHCT257ADTR2G</v>
      </c>
      <c r="B5746" s="3" t="str">
        <f>HYPERLINK("https://www.773grp.com/manufacturer/onsemi?pageNo=353", "Onsemi")</f>
        <v>Onsemi</v>
      </c>
      <c r="C5746" s="6">
        <v>37400</v>
      </c>
      <c r="D5746" s="7">
        <v>0.74</v>
      </c>
    </row>
    <row r="5747" spans="1:5" x14ac:dyDescent="0.25">
      <c r="A5747" t="str">
        <f>HYPERLINK("https://www.773grp.com/globalSearch/MAC997B6G/page-1", "MAC997B6G")</f>
        <v>MAC997B6G</v>
      </c>
      <c r="B5747" s="3" t="str">
        <f>HYPERLINK("https://www.773grp.com/manufacturer/onsemi?pageNo=354", "Onsemi")</f>
        <v>Onsemi</v>
      </c>
      <c r="C5747" s="6">
        <v>5000</v>
      </c>
      <c r="D5747" s="7">
        <v>0.74</v>
      </c>
      <c r="E5747" t="s">
        <v>81</v>
      </c>
    </row>
    <row r="5748" spans="1:5" x14ac:dyDescent="0.25">
      <c r="A5748" t="str">
        <f>HYPERLINK("https://www.773grp.com/globalSearch/MAC997B8G/page-1", "MAC997B8G")</f>
        <v>MAC997B8G</v>
      </c>
      <c r="B5748" s="3" t="str">
        <f>HYPERLINK("https://www.773grp.com/manufacturer/onsemi?pageNo=355", "Onsemi")</f>
        <v>Onsemi</v>
      </c>
      <c r="C5748" s="6">
        <v>97900</v>
      </c>
      <c r="D5748" s="7">
        <v>0.74</v>
      </c>
      <c r="E5748" t="s">
        <v>81</v>
      </c>
    </row>
    <row r="5749" spans="1:5" x14ac:dyDescent="0.25">
      <c r="A5749" t="str">
        <f>HYPERLINK("https://www.773grp.com/globalSearch/MBR3100/page-1", "MBR3100")</f>
        <v>MBR3100</v>
      </c>
      <c r="B5749" s="3" t="str">
        <f>HYPERLINK("https://www.773grp.com/manufacturer/onsemi?pageNo=356", "Onsemi")</f>
        <v>Onsemi</v>
      </c>
      <c r="C5749" s="6">
        <v>8382</v>
      </c>
      <c r="D5749" s="7">
        <v>0.74</v>
      </c>
      <c r="E5749" t="s">
        <v>82</v>
      </c>
    </row>
    <row r="5750" spans="1:5" x14ac:dyDescent="0.25">
      <c r="A5750" t="str">
        <f>HYPERLINK("https://www.773grp.com/globalSearch/MBR3100RL/page-1", "MBR3100RL")</f>
        <v>MBR3100RL</v>
      </c>
      <c r="B5750" s="3" t="str">
        <f>HYPERLINK("https://www.773grp.com/manufacturer/onsemi?pageNo=357", "Onsemi")</f>
        <v>Onsemi</v>
      </c>
      <c r="C5750" s="6">
        <v>20988</v>
      </c>
      <c r="D5750" s="7">
        <v>0.74</v>
      </c>
      <c r="E5750" t="s">
        <v>82</v>
      </c>
    </row>
    <row r="5751" spans="1:5" x14ac:dyDescent="0.25">
      <c r="A5751" t="str">
        <f>HYPERLINK("https://www.773grp.com/globalSearch/MBRM120ET1G/page-1", "MBRM120ET1G")</f>
        <v>MBRM120ET1G</v>
      </c>
      <c r="B5751" s="3" t="str">
        <f>HYPERLINK("https://www.773grp.com/manufacturer/onsemi?pageNo=358", "Onsemi")</f>
        <v>Onsemi</v>
      </c>
      <c r="C5751" s="6">
        <v>392569</v>
      </c>
      <c r="D5751" s="7">
        <v>0.74</v>
      </c>
      <c r="E5751" t="s">
        <v>73</v>
      </c>
    </row>
    <row r="5752" spans="1:5" x14ac:dyDescent="0.25">
      <c r="A5752" t="str">
        <f>HYPERLINK("https://www.773grp.com/globalSearch/MBRM120ET3G/page-1", "MBRM120ET3G")</f>
        <v>MBRM120ET3G</v>
      </c>
      <c r="B5752" s="3" t="str">
        <f>HYPERLINK("https://www.773grp.com/manufacturer/onsemi?pageNo=359", "Onsemi")</f>
        <v>Onsemi</v>
      </c>
      <c r="C5752" s="6">
        <v>63407</v>
      </c>
      <c r="D5752" s="7">
        <v>0.74</v>
      </c>
      <c r="E5752" t="s">
        <v>73</v>
      </c>
    </row>
    <row r="5753" spans="1:5" x14ac:dyDescent="0.25">
      <c r="A5753" t="str">
        <f>HYPERLINK("https://www.773grp.com/globalSearch/MBRS340T3H/page-1", "MBRS340T3H")</f>
        <v>MBRS340T3H</v>
      </c>
      <c r="B5753" s="3" t="str">
        <f>HYPERLINK("https://www.773grp.com/manufacturer/onsemi?pageNo=360", "Onsemi")</f>
        <v>Onsemi</v>
      </c>
      <c r="C5753" s="6">
        <v>2500</v>
      </c>
      <c r="D5753" s="7">
        <v>0.74</v>
      </c>
    </row>
    <row r="5754" spans="1:5" x14ac:dyDescent="0.25">
      <c r="A5754" t="str">
        <f>HYPERLINK("https://www.773grp.com/globalSearch/MC14001BCP/page-1", "MC14001BCP")</f>
        <v>MC14001BCP</v>
      </c>
      <c r="B5754" s="3" t="str">
        <f>HYPERLINK("https://www.773grp.com/manufacturer/onsemi?pageNo=361", "Onsemi")</f>
        <v>Onsemi</v>
      </c>
      <c r="C5754" s="6">
        <v>3222</v>
      </c>
      <c r="D5754" s="7">
        <v>0.74</v>
      </c>
      <c r="E5754" t="s">
        <v>27</v>
      </c>
    </row>
    <row r="5755" spans="1:5" x14ac:dyDescent="0.25">
      <c r="A5755" t="str">
        <f>HYPERLINK("https://www.773grp.com/globalSearch/MC14001BDG/page-1", "MC14001BDG")</f>
        <v>MC14001BDG</v>
      </c>
      <c r="B5755" s="3" t="str">
        <f>HYPERLINK("https://www.773grp.com/manufacturer/onsemi?pageNo=362", "Onsemi")</f>
        <v>Onsemi</v>
      </c>
      <c r="C5755" s="6">
        <v>10540</v>
      </c>
      <c r="D5755" s="7">
        <v>0.74</v>
      </c>
      <c r="E5755" t="s">
        <v>27</v>
      </c>
    </row>
    <row r="5756" spans="1:5" x14ac:dyDescent="0.25">
      <c r="A5756" t="str">
        <f>HYPERLINK("https://www.773grp.com/globalSearch/MC14001BDR2G/page-1", "MC14001BDR2G")</f>
        <v>MC14001BDR2G</v>
      </c>
      <c r="B5756" s="3" t="str">
        <f>HYPERLINK("https://www.773grp.com/manufacturer/onsemi?pageNo=363", "Onsemi")</f>
        <v>Onsemi</v>
      </c>
      <c r="C5756" s="6">
        <v>49651</v>
      </c>
      <c r="D5756" s="7">
        <v>0.74</v>
      </c>
      <c r="E5756" t="s">
        <v>27</v>
      </c>
    </row>
    <row r="5757" spans="1:5" x14ac:dyDescent="0.25">
      <c r="A5757" t="str">
        <f>HYPERLINK("https://www.773grp.com/globalSearch/MC14001UBCPG/page-1", "MC14001UBCPG")</f>
        <v>MC14001UBCPG</v>
      </c>
      <c r="B5757" s="3" t="str">
        <f>HYPERLINK("https://www.773grp.com/manufacturer/onsemi?pageNo=364", "Onsemi")</f>
        <v>Onsemi</v>
      </c>
      <c r="C5757" s="6">
        <v>4455</v>
      </c>
      <c r="D5757" s="7">
        <v>0.74</v>
      </c>
      <c r="E5757" t="s">
        <v>27</v>
      </c>
    </row>
    <row r="5758" spans="1:5" x14ac:dyDescent="0.25">
      <c r="A5758" t="str">
        <f>HYPERLINK("https://www.773grp.com/globalSearch/MC14001UBDG/page-1", "MC14001UBDG")</f>
        <v>MC14001UBDG</v>
      </c>
      <c r="B5758" s="3" t="str">
        <f>HYPERLINK("https://www.773grp.com/manufacturer/onsemi?pageNo=365", "Onsemi")</f>
        <v>Onsemi</v>
      </c>
      <c r="C5758" s="6">
        <v>4840</v>
      </c>
      <c r="D5758" s="7">
        <v>0.74</v>
      </c>
    </row>
    <row r="5759" spans="1:5" x14ac:dyDescent="0.25">
      <c r="A5759" t="str">
        <f>HYPERLINK("https://www.773grp.com/globalSearch/MC14001UBDR2G/page-1", "MC14001UBDR2G")</f>
        <v>MC14001UBDR2G</v>
      </c>
      <c r="B5759" s="3" t="str">
        <f>HYPERLINK("https://www.773grp.com/manufacturer/onsemi?pageNo=366", "Onsemi")</f>
        <v>Onsemi</v>
      </c>
      <c r="C5759" s="6">
        <v>2636</v>
      </c>
      <c r="D5759" s="7">
        <v>0.74</v>
      </c>
    </row>
    <row r="5760" spans="1:5" x14ac:dyDescent="0.25">
      <c r="A5760" t="str">
        <f>HYPERLINK("https://www.773grp.com/globalSearch/MC14007UBCPG/page-1", "MC14007UBCPG")</f>
        <v>MC14007UBCPG</v>
      </c>
      <c r="B5760" s="3" t="str">
        <f>HYPERLINK("https://www.773grp.com/manufacturer/onsemi?pageNo=367", "Onsemi")</f>
        <v>Onsemi</v>
      </c>
      <c r="C5760" s="6">
        <v>10619</v>
      </c>
      <c r="D5760" s="7">
        <v>0.74</v>
      </c>
      <c r="E5760" t="s">
        <v>27</v>
      </c>
    </row>
    <row r="5761" spans="1:5" x14ac:dyDescent="0.25">
      <c r="A5761" t="str">
        <f>HYPERLINK("https://www.773grp.com/globalSearch/MC14007UBDG/page-1", "MC14007UBDG")</f>
        <v>MC14007UBDG</v>
      </c>
      <c r="B5761" s="3" t="str">
        <f>HYPERLINK("https://www.773grp.com/manufacturer/onsemi?pageNo=368", "Onsemi")</f>
        <v>Onsemi</v>
      </c>
      <c r="C5761" s="6">
        <v>4510</v>
      </c>
      <c r="D5761" s="7">
        <v>0.74</v>
      </c>
      <c r="E5761" t="s">
        <v>27</v>
      </c>
    </row>
    <row r="5762" spans="1:5" x14ac:dyDescent="0.25">
      <c r="A5762" t="str">
        <f>HYPERLINK("https://www.773grp.com/globalSearch/MC14007UBDR2G/page-1", "MC14007UBDR2G")</f>
        <v>MC14007UBDR2G</v>
      </c>
      <c r="B5762" s="3" t="str">
        <f>HYPERLINK("https://www.773grp.com/manufacturer/onsemi?pageNo=369", "Onsemi")</f>
        <v>Onsemi</v>
      </c>
      <c r="C5762" s="6">
        <v>17495</v>
      </c>
      <c r="D5762" s="7">
        <v>0.74</v>
      </c>
      <c r="E5762" t="s">
        <v>27</v>
      </c>
    </row>
    <row r="5763" spans="1:5" x14ac:dyDescent="0.25">
      <c r="A5763" t="str">
        <f>HYPERLINK("https://www.773grp.com/globalSearch/MC14011BCP/page-1", "MC14011BCP")</f>
        <v>MC14011BCP</v>
      </c>
      <c r="B5763" s="3" t="str">
        <f>HYPERLINK("https://www.773grp.com/manufacturer/onsemi?pageNo=370", "Onsemi")</f>
        <v>Onsemi</v>
      </c>
      <c r="C5763" s="6">
        <v>20173</v>
      </c>
      <c r="D5763" s="7">
        <v>0.74</v>
      </c>
      <c r="E5763" t="s">
        <v>27</v>
      </c>
    </row>
    <row r="5764" spans="1:5" x14ac:dyDescent="0.25">
      <c r="A5764" t="str">
        <f>HYPERLINK("https://www.773grp.com/globalSearch/MC14011BCPG/page-1", "MC14011BCPG")</f>
        <v>MC14011BCPG</v>
      </c>
      <c r="B5764" s="3" t="str">
        <f>HYPERLINK("https://www.773grp.com/manufacturer/onsemi?pageNo=371", "Onsemi")</f>
        <v>Onsemi</v>
      </c>
      <c r="C5764" s="6">
        <v>595</v>
      </c>
      <c r="D5764" s="7">
        <v>0.74</v>
      </c>
      <c r="E5764" t="s">
        <v>27</v>
      </c>
    </row>
    <row r="5765" spans="1:5" x14ac:dyDescent="0.25">
      <c r="A5765" t="str">
        <f>HYPERLINK("https://www.773grp.com/globalSearch/MC14011BDG/page-1", "MC14011BDG")</f>
        <v>MC14011BDG</v>
      </c>
      <c r="B5765" s="3" t="str">
        <f>HYPERLINK("https://www.773grp.com/manufacturer/onsemi?pageNo=372", "Onsemi")</f>
        <v>Onsemi</v>
      </c>
      <c r="C5765" s="6">
        <v>4645</v>
      </c>
      <c r="D5765" s="7">
        <v>0.74</v>
      </c>
    </row>
    <row r="5766" spans="1:5" x14ac:dyDescent="0.25">
      <c r="A5766" t="str">
        <f>HYPERLINK("https://www.773grp.com/globalSearch/MC14011BDR2G/page-1", "MC14011BDR2G")</f>
        <v>MC14011BDR2G</v>
      </c>
      <c r="B5766" s="3" t="str">
        <f>HYPERLINK("https://www.773grp.com/manufacturer/onsemi?pageNo=373", "Onsemi")</f>
        <v>Onsemi</v>
      </c>
      <c r="C5766" s="6">
        <v>76387</v>
      </c>
      <c r="D5766" s="7">
        <v>0.74</v>
      </c>
      <c r="E5766" t="s">
        <v>27</v>
      </c>
    </row>
    <row r="5767" spans="1:5" x14ac:dyDescent="0.25">
      <c r="A5767" t="str">
        <f>HYPERLINK("https://www.773grp.com/globalSearch/MC14011UBCPG/page-1", "MC14011UBCPG")</f>
        <v>MC14011UBCPG</v>
      </c>
      <c r="B5767" s="3" t="str">
        <f>HYPERLINK("https://www.773grp.com/manufacturer/onsemi?pageNo=374", "Onsemi")</f>
        <v>Onsemi</v>
      </c>
      <c r="C5767" s="6">
        <v>9051</v>
      </c>
      <c r="D5767" s="7">
        <v>0.74</v>
      </c>
      <c r="E5767" t="s">
        <v>27</v>
      </c>
    </row>
    <row r="5768" spans="1:5" x14ac:dyDescent="0.25">
      <c r="A5768" t="str">
        <f>HYPERLINK("https://www.773grp.com/globalSearch/MC14011UBDG/page-1", "MC14011UBDG")</f>
        <v>MC14011UBDG</v>
      </c>
      <c r="B5768" s="3" t="str">
        <f>HYPERLINK("https://www.773grp.com/manufacturer/onsemi?pageNo=375", "Onsemi")</f>
        <v>Onsemi</v>
      </c>
      <c r="C5768" s="6">
        <v>4790</v>
      </c>
      <c r="D5768" s="7">
        <v>0.74</v>
      </c>
      <c r="E5768" t="s">
        <v>27</v>
      </c>
    </row>
    <row r="5769" spans="1:5" x14ac:dyDescent="0.25">
      <c r="A5769" t="str">
        <f>HYPERLINK("https://www.773grp.com/globalSearch/MC14011UBDR2G/page-1", "MC14011UBDR2G")</f>
        <v>MC14011UBDR2G</v>
      </c>
      <c r="B5769" s="3" t="str">
        <f>HYPERLINK("https://www.773grp.com/manufacturer/onsemi?pageNo=376", "Onsemi")</f>
        <v>Onsemi</v>
      </c>
      <c r="C5769" s="6">
        <v>20234</v>
      </c>
      <c r="D5769" s="7">
        <v>0.74</v>
      </c>
      <c r="E5769" t="s">
        <v>27</v>
      </c>
    </row>
    <row r="5770" spans="1:5" x14ac:dyDescent="0.25">
      <c r="A5770" t="str">
        <f>HYPERLINK("https://www.773grp.com/globalSearch/MC14012BCPG/page-1", "MC14012BCPG")</f>
        <v>MC14012BCPG</v>
      </c>
      <c r="B5770" s="3" t="str">
        <f>HYPERLINK("https://www.773grp.com/manufacturer/onsemi?pageNo=377", "Onsemi")</f>
        <v>Onsemi</v>
      </c>
      <c r="C5770" s="6">
        <v>5391</v>
      </c>
      <c r="D5770" s="7">
        <v>0.74</v>
      </c>
      <c r="E5770" t="s">
        <v>27</v>
      </c>
    </row>
    <row r="5771" spans="1:5" x14ac:dyDescent="0.25">
      <c r="A5771" t="str">
        <f>HYPERLINK("https://www.773grp.com/globalSearch/MC14012BDG/page-1", "MC14012BDG")</f>
        <v>MC14012BDG</v>
      </c>
      <c r="B5771" s="3" t="str">
        <f>HYPERLINK("https://www.773grp.com/manufacturer/onsemi?pageNo=378", "Onsemi")</f>
        <v>Onsemi</v>
      </c>
      <c r="C5771" s="6">
        <v>20968</v>
      </c>
      <c r="D5771" s="7">
        <v>0.74</v>
      </c>
      <c r="E5771" t="s">
        <v>27</v>
      </c>
    </row>
    <row r="5772" spans="1:5" x14ac:dyDescent="0.25">
      <c r="A5772" t="str">
        <f>HYPERLINK("https://www.773grp.com/globalSearch/MC14012BDR2G/page-1", "MC14012BDR2G")</f>
        <v>MC14012BDR2G</v>
      </c>
      <c r="B5772" s="3" t="str">
        <f>HYPERLINK("https://www.773grp.com/manufacturer/onsemi?pageNo=379", "Onsemi")</f>
        <v>Onsemi</v>
      </c>
      <c r="C5772" s="6">
        <v>14300</v>
      </c>
      <c r="D5772" s="7">
        <v>0.74</v>
      </c>
      <c r="E5772" t="s">
        <v>27</v>
      </c>
    </row>
    <row r="5773" spans="1:5" x14ac:dyDescent="0.25">
      <c r="A5773" t="str">
        <f>HYPERLINK("https://www.773grp.com/globalSearch/MC14013BDG/page-1", "MC14013BDG")</f>
        <v>MC14013BDG</v>
      </c>
      <c r="B5773" s="3" t="str">
        <f>HYPERLINK("https://www.773grp.com/manufacturer/onsemi?pageNo=380", "Onsemi")</f>
        <v>Onsemi</v>
      </c>
      <c r="C5773" s="6">
        <v>11530</v>
      </c>
      <c r="D5773" s="7">
        <v>0.74</v>
      </c>
      <c r="E5773" t="s">
        <v>31</v>
      </c>
    </row>
    <row r="5774" spans="1:5" x14ac:dyDescent="0.25">
      <c r="A5774" t="str">
        <f>HYPERLINK("https://www.773grp.com/globalSearch/MC14013BDR2G/page-1", "MC14013BDR2G")</f>
        <v>MC14013BDR2G</v>
      </c>
      <c r="B5774" s="3" t="str">
        <f>HYPERLINK("https://www.773grp.com/manufacturer/onsemi?pageNo=381", "Onsemi")</f>
        <v>Onsemi</v>
      </c>
      <c r="C5774" s="6">
        <v>67510</v>
      </c>
      <c r="D5774" s="7">
        <v>0.74</v>
      </c>
      <c r="E5774" t="s">
        <v>31</v>
      </c>
    </row>
    <row r="5775" spans="1:5" x14ac:dyDescent="0.25">
      <c r="A5775" t="str">
        <f>HYPERLINK("https://www.773grp.com/globalSearch/MC14013BDTR2/page-1", "MC14013BDTR2")</f>
        <v>MC14013BDTR2</v>
      </c>
      <c r="B5775" s="3" t="str">
        <f>HYPERLINK("https://www.773grp.com/manufacturer/onsemi?pageNo=382", "Onsemi")</f>
        <v>Onsemi</v>
      </c>
      <c r="C5775" s="6">
        <v>3550</v>
      </c>
      <c r="D5775" s="7">
        <v>0.74</v>
      </c>
      <c r="E5775" t="s">
        <v>31</v>
      </c>
    </row>
    <row r="5776" spans="1:5" x14ac:dyDescent="0.25">
      <c r="A5776" t="str">
        <f>HYPERLINK("https://www.773grp.com/globalSearch/MC14013BDTR2G/page-1", "MC14013BDTR2G")</f>
        <v>MC14013BDTR2G</v>
      </c>
      <c r="B5776" s="3" t="str">
        <f>HYPERLINK("https://www.773grp.com/manufacturer/onsemi?pageNo=383", "Onsemi")</f>
        <v>Onsemi</v>
      </c>
      <c r="C5776" s="6">
        <v>365691</v>
      </c>
      <c r="D5776" s="7">
        <v>0.74</v>
      </c>
      <c r="E5776" t="s">
        <v>31</v>
      </c>
    </row>
    <row r="5777" spans="1:5" x14ac:dyDescent="0.25">
      <c r="A5777" t="str">
        <f>HYPERLINK("https://www.773grp.com/globalSearch/MC14023BCP/page-1", "MC14023BCP")</f>
        <v>MC14023BCP</v>
      </c>
      <c r="B5777" s="3" t="str">
        <f>HYPERLINK("https://www.773grp.com/manufacturer/onsemi?pageNo=384", "Onsemi")</f>
        <v>Onsemi</v>
      </c>
      <c r="C5777" s="6">
        <v>1986</v>
      </c>
      <c r="D5777" s="7">
        <v>0.74</v>
      </c>
      <c r="E5777" t="s">
        <v>27</v>
      </c>
    </row>
    <row r="5778" spans="1:5" x14ac:dyDescent="0.25">
      <c r="A5778" t="str">
        <f>HYPERLINK("https://www.773grp.com/globalSearch/MC14023BCPG/page-1", "MC14023BCPG")</f>
        <v>MC14023BCPG</v>
      </c>
      <c r="B5778" s="3" t="str">
        <f>HYPERLINK("https://www.773grp.com/manufacturer/onsemi?pageNo=385", "Onsemi")</f>
        <v>Onsemi</v>
      </c>
      <c r="C5778" s="6">
        <v>54182</v>
      </c>
      <c r="D5778" s="7">
        <v>0.74</v>
      </c>
      <c r="E5778" t="s">
        <v>27</v>
      </c>
    </row>
    <row r="5779" spans="1:5" x14ac:dyDescent="0.25">
      <c r="A5779" t="str">
        <f>HYPERLINK("https://www.773grp.com/globalSearch/MC14023BDG/page-1", "MC14023BDG")</f>
        <v>MC14023BDG</v>
      </c>
      <c r="B5779" s="3" t="str">
        <f>HYPERLINK("https://www.773grp.com/manufacturer/onsemi?pageNo=386", "Onsemi")</f>
        <v>Onsemi</v>
      </c>
      <c r="C5779" s="6">
        <v>6795</v>
      </c>
      <c r="D5779" s="7">
        <v>0.74</v>
      </c>
      <c r="E5779" t="s">
        <v>27</v>
      </c>
    </row>
    <row r="5780" spans="1:5" x14ac:dyDescent="0.25">
      <c r="A5780" t="str">
        <f>HYPERLINK("https://www.773grp.com/globalSearch/MC14023BDR2G/page-1", "MC14023BDR2G")</f>
        <v>MC14023BDR2G</v>
      </c>
      <c r="B5780" s="3" t="str">
        <f>HYPERLINK("https://www.773grp.com/manufacturer/onsemi?pageNo=387", "Onsemi")</f>
        <v>Onsemi</v>
      </c>
      <c r="C5780" s="6">
        <v>10369</v>
      </c>
      <c r="D5780" s="7">
        <v>0.74</v>
      </c>
      <c r="E5780" t="s">
        <v>27</v>
      </c>
    </row>
    <row r="5781" spans="1:5" x14ac:dyDescent="0.25">
      <c r="A5781" t="str">
        <f>HYPERLINK("https://www.773grp.com/globalSearch/MC14025BCPG/page-1", "MC14025BCPG")</f>
        <v>MC14025BCPG</v>
      </c>
      <c r="B5781" s="3" t="str">
        <f>HYPERLINK("https://www.773grp.com/manufacturer/onsemi?pageNo=388", "Onsemi")</f>
        <v>Onsemi</v>
      </c>
      <c r="C5781" s="6">
        <v>4434</v>
      </c>
      <c r="D5781" s="7">
        <v>0.74</v>
      </c>
      <c r="E5781" t="s">
        <v>27</v>
      </c>
    </row>
    <row r="5782" spans="1:5" x14ac:dyDescent="0.25">
      <c r="A5782" t="str">
        <f>HYPERLINK("https://www.773grp.com/globalSearch/MC14025BDG/page-1", "MC14025BDG")</f>
        <v>MC14025BDG</v>
      </c>
      <c r="B5782" s="3" t="str">
        <f>HYPERLINK("https://www.773grp.com/manufacturer/onsemi?pageNo=389", "Onsemi")</f>
        <v>Onsemi</v>
      </c>
      <c r="C5782" s="6">
        <v>7590</v>
      </c>
      <c r="D5782" s="7">
        <v>0.74</v>
      </c>
      <c r="E5782" t="s">
        <v>27</v>
      </c>
    </row>
    <row r="5783" spans="1:5" x14ac:dyDescent="0.25">
      <c r="A5783" t="str">
        <f>HYPERLINK("https://www.773grp.com/globalSearch/MC14025BDR2G/page-1", "MC14025BDR2G")</f>
        <v>MC14025BDR2G</v>
      </c>
      <c r="B5783" s="3" t="str">
        <f>HYPERLINK("https://www.773grp.com/manufacturer/onsemi?pageNo=390", "Onsemi")</f>
        <v>Onsemi</v>
      </c>
      <c r="C5783" s="6">
        <v>7400</v>
      </c>
      <c r="D5783" s="7">
        <v>0.74</v>
      </c>
      <c r="E5783" t="s">
        <v>27</v>
      </c>
    </row>
    <row r="5784" spans="1:5" x14ac:dyDescent="0.25">
      <c r="A5784" t="str">
        <f>HYPERLINK("https://www.773grp.com/globalSearch/MC14027BDG/page-1", "MC14027BDG")</f>
        <v>MC14027BDG</v>
      </c>
      <c r="B5784" s="3" t="str">
        <f>HYPERLINK("https://www.773grp.com/manufacturer/onsemi?pageNo=391", "Onsemi")</f>
        <v>Onsemi</v>
      </c>
      <c r="C5784" s="6">
        <v>7176</v>
      </c>
      <c r="D5784" s="7">
        <v>0.74</v>
      </c>
      <c r="E5784" t="s">
        <v>31</v>
      </c>
    </row>
    <row r="5785" spans="1:5" x14ac:dyDescent="0.25">
      <c r="A5785" t="str">
        <f>HYPERLINK("https://www.773grp.com/globalSearch/MC14027BDR2G/page-1", "MC14027BDR2G")</f>
        <v>MC14027BDR2G</v>
      </c>
      <c r="B5785" s="3" t="str">
        <f>HYPERLINK("https://www.773grp.com/manufacturer/onsemi?pageNo=392", "Onsemi")</f>
        <v>Onsemi</v>
      </c>
      <c r="C5785" s="6">
        <v>44657</v>
      </c>
      <c r="D5785" s="7">
        <v>0.74</v>
      </c>
      <c r="E5785" t="s">
        <v>31</v>
      </c>
    </row>
    <row r="5786" spans="1:5" x14ac:dyDescent="0.25">
      <c r="A5786" t="str">
        <f>HYPERLINK("https://www.773grp.com/globalSearch/MC14069UBCPG/page-1", "MC14069UBCPG")</f>
        <v>MC14069UBCPG</v>
      </c>
      <c r="B5786" s="3" t="str">
        <f>HYPERLINK("https://www.773grp.com/manufacturer/onsemi?pageNo=393", "Onsemi")</f>
        <v>Onsemi</v>
      </c>
      <c r="C5786" s="6">
        <v>5265</v>
      </c>
      <c r="D5786" s="7">
        <v>0.74</v>
      </c>
      <c r="E5786" t="s">
        <v>27</v>
      </c>
    </row>
    <row r="5787" spans="1:5" x14ac:dyDescent="0.25">
      <c r="A5787" t="str">
        <f>HYPERLINK("https://www.773grp.com/globalSearch/MC14069UBDG/page-1", "MC14069UBDG")</f>
        <v>MC14069UBDG</v>
      </c>
      <c r="B5787" s="3" t="str">
        <f>HYPERLINK("https://www.773grp.com/manufacturer/onsemi?pageNo=394", "Onsemi")</f>
        <v>Onsemi</v>
      </c>
      <c r="C5787" s="6">
        <v>24074</v>
      </c>
      <c r="D5787" s="7">
        <v>0.74</v>
      </c>
      <c r="E5787" t="s">
        <v>27</v>
      </c>
    </row>
    <row r="5788" spans="1:5" x14ac:dyDescent="0.25">
      <c r="A5788" t="str">
        <f>HYPERLINK("https://www.773grp.com/globalSearch/MC14069UBDR2G/page-1", "MC14069UBDR2G")</f>
        <v>MC14069UBDR2G</v>
      </c>
      <c r="B5788" s="3" t="str">
        <f>HYPERLINK("https://www.773grp.com/manufacturer/onsemi?pageNo=395", "Onsemi")</f>
        <v>Onsemi</v>
      </c>
      <c r="C5788" s="6">
        <v>108855</v>
      </c>
      <c r="D5788" s="7">
        <v>0.74</v>
      </c>
      <c r="E5788" t="s">
        <v>27</v>
      </c>
    </row>
    <row r="5789" spans="1:5" x14ac:dyDescent="0.25">
      <c r="A5789" t="str">
        <f>HYPERLINK("https://www.773grp.com/globalSearch/MC14070BCPG/page-1", "MC14070BCPG")</f>
        <v>MC14070BCPG</v>
      </c>
      <c r="B5789" s="3" t="str">
        <f>HYPERLINK("https://www.773grp.com/manufacturer/onsemi?pageNo=396", "Onsemi")</f>
        <v>Onsemi</v>
      </c>
      <c r="C5789" s="6">
        <v>9045</v>
      </c>
      <c r="D5789" s="7">
        <v>0.74</v>
      </c>
      <c r="E5789" t="s">
        <v>27</v>
      </c>
    </row>
    <row r="5790" spans="1:5" x14ac:dyDescent="0.25">
      <c r="A5790" t="str">
        <f>HYPERLINK("https://www.773grp.com/globalSearch/MC14070BDG/page-1", "MC14070BDG")</f>
        <v>MC14070BDG</v>
      </c>
      <c r="B5790" s="3" t="str">
        <f>HYPERLINK("https://www.773grp.com/manufacturer/onsemi?pageNo=397", "Onsemi")</f>
        <v>Onsemi</v>
      </c>
      <c r="C5790" s="6">
        <v>10826</v>
      </c>
      <c r="D5790" s="7">
        <v>0.74</v>
      </c>
      <c r="E5790" t="s">
        <v>27</v>
      </c>
    </row>
    <row r="5791" spans="1:5" x14ac:dyDescent="0.25">
      <c r="A5791" t="str">
        <f>HYPERLINK("https://www.773grp.com/globalSearch/MC14070BDR2G/page-1", "MC14070BDR2G")</f>
        <v>MC14070BDR2G</v>
      </c>
      <c r="B5791" s="3" t="str">
        <f>HYPERLINK("https://www.773grp.com/manufacturer/onsemi?pageNo=398", "Onsemi")</f>
        <v>Onsemi</v>
      </c>
      <c r="C5791" s="6">
        <v>50000</v>
      </c>
      <c r="D5791" s="7">
        <v>0.74</v>
      </c>
      <c r="E5791" t="s">
        <v>27</v>
      </c>
    </row>
    <row r="5792" spans="1:5" x14ac:dyDescent="0.25">
      <c r="A5792" t="str">
        <f>HYPERLINK("https://www.773grp.com/globalSearch/MC14071BCPG/page-1", "MC14071BCPG")</f>
        <v>MC14071BCPG</v>
      </c>
      <c r="B5792" s="3" t="str">
        <f>HYPERLINK("https://www.773grp.com/manufacturer/onsemi?pageNo=399", "Onsemi")</f>
        <v>Onsemi</v>
      </c>
      <c r="C5792" s="6">
        <v>10795</v>
      </c>
      <c r="D5792" s="7">
        <v>0.74</v>
      </c>
      <c r="E5792" t="s">
        <v>27</v>
      </c>
    </row>
    <row r="5793" spans="1:5" x14ac:dyDescent="0.25">
      <c r="A5793" t="str">
        <f>HYPERLINK("https://www.773grp.com/globalSearch/MC14071BDR2G/page-1", "MC14071BDR2G")</f>
        <v>MC14071BDR2G</v>
      </c>
      <c r="B5793" s="3" t="str">
        <f>HYPERLINK("https://www.773grp.com/manufacturer/onsemi?pageNo=400", "Onsemi")</f>
        <v>Onsemi</v>
      </c>
      <c r="C5793" s="6">
        <v>95998</v>
      </c>
      <c r="D5793" s="7">
        <v>0.74</v>
      </c>
      <c r="E5793" t="s">
        <v>27</v>
      </c>
    </row>
    <row r="5794" spans="1:5" x14ac:dyDescent="0.25">
      <c r="A5794" t="str">
        <f>HYPERLINK("https://www.773grp.com/globalSearch/MC14073BCPG/page-1", "MC14073BCPG")</f>
        <v>MC14073BCPG</v>
      </c>
      <c r="B5794" s="3" t="str">
        <f>HYPERLINK("https://www.773grp.com/manufacturer/onsemi?pageNo=401", "Onsemi")</f>
        <v>Onsemi</v>
      </c>
      <c r="C5794" s="6">
        <v>17935</v>
      </c>
      <c r="D5794" s="7">
        <v>0.74</v>
      </c>
      <c r="E5794" t="s">
        <v>27</v>
      </c>
    </row>
    <row r="5795" spans="1:5" x14ac:dyDescent="0.25">
      <c r="A5795" t="str">
        <f>HYPERLINK("https://www.773grp.com/globalSearch/MC14073BDG/page-1", "MC14073BDG")</f>
        <v>MC14073BDG</v>
      </c>
      <c r="B5795" s="3" t="str">
        <f>HYPERLINK("https://www.773grp.com/manufacturer/onsemi?pageNo=402", "Onsemi")</f>
        <v>Onsemi</v>
      </c>
      <c r="C5795" s="6">
        <v>38773</v>
      </c>
      <c r="D5795" s="7">
        <v>0.74</v>
      </c>
      <c r="E5795" t="s">
        <v>27</v>
      </c>
    </row>
    <row r="5796" spans="1:5" x14ac:dyDescent="0.25">
      <c r="A5796" t="str">
        <f>HYPERLINK("https://www.773grp.com/globalSearch/MC14073BDR2G/page-1", "MC14073BDR2G")</f>
        <v>MC14073BDR2G</v>
      </c>
      <c r="B5796" s="3" t="str">
        <f>HYPERLINK("https://www.773grp.com/manufacturer/onsemi?pageNo=403", "Onsemi")</f>
        <v>Onsemi</v>
      </c>
      <c r="C5796" s="6">
        <v>7245</v>
      </c>
      <c r="D5796" s="7">
        <v>0.74</v>
      </c>
    </row>
    <row r="5797" spans="1:5" x14ac:dyDescent="0.25">
      <c r="A5797" t="str">
        <f>HYPERLINK("https://www.773grp.com/globalSearch/MC14077BCPG/page-1", "MC14077BCPG")</f>
        <v>MC14077BCPG</v>
      </c>
      <c r="B5797" s="3" t="str">
        <f>HYPERLINK("https://www.773grp.com/manufacturer/onsemi?pageNo=404", "Onsemi")</f>
        <v>Onsemi</v>
      </c>
      <c r="C5797" s="6">
        <v>31509</v>
      </c>
      <c r="D5797" s="7">
        <v>0.74</v>
      </c>
      <c r="E5797" t="s">
        <v>27</v>
      </c>
    </row>
    <row r="5798" spans="1:5" x14ac:dyDescent="0.25">
      <c r="A5798" t="str">
        <f>HYPERLINK("https://www.773grp.com/globalSearch/MC14077BDG/page-1", "MC14077BDG")</f>
        <v>MC14077BDG</v>
      </c>
      <c r="B5798" s="3" t="str">
        <f>HYPERLINK("https://www.773grp.com/manufacturer/onsemi?pageNo=405", "Onsemi")</f>
        <v>Onsemi</v>
      </c>
      <c r="C5798" s="6">
        <v>9224</v>
      </c>
      <c r="D5798" s="7">
        <v>0.74</v>
      </c>
      <c r="E5798" t="s">
        <v>27</v>
      </c>
    </row>
    <row r="5799" spans="1:5" x14ac:dyDescent="0.25">
      <c r="A5799" t="str">
        <f>HYPERLINK("https://www.773grp.com/globalSearch/MC14077BDR2G/page-1", "MC14077BDR2G")</f>
        <v>MC14077BDR2G</v>
      </c>
      <c r="B5799" s="3" t="str">
        <f>HYPERLINK("https://www.773grp.com/manufacturer/onsemi?pageNo=406", "Onsemi")</f>
        <v>Onsemi</v>
      </c>
      <c r="C5799" s="6">
        <v>31836</v>
      </c>
      <c r="D5799" s="7">
        <v>0.74</v>
      </c>
      <c r="E5799" t="s">
        <v>27</v>
      </c>
    </row>
    <row r="5800" spans="1:5" x14ac:dyDescent="0.25">
      <c r="A5800" t="str">
        <f>HYPERLINK("https://www.773grp.com/globalSearch/MC14081BDG/page-1", "MC14081BDG")</f>
        <v>MC14081BDG</v>
      </c>
      <c r="B5800" s="3" t="str">
        <f>HYPERLINK("https://www.773grp.com/manufacturer/onsemi?pageNo=407", "Onsemi")</f>
        <v>Onsemi</v>
      </c>
      <c r="C5800" s="6">
        <v>2808</v>
      </c>
      <c r="D5800" s="7">
        <v>0.74</v>
      </c>
      <c r="E5800" t="s">
        <v>27</v>
      </c>
    </row>
    <row r="5801" spans="1:5" x14ac:dyDescent="0.25">
      <c r="A5801" t="str">
        <f>HYPERLINK("https://www.773grp.com/globalSearch/MC14081BDR2G/page-1", "MC14081BDR2G")</f>
        <v>MC14081BDR2G</v>
      </c>
      <c r="B5801" s="3" t="str">
        <f>HYPERLINK("https://www.773grp.com/manufacturer/onsemi?pageNo=408", "Onsemi")</f>
        <v>Onsemi</v>
      </c>
      <c r="C5801" s="6">
        <v>128062</v>
      </c>
      <c r="D5801" s="7">
        <v>0.74</v>
      </c>
      <c r="E5801" t="s">
        <v>27</v>
      </c>
    </row>
    <row r="5802" spans="1:5" x14ac:dyDescent="0.25">
      <c r="A5802" t="str">
        <f>HYPERLINK("https://www.773grp.com/globalSearch/MC14082BCPG/page-1", "MC14082BCPG")</f>
        <v>MC14082BCPG</v>
      </c>
      <c r="B5802" s="3" t="str">
        <f>HYPERLINK("https://www.773grp.com/manufacturer/onsemi?pageNo=409", "Onsemi")</f>
        <v>Onsemi</v>
      </c>
      <c r="C5802" s="6">
        <v>47061</v>
      </c>
      <c r="D5802" s="7">
        <v>0.74</v>
      </c>
      <c r="E5802" t="s">
        <v>27</v>
      </c>
    </row>
    <row r="5803" spans="1:5" x14ac:dyDescent="0.25">
      <c r="A5803" t="str">
        <f>HYPERLINK("https://www.773grp.com/globalSearch/MC14082BDG/page-1", "MC14082BDG")</f>
        <v>MC14082BDG</v>
      </c>
      <c r="B5803" s="3" t="str">
        <f>HYPERLINK("https://www.773grp.com/manufacturer/onsemi?pageNo=410", "Onsemi")</f>
        <v>Onsemi</v>
      </c>
      <c r="C5803" s="6">
        <v>19855</v>
      </c>
      <c r="D5803" s="7">
        <v>0.74</v>
      </c>
      <c r="E5803" t="s">
        <v>27</v>
      </c>
    </row>
    <row r="5804" spans="1:5" x14ac:dyDescent="0.25">
      <c r="A5804" t="str">
        <f>HYPERLINK("https://www.773grp.com/globalSearch/MC14082BDR2G/page-1", "MC14082BDR2G")</f>
        <v>MC14082BDR2G</v>
      </c>
      <c r="B5804" s="3" t="str">
        <f>HYPERLINK("https://www.773grp.com/manufacturer/onsemi?pageNo=411", "Onsemi")</f>
        <v>Onsemi</v>
      </c>
      <c r="C5804" s="6">
        <v>1848</v>
      </c>
      <c r="D5804" s="7">
        <v>0.74</v>
      </c>
    </row>
    <row r="5805" spans="1:5" x14ac:dyDescent="0.25">
      <c r="A5805" t="str">
        <f>HYPERLINK("https://www.773grp.com/globalSearch/MC1413P/page-1", "MC1413P")</f>
        <v>MC1413P</v>
      </c>
      <c r="B5805" s="3" t="str">
        <f>HYPERLINK("https://www.773grp.com/manufacturer/onsemi?pageNo=412", "Onsemi")</f>
        <v>Onsemi</v>
      </c>
      <c r="C5805" s="6">
        <v>7104</v>
      </c>
      <c r="D5805" s="7">
        <v>0.74</v>
      </c>
      <c r="E5805" t="s">
        <v>47</v>
      </c>
    </row>
    <row r="5806" spans="1:5" x14ac:dyDescent="0.25">
      <c r="A5806" t="str">
        <f>HYPERLINK("https://www.773grp.com/globalSearch/MC14555BF/page-1", "MC14555BF")</f>
        <v>MC14555BF</v>
      </c>
      <c r="B5806" s="3" t="str">
        <f>HYPERLINK("https://www.773grp.com/manufacturer/onsemi?pageNo=413", "Onsemi")</f>
        <v>Onsemi</v>
      </c>
      <c r="C5806" s="6">
        <v>1177</v>
      </c>
      <c r="D5806" s="7">
        <v>0.74</v>
      </c>
      <c r="E5806" t="s">
        <v>32</v>
      </c>
    </row>
    <row r="5807" spans="1:5" x14ac:dyDescent="0.25">
      <c r="A5807" t="str">
        <f>HYPERLINK("https://www.773grp.com/globalSearch/MC14556BD/page-1", "MC14556BD")</f>
        <v>MC14556BD</v>
      </c>
      <c r="B5807" s="3" t="str">
        <f>HYPERLINK("https://www.773grp.com/manufacturer/onsemi?pageNo=414", "Onsemi")</f>
        <v>Onsemi</v>
      </c>
      <c r="C5807" s="6">
        <v>3879</v>
      </c>
      <c r="D5807" s="7">
        <v>0.74</v>
      </c>
      <c r="E5807" t="s">
        <v>32</v>
      </c>
    </row>
    <row r="5808" spans="1:5" x14ac:dyDescent="0.25">
      <c r="A5808" t="str">
        <f>HYPERLINK("https://www.773grp.com/globalSearch/MC3303D/page-1", "MC3303D")</f>
        <v>MC3303D</v>
      </c>
      <c r="B5808" s="3" t="str">
        <f>HYPERLINK("https://www.773grp.com/manufacturer/onsemi?pageNo=415", "Onsemi")</f>
        <v>Onsemi</v>
      </c>
      <c r="C5808" s="6">
        <v>10</v>
      </c>
      <c r="D5808" s="7">
        <v>0.74</v>
      </c>
      <c r="E5808" t="s">
        <v>10</v>
      </c>
    </row>
    <row r="5809" spans="1:5" x14ac:dyDescent="0.25">
      <c r="A5809" t="str">
        <f>HYPERLINK("https://www.773grp.com/globalSearch/MC3303DR2/page-1", "MC3303DR2")</f>
        <v>MC3303DR2</v>
      </c>
      <c r="B5809" s="3" t="str">
        <f>HYPERLINK("https://www.773grp.com/manufacturer/onsemi?pageNo=416", "Onsemi")</f>
        <v>Onsemi</v>
      </c>
      <c r="C5809" s="6">
        <v>5090</v>
      </c>
      <c r="D5809" s="7">
        <v>0.74</v>
      </c>
      <c r="E5809" t="s">
        <v>10</v>
      </c>
    </row>
    <row r="5810" spans="1:5" x14ac:dyDescent="0.25">
      <c r="A5810" t="str">
        <f>HYPERLINK("https://www.773grp.com/globalSearch/MC34063ADR2/page-1", "MC34063ADR2")</f>
        <v>MC34063ADR2</v>
      </c>
      <c r="B5810" s="3" t="str">
        <f>HYPERLINK("https://www.773grp.com/manufacturer/onsemi?pageNo=417", "Onsemi")</f>
        <v>Onsemi</v>
      </c>
      <c r="C5810" s="6">
        <v>30</v>
      </c>
      <c r="D5810" s="7">
        <v>0.74</v>
      </c>
      <c r="E5810" t="s">
        <v>5</v>
      </c>
    </row>
    <row r="5811" spans="1:5" x14ac:dyDescent="0.25">
      <c r="A5811" t="str">
        <f>HYPERLINK("https://www.773grp.com/globalSearch/MC34071AP/page-1", "MC34071AP")</f>
        <v>MC34071AP</v>
      </c>
      <c r="B5811" s="3" t="str">
        <f>HYPERLINK("https://www.773grp.com/manufacturer/onsemi?pageNo=418", "Onsemi")</f>
        <v>Onsemi</v>
      </c>
      <c r="C5811" s="6">
        <v>1890</v>
      </c>
      <c r="D5811" s="7">
        <v>0.74</v>
      </c>
      <c r="E5811" t="s">
        <v>10</v>
      </c>
    </row>
    <row r="5812" spans="1:5" x14ac:dyDescent="0.25">
      <c r="A5812" t="str">
        <f>HYPERLINK("https://www.773grp.com/globalSearch/MC34071D/page-1", "MC34071D")</f>
        <v>MC34071D</v>
      </c>
      <c r="B5812" s="3" t="str">
        <f>HYPERLINK("https://www.773grp.com/manufacturer/onsemi?pageNo=419", "Onsemi")</f>
        <v>Onsemi</v>
      </c>
      <c r="C5812" s="6">
        <v>3573</v>
      </c>
      <c r="D5812" s="7">
        <v>0.74</v>
      </c>
      <c r="E5812" t="s">
        <v>10</v>
      </c>
    </row>
    <row r="5813" spans="1:5" x14ac:dyDescent="0.25">
      <c r="A5813" t="str">
        <f>HYPERLINK("https://www.773grp.com/globalSearch/MC34071P/page-1", "MC34071P")</f>
        <v>MC34071P</v>
      </c>
      <c r="B5813" s="3" t="str">
        <f>HYPERLINK("https://www.773grp.com/manufacturer/onsemi?pageNo=420", "Onsemi")</f>
        <v>Onsemi</v>
      </c>
      <c r="C5813" s="6">
        <v>261</v>
      </c>
      <c r="D5813" s="7">
        <v>0.74</v>
      </c>
      <c r="E5813" t="s">
        <v>10</v>
      </c>
    </row>
    <row r="5814" spans="1:5" x14ac:dyDescent="0.25">
      <c r="A5814" t="str">
        <f>HYPERLINK("https://www.773grp.com/globalSearch/MC74AC14DTR2G/page-1", "MC74AC14DTR2G")</f>
        <v>MC74AC14DTR2G</v>
      </c>
      <c r="B5814" s="3" t="str">
        <f>HYPERLINK("https://www.773grp.com/manufacturer/onsemi?pageNo=421", "Onsemi")</f>
        <v>Onsemi</v>
      </c>
      <c r="C5814" s="6">
        <v>17500</v>
      </c>
      <c r="D5814" s="7">
        <v>0.74</v>
      </c>
      <c r="E5814" t="s">
        <v>27</v>
      </c>
    </row>
    <row r="5815" spans="1:5" x14ac:dyDescent="0.25">
      <c r="A5815" t="str">
        <f>HYPERLINK("https://www.773grp.com/globalSearch/MC74AC74DTR2G/page-1", "MC74AC74DTR2G")</f>
        <v>MC74AC74DTR2G</v>
      </c>
      <c r="B5815" s="3" t="str">
        <f>HYPERLINK("https://www.773grp.com/manufacturer/onsemi?pageNo=422", "Onsemi")</f>
        <v>Onsemi</v>
      </c>
      <c r="C5815" s="6">
        <v>6227</v>
      </c>
      <c r="D5815" s="7">
        <v>0.74</v>
      </c>
      <c r="E5815" t="s">
        <v>31</v>
      </c>
    </row>
    <row r="5816" spans="1:5" x14ac:dyDescent="0.25">
      <c r="A5816" t="str">
        <f>HYPERLINK("https://www.773grp.com/globalSearch/MC74ACT14DTR2G/page-1", "MC74ACT14DTR2G")</f>
        <v>MC74ACT14DTR2G</v>
      </c>
      <c r="B5816" s="3" t="str">
        <f>HYPERLINK("https://www.773grp.com/manufacturer/onsemi?pageNo=423", "Onsemi")</f>
        <v>Onsemi</v>
      </c>
      <c r="C5816" s="6">
        <v>56500</v>
      </c>
      <c r="D5816" s="7">
        <v>0.74</v>
      </c>
      <c r="E5816" t="s">
        <v>27</v>
      </c>
    </row>
    <row r="5817" spans="1:5" x14ac:dyDescent="0.25">
      <c r="A5817" t="str">
        <f>HYPERLINK("https://www.773grp.com/globalSearch/MC74ACT253N/page-1", "MC74ACT253N")</f>
        <v>MC74ACT253N</v>
      </c>
      <c r="B5817" s="3" t="str">
        <f>HYPERLINK("https://www.773grp.com/manufacturer/onsemi?pageNo=424", "Onsemi")</f>
        <v>Onsemi</v>
      </c>
      <c r="C5817" s="6">
        <v>1125</v>
      </c>
      <c r="D5817" s="7">
        <v>0.74</v>
      </c>
      <c r="E5817" t="s">
        <v>16</v>
      </c>
    </row>
    <row r="5818" spans="1:5" x14ac:dyDescent="0.25">
      <c r="A5818" t="str">
        <f>HYPERLINK("https://www.773grp.com/globalSearch/MC74ACT74DTR2G/page-1", "MC74ACT74DTR2G")</f>
        <v>MC74ACT74DTR2G</v>
      </c>
      <c r="B5818" s="3" t="str">
        <f>HYPERLINK("https://www.773grp.com/manufacturer/onsemi?pageNo=425", "Onsemi")</f>
        <v>Onsemi</v>
      </c>
      <c r="C5818" s="6">
        <v>2500</v>
      </c>
      <c r="D5818" s="7">
        <v>0.74</v>
      </c>
      <c r="E5818" t="s">
        <v>31</v>
      </c>
    </row>
    <row r="5819" spans="1:5" x14ac:dyDescent="0.25">
      <c r="A5819" t="str">
        <f>HYPERLINK("https://www.773grp.com/globalSearch/MC74ACT86DTR2G/page-1", "MC74ACT86DTR2G")</f>
        <v>MC74ACT86DTR2G</v>
      </c>
      <c r="B5819" s="3" t="str">
        <f>HYPERLINK("https://www.773grp.com/manufacturer/onsemi?pageNo=426", "Onsemi")</f>
        <v>Onsemi</v>
      </c>
      <c r="C5819" s="6">
        <v>20000</v>
      </c>
      <c r="D5819" s="7">
        <v>0.74</v>
      </c>
      <c r="E5819" t="s">
        <v>27</v>
      </c>
    </row>
    <row r="5820" spans="1:5" x14ac:dyDescent="0.25">
      <c r="A5820" t="str">
        <f>HYPERLINK("https://www.773grp.com/globalSearch/MC74F139DR2/page-1", "MC74F139DR2")</f>
        <v>MC74F139DR2</v>
      </c>
      <c r="B5820" s="3" t="str">
        <f>HYPERLINK("https://www.773grp.com/manufacturer/onsemi?pageNo=427", "Onsemi")</f>
        <v>Onsemi</v>
      </c>
      <c r="C5820" s="6">
        <v>714</v>
      </c>
      <c r="D5820" s="7">
        <v>0.74</v>
      </c>
      <c r="E5820" t="s">
        <v>32</v>
      </c>
    </row>
    <row r="5821" spans="1:5" x14ac:dyDescent="0.25">
      <c r="A5821" t="str">
        <f>HYPERLINK("https://www.773grp.com/globalSearch/MC74F175D/page-1", "MC74F175D")</f>
        <v>MC74F175D</v>
      </c>
      <c r="B5821" s="3" t="str">
        <f>HYPERLINK("https://www.773grp.com/manufacturer/onsemi?pageNo=428", "Onsemi")</f>
        <v>Onsemi</v>
      </c>
      <c r="C5821" s="6">
        <v>1391</v>
      </c>
      <c r="D5821" s="7">
        <v>0.74</v>
      </c>
      <c r="E5821" t="s">
        <v>31</v>
      </c>
    </row>
    <row r="5822" spans="1:5" x14ac:dyDescent="0.25">
      <c r="A5822" t="str">
        <f>HYPERLINK("https://www.773grp.com/globalSearch/MC74F257AD/page-1", "MC74F257AD")</f>
        <v>MC74F257AD</v>
      </c>
      <c r="B5822" s="3" t="str">
        <f>HYPERLINK("https://www.773grp.com/manufacturer/onsemi?pageNo=429", "Onsemi")</f>
        <v>Onsemi</v>
      </c>
      <c r="C5822" s="6">
        <v>4254</v>
      </c>
      <c r="D5822" s="7">
        <v>0.74</v>
      </c>
      <c r="E5822" t="s">
        <v>16</v>
      </c>
    </row>
    <row r="5823" spans="1:5" x14ac:dyDescent="0.25">
      <c r="A5823" t="str">
        <f>HYPERLINK("https://www.773grp.com/globalSearch/MC74HC00ADG/page-1", "MC74HC00ADG")</f>
        <v>MC74HC00ADG</v>
      </c>
      <c r="B5823" s="3" t="str">
        <f>HYPERLINK("https://www.773grp.com/manufacturer/onsemi?pageNo=430", "Onsemi")</f>
        <v>Onsemi</v>
      </c>
      <c r="C5823" s="6">
        <v>39040</v>
      </c>
      <c r="D5823" s="7">
        <v>0.74</v>
      </c>
      <c r="E5823" t="s">
        <v>27</v>
      </c>
    </row>
    <row r="5824" spans="1:5" x14ac:dyDescent="0.25">
      <c r="A5824" t="str">
        <f>HYPERLINK("https://www.773grp.com/globalSearch/MC74HC00ADR2G/page-1", "MC74HC00ADR2G")</f>
        <v>MC74HC00ADR2G</v>
      </c>
      <c r="B5824" s="3" t="str">
        <f>HYPERLINK("https://www.773grp.com/manufacturer/onsemi?pageNo=431", "Onsemi")</f>
        <v>Onsemi</v>
      </c>
      <c r="C5824" s="6">
        <v>82778</v>
      </c>
      <c r="D5824" s="7">
        <v>0.74</v>
      </c>
      <c r="E5824" t="s">
        <v>27</v>
      </c>
    </row>
    <row r="5825" spans="1:5" x14ac:dyDescent="0.25">
      <c r="A5825" t="str">
        <f>HYPERLINK("https://www.773grp.com/globalSearch/MC74HC00ADTR2G/page-1", "MC74HC00ADTR2G")</f>
        <v>MC74HC00ADTR2G</v>
      </c>
      <c r="B5825" s="3" t="str">
        <f>HYPERLINK("https://www.773grp.com/manufacturer/onsemi?pageNo=432", "Onsemi")</f>
        <v>Onsemi</v>
      </c>
      <c r="C5825" s="6">
        <v>40000</v>
      </c>
      <c r="D5825" s="7">
        <v>0.74</v>
      </c>
      <c r="E5825" t="s">
        <v>27</v>
      </c>
    </row>
    <row r="5826" spans="1:5" x14ac:dyDescent="0.25">
      <c r="A5826" t="str">
        <f>HYPERLINK("https://www.773grp.com/globalSearch/MC74HC02ADG/page-1", "MC74HC02ADG")</f>
        <v>MC74HC02ADG</v>
      </c>
      <c r="B5826" s="3" t="str">
        <f>HYPERLINK("https://www.773grp.com/manufacturer/onsemi?pageNo=433", "Onsemi")</f>
        <v>Onsemi</v>
      </c>
      <c r="C5826" s="6">
        <v>43775</v>
      </c>
      <c r="D5826" s="7">
        <v>0.74</v>
      </c>
      <c r="E5826" t="s">
        <v>27</v>
      </c>
    </row>
    <row r="5827" spans="1:5" x14ac:dyDescent="0.25">
      <c r="A5827" t="str">
        <f>HYPERLINK("https://www.773grp.com/globalSearch/MC74HC02ADR2G/page-1", "MC74HC02ADR2G")</f>
        <v>MC74HC02ADR2G</v>
      </c>
      <c r="B5827" s="3" t="str">
        <f>HYPERLINK("https://www.773grp.com/manufacturer/onsemi?pageNo=434", "Onsemi")</f>
        <v>Onsemi</v>
      </c>
      <c r="C5827" s="6">
        <v>1303298</v>
      </c>
      <c r="D5827" s="7">
        <v>0.74</v>
      </c>
      <c r="E5827" t="s">
        <v>27</v>
      </c>
    </row>
    <row r="5828" spans="1:5" x14ac:dyDescent="0.25">
      <c r="A5828" t="str">
        <f>HYPERLINK("https://www.773grp.com/globalSearch/MC74HC02ADTR2G/page-1", "MC74HC02ADTR2G")</f>
        <v>MC74HC02ADTR2G</v>
      </c>
      <c r="B5828" s="3" t="str">
        <f>HYPERLINK("https://www.773grp.com/manufacturer/onsemi?pageNo=435", "Onsemi")</f>
        <v>Onsemi</v>
      </c>
      <c r="C5828" s="6">
        <v>27500</v>
      </c>
      <c r="D5828" s="7">
        <v>0.74</v>
      </c>
      <c r="E5828" t="s">
        <v>27</v>
      </c>
    </row>
    <row r="5829" spans="1:5" x14ac:dyDescent="0.25">
      <c r="A5829" t="str">
        <f>HYPERLINK("https://www.773grp.com/globalSearch/MC74HC03ADG/page-1", "MC74HC03ADG")</f>
        <v>MC74HC03ADG</v>
      </c>
      <c r="B5829" s="3" t="str">
        <f>HYPERLINK("https://www.773grp.com/manufacturer/onsemi?pageNo=436", "Onsemi")</f>
        <v>Onsemi</v>
      </c>
      <c r="C5829" s="6">
        <v>14897</v>
      </c>
      <c r="D5829" s="7">
        <v>0.74</v>
      </c>
      <c r="E5829" t="s">
        <v>27</v>
      </c>
    </row>
    <row r="5830" spans="1:5" x14ac:dyDescent="0.25">
      <c r="A5830" t="str">
        <f>HYPERLINK("https://www.773grp.com/globalSearch/MC74HC03ADR2G/page-1", "MC74HC03ADR2G")</f>
        <v>MC74HC03ADR2G</v>
      </c>
      <c r="B5830" s="3" t="str">
        <f>HYPERLINK("https://www.773grp.com/manufacturer/onsemi?pageNo=437", "Onsemi")</f>
        <v>Onsemi</v>
      </c>
      <c r="C5830" s="6">
        <v>12500</v>
      </c>
      <c r="D5830" s="7">
        <v>0.74</v>
      </c>
      <c r="E5830" t="s">
        <v>27</v>
      </c>
    </row>
    <row r="5831" spans="1:5" x14ac:dyDescent="0.25">
      <c r="A5831" t="str">
        <f>HYPERLINK("https://www.773grp.com/globalSearch/MC74HC03ADTR2G/page-1", "MC74HC03ADTR2G")</f>
        <v>MC74HC03ADTR2G</v>
      </c>
      <c r="B5831" s="3" t="str">
        <f>HYPERLINK("https://www.773grp.com/manufacturer/onsemi?pageNo=438", "Onsemi")</f>
        <v>Onsemi</v>
      </c>
      <c r="C5831" s="6">
        <v>21104</v>
      </c>
      <c r="D5831" s="7">
        <v>0.74</v>
      </c>
      <c r="E5831" t="s">
        <v>27</v>
      </c>
    </row>
    <row r="5832" spans="1:5" x14ac:dyDescent="0.25">
      <c r="A5832" t="str">
        <f>HYPERLINK("https://www.773grp.com/globalSearch/MC74HC04ADG/page-1", "MC74HC04ADG")</f>
        <v>MC74HC04ADG</v>
      </c>
      <c r="B5832" s="3" t="str">
        <f>HYPERLINK("https://www.773grp.com/manufacturer/onsemi?pageNo=439", "Onsemi")</f>
        <v>Onsemi</v>
      </c>
      <c r="C5832" s="6">
        <v>25680</v>
      </c>
      <c r="D5832" s="7">
        <v>0.74</v>
      </c>
      <c r="E5832" t="s">
        <v>27</v>
      </c>
    </row>
    <row r="5833" spans="1:5" x14ac:dyDescent="0.25">
      <c r="A5833" t="str">
        <f>HYPERLINK("https://www.773grp.com/globalSearch/MC74HC04ADR2/page-1", "MC74HC04ADR2")</f>
        <v>MC74HC04ADR2</v>
      </c>
      <c r="B5833" s="3" t="str">
        <f>HYPERLINK("https://www.773grp.com/manufacturer/onsemi?pageNo=440", "Onsemi")</f>
        <v>Onsemi</v>
      </c>
      <c r="C5833" s="6">
        <v>9800</v>
      </c>
      <c r="D5833" s="7">
        <v>0.74</v>
      </c>
      <c r="E5833" t="s">
        <v>27</v>
      </c>
    </row>
    <row r="5834" spans="1:5" x14ac:dyDescent="0.25">
      <c r="A5834" t="str">
        <f>HYPERLINK("https://www.773grp.com/globalSearch/MC74HC04ADR2G/page-1", "MC74HC04ADR2G")</f>
        <v>MC74HC04ADR2G</v>
      </c>
      <c r="B5834" s="3" t="str">
        <f>HYPERLINK("https://www.773grp.com/manufacturer/onsemi?pageNo=441", "Onsemi")</f>
        <v>Onsemi</v>
      </c>
      <c r="C5834" s="6">
        <v>239698</v>
      </c>
      <c r="D5834" s="7">
        <v>0.74</v>
      </c>
      <c r="E5834" t="s">
        <v>27</v>
      </c>
    </row>
    <row r="5835" spans="1:5" x14ac:dyDescent="0.25">
      <c r="A5835" t="str">
        <f>HYPERLINK("https://www.773grp.com/globalSearch/MC74HC04ADTR2G/page-1", "MC74HC04ADTR2G")</f>
        <v>MC74HC04ADTR2G</v>
      </c>
      <c r="B5835" s="3" t="str">
        <f>HYPERLINK("https://www.773grp.com/manufacturer/onsemi?pageNo=442", "Onsemi")</f>
        <v>Onsemi</v>
      </c>
      <c r="C5835" s="6">
        <v>10042</v>
      </c>
      <c r="D5835" s="7">
        <v>0.74</v>
      </c>
      <c r="E5835" t="s">
        <v>27</v>
      </c>
    </row>
    <row r="5836" spans="1:5" x14ac:dyDescent="0.25">
      <c r="A5836" t="str">
        <f>HYPERLINK("https://www.773grp.com/globalSearch/MC74HC08ADG/page-1", "MC74HC08ADG")</f>
        <v>MC74HC08ADG</v>
      </c>
      <c r="B5836" s="3" t="str">
        <f>HYPERLINK("https://www.773grp.com/manufacturer/onsemi?pageNo=443", "Onsemi")</f>
        <v>Onsemi</v>
      </c>
      <c r="C5836" s="6">
        <v>17990</v>
      </c>
      <c r="D5836" s="7">
        <v>0.74</v>
      </c>
      <c r="E5836" t="s">
        <v>27</v>
      </c>
    </row>
    <row r="5837" spans="1:5" x14ac:dyDescent="0.25">
      <c r="A5837" t="str">
        <f>HYPERLINK("https://www.773grp.com/globalSearch/MC74HC08ADR2G/page-1", "MC74HC08ADR2G")</f>
        <v>MC74HC08ADR2G</v>
      </c>
      <c r="B5837" s="3" t="str">
        <f>HYPERLINK("https://www.773grp.com/manufacturer/onsemi?pageNo=444", "Onsemi")</f>
        <v>Onsemi</v>
      </c>
      <c r="C5837" s="6">
        <v>12500</v>
      </c>
      <c r="D5837" s="7">
        <v>0.74</v>
      </c>
      <c r="E5837" t="s">
        <v>27</v>
      </c>
    </row>
    <row r="5838" spans="1:5" x14ac:dyDescent="0.25">
      <c r="A5838" t="str">
        <f>HYPERLINK("https://www.773grp.com/globalSearch/MC74HC08ADTR2G/page-1", "MC74HC08ADTR2G")</f>
        <v>MC74HC08ADTR2G</v>
      </c>
      <c r="B5838" s="3" t="str">
        <f>HYPERLINK("https://www.773grp.com/manufacturer/onsemi?pageNo=445", "Onsemi")</f>
        <v>Onsemi</v>
      </c>
      <c r="C5838" s="6">
        <v>2090</v>
      </c>
      <c r="D5838" s="7">
        <v>0.74</v>
      </c>
      <c r="E5838" t="s">
        <v>27</v>
      </c>
    </row>
    <row r="5839" spans="1:5" x14ac:dyDescent="0.25">
      <c r="A5839" t="str">
        <f>HYPERLINK("https://www.773grp.com/globalSearch/MC74HC10ADG/page-1", "MC74HC10ADG")</f>
        <v>MC74HC10ADG</v>
      </c>
      <c r="B5839" s="3" t="str">
        <f>HYPERLINK("https://www.773grp.com/manufacturer/onsemi?pageNo=446", "Onsemi")</f>
        <v>Onsemi</v>
      </c>
      <c r="C5839" s="6">
        <v>38373</v>
      </c>
      <c r="D5839" s="7">
        <v>0.74</v>
      </c>
      <c r="E5839" t="s">
        <v>27</v>
      </c>
    </row>
    <row r="5840" spans="1:5" x14ac:dyDescent="0.25">
      <c r="A5840" t="str">
        <f>HYPERLINK("https://www.773grp.com/globalSearch/MC74HC10ADR2G/page-1", "MC74HC10ADR2G")</f>
        <v>MC74HC10ADR2G</v>
      </c>
      <c r="B5840" s="3" t="str">
        <f>HYPERLINK("https://www.773grp.com/manufacturer/onsemi?pageNo=447", "Onsemi")</f>
        <v>Onsemi</v>
      </c>
      <c r="C5840" s="6">
        <v>44985</v>
      </c>
      <c r="D5840" s="7">
        <v>0.74</v>
      </c>
      <c r="E5840" t="s">
        <v>27</v>
      </c>
    </row>
    <row r="5841" spans="1:5" x14ac:dyDescent="0.25">
      <c r="A5841" t="str">
        <f>HYPERLINK("https://www.773grp.com/globalSearch/MC74HC10ADTG/page-1", "MC74HC10ADTG")</f>
        <v>MC74HC10ADTG</v>
      </c>
      <c r="B5841" s="3" t="str">
        <f>HYPERLINK("https://www.773grp.com/manufacturer/onsemi?pageNo=448", "Onsemi")</f>
        <v>Onsemi</v>
      </c>
      <c r="C5841" s="6">
        <v>43362</v>
      </c>
      <c r="D5841" s="7">
        <v>0.74</v>
      </c>
    </row>
    <row r="5842" spans="1:5" x14ac:dyDescent="0.25">
      <c r="A5842" t="str">
        <f>HYPERLINK("https://www.773grp.com/globalSearch/MC74HC10ADTR2G/page-1", "MC74HC10ADTR2G")</f>
        <v>MC74HC10ADTR2G</v>
      </c>
      <c r="B5842" s="3" t="str">
        <f>HYPERLINK("https://www.773grp.com/manufacturer/onsemi?pageNo=449", "Onsemi")</f>
        <v>Onsemi</v>
      </c>
      <c r="C5842" s="6">
        <v>39403</v>
      </c>
      <c r="D5842" s="7">
        <v>0.74</v>
      </c>
      <c r="E5842" t="s">
        <v>27</v>
      </c>
    </row>
    <row r="5843" spans="1:5" x14ac:dyDescent="0.25">
      <c r="A5843" t="str">
        <f>HYPERLINK("https://www.773grp.com/globalSearch/MC74HC11ADG/page-1", "MC74HC11ADG")</f>
        <v>MC74HC11ADG</v>
      </c>
      <c r="B5843" s="3" t="str">
        <f>HYPERLINK("https://www.773grp.com/manufacturer/onsemi?pageNo=450", "Onsemi")</f>
        <v>Onsemi</v>
      </c>
      <c r="C5843" s="6">
        <v>4090</v>
      </c>
      <c r="D5843" s="7">
        <v>0.74</v>
      </c>
    </row>
    <row r="5844" spans="1:5" x14ac:dyDescent="0.25">
      <c r="A5844" t="str">
        <f>HYPERLINK("https://www.773grp.com/globalSearch/MC74HC11ADTG/page-1", "MC74HC11ADTG")</f>
        <v>MC74HC11ADTG</v>
      </c>
      <c r="B5844" s="3" t="str">
        <f>HYPERLINK("https://www.773grp.com/manufacturer/onsemi?pageNo=451", "Onsemi")</f>
        <v>Onsemi</v>
      </c>
      <c r="C5844" s="6">
        <v>2400</v>
      </c>
      <c r="D5844" s="7">
        <v>0.74</v>
      </c>
    </row>
    <row r="5845" spans="1:5" x14ac:dyDescent="0.25">
      <c r="A5845" t="str">
        <f>HYPERLINK("https://www.773grp.com/globalSearch/MC74HC11ADTR2G/page-1", "MC74HC11ADTR2G")</f>
        <v>MC74HC11ADTR2G</v>
      </c>
      <c r="B5845" s="3" t="str">
        <f>HYPERLINK("https://www.773grp.com/manufacturer/onsemi?pageNo=452", "Onsemi")</f>
        <v>Onsemi</v>
      </c>
      <c r="C5845" s="6">
        <v>11022</v>
      </c>
      <c r="D5845" s="7">
        <v>0.74</v>
      </c>
      <c r="E5845" t="s">
        <v>27</v>
      </c>
    </row>
    <row r="5846" spans="1:5" x14ac:dyDescent="0.25">
      <c r="A5846" t="str">
        <f>HYPERLINK("https://www.773grp.com/globalSearch/MC74HC139ADTR2G/page-1", "MC74HC139ADTR2G")</f>
        <v>MC74HC139ADTR2G</v>
      </c>
      <c r="B5846" s="3" t="str">
        <f>HYPERLINK("https://www.773grp.com/manufacturer/onsemi?pageNo=453", "Onsemi")</f>
        <v>Onsemi</v>
      </c>
      <c r="C5846" s="6">
        <v>12223</v>
      </c>
      <c r="D5846" s="7">
        <v>0.74</v>
      </c>
      <c r="E5846" t="s">
        <v>32</v>
      </c>
    </row>
    <row r="5847" spans="1:5" x14ac:dyDescent="0.25">
      <c r="A5847" t="str">
        <f>HYPERLINK("https://www.773grp.com/globalSearch/MC74HC14ADG/page-1", "MC74HC14ADG")</f>
        <v>MC74HC14ADG</v>
      </c>
      <c r="B5847" s="3" t="str">
        <f>HYPERLINK("https://www.773grp.com/manufacturer/onsemi?pageNo=454", "Onsemi")</f>
        <v>Onsemi</v>
      </c>
      <c r="C5847" s="6">
        <v>9302</v>
      </c>
      <c r="D5847" s="7">
        <v>0.74</v>
      </c>
      <c r="E5847" t="s">
        <v>27</v>
      </c>
    </row>
    <row r="5848" spans="1:5" x14ac:dyDescent="0.25">
      <c r="A5848" t="str">
        <f>HYPERLINK("https://www.773grp.com/globalSearch/MC74HC14ADR2G/page-1", "MC74HC14ADR2G")</f>
        <v>MC74HC14ADR2G</v>
      </c>
      <c r="B5848" s="3" t="str">
        <f>HYPERLINK("https://www.773grp.com/manufacturer/onsemi?pageNo=455", "Onsemi")</f>
        <v>Onsemi</v>
      </c>
      <c r="C5848" s="6">
        <v>5000</v>
      </c>
      <c r="D5848" s="7">
        <v>0.74</v>
      </c>
      <c r="E5848" t="s">
        <v>27</v>
      </c>
    </row>
    <row r="5849" spans="1:5" x14ac:dyDescent="0.25">
      <c r="A5849" t="str">
        <f>HYPERLINK("https://www.773grp.com/globalSearch/MC74HC14ADTG/page-1", "MC74HC14ADTG")</f>
        <v>MC74HC14ADTG</v>
      </c>
      <c r="B5849" s="3" t="str">
        <f>HYPERLINK("https://www.773grp.com/manufacturer/onsemi?pageNo=456", "Onsemi")</f>
        <v>Onsemi</v>
      </c>
      <c r="C5849" s="6">
        <v>3168</v>
      </c>
      <c r="D5849" s="7">
        <v>0.74</v>
      </c>
      <c r="E5849" t="s">
        <v>27</v>
      </c>
    </row>
    <row r="5850" spans="1:5" x14ac:dyDescent="0.25">
      <c r="A5850" t="str">
        <f>HYPERLINK("https://www.773grp.com/globalSearch/MC74HC14ADTR2G/page-1", "MC74HC14ADTR2G")</f>
        <v>MC74HC14ADTR2G</v>
      </c>
      <c r="B5850" s="3" t="str">
        <f>HYPERLINK("https://www.773grp.com/manufacturer/onsemi?pageNo=457", "Onsemi")</f>
        <v>Onsemi</v>
      </c>
      <c r="C5850" s="6">
        <v>76581</v>
      </c>
      <c r="D5850" s="7">
        <v>0.74</v>
      </c>
      <c r="E5850" t="s">
        <v>27</v>
      </c>
    </row>
    <row r="5851" spans="1:5" x14ac:dyDescent="0.25">
      <c r="A5851" t="str">
        <f>HYPERLINK("https://www.773grp.com/globalSearch/MC74HC157ADR2/page-1", "MC74HC157ADR2")</f>
        <v>MC74HC157ADR2</v>
      </c>
      <c r="B5851" s="3" t="str">
        <f>HYPERLINK("https://www.773grp.com/manufacturer/onsemi?pageNo=458", "Onsemi")</f>
        <v>Onsemi</v>
      </c>
      <c r="C5851" s="6">
        <v>2500</v>
      </c>
      <c r="D5851" s="7">
        <v>0.74</v>
      </c>
      <c r="E5851" t="s">
        <v>16</v>
      </c>
    </row>
    <row r="5852" spans="1:5" x14ac:dyDescent="0.25">
      <c r="A5852" t="str">
        <f>HYPERLINK("https://www.773grp.com/globalSearch/MC74HC20ADR2G/page-1", "MC74HC20ADR2G")</f>
        <v>MC74HC20ADR2G</v>
      </c>
      <c r="B5852" s="3" t="str">
        <f>HYPERLINK("https://www.773grp.com/manufacturer/onsemi?pageNo=459", "Onsemi")</f>
        <v>Onsemi</v>
      </c>
      <c r="C5852" s="6">
        <v>5000</v>
      </c>
      <c r="D5852" s="7">
        <v>0.74</v>
      </c>
    </row>
    <row r="5853" spans="1:5" x14ac:dyDescent="0.25">
      <c r="A5853" t="str">
        <f>HYPERLINK("https://www.773grp.com/globalSearch/MC74HC251F/page-1", "MC74HC251F")</f>
        <v>MC74HC251F</v>
      </c>
      <c r="B5853" s="3" t="str">
        <f>HYPERLINK("https://www.773grp.com/manufacturer/onsemi?pageNo=460", "Onsemi")</f>
        <v>Onsemi</v>
      </c>
      <c r="C5853" s="6">
        <v>1991</v>
      </c>
      <c r="D5853" s="7">
        <v>0.74</v>
      </c>
    </row>
    <row r="5854" spans="1:5" x14ac:dyDescent="0.25">
      <c r="A5854" t="str">
        <f>HYPERLINK("https://www.773grp.com/globalSearch/MC74HC251FL1/page-1", "MC74HC251FL1")</f>
        <v>MC74HC251FL1</v>
      </c>
      <c r="B5854" s="3" t="str">
        <f>HYPERLINK("https://www.773grp.com/manufacturer/onsemi?pageNo=461", "Onsemi")</f>
        <v>Onsemi</v>
      </c>
      <c r="C5854" s="6">
        <v>7000</v>
      </c>
      <c r="D5854" s="7">
        <v>0.74</v>
      </c>
    </row>
    <row r="5855" spans="1:5" x14ac:dyDescent="0.25">
      <c r="A5855" t="str">
        <f>HYPERLINK("https://www.773grp.com/globalSearch/MC74HC251N/page-1", "MC74HC251N")</f>
        <v>MC74HC251N</v>
      </c>
      <c r="B5855" s="3" t="str">
        <f>HYPERLINK("https://www.773grp.com/manufacturer/onsemi?pageNo=462", "Onsemi")</f>
        <v>Onsemi</v>
      </c>
      <c r="C5855" s="6">
        <v>17749</v>
      </c>
      <c r="D5855" s="7">
        <v>0.74</v>
      </c>
      <c r="E5855" t="s">
        <v>16</v>
      </c>
    </row>
    <row r="5856" spans="1:5" x14ac:dyDescent="0.25">
      <c r="A5856" t="str">
        <f>HYPERLINK("https://www.773grp.com/globalSearch/MC74HC253F/page-1", "MC74HC253F")</f>
        <v>MC74HC253F</v>
      </c>
      <c r="B5856" s="3" t="str">
        <f>HYPERLINK("https://www.773grp.com/manufacturer/onsemi?pageNo=463", "Onsemi")</f>
        <v>Onsemi</v>
      </c>
      <c r="C5856" s="6">
        <v>1224</v>
      </c>
      <c r="D5856" s="7">
        <v>0.74</v>
      </c>
    </row>
    <row r="5857" spans="1:5" x14ac:dyDescent="0.25">
      <c r="A5857" t="str">
        <f>HYPERLINK("https://www.773grp.com/globalSearch/MC74HC253FR2/page-1", "MC74HC253FR2")</f>
        <v>MC74HC253FR2</v>
      </c>
      <c r="B5857" s="3" t="str">
        <f>HYPERLINK("https://www.773grp.com/manufacturer/onsemi?pageNo=464", "Onsemi")</f>
        <v>Onsemi</v>
      </c>
      <c r="C5857" s="6">
        <v>2000</v>
      </c>
      <c r="D5857" s="7">
        <v>0.74</v>
      </c>
    </row>
    <row r="5858" spans="1:5" x14ac:dyDescent="0.25">
      <c r="A5858" t="str">
        <f>HYPERLINK("https://www.773grp.com/globalSearch/MC74HC259ADTR2/page-1", "MC74HC259ADTR2")</f>
        <v>MC74HC259ADTR2</v>
      </c>
      <c r="B5858" s="3" t="str">
        <f>HYPERLINK("https://www.773grp.com/manufacturer/onsemi?pageNo=465", "Onsemi")</f>
        <v>Onsemi</v>
      </c>
      <c r="C5858" s="6">
        <v>2500</v>
      </c>
      <c r="D5858" s="7">
        <v>0.74</v>
      </c>
      <c r="E5858" t="s">
        <v>31</v>
      </c>
    </row>
    <row r="5859" spans="1:5" x14ac:dyDescent="0.25">
      <c r="A5859" t="str">
        <f>HYPERLINK("https://www.773grp.com/globalSearch/MC74HC259D/page-1", "MC74HC259D")</f>
        <v>MC74HC259D</v>
      </c>
      <c r="B5859" s="3" t="str">
        <f>HYPERLINK("https://www.773grp.com/manufacturer/onsemi?pageNo=466", "Onsemi")</f>
        <v>Onsemi</v>
      </c>
      <c r="C5859" s="6">
        <v>4450</v>
      </c>
      <c r="D5859" s="7">
        <v>0.74</v>
      </c>
      <c r="E5859" t="s">
        <v>31</v>
      </c>
    </row>
    <row r="5860" spans="1:5" x14ac:dyDescent="0.25">
      <c r="A5860" t="str">
        <f>HYPERLINK("https://www.773grp.com/globalSearch/MC74HC259DT/page-1", "MC74HC259DT")</f>
        <v>MC74HC259DT</v>
      </c>
      <c r="B5860" s="3" t="str">
        <f>HYPERLINK("https://www.773grp.com/manufacturer/onsemi?pageNo=467", "Onsemi")</f>
        <v>Onsemi</v>
      </c>
      <c r="C5860" s="6">
        <v>4167</v>
      </c>
      <c r="D5860" s="7">
        <v>0.74</v>
      </c>
    </row>
    <row r="5861" spans="1:5" x14ac:dyDescent="0.25">
      <c r="A5861" t="str">
        <f>HYPERLINK("https://www.773grp.com/globalSearch/MC74HC259F/page-1", "MC74HC259F")</f>
        <v>MC74HC259F</v>
      </c>
      <c r="B5861" s="3" t="str">
        <f>HYPERLINK("https://www.773grp.com/manufacturer/onsemi?pageNo=468", "Onsemi")</f>
        <v>Onsemi</v>
      </c>
      <c r="C5861" s="6">
        <v>2064</v>
      </c>
      <c r="D5861" s="7">
        <v>0.74</v>
      </c>
    </row>
    <row r="5862" spans="1:5" x14ac:dyDescent="0.25">
      <c r="A5862" t="str">
        <f>HYPERLINK("https://www.773grp.com/globalSearch/MC74HC259FL1/page-1", "MC74HC259FL1")</f>
        <v>MC74HC259FL1</v>
      </c>
      <c r="B5862" s="3" t="str">
        <f>HYPERLINK("https://www.773grp.com/manufacturer/onsemi?pageNo=469", "Onsemi")</f>
        <v>Onsemi</v>
      </c>
      <c r="C5862" s="6">
        <v>2000</v>
      </c>
      <c r="D5862" s="7">
        <v>0.74</v>
      </c>
    </row>
    <row r="5863" spans="1:5" x14ac:dyDescent="0.25">
      <c r="A5863" t="str">
        <f>HYPERLINK("https://www.773grp.com/globalSearch/MC74HC30ADTR2G/page-1", "MC74HC30ADTR2G")</f>
        <v>MC74HC30ADTR2G</v>
      </c>
      <c r="B5863" s="3" t="str">
        <f>HYPERLINK("https://www.773grp.com/manufacturer/onsemi?pageNo=470", "Onsemi")</f>
        <v>Onsemi</v>
      </c>
      <c r="C5863" s="6">
        <v>5000</v>
      </c>
      <c r="D5863" s="7">
        <v>0.74</v>
      </c>
    </row>
    <row r="5864" spans="1:5" x14ac:dyDescent="0.25">
      <c r="A5864" t="str">
        <f>HYPERLINK("https://www.773grp.com/globalSearch/MC74HC32ADG/page-1", "MC74HC32ADG")</f>
        <v>MC74HC32ADG</v>
      </c>
      <c r="B5864" s="3" t="str">
        <f>HYPERLINK("https://www.773grp.com/manufacturer/onsemi?pageNo=471", "Onsemi")</f>
        <v>Onsemi</v>
      </c>
      <c r="C5864" s="6">
        <v>23388</v>
      </c>
      <c r="D5864" s="7">
        <v>0.74</v>
      </c>
      <c r="E5864" t="s">
        <v>27</v>
      </c>
    </row>
    <row r="5865" spans="1:5" x14ac:dyDescent="0.25">
      <c r="A5865" t="str">
        <f>HYPERLINK("https://www.773grp.com/globalSearch/MC74HC32ADR2G/page-1", "MC74HC32ADR2G")</f>
        <v>MC74HC32ADR2G</v>
      </c>
      <c r="B5865" s="3" t="str">
        <f>HYPERLINK("https://www.773grp.com/manufacturer/onsemi?pageNo=472", "Onsemi")</f>
        <v>Onsemi</v>
      </c>
      <c r="C5865" s="6">
        <v>76194</v>
      </c>
      <c r="D5865" s="7">
        <v>0.74</v>
      </c>
      <c r="E5865" t="s">
        <v>27</v>
      </c>
    </row>
    <row r="5866" spans="1:5" x14ac:dyDescent="0.25">
      <c r="A5866" t="str">
        <f>HYPERLINK("https://www.773grp.com/globalSearch/MC74HC32ADTR2G/page-1", "MC74HC32ADTR2G")</f>
        <v>MC74HC32ADTR2G</v>
      </c>
      <c r="B5866" s="3" t="str">
        <f>HYPERLINK("https://www.773grp.com/manufacturer/onsemi?pageNo=473", "Onsemi")</f>
        <v>Onsemi</v>
      </c>
      <c r="C5866" s="6">
        <v>49615</v>
      </c>
      <c r="D5866" s="7">
        <v>0.74</v>
      </c>
      <c r="E5866" t="s">
        <v>27</v>
      </c>
    </row>
    <row r="5867" spans="1:5" x14ac:dyDescent="0.25">
      <c r="A5867" t="str">
        <f>HYPERLINK("https://www.773grp.com/globalSearch/MC74HC4020AFEL/page-1", "MC74HC4020AFEL")</f>
        <v>MC74HC4020AFEL</v>
      </c>
      <c r="B5867" s="3" t="str">
        <f>HYPERLINK("https://www.773grp.com/manufacturer/onsemi?pageNo=474", "Onsemi")</f>
        <v>Onsemi</v>
      </c>
      <c r="C5867" s="6">
        <v>2000</v>
      </c>
      <c r="D5867" s="7">
        <v>0.74</v>
      </c>
      <c r="E5867" t="s">
        <v>22</v>
      </c>
    </row>
    <row r="5868" spans="1:5" x14ac:dyDescent="0.25">
      <c r="A5868" t="str">
        <f>HYPERLINK("https://www.773grp.com/globalSearch/MC74HC73ADG/page-1", "MC74HC73ADG")</f>
        <v>MC74HC73ADG</v>
      </c>
      <c r="B5868" s="3" t="str">
        <f>HYPERLINK("https://www.773grp.com/manufacturer/onsemi?pageNo=475", "Onsemi")</f>
        <v>Onsemi</v>
      </c>
      <c r="C5868" s="6">
        <v>13657</v>
      </c>
      <c r="D5868" s="7">
        <v>0.74</v>
      </c>
    </row>
    <row r="5869" spans="1:5" x14ac:dyDescent="0.25">
      <c r="A5869" t="str">
        <f>HYPERLINK("https://www.773grp.com/globalSearch/MC74HC73ADR2G/page-1", "MC74HC73ADR2G")</f>
        <v>MC74HC73ADR2G</v>
      </c>
      <c r="B5869" s="3" t="str">
        <f>HYPERLINK("https://www.773grp.com/manufacturer/onsemi?pageNo=476", "Onsemi")</f>
        <v>Onsemi</v>
      </c>
      <c r="C5869" s="6">
        <v>2500</v>
      </c>
      <c r="D5869" s="7">
        <v>0.74</v>
      </c>
    </row>
    <row r="5870" spans="1:5" x14ac:dyDescent="0.25">
      <c r="A5870" t="str">
        <f>HYPERLINK("https://www.773grp.com/globalSearch/MC74HC73ADTG/page-1", "MC74HC73ADTG")</f>
        <v>MC74HC73ADTG</v>
      </c>
      <c r="B5870" s="3" t="str">
        <f>HYPERLINK("https://www.773grp.com/manufacturer/onsemi?pageNo=477", "Onsemi")</f>
        <v>Onsemi</v>
      </c>
      <c r="C5870" s="6">
        <v>13129</v>
      </c>
      <c r="D5870" s="7">
        <v>0.74</v>
      </c>
    </row>
    <row r="5871" spans="1:5" x14ac:dyDescent="0.25">
      <c r="A5871" t="str">
        <f>HYPERLINK("https://www.773grp.com/globalSearch/MC74HC73ADTR2G/page-1", "MC74HC73ADTR2G")</f>
        <v>MC74HC73ADTR2G</v>
      </c>
      <c r="B5871" s="3" t="str">
        <f>HYPERLINK("https://www.773grp.com/manufacturer/onsemi?pageNo=478", "Onsemi")</f>
        <v>Onsemi</v>
      </c>
      <c r="C5871" s="6">
        <v>19339</v>
      </c>
      <c r="D5871" s="7">
        <v>0.74</v>
      </c>
      <c r="E5871" t="s">
        <v>31</v>
      </c>
    </row>
    <row r="5872" spans="1:5" x14ac:dyDescent="0.25">
      <c r="A5872" t="str">
        <f>HYPERLINK("https://www.773grp.com/globalSearch/MC74HC74ADG/page-1", "MC74HC74ADG")</f>
        <v>MC74HC74ADG</v>
      </c>
      <c r="B5872" s="3" t="str">
        <f>HYPERLINK("https://www.773grp.com/manufacturer/onsemi?pageNo=479", "Onsemi")</f>
        <v>Onsemi</v>
      </c>
      <c r="C5872" s="6">
        <v>24420</v>
      </c>
      <c r="D5872" s="7">
        <v>0.74</v>
      </c>
      <c r="E5872" t="s">
        <v>31</v>
      </c>
    </row>
    <row r="5873" spans="1:5" x14ac:dyDescent="0.25">
      <c r="A5873" t="str">
        <f>HYPERLINK("https://www.773grp.com/globalSearch/MC74HC74ADR2G/page-1", "MC74HC74ADR2G")</f>
        <v>MC74HC74ADR2G</v>
      </c>
      <c r="B5873" s="3" t="str">
        <f>HYPERLINK("https://www.773grp.com/manufacturer/onsemi?pageNo=480", "Onsemi")</f>
        <v>Onsemi</v>
      </c>
      <c r="C5873" s="6">
        <v>22314</v>
      </c>
      <c r="D5873" s="7">
        <v>0.74</v>
      </c>
      <c r="E5873" t="s">
        <v>31</v>
      </c>
    </row>
    <row r="5874" spans="1:5" x14ac:dyDescent="0.25">
      <c r="A5874" t="str">
        <f>HYPERLINK("https://www.773grp.com/globalSearch/MC74HC74ADTR2G/page-1", "MC74HC74ADTR2G")</f>
        <v>MC74HC74ADTR2G</v>
      </c>
      <c r="B5874" s="3" t="str">
        <f>HYPERLINK("https://www.773grp.com/manufacturer/onsemi?pageNo=481", "Onsemi")</f>
        <v>Onsemi</v>
      </c>
      <c r="C5874" s="6">
        <v>19880</v>
      </c>
      <c r="D5874" s="7">
        <v>0.74</v>
      </c>
      <c r="E5874" t="s">
        <v>31</v>
      </c>
    </row>
    <row r="5875" spans="1:5" x14ac:dyDescent="0.25">
      <c r="A5875" t="str">
        <f>HYPERLINK("https://www.773grp.com/globalSearch/MC74HC86ADG/page-1", "MC74HC86ADG")</f>
        <v>MC74HC86ADG</v>
      </c>
      <c r="B5875" s="3" t="str">
        <f>HYPERLINK("https://www.773grp.com/manufacturer/onsemi?pageNo=482", "Onsemi")</f>
        <v>Onsemi</v>
      </c>
      <c r="C5875" s="6">
        <v>22979</v>
      </c>
      <c r="D5875" s="7">
        <v>0.74</v>
      </c>
      <c r="E5875" t="s">
        <v>27</v>
      </c>
    </row>
    <row r="5876" spans="1:5" x14ac:dyDescent="0.25">
      <c r="A5876" t="str">
        <f>HYPERLINK("https://www.773grp.com/globalSearch/MC74HC86ADR2G/page-1", "MC74HC86ADR2G")</f>
        <v>MC74HC86ADR2G</v>
      </c>
      <c r="B5876" s="3" t="str">
        <f>HYPERLINK("https://www.773grp.com/manufacturer/onsemi?pageNo=483", "Onsemi")</f>
        <v>Onsemi</v>
      </c>
      <c r="C5876" s="6">
        <v>19957</v>
      </c>
      <c r="D5876" s="7">
        <v>0.74</v>
      </c>
      <c r="E5876" t="s">
        <v>27</v>
      </c>
    </row>
    <row r="5877" spans="1:5" x14ac:dyDescent="0.25">
      <c r="A5877" t="str">
        <f>HYPERLINK("https://www.773grp.com/globalSearch/MC74HC86ADTR2G/page-1", "MC74HC86ADTR2G")</f>
        <v>MC74HC86ADTR2G</v>
      </c>
      <c r="B5877" s="3" t="str">
        <f>HYPERLINK("https://www.773grp.com/manufacturer/onsemi?pageNo=484", "Onsemi")</f>
        <v>Onsemi</v>
      </c>
      <c r="C5877" s="6">
        <v>9255</v>
      </c>
      <c r="D5877" s="7">
        <v>0.74</v>
      </c>
      <c r="E5877" t="s">
        <v>27</v>
      </c>
    </row>
    <row r="5878" spans="1:5" x14ac:dyDescent="0.25">
      <c r="A5878" t="str">
        <f>HYPERLINK("https://www.773grp.com/globalSearch/MC74HC86ANG/page-1", "MC74HC86ANG")</f>
        <v>MC74HC86ANG</v>
      </c>
      <c r="B5878" s="3" t="str">
        <f>HYPERLINK("https://www.773grp.com/manufacturer/onsemi?pageNo=485", "Onsemi")</f>
        <v>Onsemi</v>
      </c>
      <c r="C5878" s="6">
        <v>20125</v>
      </c>
      <c r="D5878" s="7">
        <v>0.74</v>
      </c>
      <c r="E5878" t="s">
        <v>27</v>
      </c>
    </row>
    <row r="5879" spans="1:5" x14ac:dyDescent="0.25">
      <c r="A5879" t="str">
        <f>HYPERLINK("https://www.773grp.com/globalSearch/MC74HCT04ADG/page-1", "MC74HCT04ADG")</f>
        <v>MC74HCT04ADG</v>
      </c>
      <c r="B5879" s="3" t="str">
        <f>HYPERLINK("https://www.773grp.com/manufacturer/onsemi?pageNo=486", "Onsemi")</f>
        <v>Onsemi</v>
      </c>
      <c r="C5879" s="6">
        <v>11772</v>
      </c>
      <c r="D5879" s="7">
        <v>0.74</v>
      </c>
      <c r="E5879" t="s">
        <v>27</v>
      </c>
    </row>
    <row r="5880" spans="1:5" x14ac:dyDescent="0.25">
      <c r="A5880" t="str">
        <f>HYPERLINK("https://www.773grp.com/globalSearch/MC74HCT04ADR2G/page-1", "MC74HCT04ADR2G")</f>
        <v>MC74HCT04ADR2G</v>
      </c>
      <c r="B5880" s="3" t="str">
        <f>HYPERLINK("https://www.773grp.com/manufacturer/onsemi?pageNo=487", "Onsemi")</f>
        <v>Onsemi</v>
      </c>
      <c r="C5880" s="6">
        <v>60000</v>
      </c>
      <c r="D5880" s="7">
        <v>0.74</v>
      </c>
      <c r="E5880" t="s">
        <v>27</v>
      </c>
    </row>
    <row r="5881" spans="1:5" x14ac:dyDescent="0.25">
      <c r="A5881" t="str">
        <f>HYPERLINK("https://www.773grp.com/globalSearch/MC74HCT04ADTR2G/page-1", "MC74HCT04ADTR2G")</f>
        <v>MC74HCT04ADTR2G</v>
      </c>
      <c r="B5881" s="3" t="str">
        <f>HYPERLINK("https://www.773grp.com/manufacturer/onsemi?pageNo=488", "Onsemi")</f>
        <v>Onsemi</v>
      </c>
      <c r="C5881" s="6">
        <v>26992</v>
      </c>
      <c r="D5881" s="7">
        <v>0.74</v>
      </c>
      <c r="E5881" t="s">
        <v>27</v>
      </c>
    </row>
    <row r="5882" spans="1:5" x14ac:dyDescent="0.25">
      <c r="A5882" t="str">
        <f>HYPERLINK("https://www.773grp.com/globalSearch/MC74HCT138ADG/page-1", "MC74HCT138ADG")</f>
        <v>MC74HCT138ADG</v>
      </c>
      <c r="B5882" s="3" t="str">
        <f>HYPERLINK("https://www.773grp.com/manufacturer/onsemi?pageNo=489", "Onsemi")</f>
        <v>Onsemi</v>
      </c>
      <c r="C5882" s="6">
        <v>5129</v>
      </c>
      <c r="D5882" s="7">
        <v>0.74</v>
      </c>
      <c r="E5882" t="s">
        <v>32</v>
      </c>
    </row>
    <row r="5883" spans="1:5" x14ac:dyDescent="0.25">
      <c r="A5883" t="str">
        <f>HYPERLINK("https://www.773grp.com/globalSearch/MC74HCT14ADR2G/page-1", "MC74HCT14ADR2G")</f>
        <v>MC74HCT14ADR2G</v>
      </c>
      <c r="B5883" s="3" t="str">
        <f>HYPERLINK("https://www.773grp.com/manufacturer/onsemi?pageNo=490", "Onsemi")</f>
        <v>Onsemi</v>
      </c>
      <c r="C5883" s="6">
        <v>208481</v>
      </c>
      <c r="D5883" s="7">
        <v>0.74</v>
      </c>
      <c r="E5883" t="s">
        <v>27</v>
      </c>
    </row>
    <row r="5884" spans="1:5" x14ac:dyDescent="0.25">
      <c r="A5884" t="str">
        <f>HYPERLINK("https://www.773grp.com/globalSearch/MC74HCT14ADTR2G/page-1", "MC74HCT14ADTR2G")</f>
        <v>MC74HCT14ADTR2G</v>
      </c>
      <c r="B5884" s="3" t="str">
        <f>HYPERLINK("https://www.773grp.com/manufacturer/onsemi?pageNo=491", "Onsemi")</f>
        <v>Onsemi</v>
      </c>
      <c r="C5884" s="6">
        <v>25676</v>
      </c>
      <c r="D5884" s="7">
        <v>0.74</v>
      </c>
      <c r="E5884" t="s">
        <v>27</v>
      </c>
    </row>
    <row r="5885" spans="1:5" x14ac:dyDescent="0.25">
      <c r="A5885" t="str">
        <f>HYPERLINK("https://www.773grp.com/globalSearch/MC74HCT366ADR2G/page-1", "MC74HCT366ADR2G")</f>
        <v>MC74HCT366ADR2G</v>
      </c>
      <c r="B5885" s="3" t="str">
        <f>HYPERLINK("https://www.773grp.com/manufacturer/onsemi?pageNo=492", "Onsemi")</f>
        <v>Onsemi</v>
      </c>
      <c r="C5885" s="6">
        <v>4000</v>
      </c>
      <c r="D5885" s="7">
        <v>0.74</v>
      </c>
    </row>
    <row r="5886" spans="1:5" x14ac:dyDescent="0.25">
      <c r="A5886" t="str">
        <f>HYPERLINK("https://www.773grp.com/globalSearch/MC74HCT366ADTR2G/page-1", "MC74HCT366ADTR2G")</f>
        <v>MC74HCT366ADTR2G</v>
      </c>
      <c r="B5886" s="3" t="str">
        <f>HYPERLINK("https://www.773grp.com/manufacturer/onsemi?pageNo=493", "Onsemi")</f>
        <v>Onsemi</v>
      </c>
      <c r="C5886" s="6">
        <v>2500</v>
      </c>
      <c r="D5886" s="7">
        <v>0.74</v>
      </c>
      <c r="E5886" t="s">
        <v>27</v>
      </c>
    </row>
    <row r="5887" spans="1:5" x14ac:dyDescent="0.25">
      <c r="A5887" t="str">
        <f>HYPERLINK("https://www.773grp.com/globalSearch/MC74HCT74ADR2G/page-1", "MC74HCT74ADR2G")</f>
        <v>MC74HCT74ADR2G</v>
      </c>
      <c r="B5887" s="3" t="str">
        <f>HYPERLINK("https://www.773grp.com/manufacturer/onsemi?pageNo=494", "Onsemi")</f>
        <v>Onsemi</v>
      </c>
      <c r="C5887" s="6">
        <v>84244</v>
      </c>
      <c r="D5887" s="7">
        <v>0.74</v>
      </c>
      <c r="E5887" t="s">
        <v>31</v>
      </c>
    </row>
    <row r="5888" spans="1:5" x14ac:dyDescent="0.25">
      <c r="A5888" t="str">
        <f>HYPERLINK("https://www.773grp.com/globalSearch/MC74HCT86ADG/page-1", "MC74HCT86ADG")</f>
        <v>MC74HCT86ADG</v>
      </c>
      <c r="B5888" s="3" t="str">
        <f>HYPERLINK("https://www.773grp.com/manufacturer/onsemi?pageNo=495", "Onsemi")</f>
        <v>Onsemi</v>
      </c>
      <c r="C5888" s="6">
        <v>34926</v>
      </c>
      <c r="D5888" s="7">
        <v>0.74</v>
      </c>
      <c r="E5888" t="s">
        <v>27</v>
      </c>
    </row>
    <row r="5889" spans="1:5" x14ac:dyDescent="0.25">
      <c r="A5889" t="str">
        <f>HYPERLINK("https://www.773grp.com/globalSearch/MC74HCT86ADTR2G/page-1", "MC74HCT86ADTR2G")</f>
        <v>MC74HCT86ADTR2G</v>
      </c>
      <c r="B5889" s="3" t="str">
        <f>HYPERLINK("https://www.773grp.com/manufacturer/onsemi?pageNo=496", "Onsemi")</f>
        <v>Onsemi</v>
      </c>
      <c r="C5889" s="6">
        <v>34910</v>
      </c>
      <c r="D5889" s="7">
        <v>0.74</v>
      </c>
      <c r="E5889" t="s">
        <v>27</v>
      </c>
    </row>
    <row r="5890" spans="1:5" x14ac:dyDescent="0.25">
      <c r="A5890" t="str">
        <f>HYPERLINK("https://www.773grp.com/globalSearch/MC74HCU04ADG/page-1", "MC74HCU04ADG")</f>
        <v>MC74HCU04ADG</v>
      </c>
      <c r="B5890" s="3" t="str">
        <f>HYPERLINK("https://www.773grp.com/manufacturer/onsemi?pageNo=497", "Onsemi")</f>
        <v>Onsemi</v>
      </c>
      <c r="C5890" s="6">
        <v>82653</v>
      </c>
      <c r="D5890" s="7">
        <v>0.74</v>
      </c>
      <c r="E5890" t="s">
        <v>27</v>
      </c>
    </row>
    <row r="5891" spans="1:5" x14ac:dyDescent="0.25">
      <c r="A5891" t="str">
        <f>HYPERLINK("https://www.773grp.com/globalSearch/MC74HCU04ADR2G/page-1", "MC74HCU04ADR2G")</f>
        <v>MC74HCU04ADR2G</v>
      </c>
      <c r="B5891" s="3" t="str">
        <f>HYPERLINK("https://www.773grp.com/manufacturer/onsemi?pageNo=498", "Onsemi")</f>
        <v>Onsemi</v>
      </c>
      <c r="C5891" s="6">
        <v>46500</v>
      </c>
      <c r="D5891" s="7">
        <v>0.74</v>
      </c>
      <c r="E5891" t="s">
        <v>27</v>
      </c>
    </row>
    <row r="5892" spans="1:5" x14ac:dyDescent="0.25">
      <c r="A5892" t="str">
        <f>HYPERLINK("https://www.773grp.com/globalSearch/MC74HCU04ADTR2G/page-1", "MC74HCU04ADTR2G")</f>
        <v>MC74HCU04ADTR2G</v>
      </c>
      <c r="B5892" s="3" t="str">
        <f>HYPERLINK("https://www.773grp.com/manufacturer/onsemi?pageNo=499", "Onsemi")</f>
        <v>Onsemi</v>
      </c>
      <c r="C5892" s="6">
        <v>2500</v>
      </c>
      <c r="D5892" s="7">
        <v>0.74</v>
      </c>
      <c r="E5892" t="s">
        <v>27</v>
      </c>
    </row>
    <row r="5893" spans="1:5" x14ac:dyDescent="0.25">
      <c r="A5893" t="str">
        <f>HYPERLINK("https://www.773grp.com/globalSearch/MC74LCX00DG/page-1", "MC74LCX00DG")</f>
        <v>MC74LCX00DG</v>
      </c>
      <c r="B5893" s="3" t="str">
        <f>HYPERLINK("https://www.773grp.com/manufacturer/onsemi?pageNo=500", "Onsemi")</f>
        <v>Onsemi</v>
      </c>
      <c r="C5893" s="6">
        <v>36575</v>
      </c>
      <c r="D5893" s="7">
        <v>0.74</v>
      </c>
      <c r="E5893" t="s">
        <v>27</v>
      </c>
    </row>
    <row r="5894" spans="1:5" x14ac:dyDescent="0.25">
      <c r="A5894" t="str">
        <f>HYPERLINK("https://www.773grp.com/globalSearch/MC74LCX00DR2G/page-1", "MC74LCX00DR2G")</f>
        <v>MC74LCX00DR2G</v>
      </c>
      <c r="B5894" s="3" t="str">
        <f>HYPERLINK("https://www.773grp.com/manufacturer/onsemi?pageNo=501", "Onsemi")</f>
        <v>Onsemi</v>
      </c>
      <c r="C5894" s="6">
        <v>24381</v>
      </c>
      <c r="D5894" s="7">
        <v>0.74</v>
      </c>
      <c r="E5894" t="s">
        <v>27</v>
      </c>
    </row>
    <row r="5895" spans="1:5" x14ac:dyDescent="0.25">
      <c r="A5895" t="str">
        <f>HYPERLINK("https://www.773grp.com/globalSearch/MC74LCX00DTG/page-1", "MC74LCX00DTG")</f>
        <v>MC74LCX00DTG</v>
      </c>
      <c r="B5895" s="3" t="str">
        <f>HYPERLINK("https://www.773grp.com/manufacturer/onsemi?pageNo=502", "Onsemi")</f>
        <v>Onsemi</v>
      </c>
      <c r="C5895" s="6">
        <v>37963</v>
      </c>
      <c r="D5895" s="7">
        <v>0.74</v>
      </c>
      <c r="E5895" t="s">
        <v>27</v>
      </c>
    </row>
    <row r="5896" spans="1:5" x14ac:dyDescent="0.25">
      <c r="A5896" t="str">
        <f>HYPERLINK("https://www.773grp.com/globalSearch/MC74LCX00DTR2G/page-1", "MC74LCX00DTR2G")</f>
        <v>MC74LCX00DTR2G</v>
      </c>
      <c r="B5896" s="3" t="str">
        <f>HYPERLINK("https://www.773grp.com/manufacturer/onsemi?pageNo=503", "Onsemi")</f>
        <v>Onsemi</v>
      </c>
      <c r="C5896" s="6">
        <v>158826</v>
      </c>
      <c r="D5896" s="7">
        <v>0.74</v>
      </c>
    </row>
    <row r="5897" spans="1:5" x14ac:dyDescent="0.25">
      <c r="A5897" t="str">
        <f>HYPERLINK("https://www.773grp.com/globalSearch/MC74LCX02DG/page-1", "MC74LCX02DG")</f>
        <v>MC74LCX02DG</v>
      </c>
      <c r="B5897" s="3" t="str">
        <f>HYPERLINK("https://www.773grp.com/manufacturer/onsemi?pageNo=504", "Onsemi")</f>
        <v>Onsemi</v>
      </c>
      <c r="C5897" s="6">
        <v>23045</v>
      </c>
      <c r="D5897" s="7">
        <v>0.74</v>
      </c>
      <c r="E5897" t="s">
        <v>27</v>
      </c>
    </row>
    <row r="5898" spans="1:5" x14ac:dyDescent="0.25">
      <c r="A5898" t="str">
        <f>HYPERLINK("https://www.773grp.com/globalSearch/MC74LCX02DR2G/page-1", "MC74LCX02DR2G")</f>
        <v>MC74LCX02DR2G</v>
      </c>
      <c r="B5898" s="3" t="str">
        <f>HYPERLINK("https://www.773grp.com/manufacturer/onsemi?pageNo=505", "Onsemi")</f>
        <v>Onsemi</v>
      </c>
      <c r="C5898" s="6">
        <v>16927</v>
      </c>
      <c r="D5898" s="7">
        <v>0.74</v>
      </c>
      <c r="E5898" t="s">
        <v>27</v>
      </c>
    </row>
    <row r="5899" spans="1:5" x14ac:dyDescent="0.25">
      <c r="A5899" t="str">
        <f>HYPERLINK("https://www.773grp.com/globalSearch/MC74LCX02DTG/page-1", "MC74LCX02DTG")</f>
        <v>MC74LCX02DTG</v>
      </c>
      <c r="B5899" s="3" t="str">
        <f>HYPERLINK("https://www.773grp.com/manufacturer/onsemi?pageNo=506", "Onsemi")</f>
        <v>Onsemi</v>
      </c>
      <c r="C5899" s="6">
        <v>20640</v>
      </c>
      <c r="D5899" s="7">
        <v>0.74</v>
      </c>
      <c r="E5899" t="s">
        <v>27</v>
      </c>
    </row>
    <row r="5900" spans="1:5" x14ac:dyDescent="0.25">
      <c r="A5900" t="str">
        <f>HYPERLINK("https://www.773grp.com/globalSearch/MC74LCX02DTR2G/page-1", "MC74LCX02DTR2G")</f>
        <v>MC74LCX02DTR2G</v>
      </c>
      <c r="B5900" s="3" t="str">
        <f>HYPERLINK("https://www.773grp.com/manufacturer/onsemi?pageNo=507", "Onsemi")</f>
        <v>Onsemi</v>
      </c>
      <c r="C5900" s="6">
        <v>31645</v>
      </c>
      <c r="D5900" s="7">
        <v>0.74</v>
      </c>
      <c r="E5900" t="s">
        <v>27</v>
      </c>
    </row>
    <row r="5901" spans="1:5" x14ac:dyDescent="0.25">
      <c r="A5901" t="str">
        <f>HYPERLINK("https://www.773grp.com/globalSearch/MC74LCX04DG/page-1", "MC74LCX04DG")</f>
        <v>MC74LCX04DG</v>
      </c>
      <c r="B5901" s="3" t="str">
        <f>HYPERLINK("https://www.773grp.com/manufacturer/onsemi?pageNo=508", "Onsemi")</f>
        <v>Onsemi</v>
      </c>
      <c r="C5901" s="6">
        <v>9965</v>
      </c>
      <c r="D5901" s="7">
        <v>0.74</v>
      </c>
      <c r="E5901" t="s">
        <v>27</v>
      </c>
    </row>
    <row r="5902" spans="1:5" x14ac:dyDescent="0.25">
      <c r="A5902" t="str">
        <f>HYPERLINK("https://www.773grp.com/globalSearch/MC74LCX04DR2/page-1", "MC74LCX04DR2")</f>
        <v>MC74LCX04DR2</v>
      </c>
      <c r="B5902" s="3" t="str">
        <f>HYPERLINK("https://www.773grp.com/manufacturer/onsemi?pageNo=509", "Onsemi")</f>
        <v>Onsemi</v>
      </c>
      <c r="C5902" s="6">
        <v>2500</v>
      </c>
      <c r="D5902" s="7">
        <v>0.74</v>
      </c>
      <c r="E5902" t="s">
        <v>27</v>
      </c>
    </row>
    <row r="5903" spans="1:5" x14ac:dyDescent="0.25">
      <c r="A5903" t="str">
        <f>HYPERLINK("https://www.773grp.com/globalSearch/MC74LCX04DR2G/page-1", "MC74LCX04DR2G")</f>
        <v>MC74LCX04DR2G</v>
      </c>
      <c r="B5903" s="3" t="str">
        <f>HYPERLINK("https://www.773grp.com/manufacturer/onsemi?pageNo=510", "Onsemi")</f>
        <v>Onsemi</v>
      </c>
      <c r="C5903" s="6">
        <v>9441</v>
      </c>
      <c r="D5903" s="7">
        <v>0.74</v>
      </c>
      <c r="E5903" t="s">
        <v>27</v>
      </c>
    </row>
    <row r="5904" spans="1:5" x14ac:dyDescent="0.25">
      <c r="A5904" t="str">
        <f>HYPERLINK("https://www.773grp.com/globalSearch/MC74LCX04DTG/page-1", "MC74LCX04DTG")</f>
        <v>MC74LCX04DTG</v>
      </c>
      <c r="B5904" s="3" t="str">
        <f>HYPERLINK("https://www.773grp.com/manufacturer/onsemi?pageNo=511", "Onsemi")</f>
        <v>Onsemi</v>
      </c>
      <c r="C5904" s="6">
        <v>18124</v>
      </c>
      <c r="D5904" s="7">
        <v>0.74</v>
      </c>
      <c r="E5904" t="s">
        <v>27</v>
      </c>
    </row>
    <row r="5905" spans="1:5" x14ac:dyDescent="0.25">
      <c r="A5905" t="str">
        <f>HYPERLINK("https://www.773grp.com/globalSearch/MC74LCX04DTR2G/page-1", "MC74LCX04DTR2G")</f>
        <v>MC74LCX04DTR2G</v>
      </c>
      <c r="B5905" s="3" t="str">
        <f>HYPERLINK("https://www.773grp.com/manufacturer/onsemi?pageNo=512", "Onsemi")</f>
        <v>Onsemi</v>
      </c>
      <c r="C5905" s="6">
        <v>23819</v>
      </c>
      <c r="D5905" s="7">
        <v>0.74</v>
      </c>
      <c r="E5905" t="s">
        <v>27</v>
      </c>
    </row>
    <row r="5906" spans="1:5" x14ac:dyDescent="0.25">
      <c r="A5906" t="str">
        <f>HYPERLINK("https://www.773grp.com/globalSearch/MC74LCX06DG/page-1", "MC74LCX06DG")</f>
        <v>MC74LCX06DG</v>
      </c>
      <c r="B5906" s="3" t="str">
        <f>HYPERLINK("https://www.773grp.com/manufacturer/onsemi?pageNo=513", "Onsemi")</f>
        <v>Onsemi</v>
      </c>
      <c r="C5906" s="6">
        <v>3795</v>
      </c>
      <c r="D5906" s="7">
        <v>0.74</v>
      </c>
      <c r="E5906" t="s">
        <v>27</v>
      </c>
    </row>
    <row r="5907" spans="1:5" x14ac:dyDescent="0.25">
      <c r="A5907" t="str">
        <f>HYPERLINK("https://www.773grp.com/globalSearch/MC74LCX06DR2G/page-1", "MC74LCX06DR2G")</f>
        <v>MC74LCX06DR2G</v>
      </c>
      <c r="B5907" s="3" t="str">
        <f>HYPERLINK("https://www.773grp.com/manufacturer/onsemi?pageNo=514", "Onsemi")</f>
        <v>Onsemi</v>
      </c>
      <c r="C5907" s="6">
        <v>84430</v>
      </c>
      <c r="D5907" s="7">
        <v>0.74</v>
      </c>
      <c r="E5907" t="s">
        <v>27</v>
      </c>
    </row>
    <row r="5908" spans="1:5" x14ac:dyDescent="0.25">
      <c r="A5908" t="str">
        <f>HYPERLINK("https://www.773grp.com/globalSearch/MC74LCX06DTG/page-1", "MC74LCX06DTG")</f>
        <v>MC74LCX06DTG</v>
      </c>
      <c r="B5908" s="3" t="str">
        <f>HYPERLINK("https://www.773grp.com/manufacturer/onsemi?pageNo=515", "Onsemi")</f>
        <v>Onsemi</v>
      </c>
      <c r="C5908" s="6">
        <v>30205</v>
      </c>
      <c r="D5908" s="7">
        <v>0.74</v>
      </c>
      <c r="E5908" t="s">
        <v>27</v>
      </c>
    </row>
    <row r="5909" spans="1:5" x14ac:dyDescent="0.25">
      <c r="A5909" t="str">
        <f>HYPERLINK("https://www.773grp.com/globalSearch/MC74LCX06DTR2G/page-1", "MC74LCX06DTR2G")</f>
        <v>MC74LCX06DTR2G</v>
      </c>
      <c r="B5909" s="3" t="str">
        <f>HYPERLINK("https://www.773grp.com/manufacturer/onsemi?pageNo=516", "Onsemi")</f>
        <v>Onsemi</v>
      </c>
      <c r="C5909" s="6">
        <v>31825</v>
      </c>
      <c r="D5909" s="7">
        <v>0.74</v>
      </c>
      <c r="E5909" t="s">
        <v>27</v>
      </c>
    </row>
    <row r="5910" spans="1:5" x14ac:dyDescent="0.25">
      <c r="A5910" t="str">
        <f>HYPERLINK("https://www.773grp.com/globalSearch/MC74LCX06MG/page-1", "MC74LCX06MG")</f>
        <v>MC74LCX06MG</v>
      </c>
      <c r="B5910" s="3" t="str">
        <f>HYPERLINK("https://www.773grp.com/manufacturer/onsemi?pageNo=517", "Onsemi")</f>
        <v>Onsemi</v>
      </c>
      <c r="C5910" s="6">
        <v>25150</v>
      </c>
      <c r="D5910" s="7">
        <v>0.74</v>
      </c>
      <c r="E5910" t="s">
        <v>27</v>
      </c>
    </row>
    <row r="5911" spans="1:5" x14ac:dyDescent="0.25">
      <c r="A5911" t="str">
        <f>HYPERLINK("https://www.773grp.com/globalSearch/MC74LCX07DG/page-1", "MC74LCX07DG")</f>
        <v>MC74LCX07DG</v>
      </c>
      <c r="B5911" s="3" t="str">
        <f>HYPERLINK("https://www.773grp.com/manufacturer/onsemi?pageNo=518", "Onsemi")</f>
        <v>Onsemi</v>
      </c>
      <c r="C5911" s="6">
        <v>9850</v>
      </c>
      <c r="D5911" s="7">
        <v>0.74</v>
      </c>
      <c r="E5911" t="s">
        <v>27</v>
      </c>
    </row>
    <row r="5912" spans="1:5" x14ac:dyDescent="0.25">
      <c r="A5912" t="str">
        <f>HYPERLINK("https://www.773grp.com/globalSearch/MC74LCX07DR2G/page-1", "MC74LCX07DR2G")</f>
        <v>MC74LCX07DR2G</v>
      </c>
      <c r="B5912" s="3" t="str">
        <f>HYPERLINK("https://www.773grp.com/manufacturer/onsemi?pageNo=519", "Onsemi")</f>
        <v>Onsemi</v>
      </c>
      <c r="C5912" s="6">
        <v>423410</v>
      </c>
      <c r="D5912" s="7">
        <v>0.74</v>
      </c>
      <c r="E5912" t="s">
        <v>27</v>
      </c>
    </row>
    <row r="5913" spans="1:5" x14ac:dyDescent="0.25">
      <c r="A5913" t="str">
        <f>HYPERLINK("https://www.773grp.com/globalSearch/MC74LCX07DTG/page-1", "MC74LCX07DTG")</f>
        <v>MC74LCX07DTG</v>
      </c>
      <c r="B5913" s="3" t="str">
        <f>HYPERLINK("https://www.773grp.com/manufacturer/onsemi?pageNo=520", "Onsemi")</f>
        <v>Onsemi</v>
      </c>
      <c r="C5913" s="6">
        <v>5280</v>
      </c>
      <c r="D5913" s="7">
        <v>0.74</v>
      </c>
      <c r="E5913" t="s">
        <v>27</v>
      </c>
    </row>
    <row r="5914" spans="1:5" x14ac:dyDescent="0.25">
      <c r="A5914" t="str">
        <f>HYPERLINK("https://www.773grp.com/globalSearch/MC74LCX07DTR2G/page-1", "MC74LCX07DTR2G")</f>
        <v>MC74LCX07DTR2G</v>
      </c>
      <c r="B5914" s="3" t="str">
        <f>HYPERLINK("https://www.773grp.com/manufacturer/onsemi?pageNo=521", "Onsemi")</f>
        <v>Onsemi</v>
      </c>
      <c r="C5914" s="6">
        <v>45056</v>
      </c>
      <c r="D5914" s="7">
        <v>0.74</v>
      </c>
      <c r="E5914" t="s">
        <v>27</v>
      </c>
    </row>
    <row r="5915" spans="1:5" x14ac:dyDescent="0.25">
      <c r="A5915" t="str">
        <f>HYPERLINK("https://www.773grp.com/globalSearch/MC74LCX07DTR2GH/page-1", "MC74LCX07DTR2GH")</f>
        <v>MC74LCX07DTR2GH</v>
      </c>
      <c r="B5915" s="3" t="str">
        <f>HYPERLINK("https://www.773grp.com/manufacturer/onsemi?pageNo=522", "Onsemi")</f>
        <v>Onsemi</v>
      </c>
      <c r="C5915" s="6">
        <v>24980</v>
      </c>
      <c r="D5915" s="7">
        <v>0.74</v>
      </c>
    </row>
    <row r="5916" spans="1:5" x14ac:dyDescent="0.25">
      <c r="A5916" t="str">
        <f>HYPERLINK("https://www.773grp.com/globalSearch/MC74LCX08DG/page-1", "MC74LCX08DG")</f>
        <v>MC74LCX08DG</v>
      </c>
      <c r="B5916" s="3" t="str">
        <f>HYPERLINK("https://www.773grp.com/manufacturer/onsemi?pageNo=523", "Onsemi")</f>
        <v>Onsemi</v>
      </c>
      <c r="C5916" s="6">
        <v>14960</v>
      </c>
      <c r="D5916" s="7">
        <v>0.74</v>
      </c>
      <c r="E5916" t="s">
        <v>27</v>
      </c>
    </row>
    <row r="5917" spans="1:5" x14ac:dyDescent="0.25">
      <c r="A5917" t="str">
        <f>HYPERLINK("https://www.773grp.com/globalSearch/MC74LCX08DR2/page-1", "MC74LCX08DR2")</f>
        <v>MC74LCX08DR2</v>
      </c>
      <c r="B5917" s="3" t="str">
        <f>HYPERLINK("https://www.773grp.com/manufacturer/onsemi?pageNo=524", "Onsemi")</f>
        <v>Onsemi</v>
      </c>
      <c r="C5917" s="6">
        <v>15000</v>
      </c>
      <c r="D5917" s="7">
        <v>0.74</v>
      </c>
      <c r="E5917" t="s">
        <v>27</v>
      </c>
    </row>
    <row r="5918" spans="1:5" x14ac:dyDescent="0.25">
      <c r="A5918" t="str">
        <f>HYPERLINK("https://www.773grp.com/globalSearch/MC74LCX08DR2G/page-1", "MC74LCX08DR2G")</f>
        <v>MC74LCX08DR2G</v>
      </c>
      <c r="B5918" s="3" t="str">
        <f>HYPERLINK("https://www.773grp.com/manufacturer/onsemi?pageNo=525", "Onsemi")</f>
        <v>Onsemi</v>
      </c>
      <c r="C5918" s="6">
        <v>37500</v>
      </c>
      <c r="D5918" s="7">
        <v>0.74</v>
      </c>
      <c r="E5918" t="s">
        <v>27</v>
      </c>
    </row>
    <row r="5919" spans="1:5" x14ac:dyDescent="0.25">
      <c r="A5919" t="str">
        <f>HYPERLINK("https://www.773grp.com/globalSearch/MC74LCX08DTG/page-1", "MC74LCX08DTG")</f>
        <v>MC74LCX08DTG</v>
      </c>
      <c r="B5919" s="3" t="str">
        <f>HYPERLINK("https://www.773grp.com/manufacturer/onsemi?pageNo=526", "Onsemi")</f>
        <v>Onsemi</v>
      </c>
      <c r="C5919" s="6">
        <v>36989</v>
      </c>
      <c r="D5919" s="7">
        <v>0.74</v>
      </c>
      <c r="E5919" t="s">
        <v>27</v>
      </c>
    </row>
    <row r="5920" spans="1:5" x14ac:dyDescent="0.25">
      <c r="A5920" t="str">
        <f>HYPERLINK("https://www.773grp.com/globalSearch/MC74LCX08DTR2G/page-1", "MC74LCX08DTR2G")</f>
        <v>MC74LCX08DTR2G</v>
      </c>
      <c r="B5920" s="3" t="str">
        <f>HYPERLINK("https://www.773grp.com/manufacturer/onsemi?pageNo=527", "Onsemi")</f>
        <v>Onsemi</v>
      </c>
      <c r="C5920" s="6">
        <v>122397</v>
      </c>
      <c r="D5920" s="7">
        <v>0.74</v>
      </c>
      <c r="E5920" t="s">
        <v>27</v>
      </c>
    </row>
    <row r="5921" spans="1:5" x14ac:dyDescent="0.25">
      <c r="A5921" t="str">
        <f>HYPERLINK("https://www.773grp.com/globalSearch/MC74LCX125MEL/page-1", "MC74LCX125MEL")</f>
        <v>MC74LCX125MEL</v>
      </c>
      <c r="B5921" s="3" t="str">
        <f>HYPERLINK("https://www.773grp.com/manufacturer/onsemi?pageNo=528", "Onsemi")</f>
        <v>Onsemi</v>
      </c>
      <c r="C5921" s="6">
        <v>8000</v>
      </c>
      <c r="D5921" s="7">
        <v>0.74</v>
      </c>
      <c r="E5921" t="s">
        <v>11</v>
      </c>
    </row>
    <row r="5922" spans="1:5" x14ac:dyDescent="0.25">
      <c r="A5922" t="str">
        <f>HYPERLINK("https://www.773grp.com/globalSearch/MC74LCX14DG/page-1", "MC74LCX14DG")</f>
        <v>MC74LCX14DG</v>
      </c>
      <c r="B5922" s="3" t="str">
        <f>HYPERLINK("https://www.773grp.com/manufacturer/onsemi?pageNo=529", "Onsemi")</f>
        <v>Onsemi</v>
      </c>
      <c r="C5922" s="6">
        <v>18200</v>
      </c>
      <c r="D5922" s="7">
        <v>0.74</v>
      </c>
      <c r="E5922" t="s">
        <v>27</v>
      </c>
    </row>
    <row r="5923" spans="1:5" x14ac:dyDescent="0.25">
      <c r="A5923" t="str">
        <f>HYPERLINK("https://www.773grp.com/globalSearch/MC74LCX14DR2G/page-1", "MC74LCX14DR2G")</f>
        <v>MC74LCX14DR2G</v>
      </c>
      <c r="B5923" s="3" t="str">
        <f>HYPERLINK("https://www.773grp.com/manufacturer/onsemi?pageNo=530", "Onsemi")</f>
        <v>Onsemi</v>
      </c>
      <c r="C5923" s="6">
        <v>11750</v>
      </c>
      <c r="D5923" s="7">
        <v>0.74</v>
      </c>
      <c r="E5923" t="s">
        <v>27</v>
      </c>
    </row>
    <row r="5924" spans="1:5" x14ac:dyDescent="0.25">
      <c r="A5924" t="str">
        <f>HYPERLINK("https://www.773grp.com/globalSearch/MC74LCX14DTG/page-1", "MC74LCX14DTG")</f>
        <v>MC74LCX14DTG</v>
      </c>
      <c r="B5924" s="3" t="str">
        <f>HYPERLINK("https://www.773grp.com/manufacturer/onsemi?pageNo=531", "Onsemi")</f>
        <v>Onsemi</v>
      </c>
      <c r="C5924" s="6">
        <v>2112</v>
      </c>
      <c r="D5924" s="7">
        <v>0.74</v>
      </c>
      <c r="E5924" t="s">
        <v>27</v>
      </c>
    </row>
    <row r="5925" spans="1:5" x14ac:dyDescent="0.25">
      <c r="A5925" t="str">
        <f>HYPERLINK("https://www.773grp.com/globalSearch/MC74LCX14DTR2G/page-1", "MC74LCX14DTR2G")</f>
        <v>MC74LCX14DTR2G</v>
      </c>
      <c r="B5925" s="3" t="str">
        <f>HYPERLINK("https://www.773grp.com/manufacturer/onsemi?pageNo=532", "Onsemi")</f>
        <v>Onsemi</v>
      </c>
      <c r="C5925" s="6">
        <v>12500</v>
      </c>
      <c r="D5925" s="7">
        <v>0.74</v>
      </c>
      <c r="E5925" t="s">
        <v>27</v>
      </c>
    </row>
    <row r="5926" spans="1:5" x14ac:dyDescent="0.25">
      <c r="A5926" t="str">
        <f>HYPERLINK("https://www.773grp.com/globalSearch/MC74LCX157MEL/page-1", "MC74LCX157MEL")</f>
        <v>MC74LCX157MEL</v>
      </c>
      <c r="B5926" s="3" t="str">
        <f>HYPERLINK("https://www.773grp.com/manufacturer/onsemi?pageNo=533", "Onsemi")</f>
        <v>Onsemi</v>
      </c>
      <c r="C5926" s="6">
        <v>10000</v>
      </c>
      <c r="D5926" s="7">
        <v>0.74</v>
      </c>
      <c r="E5926" t="s">
        <v>16</v>
      </c>
    </row>
    <row r="5927" spans="1:5" x14ac:dyDescent="0.25">
      <c r="A5927" t="str">
        <f>HYPERLINK("https://www.773grp.com/globalSearch/MC74LCX32DR2G/page-1", "MC74LCX32DR2G")</f>
        <v>MC74LCX32DR2G</v>
      </c>
      <c r="B5927" s="3" t="str">
        <f>HYPERLINK("https://www.773grp.com/manufacturer/onsemi?pageNo=534", "Onsemi")</f>
        <v>Onsemi</v>
      </c>
      <c r="C5927" s="6">
        <v>67518</v>
      </c>
      <c r="D5927" s="7">
        <v>0.74</v>
      </c>
      <c r="E5927" t="s">
        <v>27</v>
      </c>
    </row>
    <row r="5928" spans="1:5" x14ac:dyDescent="0.25">
      <c r="A5928" t="str">
        <f>HYPERLINK("https://www.773grp.com/globalSearch/MC74LCX32DTG/page-1", "MC74LCX32DTG")</f>
        <v>MC74LCX32DTG</v>
      </c>
      <c r="B5928" s="3" t="str">
        <f>HYPERLINK("https://www.773grp.com/manufacturer/onsemi?pageNo=535", "Onsemi")</f>
        <v>Onsemi</v>
      </c>
      <c r="C5928" s="6">
        <v>24191</v>
      </c>
      <c r="D5928" s="7">
        <v>0.74</v>
      </c>
      <c r="E5928" t="s">
        <v>27</v>
      </c>
    </row>
    <row r="5929" spans="1:5" x14ac:dyDescent="0.25">
      <c r="A5929" t="str">
        <f>HYPERLINK("https://www.773grp.com/globalSearch/MC74LCX32DTR2G/page-1", "MC74LCX32DTR2G")</f>
        <v>MC74LCX32DTR2G</v>
      </c>
      <c r="B5929" s="3" t="str">
        <f>HYPERLINK("https://www.773grp.com/manufacturer/onsemi?pageNo=536", "Onsemi")</f>
        <v>Onsemi</v>
      </c>
      <c r="C5929" s="6">
        <v>65000</v>
      </c>
      <c r="D5929" s="7">
        <v>0.74</v>
      </c>
      <c r="E5929" t="s">
        <v>27</v>
      </c>
    </row>
    <row r="5930" spans="1:5" x14ac:dyDescent="0.25">
      <c r="A5930" t="str">
        <f>HYPERLINK("https://www.773grp.com/globalSearch/MC74LCX74DG/page-1", "MC74LCX74DG")</f>
        <v>MC74LCX74DG</v>
      </c>
      <c r="B5930" s="3" t="str">
        <f>HYPERLINK("https://www.773grp.com/manufacturer/onsemi?pageNo=537", "Onsemi")</f>
        <v>Onsemi</v>
      </c>
      <c r="C5930" s="6">
        <v>8292</v>
      </c>
      <c r="D5930" s="7">
        <v>0.74</v>
      </c>
      <c r="E5930" t="s">
        <v>31</v>
      </c>
    </row>
    <row r="5931" spans="1:5" x14ac:dyDescent="0.25">
      <c r="A5931" t="str">
        <f>HYPERLINK("https://www.773grp.com/globalSearch/MC74LCX74DR2G/page-1", "MC74LCX74DR2G")</f>
        <v>MC74LCX74DR2G</v>
      </c>
      <c r="B5931" s="3" t="str">
        <f>HYPERLINK("https://www.773grp.com/manufacturer/onsemi?pageNo=538", "Onsemi")</f>
        <v>Onsemi</v>
      </c>
      <c r="C5931" s="6">
        <v>21113</v>
      </c>
      <c r="D5931" s="7">
        <v>0.74</v>
      </c>
      <c r="E5931" t="s">
        <v>31</v>
      </c>
    </row>
    <row r="5932" spans="1:5" x14ac:dyDescent="0.25">
      <c r="A5932" t="str">
        <f>HYPERLINK("https://www.773grp.com/globalSearch/MC74LCX74DTG/page-1", "MC74LCX74DTG")</f>
        <v>MC74LCX74DTG</v>
      </c>
      <c r="B5932" s="3" t="str">
        <f>HYPERLINK("https://www.773grp.com/manufacturer/onsemi?pageNo=539", "Onsemi")</f>
        <v>Onsemi</v>
      </c>
      <c r="C5932" s="6">
        <v>15932</v>
      </c>
      <c r="D5932" s="7">
        <v>0.74</v>
      </c>
      <c r="E5932" t="s">
        <v>31</v>
      </c>
    </row>
    <row r="5933" spans="1:5" x14ac:dyDescent="0.25">
      <c r="A5933" t="str">
        <f>HYPERLINK("https://www.773grp.com/globalSearch/MC74LCX74DTR2G/page-1", "MC74LCX74DTR2G")</f>
        <v>MC74LCX74DTR2G</v>
      </c>
      <c r="B5933" s="3" t="str">
        <f>HYPERLINK("https://www.773grp.com/manufacturer/onsemi?pageNo=540", "Onsemi")</f>
        <v>Onsemi</v>
      </c>
      <c r="C5933" s="6">
        <v>244890</v>
      </c>
      <c r="D5933" s="7">
        <v>0.74</v>
      </c>
      <c r="E5933" t="s">
        <v>31</v>
      </c>
    </row>
    <row r="5934" spans="1:5" x14ac:dyDescent="0.25">
      <c r="A5934" t="str">
        <f>HYPERLINK("https://www.773grp.com/globalSearch/MC74LCX74DTR2H/page-1", "MC74LCX74DTR2H")</f>
        <v>MC74LCX74DTR2H</v>
      </c>
      <c r="B5934" s="3" t="str">
        <f>HYPERLINK("https://www.773grp.com/manufacturer/onsemi?pageNo=541", "Onsemi")</f>
        <v>Onsemi</v>
      </c>
      <c r="C5934" s="6">
        <v>22300</v>
      </c>
      <c r="D5934" s="7">
        <v>0.74</v>
      </c>
    </row>
    <row r="5935" spans="1:5" x14ac:dyDescent="0.25">
      <c r="A5935" t="str">
        <f>HYPERLINK("https://www.773grp.com/globalSearch/MC74LCX86DR2G/page-1", "MC74LCX86DR2G")</f>
        <v>MC74LCX86DR2G</v>
      </c>
      <c r="B5935" s="3" t="str">
        <f>HYPERLINK("https://www.773grp.com/manufacturer/onsemi?pageNo=542", "Onsemi")</f>
        <v>Onsemi</v>
      </c>
      <c r="C5935" s="6">
        <v>23580</v>
      </c>
      <c r="D5935" s="7">
        <v>0.74</v>
      </c>
      <c r="E5935" t="s">
        <v>27</v>
      </c>
    </row>
    <row r="5936" spans="1:5" x14ac:dyDescent="0.25">
      <c r="A5936" t="str">
        <f>HYPERLINK("https://www.773grp.com/globalSearch/MC74LCX86DTR2G/page-1", "MC74LCX86DTR2G")</f>
        <v>MC74LCX86DTR2G</v>
      </c>
      <c r="B5936" s="3" t="str">
        <f>HYPERLINK("https://www.773grp.com/manufacturer/onsemi?pageNo=543", "Onsemi")</f>
        <v>Onsemi</v>
      </c>
      <c r="C5936" s="6">
        <v>4775</v>
      </c>
      <c r="D5936" s="7">
        <v>0.74</v>
      </c>
      <c r="E5936" t="s">
        <v>27</v>
      </c>
    </row>
    <row r="5937" spans="1:5" x14ac:dyDescent="0.25">
      <c r="A5937" t="str">
        <f>HYPERLINK("https://www.773grp.com/globalSearch/MC74LCXU04DTR2G/page-1", "MC74LCXU04DTR2G")</f>
        <v>MC74LCXU04DTR2G</v>
      </c>
      <c r="B5937" s="3" t="str">
        <f>HYPERLINK("https://www.773grp.com/manufacturer/onsemi?pageNo=544", "Onsemi")</f>
        <v>Onsemi</v>
      </c>
      <c r="C5937" s="6">
        <v>17475</v>
      </c>
      <c r="D5937" s="7">
        <v>0.74</v>
      </c>
      <c r="E5937" t="s">
        <v>27</v>
      </c>
    </row>
    <row r="5938" spans="1:5" x14ac:dyDescent="0.25">
      <c r="A5938" t="str">
        <f>HYPERLINK("https://www.773grp.com/globalSearch/MC74LVX138DR2G/page-1", "MC74LVX138DR2G")</f>
        <v>MC74LVX138DR2G</v>
      </c>
      <c r="B5938" s="3" t="str">
        <f>HYPERLINK("https://www.773grp.com/manufacturer/onsemi?pageNo=545", "Onsemi")</f>
        <v>Onsemi</v>
      </c>
      <c r="C5938" s="6">
        <v>14112</v>
      </c>
      <c r="D5938" s="7">
        <v>0.74</v>
      </c>
      <c r="E5938" t="s">
        <v>32</v>
      </c>
    </row>
    <row r="5939" spans="1:5" x14ac:dyDescent="0.25">
      <c r="A5939" t="str">
        <f>HYPERLINK("https://www.773grp.com/globalSearch/MC74LVX138DTR2G/page-1", "MC74LVX138DTR2G")</f>
        <v>MC74LVX138DTR2G</v>
      </c>
      <c r="B5939" s="3" t="str">
        <f>HYPERLINK("https://www.773grp.com/manufacturer/onsemi?pageNo=546", "Onsemi")</f>
        <v>Onsemi</v>
      </c>
      <c r="C5939" s="6">
        <v>10901</v>
      </c>
      <c r="D5939" s="7">
        <v>0.74</v>
      </c>
      <c r="E5939" t="s">
        <v>32</v>
      </c>
    </row>
    <row r="5940" spans="1:5" x14ac:dyDescent="0.25">
      <c r="A5940" t="str">
        <f>HYPERLINK("https://www.773grp.com/globalSearch/MC74LVX139DR2G/page-1", "MC74LVX139DR2G")</f>
        <v>MC74LVX139DR2G</v>
      </c>
      <c r="B5940" s="3" t="str">
        <f>HYPERLINK("https://www.773grp.com/manufacturer/onsemi?pageNo=547", "Onsemi")</f>
        <v>Onsemi</v>
      </c>
      <c r="C5940" s="6">
        <v>90825</v>
      </c>
      <c r="D5940" s="7">
        <v>0.74</v>
      </c>
      <c r="E5940" t="s">
        <v>32</v>
      </c>
    </row>
    <row r="5941" spans="1:5" x14ac:dyDescent="0.25">
      <c r="A5941" t="str">
        <f>HYPERLINK("https://www.773grp.com/globalSearch/MC74LVX139DTR2G/page-1", "MC74LVX139DTR2G")</f>
        <v>MC74LVX139DTR2G</v>
      </c>
      <c r="B5941" s="3" t="str">
        <f>HYPERLINK("https://www.773grp.com/manufacturer/onsemi?pageNo=548", "Onsemi")</f>
        <v>Onsemi</v>
      </c>
      <c r="C5941" s="6">
        <v>62900</v>
      </c>
      <c r="D5941" s="7">
        <v>0.74</v>
      </c>
      <c r="E5941" t="s">
        <v>32</v>
      </c>
    </row>
    <row r="5942" spans="1:5" x14ac:dyDescent="0.25">
      <c r="A5942" t="str">
        <f>HYPERLINK("https://www.773grp.com/globalSearch/MC74LVX157DR2G/page-1", "MC74LVX157DR2G")</f>
        <v>MC74LVX157DR2G</v>
      </c>
      <c r="B5942" s="3" t="str">
        <f>HYPERLINK("https://www.773grp.com/manufacturer/onsemi?pageNo=549", "Onsemi")</f>
        <v>Onsemi</v>
      </c>
      <c r="C5942" s="6">
        <v>10000</v>
      </c>
      <c r="D5942" s="7">
        <v>0.74</v>
      </c>
      <c r="E5942" t="s">
        <v>16</v>
      </c>
    </row>
    <row r="5943" spans="1:5" x14ac:dyDescent="0.25">
      <c r="A5943" t="str">
        <f>HYPERLINK("https://www.773grp.com/globalSearch/MC74LVX157DTR2G/page-1", "MC74LVX157DTR2G")</f>
        <v>MC74LVX157DTR2G</v>
      </c>
      <c r="B5943" s="3" t="str">
        <f>HYPERLINK("https://www.773grp.com/manufacturer/onsemi?pageNo=550", "Onsemi")</f>
        <v>Onsemi</v>
      </c>
      <c r="C5943" s="6">
        <v>1850</v>
      </c>
      <c r="D5943" s="7">
        <v>0.74</v>
      </c>
      <c r="E5943" t="s">
        <v>16</v>
      </c>
    </row>
    <row r="5944" spans="1:5" x14ac:dyDescent="0.25">
      <c r="A5944" t="str">
        <f>HYPERLINK("https://www.773grp.com/globalSearch/MC74LVX240DW/page-1", "MC74LVX240DW")</f>
        <v>MC74LVX240DW</v>
      </c>
      <c r="B5944" s="3" t="str">
        <f>HYPERLINK("https://www.773grp.com/manufacturer/onsemi?pageNo=551", "Onsemi")</f>
        <v>Onsemi</v>
      </c>
      <c r="C5944" s="6">
        <v>2014</v>
      </c>
      <c r="D5944" s="7">
        <v>0.74</v>
      </c>
      <c r="E5944" t="s">
        <v>11</v>
      </c>
    </row>
    <row r="5945" spans="1:5" x14ac:dyDescent="0.25">
      <c r="A5945" t="str">
        <f>HYPERLINK("https://www.773grp.com/globalSearch/MC74LVX257DG/page-1", "MC74LVX257DG")</f>
        <v>MC74LVX257DG</v>
      </c>
      <c r="B5945" s="3" t="str">
        <f>HYPERLINK("https://www.773grp.com/manufacturer/onsemi?pageNo=552", "Onsemi")</f>
        <v>Onsemi</v>
      </c>
      <c r="C5945" s="6">
        <v>24124</v>
      </c>
      <c r="D5945" s="7">
        <v>0.74</v>
      </c>
      <c r="E5945" t="s">
        <v>16</v>
      </c>
    </row>
    <row r="5946" spans="1:5" x14ac:dyDescent="0.25">
      <c r="A5946" t="str">
        <f>HYPERLINK("https://www.773grp.com/globalSearch/MC74LVX257DR2G/page-1", "MC74LVX257DR2G")</f>
        <v>MC74LVX257DR2G</v>
      </c>
      <c r="B5946" s="3" t="str">
        <f>HYPERLINK("https://www.773grp.com/manufacturer/onsemi?pageNo=553", "Onsemi")</f>
        <v>Onsemi</v>
      </c>
      <c r="C5946" s="6">
        <v>32500</v>
      </c>
      <c r="D5946" s="7">
        <v>0.74</v>
      </c>
      <c r="E5946" t="s">
        <v>16</v>
      </c>
    </row>
    <row r="5947" spans="1:5" x14ac:dyDescent="0.25">
      <c r="A5947" t="str">
        <f>HYPERLINK("https://www.773grp.com/globalSearch/MC74LVX257DTG/page-1", "MC74LVX257DTG")</f>
        <v>MC74LVX257DTG</v>
      </c>
      <c r="B5947" s="3" t="str">
        <f>HYPERLINK("https://www.773grp.com/manufacturer/onsemi?pageNo=554", "Onsemi")</f>
        <v>Onsemi</v>
      </c>
      <c r="C5947" s="6">
        <v>61906</v>
      </c>
      <c r="D5947" s="7">
        <v>0.74</v>
      </c>
      <c r="E5947" t="s">
        <v>16</v>
      </c>
    </row>
    <row r="5948" spans="1:5" x14ac:dyDescent="0.25">
      <c r="A5948" t="str">
        <f>HYPERLINK("https://www.773grp.com/globalSearch/MC74LVX257DTR2G/page-1", "MC74LVX257DTR2G")</f>
        <v>MC74LVX257DTR2G</v>
      </c>
      <c r="B5948" s="3" t="str">
        <f>HYPERLINK("https://www.773grp.com/manufacturer/onsemi?pageNo=555", "Onsemi")</f>
        <v>Onsemi</v>
      </c>
      <c r="C5948" s="6">
        <v>40000</v>
      </c>
      <c r="D5948" s="7">
        <v>0.74</v>
      </c>
      <c r="E5948" t="s">
        <v>16</v>
      </c>
    </row>
    <row r="5949" spans="1:5" x14ac:dyDescent="0.25">
      <c r="A5949" t="str">
        <f>HYPERLINK("https://www.773grp.com/globalSearch/MC74LVX259DG/page-1", "MC74LVX259DG")</f>
        <v>MC74LVX259DG</v>
      </c>
      <c r="B5949" s="3" t="str">
        <f>HYPERLINK("https://www.773grp.com/manufacturer/onsemi?pageNo=556", "Onsemi")</f>
        <v>Onsemi</v>
      </c>
      <c r="C5949" s="6">
        <v>24784</v>
      </c>
      <c r="D5949" s="7">
        <v>0.74</v>
      </c>
      <c r="E5949" t="s">
        <v>32</v>
      </c>
    </row>
    <row r="5950" spans="1:5" x14ac:dyDescent="0.25">
      <c r="A5950" t="str">
        <f>HYPERLINK("https://www.773grp.com/globalSearch/MC74LVX259DR2G/page-1", "MC74LVX259DR2G")</f>
        <v>MC74LVX259DR2G</v>
      </c>
      <c r="B5950" s="3" t="str">
        <f>HYPERLINK("https://www.773grp.com/manufacturer/onsemi?pageNo=557", "Onsemi")</f>
        <v>Onsemi</v>
      </c>
      <c r="C5950" s="6">
        <v>65000</v>
      </c>
      <c r="D5950" s="7">
        <v>0.74</v>
      </c>
      <c r="E5950" t="s">
        <v>32</v>
      </c>
    </row>
    <row r="5951" spans="1:5" x14ac:dyDescent="0.25">
      <c r="A5951" t="str">
        <f>HYPERLINK("https://www.773grp.com/globalSearch/MC74LVX259DTG/page-1", "MC74LVX259DTG")</f>
        <v>MC74LVX259DTG</v>
      </c>
      <c r="B5951" s="3" t="str">
        <f>HYPERLINK("https://www.773grp.com/manufacturer/onsemi?pageNo=558", "Onsemi")</f>
        <v>Onsemi</v>
      </c>
      <c r="C5951" s="6">
        <v>18048</v>
      </c>
      <c r="D5951" s="7">
        <v>0.74</v>
      </c>
      <c r="E5951" t="s">
        <v>32</v>
      </c>
    </row>
    <row r="5952" spans="1:5" x14ac:dyDescent="0.25">
      <c r="A5952" t="str">
        <f>HYPERLINK("https://www.773grp.com/globalSearch/MC74LVX259DTR2G/page-1", "MC74LVX259DTR2G")</f>
        <v>MC74LVX259DTR2G</v>
      </c>
      <c r="B5952" s="3" t="str">
        <f>HYPERLINK("https://www.773grp.com/manufacturer/onsemi?pageNo=559", "Onsemi")</f>
        <v>Onsemi</v>
      </c>
      <c r="C5952" s="6">
        <v>9750</v>
      </c>
      <c r="D5952" s="7">
        <v>0.74</v>
      </c>
      <c r="E5952" t="s">
        <v>32</v>
      </c>
    </row>
    <row r="5953" spans="1:5" x14ac:dyDescent="0.25">
      <c r="A5953" t="str">
        <f>HYPERLINK("https://www.773grp.com/globalSearch/MC74LVX373DW/page-1", "MC74LVX373DW")</f>
        <v>MC74LVX373DW</v>
      </c>
      <c r="B5953" s="3" t="str">
        <f>HYPERLINK("https://www.773grp.com/manufacturer/onsemi?pageNo=560", "Onsemi")</f>
        <v>Onsemi</v>
      </c>
      <c r="C5953" s="6">
        <v>11324</v>
      </c>
      <c r="D5953" s="7">
        <v>0.74</v>
      </c>
      <c r="E5953" t="s">
        <v>11</v>
      </c>
    </row>
    <row r="5954" spans="1:5" x14ac:dyDescent="0.25">
      <c r="A5954" t="str">
        <f>HYPERLINK("https://www.773grp.com/globalSearch/MC74LVX374DT/page-1", "MC74LVX374DT")</f>
        <v>MC74LVX374DT</v>
      </c>
      <c r="B5954" s="3" t="str">
        <f>HYPERLINK("https://www.773grp.com/manufacturer/onsemi?pageNo=561", "Onsemi")</f>
        <v>Onsemi</v>
      </c>
      <c r="C5954" s="6">
        <v>12093</v>
      </c>
      <c r="D5954" s="7">
        <v>0.74</v>
      </c>
      <c r="E5954" t="s">
        <v>11</v>
      </c>
    </row>
    <row r="5955" spans="1:5" x14ac:dyDescent="0.25">
      <c r="A5955" t="str">
        <f>HYPERLINK("https://www.773grp.com/globalSearch/MC74LVX573DW/page-1", "MC74LVX573DW")</f>
        <v>MC74LVX573DW</v>
      </c>
      <c r="B5955" s="3" t="str">
        <f>HYPERLINK("https://www.773grp.com/manufacturer/onsemi?pageNo=562", "Onsemi")</f>
        <v>Onsemi</v>
      </c>
      <c r="C5955" s="6">
        <v>5298</v>
      </c>
      <c r="D5955" s="7">
        <v>0.74</v>
      </c>
      <c r="E5955" t="s">
        <v>11</v>
      </c>
    </row>
    <row r="5956" spans="1:5" x14ac:dyDescent="0.25">
      <c r="A5956" t="str">
        <f>HYPERLINK("https://www.773grp.com/globalSearch/MC74VHC138DG/page-1", "MC74VHC138DG")</f>
        <v>MC74VHC138DG</v>
      </c>
      <c r="B5956" s="3" t="str">
        <f>HYPERLINK("https://www.773grp.com/manufacturer/onsemi?pageNo=563", "Onsemi")</f>
        <v>Onsemi</v>
      </c>
      <c r="C5956" s="6">
        <v>13486</v>
      </c>
      <c r="D5956" s="7">
        <v>0.74</v>
      </c>
      <c r="E5956" t="s">
        <v>32</v>
      </c>
    </row>
    <row r="5957" spans="1:5" x14ac:dyDescent="0.25">
      <c r="A5957" t="str">
        <f>HYPERLINK("https://www.773grp.com/globalSearch/MC74VHC138DR2G/page-1", "MC74VHC138DR2G")</f>
        <v>MC74VHC138DR2G</v>
      </c>
      <c r="B5957" s="3" t="str">
        <f>HYPERLINK("https://www.773grp.com/manufacturer/onsemi?pageNo=564", "Onsemi")</f>
        <v>Onsemi</v>
      </c>
      <c r="C5957" s="6">
        <v>23831</v>
      </c>
      <c r="D5957" s="7">
        <v>0.74</v>
      </c>
      <c r="E5957" t="s">
        <v>32</v>
      </c>
    </row>
    <row r="5958" spans="1:5" x14ac:dyDescent="0.25">
      <c r="A5958" t="str">
        <f>HYPERLINK("https://www.773grp.com/globalSearch/MC74VHC138DTR2G/page-1", "MC74VHC138DTR2G")</f>
        <v>MC74VHC138DTR2G</v>
      </c>
      <c r="B5958" s="3" t="str">
        <f>HYPERLINK("https://www.773grp.com/manufacturer/onsemi?pageNo=565", "Onsemi")</f>
        <v>Onsemi</v>
      </c>
      <c r="C5958" s="6">
        <v>9665</v>
      </c>
      <c r="D5958" s="7">
        <v>0.74</v>
      </c>
      <c r="E5958" t="s">
        <v>32</v>
      </c>
    </row>
    <row r="5959" spans="1:5" x14ac:dyDescent="0.25">
      <c r="A5959" t="str">
        <f>HYPERLINK("https://www.773grp.com/globalSearch/MC74VHC139DR2G/page-1", "MC74VHC139DR2G")</f>
        <v>MC74VHC139DR2G</v>
      </c>
      <c r="B5959" s="3" t="str">
        <f>HYPERLINK("https://www.773grp.com/manufacturer/onsemi?pageNo=566", "Onsemi")</f>
        <v>Onsemi</v>
      </c>
      <c r="C5959" s="6">
        <v>75389</v>
      </c>
      <c r="D5959" s="7">
        <v>0.74</v>
      </c>
      <c r="E5959" t="s">
        <v>32</v>
      </c>
    </row>
    <row r="5960" spans="1:5" x14ac:dyDescent="0.25">
      <c r="A5960" t="str">
        <f>HYPERLINK("https://www.773grp.com/globalSearch/MC74VHC139DTR2G/page-1", "MC74VHC139DTR2G")</f>
        <v>MC74VHC139DTR2G</v>
      </c>
      <c r="B5960" s="3" t="str">
        <f>HYPERLINK("https://www.773grp.com/manufacturer/onsemi?pageNo=567", "Onsemi")</f>
        <v>Onsemi</v>
      </c>
      <c r="C5960" s="6">
        <v>89632</v>
      </c>
      <c r="D5960" s="7">
        <v>0.74</v>
      </c>
      <c r="E5960" t="s">
        <v>32</v>
      </c>
    </row>
    <row r="5961" spans="1:5" x14ac:dyDescent="0.25">
      <c r="A5961" t="str">
        <f>HYPERLINK("https://www.773grp.com/globalSearch/MC74VHC240DW/page-1", "MC74VHC240DW")</f>
        <v>MC74VHC240DW</v>
      </c>
      <c r="B5961" s="3" t="str">
        <f>HYPERLINK("https://www.773grp.com/manufacturer/onsemi?pageNo=568", "Onsemi")</f>
        <v>Onsemi</v>
      </c>
      <c r="C5961" s="6">
        <v>7904</v>
      </c>
      <c r="D5961" s="7">
        <v>0.74</v>
      </c>
      <c r="E5961" t="s">
        <v>11</v>
      </c>
    </row>
    <row r="5962" spans="1:5" x14ac:dyDescent="0.25">
      <c r="A5962" t="str">
        <f>HYPERLINK("https://www.773grp.com/globalSearch/MC74VHC240M/page-1", "MC74VHC240M")</f>
        <v>MC74VHC240M</v>
      </c>
      <c r="B5962" s="3" t="str">
        <f>HYPERLINK("https://www.773grp.com/manufacturer/onsemi?pageNo=569", "Onsemi")</f>
        <v>Onsemi</v>
      </c>
      <c r="C5962" s="6">
        <v>640</v>
      </c>
      <c r="D5962" s="7">
        <v>0.74</v>
      </c>
      <c r="E5962" t="s">
        <v>11</v>
      </c>
    </row>
    <row r="5963" spans="1:5" x14ac:dyDescent="0.25">
      <c r="A5963" t="str">
        <f>HYPERLINK("https://www.773grp.com/globalSearch/MC74VHC240MEL/page-1", "MC74VHC240MEL")</f>
        <v>MC74VHC240MEL</v>
      </c>
      <c r="B5963" s="3" t="str">
        <f>HYPERLINK("https://www.773grp.com/manufacturer/onsemi?pageNo=570", "Onsemi")</f>
        <v>Onsemi</v>
      </c>
      <c r="C5963" s="6">
        <v>4000</v>
      </c>
      <c r="D5963" s="7">
        <v>0.74</v>
      </c>
      <c r="E5963" t="s">
        <v>11</v>
      </c>
    </row>
    <row r="5964" spans="1:5" x14ac:dyDescent="0.25">
      <c r="A5964" t="str">
        <f>HYPERLINK("https://www.773grp.com/globalSearch/MC74VHC244M/page-1", "MC74VHC244M")</f>
        <v>MC74VHC244M</v>
      </c>
      <c r="B5964" s="3" t="str">
        <f>HYPERLINK("https://www.773grp.com/manufacturer/onsemi?pageNo=571", "Onsemi")</f>
        <v>Onsemi</v>
      </c>
      <c r="C5964" s="6">
        <v>1527</v>
      </c>
      <c r="D5964" s="7">
        <v>0.74</v>
      </c>
      <c r="E5964" t="s">
        <v>11</v>
      </c>
    </row>
    <row r="5965" spans="1:5" x14ac:dyDescent="0.25">
      <c r="A5965" t="str">
        <f>HYPERLINK("https://www.773grp.com/globalSearch/MC74VHC245M/page-1", "MC74VHC245M")</f>
        <v>MC74VHC245M</v>
      </c>
      <c r="B5965" s="3" t="str">
        <f>HYPERLINK("https://www.773grp.com/manufacturer/onsemi?pageNo=572", "Onsemi")</f>
        <v>Onsemi</v>
      </c>
      <c r="C5965" s="6">
        <v>16240</v>
      </c>
      <c r="D5965" s="7">
        <v>0.74</v>
      </c>
      <c r="E5965" t="s">
        <v>11</v>
      </c>
    </row>
    <row r="5966" spans="1:5" x14ac:dyDescent="0.25">
      <c r="A5966" t="str">
        <f>HYPERLINK("https://www.773grp.com/globalSearch/MC74VHC245MEL/page-1", "MC74VHC245MEL")</f>
        <v>MC74VHC245MEL</v>
      </c>
      <c r="B5966" s="3" t="str">
        <f>HYPERLINK("https://www.773grp.com/manufacturer/onsemi?pageNo=573", "Onsemi")</f>
        <v>Onsemi</v>
      </c>
      <c r="C5966" s="6">
        <v>10000</v>
      </c>
      <c r="D5966" s="7">
        <v>0.74</v>
      </c>
      <c r="E5966" t="s">
        <v>11</v>
      </c>
    </row>
    <row r="5967" spans="1:5" x14ac:dyDescent="0.25">
      <c r="A5967" t="str">
        <f>HYPERLINK("https://www.773grp.com/globalSearch/MC74VHC257DG/page-1", "MC74VHC257DG")</f>
        <v>MC74VHC257DG</v>
      </c>
      <c r="B5967" s="3" t="str">
        <f>HYPERLINK("https://www.773grp.com/manufacturer/onsemi?pageNo=574", "Onsemi")</f>
        <v>Onsemi</v>
      </c>
      <c r="C5967" s="6">
        <v>25780</v>
      </c>
      <c r="D5967" s="7">
        <v>0.74</v>
      </c>
      <c r="E5967" t="s">
        <v>16</v>
      </c>
    </row>
    <row r="5968" spans="1:5" x14ac:dyDescent="0.25">
      <c r="A5968" t="str">
        <f>HYPERLINK("https://www.773grp.com/globalSearch/MC74VHC257DR2G/page-1", "MC74VHC257DR2G")</f>
        <v>MC74VHC257DR2G</v>
      </c>
      <c r="B5968" s="3" t="str">
        <f>HYPERLINK("https://www.773grp.com/manufacturer/onsemi?pageNo=575", "Onsemi")</f>
        <v>Onsemi</v>
      </c>
      <c r="C5968" s="6">
        <v>5000</v>
      </c>
      <c r="D5968" s="7">
        <v>0.74</v>
      </c>
      <c r="E5968" t="s">
        <v>16</v>
      </c>
    </row>
    <row r="5969" spans="1:5" x14ac:dyDescent="0.25">
      <c r="A5969" t="str">
        <f>HYPERLINK("https://www.773grp.com/globalSearch/MC74VHC257DTG/page-1", "MC74VHC257DTG")</f>
        <v>MC74VHC257DTG</v>
      </c>
      <c r="B5969" s="3" t="str">
        <f>HYPERLINK("https://www.773grp.com/manufacturer/onsemi?pageNo=576", "Onsemi")</f>
        <v>Onsemi</v>
      </c>
      <c r="C5969" s="6">
        <v>9234</v>
      </c>
      <c r="D5969" s="7">
        <v>0.74</v>
      </c>
      <c r="E5969" t="s">
        <v>16</v>
      </c>
    </row>
    <row r="5970" spans="1:5" x14ac:dyDescent="0.25">
      <c r="A5970" t="str">
        <f>HYPERLINK("https://www.773grp.com/globalSearch/MC74VHC257DTR2G/page-1", "MC74VHC257DTR2G")</f>
        <v>MC74VHC257DTR2G</v>
      </c>
      <c r="B5970" s="3" t="str">
        <f>HYPERLINK("https://www.773grp.com/manufacturer/onsemi?pageNo=577", "Onsemi")</f>
        <v>Onsemi</v>
      </c>
      <c r="C5970" s="6">
        <v>2500</v>
      </c>
      <c r="D5970" s="7">
        <v>0.74</v>
      </c>
    </row>
    <row r="5971" spans="1:5" x14ac:dyDescent="0.25">
      <c r="A5971" t="str">
        <f>HYPERLINK("https://www.773grp.com/globalSearch/MC74VHC259DG/page-1", "MC74VHC259DG")</f>
        <v>MC74VHC259DG</v>
      </c>
      <c r="B5971" s="3" t="str">
        <f>HYPERLINK("https://www.773grp.com/manufacturer/onsemi?pageNo=578", "Onsemi")</f>
        <v>Onsemi</v>
      </c>
      <c r="C5971" s="6">
        <v>5088</v>
      </c>
      <c r="D5971" s="7">
        <v>0.74</v>
      </c>
      <c r="E5971" t="s">
        <v>32</v>
      </c>
    </row>
    <row r="5972" spans="1:5" x14ac:dyDescent="0.25">
      <c r="A5972" t="str">
        <f>HYPERLINK("https://www.773grp.com/globalSearch/MC74VHC259DR2G/page-1", "MC74VHC259DR2G")</f>
        <v>MC74VHC259DR2G</v>
      </c>
      <c r="B5972" s="3" t="str">
        <f>HYPERLINK("https://www.773grp.com/manufacturer/onsemi?pageNo=579", "Onsemi")</f>
        <v>Onsemi</v>
      </c>
      <c r="C5972" s="6">
        <v>14890</v>
      </c>
      <c r="D5972" s="7">
        <v>0.74</v>
      </c>
      <c r="E5972" t="s">
        <v>32</v>
      </c>
    </row>
    <row r="5973" spans="1:5" x14ac:dyDescent="0.25">
      <c r="A5973" t="str">
        <f>HYPERLINK("https://www.773grp.com/globalSearch/MC74VHC259DTG/page-1", "MC74VHC259DTG")</f>
        <v>MC74VHC259DTG</v>
      </c>
      <c r="B5973" s="3" t="str">
        <f>HYPERLINK("https://www.773grp.com/manufacturer/onsemi?pageNo=580", "Onsemi")</f>
        <v>Onsemi</v>
      </c>
      <c r="C5973" s="6">
        <v>52280</v>
      </c>
      <c r="D5973" s="7">
        <v>0.74</v>
      </c>
      <c r="E5973" t="s">
        <v>32</v>
      </c>
    </row>
    <row r="5974" spans="1:5" x14ac:dyDescent="0.25">
      <c r="A5974" t="str">
        <f>HYPERLINK("https://www.773grp.com/globalSearch/MC74VHC259DTR2G/page-1", "MC74VHC259DTR2G")</f>
        <v>MC74VHC259DTR2G</v>
      </c>
      <c r="B5974" s="3" t="str">
        <f>HYPERLINK("https://www.773grp.com/manufacturer/onsemi?pageNo=581", "Onsemi")</f>
        <v>Onsemi</v>
      </c>
      <c r="C5974" s="6">
        <v>9176</v>
      </c>
      <c r="D5974" s="7">
        <v>0.74</v>
      </c>
      <c r="E5974" t="s">
        <v>32</v>
      </c>
    </row>
    <row r="5975" spans="1:5" x14ac:dyDescent="0.25">
      <c r="A5975" t="str">
        <f>HYPERLINK("https://www.773grp.com/globalSearch/MC74VHC373DW/page-1", "MC74VHC373DW")</f>
        <v>MC74VHC373DW</v>
      </c>
      <c r="B5975" s="3" t="str">
        <f>HYPERLINK("https://www.773grp.com/manufacturer/onsemi?pageNo=582", "Onsemi")</f>
        <v>Onsemi</v>
      </c>
      <c r="C5975" s="6">
        <v>570</v>
      </c>
      <c r="D5975" s="7">
        <v>0.74</v>
      </c>
      <c r="E5975" t="s">
        <v>11</v>
      </c>
    </row>
    <row r="5976" spans="1:5" x14ac:dyDescent="0.25">
      <c r="A5976" t="str">
        <f>HYPERLINK("https://www.773grp.com/globalSearch/MC74VHC373M/page-1", "MC74VHC373M")</f>
        <v>MC74VHC373M</v>
      </c>
      <c r="B5976" s="3" t="str">
        <f>HYPERLINK("https://www.773grp.com/manufacturer/onsemi?pageNo=583", "Onsemi")</f>
        <v>Onsemi</v>
      </c>
      <c r="C5976" s="6">
        <v>9040</v>
      </c>
      <c r="D5976" s="7">
        <v>0.74</v>
      </c>
      <c r="E5976" t="s">
        <v>11</v>
      </c>
    </row>
    <row r="5977" spans="1:5" x14ac:dyDescent="0.25">
      <c r="A5977" t="str">
        <f>HYPERLINK("https://www.773grp.com/globalSearch/MC74VHC374M/page-1", "MC74VHC374M")</f>
        <v>MC74VHC374M</v>
      </c>
      <c r="B5977" s="3" t="str">
        <f>HYPERLINK("https://www.773grp.com/manufacturer/onsemi?pageNo=584", "Onsemi")</f>
        <v>Onsemi</v>
      </c>
      <c r="C5977" s="6">
        <v>11860</v>
      </c>
      <c r="D5977" s="7">
        <v>0.74</v>
      </c>
      <c r="E5977" t="s">
        <v>11</v>
      </c>
    </row>
    <row r="5978" spans="1:5" x14ac:dyDescent="0.25">
      <c r="A5978" t="str">
        <f>HYPERLINK("https://www.773grp.com/globalSearch/MC74VHC374MEL/page-1", "MC74VHC374MEL")</f>
        <v>MC74VHC374MEL</v>
      </c>
      <c r="B5978" s="3" t="str">
        <f>HYPERLINK("https://www.773grp.com/manufacturer/onsemi?pageNo=585", "Onsemi")</f>
        <v>Onsemi</v>
      </c>
      <c r="C5978" s="6">
        <v>2000</v>
      </c>
      <c r="D5978" s="7">
        <v>0.74</v>
      </c>
      <c r="E5978" t="s">
        <v>11</v>
      </c>
    </row>
    <row r="5979" spans="1:5" x14ac:dyDescent="0.25">
      <c r="A5979" t="str">
        <f>HYPERLINK("https://www.773grp.com/globalSearch/MC74VHC540MEL/page-1", "MC74VHC540MEL")</f>
        <v>MC74VHC540MEL</v>
      </c>
      <c r="B5979" s="3" t="str">
        <f>HYPERLINK("https://www.773grp.com/manufacturer/onsemi?pageNo=586", "Onsemi")</f>
        <v>Onsemi</v>
      </c>
      <c r="C5979" s="6">
        <v>2000</v>
      </c>
      <c r="D5979" s="7">
        <v>0.74</v>
      </c>
      <c r="E5979" t="s">
        <v>11</v>
      </c>
    </row>
    <row r="5980" spans="1:5" x14ac:dyDescent="0.25">
      <c r="A5980" t="str">
        <f>HYPERLINK("https://www.773grp.com/globalSearch/MC74VHC573M/page-1", "MC74VHC573M")</f>
        <v>MC74VHC573M</v>
      </c>
      <c r="B5980" s="3" t="str">
        <f>HYPERLINK("https://www.773grp.com/manufacturer/onsemi?pageNo=587", "Onsemi")</f>
        <v>Onsemi</v>
      </c>
      <c r="C5980" s="6">
        <v>12265</v>
      </c>
      <c r="D5980" s="7">
        <v>0.74</v>
      </c>
      <c r="E5980" t="s">
        <v>11</v>
      </c>
    </row>
    <row r="5981" spans="1:5" x14ac:dyDescent="0.25">
      <c r="A5981" t="str">
        <f>HYPERLINK("https://www.773grp.com/globalSearch/MC74VHC574M/page-1", "MC74VHC574M")</f>
        <v>MC74VHC574M</v>
      </c>
      <c r="B5981" s="3" t="str">
        <f>HYPERLINK("https://www.773grp.com/manufacturer/onsemi?pageNo=588", "Onsemi")</f>
        <v>Onsemi</v>
      </c>
      <c r="C5981" s="6">
        <v>6080</v>
      </c>
      <c r="D5981" s="7">
        <v>0.74</v>
      </c>
      <c r="E5981" t="s">
        <v>11</v>
      </c>
    </row>
    <row r="5982" spans="1:5" x14ac:dyDescent="0.25">
      <c r="A5982" t="str">
        <f>HYPERLINK("https://www.773grp.com/globalSearch/MC74VHC574MEL/page-1", "MC74VHC574MEL")</f>
        <v>MC74VHC574MEL</v>
      </c>
      <c r="B5982" s="3" t="str">
        <f>HYPERLINK("https://www.773grp.com/manufacturer/onsemi?pageNo=589", "Onsemi")</f>
        <v>Onsemi</v>
      </c>
      <c r="C5982" s="6">
        <v>8000</v>
      </c>
      <c r="D5982" s="7">
        <v>0.74</v>
      </c>
      <c r="E5982" t="s">
        <v>11</v>
      </c>
    </row>
    <row r="5983" spans="1:5" x14ac:dyDescent="0.25">
      <c r="A5983" t="str">
        <f>HYPERLINK("https://www.773grp.com/globalSearch/MC74VHC595D/page-1", "MC74VHC595D")</f>
        <v>MC74VHC595D</v>
      </c>
      <c r="B5983" s="3" t="str">
        <f>HYPERLINK("https://www.773grp.com/manufacturer/onsemi?pageNo=590", "Onsemi")</f>
        <v>Onsemi</v>
      </c>
      <c r="C5983" s="6">
        <v>5500</v>
      </c>
      <c r="D5983" s="7">
        <v>0.74</v>
      </c>
      <c r="E5983" t="s">
        <v>28</v>
      </c>
    </row>
    <row r="5984" spans="1:5" x14ac:dyDescent="0.25">
      <c r="A5984" t="str">
        <f>HYPERLINK("https://www.773grp.com/globalSearch/MC74VHCT138ADTRG/page-1", "MC74VHCT138ADTRG")</f>
        <v>MC74VHCT138ADTRG</v>
      </c>
      <c r="B5984" s="3" t="str">
        <f>HYPERLINK("https://www.773grp.com/manufacturer/onsemi?pageNo=591", "Onsemi")</f>
        <v>Onsemi</v>
      </c>
      <c r="C5984" s="6">
        <v>470</v>
      </c>
      <c r="D5984" s="7">
        <v>0.74</v>
      </c>
    </row>
    <row r="5985" spans="1:5" x14ac:dyDescent="0.25">
      <c r="A5985" t="str">
        <f>HYPERLINK("https://www.773grp.com/globalSearch/MC74VHCT139ADG/page-1", "MC74VHCT139ADG")</f>
        <v>MC74VHCT139ADG</v>
      </c>
      <c r="B5985" s="3" t="str">
        <f>HYPERLINK("https://www.773grp.com/manufacturer/onsemi?pageNo=592", "Onsemi")</f>
        <v>Onsemi</v>
      </c>
      <c r="C5985" s="6">
        <v>9120</v>
      </c>
      <c r="D5985" s="7">
        <v>0.74</v>
      </c>
      <c r="E5985" t="s">
        <v>32</v>
      </c>
    </row>
    <row r="5986" spans="1:5" x14ac:dyDescent="0.25">
      <c r="A5986" t="str">
        <f>HYPERLINK("https://www.773grp.com/globalSearch/MC74VHCT139ADR2G/page-1", "MC74VHCT139ADR2G")</f>
        <v>MC74VHCT139ADR2G</v>
      </c>
      <c r="B5986" s="3" t="str">
        <f>HYPERLINK("https://www.773grp.com/manufacturer/onsemi?pageNo=593", "Onsemi")</f>
        <v>Onsemi</v>
      </c>
      <c r="C5986" s="6">
        <v>4095</v>
      </c>
      <c r="D5986" s="7">
        <v>0.74</v>
      </c>
      <c r="E5986" t="s">
        <v>32</v>
      </c>
    </row>
    <row r="5987" spans="1:5" x14ac:dyDescent="0.25">
      <c r="A5987" t="str">
        <f>HYPERLINK("https://www.773grp.com/globalSearch/MC74VHCT139ADTG/page-1", "MC74VHCT139ADTG")</f>
        <v>MC74VHCT139ADTG</v>
      </c>
      <c r="B5987" s="3" t="str">
        <f>HYPERLINK("https://www.773grp.com/manufacturer/onsemi?pageNo=594", "Onsemi")</f>
        <v>Onsemi</v>
      </c>
      <c r="C5987" s="6">
        <v>2496</v>
      </c>
      <c r="D5987" s="7">
        <v>0.74</v>
      </c>
      <c r="E5987" t="s">
        <v>32</v>
      </c>
    </row>
    <row r="5988" spans="1:5" x14ac:dyDescent="0.25">
      <c r="A5988" t="str">
        <f>HYPERLINK("https://www.773grp.com/globalSearch/MC74VHCT139ADTRG/page-1", "MC74VHCT139ADTRG")</f>
        <v>MC74VHCT139ADTRG</v>
      </c>
      <c r="B5988" s="3" t="str">
        <f>HYPERLINK("https://www.773grp.com/manufacturer/onsemi?pageNo=595", "Onsemi")</f>
        <v>Onsemi</v>
      </c>
      <c r="C5988" s="6">
        <v>24900</v>
      </c>
      <c r="D5988" s="7">
        <v>0.74</v>
      </c>
      <c r="E5988" t="s">
        <v>32</v>
      </c>
    </row>
    <row r="5989" spans="1:5" x14ac:dyDescent="0.25">
      <c r="A5989" t="str">
        <f>HYPERLINK("https://www.773grp.com/globalSearch/MC74VHCT240AM/page-1", "MC74VHCT240AM")</f>
        <v>MC74VHCT240AM</v>
      </c>
      <c r="B5989" s="3" t="str">
        <f>HYPERLINK("https://www.773grp.com/manufacturer/onsemi?pageNo=596", "Onsemi")</f>
        <v>Onsemi</v>
      </c>
      <c r="C5989" s="6">
        <v>2000</v>
      </c>
      <c r="D5989" s="7">
        <v>0.74</v>
      </c>
      <c r="E5989" t="s">
        <v>11</v>
      </c>
    </row>
    <row r="5990" spans="1:5" x14ac:dyDescent="0.25">
      <c r="A5990" t="str">
        <f>HYPERLINK("https://www.773grp.com/globalSearch/MC74VHCT245AM/page-1", "MC74VHCT245AM")</f>
        <v>MC74VHCT245AM</v>
      </c>
      <c r="B5990" s="3" t="str">
        <f>HYPERLINK("https://www.773grp.com/manufacturer/onsemi?pageNo=597", "Onsemi")</f>
        <v>Onsemi</v>
      </c>
      <c r="C5990" s="6">
        <v>9692</v>
      </c>
      <c r="D5990" s="7">
        <v>0.74</v>
      </c>
      <c r="E5990" t="s">
        <v>11</v>
      </c>
    </row>
    <row r="5991" spans="1:5" x14ac:dyDescent="0.25">
      <c r="A5991" t="str">
        <f>HYPERLINK("https://www.773grp.com/globalSearch/MC74VHCT245AM/page-1", "MC74VHCT245AM")</f>
        <v>MC74VHCT245AM</v>
      </c>
      <c r="B5991" s="3" t="str">
        <f>HYPERLINK("https://www.773grp.com/manufacturer/onsemi?pageNo=598", "Onsemi")</f>
        <v>Onsemi</v>
      </c>
      <c r="C5991" s="6">
        <v>5480</v>
      </c>
      <c r="D5991" s="7">
        <v>0.74</v>
      </c>
      <c r="E5991" t="s">
        <v>11</v>
      </c>
    </row>
    <row r="5992" spans="1:5" x14ac:dyDescent="0.25">
      <c r="A5992" t="str">
        <f>HYPERLINK("https://www.773grp.com/globalSearch/MC74VHCT257ADG/page-1", "MC74VHCT257ADG")</f>
        <v>MC74VHCT257ADG</v>
      </c>
      <c r="B5992" s="3" t="str">
        <f>HYPERLINK("https://www.773grp.com/manufacturer/onsemi?pageNo=599", "Onsemi")</f>
        <v>Onsemi</v>
      </c>
      <c r="C5992" s="6">
        <v>27696</v>
      </c>
      <c r="D5992" s="7">
        <v>0.74</v>
      </c>
      <c r="E5992" t="s">
        <v>16</v>
      </c>
    </row>
    <row r="5993" spans="1:5" x14ac:dyDescent="0.25">
      <c r="A5993" t="str">
        <f>HYPERLINK("https://www.773grp.com/globalSearch/MC74VHCT257ADR2G/page-1", "MC74VHCT257ADR2G")</f>
        <v>MC74VHCT257ADR2G</v>
      </c>
      <c r="B5993" s="3" t="str">
        <f>HYPERLINK("https://www.773grp.com/manufacturer/onsemi?pageNo=600", "Onsemi")</f>
        <v>Onsemi</v>
      </c>
      <c r="C5993" s="6">
        <v>20000</v>
      </c>
      <c r="D5993" s="7">
        <v>0.74</v>
      </c>
      <c r="E5993" t="s">
        <v>16</v>
      </c>
    </row>
    <row r="5994" spans="1:5" x14ac:dyDescent="0.25">
      <c r="A5994" t="str">
        <f>HYPERLINK("https://www.773grp.com/globalSearch/MC74VHCT257ADTR2/page-1", "MC74VHCT257ADTR2")</f>
        <v>MC74VHCT257ADTR2</v>
      </c>
      <c r="B5994" s="3" t="str">
        <f>HYPERLINK("https://www.773grp.com/manufacturer/onsemi?pageNo=601", "Onsemi")</f>
        <v>Onsemi</v>
      </c>
      <c r="C5994" s="6">
        <v>2500</v>
      </c>
      <c r="D5994" s="7">
        <v>0.74</v>
      </c>
      <c r="E5994" t="s">
        <v>16</v>
      </c>
    </row>
    <row r="5995" spans="1:5" x14ac:dyDescent="0.25">
      <c r="A5995" t="str">
        <f>HYPERLINK("https://www.773grp.com/globalSearch/MC74VHCT259ADG/page-1", "MC74VHCT259ADG")</f>
        <v>MC74VHCT259ADG</v>
      </c>
      <c r="B5995" s="3" t="str">
        <f>HYPERLINK("https://www.773grp.com/manufacturer/onsemi?pageNo=602", "Onsemi")</f>
        <v>Onsemi</v>
      </c>
      <c r="C5995" s="6">
        <v>2880</v>
      </c>
      <c r="D5995" s="7">
        <v>0.74</v>
      </c>
      <c r="E5995" t="s">
        <v>32</v>
      </c>
    </row>
    <row r="5996" spans="1:5" x14ac:dyDescent="0.25">
      <c r="A5996" t="str">
        <f>HYPERLINK("https://www.773grp.com/globalSearch/MC74VHCT259ADR2G/page-1", "MC74VHCT259ADR2G")</f>
        <v>MC74VHCT259ADR2G</v>
      </c>
      <c r="B5996" s="3" t="str">
        <f>HYPERLINK("https://www.773grp.com/manufacturer/onsemi?pageNo=603", "Onsemi")</f>
        <v>Onsemi</v>
      </c>
      <c r="C5996" s="6">
        <v>62500</v>
      </c>
      <c r="D5996" s="7">
        <v>0.74</v>
      </c>
      <c r="E5996" t="s">
        <v>32</v>
      </c>
    </row>
    <row r="5997" spans="1:5" x14ac:dyDescent="0.25">
      <c r="A5997" t="str">
        <f>HYPERLINK("https://www.773grp.com/globalSearch/MC74VHCT259ADTG/page-1", "MC74VHCT259ADTG")</f>
        <v>MC74VHCT259ADTG</v>
      </c>
      <c r="B5997" s="3" t="str">
        <f>HYPERLINK("https://www.773grp.com/manufacturer/onsemi?pageNo=604", "Onsemi")</f>
        <v>Onsemi</v>
      </c>
      <c r="C5997" s="6">
        <v>7872</v>
      </c>
      <c r="D5997" s="7">
        <v>0.74</v>
      </c>
      <c r="E5997" t="s">
        <v>32</v>
      </c>
    </row>
    <row r="5998" spans="1:5" x14ac:dyDescent="0.25">
      <c r="A5998" t="str">
        <f>HYPERLINK("https://www.773grp.com/globalSearch/MC74VHCT259ADTRG/page-1", "MC74VHCT259ADTRG")</f>
        <v>MC74VHCT259ADTRG</v>
      </c>
      <c r="B5998" s="3" t="str">
        <f>HYPERLINK("https://www.773grp.com/manufacturer/onsemi?pageNo=605", "Onsemi")</f>
        <v>Onsemi</v>
      </c>
      <c r="C5998" s="6">
        <v>9621</v>
      </c>
      <c r="D5998" s="7">
        <v>0.74</v>
      </c>
      <c r="E5998" t="s">
        <v>32</v>
      </c>
    </row>
    <row r="5999" spans="1:5" x14ac:dyDescent="0.25">
      <c r="A5999" t="str">
        <f>HYPERLINK("https://www.773grp.com/globalSearch/MC74VHCT373AM/page-1", "MC74VHCT373AM")</f>
        <v>MC74VHCT373AM</v>
      </c>
      <c r="B5999" s="3" t="str">
        <f>HYPERLINK("https://www.773grp.com/manufacturer/onsemi?pageNo=606", "Onsemi")</f>
        <v>Onsemi</v>
      </c>
      <c r="C5999" s="6">
        <v>9480</v>
      </c>
      <c r="D5999" s="7">
        <v>0.74</v>
      </c>
      <c r="E5999" t="s">
        <v>11</v>
      </c>
    </row>
    <row r="6000" spans="1:5" x14ac:dyDescent="0.25">
      <c r="A6000" t="str">
        <f>HYPERLINK("https://www.773grp.com/globalSearch/MC74VHCT373AMEL/page-1", "MC74VHCT373AMEL")</f>
        <v>MC74VHCT373AMEL</v>
      </c>
      <c r="B6000" s="3" t="str">
        <f>HYPERLINK("https://www.773grp.com/manufacturer/onsemi?pageNo=607", "Onsemi")</f>
        <v>Onsemi</v>
      </c>
      <c r="C6000" s="6">
        <v>8000</v>
      </c>
      <c r="D6000" s="7">
        <v>0.74</v>
      </c>
      <c r="E6000" t="s">
        <v>11</v>
      </c>
    </row>
    <row r="6001" spans="1:5" x14ac:dyDescent="0.25">
      <c r="A6001" t="str">
        <f>HYPERLINK("https://www.773grp.com/globalSearch/MC74VHCT374AM/page-1", "MC74VHCT374AM")</f>
        <v>MC74VHCT374AM</v>
      </c>
      <c r="B6001" s="3" t="str">
        <f>HYPERLINK("https://www.773grp.com/manufacturer/onsemi?pageNo=608", "Onsemi")</f>
        <v>Onsemi</v>
      </c>
      <c r="C6001" s="6">
        <v>8080</v>
      </c>
      <c r="D6001" s="7">
        <v>0.74</v>
      </c>
      <c r="E6001" t="s">
        <v>11</v>
      </c>
    </row>
    <row r="6002" spans="1:5" x14ac:dyDescent="0.25">
      <c r="A6002" t="str">
        <f>HYPERLINK("https://www.773grp.com/globalSearch/MC74VHCT573AM/page-1", "MC74VHCT573AM")</f>
        <v>MC74VHCT573AM</v>
      </c>
      <c r="B6002" s="3" t="str">
        <f>HYPERLINK("https://www.773grp.com/manufacturer/onsemi?pageNo=609", "Onsemi")</f>
        <v>Onsemi</v>
      </c>
      <c r="C6002" s="6">
        <v>13040</v>
      </c>
      <c r="D6002" s="7">
        <v>0.74</v>
      </c>
      <c r="E6002" t="s">
        <v>11</v>
      </c>
    </row>
    <row r="6003" spans="1:5" x14ac:dyDescent="0.25">
      <c r="A6003" t="str">
        <f>HYPERLINK("https://www.773grp.com/globalSearch/MC74VHCT573AMEL/page-1", "MC74VHCT573AMEL")</f>
        <v>MC74VHCT573AMEL</v>
      </c>
      <c r="B6003" s="3" t="str">
        <f>HYPERLINK("https://www.773grp.com/manufacturer/onsemi?pageNo=610", "Onsemi")</f>
        <v>Onsemi</v>
      </c>
      <c r="C6003" s="6">
        <v>8000</v>
      </c>
      <c r="D6003" s="7">
        <v>0.74</v>
      </c>
      <c r="E6003" t="s">
        <v>11</v>
      </c>
    </row>
    <row r="6004" spans="1:5" x14ac:dyDescent="0.25">
      <c r="A6004" t="str">
        <f>HYPERLINK("https://www.773grp.com/globalSearch/MC74VHCT574AM/page-1", "MC74VHCT574AM")</f>
        <v>MC74VHCT574AM</v>
      </c>
      <c r="B6004" s="3" t="str">
        <f>HYPERLINK("https://www.773grp.com/manufacturer/onsemi?pageNo=611", "Onsemi")</f>
        <v>Onsemi</v>
      </c>
      <c r="C6004" s="6">
        <v>10520</v>
      </c>
      <c r="D6004" s="7">
        <v>0.74</v>
      </c>
      <c r="E6004" t="s">
        <v>11</v>
      </c>
    </row>
    <row r="6005" spans="1:5" x14ac:dyDescent="0.25">
      <c r="A6005" t="str">
        <f>HYPERLINK("https://www.773grp.com/globalSearch/MC74VHCT574AMEL/page-1", "MC74VHCT574AMEL")</f>
        <v>MC74VHCT574AMEL</v>
      </c>
      <c r="B6005" s="3" t="str">
        <f>HYPERLINK("https://www.773grp.com/manufacturer/onsemi?pageNo=612", "Onsemi")</f>
        <v>Onsemi</v>
      </c>
      <c r="C6005" s="6">
        <v>8000</v>
      </c>
      <c r="D6005" s="7">
        <v>0.74</v>
      </c>
      <c r="E6005" t="s">
        <v>11</v>
      </c>
    </row>
    <row r="6006" spans="1:5" x14ac:dyDescent="0.25">
      <c r="A6006" t="str">
        <f>HYPERLINK("https://www.773grp.com/globalSearch/MC7808ABT/page-1", "MC7808ABT")</f>
        <v>MC7808ABT</v>
      </c>
      <c r="B6006" s="3" t="str">
        <f>HYPERLINK("https://www.773grp.com/manufacturer/onsemi?pageNo=613", "Onsemi")</f>
        <v>Onsemi</v>
      </c>
      <c r="C6006" s="6">
        <v>5250</v>
      </c>
      <c r="D6006" s="7">
        <v>0.74</v>
      </c>
      <c r="E6006" t="s">
        <v>24</v>
      </c>
    </row>
    <row r="6007" spans="1:5" x14ac:dyDescent="0.25">
      <c r="A6007" t="str">
        <f>HYPERLINK("https://www.773grp.com/globalSearch/MC7815ABT/page-1", "MC7815ABT")</f>
        <v>MC7815ABT</v>
      </c>
      <c r="B6007" s="3" t="str">
        <f>HYPERLINK("https://www.773grp.com/manufacturer/onsemi?pageNo=614", "Onsemi")</f>
        <v>Onsemi</v>
      </c>
      <c r="C6007" s="6">
        <v>16793</v>
      </c>
      <c r="D6007" s="7">
        <v>0.74</v>
      </c>
      <c r="E6007" t="s">
        <v>24</v>
      </c>
    </row>
    <row r="6008" spans="1:5" x14ac:dyDescent="0.25">
      <c r="A6008" t="str">
        <f>HYPERLINK("https://www.773grp.com/globalSearch/MC78LC15NTR/page-1", "MC78LC15NTR")</f>
        <v>MC78LC15NTR</v>
      </c>
      <c r="B6008" s="3" t="str">
        <f>HYPERLINK("https://www.773grp.com/manufacturer/onsemi?pageNo=615", "Onsemi")</f>
        <v>Onsemi</v>
      </c>
      <c r="C6008" s="6">
        <v>26939</v>
      </c>
      <c r="D6008" s="7">
        <v>0.74</v>
      </c>
      <c r="E6008" t="s">
        <v>15</v>
      </c>
    </row>
    <row r="6009" spans="1:5" x14ac:dyDescent="0.25">
      <c r="A6009" t="str">
        <f>HYPERLINK("https://www.773grp.com/globalSearch/MC78LC18NTR/page-1", "MC78LC18NTR")</f>
        <v>MC78LC18NTR</v>
      </c>
      <c r="B6009" s="3" t="str">
        <f>HYPERLINK("https://www.773grp.com/manufacturer/onsemi?pageNo=616", "Onsemi")</f>
        <v>Onsemi</v>
      </c>
      <c r="C6009" s="6">
        <v>44966</v>
      </c>
      <c r="D6009" s="7">
        <v>0.74</v>
      </c>
      <c r="E6009" t="s">
        <v>15</v>
      </c>
    </row>
    <row r="6010" spans="1:5" x14ac:dyDescent="0.25">
      <c r="A6010" t="str">
        <f>HYPERLINK("https://www.773grp.com/globalSearch/MC78LC28NTR/page-1", "MC78LC28NTR")</f>
        <v>MC78LC28NTR</v>
      </c>
      <c r="B6010" s="3" t="str">
        <f>HYPERLINK("https://www.773grp.com/manufacturer/onsemi?pageNo=617", "Onsemi")</f>
        <v>Onsemi</v>
      </c>
      <c r="C6010" s="6">
        <v>700</v>
      </c>
      <c r="D6010" s="7">
        <v>0.74</v>
      </c>
      <c r="E6010" t="s">
        <v>15</v>
      </c>
    </row>
    <row r="6011" spans="1:5" x14ac:dyDescent="0.25">
      <c r="A6011" t="str">
        <f>HYPERLINK("https://www.773grp.com/globalSearch/MC78LC40HT1/page-1", "MC78LC40HT1")</f>
        <v>MC78LC40HT1</v>
      </c>
      <c r="B6011" s="3" t="str">
        <f>HYPERLINK("https://www.773grp.com/manufacturer/onsemi?pageNo=618", "Onsemi")</f>
        <v>Onsemi</v>
      </c>
      <c r="C6011" s="6">
        <v>26000</v>
      </c>
      <c r="D6011" s="7">
        <v>0.74</v>
      </c>
      <c r="E6011" t="s">
        <v>15</v>
      </c>
    </row>
    <row r="6012" spans="1:5" x14ac:dyDescent="0.25">
      <c r="A6012" t="str">
        <f>HYPERLINK("https://www.773grp.com/globalSearch/MC78LC40NTR/page-1", "MC78LC40NTR")</f>
        <v>MC78LC40NTR</v>
      </c>
      <c r="B6012" s="3" t="str">
        <f>HYPERLINK("https://www.773grp.com/manufacturer/onsemi?pageNo=619", "Onsemi")</f>
        <v>Onsemi</v>
      </c>
      <c r="C6012" s="6">
        <v>33000</v>
      </c>
      <c r="D6012" s="7">
        <v>0.74</v>
      </c>
      <c r="E6012" t="s">
        <v>15</v>
      </c>
    </row>
    <row r="6013" spans="1:5" x14ac:dyDescent="0.25">
      <c r="A6013" t="str">
        <f>HYPERLINK("https://www.773grp.com/globalSearch/MC78LC50HT1/page-1", "MC78LC50HT1")</f>
        <v>MC78LC50HT1</v>
      </c>
      <c r="B6013" s="3" t="str">
        <f>HYPERLINK("https://www.773grp.com/manufacturer/onsemi?pageNo=620", "Onsemi")</f>
        <v>Onsemi</v>
      </c>
      <c r="C6013" s="6">
        <v>21000</v>
      </c>
      <c r="D6013" s="7">
        <v>0.74</v>
      </c>
      <c r="E6013" t="s">
        <v>15</v>
      </c>
    </row>
    <row r="6014" spans="1:5" x14ac:dyDescent="0.25">
      <c r="A6014" t="str">
        <f>HYPERLINK("https://www.773grp.com/globalSearch/MC79M05BTG/page-1", "MC79M05BTG")</f>
        <v>MC79M05BTG</v>
      </c>
      <c r="B6014" s="3" t="str">
        <f>HYPERLINK("https://www.773grp.com/manufacturer/onsemi?pageNo=621", "Onsemi")</f>
        <v>Onsemi</v>
      </c>
      <c r="C6014" s="6">
        <v>1025</v>
      </c>
      <c r="D6014" s="7">
        <v>0.74</v>
      </c>
      <c r="E6014" t="s">
        <v>53</v>
      </c>
    </row>
    <row r="6015" spans="1:5" x14ac:dyDescent="0.25">
      <c r="A6015" t="str">
        <f>HYPERLINK("https://www.773grp.com/globalSearch/MC79M08BTG/page-1", "MC79M08BTG")</f>
        <v>MC79M08BTG</v>
      </c>
      <c r="B6015" s="3" t="str">
        <f>HYPERLINK("https://www.773grp.com/manufacturer/onsemi?pageNo=622", "Onsemi")</f>
        <v>Onsemi</v>
      </c>
      <c r="C6015" s="6">
        <v>1000</v>
      </c>
      <c r="D6015" s="7">
        <v>0.74</v>
      </c>
      <c r="E6015" t="s">
        <v>53</v>
      </c>
    </row>
    <row r="6016" spans="1:5" x14ac:dyDescent="0.25">
      <c r="A6016" t="str">
        <f>HYPERLINK("https://www.773grp.com/globalSearch/MCR08MT1G/page-1", "MCR08MT1G")</f>
        <v>MCR08MT1G</v>
      </c>
      <c r="B6016" s="3" t="str">
        <f>HYPERLINK("https://www.773grp.com/manufacturer/onsemi?pageNo=623", "Onsemi")</f>
        <v>Onsemi</v>
      </c>
      <c r="C6016" s="6">
        <v>102248</v>
      </c>
      <c r="D6016" s="7">
        <v>0.74</v>
      </c>
      <c r="E6016" t="s">
        <v>76</v>
      </c>
    </row>
    <row r="6017" spans="1:5" x14ac:dyDescent="0.25">
      <c r="A6017" t="str">
        <f>HYPERLINK("https://www.773grp.com/globalSearch/MGSF3433VT1/page-1", "MGSF3433VT1")</f>
        <v>MGSF3433VT1</v>
      </c>
      <c r="B6017" s="3" t="str">
        <f>HYPERLINK("https://www.773grp.com/manufacturer/onsemi?pageNo=624", "Onsemi")</f>
        <v>Onsemi</v>
      </c>
      <c r="C6017" s="6">
        <v>33000</v>
      </c>
      <c r="D6017" s="7">
        <v>0.74</v>
      </c>
    </row>
    <row r="6018" spans="1:5" x14ac:dyDescent="0.25">
      <c r="A6018" t="str">
        <f>HYPERLINK("https://www.773grp.com/globalSearch/MGSF3433VT1/page-1", "MGSF3433VT1")</f>
        <v>MGSF3433VT1</v>
      </c>
      <c r="B6018" s="3" t="str">
        <f>HYPERLINK("https://www.773grp.com/manufacturer/onsemi?pageNo=625", "Onsemi")</f>
        <v>Onsemi</v>
      </c>
      <c r="C6018" s="6">
        <v>2900</v>
      </c>
      <c r="D6018" s="7">
        <v>0.74</v>
      </c>
    </row>
    <row r="6019" spans="1:5" x14ac:dyDescent="0.25">
      <c r="A6019" t="str">
        <f>HYPERLINK("https://www.773grp.com/globalSearch/MJD210RL/page-1", "MJD210RL")</f>
        <v>MJD210RL</v>
      </c>
      <c r="B6019" s="3" t="str">
        <f>HYPERLINK("https://www.773grp.com/manufacturer/onsemi?pageNo=626", "Onsemi")</f>
        <v>Onsemi</v>
      </c>
      <c r="C6019" s="6">
        <v>15900</v>
      </c>
      <c r="D6019" s="7">
        <v>0.74</v>
      </c>
      <c r="E6019" t="s">
        <v>47</v>
      </c>
    </row>
    <row r="6020" spans="1:5" x14ac:dyDescent="0.25">
      <c r="A6020" t="str">
        <f>HYPERLINK("https://www.773grp.com/globalSearch/MJD350T4/page-1", "MJD350T4")</f>
        <v>MJD350T4</v>
      </c>
      <c r="B6020" s="3" t="str">
        <f>HYPERLINK("https://www.773grp.com/manufacturer/onsemi?pageNo=627", "Onsemi")</f>
        <v>Onsemi</v>
      </c>
      <c r="C6020" s="6">
        <v>250048</v>
      </c>
      <c r="D6020" s="7">
        <v>0.74</v>
      </c>
      <c r="E6020" t="s">
        <v>47</v>
      </c>
    </row>
    <row r="6021" spans="1:5" x14ac:dyDescent="0.25">
      <c r="A6021" t="str">
        <f>HYPERLINK("https://www.773grp.com/globalSearch/MMBFJ310LT1/page-1", "MMBFJ310LT1")</f>
        <v>MMBFJ310LT1</v>
      </c>
      <c r="B6021" s="3" t="str">
        <f>HYPERLINK("https://www.773grp.com/manufacturer/onsemi?pageNo=628", "Onsemi")</f>
        <v>Onsemi</v>
      </c>
      <c r="C6021" s="6">
        <v>3000</v>
      </c>
      <c r="D6021" s="7">
        <v>0.74</v>
      </c>
      <c r="E6021" t="s">
        <v>83</v>
      </c>
    </row>
    <row r="6022" spans="1:5" x14ac:dyDescent="0.25">
      <c r="A6022" t="str">
        <f>HYPERLINK("https://www.773grp.com/globalSearch/MMFT960T1G/page-1", "MMFT960T1G")</f>
        <v>MMFT960T1G</v>
      </c>
      <c r="B6022" s="3" t="str">
        <f>HYPERLINK("https://www.773grp.com/manufacturer/onsemi?pageNo=629", "Onsemi")</f>
        <v>Onsemi</v>
      </c>
      <c r="C6022" s="6">
        <v>3000</v>
      </c>
      <c r="D6022" s="7">
        <v>0.74</v>
      </c>
    </row>
    <row r="6023" spans="1:5" x14ac:dyDescent="0.25">
      <c r="A6023" t="str">
        <f>HYPERLINK("https://www.773grp.com/globalSearch/MMSD301T1/page-1", "MMSD301T1")</f>
        <v>MMSD301T1</v>
      </c>
      <c r="B6023" s="3" t="str">
        <f>HYPERLINK("https://www.773grp.com/manufacturer/onsemi?pageNo=630", "Onsemi")</f>
        <v>Onsemi</v>
      </c>
      <c r="C6023" s="6">
        <v>60000</v>
      </c>
      <c r="D6023" s="7">
        <v>0.74</v>
      </c>
    </row>
    <row r="6024" spans="1:5" x14ac:dyDescent="0.25">
      <c r="A6024" t="str">
        <f>HYPERLINK("https://www.773grp.com/globalSearch/MMT08B064T3G/page-1", "MMT08B064T3G")</f>
        <v>MMT08B064T3G</v>
      </c>
      <c r="B6024" s="3" t="str">
        <f>HYPERLINK("https://www.773grp.com/manufacturer/onsemi?pageNo=631", "Onsemi")</f>
        <v>Onsemi</v>
      </c>
      <c r="C6024" s="6">
        <v>2500</v>
      </c>
      <c r="D6024" s="7">
        <v>0.74</v>
      </c>
    </row>
    <row r="6025" spans="1:5" x14ac:dyDescent="0.25">
      <c r="A6025" t="str">
        <f>HYPERLINK("https://www.773grp.com/globalSearch/MMT08B260T3G/page-1", "MMT08B260T3G")</f>
        <v>MMT08B260T3G</v>
      </c>
      <c r="B6025" s="3" t="str">
        <f>HYPERLINK("https://www.773grp.com/manufacturer/onsemi?pageNo=632", "Onsemi")</f>
        <v>Onsemi</v>
      </c>
      <c r="C6025" s="6">
        <v>10000</v>
      </c>
      <c r="D6025" s="7">
        <v>0.74</v>
      </c>
      <c r="E6025" t="s">
        <v>88</v>
      </c>
    </row>
    <row r="6026" spans="1:5" x14ac:dyDescent="0.25">
      <c r="A6026" t="str">
        <f>HYPERLINK("https://www.773grp.com/globalSearch/MMT08B310T3G/page-1", "MMT08B310T3G")</f>
        <v>MMT08B310T3G</v>
      </c>
      <c r="B6026" s="3" t="str">
        <f>HYPERLINK("https://www.773grp.com/manufacturer/onsemi?pageNo=633", "Onsemi")</f>
        <v>Onsemi</v>
      </c>
      <c r="C6026" s="6">
        <v>5000</v>
      </c>
      <c r="D6026" s="7">
        <v>0.74</v>
      </c>
      <c r="E6026" t="s">
        <v>88</v>
      </c>
    </row>
    <row r="6027" spans="1:5" x14ac:dyDescent="0.25">
      <c r="A6027" t="str">
        <f>HYPERLINK("https://www.773grp.com/globalSearch/MMT08B350T3G/page-1", "MMT08B350T3G")</f>
        <v>MMT08B350T3G</v>
      </c>
      <c r="B6027" s="3" t="str">
        <f>HYPERLINK("https://www.773grp.com/manufacturer/onsemi?pageNo=634", "Onsemi")</f>
        <v>Onsemi</v>
      </c>
      <c r="C6027" s="6">
        <v>15000</v>
      </c>
      <c r="D6027" s="7">
        <v>0.74</v>
      </c>
      <c r="E6027" t="s">
        <v>88</v>
      </c>
    </row>
    <row r="6028" spans="1:5" x14ac:dyDescent="0.25">
      <c r="A6028" t="str">
        <f>HYPERLINK("https://www.773grp.com/globalSearch/MURA160T3H/page-1", "MURA160T3H")</f>
        <v>MURA160T3H</v>
      </c>
      <c r="B6028" s="3" t="str">
        <f>HYPERLINK("https://www.773grp.com/manufacturer/onsemi?pageNo=635", "Onsemi")</f>
        <v>Onsemi</v>
      </c>
      <c r="C6028" s="6">
        <v>5000</v>
      </c>
      <c r="D6028" s="7">
        <v>0.74</v>
      </c>
    </row>
    <row r="6029" spans="1:5" x14ac:dyDescent="0.25">
      <c r="A6029" t="str">
        <f>HYPERLINK("https://www.773grp.com/globalSearch/NCP1117DT18RK/page-1", "NCP1117DT18RK")</f>
        <v>NCP1117DT18RK</v>
      </c>
      <c r="B6029" s="3" t="str">
        <f>HYPERLINK("https://www.773grp.com/manufacturer/onsemi?pageNo=636", "Onsemi")</f>
        <v>Onsemi</v>
      </c>
      <c r="C6029" s="6">
        <v>5000</v>
      </c>
      <c r="D6029" s="7">
        <v>0.74</v>
      </c>
      <c r="E6029" t="s">
        <v>15</v>
      </c>
    </row>
    <row r="6030" spans="1:5" x14ac:dyDescent="0.25">
      <c r="A6030" t="str">
        <f>HYPERLINK("https://www.773grp.com/globalSearch/NCP1117DTARK/page-1", "NCP1117DTARK")</f>
        <v>NCP1117DTARK</v>
      </c>
      <c r="B6030" s="3" t="str">
        <f>HYPERLINK("https://www.773grp.com/manufacturer/onsemi?pageNo=637", "Onsemi")</f>
        <v>Onsemi</v>
      </c>
      <c r="C6030" s="6">
        <v>55000</v>
      </c>
      <c r="D6030" s="7">
        <v>0.74</v>
      </c>
      <c r="E6030" t="s">
        <v>21</v>
      </c>
    </row>
    <row r="6031" spans="1:5" x14ac:dyDescent="0.25">
      <c r="A6031" t="str">
        <f>HYPERLINK("https://www.773grp.com/globalSearch/NCP1117ST12T3/page-1", "NCP1117ST12T3")</f>
        <v>NCP1117ST12T3</v>
      </c>
      <c r="B6031" s="3" t="str">
        <f>HYPERLINK("https://www.773grp.com/manufacturer/onsemi?pageNo=638", "Onsemi")</f>
        <v>Onsemi</v>
      </c>
      <c r="C6031" s="6">
        <v>3995</v>
      </c>
      <c r="D6031" s="7">
        <v>0.74</v>
      </c>
      <c r="E6031" t="s">
        <v>15</v>
      </c>
    </row>
    <row r="6032" spans="1:5" x14ac:dyDescent="0.25">
      <c r="A6032" t="str">
        <f>HYPERLINK("https://www.773grp.com/globalSearch/NCP1117ST15T3/page-1", "NCP1117ST15T3")</f>
        <v>NCP1117ST15T3</v>
      </c>
      <c r="B6032" s="3" t="str">
        <f>HYPERLINK("https://www.773grp.com/manufacturer/onsemi?pageNo=639", "Onsemi")</f>
        <v>Onsemi</v>
      </c>
      <c r="C6032" s="6">
        <v>3780</v>
      </c>
      <c r="D6032" s="7">
        <v>0.74</v>
      </c>
      <c r="E6032" t="s">
        <v>15</v>
      </c>
    </row>
    <row r="6033" spans="1:5" x14ac:dyDescent="0.25">
      <c r="A6033" t="str">
        <f>HYPERLINK("https://www.773grp.com/globalSearch/NCP1117ST18T3/page-1", "NCP1117ST18T3")</f>
        <v>NCP1117ST18T3</v>
      </c>
      <c r="B6033" s="3" t="str">
        <f>HYPERLINK("https://www.773grp.com/manufacturer/onsemi?pageNo=640", "Onsemi")</f>
        <v>Onsemi</v>
      </c>
      <c r="C6033" s="6">
        <v>3944</v>
      </c>
      <c r="D6033" s="7">
        <v>0.74</v>
      </c>
      <c r="E6033" t="s">
        <v>15</v>
      </c>
    </row>
    <row r="6034" spans="1:5" x14ac:dyDescent="0.25">
      <c r="A6034" t="str">
        <f>HYPERLINK("https://www.773grp.com/globalSearch/NCP1117ST20T3/page-1", "NCP1117ST20T3")</f>
        <v>NCP1117ST20T3</v>
      </c>
      <c r="B6034" s="3" t="str">
        <f>HYPERLINK("https://www.773grp.com/manufacturer/onsemi?pageNo=641", "Onsemi")</f>
        <v>Onsemi</v>
      </c>
      <c r="C6034" s="6">
        <v>8000</v>
      </c>
      <c r="D6034" s="7">
        <v>0.74</v>
      </c>
      <c r="E6034" t="s">
        <v>15</v>
      </c>
    </row>
    <row r="6035" spans="1:5" x14ac:dyDescent="0.25">
      <c r="A6035" t="str">
        <f>HYPERLINK("https://www.773grp.com/globalSearch/NCP1117ST25T3/page-1", "NCP1117ST25T3")</f>
        <v>NCP1117ST25T3</v>
      </c>
      <c r="B6035" s="3" t="str">
        <f>HYPERLINK("https://www.773grp.com/manufacturer/onsemi?pageNo=642", "Onsemi")</f>
        <v>Onsemi</v>
      </c>
      <c r="C6035" s="6">
        <v>4000</v>
      </c>
      <c r="D6035" s="7">
        <v>0.74</v>
      </c>
      <c r="E6035" t="s">
        <v>15</v>
      </c>
    </row>
    <row r="6036" spans="1:5" x14ac:dyDescent="0.25">
      <c r="A6036" t="str">
        <f>HYPERLINK("https://www.773grp.com/globalSearch/NCP1117ST285T3/page-1", "NCP1117ST285T3")</f>
        <v>NCP1117ST285T3</v>
      </c>
      <c r="B6036" s="3" t="str">
        <f>HYPERLINK("https://www.773grp.com/manufacturer/onsemi?pageNo=643", "Onsemi")</f>
        <v>Onsemi</v>
      </c>
      <c r="C6036" s="6">
        <v>4000</v>
      </c>
      <c r="D6036" s="7">
        <v>0.74</v>
      </c>
      <c r="E6036" t="s">
        <v>15</v>
      </c>
    </row>
    <row r="6037" spans="1:5" x14ac:dyDescent="0.25">
      <c r="A6037" t="str">
        <f>HYPERLINK("https://www.773grp.com/globalSearch/NCP1117ST33T3/page-1", "NCP1117ST33T3")</f>
        <v>NCP1117ST33T3</v>
      </c>
      <c r="B6037" s="3" t="str">
        <f>HYPERLINK("https://www.773grp.com/manufacturer/onsemi?pageNo=644", "Onsemi")</f>
        <v>Onsemi</v>
      </c>
      <c r="C6037" s="6">
        <v>161040</v>
      </c>
      <c r="D6037" s="7">
        <v>0.74</v>
      </c>
      <c r="E6037" t="s">
        <v>15</v>
      </c>
    </row>
    <row r="6038" spans="1:5" x14ac:dyDescent="0.25">
      <c r="A6038" t="str">
        <f>HYPERLINK("https://www.773grp.com/globalSearch/NCP1117ST50T3/page-1", "NCP1117ST50T3")</f>
        <v>NCP1117ST50T3</v>
      </c>
      <c r="B6038" s="3" t="str">
        <f>HYPERLINK("https://www.773grp.com/manufacturer/onsemi?pageNo=645", "Onsemi")</f>
        <v>Onsemi</v>
      </c>
      <c r="C6038" s="6">
        <v>203404</v>
      </c>
      <c r="D6038" s="7">
        <v>0.74</v>
      </c>
      <c r="E6038" t="s">
        <v>15</v>
      </c>
    </row>
    <row r="6039" spans="1:5" x14ac:dyDescent="0.25">
      <c r="A6039" t="str">
        <f>HYPERLINK("https://www.773grp.com/globalSearch/NCP1117STAT3/page-1", "NCP1117STAT3")</f>
        <v>NCP1117STAT3</v>
      </c>
      <c r="B6039" s="3" t="str">
        <f>HYPERLINK("https://www.773grp.com/manufacturer/onsemi?pageNo=646", "Onsemi")</f>
        <v>Onsemi</v>
      </c>
      <c r="C6039" s="6">
        <v>88096</v>
      </c>
      <c r="D6039" s="7">
        <v>0.74</v>
      </c>
      <c r="E6039" t="s">
        <v>21</v>
      </c>
    </row>
    <row r="6040" spans="1:5" x14ac:dyDescent="0.25">
      <c r="A6040" t="str">
        <f>HYPERLINK("https://www.773grp.com/globalSearch/NCP1250BSN65T1G/page-1", "NCP1250BSN65T1G")</f>
        <v>NCP1250BSN65T1G</v>
      </c>
      <c r="B6040" s="3" t="str">
        <f>HYPERLINK("https://www.773grp.com/manufacturer/onsemi?pageNo=647", "Onsemi")</f>
        <v>Onsemi</v>
      </c>
      <c r="C6040" s="6">
        <v>9000</v>
      </c>
      <c r="D6040" s="7">
        <v>0.74</v>
      </c>
    </row>
    <row r="6041" spans="1:5" x14ac:dyDescent="0.25">
      <c r="A6041" t="str">
        <f>HYPERLINK("https://www.773grp.com/globalSearch/NCP1251ASN100T1G/page-1", "NCP1251ASN100T1G")</f>
        <v>NCP1251ASN100T1G</v>
      </c>
      <c r="B6041" s="3" t="str">
        <f>HYPERLINK("https://www.773grp.com/manufacturer/onsemi?pageNo=648", "Onsemi")</f>
        <v>Onsemi</v>
      </c>
      <c r="C6041" s="6">
        <v>15000</v>
      </c>
      <c r="D6041" s="7">
        <v>0.74</v>
      </c>
    </row>
    <row r="6042" spans="1:5" x14ac:dyDescent="0.25">
      <c r="A6042" t="str">
        <f>HYPERLINK("https://www.773grp.com/globalSearch/NCP1251BSN65T1G/page-1", "NCP1251BSN65T1G")</f>
        <v>NCP1251BSN65T1G</v>
      </c>
      <c r="B6042" s="3" t="str">
        <f>HYPERLINK("https://www.773grp.com/manufacturer/onsemi?pageNo=649", "Onsemi")</f>
        <v>Onsemi</v>
      </c>
      <c r="C6042" s="6">
        <v>1153</v>
      </c>
      <c r="D6042" s="7">
        <v>0.74</v>
      </c>
    </row>
    <row r="6043" spans="1:5" x14ac:dyDescent="0.25">
      <c r="A6043" t="str">
        <f>HYPERLINK("https://www.773grp.com/globalSearch/NCP2890AFCT2G/page-1", "NCP2890AFCT2G")</f>
        <v>NCP2890AFCT2G</v>
      </c>
      <c r="B6043" s="3" t="str">
        <f>HYPERLINK("https://www.773grp.com/manufacturer/onsemi?pageNo=650", "Onsemi")</f>
        <v>Onsemi</v>
      </c>
      <c r="C6043" s="6">
        <v>112658</v>
      </c>
      <c r="D6043" s="7">
        <v>0.74</v>
      </c>
      <c r="E6043" t="s">
        <v>14</v>
      </c>
    </row>
    <row r="6044" spans="1:5" x14ac:dyDescent="0.25">
      <c r="A6044" t="str">
        <f>HYPERLINK("https://www.773grp.com/globalSearch/NCP2892AFCT2G/page-1", "NCP2892AFCT2G")</f>
        <v>NCP2892AFCT2G</v>
      </c>
      <c r="B6044" s="3" t="str">
        <f>HYPERLINK("https://www.773grp.com/manufacturer/onsemi?pageNo=651", "Onsemi")</f>
        <v>Onsemi</v>
      </c>
      <c r="C6044" s="6">
        <v>487009</v>
      </c>
      <c r="D6044" s="7">
        <v>0.74</v>
      </c>
      <c r="E6044" t="s">
        <v>14</v>
      </c>
    </row>
    <row r="6045" spans="1:5" x14ac:dyDescent="0.25">
      <c r="A6045" t="str">
        <f>HYPERLINK("https://www.773grp.com/globalSearch/NCP2892BFCT2G/page-1", "NCP2892BFCT2G")</f>
        <v>NCP2892BFCT2G</v>
      </c>
      <c r="B6045" s="3" t="str">
        <f>HYPERLINK("https://www.773grp.com/manufacturer/onsemi?pageNo=652", "Onsemi")</f>
        <v>Onsemi</v>
      </c>
      <c r="C6045" s="6">
        <v>2256000</v>
      </c>
      <c r="D6045" s="7">
        <v>0.74</v>
      </c>
      <c r="E6045" t="s">
        <v>14</v>
      </c>
    </row>
    <row r="6046" spans="1:5" x14ac:dyDescent="0.25">
      <c r="A6046" t="str">
        <f>HYPERLINK("https://www.773grp.com/globalSearch/NCP2990FCT2G/page-1", "NCP2990FCT2G")</f>
        <v>NCP2990FCT2G</v>
      </c>
      <c r="B6046" s="3" t="str">
        <f>HYPERLINK("https://www.773grp.com/manufacturer/onsemi?pageNo=653", "Onsemi")</f>
        <v>Onsemi</v>
      </c>
      <c r="C6046" s="6">
        <v>5190000</v>
      </c>
      <c r="D6046" s="7">
        <v>0.74</v>
      </c>
      <c r="E6046" t="s">
        <v>14</v>
      </c>
    </row>
    <row r="6047" spans="1:5" x14ac:dyDescent="0.25">
      <c r="A6047" t="str">
        <f>HYPERLINK("https://www.773grp.com/globalSearch/NCP2991FCT2G/page-1", "NCP2991FCT2G")</f>
        <v>NCP2991FCT2G</v>
      </c>
      <c r="B6047" s="3" t="str">
        <f>HYPERLINK("https://www.773grp.com/manufacturer/onsemi?pageNo=654", "Onsemi")</f>
        <v>Onsemi</v>
      </c>
      <c r="C6047" s="6">
        <v>96594</v>
      </c>
      <c r="D6047" s="7">
        <v>0.74</v>
      </c>
      <c r="E6047" t="s">
        <v>14</v>
      </c>
    </row>
    <row r="6048" spans="1:5" x14ac:dyDescent="0.25">
      <c r="A6048" t="str">
        <f>HYPERLINK("https://www.773grp.com/globalSearch/NCP300HSN09T1/page-1", "NCP300HSN09T1")</f>
        <v>NCP300HSN09T1</v>
      </c>
      <c r="B6048" s="3" t="str">
        <f>HYPERLINK("https://www.773grp.com/manufacturer/onsemi?pageNo=655", "Onsemi")</f>
        <v>Onsemi</v>
      </c>
      <c r="C6048" s="6">
        <v>6000</v>
      </c>
      <c r="D6048" s="7">
        <v>0.74</v>
      </c>
      <c r="E6048" t="s">
        <v>26</v>
      </c>
    </row>
    <row r="6049" spans="1:5" x14ac:dyDescent="0.25">
      <c r="A6049" t="str">
        <f>HYPERLINK("https://www.773grp.com/globalSearch/NCP300LSN34T1/page-1", "NCP300LSN34T1")</f>
        <v>NCP300LSN34T1</v>
      </c>
      <c r="B6049" s="3" t="str">
        <f>HYPERLINK("https://www.773grp.com/manufacturer/onsemi?pageNo=656", "Onsemi")</f>
        <v>Onsemi</v>
      </c>
      <c r="C6049" s="6">
        <v>3000</v>
      </c>
      <c r="D6049" s="7">
        <v>0.74</v>
      </c>
      <c r="E6049" t="s">
        <v>26</v>
      </c>
    </row>
    <row r="6050" spans="1:5" x14ac:dyDescent="0.25">
      <c r="A6050" t="str">
        <f>HYPERLINK("https://www.773grp.com/globalSearch/NCP300LSN46T1/page-1", "NCP300LSN46T1")</f>
        <v>NCP300LSN46T1</v>
      </c>
      <c r="B6050" s="3" t="str">
        <f>HYPERLINK("https://www.773grp.com/manufacturer/onsemi?pageNo=657", "Onsemi")</f>
        <v>Onsemi</v>
      </c>
      <c r="C6050" s="6">
        <v>15000</v>
      </c>
      <c r="D6050" s="7">
        <v>0.74</v>
      </c>
      <c r="E6050" t="s">
        <v>26</v>
      </c>
    </row>
    <row r="6051" spans="1:5" x14ac:dyDescent="0.25">
      <c r="A6051" t="str">
        <f>HYPERLINK("https://www.773grp.com/globalSearch/NCP300LSN47T1/page-1", "NCP300LSN47T1")</f>
        <v>NCP300LSN47T1</v>
      </c>
      <c r="B6051" s="3" t="str">
        <f>HYPERLINK("https://www.773grp.com/manufacturer/onsemi?pageNo=658", "Onsemi")</f>
        <v>Onsemi</v>
      </c>
      <c r="C6051" s="6">
        <v>15000</v>
      </c>
      <c r="D6051" s="7">
        <v>0.74</v>
      </c>
      <c r="E6051" t="s">
        <v>26</v>
      </c>
    </row>
    <row r="6052" spans="1:5" x14ac:dyDescent="0.25">
      <c r="A6052" t="str">
        <f>HYPERLINK("https://www.773grp.com/globalSearch/NCP301HSN09T1/page-1", "NCP301HSN09T1")</f>
        <v>NCP301HSN09T1</v>
      </c>
      <c r="B6052" s="3" t="str">
        <f>HYPERLINK("https://www.773grp.com/manufacturer/onsemi?pageNo=659", "Onsemi")</f>
        <v>Onsemi</v>
      </c>
      <c r="C6052" s="6">
        <v>6000</v>
      </c>
      <c r="D6052" s="7">
        <v>0.74</v>
      </c>
      <c r="E6052" t="s">
        <v>26</v>
      </c>
    </row>
    <row r="6053" spans="1:5" x14ac:dyDescent="0.25">
      <c r="A6053" t="str">
        <f>HYPERLINK("https://www.773grp.com/globalSearch/NCP301HSN18T1/page-1", "NCP301HSN18T1")</f>
        <v>NCP301HSN18T1</v>
      </c>
      <c r="B6053" s="3" t="str">
        <f>HYPERLINK("https://www.773grp.com/manufacturer/onsemi?pageNo=660", "Onsemi")</f>
        <v>Onsemi</v>
      </c>
      <c r="C6053" s="6">
        <v>3000</v>
      </c>
      <c r="D6053" s="7">
        <v>0.74</v>
      </c>
      <c r="E6053" t="s">
        <v>26</v>
      </c>
    </row>
    <row r="6054" spans="1:5" x14ac:dyDescent="0.25">
      <c r="A6054" t="str">
        <f>HYPERLINK("https://www.773grp.com/globalSearch/NCP301HSN22T1/page-1", "NCP301HSN22T1")</f>
        <v>NCP301HSN22T1</v>
      </c>
      <c r="B6054" s="3" t="str">
        <f>HYPERLINK("https://www.773grp.com/manufacturer/onsemi?pageNo=661", "Onsemi")</f>
        <v>Onsemi</v>
      </c>
      <c r="C6054" s="6">
        <v>3000</v>
      </c>
      <c r="D6054" s="7">
        <v>0.74</v>
      </c>
      <c r="E6054" t="s">
        <v>26</v>
      </c>
    </row>
    <row r="6055" spans="1:5" x14ac:dyDescent="0.25">
      <c r="A6055" t="str">
        <f>HYPERLINK("https://www.773grp.com/globalSearch/NCP301HSN45T1/page-1", "NCP301HSN45T1")</f>
        <v>NCP301HSN45T1</v>
      </c>
      <c r="B6055" s="3" t="str">
        <f>HYPERLINK("https://www.773grp.com/manufacturer/onsemi?pageNo=662", "Onsemi")</f>
        <v>Onsemi</v>
      </c>
      <c r="C6055" s="6">
        <v>9000</v>
      </c>
      <c r="D6055" s="7">
        <v>0.74</v>
      </c>
      <c r="E6055" t="s">
        <v>26</v>
      </c>
    </row>
    <row r="6056" spans="1:5" x14ac:dyDescent="0.25">
      <c r="A6056" t="str">
        <f>HYPERLINK("https://www.773grp.com/globalSearch/NCP301LSN16T1/page-1", "NCP301LSN16T1")</f>
        <v>NCP301LSN16T1</v>
      </c>
      <c r="B6056" s="3" t="str">
        <f>HYPERLINK("https://www.773grp.com/manufacturer/onsemi?pageNo=663", "Onsemi")</f>
        <v>Onsemi</v>
      </c>
      <c r="C6056" s="6">
        <v>36000</v>
      </c>
      <c r="D6056" s="7">
        <v>0.74</v>
      </c>
      <c r="E6056" t="s">
        <v>26</v>
      </c>
    </row>
    <row r="6057" spans="1:5" x14ac:dyDescent="0.25">
      <c r="A6057" t="str">
        <f>HYPERLINK("https://www.773grp.com/globalSearch/NCP301LSN26T1/page-1", "NCP301LSN26T1")</f>
        <v>NCP301LSN26T1</v>
      </c>
      <c r="B6057" s="3" t="str">
        <f>HYPERLINK("https://www.773grp.com/manufacturer/onsemi?pageNo=664", "Onsemi")</f>
        <v>Onsemi</v>
      </c>
      <c r="C6057" s="6">
        <v>22900</v>
      </c>
      <c r="D6057" s="7">
        <v>0.74</v>
      </c>
      <c r="E6057" t="s">
        <v>26</v>
      </c>
    </row>
    <row r="6058" spans="1:5" x14ac:dyDescent="0.25">
      <c r="A6058" t="str">
        <f>HYPERLINK("https://www.773grp.com/globalSearch/NCP301LSN27T1/page-1", "NCP301LSN27T1")</f>
        <v>NCP301LSN27T1</v>
      </c>
      <c r="B6058" s="3" t="str">
        <f>HYPERLINK("https://www.773grp.com/manufacturer/onsemi?pageNo=665", "Onsemi")</f>
        <v>Onsemi</v>
      </c>
      <c r="C6058" s="6">
        <v>2065</v>
      </c>
      <c r="D6058" s="7">
        <v>0.74</v>
      </c>
      <c r="E6058" t="s">
        <v>26</v>
      </c>
    </row>
    <row r="6059" spans="1:5" x14ac:dyDescent="0.25">
      <c r="A6059" t="str">
        <f>HYPERLINK("https://www.773grp.com/globalSearch/NCP301LSN31T1/page-1", "NCP301LSN31T1")</f>
        <v>NCP301LSN31T1</v>
      </c>
      <c r="B6059" s="3" t="str">
        <f>HYPERLINK("https://www.773grp.com/manufacturer/onsemi?pageNo=666", "Onsemi")</f>
        <v>Onsemi</v>
      </c>
      <c r="C6059" s="6">
        <v>13271</v>
      </c>
      <c r="D6059" s="7">
        <v>0.74</v>
      </c>
      <c r="E6059" t="s">
        <v>26</v>
      </c>
    </row>
    <row r="6060" spans="1:5" x14ac:dyDescent="0.25">
      <c r="A6060" t="str">
        <f>HYPERLINK("https://www.773grp.com/globalSearch/NCP301LSN32T1/page-1", "NCP301LSN32T1")</f>
        <v>NCP301LSN32T1</v>
      </c>
      <c r="B6060" s="3" t="str">
        <f>HYPERLINK("https://www.773grp.com/manufacturer/onsemi?pageNo=667", "Onsemi")</f>
        <v>Onsemi</v>
      </c>
      <c r="C6060" s="6">
        <v>15000</v>
      </c>
      <c r="D6060" s="7">
        <v>0.74</v>
      </c>
      <c r="E6060" t="s">
        <v>26</v>
      </c>
    </row>
    <row r="6061" spans="1:5" x14ac:dyDescent="0.25">
      <c r="A6061" t="str">
        <f>HYPERLINK("https://www.773grp.com/globalSearch/NCP301LSN33T1/page-1", "NCP301LSN33T1")</f>
        <v>NCP301LSN33T1</v>
      </c>
      <c r="B6061" s="3" t="str">
        <f>HYPERLINK("https://www.773grp.com/manufacturer/onsemi?pageNo=668", "Onsemi")</f>
        <v>Onsemi</v>
      </c>
      <c r="C6061" s="6">
        <v>17940</v>
      </c>
      <c r="D6061" s="7">
        <v>0.74</v>
      </c>
      <c r="E6061" t="s">
        <v>26</v>
      </c>
    </row>
    <row r="6062" spans="1:5" x14ac:dyDescent="0.25">
      <c r="A6062" t="str">
        <f>HYPERLINK("https://www.773grp.com/globalSearch/NCP301LSN34T1/page-1", "NCP301LSN34T1")</f>
        <v>NCP301LSN34T1</v>
      </c>
      <c r="B6062" s="3" t="str">
        <f>HYPERLINK("https://www.773grp.com/manufacturer/onsemi?pageNo=669", "Onsemi")</f>
        <v>Onsemi</v>
      </c>
      <c r="C6062" s="6">
        <v>6000</v>
      </c>
      <c r="D6062" s="7">
        <v>0.74</v>
      </c>
      <c r="E6062" t="s">
        <v>26</v>
      </c>
    </row>
    <row r="6063" spans="1:5" x14ac:dyDescent="0.25">
      <c r="A6063" t="str">
        <f>HYPERLINK("https://www.773grp.com/globalSearch/NCP301LSN40T1/page-1", "NCP301LSN40T1")</f>
        <v>NCP301LSN40T1</v>
      </c>
      <c r="B6063" s="3" t="str">
        <f>HYPERLINK("https://www.773grp.com/manufacturer/onsemi?pageNo=670", "Onsemi")</f>
        <v>Onsemi</v>
      </c>
      <c r="C6063" s="6">
        <v>1377</v>
      </c>
      <c r="D6063" s="7">
        <v>0.74</v>
      </c>
      <c r="E6063" t="s">
        <v>26</v>
      </c>
    </row>
    <row r="6064" spans="1:5" x14ac:dyDescent="0.25">
      <c r="A6064" t="str">
        <f>HYPERLINK("https://www.773grp.com/globalSearch/NCP301LSN46T1/page-1", "NCP301LSN46T1")</f>
        <v>NCP301LSN46T1</v>
      </c>
      <c r="B6064" s="3" t="str">
        <f>HYPERLINK("https://www.773grp.com/manufacturer/onsemi?pageNo=671", "Onsemi")</f>
        <v>Onsemi</v>
      </c>
      <c r="C6064" s="6">
        <v>21000</v>
      </c>
      <c r="D6064" s="7">
        <v>0.74</v>
      </c>
      <c r="E6064" t="s">
        <v>26</v>
      </c>
    </row>
    <row r="6065" spans="1:5" x14ac:dyDescent="0.25">
      <c r="A6065" t="str">
        <f>HYPERLINK("https://www.773grp.com/globalSearch/NCP301LSN47T1/page-1", "NCP301LSN47T1")</f>
        <v>NCP301LSN47T1</v>
      </c>
      <c r="B6065" s="3" t="str">
        <f>HYPERLINK("https://www.773grp.com/manufacturer/onsemi?pageNo=672", "Onsemi")</f>
        <v>Onsemi</v>
      </c>
      <c r="C6065" s="6">
        <v>96000</v>
      </c>
      <c r="D6065" s="7">
        <v>0.74</v>
      </c>
      <c r="E6065" t="s">
        <v>26</v>
      </c>
    </row>
    <row r="6066" spans="1:5" x14ac:dyDescent="0.25">
      <c r="A6066" t="str">
        <f>HYPERLINK("https://www.773grp.com/globalSearch/NCP302HSN09T1/page-1", "NCP302HSN09T1")</f>
        <v>NCP302HSN09T1</v>
      </c>
      <c r="B6066" s="3" t="str">
        <f>HYPERLINK("https://www.773grp.com/manufacturer/onsemi?pageNo=673", "Onsemi")</f>
        <v>Onsemi</v>
      </c>
      <c r="C6066" s="6">
        <v>9000</v>
      </c>
      <c r="D6066" s="7">
        <v>0.74</v>
      </c>
      <c r="E6066" t="s">
        <v>26</v>
      </c>
    </row>
    <row r="6067" spans="1:5" x14ac:dyDescent="0.25">
      <c r="A6067" t="str">
        <f>HYPERLINK("https://www.773grp.com/globalSearch/NCP302HSN27T1/page-1", "NCP302HSN27T1")</f>
        <v>NCP302HSN27T1</v>
      </c>
      <c r="B6067" s="3" t="str">
        <f>HYPERLINK("https://www.773grp.com/manufacturer/onsemi?pageNo=674", "Onsemi")</f>
        <v>Onsemi</v>
      </c>
      <c r="C6067" s="6">
        <v>6000</v>
      </c>
      <c r="D6067" s="7">
        <v>0.74</v>
      </c>
      <c r="E6067" t="s">
        <v>26</v>
      </c>
    </row>
    <row r="6068" spans="1:5" x14ac:dyDescent="0.25">
      <c r="A6068" t="str">
        <f>HYPERLINK("https://www.773grp.com/globalSearch/NCP302LSN09T1/page-1", "NCP302LSN09T1")</f>
        <v>NCP302LSN09T1</v>
      </c>
      <c r="B6068" s="3" t="str">
        <f>HYPERLINK("https://www.773grp.com/manufacturer/onsemi?pageNo=675", "Onsemi")</f>
        <v>Onsemi</v>
      </c>
      <c r="C6068" s="6">
        <v>36300</v>
      </c>
      <c r="D6068" s="7">
        <v>0.74</v>
      </c>
      <c r="E6068" t="s">
        <v>26</v>
      </c>
    </row>
    <row r="6069" spans="1:5" x14ac:dyDescent="0.25">
      <c r="A6069" t="str">
        <f>HYPERLINK("https://www.773grp.com/globalSearch/NCP302LSN38T1/page-1", "NCP302LSN38T1")</f>
        <v>NCP302LSN38T1</v>
      </c>
      <c r="B6069" s="3" t="str">
        <f>HYPERLINK("https://www.773grp.com/manufacturer/onsemi?pageNo=676", "Onsemi")</f>
        <v>Onsemi</v>
      </c>
      <c r="C6069" s="6">
        <v>11950</v>
      </c>
      <c r="D6069" s="7">
        <v>0.74</v>
      </c>
      <c r="E6069" t="s">
        <v>26</v>
      </c>
    </row>
    <row r="6070" spans="1:5" x14ac:dyDescent="0.25">
      <c r="A6070" t="str">
        <f>HYPERLINK("https://www.773grp.com/globalSearch/NCP302LSN40T1/page-1", "NCP302LSN40T1")</f>
        <v>NCP302LSN40T1</v>
      </c>
      <c r="B6070" s="3" t="str">
        <f>HYPERLINK("https://www.773grp.com/manufacturer/onsemi?pageNo=677", "Onsemi")</f>
        <v>Onsemi</v>
      </c>
      <c r="C6070" s="6">
        <v>58333</v>
      </c>
      <c r="D6070" s="7">
        <v>0.74</v>
      </c>
      <c r="E6070" t="s">
        <v>26</v>
      </c>
    </row>
    <row r="6071" spans="1:5" x14ac:dyDescent="0.25">
      <c r="A6071" t="str">
        <f>HYPERLINK("https://www.773grp.com/globalSearch/NCP302LSN45T1/page-1", "NCP302LSN45T1")</f>
        <v>NCP302LSN45T1</v>
      </c>
      <c r="B6071" s="3" t="str">
        <f>HYPERLINK("https://www.773grp.com/manufacturer/onsemi?pageNo=678", "Onsemi")</f>
        <v>Onsemi</v>
      </c>
      <c r="C6071" s="6">
        <v>21000</v>
      </c>
      <c r="D6071" s="7">
        <v>0.74</v>
      </c>
      <c r="E6071" t="s">
        <v>26</v>
      </c>
    </row>
    <row r="6072" spans="1:5" x14ac:dyDescent="0.25">
      <c r="A6072" t="str">
        <f>HYPERLINK("https://www.773grp.com/globalSearch/NCP303LSN11T1/page-1", "NCP303LSN11T1")</f>
        <v>NCP303LSN11T1</v>
      </c>
      <c r="B6072" s="3" t="str">
        <f>HYPERLINK("https://www.773grp.com/manufacturer/onsemi?pageNo=679", "Onsemi")</f>
        <v>Onsemi</v>
      </c>
      <c r="C6072" s="6">
        <v>12450</v>
      </c>
      <c r="D6072" s="7">
        <v>0.74</v>
      </c>
      <c r="E6072" t="s">
        <v>26</v>
      </c>
    </row>
    <row r="6073" spans="1:5" x14ac:dyDescent="0.25">
      <c r="A6073" t="str">
        <f>HYPERLINK("https://www.773grp.com/globalSearch/NCP303LSN13T1/page-1", "NCP303LSN13T1")</f>
        <v>NCP303LSN13T1</v>
      </c>
      <c r="B6073" s="3" t="str">
        <f>HYPERLINK("https://www.773grp.com/manufacturer/onsemi?pageNo=680", "Onsemi")</f>
        <v>Onsemi</v>
      </c>
      <c r="C6073" s="6">
        <v>16238</v>
      </c>
      <c r="D6073" s="7">
        <v>0.74</v>
      </c>
      <c r="E6073" t="s">
        <v>26</v>
      </c>
    </row>
    <row r="6074" spans="1:5" x14ac:dyDescent="0.25">
      <c r="A6074" t="str">
        <f>HYPERLINK("https://www.773grp.com/globalSearch/NCP303LSN14T1/page-1", "NCP303LSN14T1")</f>
        <v>NCP303LSN14T1</v>
      </c>
      <c r="B6074" s="3" t="str">
        <f>HYPERLINK("https://www.773grp.com/manufacturer/onsemi?pageNo=681", "Onsemi")</f>
        <v>Onsemi</v>
      </c>
      <c r="C6074" s="6">
        <v>38649</v>
      </c>
      <c r="D6074" s="7">
        <v>0.74</v>
      </c>
      <c r="E6074" t="s">
        <v>26</v>
      </c>
    </row>
    <row r="6075" spans="1:5" x14ac:dyDescent="0.25">
      <c r="A6075" t="str">
        <f>HYPERLINK("https://www.773grp.com/globalSearch/NCP303LSN22T1/page-1", "NCP303LSN22T1")</f>
        <v>NCP303LSN22T1</v>
      </c>
      <c r="B6075" s="3" t="str">
        <f>HYPERLINK("https://www.773grp.com/manufacturer/onsemi?pageNo=682", "Onsemi")</f>
        <v>Onsemi</v>
      </c>
      <c r="C6075" s="6">
        <v>3000</v>
      </c>
      <c r="D6075" s="7">
        <v>0.74</v>
      </c>
      <c r="E6075" t="s">
        <v>26</v>
      </c>
    </row>
    <row r="6076" spans="1:5" x14ac:dyDescent="0.25">
      <c r="A6076" t="str">
        <f>HYPERLINK("https://www.773grp.com/globalSearch/NCP303LSN23T1/page-1", "NCP303LSN23T1")</f>
        <v>NCP303LSN23T1</v>
      </c>
      <c r="B6076" s="3" t="str">
        <f>HYPERLINK("https://www.773grp.com/manufacturer/onsemi?pageNo=683", "Onsemi")</f>
        <v>Onsemi</v>
      </c>
      <c r="C6076" s="6">
        <v>16230</v>
      </c>
      <c r="D6076" s="7">
        <v>0.74</v>
      </c>
      <c r="E6076" t="s">
        <v>26</v>
      </c>
    </row>
    <row r="6077" spans="1:5" x14ac:dyDescent="0.25">
      <c r="A6077" t="str">
        <f>HYPERLINK("https://www.773grp.com/globalSearch/NCP303LSN25T1/page-1", "NCP303LSN25T1")</f>
        <v>NCP303LSN25T1</v>
      </c>
      <c r="B6077" s="3" t="str">
        <f>HYPERLINK("https://www.773grp.com/manufacturer/onsemi?pageNo=684", "Onsemi")</f>
        <v>Onsemi</v>
      </c>
      <c r="C6077" s="6">
        <v>106980</v>
      </c>
      <c r="D6077" s="7">
        <v>0.74</v>
      </c>
      <c r="E6077" t="s">
        <v>26</v>
      </c>
    </row>
    <row r="6078" spans="1:5" x14ac:dyDescent="0.25">
      <c r="A6078" t="str">
        <f>HYPERLINK("https://www.773grp.com/globalSearch/NCP303LSN27T1/page-1", "NCP303LSN27T1")</f>
        <v>NCP303LSN27T1</v>
      </c>
      <c r="B6078" s="3" t="str">
        <f>HYPERLINK("https://www.773grp.com/manufacturer/onsemi?pageNo=685", "Onsemi")</f>
        <v>Onsemi</v>
      </c>
      <c r="C6078" s="6">
        <v>1479</v>
      </c>
      <c r="D6078" s="7">
        <v>0.74</v>
      </c>
      <c r="E6078" t="s">
        <v>26</v>
      </c>
    </row>
    <row r="6079" spans="1:5" x14ac:dyDescent="0.25">
      <c r="A6079" t="str">
        <f>HYPERLINK("https://www.773grp.com/globalSearch/NCP303LSN33T1/page-1", "NCP303LSN33T1")</f>
        <v>NCP303LSN33T1</v>
      </c>
      <c r="B6079" s="3" t="str">
        <f>HYPERLINK("https://www.773grp.com/manufacturer/onsemi?pageNo=686", "Onsemi")</f>
        <v>Onsemi</v>
      </c>
      <c r="C6079" s="6">
        <v>32850</v>
      </c>
      <c r="D6079" s="7">
        <v>0.74</v>
      </c>
      <c r="E6079" t="s">
        <v>26</v>
      </c>
    </row>
    <row r="6080" spans="1:5" x14ac:dyDescent="0.25">
      <c r="A6080" t="str">
        <f>HYPERLINK("https://www.773grp.com/globalSearch/NCP303LSN36T1/page-1", "NCP303LSN36T1")</f>
        <v>NCP303LSN36T1</v>
      </c>
      <c r="B6080" s="3" t="str">
        <f>HYPERLINK("https://www.773grp.com/manufacturer/onsemi?pageNo=687", "Onsemi")</f>
        <v>Onsemi</v>
      </c>
      <c r="C6080" s="6">
        <v>29950</v>
      </c>
      <c r="D6080" s="7">
        <v>0.74</v>
      </c>
      <c r="E6080" t="s">
        <v>26</v>
      </c>
    </row>
    <row r="6081" spans="1:5" x14ac:dyDescent="0.25">
      <c r="A6081" t="str">
        <f>HYPERLINK("https://www.773grp.com/globalSearch/NCP303LSN44T1/page-1", "NCP303LSN44T1")</f>
        <v>NCP303LSN44T1</v>
      </c>
      <c r="B6081" s="3" t="str">
        <f>HYPERLINK("https://www.773grp.com/manufacturer/onsemi?pageNo=688", "Onsemi")</f>
        <v>Onsemi</v>
      </c>
      <c r="C6081" s="6">
        <v>9000</v>
      </c>
      <c r="D6081" s="7">
        <v>0.74</v>
      </c>
      <c r="E6081" t="s">
        <v>26</v>
      </c>
    </row>
    <row r="6082" spans="1:5" x14ac:dyDescent="0.25">
      <c r="A6082" t="str">
        <f>HYPERLINK("https://www.773grp.com/globalSearch/NCP303LSN46T1/page-1", "NCP303LSN46T1")</f>
        <v>NCP303LSN46T1</v>
      </c>
      <c r="B6082" s="3" t="str">
        <f>HYPERLINK("https://www.773grp.com/manufacturer/onsemi?pageNo=689", "Onsemi")</f>
        <v>Onsemi</v>
      </c>
      <c r="C6082" s="6">
        <v>24000</v>
      </c>
      <c r="D6082" s="7">
        <v>0.74</v>
      </c>
      <c r="E6082" t="s">
        <v>26</v>
      </c>
    </row>
    <row r="6083" spans="1:5" x14ac:dyDescent="0.25">
      <c r="A6083" t="str">
        <f>HYPERLINK("https://www.773grp.com/globalSearch/NCP303LSN49T1/page-1", "NCP303LSN49T1")</f>
        <v>NCP303LSN49T1</v>
      </c>
      <c r="B6083" s="3" t="str">
        <f>HYPERLINK("https://www.773grp.com/manufacturer/onsemi?pageNo=690", "Onsemi")</f>
        <v>Onsemi</v>
      </c>
      <c r="C6083" s="6">
        <v>15510</v>
      </c>
      <c r="D6083" s="7">
        <v>0.74</v>
      </c>
      <c r="E6083" t="s">
        <v>26</v>
      </c>
    </row>
    <row r="6084" spans="1:5" x14ac:dyDescent="0.25">
      <c r="A6084" t="str">
        <f>HYPERLINK("https://www.773grp.com/globalSearch/NCP5359ADR2G/page-1", "NCP5359ADR2G")</f>
        <v>NCP5359ADR2G</v>
      </c>
      <c r="B6084" s="3" t="str">
        <f>HYPERLINK("https://www.773grp.com/manufacturer/onsemi?pageNo=691", "Onsemi")</f>
        <v>Onsemi</v>
      </c>
      <c r="C6084" s="6">
        <v>210000</v>
      </c>
      <c r="D6084" s="7">
        <v>0.74</v>
      </c>
      <c r="E6084" t="s">
        <v>5</v>
      </c>
    </row>
    <row r="6085" spans="1:5" x14ac:dyDescent="0.25">
      <c r="A6085" t="str">
        <f>HYPERLINK("https://www.773grp.com/globalSearch/NCP5359DR2G/page-1", "NCP5359DR2G")</f>
        <v>NCP5359DR2G</v>
      </c>
      <c r="B6085" s="3" t="str">
        <f>HYPERLINK("https://www.773grp.com/manufacturer/onsemi?pageNo=692", "Onsemi")</f>
        <v>Onsemi</v>
      </c>
      <c r="C6085" s="6">
        <v>8341</v>
      </c>
      <c r="D6085" s="7">
        <v>0.74</v>
      </c>
      <c r="E6085" t="s">
        <v>12</v>
      </c>
    </row>
    <row r="6086" spans="1:5" x14ac:dyDescent="0.25">
      <c r="A6086" t="str">
        <f>HYPERLINK("https://www.773grp.com/globalSearch/NCP583XV15T1G/page-1", "NCP583XV15T1G")</f>
        <v>NCP583XV15T1G</v>
      </c>
      <c r="B6086" s="3" t="str">
        <f>HYPERLINK("https://www.773grp.com/manufacturer/onsemi?pageNo=693", "Onsemi")</f>
        <v>Onsemi</v>
      </c>
      <c r="C6086" s="6">
        <v>3998</v>
      </c>
      <c r="D6086" s="7">
        <v>0.74</v>
      </c>
      <c r="E6086" t="s">
        <v>15</v>
      </c>
    </row>
    <row r="6087" spans="1:5" x14ac:dyDescent="0.25">
      <c r="A6087" t="str">
        <f>HYPERLINK("https://www.773grp.com/globalSearch/NCS2561SQT1G/page-1", "NCS2561SQT1G")</f>
        <v>NCS2561SQT1G</v>
      </c>
      <c r="B6087" s="3" t="str">
        <f>HYPERLINK("https://www.773grp.com/manufacturer/onsemi?pageNo=694", "Onsemi")</f>
        <v>Onsemi</v>
      </c>
      <c r="C6087" s="6">
        <v>60000</v>
      </c>
      <c r="D6087" s="7">
        <v>0.74</v>
      </c>
      <c r="E6087" t="s">
        <v>14</v>
      </c>
    </row>
    <row r="6088" spans="1:5" x14ac:dyDescent="0.25">
      <c r="A6088" t="str">
        <f>HYPERLINK("https://www.773grp.com/globalSearch/NE592D8/page-1", "NE592D8")</f>
        <v>NE592D8</v>
      </c>
      <c r="B6088" s="3" t="str">
        <f>HYPERLINK("https://www.773grp.com/manufacturer/onsemi?pageNo=695", "Onsemi")</f>
        <v>Onsemi</v>
      </c>
      <c r="C6088" s="6">
        <v>88</v>
      </c>
      <c r="D6088" s="7">
        <v>0.74</v>
      </c>
      <c r="E6088" t="s">
        <v>14</v>
      </c>
    </row>
    <row r="6089" spans="1:5" x14ac:dyDescent="0.25">
      <c r="A6089" t="str">
        <f>HYPERLINK("https://www.773grp.com/globalSearch/NJVBDW42/page-1", "NJVBDW42")</f>
        <v>NJVBDW42</v>
      </c>
      <c r="B6089" s="3" t="str">
        <f>HYPERLINK("https://www.773grp.com/manufacturer/onsemi?pageNo=696", "Onsemi")</f>
        <v>Onsemi</v>
      </c>
      <c r="C6089" s="6">
        <v>61</v>
      </c>
      <c r="D6089" s="7">
        <v>0.74</v>
      </c>
    </row>
    <row r="6090" spans="1:5" x14ac:dyDescent="0.25">
      <c r="A6090" t="str">
        <f>HYPERLINK("https://www.773grp.com/globalSearch/NL7SZ18DFT2G/page-1", "NL7SZ18DFT2G")</f>
        <v>NL7SZ18DFT2G</v>
      </c>
      <c r="B6090" s="3" t="str">
        <f>HYPERLINK("https://www.773grp.com/manufacturer/onsemi?pageNo=697", "Onsemi")</f>
        <v>Onsemi</v>
      </c>
      <c r="C6090" s="6">
        <v>30000</v>
      </c>
      <c r="D6090" s="7">
        <v>0.74</v>
      </c>
      <c r="E6090" t="s">
        <v>32</v>
      </c>
    </row>
    <row r="6091" spans="1:5" x14ac:dyDescent="0.25">
      <c r="A6091" t="str">
        <f>HYPERLINK("https://www.773grp.com/globalSearch/NL7SZ19DFT2G/page-1", "NL7SZ19DFT2G")</f>
        <v>NL7SZ19DFT2G</v>
      </c>
      <c r="B6091" s="3" t="str">
        <f>HYPERLINK("https://www.773grp.com/manufacturer/onsemi?pageNo=698", "Onsemi")</f>
        <v>Onsemi</v>
      </c>
      <c r="C6091" s="6">
        <v>2176617</v>
      </c>
      <c r="D6091" s="7">
        <v>0.74</v>
      </c>
      <c r="E6091" t="s">
        <v>32</v>
      </c>
    </row>
    <row r="6092" spans="1:5" x14ac:dyDescent="0.25">
      <c r="A6092" t="str">
        <f>HYPERLINK("https://www.773grp.com/globalSearch/NLV14001BDG/page-1", "NLV14001BDG")</f>
        <v>NLV14001BDG</v>
      </c>
      <c r="B6092" s="3" t="str">
        <f>HYPERLINK("https://www.773grp.com/manufacturer/onsemi?pageNo=699", "Onsemi")</f>
        <v>Onsemi</v>
      </c>
      <c r="C6092" s="6">
        <v>60</v>
      </c>
      <c r="D6092" s="7">
        <v>0.74</v>
      </c>
    </row>
    <row r="6093" spans="1:5" x14ac:dyDescent="0.25">
      <c r="A6093" t="str">
        <f>HYPERLINK("https://www.773grp.com/globalSearch/NLV14001BDR2G/page-1", "NLV14001BDR2G")</f>
        <v>NLV14001BDR2G</v>
      </c>
      <c r="B6093" s="3" t="str">
        <f>HYPERLINK("https://www.773grp.com/manufacturer/onsemi?pageNo=700", "Onsemi")</f>
        <v>Onsemi</v>
      </c>
      <c r="C6093" s="6">
        <v>305000</v>
      </c>
      <c r="D6093" s="7">
        <v>0.74</v>
      </c>
    </row>
    <row r="6094" spans="1:5" x14ac:dyDescent="0.25">
      <c r="A6094" t="str">
        <f>HYPERLINK("https://www.773grp.com/globalSearch/NLV14001UBDR2G/page-1", "NLV14001UBDR2G")</f>
        <v>NLV14001UBDR2G</v>
      </c>
      <c r="B6094" s="3" t="str">
        <f>HYPERLINK("https://www.773grp.com/manufacturer/onsemi?pageNo=701", "Onsemi")</f>
        <v>Onsemi</v>
      </c>
      <c r="C6094" s="6">
        <v>2400</v>
      </c>
      <c r="D6094" s="7">
        <v>0.74</v>
      </c>
    </row>
    <row r="6095" spans="1:5" x14ac:dyDescent="0.25">
      <c r="A6095" t="str">
        <f>HYPERLINK("https://www.773grp.com/globalSearch/NLV14007UBDR2G/page-1", "NLV14007UBDR2G")</f>
        <v>NLV14007UBDR2G</v>
      </c>
      <c r="B6095" s="3" t="str">
        <f>HYPERLINK("https://www.773grp.com/manufacturer/onsemi?pageNo=702", "Onsemi")</f>
        <v>Onsemi</v>
      </c>
      <c r="C6095" s="6">
        <v>482500</v>
      </c>
      <c r="D6095" s="7">
        <v>0.74</v>
      </c>
    </row>
    <row r="6096" spans="1:5" x14ac:dyDescent="0.25">
      <c r="A6096" t="str">
        <f>HYPERLINK("https://www.773grp.com/globalSearch/NLV14011BDR2G/page-1", "NLV14011BDR2G")</f>
        <v>NLV14011BDR2G</v>
      </c>
      <c r="B6096" s="3" t="str">
        <f>HYPERLINK("https://www.773grp.com/manufacturer/onsemi?pageNo=703", "Onsemi")</f>
        <v>Onsemi</v>
      </c>
      <c r="C6096" s="6">
        <v>1848</v>
      </c>
      <c r="D6096" s="7">
        <v>0.74</v>
      </c>
    </row>
    <row r="6097" spans="1:4" x14ac:dyDescent="0.25">
      <c r="A6097" t="str">
        <f>HYPERLINK("https://www.773grp.com/globalSearch/NLV14011UBDR2G/page-1", "NLV14011UBDR2G")</f>
        <v>NLV14011UBDR2G</v>
      </c>
      <c r="B6097" s="3" t="str">
        <f>HYPERLINK("https://www.773grp.com/manufacturer/onsemi?pageNo=704", "Onsemi")</f>
        <v>Onsemi</v>
      </c>
      <c r="C6097" s="6">
        <v>5000</v>
      </c>
      <c r="D6097" s="7">
        <v>0.74</v>
      </c>
    </row>
    <row r="6098" spans="1:4" x14ac:dyDescent="0.25">
      <c r="A6098" t="str">
        <f>HYPERLINK("https://www.773grp.com/globalSearch/NLV14012BDR2G/page-1", "NLV14012BDR2G")</f>
        <v>NLV14012BDR2G</v>
      </c>
      <c r="B6098" s="3" t="str">
        <f>HYPERLINK("https://www.773grp.com/manufacturer/onsemi?pageNo=705", "Onsemi")</f>
        <v>Onsemi</v>
      </c>
      <c r="C6098" s="6">
        <v>2200</v>
      </c>
      <c r="D6098" s="7">
        <v>0.74</v>
      </c>
    </row>
    <row r="6099" spans="1:4" x14ac:dyDescent="0.25">
      <c r="A6099" t="str">
        <f>HYPERLINK("https://www.773grp.com/globalSearch/NLV14023BDR2G/page-1", "NLV14023BDR2G")</f>
        <v>NLV14023BDR2G</v>
      </c>
      <c r="B6099" s="3" t="str">
        <f>HYPERLINK("https://www.773grp.com/manufacturer/onsemi?pageNo=706", "Onsemi")</f>
        <v>Onsemi</v>
      </c>
      <c r="C6099" s="6">
        <v>2345</v>
      </c>
      <c r="D6099" s="7">
        <v>0.74</v>
      </c>
    </row>
    <row r="6100" spans="1:4" x14ac:dyDescent="0.25">
      <c r="A6100" t="str">
        <f>HYPERLINK("https://www.773grp.com/globalSearch/NLV14069UBDG/page-1", "NLV14069UBDG")</f>
        <v>NLV14069UBDG</v>
      </c>
      <c r="B6100" s="3" t="str">
        <f>HYPERLINK("https://www.773grp.com/manufacturer/onsemi?pageNo=707", "Onsemi")</f>
        <v>Onsemi</v>
      </c>
      <c r="C6100" s="6">
        <v>10</v>
      </c>
      <c r="D6100" s="7">
        <v>0.74</v>
      </c>
    </row>
    <row r="6101" spans="1:4" x14ac:dyDescent="0.25">
      <c r="A6101" t="str">
        <f>HYPERLINK("https://www.773grp.com/globalSearch/NLV14069UBDR2G/page-1", "NLV14069UBDR2G")</f>
        <v>NLV14069UBDR2G</v>
      </c>
      <c r="B6101" s="3" t="str">
        <f>HYPERLINK("https://www.773grp.com/manufacturer/onsemi?pageNo=708", "Onsemi")</f>
        <v>Onsemi</v>
      </c>
      <c r="C6101" s="6">
        <v>1803</v>
      </c>
      <c r="D6101" s="7">
        <v>0.74</v>
      </c>
    </row>
    <row r="6102" spans="1:4" x14ac:dyDescent="0.25">
      <c r="A6102" t="str">
        <f>HYPERLINK("https://www.773grp.com/globalSearch/NLV14070BDR2G/page-1", "NLV14070BDR2G")</f>
        <v>NLV14070BDR2G</v>
      </c>
      <c r="B6102" s="3" t="str">
        <f>HYPERLINK("https://www.773grp.com/manufacturer/onsemi?pageNo=709", "Onsemi")</f>
        <v>Onsemi</v>
      </c>
      <c r="C6102" s="6">
        <v>35261</v>
      </c>
      <c r="D6102" s="7">
        <v>0.74</v>
      </c>
    </row>
    <row r="6103" spans="1:4" x14ac:dyDescent="0.25">
      <c r="A6103" t="str">
        <f>HYPERLINK("https://www.773grp.com/globalSearch/NLV14071BDG/page-1", "NLV14071BDG")</f>
        <v>NLV14071BDG</v>
      </c>
      <c r="B6103" s="3" t="str">
        <f>HYPERLINK("https://www.773grp.com/manufacturer/onsemi?pageNo=710", "Onsemi")</f>
        <v>Onsemi</v>
      </c>
      <c r="C6103" s="6">
        <v>45</v>
      </c>
      <c r="D6103" s="7">
        <v>0.74</v>
      </c>
    </row>
    <row r="6104" spans="1:4" x14ac:dyDescent="0.25">
      <c r="A6104" t="str">
        <f>HYPERLINK("https://www.773grp.com/globalSearch/NLV14077BDR2G/page-1", "NLV14077BDR2G")</f>
        <v>NLV14077BDR2G</v>
      </c>
      <c r="B6104" s="3" t="str">
        <f>HYPERLINK("https://www.773grp.com/manufacturer/onsemi?pageNo=711", "Onsemi")</f>
        <v>Onsemi</v>
      </c>
      <c r="C6104" s="6">
        <v>11752</v>
      </c>
      <c r="D6104" s="7">
        <v>0.74</v>
      </c>
    </row>
    <row r="6105" spans="1:4" x14ac:dyDescent="0.25">
      <c r="A6105" t="str">
        <f>HYPERLINK("https://www.773grp.com/globalSearch/NLV14081BDG/page-1", "NLV14081BDG")</f>
        <v>NLV14081BDG</v>
      </c>
      <c r="B6105" s="3" t="str">
        <f>HYPERLINK("https://www.773grp.com/manufacturer/onsemi?pageNo=712", "Onsemi")</f>
        <v>Onsemi</v>
      </c>
      <c r="C6105" s="6">
        <v>15</v>
      </c>
      <c r="D6105" s="7">
        <v>0.74</v>
      </c>
    </row>
    <row r="6106" spans="1:4" x14ac:dyDescent="0.25">
      <c r="A6106" t="str">
        <f>HYPERLINK("https://www.773grp.com/globalSearch/NLV14081BDR2G/page-1", "NLV14081BDR2G")</f>
        <v>NLV14081BDR2G</v>
      </c>
      <c r="B6106" s="3" t="str">
        <f>HYPERLINK("https://www.773grp.com/manufacturer/onsemi?pageNo=713", "Onsemi")</f>
        <v>Onsemi</v>
      </c>
      <c r="C6106" s="6">
        <v>1267</v>
      </c>
      <c r="D6106" s="7">
        <v>0.74</v>
      </c>
    </row>
    <row r="6107" spans="1:4" x14ac:dyDescent="0.25">
      <c r="A6107" t="str">
        <f>HYPERLINK("https://www.773grp.com/globalSearch/NLV14081BDTR2G/page-1", "NLV14081BDTR2G")</f>
        <v>NLV14081BDTR2G</v>
      </c>
      <c r="B6107" s="3" t="str">
        <f>HYPERLINK("https://www.773grp.com/manufacturer/onsemi?pageNo=714", "Onsemi")</f>
        <v>Onsemi</v>
      </c>
      <c r="C6107" s="6">
        <v>44</v>
      </c>
      <c r="D6107" s="7">
        <v>0.74</v>
      </c>
    </row>
    <row r="6108" spans="1:4" x14ac:dyDescent="0.25">
      <c r="A6108" t="str">
        <f>HYPERLINK("https://www.773grp.com/globalSearch/NLV14082BDG/page-1", "NLV14082BDG")</f>
        <v>NLV14082BDG</v>
      </c>
      <c r="B6108" s="3" t="str">
        <f>HYPERLINK("https://www.773grp.com/manufacturer/onsemi?pageNo=715", "Onsemi")</f>
        <v>Onsemi</v>
      </c>
      <c r="C6108" s="6">
        <v>6265</v>
      </c>
      <c r="D6108" s="7">
        <v>0.74</v>
      </c>
    </row>
    <row r="6109" spans="1:4" x14ac:dyDescent="0.25">
      <c r="A6109" t="str">
        <f>HYPERLINK("https://www.773grp.com/globalSearch/NLV74HC04ANG/page-1", "NLV74HC04ANG")</f>
        <v>NLV74HC04ANG</v>
      </c>
      <c r="B6109" s="3" t="str">
        <f>HYPERLINK("https://www.773grp.com/manufacturer/onsemi?pageNo=716", "Onsemi")</f>
        <v>Onsemi</v>
      </c>
      <c r="C6109" s="6">
        <v>4024</v>
      </c>
      <c r="D6109" s="7">
        <v>0.74</v>
      </c>
    </row>
    <row r="6110" spans="1:4" x14ac:dyDescent="0.25">
      <c r="A6110" t="str">
        <f>HYPERLINK("https://www.773grp.com/globalSearch/NLV74HC157ADR2G/page-1", "NLV74HC157ADR2G")</f>
        <v>NLV74HC157ADR2G</v>
      </c>
      <c r="B6110" s="3" t="str">
        <f>HYPERLINK("https://www.773grp.com/manufacturer/onsemi?pageNo=717", "Onsemi")</f>
        <v>Onsemi</v>
      </c>
      <c r="C6110" s="6">
        <v>610</v>
      </c>
      <c r="D6110" s="7">
        <v>0.74</v>
      </c>
    </row>
    <row r="6111" spans="1:4" x14ac:dyDescent="0.25">
      <c r="A6111" t="str">
        <f>HYPERLINK("https://www.773grp.com/globalSearch/NLV74HC4066ADR2G/page-1", "NLV74HC4066ADR2G")</f>
        <v>NLV74HC4066ADR2G</v>
      </c>
      <c r="B6111" s="3" t="str">
        <f>HYPERLINK("https://www.773grp.com/manufacturer/onsemi?pageNo=718", "Onsemi")</f>
        <v>Onsemi</v>
      </c>
      <c r="C6111" s="6">
        <v>5931</v>
      </c>
      <c r="D6111" s="7">
        <v>0.74</v>
      </c>
    </row>
    <row r="6112" spans="1:4" x14ac:dyDescent="0.25">
      <c r="A6112" t="str">
        <f>HYPERLINK("https://www.773grp.com/globalSearch/NSB9435T1G/page-1", "NSB9435T1G")</f>
        <v>NSB9435T1G</v>
      </c>
      <c r="B6112" s="3" t="str">
        <f>HYPERLINK("https://www.773grp.com/manufacturer/onsemi?pageNo=719", "Onsemi")</f>
        <v>Onsemi</v>
      </c>
      <c r="C6112" s="6">
        <v>2000</v>
      </c>
      <c r="D6112" s="7">
        <v>0.74</v>
      </c>
    </row>
    <row r="6113" spans="1:5" x14ac:dyDescent="0.25">
      <c r="A6113" t="str">
        <f>HYPERLINK("https://www.773grp.com/globalSearch/NSIC2030BT3G/page-1", "NSIC2030BT3G")</f>
        <v>NSIC2030BT3G</v>
      </c>
      <c r="B6113" s="3" t="str">
        <f>HYPERLINK("https://www.773grp.com/manufacturer/onsemi?pageNo=720", "Onsemi")</f>
        <v>Onsemi</v>
      </c>
      <c r="C6113" s="6">
        <v>5000</v>
      </c>
      <c r="D6113" s="7">
        <v>0.74</v>
      </c>
    </row>
    <row r="6114" spans="1:5" x14ac:dyDescent="0.25">
      <c r="A6114" t="str">
        <f>HYPERLINK("https://www.773grp.com/globalSearch/NSS12600CF8T1G/page-1", "NSS12600CF8T1G")</f>
        <v>NSS12600CF8T1G</v>
      </c>
      <c r="B6114" s="3" t="str">
        <f>HYPERLINK("https://www.773grp.com/manufacturer/onsemi?pageNo=721", "Onsemi")</f>
        <v>Onsemi</v>
      </c>
      <c r="C6114" s="6">
        <v>355368</v>
      </c>
      <c r="D6114" s="7">
        <v>0.74</v>
      </c>
      <c r="E6114" t="s">
        <v>57</v>
      </c>
    </row>
    <row r="6115" spans="1:5" x14ac:dyDescent="0.25">
      <c r="A6115" t="str">
        <f>HYPERLINK("https://www.773grp.com/globalSearch/NSS20200W6T1G/page-1", "NSS20200W6T1G")</f>
        <v>NSS20200W6T1G</v>
      </c>
      <c r="B6115" s="3" t="str">
        <f>HYPERLINK("https://www.773grp.com/manufacturer/onsemi?pageNo=722", "Onsemi")</f>
        <v>Onsemi</v>
      </c>
      <c r="C6115" s="6">
        <v>20185</v>
      </c>
      <c r="D6115" s="7">
        <v>0.74</v>
      </c>
      <c r="E6115" t="s">
        <v>57</v>
      </c>
    </row>
    <row r="6116" spans="1:5" x14ac:dyDescent="0.25">
      <c r="A6116" t="str">
        <f>HYPERLINK("https://www.773grp.com/globalSearch/NSS20600CF8T1G/page-1", "NSS20600CF8T1G")</f>
        <v>NSS20600CF8T1G</v>
      </c>
      <c r="B6116" s="3" t="str">
        <f>HYPERLINK("https://www.773grp.com/manufacturer/onsemi?pageNo=723", "Onsemi")</f>
        <v>Onsemi</v>
      </c>
      <c r="C6116" s="6">
        <v>362823</v>
      </c>
      <c r="D6116" s="7">
        <v>0.74</v>
      </c>
      <c r="E6116" t="s">
        <v>57</v>
      </c>
    </row>
    <row r="6117" spans="1:5" x14ac:dyDescent="0.25">
      <c r="A6117" t="str">
        <f>HYPERLINK("https://www.773grp.com/globalSearch/NSS40300MZ4T1G/page-1", "NSS40300MZ4T1G")</f>
        <v>NSS40300MZ4T1G</v>
      </c>
      <c r="B6117" s="3" t="str">
        <f>HYPERLINK("https://www.773grp.com/manufacturer/onsemi?pageNo=724", "Onsemi")</f>
        <v>Onsemi</v>
      </c>
      <c r="C6117" s="6">
        <v>6000</v>
      </c>
      <c r="D6117" s="7">
        <v>0.74</v>
      </c>
      <c r="E6117" t="s">
        <v>57</v>
      </c>
    </row>
    <row r="6118" spans="1:5" x14ac:dyDescent="0.25">
      <c r="A6118" t="str">
        <f>HYPERLINK("https://www.773grp.com/globalSearch/NSS40400CF8T1G/page-1", "NSS40400CF8T1G")</f>
        <v>NSS40400CF8T1G</v>
      </c>
      <c r="B6118" s="3" t="str">
        <f>HYPERLINK("https://www.773grp.com/manufacturer/onsemi?pageNo=725", "Onsemi")</f>
        <v>Onsemi</v>
      </c>
      <c r="C6118" s="6">
        <v>6000</v>
      </c>
      <c r="D6118" s="7">
        <v>0.74</v>
      </c>
      <c r="E6118" t="s">
        <v>57</v>
      </c>
    </row>
    <row r="6119" spans="1:5" x14ac:dyDescent="0.25">
      <c r="A6119" t="str">
        <f>HYPERLINK("https://www.773grp.com/globalSearch/NTD20N06L-1G/page-1", "NTD20N06L-1G")</f>
        <v>NTD20N06L-1G</v>
      </c>
      <c r="B6119" s="3" t="str">
        <f>HYPERLINK("https://www.773grp.com/manufacturer/onsemi?pageNo=726", "Onsemi")</f>
        <v>Onsemi</v>
      </c>
      <c r="C6119" s="6">
        <v>4393</v>
      </c>
      <c r="D6119" s="7">
        <v>0.74</v>
      </c>
      <c r="E6119" t="s">
        <v>84</v>
      </c>
    </row>
    <row r="6120" spans="1:5" x14ac:dyDescent="0.25">
      <c r="A6120" t="str">
        <f>HYPERLINK("https://www.773grp.com/globalSearch/NTD24N06L-001/page-1", "NTD24N06L-001")</f>
        <v>NTD24N06L-001</v>
      </c>
      <c r="B6120" s="3" t="str">
        <f>HYPERLINK("https://www.773grp.com/manufacturer/onsemi?pageNo=727", "Onsemi")</f>
        <v>Onsemi</v>
      </c>
      <c r="C6120" s="6">
        <v>8795</v>
      </c>
      <c r="D6120" s="7">
        <v>0.74</v>
      </c>
    </row>
    <row r="6121" spans="1:5" x14ac:dyDescent="0.25">
      <c r="A6121" t="str">
        <f>HYPERLINK("https://www.773grp.com/globalSearch/NTD3055-150-1G/page-1", "NTD3055-150-1G")</f>
        <v>NTD3055-150-1G</v>
      </c>
      <c r="B6121" s="3" t="str">
        <f>HYPERLINK("https://www.773grp.com/manufacturer/onsemi?pageNo=728", "Onsemi")</f>
        <v>Onsemi</v>
      </c>
      <c r="C6121" s="6">
        <v>14901</v>
      </c>
      <c r="D6121" s="7">
        <v>0.74</v>
      </c>
      <c r="E6121" t="s">
        <v>84</v>
      </c>
    </row>
    <row r="6122" spans="1:5" x14ac:dyDescent="0.25">
      <c r="A6122" t="str">
        <f>HYPERLINK("https://www.773grp.com/globalSearch/NTD4809N-35H/page-1", "NTD4809N-35H")</f>
        <v>NTD4809N-35H</v>
      </c>
      <c r="B6122" s="3" t="str">
        <f>HYPERLINK("https://www.773grp.com/manufacturer/onsemi?pageNo=729", "Onsemi")</f>
        <v>Onsemi</v>
      </c>
      <c r="C6122" s="6">
        <v>100425</v>
      </c>
      <c r="D6122" s="7">
        <v>0.74</v>
      </c>
    </row>
    <row r="6123" spans="1:5" x14ac:dyDescent="0.25">
      <c r="A6123" t="str">
        <f>HYPERLINK("https://www.773grp.com/globalSearch/NTD4809NA-35G/page-1", "NTD4809NA-35G")</f>
        <v>NTD4809NA-35G</v>
      </c>
      <c r="B6123" s="3" t="str">
        <f>HYPERLINK("https://www.773grp.com/manufacturer/onsemi?pageNo=730", "Onsemi")</f>
        <v>Onsemi</v>
      </c>
      <c r="C6123" s="6">
        <v>2840</v>
      </c>
      <c r="D6123" s="7">
        <v>0.74</v>
      </c>
    </row>
    <row r="6124" spans="1:5" x14ac:dyDescent="0.25">
      <c r="A6124" t="str">
        <f>HYPERLINK("https://www.773grp.com/globalSearch/NTD4809NT4H/page-1", "NTD4809NT4H")</f>
        <v>NTD4809NT4H</v>
      </c>
      <c r="B6124" s="3" t="str">
        <f>HYPERLINK("https://www.773grp.com/manufacturer/onsemi?pageNo=731", "Onsemi")</f>
        <v>Onsemi</v>
      </c>
      <c r="C6124" s="6">
        <v>30000</v>
      </c>
      <c r="D6124" s="7">
        <v>0.74</v>
      </c>
    </row>
    <row r="6125" spans="1:5" x14ac:dyDescent="0.25">
      <c r="A6125" t="str">
        <f>HYPERLINK("https://www.773grp.com/globalSearch/NTD4810N-1G/page-1", "NTD4810N-1G")</f>
        <v>NTD4810N-1G</v>
      </c>
      <c r="B6125" s="3" t="str">
        <f>HYPERLINK("https://www.773grp.com/manufacturer/onsemi?pageNo=732", "Onsemi")</f>
        <v>Onsemi</v>
      </c>
      <c r="C6125" s="6">
        <v>9550</v>
      </c>
      <c r="D6125" s="7">
        <v>0.74</v>
      </c>
      <c r="E6125" t="s">
        <v>84</v>
      </c>
    </row>
    <row r="6126" spans="1:5" x14ac:dyDescent="0.25">
      <c r="A6126" t="str">
        <f>HYPERLINK("https://www.773grp.com/globalSearch/NTD4810N-35G/page-1", "NTD4810N-35G")</f>
        <v>NTD4810N-35G</v>
      </c>
      <c r="B6126" s="3" t="str">
        <f>HYPERLINK("https://www.773grp.com/manufacturer/onsemi?pageNo=733", "Onsemi")</f>
        <v>Onsemi</v>
      </c>
      <c r="C6126" s="6">
        <v>5250</v>
      </c>
      <c r="D6126" s="7">
        <v>0.74</v>
      </c>
      <c r="E6126" t="s">
        <v>84</v>
      </c>
    </row>
    <row r="6127" spans="1:5" x14ac:dyDescent="0.25">
      <c r="A6127" t="str">
        <f>HYPERLINK("https://www.773grp.com/globalSearch/NTD4810NT4G/page-1", "NTD4810NT4G")</f>
        <v>NTD4810NT4G</v>
      </c>
      <c r="B6127" s="3" t="str">
        <f>HYPERLINK("https://www.773grp.com/manufacturer/onsemi?pageNo=734", "Onsemi")</f>
        <v>Onsemi</v>
      </c>
      <c r="C6127" s="6">
        <v>17400</v>
      </c>
      <c r="D6127" s="7">
        <v>0.74</v>
      </c>
      <c r="E6127" t="s">
        <v>84</v>
      </c>
    </row>
    <row r="6128" spans="1:5" x14ac:dyDescent="0.25">
      <c r="A6128" t="str">
        <f>HYPERLINK("https://www.773grp.com/globalSearch/NTD4858N-35H/page-1", "NTD4858N-35H")</f>
        <v>NTD4858N-35H</v>
      </c>
      <c r="B6128" s="3" t="str">
        <f>HYPERLINK("https://www.773grp.com/manufacturer/onsemi?pageNo=735", "Onsemi")</f>
        <v>Onsemi</v>
      </c>
      <c r="C6128" s="6">
        <v>600</v>
      </c>
      <c r="D6128" s="7">
        <v>0.74</v>
      </c>
    </row>
    <row r="6129" spans="1:5" x14ac:dyDescent="0.25">
      <c r="A6129" t="str">
        <f>HYPERLINK("https://www.773grp.com/globalSearch/NTD4863N-1G/page-1", "NTD4863N-1G")</f>
        <v>NTD4863N-1G</v>
      </c>
      <c r="B6129" s="3" t="str">
        <f>HYPERLINK("https://www.773grp.com/manufacturer/onsemi?pageNo=736", "Onsemi")</f>
        <v>Onsemi</v>
      </c>
      <c r="C6129" s="6">
        <v>8475</v>
      </c>
      <c r="D6129" s="7">
        <v>0.74</v>
      </c>
      <c r="E6129" t="s">
        <v>84</v>
      </c>
    </row>
    <row r="6130" spans="1:5" x14ac:dyDescent="0.25">
      <c r="A6130" t="str">
        <f>HYPERLINK("https://www.773grp.com/globalSearch/NTD4909NAT4H/page-1", "NTD4909NAT4H")</f>
        <v>NTD4909NAT4H</v>
      </c>
      <c r="B6130" s="3" t="str">
        <f>HYPERLINK("https://www.773grp.com/manufacturer/onsemi?pageNo=737", "Onsemi")</f>
        <v>Onsemi</v>
      </c>
      <c r="C6130" s="6">
        <v>155000</v>
      </c>
      <c r="D6130" s="7">
        <v>0.74</v>
      </c>
    </row>
    <row r="6131" spans="1:5" x14ac:dyDescent="0.25">
      <c r="A6131" t="str">
        <f>HYPERLINK("https://www.773grp.com/globalSearch/NTD4969N-1G/page-1", "NTD4969N-1G")</f>
        <v>NTD4969N-1G</v>
      </c>
      <c r="B6131" s="3" t="str">
        <f>HYPERLINK("https://www.773grp.com/manufacturer/onsemi?pageNo=738", "Onsemi")</f>
        <v>Onsemi</v>
      </c>
      <c r="C6131" s="6">
        <v>3047</v>
      </c>
      <c r="D6131" s="7">
        <v>0.74</v>
      </c>
    </row>
    <row r="6132" spans="1:5" x14ac:dyDescent="0.25">
      <c r="A6132" t="str">
        <f>HYPERLINK("https://www.773grp.com/globalSearch/NTD4969NT4G/page-1", "NTD4969NT4G")</f>
        <v>NTD4969NT4G</v>
      </c>
      <c r="B6132" s="3" t="str">
        <f>HYPERLINK("https://www.773grp.com/manufacturer/onsemi?pageNo=739", "Onsemi")</f>
        <v>Onsemi</v>
      </c>
      <c r="C6132" s="6">
        <v>87500</v>
      </c>
      <c r="D6132" s="7">
        <v>0.74</v>
      </c>
      <c r="E6132" t="s">
        <v>84</v>
      </c>
    </row>
    <row r="6133" spans="1:5" x14ac:dyDescent="0.25">
      <c r="A6133" t="str">
        <f>HYPERLINK("https://www.773grp.com/globalSearch/NTD50N03RG/page-1", "NTD50N03RG")</f>
        <v>NTD50N03RG</v>
      </c>
      <c r="B6133" s="3" t="str">
        <f>HYPERLINK("https://www.773grp.com/manufacturer/onsemi?pageNo=740", "Onsemi")</f>
        <v>Onsemi</v>
      </c>
      <c r="C6133" s="6">
        <v>4875</v>
      </c>
      <c r="D6133" s="7">
        <v>0.74</v>
      </c>
      <c r="E6133" t="s">
        <v>84</v>
      </c>
    </row>
    <row r="6134" spans="1:5" x14ac:dyDescent="0.25">
      <c r="A6134" t="str">
        <f>HYPERLINK("https://www.773grp.com/globalSearch/NTF3055L175T1G/page-1", "NTF3055L175T1G")</f>
        <v>NTF3055L175T1G</v>
      </c>
      <c r="B6134" s="3" t="str">
        <f>HYPERLINK("https://www.773grp.com/manufacturer/onsemi?pageNo=741", "Onsemi")</f>
        <v>Onsemi</v>
      </c>
      <c r="C6134" s="6">
        <v>11087</v>
      </c>
      <c r="D6134" s="7">
        <v>0.74</v>
      </c>
    </row>
    <row r="6135" spans="1:5" x14ac:dyDescent="0.25">
      <c r="A6135" t="str">
        <f>HYPERLINK("https://www.773grp.com/globalSearch/NTHD3133PFT1G/page-1", "NTHD3133PFT1G")</f>
        <v>NTHD3133PFT1G</v>
      </c>
      <c r="B6135" s="3" t="str">
        <f>HYPERLINK("https://www.773grp.com/manufacturer/onsemi?pageNo=742", "Onsemi")</f>
        <v>Onsemi</v>
      </c>
      <c r="C6135" s="6">
        <v>101432</v>
      </c>
      <c r="D6135" s="7">
        <v>0.74</v>
      </c>
      <c r="E6135" t="s">
        <v>85</v>
      </c>
    </row>
    <row r="6136" spans="1:5" x14ac:dyDescent="0.25">
      <c r="A6136" t="str">
        <f>HYPERLINK("https://www.773grp.com/globalSearch/NTHD4N02FT1G/page-1", "NTHD4N02FT1G")</f>
        <v>NTHD4N02FT1G</v>
      </c>
      <c r="B6136" s="3" t="str">
        <f>HYPERLINK("https://www.773grp.com/manufacturer/onsemi?pageNo=743", "Onsemi")</f>
        <v>Onsemi</v>
      </c>
      <c r="C6136" s="6">
        <v>238224</v>
      </c>
      <c r="D6136" s="7">
        <v>0.74</v>
      </c>
      <c r="E6136" t="s">
        <v>85</v>
      </c>
    </row>
    <row r="6137" spans="1:5" x14ac:dyDescent="0.25">
      <c r="A6137" t="str">
        <f>HYPERLINK("https://www.773grp.com/globalSearch/NTHS4111PT1/page-1", "NTHS4111PT1")</f>
        <v>NTHS4111PT1</v>
      </c>
      <c r="B6137" s="3" t="str">
        <f>HYPERLINK("https://www.773grp.com/manufacturer/onsemi?pageNo=744", "Onsemi")</f>
        <v>Onsemi</v>
      </c>
      <c r="C6137" s="6">
        <v>27000</v>
      </c>
      <c r="D6137" s="7">
        <v>0.74</v>
      </c>
      <c r="E6137" t="s">
        <v>85</v>
      </c>
    </row>
    <row r="6138" spans="1:5" x14ac:dyDescent="0.25">
      <c r="A6138" t="str">
        <f>HYPERLINK("https://www.773grp.com/globalSearch/NTHS4111PT1G/page-1", "NTHS4111PT1G")</f>
        <v>NTHS4111PT1G</v>
      </c>
      <c r="B6138" s="3" t="str">
        <f>HYPERLINK("https://www.773grp.com/manufacturer/onsemi?pageNo=745", "Onsemi")</f>
        <v>Onsemi</v>
      </c>
      <c r="C6138" s="6">
        <v>3615</v>
      </c>
      <c r="D6138" s="7">
        <v>0.74</v>
      </c>
      <c r="E6138" t="s">
        <v>85</v>
      </c>
    </row>
    <row r="6139" spans="1:5" x14ac:dyDescent="0.25">
      <c r="A6139" t="str">
        <f>HYPERLINK("https://www.773grp.com/globalSearch/NTHS5404T1G/page-1", "NTHS5404T1G")</f>
        <v>NTHS5404T1G</v>
      </c>
      <c r="B6139" s="3" t="str">
        <f>HYPERLINK("https://www.773grp.com/manufacturer/onsemi?pageNo=746", "Onsemi")</f>
        <v>Onsemi</v>
      </c>
      <c r="C6139" s="6">
        <v>105167</v>
      </c>
      <c r="D6139" s="7">
        <v>0.74</v>
      </c>
      <c r="E6139" t="s">
        <v>85</v>
      </c>
    </row>
    <row r="6140" spans="1:5" x14ac:dyDescent="0.25">
      <c r="A6140" t="str">
        <f>HYPERLINK("https://www.773grp.com/globalSearch/NTHS5441T1G/page-1", "NTHS5441T1G")</f>
        <v>NTHS5441T1G</v>
      </c>
      <c r="B6140" s="3" t="str">
        <f>HYPERLINK("https://www.773grp.com/manufacturer/onsemi?pageNo=747", "Onsemi")</f>
        <v>Onsemi</v>
      </c>
      <c r="C6140" s="6">
        <v>193</v>
      </c>
      <c r="D6140" s="7">
        <v>0.74</v>
      </c>
      <c r="E6140" t="s">
        <v>85</v>
      </c>
    </row>
    <row r="6141" spans="1:5" x14ac:dyDescent="0.25">
      <c r="A6141" t="str">
        <f>HYPERLINK("https://www.773grp.com/globalSearch/NTHS5445T1/page-1", "NTHS5445T1")</f>
        <v>NTHS5445T1</v>
      </c>
      <c r="B6141" s="3" t="str">
        <f>HYPERLINK("https://www.773grp.com/manufacturer/onsemi?pageNo=748", "Onsemi")</f>
        <v>Onsemi</v>
      </c>
      <c r="C6141" s="6">
        <v>12000</v>
      </c>
      <c r="D6141" s="7">
        <v>0.74</v>
      </c>
      <c r="E6141" t="s">
        <v>85</v>
      </c>
    </row>
    <row r="6142" spans="1:5" x14ac:dyDescent="0.25">
      <c r="A6142" t="str">
        <f>HYPERLINK("https://www.773grp.com/globalSearch/NTMD4184PFR2G/page-1", "NTMD4184PFR2G")</f>
        <v>NTMD4184PFR2G</v>
      </c>
      <c r="B6142" s="3" t="str">
        <f>HYPERLINK("https://www.773grp.com/manufacturer/onsemi?pageNo=749", "Onsemi")</f>
        <v>Onsemi</v>
      </c>
      <c r="C6142" s="6">
        <v>11880</v>
      </c>
      <c r="D6142" s="7">
        <v>0.74</v>
      </c>
      <c r="E6142" t="s">
        <v>85</v>
      </c>
    </row>
    <row r="6143" spans="1:5" x14ac:dyDescent="0.25">
      <c r="A6143" t="str">
        <f>HYPERLINK("https://www.773grp.com/globalSearch/NTMS4176PR2G/page-1", "NTMS4176PR2G")</f>
        <v>NTMS4176PR2G</v>
      </c>
      <c r="B6143" s="3" t="str">
        <f>HYPERLINK("https://www.773grp.com/manufacturer/onsemi?pageNo=750", "Onsemi")</f>
        <v>Onsemi</v>
      </c>
      <c r="C6143" s="6">
        <v>27554</v>
      </c>
      <c r="D6143" s="7">
        <v>0.74</v>
      </c>
      <c r="E6143" t="s">
        <v>85</v>
      </c>
    </row>
    <row r="6144" spans="1:5" x14ac:dyDescent="0.25">
      <c r="A6144" t="str">
        <f>HYPERLINK("https://www.773grp.com/globalSearch/NTMSD2P102LR2/page-1", "NTMSD2P102LR2")</f>
        <v>NTMSD2P102LR2</v>
      </c>
      <c r="B6144" s="3" t="str">
        <f>HYPERLINK("https://www.773grp.com/manufacturer/onsemi?pageNo=751", "Onsemi")</f>
        <v>Onsemi</v>
      </c>
      <c r="C6144" s="6">
        <v>2492</v>
      </c>
      <c r="D6144" s="7">
        <v>0.74</v>
      </c>
      <c r="E6144" t="s">
        <v>85</v>
      </c>
    </row>
    <row r="6145" spans="1:5" x14ac:dyDescent="0.25">
      <c r="A6145" t="str">
        <f>HYPERLINK("https://www.773grp.com/globalSearch/NTMSD2P102LR2G/page-1", "NTMSD2P102LR2G")</f>
        <v>NTMSD2P102LR2G</v>
      </c>
      <c r="B6145" s="3" t="str">
        <f>HYPERLINK("https://www.773grp.com/manufacturer/onsemi?pageNo=752", "Onsemi")</f>
        <v>Onsemi</v>
      </c>
      <c r="C6145" s="6">
        <v>7500</v>
      </c>
      <c r="D6145" s="7">
        <v>0.74</v>
      </c>
      <c r="E6145" t="s">
        <v>85</v>
      </c>
    </row>
    <row r="6146" spans="1:5" x14ac:dyDescent="0.25">
      <c r="A6146" t="str">
        <f>HYPERLINK("https://www.773grp.com/globalSearch/NTMSD2P102R2/page-1", "NTMSD2P102R2")</f>
        <v>NTMSD2P102R2</v>
      </c>
      <c r="B6146" s="3" t="str">
        <f>HYPERLINK("https://www.773grp.com/manufacturer/onsemi?pageNo=753", "Onsemi")</f>
        <v>Onsemi</v>
      </c>
      <c r="C6146" s="6">
        <v>2500</v>
      </c>
      <c r="D6146" s="7">
        <v>0.74</v>
      </c>
    </row>
    <row r="6147" spans="1:5" x14ac:dyDescent="0.25">
      <c r="A6147" t="str">
        <f>HYPERLINK("https://www.773grp.com/globalSearch/NTMSD2P102R2SG/page-1", "NTMSD2P102R2SG")</f>
        <v>NTMSD2P102R2SG</v>
      </c>
      <c r="B6147" s="3" t="str">
        <f>HYPERLINK("https://www.773grp.com/manufacturer/onsemi?pageNo=754", "Onsemi")</f>
        <v>Onsemi</v>
      </c>
      <c r="C6147" s="6">
        <v>17500</v>
      </c>
      <c r="D6147" s="7">
        <v>0.74</v>
      </c>
    </row>
    <row r="6148" spans="1:5" x14ac:dyDescent="0.25">
      <c r="A6148" t="str">
        <f>HYPERLINK("https://www.773grp.com/globalSearch/NTMSD3P102R2/page-1", "NTMSD3P102R2")</f>
        <v>NTMSD3P102R2</v>
      </c>
      <c r="B6148" s="3" t="str">
        <f>HYPERLINK("https://www.773grp.com/manufacturer/onsemi?pageNo=755", "Onsemi")</f>
        <v>Onsemi</v>
      </c>
      <c r="C6148" s="6">
        <v>2466</v>
      </c>
      <c r="D6148" s="7">
        <v>0.74</v>
      </c>
      <c r="E6148" t="s">
        <v>85</v>
      </c>
    </row>
    <row r="6149" spans="1:5" x14ac:dyDescent="0.25">
      <c r="A6149" t="str">
        <f>HYPERLINK("https://www.773grp.com/globalSearch/NTP65N02R/page-1", "NTP65N02R")</f>
        <v>NTP65N02R</v>
      </c>
      <c r="B6149" s="3" t="str">
        <f>HYPERLINK("https://www.773grp.com/manufacturer/onsemi?pageNo=756", "Onsemi")</f>
        <v>Onsemi</v>
      </c>
      <c r="C6149" s="6">
        <v>16392</v>
      </c>
      <c r="D6149" s="7">
        <v>0.74</v>
      </c>
      <c r="E6149" t="s">
        <v>84</v>
      </c>
    </row>
    <row r="6150" spans="1:5" x14ac:dyDescent="0.25">
      <c r="A6150" t="str">
        <f>HYPERLINK("https://www.773grp.com/globalSearch/NTQD6968N/page-1", "NTQD6968N")</f>
        <v>NTQD6968N</v>
      </c>
      <c r="B6150" s="3" t="str">
        <f>HYPERLINK("https://www.773grp.com/manufacturer/onsemi?pageNo=757", "Onsemi")</f>
        <v>Onsemi</v>
      </c>
      <c r="C6150" s="6">
        <v>39</v>
      </c>
      <c r="D6150" s="7">
        <v>0.74</v>
      </c>
      <c r="E6150" t="s">
        <v>84</v>
      </c>
    </row>
    <row r="6151" spans="1:5" x14ac:dyDescent="0.25">
      <c r="A6151" t="str">
        <f>HYPERLINK("https://www.773grp.com/globalSearch/NTQD6968NR2/page-1", "NTQD6968NR2")</f>
        <v>NTQD6968NR2</v>
      </c>
      <c r="B6151" s="3" t="str">
        <f>HYPERLINK("https://www.773grp.com/manufacturer/onsemi?pageNo=758", "Onsemi")</f>
        <v>Onsemi</v>
      </c>
      <c r="C6151" s="6">
        <v>8000</v>
      </c>
      <c r="D6151" s="7">
        <v>0.74</v>
      </c>
      <c r="E6151" t="s">
        <v>84</v>
      </c>
    </row>
    <row r="6152" spans="1:5" x14ac:dyDescent="0.25">
      <c r="A6152" t="str">
        <f>HYPERLINK("https://www.773grp.com/globalSearch/NTVD20N03L27T4G/page-1", "NTVD20N03L27T4G")</f>
        <v>NTVD20N03L27T4G</v>
      </c>
      <c r="B6152" s="3" t="str">
        <f>HYPERLINK("https://www.773grp.com/manufacturer/onsemi?pageNo=759", "Onsemi")</f>
        <v>Onsemi</v>
      </c>
      <c r="C6152" s="6">
        <v>2500</v>
      </c>
      <c r="D6152" s="7">
        <v>0.74</v>
      </c>
    </row>
    <row r="6153" spans="1:5" x14ac:dyDescent="0.25">
      <c r="A6153" t="str">
        <f>HYPERLINK("https://www.773grp.com/globalSearch/NUD3124LT1/page-1", "NUD3124LT1")</f>
        <v>NUD3124LT1</v>
      </c>
      <c r="B6153" s="3" t="str">
        <f>HYPERLINK("https://www.773grp.com/manufacturer/onsemi?pageNo=760", "Onsemi")</f>
        <v>Onsemi</v>
      </c>
      <c r="C6153" s="6">
        <v>2792</v>
      </c>
      <c r="D6153" s="7">
        <v>0.74</v>
      </c>
      <c r="E6153" t="s">
        <v>85</v>
      </c>
    </row>
    <row r="6154" spans="1:5" x14ac:dyDescent="0.25">
      <c r="A6154" t="str">
        <f>HYPERLINK("https://www.773grp.com/globalSearch/NUF2220XV6T1/page-1", "NUF2220XV6T1")</f>
        <v>NUF2220XV6T1</v>
      </c>
      <c r="B6154" s="3" t="str">
        <f>HYPERLINK("https://www.773grp.com/manufacturer/onsemi?pageNo=761", "Onsemi")</f>
        <v>Onsemi</v>
      </c>
      <c r="C6154" s="6">
        <v>64000</v>
      </c>
      <c r="D6154" s="7">
        <v>0.74</v>
      </c>
      <c r="E6154" t="s">
        <v>79</v>
      </c>
    </row>
    <row r="6155" spans="1:5" x14ac:dyDescent="0.25">
      <c r="A6155" t="str">
        <f>HYPERLINK("https://www.773grp.com/globalSearch/NUF8410MNT4G/page-1", "NUF8410MNT4G")</f>
        <v>NUF8410MNT4G</v>
      </c>
      <c r="B6155" s="3" t="str">
        <f>HYPERLINK("https://www.773grp.com/manufacturer/onsemi?pageNo=762", "Onsemi")</f>
        <v>Onsemi</v>
      </c>
      <c r="C6155" s="6">
        <v>501125</v>
      </c>
      <c r="D6155" s="7">
        <v>0.74</v>
      </c>
      <c r="E6155" t="s">
        <v>79</v>
      </c>
    </row>
    <row r="6156" spans="1:5" x14ac:dyDescent="0.25">
      <c r="A6156" t="str">
        <f>HYPERLINK("https://www.773grp.com/globalSearch/NUP4103FCT1/page-1", "NUP4103FCT1")</f>
        <v>NUP4103FCT1</v>
      </c>
      <c r="B6156" s="3" t="str">
        <f>HYPERLINK("https://www.773grp.com/manufacturer/onsemi?pageNo=763", "Onsemi")</f>
        <v>Onsemi</v>
      </c>
      <c r="C6156" s="6">
        <v>1299000</v>
      </c>
      <c r="D6156" s="7">
        <v>0.74</v>
      </c>
      <c r="E6156" t="s">
        <v>79</v>
      </c>
    </row>
    <row r="6157" spans="1:5" x14ac:dyDescent="0.25">
      <c r="A6157" t="str">
        <f>HYPERLINK("https://www.773grp.com/globalSearch/NUS2401SNT1/page-1", "NUS2401SNT1")</f>
        <v>NUS2401SNT1</v>
      </c>
      <c r="B6157" s="3" t="str">
        <f>HYPERLINK("https://www.773grp.com/manufacturer/onsemi?pageNo=764", "Onsemi")</f>
        <v>Onsemi</v>
      </c>
      <c r="C6157" s="6">
        <v>5990</v>
      </c>
      <c r="D6157" s="7">
        <v>0.74</v>
      </c>
      <c r="E6157" t="s">
        <v>57</v>
      </c>
    </row>
    <row r="6158" spans="1:5" x14ac:dyDescent="0.25">
      <c r="A6158" t="str">
        <f>HYPERLINK("https://www.773grp.com/globalSearch/SC28829PK165/page-1", "SC28829PK165")</f>
        <v>SC28829PK165</v>
      </c>
      <c r="B6158" s="3" t="str">
        <f>HYPERLINK("https://www.773grp.com/manufacturer/onsemi?pageNo=765", "Onsemi")</f>
        <v>Onsemi</v>
      </c>
      <c r="C6158" s="6">
        <v>1175</v>
      </c>
      <c r="D6158" s="7">
        <v>0.74</v>
      </c>
    </row>
    <row r="6159" spans="1:5" x14ac:dyDescent="0.25">
      <c r="A6159" t="str">
        <f>HYPERLINK("https://www.773grp.com/globalSearch/SC28829PK259/page-1", "SC28829PK259")</f>
        <v>SC28829PK259</v>
      </c>
      <c r="B6159" s="3" t="str">
        <f>HYPERLINK("https://www.773grp.com/manufacturer/onsemi?pageNo=766", "Onsemi")</f>
        <v>Onsemi</v>
      </c>
      <c r="C6159" s="6">
        <v>4750</v>
      </c>
      <c r="D6159" s="7">
        <v>0.74</v>
      </c>
    </row>
    <row r="6160" spans="1:5" x14ac:dyDescent="0.25">
      <c r="A6160" t="str">
        <f>HYPERLINK("https://www.773grp.com/globalSearch/SC65895PK280/page-1", "SC65895PK280")</f>
        <v>SC65895PK280</v>
      </c>
      <c r="B6160" s="3" t="str">
        <f>HYPERLINK("https://www.773grp.com/manufacturer/onsemi?pageNo=767", "Onsemi")</f>
        <v>Onsemi</v>
      </c>
      <c r="C6160" s="6">
        <v>5375</v>
      </c>
      <c r="D6160" s="7">
        <v>0.74</v>
      </c>
    </row>
    <row r="6161" spans="1:5" x14ac:dyDescent="0.25">
      <c r="A6161" t="str">
        <f>HYPERLINK("https://www.773grp.com/globalSearch/SC68253PK073/page-1", "SC68253PK073")</f>
        <v>SC68253PK073</v>
      </c>
      <c r="B6161" s="3" t="str">
        <f>HYPERLINK("https://www.773grp.com/manufacturer/onsemi?pageNo=768", "Onsemi")</f>
        <v>Onsemi</v>
      </c>
      <c r="C6161" s="6">
        <v>2850</v>
      </c>
      <c r="D6161" s="7">
        <v>0.74</v>
      </c>
    </row>
    <row r="6162" spans="1:5" x14ac:dyDescent="0.25">
      <c r="A6162" t="str">
        <f>HYPERLINK("https://www.773grp.com/globalSearch/SCV301LSN28T1/page-1", "SCV301LSN28T1")</f>
        <v>SCV301LSN28T1</v>
      </c>
      <c r="B6162" s="3" t="str">
        <f>HYPERLINK("https://www.773grp.com/manufacturer/onsemi?pageNo=769", "Onsemi")</f>
        <v>Onsemi</v>
      </c>
      <c r="C6162" s="6">
        <v>9000</v>
      </c>
      <c r="D6162" s="7">
        <v>0.74</v>
      </c>
    </row>
    <row r="6163" spans="1:5" x14ac:dyDescent="0.25">
      <c r="A6163" t="str">
        <f>HYPERLINK("https://www.773grp.com/globalSearch/SCV303LSN44T1/page-1", "SCV303LSN44T1")</f>
        <v>SCV303LSN44T1</v>
      </c>
      <c r="B6163" s="3" t="str">
        <f>HYPERLINK("https://www.773grp.com/manufacturer/onsemi?pageNo=770", "Onsemi")</f>
        <v>Onsemi</v>
      </c>
      <c r="C6163" s="6">
        <v>3000</v>
      </c>
      <c r="D6163" s="7">
        <v>0.74</v>
      </c>
    </row>
    <row r="6164" spans="1:5" x14ac:dyDescent="0.25">
      <c r="A6164" t="str">
        <f>HYPERLINK("https://www.773grp.com/globalSearch/SMT08B310T3G/page-1", "SMT08B310T3G")</f>
        <v>SMT08B310T3G</v>
      </c>
      <c r="B6164" s="3" t="str">
        <f>HYPERLINK("https://www.773grp.com/manufacturer/onsemi?pageNo=771", "Onsemi")</f>
        <v>Onsemi</v>
      </c>
      <c r="C6164" s="6">
        <v>7500</v>
      </c>
      <c r="D6164" s="7">
        <v>0.74</v>
      </c>
    </row>
    <row r="6165" spans="1:5" x14ac:dyDescent="0.25">
      <c r="A6165" t="str">
        <f>HYPERLINK("https://www.773grp.com/globalSearch/SN74LS107AD/page-1", "SN74LS107AD")</f>
        <v>SN74LS107AD</v>
      </c>
      <c r="B6165" s="3" t="str">
        <f>HYPERLINK("https://www.773grp.com/manufacturer/onsemi?pageNo=772", "Onsemi")</f>
        <v>Onsemi</v>
      </c>
      <c r="C6165" s="6">
        <v>3140</v>
      </c>
      <c r="D6165" s="7">
        <v>0.74</v>
      </c>
      <c r="E6165" t="s">
        <v>31</v>
      </c>
    </row>
    <row r="6166" spans="1:5" x14ac:dyDescent="0.25">
      <c r="A6166" t="str">
        <f>HYPERLINK("https://www.773grp.com/globalSearch/SN74LS151D/page-1", "SN74LS151D")</f>
        <v>SN74LS151D</v>
      </c>
      <c r="B6166" s="3" t="str">
        <f>HYPERLINK("https://www.773grp.com/manufacturer/onsemi?pageNo=773", "Onsemi")</f>
        <v>Onsemi</v>
      </c>
      <c r="C6166" s="6">
        <v>1072</v>
      </c>
      <c r="D6166" s="7">
        <v>0.74</v>
      </c>
      <c r="E6166" t="s">
        <v>16</v>
      </c>
    </row>
    <row r="6167" spans="1:5" x14ac:dyDescent="0.25">
      <c r="A6167" t="str">
        <f>HYPERLINK("https://www.773grp.com/globalSearch/SN74LS151DR2/page-1", "SN74LS151DR2")</f>
        <v>SN74LS151DR2</v>
      </c>
      <c r="B6167" s="3" t="str">
        <f>HYPERLINK("https://www.773grp.com/manufacturer/onsemi?pageNo=774", "Onsemi")</f>
        <v>Onsemi</v>
      </c>
      <c r="C6167" s="6">
        <v>12500</v>
      </c>
      <c r="D6167" s="7">
        <v>0.74</v>
      </c>
      <c r="E6167" t="s">
        <v>16</v>
      </c>
    </row>
    <row r="6168" spans="1:5" x14ac:dyDescent="0.25">
      <c r="A6168" t="str">
        <f>HYPERLINK("https://www.773grp.com/globalSearch/SN74LS151M/page-1", "SN74LS151M")</f>
        <v>SN74LS151M</v>
      </c>
      <c r="B6168" s="3" t="str">
        <f>HYPERLINK("https://www.773grp.com/manufacturer/onsemi?pageNo=775", "Onsemi")</f>
        <v>Onsemi</v>
      </c>
      <c r="C6168" s="6">
        <v>2700</v>
      </c>
      <c r="D6168" s="7">
        <v>0.74</v>
      </c>
      <c r="E6168" t="s">
        <v>16</v>
      </c>
    </row>
    <row r="6169" spans="1:5" x14ac:dyDescent="0.25">
      <c r="A6169" t="str">
        <f>HYPERLINK("https://www.773grp.com/globalSearch/SN74LS151M/page-1", "SN74LS151M")</f>
        <v>SN74LS151M</v>
      </c>
      <c r="B6169" s="3" t="str">
        <f>HYPERLINK("https://www.773grp.com/manufacturer/onsemi?pageNo=776", "Onsemi")</f>
        <v>Onsemi</v>
      </c>
      <c r="C6169" s="6">
        <v>4450</v>
      </c>
      <c r="D6169" s="7">
        <v>0.74</v>
      </c>
      <c r="E6169" t="s">
        <v>16</v>
      </c>
    </row>
    <row r="6170" spans="1:5" x14ac:dyDescent="0.25">
      <c r="A6170" t="str">
        <f>HYPERLINK("https://www.773grp.com/globalSearch/SN74LS151ML1/page-1", "SN74LS151ML1")</f>
        <v>SN74LS151ML1</v>
      </c>
      <c r="B6170" s="3" t="str">
        <f>HYPERLINK("https://www.773grp.com/manufacturer/onsemi?pageNo=777", "Onsemi")</f>
        <v>Onsemi</v>
      </c>
      <c r="C6170" s="6">
        <v>3000</v>
      </c>
      <c r="D6170" s="7">
        <v>0.74</v>
      </c>
    </row>
    <row r="6171" spans="1:5" x14ac:dyDescent="0.25">
      <c r="A6171" t="str">
        <f>HYPERLINK("https://www.773grp.com/globalSearch/SN74LS153D/page-1", "SN74LS153D")</f>
        <v>SN74LS153D</v>
      </c>
      <c r="B6171" s="3" t="str">
        <f>HYPERLINK("https://www.773grp.com/manufacturer/onsemi?pageNo=778", "Onsemi")</f>
        <v>Onsemi</v>
      </c>
      <c r="C6171" s="6">
        <v>1438</v>
      </c>
      <c r="D6171" s="7">
        <v>0.74</v>
      </c>
      <c r="E6171" t="s">
        <v>16</v>
      </c>
    </row>
    <row r="6172" spans="1:5" x14ac:dyDescent="0.25">
      <c r="A6172" t="str">
        <f>HYPERLINK("https://www.773grp.com/globalSearch/SN74LS153M/page-1", "SN74LS153M")</f>
        <v>SN74LS153M</v>
      </c>
      <c r="B6172" s="3" t="str">
        <f>HYPERLINK("https://www.773grp.com/manufacturer/onsemi?pageNo=779", "Onsemi")</f>
        <v>Onsemi</v>
      </c>
      <c r="C6172" s="6">
        <v>2350</v>
      </c>
      <c r="D6172" s="7">
        <v>0.74</v>
      </c>
      <c r="E6172" t="s">
        <v>16</v>
      </c>
    </row>
    <row r="6173" spans="1:5" x14ac:dyDescent="0.25">
      <c r="A6173" t="str">
        <f>HYPERLINK("https://www.773grp.com/globalSearch/SN74LS153MEL/page-1", "SN74LS153MEL")</f>
        <v>SN74LS153MEL</v>
      </c>
      <c r="B6173" s="3" t="str">
        <f>HYPERLINK("https://www.773grp.com/manufacturer/onsemi?pageNo=780", "Onsemi")</f>
        <v>Onsemi</v>
      </c>
      <c r="C6173" s="6">
        <v>4000</v>
      </c>
      <c r="D6173" s="7">
        <v>0.74</v>
      </c>
      <c r="E6173" t="s">
        <v>16</v>
      </c>
    </row>
    <row r="6174" spans="1:5" x14ac:dyDescent="0.25">
      <c r="A6174" t="str">
        <f>HYPERLINK("https://www.773grp.com/globalSearch/SN74LS153MR1/page-1", "SN74LS153MR1")</f>
        <v>SN74LS153MR1</v>
      </c>
      <c r="B6174" s="3" t="str">
        <f>HYPERLINK("https://www.773grp.com/manufacturer/onsemi?pageNo=781", "Onsemi")</f>
        <v>Onsemi</v>
      </c>
      <c r="C6174" s="6">
        <v>4000</v>
      </c>
      <c r="D6174" s="7">
        <v>0.74</v>
      </c>
      <c r="E6174" t="s">
        <v>16</v>
      </c>
    </row>
    <row r="6175" spans="1:5" x14ac:dyDescent="0.25">
      <c r="A6175" t="str">
        <f>HYPERLINK("https://www.773grp.com/globalSearch/SN74LS156N/page-1", "SN74LS156N")</f>
        <v>SN74LS156N</v>
      </c>
      <c r="B6175" s="3" t="str">
        <f>HYPERLINK("https://www.773grp.com/manufacturer/onsemi?pageNo=782", "Onsemi")</f>
        <v>Onsemi</v>
      </c>
      <c r="C6175" s="6">
        <v>5477</v>
      </c>
      <c r="D6175" s="7">
        <v>0.74</v>
      </c>
      <c r="E6175" t="s">
        <v>32</v>
      </c>
    </row>
    <row r="6176" spans="1:5" x14ac:dyDescent="0.25">
      <c r="A6176" t="str">
        <f>HYPERLINK("https://www.773grp.com/globalSearch/SN74LS157N/page-1", "SN74LS157N")</f>
        <v>SN74LS157N</v>
      </c>
      <c r="B6176" s="3" t="str">
        <f>HYPERLINK("https://www.773grp.com/manufacturer/onsemi?pageNo=783", "Onsemi")</f>
        <v>Onsemi</v>
      </c>
      <c r="C6176" s="6">
        <v>8771</v>
      </c>
      <c r="D6176" s="7">
        <v>0.74</v>
      </c>
      <c r="E6176" t="s">
        <v>16</v>
      </c>
    </row>
    <row r="6177" spans="1:5" x14ac:dyDescent="0.25">
      <c r="A6177" t="str">
        <f>HYPERLINK("https://www.773grp.com/globalSearch/SN74LS161AN/page-1", "SN74LS161AN")</f>
        <v>SN74LS161AN</v>
      </c>
      <c r="B6177" s="3" t="str">
        <f>HYPERLINK("https://www.773grp.com/manufacturer/onsemi?pageNo=784", "Onsemi")</f>
        <v>Onsemi</v>
      </c>
      <c r="C6177" s="6">
        <v>10724</v>
      </c>
      <c r="D6177" s="7">
        <v>0.74</v>
      </c>
      <c r="E6177" t="s">
        <v>22</v>
      </c>
    </row>
    <row r="6178" spans="1:5" x14ac:dyDescent="0.25">
      <c r="A6178" t="str">
        <f>HYPERLINK("https://www.773grp.com/globalSearch/SN74LS161AN/page-1", "SN74LS161AN")</f>
        <v>SN74LS161AN</v>
      </c>
      <c r="B6178" s="3" t="str">
        <f>HYPERLINK("https://www.773grp.com/manufacturer/onsemi?pageNo=785", "Onsemi")</f>
        <v>Onsemi</v>
      </c>
      <c r="C6178" s="6">
        <v>1975</v>
      </c>
      <c r="D6178" s="7">
        <v>0.74</v>
      </c>
      <c r="E6178" t="s">
        <v>22</v>
      </c>
    </row>
    <row r="6179" spans="1:5" x14ac:dyDescent="0.25">
      <c r="A6179" t="str">
        <f>HYPERLINK("https://www.773grp.com/globalSearch/SN74LS163AN/page-1", "SN74LS163AN")</f>
        <v>SN74LS163AN</v>
      </c>
      <c r="B6179" s="3" t="str">
        <f>HYPERLINK("https://www.773grp.com/manufacturer/onsemi?pageNo=786", "Onsemi")</f>
        <v>Onsemi</v>
      </c>
      <c r="C6179" s="6">
        <v>200</v>
      </c>
      <c r="D6179" s="7">
        <v>0.74</v>
      </c>
      <c r="E6179" t="s">
        <v>22</v>
      </c>
    </row>
    <row r="6180" spans="1:5" x14ac:dyDescent="0.25">
      <c r="A6180" t="str">
        <f>HYPERLINK("https://www.773grp.com/globalSearch/SN74LS164MR1/page-1", "SN74LS164MR1")</f>
        <v>SN74LS164MR1</v>
      </c>
      <c r="B6180" s="3" t="str">
        <f>HYPERLINK("https://www.773grp.com/manufacturer/onsemi?pageNo=787", "Onsemi")</f>
        <v>Onsemi</v>
      </c>
      <c r="C6180" s="6">
        <v>1000</v>
      </c>
      <c r="D6180" s="7">
        <v>0.74</v>
      </c>
      <c r="E6180" t="s">
        <v>28</v>
      </c>
    </row>
    <row r="6181" spans="1:5" x14ac:dyDescent="0.25">
      <c r="A6181" t="str">
        <f>HYPERLINK("https://www.773grp.com/globalSearch/SN74LS251N/page-1", "SN74LS251N")</f>
        <v>SN74LS251N</v>
      </c>
      <c r="B6181" s="3" t="str">
        <f>HYPERLINK("https://www.773grp.com/manufacturer/onsemi?pageNo=788", "Onsemi")</f>
        <v>Onsemi</v>
      </c>
      <c r="C6181" s="6">
        <v>2262</v>
      </c>
      <c r="D6181" s="7">
        <v>0.74</v>
      </c>
      <c r="E6181" t="s">
        <v>16</v>
      </c>
    </row>
    <row r="6182" spans="1:5" x14ac:dyDescent="0.25">
      <c r="A6182" t="str">
        <f>HYPERLINK("https://www.773grp.com/globalSearch/SN74LS253N/page-1", "SN74LS253N")</f>
        <v>SN74LS253N</v>
      </c>
      <c r="B6182" s="3" t="str">
        <f>HYPERLINK("https://www.773grp.com/manufacturer/onsemi?pageNo=789", "Onsemi")</f>
        <v>Onsemi</v>
      </c>
      <c r="C6182" s="6">
        <v>10600</v>
      </c>
      <c r="D6182" s="7">
        <v>0.74</v>
      </c>
      <c r="E6182" t="s">
        <v>16</v>
      </c>
    </row>
    <row r="6183" spans="1:5" x14ac:dyDescent="0.25">
      <c r="A6183" t="str">
        <f>HYPERLINK("https://www.773grp.com/globalSearch/SN74LS257BN/page-1", "SN74LS257BN")</f>
        <v>SN74LS257BN</v>
      </c>
      <c r="B6183" s="3" t="str">
        <f>HYPERLINK("https://www.773grp.com/manufacturer/onsemi?pageNo=790", "Onsemi")</f>
        <v>Onsemi</v>
      </c>
      <c r="C6183" s="6">
        <v>2325</v>
      </c>
      <c r="D6183" s="7">
        <v>0.74</v>
      </c>
      <c r="E6183" t="s">
        <v>16</v>
      </c>
    </row>
    <row r="6184" spans="1:5" x14ac:dyDescent="0.25">
      <c r="A6184" t="str">
        <f>HYPERLINK("https://www.773grp.com/globalSearch/SN74LS258BN/page-1", "SN74LS258BN")</f>
        <v>SN74LS258BN</v>
      </c>
      <c r="B6184" s="3" t="str">
        <f>HYPERLINK("https://www.773grp.com/manufacturer/onsemi?pageNo=791", "Onsemi")</f>
        <v>Onsemi</v>
      </c>
      <c r="C6184" s="6">
        <v>2844</v>
      </c>
      <c r="D6184" s="7">
        <v>0.74</v>
      </c>
      <c r="E6184" t="s">
        <v>16</v>
      </c>
    </row>
    <row r="6185" spans="1:5" x14ac:dyDescent="0.25">
      <c r="A6185" t="str">
        <f>HYPERLINK("https://www.773grp.com/globalSearch/SN74LS279M/page-1", "SN74LS279M")</f>
        <v>SN74LS279M</v>
      </c>
      <c r="B6185" s="3" t="str">
        <f>HYPERLINK("https://www.773grp.com/manufacturer/onsemi?pageNo=792", "Onsemi")</f>
        <v>Onsemi</v>
      </c>
      <c r="C6185" s="6">
        <v>3250</v>
      </c>
      <c r="D6185" s="7">
        <v>0.74</v>
      </c>
    </row>
    <row r="6186" spans="1:5" x14ac:dyDescent="0.25">
      <c r="A6186" t="str">
        <f>HYPERLINK("https://www.773grp.com/globalSearch/SN74LS279N/page-1", "SN74LS279N")</f>
        <v>SN74LS279N</v>
      </c>
      <c r="B6186" s="3" t="str">
        <f>HYPERLINK("https://www.773grp.com/manufacturer/onsemi?pageNo=793", "Onsemi")</f>
        <v>Onsemi</v>
      </c>
      <c r="C6186" s="6">
        <v>15579</v>
      </c>
      <c r="D6186" s="7">
        <v>0.74</v>
      </c>
      <c r="E6186" t="s">
        <v>31</v>
      </c>
    </row>
    <row r="6187" spans="1:5" x14ac:dyDescent="0.25">
      <c r="A6187" t="str">
        <f>HYPERLINK("https://www.773grp.com/globalSearch/SN74LS365AD/page-1", "SN74LS365AD")</f>
        <v>SN74LS365AD</v>
      </c>
      <c r="B6187" s="3" t="str">
        <f>HYPERLINK("https://www.773grp.com/manufacturer/onsemi?pageNo=794", "Onsemi")</f>
        <v>Onsemi</v>
      </c>
      <c r="C6187" s="6">
        <v>610</v>
      </c>
      <c r="D6187" s="7">
        <v>0.74</v>
      </c>
      <c r="E6187" t="s">
        <v>11</v>
      </c>
    </row>
    <row r="6188" spans="1:5" x14ac:dyDescent="0.25">
      <c r="A6188" t="str">
        <f>HYPERLINK("https://www.773grp.com/globalSearch/SN74LS367AD/page-1", "SN74LS367AD")</f>
        <v>SN74LS367AD</v>
      </c>
      <c r="B6188" s="3" t="str">
        <f>HYPERLINK("https://www.773grp.com/manufacturer/onsemi?pageNo=795", "Onsemi")</f>
        <v>Onsemi</v>
      </c>
      <c r="C6188" s="6">
        <v>582</v>
      </c>
      <c r="D6188" s="7">
        <v>0.74</v>
      </c>
      <c r="E6188" t="s">
        <v>11</v>
      </c>
    </row>
    <row r="6189" spans="1:5" x14ac:dyDescent="0.25">
      <c r="A6189" t="str">
        <f>HYPERLINK("https://www.773grp.com/globalSearch/SN74LS367ADR2/page-1", "SN74LS367ADR2")</f>
        <v>SN74LS367ADR2</v>
      </c>
      <c r="B6189" s="3" t="str">
        <f>HYPERLINK("https://www.773grp.com/manufacturer/onsemi?pageNo=796", "Onsemi")</f>
        <v>Onsemi</v>
      </c>
      <c r="C6189" s="6">
        <v>50000</v>
      </c>
      <c r="D6189" s="7">
        <v>0.74</v>
      </c>
      <c r="E6189" t="s">
        <v>11</v>
      </c>
    </row>
    <row r="6190" spans="1:5" x14ac:dyDescent="0.25">
      <c r="A6190" t="str">
        <f>HYPERLINK("https://www.773grp.com/globalSearch/SN74LS367AML1/page-1", "SN74LS367AML1")</f>
        <v>SN74LS367AML1</v>
      </c>
      <c r="B6190" s="3" t="str">
        <f>HYPERLINK("https://www.773grp.com/manufacturer/onsemi?pageNo=797", "Onsemi")</f>
        <v>Onsemi</v>
      </c>
      <c r="C6190" s="6">
        <v>2000</v>
      </c>
      <c r="D6190" s="7">
        <v>0.74</v>
      </c>
    </row>
    <row r="6191" spans="1:5" x14ac:dyDescent="0.25">
      <c r="A6191" t="str">
        <f>HYPERLINK("https://www.773grp.com/globalSearch/SN74LS368AD/page-1", "SN74LS368AD")</f>
        <v>SN74LS368AD</v>
      </c>
      <c r="B6191" s="3" t="str">
        <f>HYPERLINK("https://www.773grp.com/manufacturer/onsemi?pageNo=798", "Onsemi")</f>
        <v>Onsemi</v>
      </c>
      <c r="C6191" s="6">
        <v>7929</v>
      </c>
      <c r="D6191" s="7">
        <v>0.74</v>
      </c>
      <c r="E6191" t="s">
        <v>11</v>
      </c>
    </row>
    <row r="6192" spans="1:5" x14ac:dyDescent="0.25">
      <c r="A6192" t="str">
        <f>HYPERLINK("https://www.773grp.com/globalSearch/SN74LS368ADR2/page-1", "SN74LS368ADR2")</f>
        <v>SN74LS368ADR2</v>
      </c>
      <c r="B6192" s="3" t="str">
        <f>HYPERLINK("https://www.773grp.com/manufacturer/onsemi?pageNo=799", "Onsemi")</f>
        <v>Onsemi</v>
      </c>
      <c r="C6192" s="6">
        <v>2500</v>
      </c>
      <c r="D6192" s="7">
        <v>0.74</v>
      </c>
      <c r="E6192" t="s">
        <v>11</v>
      </c>
    </row>
    <row r="6193" spans="1:5" x14ac:dyDescent="0.25">
      <c r="A6193" t="str">
        <f>HYPERLINK("https://www.773grp.com/globalSearch/SN74LS368AML1/page-1", "SN74LS368AML1")</f>
        <v>SN74LS368AML1</v>
      </c>
      <c r="B6193" s="3" t="str">
        <f>HYPERLINK("https://www.773grp.com/manufacturer/onsemi?pageNo=800", "Onsemi")</f>
        <v>Onsemi</v>
      </c>
      <c r="C6193" s="6">
        <v>1000</v>
      </c>
      <c r="D6193" s="7">
        <v>0.74</v>
      </c>
    </row>
    <row r="6194" spans="1:5" x14ac:dyDescent="0.25">
      <c r="A6194" t="str">
        <f>HYPERLINK("https://www.773grp.com/globalSearch/SN74LS368AMR1/page-1", "SN74LS368AMR1")</f>
        <v>SN74LS368AMR1</v>
      </c>
      <c r="B6194" s="3" t="str">
        <f>HYPERLINK("https://www.773grp.com/manufacturer/onsemi?pageNo=801", "Onsemi")</f>
        <v>Onsemi</v>
      </c>
      <c r="C6194" s="6">
        <v>58000</v>
      </c>
      <c r="D6194" s="7">
        <v>0.74</v>
      </c>
    </row>
    <row r="6195" spans="1:5" x14ac:dyDescent="0.25">
      <c r="A6195" t="str">
        <f>HYPERLINK("https://www.773grp.com/globalSearch/SN74LS85N/page-1", "SN74LS85N")</f>
        <v>SN74LS85N</v>
      </c>
      <c r="B6195" s="3" t="str">
        <f>HYPERLINK("https://www.773grp.com/manufacturer/onsemi?pageNo=802", "Onsemi")</f>
        <v>Onsemi</v>
      </c>
      <c r="C6195" s="6">
        <v>9064</v>
      </c>
      <c r="D6195" s="7">
        <v>0.74</v>
      </c>
      <c r="E6195" t="s">
        <v>38</v>
      </c>
    </row>
    <row r="6196" spans="1:5" x14ac:dyDescent="0.25">
      <c r="A6196" t="str">
        <f>HYPERLINK("https://www.773grp.com/globalSearch/SNP3100SBT3G/page-1", "SNP3100SBT3G")</f>
        <v>SNP3100SBT3G</v>
      </c>
      <c r="B6196" s="3" t="str">
        <f>HYPERLINK("https://www.773grp.com/manufacturer/onsemi?pageNo=803", "Onsemi")</f>
        <v>Onsemi</v>
      </c>
      <c r="C6196" s="6">
        <v>150000</v>
      </c>
      <c r="D6196" s="7">
        <v>0.74</v>
      </c>
    </row>
    <row r="6197" spans="1:5" x14ac:dyDescent="0.25">
      <c r="A6197" t="str">
        <f>HYPERLINK("https://www.773grp.com/globalSearch/TE02196T/page-1", "TE02196T")</f>
        <v>TE02196T</v>
      </c>
      <c r="B6197" s="3" t="str">
        <f>HYPERLINK("https://www.773grp.com/manufacturer/onsemi?pageNo=804", "Onsemi")</f>
        <v>Onsemi</v>
      </c>
      <c r="C6197" s="6">
        <v>19100</v>
      </c>
      <c r="D6197" s="7">
        <v>0.74</v>
      </c>
    </row>
    <row r="6198" spans="1:5" x14ac:dyDescent="0.25">
      <c r="A6198" t="str">
        <f>HYPERLINK("https://www.773grp.com/globalSearch/TIP102/page-1", "TIP102")</f>
        <v>TIP102</v>
      </c>
      <c r="B6198" s="3" t="str">
        <f>HYPERLINK("https://www.773grp.com/manufacturer/onsemi?pageNo=805", "Onsemi")</f>
        <v>Onsemi</v>
      </c>
      <c r="C6198" s="6">
        <v>4</v>
      </c>
      <c r="D6198" s="7">
        <v>0.74</v>
      </c>
      <c r="E6198" t="s">
        <v>47</v>
      </c>
    </row>
    <row r="6199" spans="1:5" x14ac:dyDescent="0.25">
      <c r="A6199" t="str">
        <f>HYPERLINK("https://www.773grp.com/globalSearch/TL431AIDR2G/page-1", "TL431AIDR2G")</f>
        <v>TL431AIDR2G</v>
      </c>
      <c r="B6199" s="3" t="str">
        <f>HYPERLINK("https://www.773grp.com/manufacturer/onsemi?pageNo=806", "Onsemi")</f>
        <v>Onsemi</v>
      </c>
      <c r="C6199" s="6">
        <v>218280</v>
      </c>
      <c r="D6199" s="7">
        <v>0.74</v>
      </c>
      <c r="E6199" t="s">
        <v>13</v>
      </c>
    </row>
    <row r="6200" spans="1:5" x14ac:dyDescent="0.25">
      <c r="A6200" t="str">
        <f>HYPERLINK("https://www.773grp.com/globalSearch/TL431AILPG/page-1", "TL431AILPG")</f>
        <v>TL431AILPG</v>
      </c>
      <c r="B6200" s="3" t="str">
        <f>HYPERLINK("https://www.773grp.com/manufacturer/onsemi?pageNo=807", "Onsemi")</f>
        <v>Onsemi</v>
      </c>
      <c r="C6200" s="6">
        <v>477508</v>
      </c>
      <c r="D6200" s="7">
        <v>0.74</v>
      </c>
      <c r="E6200" t="s">
        <v>13</v>
      </c>
    </row>
    <row r="6201" spans="1:5" x14ac:dyDescent="0.25">
      <c r="A6201" t="str">
        <f>HYPERLINK("https://www.773grp.com/globalSearch/TL431AILPRAG/page-1", "TL431AILPRAG")</f>
        <v>TL431AILPRAG</v>
      </c>
      <c r="B6201" s="3" t="str">
        <f>HYPERLINK("https://www.773grp.com/manufacturer/onsemi?pageNo=808", "Onsemi")</f>
        <v>Onsemi</v>
      </c>
      <c r="C6201" s="6">
        <v>40000</v>
      </c>
      <c r="D6201" s="7">
        <v>0.74</v>
      </c>
      <c r="E6201" t="s">
        <v>13</v>
      </c>
    </row>
    <row r="6202" spans="1:5" x14ac:dyDescent="0.25">
      <c r="A6202" t="str">
        <f>HYPERLINK("https://www.773grp.com/globalSearch/TL431BCP/page-1", "TL431BCP")</f>
        <v>TL431BCP</v>
      </c>
      <c r="B6202" s="3" t="str">
        <f>HYPERLINK("https://www.773grp.com/manufacturer/onsemi?pageNo=809", "Onsemi")</f>
        <v>Onsemi</v>
      </c>
      <c r="C6202" s="6">
        <v>3050</v>
      </c>
      <c r="D6202" s="7">
        <v>0.74</v>
      </c>
      <c r="E6202" t="s">
        <v>13</v>
      </c>
    </row>
    <row r="6203" spans="1:5" x14ac:dyDescent="0.25">
      <c r="A6203" t="str">
        <f>HYPERLINK("https://www.773grp.com/globalSearch/TL431BVDG/page-1", "TL431BVDG")</f>
        <v>TL431BVDG</v>
      </c>
      <c r="B6203" s="3" t="str">
        <f>HYPERLINK("https://www.773grp.com/manufacturer/onsemi?pageNo=810", "Onsemi")</f>
        <v>Onsemi</v>
      </c>
      <c r="C6203" s="6">
        <v>9549</v>
      </c>
      <c r="D6203" s="7">
        <v>0.74</v>
      </c>
      <c r="E6203" t="s">
        <v>13</v>
      </c>
    </row>
    <row r="6204" spans="1:5" x14ac:dyDescent="0.25">
      <c r="A6204" t="str">
        <f>HYPERLINK("https://www.773grp.com/globalSearch/TL431CP/page-1", "TL431CP")</f>
        <v>TL431CP</v>
      </c>
      <c r="B6204" s="3" t="str">
        <f>HYPERLINK("https://www.773grp.com/manufacturer/onsemi?pageNo=811", "Onsemi")</f>
        <v>Onsemi</v>
      </c>
      <c r="C6204" s="6">
        <v>181</v>
      </c>
      <c r="D6204" s="7">
        <v>0.74</v>
      </c>
      <c r="E6204" t="s">
        <v>13</v>
      </c>
    </row>
    <row r="6205" spans="1:5" x14ac:dyDescent="0.25">
      <c r="A6205" t="str">
        <f>HYPERLINK("https://www.773grp.com/globalSearch/1.5KE10ARL4G/page-1", "1.5KE10ARL4G")</f>
        <v>1.5KE10ARL4G</v>
      </c>
      <c r="B6205" s="3" t="str">
        <f>HYPERLINK("https://www.773grp.com/manufacturer/onsemi?pageNo=812", "Onsemi")</f>
        <v>Onsemi</v>
      </c>
      <c r="C6205" s="6">
        <v>1500</v>
      </c>
      <c r="D6205" s="7">
        <v>0.79</v>
      </c>
    </row>
    <row r="6206" spans="1:5" x14ac:dyDescent="0.25">
      <c r="A6206" t="str">
        <f>HYPERLINK("https://www.773grp.com/globalSearch/1.5KE12ARL4G/page-1", "1.5KE12ARL4G")</f>
        <v>1.5KE12ARL4G</v>
      </c>
      <c r="B6206" s="3" t="str">
        <f>HYPERLINK("https://www.773grp.com/manufacturer/onsemi?pageNo=813", "Onsemi")</f>
        <v>Onsemi</v>
      </c>
      <c r="C6206" s="6">
        <v>47590</v>
      </c>
      <c r="D6206" s="7">
        <v>0.79</v>
      </c>
      <c r="E6206" t="s">
        <v>75</v>
      </c>
    </row>
    <row r="6207" spans="1:5" x14ac:dyDescent="0.25">
      <c r="A6207" t="str">
        <f>HYPERLINK("https://www.773grp.com/globalSearch/1.5KE15AG/page-1", "1.5KE15AG")</f>
        <v>1.5KE15AG</v>
      </c>
      <c r="B6207" s="3" t="str">
        <f>HYPERLINK("https://www.773grp.com/manufacturer/onsemi?pageNo=814", "Onsemi")</f>
        <v>Onsemi</v>
      </c>
      <c r="C6207" s="6">
        <v>18014</v>
      </c>
      <c r="D6207" s="7">
        <v>0.79</v>
      </c>
      <c r="E6207" t="s">
        <v>75</v>
      </c>
    </row>
    <row r="6208" spans="1:5" x14ac:dyDescent="0.25">
      <c r="A6208" t="str">
        <f>HYPERLINK("https://www.773grp.com/globalSearch/1.5KE15ARL4G/page-1", "1.5KE15ARL4G")</f>
        <v>1.5KE15ARL4G</v>
      </c>
      <c r="B6208" s="3" t="str">
        <f>HYPERLINK("https://www.773grp.com/manufacturer/onsemi?pageNo=815", "Onsemi")</f>
        <v>Onsemi</v>
      </c>
      <c r="C6208" s="6">
        <v>4500</v>
      </c>
      <c r="D6208" s="7">
        <v>0.79</v>
      </c>
    </row>
    <row r="6209" spans="1:5" x14ac:dyDescent="0.25">
      <c r="A6209" t="str">
        <f>HYPERLINK("https://www.773grp.com/globalSearch/1.5KE20AG/page-1", "1.5KE20AG")</f>
        <v>1.5KE20AG</v>
      </c>
      <c r="B6209" s="3" t="str">
        <f>HYPERLINK("https://www.773grp.com/manufacturer/onsemi?pageNo=816", "Onsemi")</f>
        <v>Onsemi</v>
      </c>
      <c r="C6209" s="6">
        <v>6177</v>
      </c>
      <c r="D6209" s="7">
        <v>0.79</v>
      </c>
      <c r="E6209" t="s">
        <v>75</v>
      </c>
    </row>
    <row r="6210" spans="1:5" x14ac:dyDescent="0.25">
      <c r="A6210" t="str">
        <f>HYPERLINK("https://www.773grp.com/globalSearch/1.5KE20ARL4G/page-1", "1.5KE20ARL4G")</f>
        <v>1.5KE20ARL4G</v>
      </c>
      <c r="B6210" s="3" t="str">
        <f>HYPERLINK("https://www.773grp.com/manufacturer/onsemi?pageNo=817", "Onsemi")</f>
        <v>Onsemi</v>
      </c>
      <c r="C6210" s="6">
        <v>15000</v>
      </c>
      <c r="D6210" s="7">
        <v>0.79</v>
      </c>
      <c r="E6210" t="s">
        <v>75</v>
      </c>
    </row>
    <row r="6211" spans="1:5" x14ac:dyDescent="0.25">
      <c r="A6211" t="str">
        <f>HYPERLINK("https://www.773grp.com/globalSearch/1.5KE33AG/page-1", "1.5KE33AG")</f>
        <v>1.5KE33AG</v>
      </c>
      <c r="B6211" s="3" t="str">
        <f>HYPERLINK("https://www.773grp.com/manufacturer/onsemi?pageNo=818", "Onsemi")</f>
        <v>Onsemi</v>
      </c>
      <c r="C6211" s="6">
        <v>13000</v>
      </c>
      <c r="D6211" s="7">
        <v>0.79</v>
      </c>
      <c r="E6211" t="s">
        <v>75</v>
      </c>
    </row>
    <row r="6212" spans="1:5" x14ac:dyDescent="0.25">
      <c r="A6212" t="str">
        <f>HYPERLINK("https://www.773grp.com/globalSearch/1.5KE39ARL4G/page-1", "1.5KE39ARL4G")</f>
        <v>1.5KE39ARL4G</v>
      </c>
      <c r="B6212" s="3" t="str">
        <f>HYPERLINK("https://www.773grp.com/manufacturer/onsemi?pageNo=819", "Onsemi")</f>
        <v>Onsemi</v>
      </c>
      <c r="C6212" s="6">
        <v>10500</v>
      </c>
      <c r="D6212" s="7">
        <v>0.79</v>
      </c>
      <c r="E6212" t="s">
        <v>75</v>
      </c>
    </row>
    <row r="6213" spans="1:5" x14ac:dyDescent="0.25">
      <c r="A6213" t="str">
        <f>HYPERLINK("https://www.773grp.com/globalSearch/1.5KE47AG/page-1", "1.5KE47AG")</f>
        <v>1.5KE47AG</v>
      </c>
      <c r="B6213" s="3" t="str">
        <f>HYPERLINK("https://www.773grp.com/manufacturer/onsemi?pageNo=820", "Onsemi")</f>
        <v>Onsemi</v>
      </c>
      <c r="C6213" s="6">
        <v>18799</v>
      </c>
      <c r="D6213" s="7">
        <v>0.79</v>
      </c>
      <c r="E6213" t="s">
        <v>75</v>
      </c>
    </row>
    <row r="6214" spans="1:5" x14ac:dyDescent="0.25">
      <c r="A6214" t="str">
        <f>HYPERLINK("https://www.773grp.com/globalSearch/1.5KE47ARL4G/page-1", "1.5KE47ARL4G")</f>
        <v>1.5KE47ARL4G</v>
      </c>
      <c r="B6214" s="3" t="str">
        <f>HYPERLINK("https://www.773grp.com/manufacturer/onsemi?pageNo=821", "Onsemi")</f>
        <v>Onsemi</v>
      </c>
      <c r="C6214" s="6">
        <v>2942</v>
      </c>
      <c r="D6214" s="7">
        <v>0.79</v>
      </c>
    </row>
    <row r="6215" spans="1:5" x14ac:dyDescent="0.25">
      <c r="A6215" t="str">
        <f>HYPERLINK("https://www.773grp.com/globalSearch/1.5KE51ARL4G/page-1", "1.5KE51ARL4G")</f>
        <v>1.5KE51ARL4G</v>
      </c>
      <c r="B6215" s="3" t="str">
        <f>HYPERLINK("https://www.773grp.com/manufacturer/onsemi?pageNo=822", "Onsemi")</f>
        <v>Onsemi</v>
      </c>
      <c r="C6215" s="6">
        <v>3000</v>
      </c>
      <c r="D6215" s="7">
        <v>0.79</v>
      </c>
      <c r="E6215" t="s">
        <v>75</v>
      </c>
    </row>
    <row r="6216" spans="1:5" x14ac:dyDescent="0.25">
      <c r="A6216" t="str">
        <f>HYPERLINK("https://www.773grp.com/globalSearch/1.5KE62AG/page-1", "1.5KE62AG")</f>
        <v>1.5KE62AG</v>
      </c>
      <c r="B6216" s="3" t="str">
        <f>HYPERLINK("https://www.773grp.com/manufacturer/onsemi?pageNo=823", "Onsemi")</f>
        <v>Onsemi</v>
      </c>
      <c r="C6216" s="6">
        <v>14072</v>
      </c>
      <c r="D6216" s="7">
        <v>0.79</v>
      </c>
      <c r="E6216" t="s">
        <v>75</v>
      </c>
    </row>
    <row r="6217" spans="1:5" x14ac:dyDescent="0.25">
      <c r="A6217" t="str">
        <f>HYPERLINK("https://www.773grp.com/globalSearch/1.5KE62ARL4G/page-1", "1.5KE62ARL4G")</f>
        <v>1.5KE62ARL4G</v>
      </c>
      <c r="B6217" s="3" t="str">
        <f>HYPERLINK("https://www.773grp.com/manufacturer/onsemi?pageNo=824", "Onsemi")</f>
        <v>Onsemi</v>
      </c>
      <c r="C6217" s="6">
        <v>6319</v>
      </c>
      <c r="D6217" s="7">
        <v>0.79</v>
      </c>
      <c r="E6217" t="s">
        <v>75</v>
      </c>
    </row>
    <row r="6218" spans="1:5" x14ac:dyDescent="0.25">
      <c r="A6218" t="str">
        <f>HYPERLINK("https://www.773grp.com/globalSearch/1.5KE68AG/page-1", "1.5KE68AG")</f>
        <v>1.5KE68AG</v>
      </c>
      <c r="B6218" s="3" t="str">
        <f>HYPERLINK("https://www.773grp.com/manufacturer/onsemi?pageNo=825", "Onsemi")</f>
        <v>Onsemi</v>
      </c>
      <c r="C6218" s="6">
        <v>11331</v>
      </c>
      <c r="D6218" s="7">
        <v>0.79</v>
      </c>
      <c r="E6218" t="s">
        <v>75</v>
      </c>
    </row>
    <row r="6219" spans="1:5" x14ac:dyDescent="0.25">
      <c r="A6219" t="str">
        <f>HYPERLINK("https://www.773grp.com/globalSearch/1.5KE68ARL4G/page-1", "1.5KE68ARL4G")</f>
        <v>1.5KE68ARL4G</v>
      </c>
      <c r="B6219" s="3" t="str">
        <f>HYPERLINK("https://www.773grp.com/manufacturer/onsemi?pageNo=826", "Onsemi")</f>
        <v>Onsemi</v>
      </c>
      <c r="C6219" s="6">
        <v>2997</v>
      </c>
      <c r="D6219" s="7">
        <v>0.79</v>
      </c>
      <c r="E6219" t="s">
        <v>75</v>
      </c>
    </row>
    <row r="6220" spans="1:5" x14ac:dyDescent="0.25">
      <c r="A6220" t="str">
        <f>HYPERLINK("https://www.773grp.com/globalSearch/1.5KE82ARL4G/page-1", "1.5KE82ARL4G")</f>
        <v>1.5KE82ARL4G</v>
      </c>
      <c r="B6220" s="3" t="str">
        <f>HYPERLINK("https://www.773grp.com/manufacturer/onsemi?pageNo=827", "Onsemi")</f>
        <v>Onsemi</v>
      </c>
      <c r="C6220" s="6">
        <v>1500</v>
      </c>
      <c r="D6220" s="7">
        <v>0.79</v>
      </c>
      <c r="E6220" t="s">
        <v>75</v>
      </c>
    </row>
    <row r="6221" spans="1:5" x14ac:dyDescent="0.25">
      <c r="A6221" t="str">
        <f>HYPERLINK("https://www.773grp.com/globalSearch/1.5KE9.1ARL4G/page-1", "1.5KE9.1ARL4G")</f>
        <v>1.5KE9.1ARL4G</v>
      </c>
      <c r="B6221" s="3" t="str">
        <f>HYPERLINK("https://www.773grp.com/manufacturer/onsemi?pageNo=828", "Onsemi")</f>
        <v>Onsemi</v>
      </c>
      <c r="C6221" s="6">
        <v>491</v>
      </c>
      <c r="D6221" s="7">
        <v>0.79</v>
      </c>
      <c r="E6221" t="s">
        <v>75</v>
      </c>
    </row>
    <row r="6222" spans="1:5" x14ac:dyDescent="0.25">
      <c r="A6222" t="str">
        <f>HYPERLINK("https://www.773grp.com/globalSearch/1N6274AG/page-1", "1N6274AG")</f>
        <v>1N6274AG</v>
      </c>
      <c r="B6222" s="3" t="str">
        <f>HYPERLINK("https://www.773grp.com/manufacturer/onsemi?pageNo=829", "Onsemi")</f>
        <v>Onsemi</v>
      </c>
      <c r="C6222" s="6">
        <v>7576</v>
      </c>
      <c r="D6222" s="7">
        <v>0.79</v>
      </c>
      <c r="E6222" t="s">
        <v>75</v>
      </c>
    </row>
    <row r="6223" spans="1:5" x14ac:dyDescent="0.25">
      <c r="A6223" t="str">
        <f>HYPERLINK("https://www.773grp.com/globalSearch/1N6276AG/page-1", "1N6276AG")</f>
        <v>1N6276AG</v>
      </c>
      <c r="B6223" s="3" t="str">
        <f>HYPERLINK("https://www.773grp.com/manufacturer/onsemi?pageNo=830", "Onsemi")</f>
        <v>Onsemi</v>
      </c>
      <c r="C6223" s="6">
        <v>10097</v>
      </c>
      <c r="D6223" s="7">
        <v>0.79</v>
      </c>
      <c r="E6223" t="s">
        <v>75</v>
      </c>
    </row>
    <row r="6224" spans="1:5" x14ac:dyDescent="0.25">
      <c r="A6224" t="str">
        <f>HYPERLINK("https://www.773grp.com/globalSearch/1N6276ARL4G/page-1", "1N6276ARL4G")</f>
        <v>1N6276ARL4G</v>
      </c>
      <c r="B6224" s="3" t="str">
        <f>HYPERLINK("https://www.773grp.com/manufacturer/onsemi?pageNo=831", "Onsemi")</f>
        <v>Onsemi</v>
      </c>
      <c r="C6224" s="6">
        <v>7500</v>
      </c>
      <c r="D6224" s="7">
        <v>0.79</v>
      </c>
      <c r="E6224" t="s">
        <v>75</v>
      </c>
    </row>
    <row r="6225" spans="1:5" x14ac:dyDescent="0.25">
      <c r="A6225" t="str">
        <f>HYPERLINK("https://www.773grp.com/globalSearch/1N6277ARL4G/page-1", "1N6277ARL4G")</f>
        <v>1N6277ARL4G</v>
      </c>
      <c r="B6225" s="3" t="str">
        <f>HYPERLINK("https://www.773grp.com/manufacturer/onsemi?pageNo=832", "Onsemi")</f>
        <v>Onsemi</v>
      </c>
      <c r="C6225" s="6">
        <v>9000</v>
      </c>
      <c r="D6225" s="7">
        <v>0.79</v>
      </c>
      <c r="E6225" t="s">
        <v>75</v>
      </c>
    </row>
    <row r="6226" spans="1:5" x14ac:dyDescent="0.25">
      <c r="A6226" t="str">
        <f>HYPERLINK("https://www.773grp.com/globalSearch/1N6278AG/page-1", "1N6278AG")</f>
        <v>1N6278AG</v>
      </c>
      <c r="B6226" s="3" t="str">
        <f>HYPERLINK("https://www.773grp.com/manufacturer/onsemi?pageNo=833", "Onsemi")</f>
        <v>Onsemi</v>
      </c>
      <c r="C6226" s="6">
        <v>6000</v>
      </c>
      <c r="D6226" s="7">
        <v>0.79</v>
      </c>
    </row>
    <row r="6227" spans="1:5" x14ac:dyDescent="0.25">
      <c r="A6227" t="str">
        <f>HYPERLINK("https://www.773grp.com/globalSearch/1N6279AG/page-1", "1N6279AG")</f>
        <v>1N6279AG</v>
      </c>
      <c r="B6227" s="3" t="str">
        <f>HYPERLINK("https://www.773grp.com/manufacturer/onsemi?pageNo=834", "Onsemi")</f>
        <v>Onsemi</v>
      </c>
      <c r="C6227" s="6">
        <v>7340</v>
      </c>
      <c r="D6227" s="7">
        <v>0.79</v>
      </c>
      <c r="E6227" t="s">
        <v>75</v>
      </c>
    </row>
    <row r="6228" spans="1:5" x14ac:dyDescent="0.25">
      <c r="A6228" t="str">
        <f>HYPERLINK("https://www.773grp.com/globalSearch/1N6280ARL4G/page-1", "1N6280ARL4G")</f>
        <v>1N6280ARL4G</v>
      </c>
      <c r="B6228" s="3" t="str">
        <f>HYPERLINK("https://www.773grp.com/manufacturer/onsemi?pageNo=835", "Onsemi")</f>
        <v>Onsemi</v>
      </c>
      <c r="C6228" s="6">
        <v>4500</v>
      </c>
      <c r="D6228" s="7">
        <v>0.79</v>
      </c>
      <c r="E6228" t="s">
        <v>75</v>
      </c>
    </row>
    <row r="6229" spans="1:5" x14ac:dyDescent="0.25">
      <c r="A6229" t="str">
        <f>HYPERLINK("https://www.773grp.com/globalSearch/1N6281AG/page-1", "1N6281AG")</f>
        <v>1N6281AG</v>
      </c>
      <c r="B6229" s="3" t="str">
        <f>HYPERLINK("https://www.773grp.com/manufacturer/onsemi?pageNo=836", "Onsemi")</f>
        <v>Onsemi</v>
      </c>
      <c r="C6229" s="6">
        <v>7756</v>
      </c>
      <c r="D6229" s="7">
        <v>0.79</v>
      </c>
      <c r="E6229" t="s">
        <v>75</v>
      </c>
    </row>
    <row r="6230" spans="1:5" x14ac:dyDescent="0.25">
      <c r="A6230" t="str">
        <f>HYPERLINK("https://www.773grp.com/globalSearch/1N6283AG/page-1", "1N6283AG")</f>
        <v>1N6283AG</v>
      </c>
      <c r="B6230" s="3" t="str">
        <f>HYPERLINK("https://www.773grp.com/manufacturer/onsemi?pageNo=837", "Onsemi")</f>
        <v>Onsemi</v>
      </c>
      <c r="C6230" s="6">
        <v>13364</v>
      </c>
      <c r="D6230" s="7">
        <v>0.79</v>
      </c>
      <c r="E6230" t="s">
        <v>75</v>
      </c>
    </row>
    <row r="6231" spans="1:5" x14ac:dyDescent="0.25">
      <c r="A6231" t="str">
        <f>HYPERLINK("https://www.773grp.com/globalSearch/1N6286AG/page-1", "1N6286AG")</f>
        <v>1N6286AG</v>
      </c>
      <c r="B6231" s="3" t="str">
        <f>HYPERLINK("https://www.773grp.com/manufacturer/onsemi?pageNo=838", "Onsemi")</f>
        <v>Onsemi</v>
      </c>
      <c r="C6231" s="6">
        <v>3250</v>
      </c>
      <c r="D6231" s="7">
        <v>0.79</v>
      </c>
      <c r="E6231" t="s">
        <v>75</v>
      </c>
    </row>
    <row r="6232" spans="1:5" x14ac:dyDescent="0.25">
      <c r="A6232" t="str">
        <f>HYPERLINK("https://www.773grp.com/globalSearch/1N6287AG/page-1", "1N6287AG")</f>
        <v>1N6287AG</v>
      </c>
      <c r="B6232" s="3" t="str">
        <f>HYPERLINK("https://www.773grp.com/manufacturer/onsemi?pageNo=839", "Onsemi")</f>
        <v>Onsemi</v>
      </c>
      <c r="C6232" s="6">
        <v>4300</v>
      </c>
      <c r="D6232" s="7">
        <v>0.79</v>
      </c>
      <c r="E6232" t="s">
        <v>75</v>
      </c>
    </row>
    <row r="6233" spans="1:5" x14ac:dyDescent="0.25">
      <c r="A6233" t="str">
        <f>HYPERLINK("https://www.773grp.com/globalSearch/1N6287ARL4G/page-1", "1N6287ARL4G")</f>
        <v>1N6287ARL4G</v>
      </c>
      <c r="B6233" s="3" t="str">
        <f>HYPERLINK("https://www.773grp.com/manufacturer/onsemi?pageNo=840", "Onsemi")</f>
        <v>Onsemi</v>
      </c>
      <c r="C6233" s="6">
        <v>1500</v>
      </c>
      <c r="D6233" s="7">
        <v>0.79</v>
      </c>
      <c r="E6233" t="s">
        <v>75</v>
      </c>
    </row>
    <row r="6234" spans="1:5" x14ac:dyDescent="0.25">
      <c r="A6234" t="str">
        <f>HYPERLINK("https://www.773grp.com/globalSearch/1N6288AG/page-1", "1N6288AG")</f>
        <v>1N6288AG</v>
      </c>
      <c r="B6234" s="3" t="str">
        <f>HYPERLINK("https://www.773grp.com/manufacturer/onsemi?pageNo=841", "Onsemi")</f>
        <v>Onsemi</v>
      </c>
      <c r="C6234" s="6">
        <v>12535</v>
      </c>
      <c r="D6234" s="7">
        <v>0.79</v>
      </c>
      <c r="E6234" t="s">
        <v>75</v>
      </c>
    </row>
    <row r="6235" spans="1:5" x14ac:dyDescent="0.25">
      <c r="A6235" t="str">
        <f>HYPERLINK("https://www.773grp.com/globalSearch/1N6289ARL4G/page-1", "1N6289ARL4G")</f>
        <v>1N6289ARL4G</v>
      </c>
      <c r="B6235" s="3" t="str">
        <f>HYPERLINK("https://www.773grp.com/manufacturer/onsemi?pageNo=842", "Onsemi")</f>
        <v>Onsemi</v>
      </c>
      <c r="C6235" s="6">
        <v>3000</v>
      </c>
      <c r="D6235" s="7">
        <v>0.79</v>
      </c>
    </row>
    <row r="6236" spans="1:5" x14ac:dyDescent="0.25">
      <c r="A6236" t="str">
        <f>HYPERLINK("https://www.773grp.com/globalSearch/1N6291AG/page-1", "1N6291AG")</f>
        <v>1N6291AG</v>
      </c>
      <c r="B6236" s="3" t="str">
        <f>HYPERLINK("https://www.773grp.com/manufacturer/onsemi?pageNo=843", "Onsemi")</f>
        <v>Onsemi</v>
      </c>
      <c r="C6236" s="6">
        <v>3249</v>
      </c>
      <c r="D6236" s="7">
        <v>0.79</v>
      </c>
      <c r="E6236" t="s">
        <v>75</v>
      </c>
    </row>
    <row r="6237" spans="1:5" x14ac:dyDescent="0.25">
      <c r="A6237" t="str">
        <f>HYPERLINK("https://www.773grp.com/globalSearch/1N6291ARL4G/page-1", "1N6291ARL4G")</f>
        <v>1N6291ARL4G</v>
      </c>
      <c r="B6237" s="3" t="str">
        <f>HYPERLINK("https://www.773grp.com/manufacturer/onsemi?pageNo=844", "Onsemi")</f>
        <v>Onsemi</v>
      </c>
      <c r="C6237" s="6">
        <v>7943</v>
      </c>
      <c r="D6237" s="7">
        <v>0.79</v>
      </c>
      <c r="E6237" t="s">
        <v>75</v>
      </c>
    </row>
    <row r="6238" spans="1:5" x14ac:dyDescent="0.25">
      <c r="A6238" t="str">
        <f>HYPERLINK("https://www.773grp.com/globalSearch/1N6292AG/page-1", "1N6292AG")</f>
        <v>1N6292AG</v>
      </c>
      <c r="B6238" s="3" t="str">
        <f>HYPERLINK("https://www.773grp.com/manufacturer/onsemi?pageNo=845", "Onsemi")</f>
        <v>Onsemi</v>
      </c>
      <c r="C6238" s="6">
        <v>7000</v>
      </c>
      <c r="D6238" s="7">
        <v>0.79</v>
      </c>
      <c r="E6238" t="s">
        <v>75</v>
      </c>
    </row>
    <row r="6239" spans="1:5" x14ac:dyDescent="0.25">
      <c r="A6239" t="str">
        <f>HYPERLINK("https://www.773grp.com/globalSearch/1N6292ARL4G/page-1", "1N6292ARL4G")</f>
        <v>1N6292ARL4G</v>
      </c>
      <c r="B6239" s="3" t="str">
        <f>HYPERLINK("https://www.773grp.com/manufacturer/onsemi?pageNo=846", "Onsemi")</f>
        <v>Onsemi</v>
      </c>
      <c r="C6239" s="6">
        <v>7500</v>
      </c>
      <c r="D6239" s="7">
        <v>0.79</v>
      </c>
      <c r="E6239" t="s">
        <v>75</v>
      </c>
    </row>
    <row r="6240" spans="1:5" x14ac:dyDescent="0.25">
      <c r="A6240" t="str">
        <f>HYPERLINK("https://www.773grp.com/globalSearch/1N6376G/page-1", "1N6376G")</f>
        <v>1N6376G</v>
      </c>
      <c r="B6240" s="3" t="str">
        <f>HYPERLINK("https://www.773grp.com/manufacturer/onsemi?pageNo=847", "Onsemi")</f>
        <v>Onsemi</v>
      </c>
      <c r="C6240" s="6">
        <v>6000</v>
      </c>
      <c r="D6240" s="7">
        <v>0.79</v>
      </c>
      <c r="E6240" t="s">
        <v>75</v>
      </c>
    </row>
    <row r="6241" spans="1:5" x14ac:dyDescent="0.25">
      <c r="A6241" t="str">
        <f>HYPERLINK("https://www.773grp.com/globalSearch/1N6376RL4G/page-1", "1N6376RL4G")</f>
        <v>1N6376RL4G</v>
      </c>
      <c r="B6241" s="3" t="str">
        <f>HYPERLINK("https://www.773grp.com/manufacturer/onsemi?pageNo=848", "Onsemi")</f>
        <v>Onsemi</v>
      </c>
      <c r="C6241" s="6">
        <v>6000</v>
      </c>
      <c r="D6241" s="7">
        <v>0.79</v>
      </c>
      <c r="E6241" t="s">
        <v>75</v>
      </c>
    </row>
    <row r="6242" spans="1:5" x14ac:dyDescent="0.25">
      <c r="A6242" t="str">
        <f>HYPERLINK("https://www.773grp.com/globalSearch/1N6380G/page-1", "1N6380G")</f>
        <v>1N6380G</v>
      </c>
      <c r="B6242" s="3" t="str">
        <f>HYPERLINK("https://www.773grp.com/manufacturer/onsemi?pageNo=849", "Onsemi")</f>
        <v>Onsemi</v>
      </c>
      <c r="C6242" s="6">
        <v>1000</v>
      </c>
      <c r="D6242" s="7">
        <v>0.79</v>
      </c>
    </row>
    <row r="6243" spans="1:5" x14ac:dyDescent="0.25">
      <c r="A6243" t="str">
        <f>HYPERLINK("https://www.773grp.com/globalSearch/1N6380RL4G/page-1", "1N6380RL4G")</f>
        <v>1N6380RL4G</v>
      </c>
      <c r="B6243" s="3" t="str">
        <f>HYPERLINK("https://www.773grp.com/manufacturer/onsemi?pageNo=850", "Onsemi")</f>
        <v>Onsemi</v>
      </c>
      <c r="C6243" s="6">
        <v>13427</v>
      </c>
      <c r="D6243" s="7">
        <v>0.79</v>
      </c>
      <c r="E6243" t="s">
        <v>75</v>
      </c>
    </row>
    <row r="6244" spans="1:5" x14ac:dyDescent="0.25">
      <c r="A6244" t="str">
        <f>HYPERLINK("https://www.773grp.com/globalSearch/1SMB5917BT3G/page-1", "1SMB5917BT3G")</f>
        <v>1SMB5917BT3G</v>
      </c>
      <c r="B6244" s="3" t="str">
        <f>HYPERLINK("https://www.773grp.com/manufacturer/onsemi?pageNo=851", "Onsemi")</f>
        <v>Onsemi</v>
      </c>
      <c r="C6244" s="6">
        <v>5000</v>
      </c>
      <c r="D6244" s="7">
        <v>0.79</v>
      </c>
      <c r="E6244" t="s">
        <v>77</v>
      </c>
    </row>
    <row r="6245" spans="1:5" x14ac:dyDescent="0.25">
      <c r="A6245" t="str">
        <f>HYPERLINK("https://www.773grp.com/globalSearch/1SMB5920BT3G/page-1", "1SMB5920BT3G")</f>
        <v>1SMB5920BT3G</v>
      </c>
      <c r="B6245" s="3" t="str">
        <f>HYPERLINK("https://www.773grp.com/manufacturer/onsemi?pageNo=852", "Onsemi")</f>
        <v>Onsemi</v>
      </c>
      <c r="C6245" s="6">
        <v>27</v>
      </c>
      <c r="D6245" s="7">
        <v>0.79</v>
      </c>
    </row>
    <row r="6246" spans="1:5" x14ac:dyDescent="0.25">
      <c r="A6246" t="str">
        <f>HYPERLINK("https://www.773grp.com/globalSearch/1SMB5921BT3G/page-1", "1SMB5921BT3G")</f>
        <v>1SMB5921BT3G</v>
      </c>
      <c r="B6246" s="3" t="str">
        <f>HYPERLINK("https://www.773grp.com/manufacturer/onsemi?pageNo=853", "Onsemi")</f>
        <v>Onsemi</v>
      </c>
      <c r="C6246" s="6">
        <v>1760</v>
      </c>
      <c r="D6246" s="7">
        <v>0.79</v>
      </c>
      <c r="E6246" t="s">
        <v>77</v>
      </c>
    </row>
    <row r="6247" spans="1:5" x14ac:dyDescent="0.25">
      <c r="A6247" t="str">
        <f>HYPERLINK("https://www.773grp.com/globalSearch/1SMB5925BT3G/page-1", "1SMB5925BT3G")</f>
        <v>1SMB5925BT3G</v>
      </c>
      <c r="B6247" s="3" t="str">
        <f>HYPERLINK("https://www.773grp.com/manufacturer/onsemi?pageNo=854", "Onsemi")</f>
        <v>Onsemi</v>
      </c>
      <c r="C6247" s="6">
        <v>90185</v>
      </c>
      <c r="D6247" s="7">
        <v>0.79</v>
      </c>
      <c r="E6247" t="s">
        <v>77</v>
      </c>
    </row>
    <row r="6248" spans="1:5" x14ac:dyDescent="0.25">
      <c r="A6248" t="str">
        <f>HYPERLINK("https://www.773grp.com/globalSearch/1SMB5928BT3G/page-1", "1SMB5928BT3G")</f>
        <v>1SMB5928BT3G</v>
      </c>
      <c r="B6248" s="3" t="str">
        <f>HYPERLINK("https://www.773grp.com/manufacturer/onsemi?pageNo=855", "Onsemi")</f>
        <v>Onsemi</v>
      </c>
      <c r="C6248" s="6">
        <v>152400</v>
      </c>
      <c r="D6248" s="7">
        <v>0.79</v>
      </c>
      <c r="E6248" t="s">
        <v>77</v>
      </c>
    </row>
    <row r="6249" spans="1:5" x14ac:dyDescent="0.25">
      <c r="A6249" t="str">
        <f>HYPERLINK("https://www.773grp.com/globalSearch/1SMB5929BT3G/page-1", "1SMB5929BT3G")</f>
        <v>1SMB5929BT3G</v>
      </c>
      <c r="B6249" s="3" t="str">
        <f>HYPERLINK("https://www.773grp.com/manufacturer/onsemi?pageNo=856", "Onsemi")</f>
        <v>Onsemi</v>
      </c>
      <c r="C6249" s="6">
        <v>21350</v>
      </c>
      <c r="D6249" s="7">
        <v>0.79</v>
      </c>
      <c r="E6249" t="s">
        <v>77</v>
      </c>
    </row>
    <row r="6250" spans="1:5" x14ac:dyDescent="0.25">
      <c r="A6250" t="str">
        <f>HYPERLINK("https://www.773grp.com/globalSearch/1SMB5930BT3G/page-1", "1SMB5930BT3G")</f>
        <v>1SMB5930BT3G</v>
      </c>
      <c r="B6250" s="3" t="str">
        <f>HYPERLINK("https://www.773grp.com/manufacturer/onsemi?pageNo=857", "Onsemi")</f>
        <v>Onsemi</v>
      </c>
      <c r="C6250" s="6">
        <v>37976</v>
      </c>
      <c r="D6250" s="7">
        <v>0.79</v>
      </c>
      <c r="E6250" t="s">
        <v>77</v>
      </c>
    </row>
    <row r="6251" spans="1:5" x14ac:dyDescent="0.25">
      <c r="A6251" t="str">
        <f>HYPERLINK("https://www.773grp.com/globalSearch/1SMB5932BT3G/page-1", "1SMB5932BT3G")</f>
        <v>1SMB5932BT3G</v>
      </c>
      <c r="B6251" s="3" t="str">
        <f>HYPERLINK("https://www.773grp.com/manufacturer/onsemi?pageNo=858", "Onsemi")</f>
        <v>Onsemi</v>
      </c>
      <c r="C6251" s="6">
        <v>90000</v>
      </c>
      <c r="D6251" s="7">
        <v>0.79</v>
      </c>
      <c r="E6251" t="s">
        <v>77</v>
      </c>
    </row>
    <row r="6252" spans="1:5" x14ac:dyDescent="0.25">
      <c r="A6252" t="str">
        <f>HYPERLINK("https://www.773grp.com/globalSearch/1SMB5934BT3G/page-1", "1SMB5934BT3G")</f>
        <v>1SMB5934BT3G</v>
      </c>
      <c r="B6252" s="3" t="str">
        <f>HYPERLINK("https://www.773grp.com/manufacturer/onsemi?pageNo=859", "Onsemi")</f>
        <v>Onsemi</v>
      </c>
      <c r="C6252" s="6">
        <v>34575</v>
      </c>
      <c r="D6252" s="7">
        <v>0.79</v>
      </c>
      <c r="E6252" t="s">
        <v>77</v>
      </c>
    </row>
    <row r="6253" spans="1:5" x14ac:dyDescent="0.25">
      <c r="A6253" t="str">
        <f>HYPERLINK("https://www.773grp.com/globalSearch/1SMB5935BT3G/page-1", "1SMB5935BT3G")</f>
        <v>1SMB5935BT3G</v>
      </c>
      <c r="B6253" s="3" t="str">
        <f>HYPERLINK("https://www.773grp.com/manufacturer/onsemi?pageNo=860", "Onsemi")</f>
        <v>Onsemi</v>
      </c>
      <c r="C6253" s="6">
        <v>74793</v>
      </c>
      <c r="D6253" s="7">
        <v>0.79</v>
      </c>
      <c r="E6253" t="s">
        <v>77</v>
      </c>
    </row>
    <row r="6254" spans="1:5" x14ac:dyDescent="0.25">
      <c r="A6254" t="str">
        <f>HYPERLINK("https://www.773grp.com/globalSearch/1SMB5936BT3G/page-1", "1SMB5936BT3G")</f>
        <v>1SMB5936BT3G</v>
      </c>
      <c r="B6254" s="3" t="str">
        <f>HYPERLINK("https://www.773grp.com/manufacturer/onsemi?pageNo=861", "Onsemi")</f>
        <v>Onsemi</v>
      </c>
      <c r="C6254" s="6">
        <v>114543</v>
      </c>
      <c r="D6254" s="7">
        <v>0.79</v>
      </c>
      <c r="E6254" t="s">
        <v>77</v>
      </c>
    </row>
    <row r="6255" spans="1:5" x14ac:dyDescent="0.25">
      <c r="A6255" t="str">
        <f>HYPERLINK("https://www.773grp.com/globalSearch/1SMB5941BT3G/page-1", "1SMB5941BT3G")</f>
        <v>1SMB5941BT3G</v>
      </c>
      <c r="B6255" s="3" t="str">
        <f>HYPERLINK("https://www.773grp.com/manufacturer/onsemi?pageNo=862", "Onsemi")</f>
        <v>Onsemi</v>
      </c>
      <c r="C6255" s="6">
        <v>23807</v>
      </c>
      <c r="D6255" s="7">
        <v>0.79</v>
      </c>
      <c r="E6255" t="s">
        <v>77</v>
      </c>
    </row>
    <row r="6256" spans="1:5" x14ac:dyDescent="0.25">
      <c r="A6256" t="str">
        <f>HYPERLINK("https://www.773grp.com/globalSearch/1SMB5956BT3G/page-1", "1SMB5956BT3G")</f>
        <v>1SMB5956BT3G</v>
      </c>
      <c r="B6256" s="3" t="str">
        <f>HYPERLINK("https://www.773grp.com/manufacturer/onsemi?pageNo=863", "Onsemi")</f>
        <v>Onsemi</v>
      </c>
      <c r="C6256" s="6">
        <v>23204</v>
      </c>
      <c r="D6256" s="7">
        <v>0.79</v>
      </c>
      <c r="E6256" t="s">
        <v>77</v>
      </c>
    </row>
    <row r="6257" spans="1:5" x14ac:dyDescent="0.25">
      <c r="A6257" t="str">
        <f>HYPERLINK("https://www.773grp.com/globalSearch/2N4264/page-1", "2N4264")</f>
        <v>2N4264</v>
      </c>
      <c r="B6257" s="3" t="str">
        <f>HYPERLINK("https://www.773grp.com/manufacturer/onsemi?pageNo=864", "Onsemi")</f>
        <v>Onsemi</v>
      </c>
      <c r="C6257" s="6">
        <v>2490</v>
      </c>
      <c r="D6257" s="7">
        <v>0.79</v>
      </c>
      <c r="E6257" t="s">
        <v>57</v>
      </c>
    </row>
    <row r="6258" spans="1:5" x14ac:dyDescent="0.25">
      <c r="A6258" t="str">
        <f>HYPERLINK("https://www.773grp.com/globalSearch/2N6288/page-1", "2N6288")</f>
        <v>2N6288</v>
      </c>
      <c r="B6258" s="3" t="str">
        <f>HYPERLINK("https://www.773grp.com/manufacturer/onsemi?pageNo=865", "Onsemi")</f>
        <v>Onsemi</v>
      </c>
      <c r="C6258" s="6">
        <v>300</v>
      </c>
      <c r="D6258" s="7">
        <v>0.79</v>
      </c>
      <c r="E6258" t="s">
        <v>47</v>
      </c>
    </row>
    <row r="6259" spans="1:5" x14ac:dyDescent="0.25">
      <c r="A6259" t="str">
        <f>HYPERLINK("https://www.773grp.com/globalSearch/2N6520RLRAG/page-1", "2N6520RLRAG")</f>
        <v>2N6520RLRAG</v>
      </c>
      <c r="B6259" s="3" t="str">
        <f>HYPERLINK("https://www.773grp.com/manufacturer/onsemi?pageNo=866", "Onsemi")</f>
        <v>Onsemi</v>
      </c>
      <c r="C6259" s="6">
        <v>150527</v>
      </c>
      <c r="D6259" s="7">
        <v>0.79</v>
      </c>
      <c r="E6259" t="s">
        <v>57</v>
      </c>
    </row>
    <row r="6260" spans="1:5" x14ac:dyDescent="0.25">
      <c r="A6260" t="str">
        <f>HYPERLINK("https://www.773grp.com/globalSearch/2SA1708S-AN/page-1", "2SA1708S-AN")</f>
        <v>2SA1708S-AN</v>
      </c>
      <c r="B6260" s="3" t="str">
        <f>HYPERLINK("https://www.773grp.com/manufacturer/onsemi?pageNo=867", "Onsemi")</f>
        <v>Onsemi</v>
      </c>
      <c r="C6260" s="6">
        <v>75000</v>
      </c>
      <c r="D6260" s="7">
        <v>0.79</v>
      </c>
    </row>
    <row r="6261" spans="1:5" x14ac:dyDescent="0.25">
      <c r="A6261" t="str">
        <f>HYPERLINK("https://www.773grp.com/globalSearch/2SA2013-TD-E/page-1", "2SA2013-TD-E")</f>
        <v>2SA2013-TD-E</v>
      </c>
      <c r="B6261" s="3" t="str">
        <f>HYPERLINK("https://www.773grp.com/manufacturer/onsemi?pageNo=868", "Onsemi")</f>
        <v>Onsemi</v>
      </c>
      <c r="C6261" s="6">
        <v>3000</v>
      </c>
      <c r="D6261" s="7">
        <v>0.79</v>
      </c>
    </row>
    <row r="6262" spans="1:5" x14ac:dyDescent="0.25">
      <c r="A6262" t="str">
        <f>HYPERLINK("https://www.773grp.com/globalSearch/2SA2125-TD-E/page-1", "2SA2125-TD-E")</f>
        <v>2SA2125-TD-E</v>
      </c>
      <c r="B6262" s="3" t="str">
        <f>HYPERLINK("https://www.773grp.com/manufacturer/onsemi?pageNo=869", "Onsemi")</f>
        <v>Onsemi</v>
      </c>
      <c r="C6262" s="6">
        <v>4000</v>
      </c>
      <c r="D6262" s="7">
        <v>0.79</v>
      </c>
    </row>
    <row r="6263" spans="1:5" x14ac:dyDescent="0.25">
      <c r="A6263" t="str">
        <f>HYPERLINK("https://www.773grp.com/globalSearch/2SC6095-TD-E/page-1", "2SC6095-TD-E")</f>
        <v>2SC6095-TD-E</v>
      </c>
      <c r="B6263" s="3" t="str">
        <f>HYPERLINK("https://www.773grp.com/manufacturer/onsemi?pageNo=870", "Onsemi")</f>
        <v>Onsemi</v>
      </c>
      <c r="C6263" s="6">
        <v>3000</v>
      </c>
      <c r="D6263" s="7">
        <v>0.79</v>
      </c>
    </row>
    <row r="6264" spans="1:5" x14ac:dyDescent="0.25">
      <c r="A6264" t="str">
        <f>HYPERLINK("https://www.773grp.com/globalSearch/2SD1628F-TD-E/page-1", "2SD1628F-TD-E")</f>
        <v>2SD1628F-TD-E</v>
      </c>
      <c r="B6264" s="3" t="str">
        <f>HYPERLINK("https://www.773grp.com/manufacturer/onsemi?pageNo=871", "Onsemi")</f>
        <v>Onsemi</v>
      </c>
      <c r="C6264" s="6">
        <v>1000</v>
      </c>
      <c r="D6264" s="7">
        <v>0.79</v>
      </c>
    </row>
    <row r="6265" spans="1:5" x14ac:dyDescent="0.25">
      <c r="A6265" t="str">
        <f>HYPERLINK("https://www.773grp.com/globalSearch/2SD1628F-TD-H/page-1", "2SD1628F-TD-H")</f>
        <v>2SD1628F-TD-H</v>
      </c>
      <c r="B6265" s="3" t="str">
        <f>HYPERLINK("https://www.773grp.com/manufacturer/onsemi?pageNo=872", "Onsemi")</f>
        <v>Onsemi</v>
      </c>
      <c r="C6265" s="6">
        <v>14000</v>
      </c>
      <c r="D6265" s="7">
        <v>0.79</v>
      </c>
    </row>
    <row r="6266" spans="1:5" x14ac:dyDescent="0.25">
      <c r="A6266" t="str">
        <f>HYPERLINK("https://www.773grp.com/globalSearch/2SK932-23-TB-E/page-1", "2SK932-23-TB-E")</f>
        <v>2SK932-23-TB-E</v>
      </c>
      <c r="B6266" s="3" t="str">
        <f>HYPERLINK("https://www.773grp.com/manufacturer/onsemi?pageNo=873", "Onsemi")</f>
        <v>Onsemi</v>
      </c>
      <c r="C6266" s="6">
        <v>3000</v>
      </c>
      <c r="D6266" s="7">
        <v>0.79</v>
      </c>
    </row>
    <row r="6267" spans="1:5" x14ac:dyDescent="0.25">
      <c r="A6267" t="str">
        <f>HYPERLINK("https://www.773grp.com/globalSearch/74FST3125QS/page-1", "74FST3125QS")</f>
        <v>74FST3125QS</v>
      </c>
      <c r="B6267" s="3" t="str">
        <f>HYPERLINK("https://www.773grp.com/manufacturer/onsemi?pageNo=874", "Onsemi")</f>
        <v>Onsemi</v>
      </c>
      <c r="C6267" s="6">
        <v>24696</v>
      </c>
      <c r="D6267" s="7">
        <v>0.79</v>
      </c>
      <c r="E6267" t="s">
        <v>11</v>
      </c>
    </row>
    <row r="6268" spans="1:5" x14ac:dyDescent="0.25">
      <c r="A6268" t="str">
        <f>HYPERLINK("https://www.773grp.com/globalSearch/74FST3125QSR/page-1", "74FST3125QSR")</f>
        <v>74FST3125QSR</v>
      </c>
      <c r="B6268" s="3" t="str">
        <f>HYPERLINK("https://www.773grp.com/manufacturer/onsemi?pageNo=875", "Onsemi")</f>
        <v>Onsemi</v>
      </c>
      <c r="C6268" s="6">
        <v>71129</v>
      </c>
      <c r="D6268" s="7">
        <v>0.79</v>
      </c>
      <c r="E6268" t="s">
        <v>11</v>
      </c>
    </row>
    <row r="6269" spans="1:5" x14ac:dyDescent="0.25">
      <c r="A6269" t="str">
        <f>HYPERLINK("https://www.773grp.com/globalSearch/74FST3126QS/page-1", "74FST3126QS")</f>
        <v>74FST3126QS</v>
      </c>
      <c r="B6269" s="3" t="str">
        <f>HYPERLINK("https://www.773grp.com/manufacturer/onsemi?pageNo=876", "Onsemi")</f>
        <v>Onsemi</v>
      </c>
      <c r="C6269" s="6">
        <v>17346</v>
      </c>
      <c r="D6269" s="7">
        <v>0.79</v>
      </c>
      <c r="E6269" t="s">
        <v>11</v>
      </c>
    </row>
    <row r="6270" spans="1:5" x14ac:dyDescent="0.25">
      <c r="A6270" t="str">
        <f>HYPERLINK("https://www.773grp.com/globalSearch/74FST3126QSR/page-1", "74FST3126QSR")</f>
        <v>74FST3126QSR</v>
      </c>
      <c r="B6270" s="3" t="str">
        <f>HYPERLINK("https://www.773grp.com/manufacturer/onsemi?pageNo=877", "Onsemi")</f>
        <v>Onsemi</v>
      </c>
      <c r="C6270" s="6">
        <v>40000</v>
      </c>
      <c r="D6270" s="7">
        <v>0.79</v>
      </c>
      <c r="E6270" t="s">
        <v>11</v>
      </c>
    </row>
    <row r="6271" spans="1:5" x14ac:dyDescent="0.25">
      <c r="A6271" t="str">
        <f>HYPERLINK("https://www.773grp.com/globalSearch/74FST3244DT/page-1", "74FST3244DT")</f>
        <v>74FST3244DT</v>
      </c>
      <c r="B6271" s="3" t="str">
        <f>HYPERLINK("https://www.773grp.com/manufacturer/onsemi?pageNo=878", "Onsemi")</f>
        <v>Onsemi</v>
      </c>
      <c r="C6271" s="6">
        <v>45000</v>
      </c>
      <c r="D6271" s="7">
        <v>0.79</v>
      </c>
      <c r="E6271" t="s">
        <v>11</v>
      </c>
    </row>
    <row r="6272" spans="1:5" x14ac:dyDescent="0.25">
      <c r="A6272" t="str">
        <f>HYPERLINK("https://www.773grp.com/globalSearch/74FST3244DTR2/page-1", "74FST3244DTR2")</f>
        <v>74FST3244DTR2</v>
      </c>
      <c r="B6272" s="3" t="str">
        <f>HYPERLINK("https://www.773grp.com/manufacturer/onsemi?pageNo=879", "Onsemi")</f>
        <v>Onsemi</v>
      </c>
      <c r="C6272" s="6">
        <v>15000</v>
      </c>
      <c r="D6272" s="7">
        <v>0.79</v>
      </c>
      <c r="E6272" t="s">
        <v>11</v>
      </c>
    </row>
    <row r="6273" spans="1:5" x14ac:dyDescent="0.25">
      <c r="A6273" t="str">
        <f>HYPERLINK("https://www.773grp.com/globalSearch/74FST3244DW/page-1", "74FST3244DW")</f>
        <v>74FST3244DW</v>
      </c>
      <c r="B6273" s="3" t="str">
        <f>HYPERLINK("https://www.773grp.com/manufacturer/onsemi?pageNo=880", "Onsemi")</f>
        <v>Onsemi</v>
      </c>
      <c r="C6273" s="6">
        <v>19470</v>
      </c>
      <c r="D6273" s="7">
        <v>0.79</v>
      </c>
      <c r="E6273" t="s">
        <v>11</v>
      </c>
    </row>
    <row r="6274" spans="1:5" x14ac:dyDescent="0.25">
      <c r="A6274" t="str">
        <f>HYPERLINK("https://www.773grp.com/globalSearch/74FST3244DWR2/page-1", "74FST3244DWR2")</f>
        <v>74FST3244DWR2</v>
      </c>
      <c r="B6274" s="3" t="str">
        <f>HYPERLINK("https://www.773grp.com/manufacturer/onsemi?pageNo=881", "Onsemi")</f>
        <v>Onsemi</v>
      </c>
      <c r="C6274" s="6">
        <v>29000</v>
      </c>
      <c r="D6274" s="7">
        <v>0.79</v>
      </c>
      <c r="E6274" t="s">
        <v>11</v>
      </c>
    </row>
    <row r="6275" spans="1:5" x14ac:dyDescent="0.25">
      <c r="A6275" t="str">
        <f>HYPERLINK("https://www.773grp.com/globalSearch/74FST3244QSR/page-1", "74FST3244QSR")</f>
        <v>74FST3244QSR</v>
      </c>
      <c r="B6275" s="3" t="str">
        <f>HYPERLINK("https://www.773grp.com/manufacturer/onsemi?pageNo=882", "Onsemi")</f>
        <v>Onsemi</v>
      </c>
      <c r="C6275" s="6">
        <v>25000</v>
      </c>
      <c r="D6275" s="7">
        <v>0.79</v>
      </c>
      <c r="E6275" t="s">
        <v>11</v>
      </c>
    </row>
    <row r="6276" spans="1:5" x14ac:dyDescent="0.25">
      <c r="A6276" t="str">
        <f>HYPERLINK("https://www.773grp.com/globalSearch/74FST3245DT/page-1", "74FST3245DT")</f>
        <v>74FST3245DT</v>
      </c>
      <c r="B6276" s="3" t="str">
        <f>HYPERLINK("https://www.773grp.com/manufacturer/onsemi?pageNo=883", "Onsemi")</f>
        <v>Onsemi</v>
      </c>
      <c r="C6276" s="6">
        <v>34575</v>
      </c>
      <c r="D6276" s="7">
        <v>0.79</v>
      </c>
      <c r="E6276" t="s">
        <v>11</v>
      </c>
    </row>
    <row r="6277" spans="1:5" x14ac:dyDescent="0.25">
      <c r="A6277" t="str">
        <f>HYPERLINK("https://www.773grp.com/globalSearch/74FST3245DTR2/page-1", "74FST3245DTR2")</f>
        <v>74FST3245DTR2</v>
      </c>
      <c r="B6277" s="3" t="str">
        <f>HYPERLINK("https://www.773grp.com/manufacturer/onsemi?pageNo=884", "Onsemi")</f>
        <v>Onsemi</v>
      </c>
      <c r="C6277" s="6">
        <v>7500</v>
      </c>
      <c r="D6277" s="7">
        <v>0.79</v>
      </c>
      <c r="E6277" t="s">
        <v>11</v>
      </c>
    </row>
    <row r="6278" spans="1:5" x14ac:dyDescent="0.25">
      <c r="A6278" t="str">
        <f>HYPERLINK("https://www.773grp.com/globalSearch/74FST3251QS/page-1", "74FST3251QS")</f>
        <v>74FST3251QS</v>
      </c>
      <c r="B6278" s="3" t="str">
        <f>HYPERLINK("https://www.773grp.com/manufacturer/onsemi?pageNo=885", "Onsemi")</f>
        <v>Onsemi</v>
      </c>
      <c r="C6278" s="6">
        <v>21658</v>
      </c>
      <c r="D6278" s="7">
        <v>0.79</v>
      </c>
      <c r="E6278" t="s">
        <v>16</v>
      </c>
    </row>
    <row r="6279" spans="1:5" x14ac:dyDescent="0.25">
      <c r="A6279" t="str">
        <f>HYPERLINK("https://www.773grp.com/globalSearch/74FST3251QSR/page-1", "74FST3251QSR")</f>
        <v>74FST3251QSR</v>
      </c>
      <c r="B6279" s="3" t="str">
        <f>HYPERLINK("https://www.773grp.com/manufacturer/onsemi?pageNo=886", "Onsemi")</f>
        <v>Onsemi</v>
      </c>
      <c r="C6279" s="6">
        <v>10000</v>
      </c>
      <c r="D6279" s="7">
        <v>0.79</v>
      </c>
      <c r="E6279" t="s">
        <v>16</v>
      </c>
    </row>
    <row r="6280" spans="1:5" x14ac:dyDescent="0.25">
      <c r="A6280" t="str">
        <f>HYPERLINK("https://www.773grp.com/globalSearch/74FST3253QS/page-1", "74FST3253QS")</f>
        <v>74FST3253QS</v>
      </c>
      <c r="B6280" s="3" t="str">
        <f>HYPERLINK("https://www.773grp.com/manufacturer/onsemi?pageNo=887", "Onsemi")</f>
        <v>Onsemi</v>
      </c>
      <c r="C6280" s="6">
        <v>16758</v>
      </c>
      <c r="D6280" s="7">
        <v>0.79</v>
      </c>
      <c r="E6280" t="s">
        <v>16</v>
      </c>
    </row>
    <row r="6281" spans="1:5" x14ac:dyDescent="0.25">
      <c r="A6281" t="str">
        <f>HYPERLINK("https://www.773grp.com/globalSearch/74FST3253QSR/page-1", "74FST3253QSR")</f>
        <v>74FST3253QSR</v>
      </c>
      <c r="B6281" s="3" t="str">
        <f>HYPERLINK("https://www.773grp.com/manufacturer/onsemi?pageNo=888", "Onsemi")</f>
        <v>Onsemi</v>
      </c>
      <c r="C6281" s="6">
        <v>27500</v>
      </c>
      <c r="D6281" s="7">
        <v>0.79</v>
      </c>
      <c r="E6281" t="s">
        <v>16</v>
      </c>
    </row>
    <row r="6282" spans="1:5" x14ac:dyDescent="0.25">
      <c r="A6282" t="str">
        <f>HYPERLINK("https://www.773grp.com/globalSearch/74FST3257MNTWG/page-1", "74FST3257MNTWG")</f>
        <v>74FST3257MNTWG</v>
      </c>
      <c r="B6282" s="3" t="str">
        <f>HYPERLINK("https://www.773grp.com/manufacturer/onsemi?pageNo=889", "Onsemi")</f>
        <v>Onsemi</v>
      </c>
      <c r="C6282" s="6">
        <v>9000</v>
      </c>
      <c r="D6282" s="7">
        <v>0.79</v>
      </c>
    </row>
    <row r="6283" spans="1:5" x14ac:dyDescent="0.25">
      <c r="A6283" t="str">
        <f>HYPERLINK("https://www.773grp.com/globalSearch/74FST3257QS/page-1", "74FST3257QS")</f>
        <v>74FST3257QS</v>
      </c>
      <c r="B6283" s="3" t="str">
        <f>HYPERLINK("https://www.773grp.com/manufacturer/onsemi?pageNo=890", "Onsemi")</f>
        <v>Onsemi</v>
      </c>
      <c r="C6283" s="6">
        <v>16672</v>
      </c>
      <c r="D6283" s="7">
        <v>0.79</v>
      </c>
      <c r="E6283" t="s">
        <v>16</v>
      </c>
    </row>
    <row r="6284" spans="1:5" x14ac:dyDescent="0.25">
      <c r="A6284" t="str">
        <f>HYPERLINK("https://www.773grp.com/globalSearch/74FST3257QSR/page-1", "74FST3257QSR")</f>
        <v>74FST3257QSR</v>
      </c>
      <c r="B6284" s="3" t="str">
        <f>HYPERLINK("https://www.773grp.com/manufacturer/onsemi?pageNo=891", "Onsemi")</f>
        <v>Onsemi</v>
      </c>
      <c r="C6284" s="6">
        <v>17500</v>
      </c>
      <c r="D6284" s="7">
        <v>0.79</v>
      </c>
      <c r="E6284" t="s">
        <v>16</v>
      </c>
    </row>
    <row r="6285" spans="1:5" x14ac:dyDescent="0.25">
      <c r="A6285" t="str">
        <f>HYPERLINK("https://www.773grp.com/globalSearch/74FST3345DT/page-1", "74FST3345DT")</f>
        <v>74FST3345DT</v>
      </c>
      <c r="B6285" s="3" t="str">
        <f>HYPERLINK("https://www.773grp.com/manufacturer/onsemi?pageNo=892", "Onsemi")</f>
        <v>Onsemi</v>
      </c>
      <c r="C6285" s="6">
        <v>27075</v>
      </c>
      <c r="D6285" s="7">
        <v>0.79</v>
      </c>
      <c r="E6285" t="s">
        <v>11</v>
      </c>
    </row>
    <row r="6286" spans="1:5" x14ac:dyDescent="0.25">
      <c r="A6286" t="str">
        <f>HYPERLINK("https://www.773grp.com/globalSearch/74FST3345DTR2/page-1", "74FST3345DTR2")</f>
        <v>74FST3345DTR2</v>
      </c>
      <c r="B6286" s="3" t="str">
        <f>HYPERLINK("https://www.773grp.com/manufacturer/onsemi?pageNo=893", "Onsemi")</f>
        <v>Onsemi</v>
      </c>
      <c r="C6286" s="6">
        <v>17500</v>
      </c>
      <c r="D6286" s="7">
        <v>0.79</v>
      </c>
      <c r="E6286" t="s">
        <v>11</v>
      </c>
    </row>
    <row r="6287" spans="1:5" x14ac:dyDescent="0.25">
      <c r="A6287" t="str">
        <f>HYPERLINK("https://www.773grp.com/globalSearch/74FST3345DW/page-1", "74FST3345DW")</f>
        <v>74FST3345DW</v>
      </c>
      <c r="B6287" s="3" t="str">
        <f>HYPERLINK("https://www.773grp.com/manufacturer/onsemi?pageNo=894", "Onsemi")</f>
        <v>Onsemi</v>
      </c>
      <c r="C6287" s="6">
        <v>342</v>
      </c>
      <c r="D6287" s="7">
        <v>0.79</v>
      </c>
      <c r="E6287" t="s">
        <v>11</v>
      </c>
    </row>
    <row r="6288" spans="1:5" x14ac:dyDescent="0.25">
      <c r="A6288" t="str">
        <f>HYPERLINK("https://www.773grp.com/globalSearch/74FST3345DWR2/page-1", "74FST3345DWR2")</f>
        <v>74FST3345DWR2</v>
      </c>
      <c r="B6288" s="3" t="str">
        <f>HYPERLINK("https://www.773grp.com/manufacturer/onsemi?pageNo=895", "Onsemi")</f>
        <v>Onsemi</v>
      </c>
      <c r="C6288" s="6">
        <v>27000</v>
      </c>
      <c r="D6288" s="7">
        <v>0.79</v>
      </c>
      <c r="E6288" t="s">
        <v>11</v>
      </c>
    </row>
    <row r="6289" spans="1:5" x14ac:dyDescent="0.25">
      <c r="A6289" t="str">
        <f>HYPERLINK("https://www.773grp.com/globalSearch/BAS40LT1/page-1", "BAS40LT1")</f>
        <v>BAS40LT1</v>
      </c>
      <c r="B6289" s="3" t="str">
        <f>HYPERLINK("https://www.773grp.com/manufacturer/onsemi?pageNo=896", "Onsemi")</f>
        <v>Onsemi</v>
      </c>
      <c r="C6289" s="6">
        <v>12000</v>
      </c>
      <c r="D6289" s="7">
        <v>0.79</v>
      </c>
      <c r="E6289" t="s">
        <v>73</v>
      </c>
    </row>
    <row r="6290" spans="1:5" x14ac:dyDescent="0.25">
      <c r="A6290" t="str">
        <f>HYPERLINK("https://www.773grp.com/globalSearch/BD785/page-1", "BD785")</f>
        <v>BD785</v>
      </c>
      <c r="B6290" s="3" t="str">
        <f>HYPERLINK("https://www.773grp.com/manufacturer/onsemi?pageNo=897", "Onsemi")</f>
        <v>Onsemi</v>
      </c>
      <c r="C6290" s="6">
        <v>15168</v>
      </c>
      <c r="D6290" s="7">
        <v>0.79</v>
      </c>
    </row>
    <row r="6291" spans="1:5" x14ac:dyDescent="0.25">
      <c r="A6291" t="str">
        <f>HYPERLINK("https://www.773grp.com/globalSearch/BDX33C/page-1", "BDX33C")</f>
        <v>BDX33C</v>
      </c>
      <c r="B6291" s="3" t="str">
        <f>HYPERLINK("https://www.773grp.com/manufacturer/onsemi?pageNo=898", "Onsemi")</f>
        <v>Onsemi</v>
      </c>
      <c r="C6291" s="6">
        <v>5537</v>
      </c>
      <c r="D6291" s="7">
        <v>0.79</v>
      </c>
      <c r="E6291" t="s">
        <v>47</v>
      </c>
    </row>
    <row r="6292" spans="1:5" x14ac:dyDescent="0.25">
      <c r="A6292" t="str">
        <f>HYPERLINK("https://www.773grp.com/globalSearch/BDX53B/page-1", "BDX53B")</f>
        <v>BDX53B</v>
      </c>
      <c r="B6292" s="3" t="str">
        <f>HYPERLINK("https://www.773grp.com/manufacturer/onsemi?pageNo=899", "Onsemi")</f>
        <v>Onsemi</v>
      </c>
      <c r="C6292" s="6">
        <v>50</v>
      </c>
      <c r="D6292" s="7">
        <v>0.79</v>
      </c>
      <c r="E6292" t="s">
        <v>47</v>
      </c>
    </row>
    <row r="6293" spans="1:5" x14ac:dyDescent="0.25">
      <c r="A6293" t="str">
        <f>HYPERLINK("https://www.773grp.com/globalSearch/BDX53C/page-1", "BDX53C")</f>
        <v>BDX53C</v>
      </c>
      <c r="B6293" s="3" t="str">
        <f>HYPERLINK("https://www.773grp.com/manufacturer/onsemi?pageNo=900", "Onsemi")</f>
        <v>Onsemi</v>
      </c>
      <c r="C6293" s="6">
        <v>872</v>
      </c>
      <c r="D6293" s="7">
        <v>0.79</v>
      </c>
      <c r="E6293" t="s">
        <v>47</v>
      </c>
    </row>
    <row r="6294" spans="1:5" x14ac:dyDescent="0.25">
      <c r="A6294" t="str">
        <f>HYPERLINK("https://www.773grp.com/globalSearch/BDX54C/page-1", "BDX54C")</f>
        <v>BDX54C</v>
      </c>
      <c r="B6294" s="3" t="str">
        <f>HYPERLINK("https://www.773grp.com/manufacturer/onsemi?pageNo=901", "Onsemi")</f>
        <v>Onsemi</v>
      </c>
      <c r="C6294" s="6">
        <v>2494</v>
      </c>
      <c r="D6294" s="7">
        <v>0.79</v>
      </c>
      <c r="E6294" t="s">
        <v>47</v>
      </c>
    </row>
    <row r="6295" spans="1:5" x14ac:dyDescent="0.25">
      <c r="A6295" t="str">
        <f>HYPERLINK("https://www.773grp.com/globalSearch/BFR30LT1G/page-1", "BFR30LT1G")</f>
        <v>BFR30LT1G</v>
      </c>
      <c r="B6295" s="3" t="str">
        <f>HYPERLINK("https://www.773grp.com/manufacturer/onsemi?pageNo=902", "Onsemi")</f>
        <v>Onsemi</v>
      </c>
      <c r="C6295" s="6">
        <v>42000</v>
      </c>
      <c r="D6295" s="7">
        <v>0.79</v>
      </c>
      <c r="E6295" t="s">
        <v>85</v>
      </c>
    </row>
    <row r="6296" spans="1:5" x14ac:dyDescent="0.25">
      <c r="A6296" t="str">
        <f>HYPERLINK("https://www.773grp.com/globalSearch/CAT24AA08WI-G/page-1", "CAT24AA08WI-G")</f>
        <v>CAT24AA08WI-G</v>
      </c>
      <c r="B6296" s="3" t="str">
        <f>HYPERLINK("https://www.773grp.com/manufacturer/onsemi?pageNo=903", "Onsemi")</f>
        <v>Onsemi</v>
      </c>
      <c r="C6296" s="6">
        <v>6900</v>
      </c>
      <c r="D6296" s="7">
        <v>0.79</v>
      </c>
    </row>
    <row r="6297" spans="1:5" x14ac:dyDescent="0.25">
      <c r="A6297" t="str">
        <f>HYPERLINK("https://www.773grp.com/globalSearch/CAT24AA08WI-GT3/page-1", "CAT24AA08WI-GT3")</f>
        <v>CAT24AA08WI-GT3</v>
      </c>
      <c r="B6297" s="3" t="str">
        <f>HYPERLINK("https://www.773grp.com/manufacturer/onsemi?pageNo=904", "Onsemi")</f>
        <v>Onsemi</v>
      </c>
      <c r="C6297" s="6">
        <v>48000</v>
      </c>
      <c r="D6297" s="7">
        <v>0.79</v>
      </c>
      <c r="E6297" t="s">
        <v>52</v>
      </c>
    </row>
    <row r="6298" spans="1:5" x14ac:dyDescent="0.25">
      <c r="A6298" t="str">
        <f>HYPERLINK("https://www.773grp.com/globalSearch/CAT24C01VP2I-GT3/page-1", "CAT24C01VP2I-GT3")</f>
        <v>CAT24C01VP2I-GT3</v>
      </c>
      <c r="B6298" s="3" t="str">
        <f>HYPERLINK("https://www.773grp.com/manufacturer/onsemi?pageNo=905", "Onsemi")</f>
        <v>Onsemi</v>
      </c>
      <c r="C6298" s="6">
        <v>12000</v>
      </c>
      <c r="D6298" s="7">
        <v>0.79</v>
      </c>
      <c r="E6298" t="s">
        <v>52</v>
      </c>
    </row>
    <row r="6299" spans="1:5" x14ac:dyDescent="0.25">
      <c r="A6299" t="str">
        <f>HYPERLINK("https://www.773grp.com/globalSearch/CAT24C03YI-GT3/page-1", "CAT24C03YI-GT3")</f>
        <v>CAT24C03YI-GT3</v>
      </c>
      <c r="B6299" s="3" t="str">
        <f>HYPERLINK("https://www.773grp.com/manufacturer/onsemi?pageNo=906", "Onsemi")</f>
        <v>Onsemi</v>
      </c>
      <c r="C6299" s="6">
        <v>3000</v>
      </c>
      <c r="D6299" s="7">
        <v>0.79</v>
      </c>
      <c r="E6299" t="s">
        <v>52</v>
      </c>
    </row>
    <row r="6300" spans="1:5" x14ac:dyDescent="0.25">
      <c r="A6300" t="str">
        <f>HYPERLINK("https://www.773grp.com/globalSearch/CAT24C03YI-GT3/page-1", "CAT24C03YI-GT3")</f>
        <v>CAT24C03YI-GT3</v>
      </c>
      <c r="B6300" s="3" t="str">
        <f>HYPERLINK("https://www.773grp.com/manufacturer/onsemi?pageNo=907", "Onsemi")</f>
        <v>Onsemi</v>
      </c>
      <c r="C6300" s="6">
        <v>12046</v>
      </c>
      <c r="D6300" s="7">
        <v>0.79</v>
      </c>
      <c r="E6300" t="s">
        <v>52</v>
      </c>
    </row>
    <row r="6301" spans="1:5" x14ac:dyDescent="0.25">
      <c r="A6301" t="str">
        <f>HYPERLINK("https://www.773grp.com/globalSearch/CAT24C16HU4I-GT3/page-1", "CAT24C16HU4I-GT3")</f>
        <v>CAT24C16HU4I-GT3</v>
      </c>
      <c r="B6301" s="3" t="str">
        <f>HYPERLINK("https://www.773grp.com/manufacturer/onsemi?pageNo=908", "Onsemi")</f>
        <v>Onsemi</v>
      </c>
      <c r="C6301" s="6">
        <v>21000</v>
      </c>
      <c r="D6301" s="7">
        <v>0.79</v>
      </c>
    </row>
    <row r="6302" spans="1:5" x14ac:dyDescent="0.25">
      <c r="A6302" t="str">
        <f>HYPERLINK("https://www.773grp.com/globalSearch/CAT24C16VP2I-GT3/page-1", "CAT24C16VP2I-GT3")</f>
        <v>CAT24C16VP2I-GT3</v>
      </c>
      <c r="B6302" s="3" t="str">
        <f>HYPERLINK("https://www.773grp.com/manufacturer/onsemi?pageNo=909", "Onsemi")</f>
        <v>Onsemi</v>
      </c>
      <c r="C6302" s="6">
        <v>666000</v>
      </c>
      <c r="D6302" s="7">
        <v>0.79</v>
      </c>
      <c r="E6302" t="s">
        <v>52</v>
      </c>
    </row>
    <row r="6303" spans="1:5" x14ac:dyDescent="0.25">
      <c r="A6303" t="str">
        <f>HYPERLINK("https://www.773grp.com/globalSearch/CAT25010VP2I-GT3/page-1", "CAT25010VP2I-GT3")</f>
        <v>CAT25010VP2I-GT3</v>
      </c>
      <c r="B6303" s="3" t="str">
        <f>HYPERLINK("https://www.773grp.com/manufacturer/onsemi?pageNo=910", "Onsemi")</f>
        <v>Onsemi</v>
      </c>
      <c r="C6303" s="6">
        <v>3000</v>
      </c>
      <c r="D6303" s="7">
        <v>0.79</v>
      </c>
    </row>
    <row r="6304" spans="1:5" x14ac:dyDescent="0.25">
      <c r="A6304" t="str">
        <f>HYPERLINK("https://www.773grp.com/globalSearch/CAT25040VI-GT3/page-1", "CAT25040VI-GT3")</f>
        <v>CAT25040VI-GT3</v>
      </c>
      <c r="B6304" s="3" t="str">
        <f>HYPERLINK("https://www.773grp.com/manufacturer/onsemi?pageNo=911", "Onsemi")</f>
        <v>Onsemi</v>
      </c>
      <c r="C6304" s="6">
        <v>3000</v>
      </c>
      <c r="D6304" s="7">
        <v>0.79</v>
      </c>
    </row>
    <row r="6305" spans="1:5" x14ac:dyDescent="0.25">
      <c r="A6305" t="str">
        <f>HYPERLINK("https://www.773grp.com/globalSearch/CAT25040YI-GT3/page-1", "CAT25040YI-GT3")</f>
        <v>CAT25040YI-GT3</v>
      </c>
      <c r="B6305" s="3" t="str">
        <f>HYPERLINK("https://www.773grp.com/manufacturer/onsemi?pageNo=912", "Onsemi")</f>
        <v>Onsemi</v>
      </c>
      <c r="C6305" s="6">
        <v>6000</v>
      </c>
      <c r="D6305" s="7">
        <v>0.79</v>
      </c>
    </row>
    <row r="6306" spans="1:5" x14ac:dyDescent="0.25">
      <c r="A6306" t="str">
        <f>HYPERLINK("https://www.773grp.com/globalSearch/CAT34C02HU4IGT4A/page-1", "CAT34C02HU4IGT4A")</f>
        <v>CAT34C02HU4IGT4A</v>
      </c>
      <c r="B6306" s="3" t="str">
        <f>HYPERLINK("https://www.773grp.com/manufacturer/onsemi?pageNo=913", "Onsemi")</f>
        <v>Onsemi</v>
      </c>
      <c r="C6306" s="6">
        <v>20000</v>
      </c>
      <c r="D6306" s="7">
        <v>0.79</v>
      </c>
    </row>
    <row r="6307" spans="1:5" x14ac:dyDescent="0.25">
      <c r="A6307" t="str">
        <f>HYPERLINK("https://www.773grp.com/globalSearch/CAT34C02VP2IGT4A/page-1", "CAT34C02VP2IGT4A")</f>
        <v>CAT34C02VP2IGT4A</v>
      </c>
      <c r="B6307" s="3" t="str">
        <f>HYPERLINK("https://www.773grp.com/manufacturer/onsemi?pageNo=914", "Onsemi")</f>
        <v>Onsemi</v>
      </c>
      <c r="C6307" s="6">
        <v>2088459</v>
      </c>
      <c r="D6307" s="7">
        <v>0.79</v>
      </c>
    </row>
    <row r="6308" spans="1:5" x14ac:dyDescent="0.25">
      <c r="A6308" t="str">
        <f>HYPERLINK("https://www.773grp.com/globalSearch/CAT93C46VI-G/page-1", "CAT93C46VI-G")</f>
        <v>CAT93C46VI-G</v>
      </c>
      <c r="B6308" s="3" t="str">
        <f>HYPERLINK("https://www.773grp.com/manufacturer/onsemi?pageNo=915", "Onsemi")</f>
        <v>Onsemi</v>
      </c>
      <c r="C6308" s="6">
        <v>18312</v>
      </c>
      <c r="D6308" s="7">
        <v>0.79</v>
      </c>
    </row>
    <row r="6309" spans="1:5" x14ac:dyDescent="0.25">
      <c r="A6309" t="str">
        <f>HYPERLINK("https://www.773grp.com/globalSearch/CAV24C04WE-GT3/page-1", "CAV24C04WE-GT3")</f>
        <v>CAV24C04WE-GT3</v>
      </c>
      <c r="B6309" s="3" t="str">
        <f>HYPERLINK("https://www.773grp.com/manufacturer/onsemi?pageNo=916", "Onsemi")</f>
        <v>Onsemi</v>
      </c>
      <c r="C6309" s="6">
        <v>75000</v>
      </c>
      <c r="D6309" s="7">
        <v>0.79</v>
      </c>
    </row>
    <row r="6310" spans="1:5" x14ac:dyDescent="0.25">
      <c r="A6310" t="str">
        <f>HYPERLINK("https://www.773grp.com/globalSearch/CM1224-04SO/page-1", "CM1224-04SO")</f>
        <v>CM1224-04SO</v>
      </c>
      <c r="B6310" s="3" t="str">
        <f>HYPERLINK("https://www.773grp.com/manufacturer/onsemi?pageNo=917", "Onsemi")</f>
        <v>Onsemi</v>
      </c>
      <c r="C6310" s="6">
        <v>3000</v>
      </c>
      <c r="D6310" s="7">
        <v>0.79</v>
      </c>
      <c r="E6310" t="s">
        <v>75</v>
      </c>
    </row>
    <row r="6311" spans="1:5" x14ac:dyDescent="0.25">
      <c r="A6311" t="str">
        <f>HYPERLINK("https://www.773grp.com/globalSearch/CM1248-04QG/page-1", "CM1248-04QG")</f>
        <v>CM1248-04QG</v>
      </c>
      <c r="B6311" s="3" t="str">
        <f>HYPERLINK("https://www.773grp.com/manufacturer/onsemi?pageNo=918", "Onsemi")</f>
        <v>Onsemi</v>
      </c>
      <c r="C6311" s="6">
        <v>2800</v>
      </c>
      <c r="D6311" s="7">
        <v>0.79</v>
      </c>
      <c r="E6311" t="s">
        <v>75</v>
      </c>
    </row>
    <row r="6312" spans="1:5" x14ac:dyDescent="0.25">
      <c r="A6312" t="str">
        <f>HYPERLINK("https://www.773grp.com/globalSearch/CM1401-32CP/page-1", "CM1401-32CP")</f>
        <v>CM1401-32CP</v>
      </c>
      <c r="B6312" s="3" t="str">
        <f>HYPERLINK("https://www.773grp.com/manufacturer/onsemi?pageNo=919", "Onsemi")</f>
        <v>Onsemi</v>
      </c>
      <c r="C6312" s="6">
        <v>3500</v>
      </c>
      <c r="D6312" s="7">
        <v>0.79</v>
      </c>
      <c r="E6312" t="s">
        <v>79</v>
      </c>
    </row>
    <row r="6313" spans="1:5" x14ac:dyDescent="0.25">
      <c r="A6313" t="str">
        <f>HYPERLINK("https://www.773grp.com/globalSearch/CM1406-04DE/page-1", "CM1406-04DE")</f>
        <v>CM1406-04DE</v>
      </c>
      <c r="B6313" s="3" t="str">
        <f>HYPERLINK("https://www.773grp.com/manufacturer/onsemi?pageNo=920", "Onsemi")</f>
        <v>Onsemi</v>
      </c>
      <c r="C6313" s="6">
        <v>21000</v>
      </c>
      <c r="D6313" s="7">
        <v>0.79</v>
      </c>
      <c r="E6313" t="s">
        <v>79</v>
      </c>
    </row>
    <row r="6314" spans="1:5" x14ac:dyDescent="0.25">
      <c r="A6314" t="str">
        <f>HYPERLINK("https://www.773grp.com/globalSearch/CM1406-08DE/page-1", "CM1406-08DE")</f>
        <v>CM1406-08DE</v>
      </c>
      <c r="B6314" s="3" t="str">
        <f>HYPERLINK("https://www.773grp.com/manufacturer/onsemi?pageNo=921", "Onsemi")</f>
        <v>Onsemi</v>
      </c>
      <c r="C6314" s="6">
        <v>66012</v>
      </c>
      <c r="D6314" s="7">
        <v>0.79</v>
      </c>
    </row>
    <row r="6315" spans="1:5" x14ac:dyDescent="0.25">
      <c r="A6315" t="str">
        <f>HYPERLINK("https://www.773grp.com/globalSearch/CM1411-03CP/page-1", "CM1411-03CP")</f>
        <v>CM1411-03CP</v>
      </c>
      <c r="B6315" s="3" t="str">
        <f>HYPERLINK("https://www.773grp.com/manufacturer/onsemi?pageNo=922", "Onsemi")</f>
        <v>Onsemi</v>
      </c>
      <c r="C6315" s="6">
        <v>80500</v>
      </c>
      <c r="D6315" s="7">
        <v>0.79</v>
      </c>
      <c r="E6315" t="s">
        <v>79</v>
      </c>
    </row>
    <row r="6316" spans="1:5" x14ac:dyDescent="0.25">
      <c r="A6316" t="str">
        <f>HYPERLINK("https://www.773grp.com/globalSearch/CM1412-03CP/page-1", "CM1412-03CP")</f>
        <v>CM1412-03CP</v>
      </c>
      <c r="B6316" s="3" t="str">
        <f>HYPERLINK("https://www.773grp.com/manufacturer/onsemi?pageNo=923", "Onsemi")</f>
        <v>Onsemi</v>
      </c>
      <c r="C6316" s="6">
        <v>18260</v>
      </c>
      <c r="D6316" s="7">
        <v>0.79</v>
      </c>
      <c r="E6316" t="s">
        <v>79</v>
      </c>
    </row>
    <row r="6317" spans="1:5" x14ac:dyDescent="0.25">
      <c r="A6317" t="str">
        <f>HYPERLINK("https://www.773grp.com/globalSearch/CM1420-03CP/page-1", "CM1420-03CP")</f>
        <v>CM1420-03CP</v>
      </c>
      <c r="B6317" s="3" t="str">
        <f>HYPERLINK("https://www.773grp.com/manufacturer/onsemi?pageNo=924", "Onsemi")</f>
        <v>Onsemi</v>
      </c>
      <c r="C6317" s="6">
        <v>3500</v>
      </c>
      <c r="D6317" s="7">
        <v>0.79</v>
      </c>
      <c r="E6317" t="s">
        <v>79</v>
      </c>
    </row>
    <row r="6318" spans="1:5" x14ac:dyDescent="0.25">
      <c r="A6318" t="str">
        <f>HYPERLINK("https://www.773grp.com/globalSearch/CM1426-06CP/page-1", "CM1426-06CP")</f>
        <v>CM1426-06CP</v>
      </c>
      <c r="B6318" s="3" t="str">
        <f>HYPERLINK("https://www.773grp.com/manufacturer/onsemi?pageNo=925", "Onsemi")</f>
        <v>Onsemi</v>
      </c>
      <c r="C6318" s="6">
        <v>3500</v>
      </c>
      <c r="D6318" s="7">
        <v>0.79</v>
      </c>
      <c r="E6318" t="s">
        <v>79</v>
      </c>
    </row>
    <row r="6319" spans="1:5" x14ac:dyDescent="0.25">
      <c r="A6319" t="str">
        <f>HYPERLINK("https://www.773grp.com/globalSearch/CM1430-06DE/page-1", "CM1430-06DE")</f>
        <v>CM1430-06DE</v>
      </c>
      <c r="B6319" s="3" t="str">
        <f>HYPERLINK("https://www.773grp.com/manufacturer/onsemi?pageNo=926", "Onsemi")</f>
        <v>Onsemi</v>
      </c>
      <c r="C6319" s="6">
        <v>525000</v>
      </c>
      <c r="D6319" s="7">
        <v>0.79</v>
      </c>
      <c r="E6319" t="s">
        <v>79</v>
      </c>
    </row>
    <row r="6320" spans="1:5" x14ac:dyDescent="0.25">
      <c r="A6320" t="str">
        <f>HYPERLINK("https://www.773grp.com/globalSearch/CM1430-08DE/page-1", "CM1430-08DE")</f>
        <v>CM1430-08DE</v>
      </c>
      <c r="B6320" s="3" t="str">
        <f>HYPERLINK("https://www.773grp.com/manufacturer/onsemi?pageNo=927", "Onsemi")</f>
        <v>Onsemi</v>
      </c>
      <c r="C6320" s="6">
        <v>362000</v>
      </c>
      <c r="D6320" s="7">
        <v>0.79</v>
      </c>
      <c r="E6320" t="s">
        <v>79</v>
      </c>
    </row>
    <row r="6321" spans="1:5" x14ac:dyDescent="0.25">
      <c r="A6321" t="str">
        <f>HYPERLINK("https://www.773grp.com/globalSearch/CM1436-04DE/page-1", "CM1436-04DE")</f>
        <v>CM1436-04DE</v>
      </c>
      <c r="B6321" s="3" t="str">
        <f>HYPERLINK("https://www.773grp.com/manufacturer/onsemi?pageNo=928", "Onsemi")</f>
        <v>Onsemi</v>
      </c>
      <c r="C6321" s="6">
        <v>138000</v>
      </c>
      <c r="D6321" s="7">
        <v>0.79</v>
      </c>
    </row>
    <row r="6322" spans="1:5" x14ac:dyDescent="0.25">
      <c r="A6322" t="str">
        <f>HYPERLINK("https://www.773grp.com/globalSearch/CM1442-06CP/page-1", "CM1442-06CP")</f>
        <v>CM1442-06CP</v>
      </c>
      <c r="B6322" s="3" t="str">
        <f>HYPERLINK("https://www.773grp.com/manufacturer/onsemi?pageNo=929", "Onsemi")</f>
        <v>Onsemi</v>
      </c>
      <c r="C6322" s="6">
        <v>139980</v>
      </c>
      <c r="D6322" s="7">
        <v>0.79</v>
      </c>
      <c r="E6322" t="s">
        <v>79</v>
      </c>
    </row>
    <row r="6323" spans="1:5" x14ac:dyDescent="0.25">
      <c r="A6323" t="str">
        <f>HYPERLINK("https://www.773grp.com/globalSearch/CM1442-06LP/page-1", "CM1442-06LP")</f>
        <v>CM1442-06LP</v>
      </c>
      <c r="B6323" s="3" t="str">
        <f>HYPERLINK("https://www.773grp.com/manufacturer/onsemi?pageNo=930", "Onsemi")</f>
        <v>Onsemi</v>
      </c>
      <c r="C6323" s="6">
        <v>1099000</v>
      </c>
      <c r="D6323" s="7">
        <v>0.79</v>
      </c>
      <c r="E6323" t="s">
        <v>79</v>
      </c>
    </row>
    <row r="6324" spans="1:5" x14ac:dyDescent="0.25">
      <c r="A6324" t="str">
        <f>HYPERLINK("https://www.773grp.com/globalSearch/CM1457-08CP/page-1", "CM1457-08CP")</f>
        <v>CM1457-08CP</v>
      </c>
      <c r="B6324" s="3" t="str">
        <f>HYPERLINK("https://www.773grp.com/manufacturer/onsemi?pageNo=931", "Onsemi")</f>
        <v>Onsemi</v>
      </c>
      <c r="C6324" s="6">
        <v>2390</v>
      </c>
      <c r="D6324" s="7">
        <v>0.79</v>
      </c>
      <c r="E6324" t="s">
        <v>79</v>
      </c>
    </row>
    <row r="6325" spans="1:5" x14ac:dyDescent="0.25">
      <c r="A6325" t="str">
        <f>HYPERLINK("https://www.773grp.com/globalSearch/CSPEMI205G/page-1", "CSPEMI205G")</f>
        <v>CSPEMI205G</v>
      </c>
      <c r="B6325" s="3" t="str">
        <f>HYPERLINK("https://www.773grp.com/manufacturer/onsemi?pageNo=932", "Onsemi")</f>
        <v>Onsemi</v>
      </c>
      <c r="C6325" s="6">
        <v>133000</v>
      </c>
      <c r="D6325" s="7">
        <v>0.79</v>
      </c>
      <c r="E6325" t="s">
        <v>79</v>
      </c>
    </row>
    <row r="6326" spans="1:5" x14ac:dyDescent="0.25">
      <c r="A6326" t="str">
        <f>HYPERLINK("https://www.773grp.com/globalSearch/CSPEMI306AG/page-1", "CSPEMI306AG")</f>
        <v>CSPEMI306AG</v>
      </c>
      <c r="B6326" s="3" t="str">
        <f>HYPERLINK("https://www.773grp.com/manufacturer/onsemi?pageNo=933", "Onsemi")</f>
        <v>Onsemi</v>
      </c>
      <c r="C6326" s="6">
        <v>8250</v>
      </c>
      <c r="D6326" s="7">
        <v>0.79</v>
      </c>
      <c r="E6326" t="s">
        <v>79</v>
      </c>
    </row>
    <row r="6327" spans="1:5" x14ac:dyDescent="0.25">
      <c r="A6327" t="str">
        <f>HYPERLINK("https://www.773grp.com/globalSearch/CSPEMI307AG/page-1", "CSPEMI307AG")</f>
        <v>CSPEMI307AG</v>
      </c>
      <c r="B6327" s="3" t="str">
        <f>HYPERLINK("https://www.773grp.com/manufacturer/onsemi?pageNo=934", "Onsemi")</f>
        <v>Onsemi</v>
      </c>
      <c r="C6327" s="6">
        <v>3500</v>
      </c>
      <c r="D6327" s="7">
        <v>0.79</v>
      </c>
      <c r="E6327" t="s">
        <v>79</v>
      </c>
    </row>
    <row r="6328" spans="1:5" x14ac:dyDescent="0.25">
      <c r="A6328" t="str">
        <f>HYPERLINK("https://www.773grp.com/globalSearch/ECH8657-TL-H/page-1", "ECH8657-TL-H")</f>
        <v>ECH8657-TL-H</v>
      </c>
      <c r="B6328" s="3" t="str">
        <f>HYPERLINK("https://www.773grp.com/manufacturer/onsemi?pageNo=935", "Onsemi")</f>
        <v>Onsemi</v>
      </c>
      <c r="C6328" s="6">
        <v>48000</v>
      </c>
      <c r="D6328" s="7">
        <v>0.79</v>
      </c>
    </row>
    <row r="6329" spans="1:5" x14ac:dyDescent="0.25">
      <c r="A6329" t="str">
        <f>HYPERLINK("https://www.773grp.com/globalSearch/EMH2308-TL-E/page-1", "EMH2308-TL-E")</f>
        <v>EMH2308-TL-E</v>
      </c>
      <c r="B6329" s="3" t="str">
        <f>HYPERLINK("https://www.773grp.com/manufacturer/onsemi?pageNo=936", "Onsemi")</f>
        <v>Onsemi</v>
      </c>
      <c r="C6329" s="6">
        <v>3000</v>
      </c>
      <c r="D6329" s="7">
        <v>0.79</v>
      </c>
    </row>
    <row r="6330" spans="1:5" x14ac:dyDescent="0.25">
      <c r="A6330" t="str">
        <f>HYPERLINK("https://www.773grp.com/globalSearch/ESD8006MUTAG/page-1", "ESD8006MUTAG")</f>
        <v>ESD8006MUTAG</v>
      </c>
      <c r="B6330" s="3" t="str">
        <f>HYPERLINK("https://www.773grp.com/manufacturer/onsemi?pageNo=937", "Onsemi")</f>
        <v>Onsemi</v>
      </c>
      <c r="C6330" s="6">
        <v>66000</v>
      </c>
      <c r="D6330" s="7">
        <v>0.79</v>
      </c>
    </row>
    <row r="6331" spans="1:5" x14ac:dyDescent="0.25">
      <c r="A6331" t="str">
        <f>HYPERLINK("https://www.773grp.com/globalSearch/JLC1147F/page-1", "JLC1147F")</f>
        <v>JLC1147F</v>
      </c>
      <c r="B6331" s="3" t="str">
        <f>HYPERLINK("https://www.773grp.com/manufacturer/onsemi?pageNo=938", "Onsemi")</f>
        <v>Onsemi</v>
      </c>
      <c r="C6331" s="6">
        <v>12880</v>
      </c>
      <c r="D6331" s="7">
        <v>0.79</v>
      </c>
    </row>
    <row r="6332" spans="1:5" x14ac:dyDescent="0.25">
      <c r="A6332" t="str">
        <f>HYPERLINK("https://www.773grp.com/globalSearch/LM224D/page-1", "LM224D")</f>
        <v>LM224D</v>
      </c>
      <c r="B6332" s="3" t="str">
        <f>HYPERLINK("https://www.773grp.com/manufacturer/onsemi?pageNo=939", "Onsemi")</f>
        <v>Onsemi</v>
      </c>
      <c r="C6332" s="6">
        <v>22165</v>
      </c>
      <c r="D6332" s="7">
        <v>0.79</v>
      </c>
      <c r="E6332" t="s">
        <v>10</v>
      </c>
    </row>
    <row r="6333" spans="1:5" x14ac:dyDescent="0.25">
      <c r="A6333" t="str">
        <f>HYPERLINK("https://www.773grp.com/globalSearch/LM224DG/page-1", "LM224DG")</f>
        <v>LM224DG</v>
      </c>
      <c r="B6333" s="3" t="str">
        <f>HYPERLINK("https://www.773grp.com/manufacturer/onsemi?pageNo=940", "Onsemi")</f>
        <v>Onsemi</v>
      </c>
      <c r="C6333" s="6">
        <v>37631</v>
      </c>
      <c r="D6333" s="7">
        <v>0.79</v>
      </c>
      <c r="E6333" t="s">
        <v>10</v>
      </c>
    </row>
    <row r="6334" spans="1:5" x14ac:dyDescent="0.25">
      <c r="A6334" t="str">
        <f>HYPERLINK("https://www.773grp.com/globalSearch/LM224DR2/page-1", "LM224DR2")</f>
        <v>LM224DR2</v>
      </c>
      <c r="B6334" s="3" t="str">
        <f>HYPERLINK("https://www.773grp.com/manufacturer/onsemi?pageNo=941", "Onsemi")</f>
        <v>Onsemi</v>
      </c>
      <c r="C6334" s="6">
        <v>10000</v>
      </c>
      <c r="D6334" s="7">
        <v>0.79</v>
      </c>
      <c r="E6334" t="s">
        <v>10</v>
      </c>
    </row>
    <row r="6335" spans="1:5" x14ac:dyDescent="0.25">
      <c r="A6335" t="str">
        <f>HYPERLINK("https://www.773grp.com/globalSearch/LM224DR2G/page-1", "LM224DR2G")</f>
        <v>LM224DR2G</v>
      </c>
      <c r="B6335" s="3" t="str">
        <f>HYPERLINK("https://www.773grp.com/manufacturer/onsemi?pageNo=942", "Onsemi")</f>
        <v>Onsemi</v>
      </c>
      <c r="C6335" s="6">
        <v>28490</v>
      </c>
      <c r="D6335" s="7">
        <v>0.79</v>
      </c>
      <c r="E6335" t="s">
        <v>10</v>
      </c>
    </row>
    <row r="6336" spans="1:5" x14ac:dyDescent="0.25">
      <c r="A6336" t="str">
        <f>HYPERLINK("https://www.773grp.com/globalSearch/LM224NG/page-1", "LM224NG")</f>
        <v>LM224NG</v>
      </c>
      <c r="B6336" s="3" t="str">
        <f>HYPERLINK("https://www.773grp.com/manufacturer/onsemi?pageNo=943", "Onsemi")</f>
        <v>Onsemi</v>
      </c>
      <c r="C6336" s="6">
        <v>35853</v>
      </c>
      <c r="D6336" s="7">
        <v>0.79</v>
      </c>
      <c r="E6336" t="s">
        <v>10</v>
      </c>
    </row>
    <row r="6337" spans="1:5" x14ac:dyDescent="0.25">
      <c r="A6337" t="str">
        <f>HYPERLINK("https://www.773grp.com/globalSearch/LM239AD/page-1", "LM239AD")</f>
        <v>LM239AD</v>
      </c>
      <c r="B6337" s="3" t="str">
        <f>HYPERLINK("https://www.773grp.com/manufacturer/onsemi?pageNo=944", "Onsemi")</f>
        <v>Onsemi</v>
      </c>
      <c r="C6337" s="6">
        <v>123</v>
      </c>
      <c r="D6337" s="7">
        <v>0.79</v>
      </c>
      <c r="E6337" t="s">
        <v>6</v>
      </c>
    </row>
    <row r="6338" spans="1:5" x14ac:dyDescent="0.25">
      <c r="A6338" t="str">
        <f>HYPERLINK("https://www.773grp.com/globalSearch/LM239AN/page-1", "LM239AN")</f>
        <v>LM239AN</v>
      </c>
      <c r="B6338" s="3" t="str">
        <f>HYPERLINK("https://www.773grp.com/manufacturer/onsemi?pageNo=945", "Onsemi")</f>
        <v>Onsemi</v>
      </c>
      <c r="C6338" s="6">
        <v>3325</v>
      </c>
      <c r="D6338" s="7">
        <v>0.79</v>
      </c>
      <c r="E6338" t="s">
        <v>6</v>
      </c>
    </row>
    <row r="6339" spans="1:5" x14ac:dyDescent="0.25">
      <c r="A6339" t="str">
        <f>HYPERLINK("https://www.773grp.com/globalSearch/LM239DG/page-1", "LM239DG")</f>
        <v>LM239DG</v>
      </c>
      <c r="B6339" s="3" t="str">
        <f>HYPERLINK("https://www.773grp.com/manufacturer/onsemi?pageNo=946", "Onsemi")</f>
        <v>Onsemi</v>
      </c>
      <c r="C6339" s="6">
        <v>91473</v>
      </c>
      <c r="D6339" s="7">
        <v>0.79</v>
      </c>
      <c r="E6339" t="s">
        <v>6</v>
      </c>
    </row>
    <row r="6340" spans="1:5" x14ac:dyDescent="0.25">
      <c r="A6340" t="str">
        <f>HYPERLINK("https://www.773grp.com/globalSearch/LM239DR2G/page-1", "LM239DR2G")</f>
        <v>LM239DR2G</v>
      </c>
      <c r="B6340" s="3" t="str">
        <f>HYPERLINK("https://www.773grp.com/manufacturer/onsemi?pageNo=947", "Onsemi")</f>
        <v>Onsemi</v>
      </c>
      <c r="C6340" s="6">
        <v>163634</v>
      </c>
      <c r="D6340" s="7">
        <v>0.79</v>
      </c>
      <c r="E6340" t="s">
        <v>6</v>
      </c>
    </row>
    <row r="6341" spans="1:5" x14ac:dyDescent="0.25">
      <c r="A6341" t="str">
        <f>HYPERLINK("https://www.773grp.com/globalSearch/LM239NG/page-1", "LM239NG")</f>
        <v>LM239NG</v>
      </c>
      <c r="B6341" s="3" t="str">
        <f>HYPERLINK("https://www.773grp.com/manufacturer/onsemi?pageNo=948", "Onsemi")</f>
        <v>Onsemi</v>
      </c>
      <c r="C6341" s="6">
        <v>46806</v>
      </c>
      <c r="D6341" s="7">
        <v>0.79</v>
      </c>
      <c r="E6341" t="s">
        <v>6</v>
      </c>
    </row>
    <row r="6342" spans="1:5" x14ac:dyDescent="0.25">
      <c r="A6342" t="str">
        <f>HYPERLINK("https://www.773grp.com/globalSearch/LM258DG/page-1", "LM258DG")</f>
        <v>LM258DG</v>
      </c>
      <c r="B6342" s="3" t="str">
        <f>HYPERLINK("https://www.773grp.com/manufacturer/onsemi?pageNo=949", "Onsemi")</f>
        <v>Onsemi</v>
      </c>
      <c r="C6342" s="6">
        <v>17346</v>
      </c>
      <c r="D6342" s="7">
        <v>0.79</v>
      </c>
      <c r="E6342" t="s">
        <v>10</v>
      </c>
    </row>
    <row r="6343" spans="1:5" x14ac:dyDescent="0.25">
      <c r="A6343" t="str">
        <f>HYPERLINK("https://www.773grp.com/globalSearch/LM258DMR2G/page-1", "LM258DMR2G")</f>
        <v>LM258DMR2G</v>
      </c>
      <c r="B6343" s="3" t="str">
        <f>HYPERLINK("https://www.773grp.com/manufacturer/onsemi?pageNo=950", "Onsemi")</f>
        <v>Onsemi</v>
      </c>
      <c r="C6343" s="6">
        <v>184000</v>
      </c>
      <c r="D6343" s="7">
        <v>0.79</v>
      </c>
      <c r="E6343" t="s">
        <v>10</v>
      </c>
    </row>
    <row r="6344" spans="1:5" x14ac:dyDescent="0.25">
      <c r="A6344" t="str">
        <f>HYPERLINK("https://www.773grp.com/globalSearch/LM258DR2G/page-1", "LM258DR2G")</f>
        <v>LM258DR2G</v>
      </c>
      <c r="B6344" s="3" t="str">
        <f>HYPERLINK("https://www.773grp.com/manufacturer/onsemi?pageNo=951", "Onsemi")</f>
        <v>Onsemi</v>
      </c>
      <c r="C6344" s="6">
        <v>69554</v>
      </c>
      <c r="D6344" s="7">
        <v>0.79</v>
      </c>
      <c r="E6344" t="s">
        <v>10</v>
      </c>
    </row>
    <row r="6345" spans="1:5" x14ac:dyDescent="0.25">
      <c r="A6345" t="str">
        <f>HYPERLINK("https://www.773grp.com/globalSearch/LM258N/page-1", "LM258N")</f>
        <v>LM258N</v>
      </c>
      <c r="B6345" s="3" t="str">
        <f>HYPERLINK("https://www.773grp.com/manufacturer/onsemi?pageNo=952", "Onsemi")</f>
        <v>Onsemi</v>
      </c>
      <c r="C6345" s="6">
        <v>4280</v>
      </c>
      <c r="D6345" s="7">
        <v>0.79</v>
      </c>
      <c r="E6345" t="s">
        <v>10</v>
      </c>
    </row>
    <row r="6346" spans="1:5" x14ac:dyDescent="0.25">
      <c r="A6346" t="str">
        <f>HYPERLINK("https://www.773grp.com/globalSearch/LM258NG/page-1", "LM258NG")</f>
        <v>LM258NG</v>
      </c>
      <c r="B6346" s="3" t="str">
        <f>HYPERLINK("https://www.773grp.com/manufacturer/onsemi?pageNo=953", "Onsemi")</f>
        <v>Onsemi</v>
      </c>
      <c r="C6346" s="6">
        <v>20375</v>
      </c>
      <c r="D6346" s="7">
        <v>0.79</v>
      </c>
      <c r="E6346" t="s">
        <v>10</v>
      </c>
    </row>
    <row r="6347" spans="1:5" x14ac:dyDescent="0.25">
      <c r="A6347" t="str">
        <f>HYPERLINK("https://www.773grp.com/globalSearch/LM2902DTBG/page-1", "LM2902DTBG")</f>
        <v>LM2902DTBG</v>
      </c>
      <c r="B6347" s="3" t="str">
        <f>HYPERLINK("https://www.773grp.com/manufacturer/onsemi?pageNo=954", "Onsemi")</f>
        <v>Onsemi</v>
      </c>
      <c r="C6347" s="6">
        <v>61</v>
      </c>
      <c r="D6347" s="7">
        <v>0.79</v>
      </c>
      <c r="E6347" t="s">
        <v>10</v>
      </c>
    </row>
    <row r="6348" spans="1:5" x14ac:dyDescent="0.25">
      <c r="A6348" t="str">
        <f>HYPERLINK("https://www.773grp.com/globalSearch/LM2902DTBR2G/page-1", "LM2902DTBR2G")</f>
        <v>LM2902DTBR2G</v>
      </c>
      <c r="B6348" s="3" t="str">
        <f>HYPERLINK("https://www.773grp.com/manufacturer/onsemi?pageNo=955", "Onsemi")</f>
        <v>Onsemi</v>
      </c>
      <c r="C6348" s="6">
        <v>25000</v>
      </c>
      <c r="D6348" s="7">
        <v>0.79</v>
      </c>
    </row>
    <row r="6349" spans="1:5" x14ac:dyDescent="0.25">
      <c r="A6349" t="str">
        <f>HYPERLINK("https://www.773grp.com/globalSearch/LM2904AN/page-1", "LM2904AN")</f>
        <v>LM2904AN</v>
      </c>
      <c r="B6349" s="3" t="str">
        <f>HYPERLINK("https://www.773grp.com/manufacturer/onsemi?pageNo=956", "Onsemi")</f>
        <v>Onsemi</v>
      </c>
      <c r="C6349" s="6">
        <v>1930</v>
      </c>
      <c r="D6349" s="7">
        <v>0.79</v>
      </c>
      <c r="E6349" t="s">
        <v>10</v>
      </c>
    </row>
    <row r="6350" spans="1:5" x14ac:dyDescent="0.25">
      <c r="A6350" t="str">
        <f>HYPERLINK("https://www.773grp.com/globalSearch/LM293DG/page-1", "LM293DG")</f>
        <v>LM293DG</v>
      </c>
      <c r="B6350" s="3" t="str">
        <f>HYPERLINK("https://www.773grp.com/manufacturer/onsemi?pageNo=957", "Onsemi")</f>
        <v>Onsemi</v>
      </c>
      <c r="C6350" s="6">
        <v>14514</v>
      </c>
      <c r="D6350" s="7">
        <v>0.79</v>
      </c>
      <c r="E6350" t="s">
        <v>6</v>
      </c>
    </row>
    <row r="6351" spans="1:5" x14ac:dyDescent="0.25">
      <c r="A6351" t="str">
        <f>HYPERLINK("https://www.773grp.com/globalSearch/LM293DMR2G/page-1", "LM293DMR2G")</f>
        <v>LM293DMR2G</v>
      </c>
      <c r="B6351" s="3" t="str">
        <f>HYPERLINK("https://www.773grp.com/manufacturer/onsemi?pageNo=958", "Onsemi")</f>
        <v>Onsemi</v>
      </c>
      <c r="C6351" s="6">
        <v>13650</v>
      </c>
      <c r="D6351" s="7">
        <v>0.79</v>
      </c>
      <c r="E6351" t="s">
        <v>6</v>
      </c>
    </row>
    <row r="6352" spans="1:5" x14ac:dyDescent="0.25">
      <c r="A6352" t="str">
        <f>HYPERLINK("https://www.773grp.com/globalSearch/LM293DR2G/page-1", "LM293DR2G")</f>
        <v>LM293DR2G</v>
      </c>
      <c r="B6352" s="3" t="str">
        <f>HYPERLINK("https://www.773grp.com/manufacturer/onsemi?pageNo=959", "Onsemi")</f>
        <v>Onsemi</v>
      </c>
      <c r="C6352" s="6">
        <v>117875</v>
      </c>
      <c r="D6352" s="7">
        <v>0.79</v>
      </c>
      <c r="E6352" t="s">
        <v>6</v>
      </c>
    </row>
    <row r="6353" spans="1:5" x14ac:dyDescent="0.25">
      <c r="A6353" t="str">
        <f>HYPERLINK("https://www.773grp.com/globalSearch/LM317MBT/page-1", "LM317MBT")</f>
        <v>LM317MBT</v>
      </c>
      <c r="B6353" s="3" t="str">
        <f>HYPERLINK("https://www.773grp.com/manufacturer/onsemi?pageNo=960", "Onsemi")</f>
        <v>Onsemi</v>
      </c>
      <c r="C6353" s="6">
        <v>492</v>
      </c>
      <c r="D6353" s="7">
        <v>0.79</v>
      </c>
      <c r="E6353" t="s">
        <v>18</v>
      </c>
    </row>
    <row r="6354" spans="1:5" x14ac:dyDescent="0.25">
      <c r="A6354" t="str">
        <f>HYPERLINK("https://www.773grp.com/globalSearch/LM339AD/page-1", "LM339AD")</f>
        <v>LM339AD</v>
      </c>
      <c r="B6354" s="3" t="str">
        <f>HYPERLINK("https://www.773grp.com/manufacturer/onsemi?pageNo=961", "Onsemi")</f>
        <v>Onsemi</v>
      </c>
      <c r="C6354" s="6">
        <v>42668</v>
      </c>
      <c r="D6354" s="7">
        <v>0.79</v>
      </c>
      <c r="E6354" t="s">
        <v>6</v>
      </c>
    </row>
    <row r="6355" spans="1:5" x14ac:dyDescent="0.25">
      <c r="A6355" t="str">
        <f>HYPERLINK("https://www.773grp.com/globalSearch/LM339AD/page-1", "LM339AD")</f>
        <v>LM339AD</v>
      </c>
      <c r="B6355" s="3" t="str">
        <f>HYPERLINK("https://www.773grp.com/manufacturer/onsemi?pageNo=962", "Onsemi")</f>
        <v>Onsemi</v>
      </c>
      <c r="C6355" s="6">
        <v>6160</v>
      </c>
      <c r="D6355" s="7">
        <v>0.79</v>
      </c>
      <c r="E6355" t="s">
        <v>6</v>
      </c>
    </row>
    <row r="6356" spans="1:5" x14ac:dyDescent="0.25">
      <c r="A6356" t="str">
        <f>HYPERLINK("https://www.773grp.com/globalSearch/LV51140T-TE-F-E/page-1", "LV51140T-TE-F-E")</f>
        <v>LV51140T-TE-F-E</v>
      </c>
      <c r="B6356" s="3" t="str">
        <f>HYPERLINK("https://www.773grp.com/manufacturer/onsemi?pageNo=963", "Onsemi")</f>
        <v>Onsemi</v>
      </c>
      <c r="C6356" s="6">
        <v>1000</v>
      </c>
      <c r="D6356" s="7">
        <v>0.79</v>
      </c>
    </row>
    <row r="6357" spans="1:5" x14ac:dyDescent="0.25">
      <c r="A6357" t="str">
        <f>HYPERLINK("https://www.773grp.com/globalSearch/LV51143T-TE-F-E/page-1", "LV51143T-TE-F-E")</f>
        <v>LV51143T-TE-F-E</v>
      </c>
      <c r="B6357" s="3" t="str">
        <f>HYPERLINK("https://www.773grp.com/manufacturer/onsemi?pageNo=964", "Onsemi")</f>
        <v>Onsemi</v>
      </c>
      <c r="C6357" s="6">
        <v>21100</v>
      </c>
      <c r="D6357" s="7">
        <v>0.79</v>
      </c>
    </row>
    <row r="6358" spans="1:5" x14ac:dyDescent="0.25">
      <c r="A6358" t="str">
        <f>HYPERLINK("https://www.773grp.com/globalSearch/MAX708CUA-T/page-1", "MAX708CUA-T")</f>
        <v>MAX708CUA-T</v>
      </c>
      <c r="B6358" s="3" t="str">
        <f>HYPERLINK("https://www.773grp.com/manufacturer/onsemi?pageNo=965", "Onsemi")</f>
        <v>Onsemi</v>
      </c>
      <c r="C6358" s="6">
        <v>7940</v>
      </c>
      <c r="D6358" s="7">
        <v>0.79</v>
      </c>
      <c r="E6358" t="s">
        <v>26</v>
      </c>
    </row>
    <row r="6359" spans="1:5" x14ac:dyDescent="0.25">
      <c r="A6359" t="str">
        <f>HYPERLINK("https://www.773grp.com/globalSearch/MAX708RESA-T/page-1", "MAX708RESA-T")</f>
        <v>MAX708RESA-T</v>
      </c>
      <c r="B6359" s="3" t="str">
        <f>HYPERLINK("https://www.773grp.com/manufacturer/onsemi?pageNo=966", "Onsemi")</f>
        <v>Onsemi</v>
      </c>
      <c r="C6359" s="6">
        <v>4922</v>
      </c>
      <c r="D6359" s="7">
        <v>0.79</v>
      </c>
      <c r="E6359" t="s">
        <v>26</v>
      </c>
    </row>
    <row r="6360" spans="1:5" x14ac:dyDescent="0.25">
      <c r="A6360" t="str">
        <f>HYPERLINK("https://www.773grp.com/globalSearch/MBR2035CT/page-1", "MBR2035CT")</f>
        <v>MBR2035CT</v>
      </c>
      <c r="B6360" s="3" t="str">
        <f>HYPERLINK("https://www.773grp.com/manufacturer/onsemi?pageNo=967", "Onsemi")</f>
        <v>Onsemi</v>
      </c>
      <c r="C6360" s="6">
        <v>600</v>
      </c>
      <c r="D6360" s="7">
        <v>0.79</v>
      </c>
      <c r="E6360" t="s">
        <v>82</v>
      </c>
    </row>
    <row r="6361" spans="1:5" x14ac:dyDescent="0.25">
      <c r="A6361" t="str">
        <f>HYPERLINK("https://www.773grp.com/globalSearch/MBR350/page-1", "MBR350")</f>
        <v>MBR350</v>
      </c>
      <c r="B6361" s="3" t="str">
        <f>HYPERLINK("https://www.773grp.com/manufacturer/onsemi?pageNo=968", "Onsemi")</f>
        <v>Onsemi</v>
      </c>
      <c r="C6361" s="6">
        <v>1400</v>
      </c>
      <c r="D6361" s="7">
        <v>0.79</v>
      </c>
      <c r="E6361" t="s">
        <v>82</v>
      </c>
    </row>
    <row r="6362" spans="1:5" x14ac:dyDescent="0.25">
      <c r="A6362" t="str">
        <f>HYPERLINK("https://www.773grp.com/globalSearch/MBR845/page-1", "MBR845")</f>
        <v>MBR845</v>
      </c>
      <c r="B6362" s="3" t="str">
        <f>HYPERLINK("https://www.773grp.com/manufacturer/onsemi?pageNo=969", "Onsemi")</f>
        <v>Onsemi</v>
      </c>
      <c r="C6362" s="6">
        <v>2722</v>
      </c>
      <c r="D6362" s="7">
        <v>0.79</v>
      </c>
      <c r="E6362" t="s">
        <v>82</v>
      </c>
    </row>
    <row r="6363" spans="1:5" x14ac:dyDescent="0.25">
      <c r="A6363" t="str">
        <f>HYPERLINK("https://www.773grp.com/globalSearch/MBR845RL/page-1", "MBR845RL")</f>
        <v>MBR845RL</v>
      </c>
      <c r="B6363" s="3" t="str">
        <f>HYPERLINK("https://www.773grp.com/manufacturer/onsemi?pageNo=970", "Onsemi")</f>
        <v>Onsemi</v>
      </c>
      <c r="C6363" s="6">
        <v>1500</v>
      </c>
      <c r="D6363" s="7">
        <v>0.79</v>
      </c>
      <c r="E6363" t="s">
        <v>82</v>
      </c>
    </row>
    <row r="6364" spans="1:5" x14ac:dyDescent="0.25">
      <c r="A6364" t="str">
        <f>HYPERLINK("https://www.773grp.com/globalSearch/MBRD320T4/page-1", "MBRD320T4")</f>
        <v>MBRD320T4</v>
      </c>
      <c r="B6364" s="3" t="str">
        <f>HYPERLINK("https://www.773grp.com/manufacturer/onsemi?pageNo=971", "Onsemi")</f>
        <v>Onsemi</v>
      </c>
      <c r="C6364" s="6">
        <v>104450</v>
      </c>
      <c r="D6364" s="7">
        <v>0.79</v>
      </c>
      <c r="E6364" t="s">
        <v>82</v>
      </c>
    </row>
    <row r="6365" spans="1:5" x14ac:dyDescent="0.25">
      <c r="A6365" t="str">
        <f>HYPERLINK("https://www.773grp.com/globalSearch/MBRD340T4/page-1", "MBRD340T4")</f>
        <v>MBRD340T4</v>
      </c>
      <c r="B6365" s="3" t="str">
        <f>HYPERLINK("https://www.773grp.com/manufacturer/onsemi?pageNo=972", "Onsemi")</f>
        <v>Onsemi</v>
      </c>
      <c r="C6365" s="6">
        <v>276205</v>
      </c>
      <c r="D6365" s="7">
        <v>0.79</v>
      </c>
      <c r="E6365" t="s">
        <v>82</v>
      </c>
    </row>
    <row r="6366" spans="1:5" x14ac:dyDescent="0.25">
      <c r="A6366" t="str">
        <f>HYPERLINK("https://www.773grp.com/globalSearch/MBRS340T3G/page-1", "MBRS340T3G")</f>
        <v>MBRS340T3G</v>
      </c>
      <c r="B6366" s="3" t="str">
        <f>HYPERLINK("https://www.773grp.com/manufacturer/onsemi?pageNo=973", "Onsemi")</f>
        <v>Onsemi</v>
      </c>
      <c r="C6366" s="6">
        <v>37820</v>
      </c>
      <c r="D6366" s="7">
        <v>0.79</v>
      </c>
      <c r="E6366" t="s">
        <v>82</v>
      </c>
    </row>
    <row r="6367" spans="1:5" x14ac:dyDescent="0.25">
      <c r="A6367" t="str">
        <f>HYPERLINK("https://www.773grp.com/globalSearch/MC10211FNR2/page-1", "MC10211FNR2")</f>
        <v>MC10211FNR2</v>
      </c>
      <c r="B6367" s="3" t="str">
        <f>HYPERLINK("https://www.773grp.com/manufacturer/onsemi?pageNo=974", "Onsemi")</f>
        <v>Onsemi</v>
      </c>
      <c r="C6367" s="6">
        <v>5000</v>
      </c>
      <c r="D6367" s="7">
        <v>0.79</v>
      </c>
      <c r="E6367" t="s">
        <v>27</v>
      </c>
    </row>
    <row r="6368" spans="1:5" x14ac:dyDescent="0.25">
      <c r="A6368" t="str">
        <f>HYPERLINK("https://www.773grp.com/globalSearch/MC14001BFELG/page-1", "MC14001BFELG")</f>
        <v>MC14001BFELG</v>
      </c>
      <c r="B6368" s="3" t="str">
        <f>HYPERLINK("https://www.773grp.com/manufacturer/onsemi?pageNo=975", "Onsemi")</f>
        <v>Onsemi</v>
      </c>
      <c r="C6368" s="6">
        <v>1477</v>
      </c>
      <c r="D6368" s="7">
        <v>0.79</v>
      </c>
      <c r="E6368" t="s">
        <v>27</v>
      </c>
    </row>
    <row r="6369" spans="1:5" x14ac:dyDescent="0.25">
      <c r="A6369" t="str">
        <f>HYPERLINK("https://www.773grp.com/globalSearch/MC14008BF/page-1", "MC14008BF")</f>
        <v>MC14008BF</v>
      </c>
      <c r="B6369" s="3" t="str">
        <f>HYPERLINK("https://www.773grp.com/manufacturer/onsemi?pageNo=976", "Onsemi")</f>
        <v>Onsemi</v>
      </c>
      <c r="C6369" s="6">
        <v>2100</v>
      </c>
      <c r="D6369" s="7">
        <v>0.79</v>
      </c>
      <c r="E6369" t="s">
        <v>38</v>
      </c>
    </row>
    <row r="6370" spans="1:5" x14ac:dyDescent="0.25">
      <c r="A6370" t="str">
        <f>HYPERLINK("https://www.773grp.com/globalSearch/MC14011BFG/page-1", "MC14011BFG")</f>
        <v>MC14011BFG</v>
      </c>
      <c r="B6370" s="3" t="str">
        <f>HYPERLINK("https://www.773grp.com/manufacturer/onsemi?pageNo=977", "Onsemi")</f>
        <v>Onsemi</v>
      </c>
      <c r="C6370" s="6">
        <v>4388</v>
      </c>
      <c r="D6370" s="7">
        <v>0.79</v>
      </c>
      <c r="E6370" t="s">
        <v>27</v>
      </c>
    </row>
    <row r="6371" spans="1:5" x14ac:dyDescent="0.25">
      <c r="A6371" t="str">
        <f>HYPERLINK("https://www.773grp.com/globalSearch/MC14016BDG/page-1", "MC14016BDG")</f>
        <v>MC14016BDG</v>
      </c>
      <c r="B6371" s="3" t="str">
        <f>HYPERLINK("https://www.773grp.com/manufacturer/onsemi?pageNo=978", "Onsemi")</f>
        <v>Onsemi</v>
      </c>
      <c r="C6371" s="6">
        <v>9730</v>
      </c>
      <c r="D6371" s="7">
        <v>0.79</v>
      </c>
      <c r="E6371" t="s">
        <v>46</v>
      </c>
    </row>
    <row r="6372" spans="1:5" x14ac:dyDescent="0.25">
      <c r="A6372" t="str">
        <f>HYPERLINK("https://www.773grp.com/globalSearch/MC14016BDR2/page-1", "MC14016BDR2")</f>
        <v>MC14016BDR2</v>
      </c>
      <c r="B6372" s="3" t="str">
        <f>HYPERLINK("https://www.773grp.com/manufacturer/onsemi?pageNo=979", "Onsemi")</f>
        <v>Onsemi</v>
      </c>
      <c r="C6372" s="6">
        <v>12500</v>
      </c>
      <c r="D6372" s="7">
        <v>0.79</v>
      </c>
      <c r="E6372" t="s">
        <v>46</v>
      </c>
    </row>
    <row r="6373" spans="1:5" x14ac:dyDescent="0.25">
      <c r="A6373" t="str">
        <f>HYPERLINK("https://www.773grp.com/globalSearch/MC14016BDR2G/page-1", "MC14016BDR2G")</f>
        <v>MC14016BDR2G</v>
      </c>
      <c r="B6373" s="3" t="str">
        <f>HYPERLINK("https://www.773grp.com/manufacturer/onsemi?pageNo=980", "Onsemi")</f>
        <v>Onsemi</v>
      </c>
      <c r="C6373" s="6">
        <v>5423</v>
      </c>
      <c r="D6373" s="7">
        <v>0.79</v>
      </c>
      <c r="E6373" t="s">
        <v>46</v>
      </c>
    </row>
    <row r="6374" spans="1:5" x14ac:dyDescent="0.25">
      <c r="A6374" t="str">
        <f>HYPERLINK("https://www.773grp.com/globalSearch/MC14017BF/page-1", "MC14017BF")</f>
        <v>MC14017BF</v>
      </c>
      <c r="B6374" s="3" t="str">
        <f>HYPERLINK("https://www.773grp.com/manufacturer/onsemi?pageNo=981", "Onsemi")</f>
        <v>Onsemi</v>
      </c>
      <c r="C6374" s="6">
        <v>500</v>
      </c>
      <c r="D6374" s="7">
        <v>0.79</v>
      </c>
      <c r="E6374" t="s">
        <v>22</v>
      </c>
    </row>
    <row r="6375" spans="1:5" x14ac:dyDescent="0.25">
      <c r="A6375" t="str">
        <f>HYPERLINK("https://www.773grp.com/globalSearch/MC14017BFR2/page-1", "MC14017BFR2")</f>
        <v>MC14017BFR2</v>
      </c>
      <c r="B6375" s="3" t="str">
        <f>HYPERLINK("https://www.773grp.com/manufacturer/onsemi?pageNo=982", "Onsemi")</f>
        <v>Onsemi</v>
      </c>
      <c r="C6375" s="6">
        <v>2000</v>
      </c>
      <c r="D6375" s="7">
        <v>0.79</v>
      </c>
      <c r="E6375" t="s">
        <v>22</v>
      </c>
    </row>
    <row r="6376" spans="1:5" x14ac:dyDescent="0.25">
      <c r="A6376" t="str">
        <f>HYPERLINK("https://www.773grp.com/globalSearch/MC14021BF/page-1", "MC14021BF")</f>
        <v>MC14021BF</v>
      </c>
      <c r="B6376" s="3" t="str">
        <f>HYPERLINK("https://www.773grp.com/manufacturer/onsemi?pageNo=983", "Onsemi")</f>
        <v>Onsemi</v>
      </c>
      <c r="C6376" s="6">
        <v>2192</v>
      </c>
      <c r="D6376" s="7">
        <v>0.79</v>
      </c>
      <c r="E6376" t="s">
        <v>28</v>
      </c>
    </row>
    <row r="6377" spans="1:5" x14ac:dyDescent="0.25">
      <c r="A6377" t="str">
        <f>HYPERLINK("https://www.773grp.com/globalSearch/MC14021BFR1/page-1", "MC14021BFR1")</f>
        <v>MC14021BFR1</v>
      </c>
      <c r="B6377" s="3" t="str">
        <f>HYPERLINK("https://www.773grp.com/manufacturer/onsemi?pageNo=984", "Onsemi")</f>
        <v>Onsemi</v>
      </c>
      <c r="C6377" s="6">
        <v>21000</v>
      </c>
      <c r="D6377" s="7">
        <v>0.79</v>
      </c>
      <c r="E6377" t="s">
        <v>28</v>
      </c>
    </row>
    <row r="6378" spans="1:5" x14ac:dyDescent="0.25">
      <c r="A6378" t="str">
        <f>HYPERLINK("https://www.773grp.com/globalSearch/MC14024BDG/page-1", "MC14024BDG")</f>
        <v>MC14024BDG</v>
      </c>
      <c r="B6378" s="3" t="str">
        <f>HYPERLINK("https://www.773grp.com/manufacturer/onsemi?pageNo=985", "Onsemi")</f>
        <v>Onsemi</v>
      </c>
      <c r="C6378" s="6">
        <v>1795</v>
      </c>
      <c r="D6378" s="7">
        <v>0.79</v>
      </c>
      <c r="E6378" t="s">
        <v>22</v>
      </c>
    </row>
    <row r="6379" spans="1:5" x14ac:dyDescent="0.25">
      <c r="A6379" t="str">
        <f>HYPERLINK("https://www.773grp.com/globalSearch/MC14024BDR2/page-1", "MC14024BDR2")</f>
        <v>MC14024BDR2</v>
      </c>
      <c r="B6379" s="3" t="str">
        <f>HYPERLINK("https://www.773grp.com/manufacturer/onsemi?pageNo=986", "Onsemi")</f>
        <v>Onsemi</v>
      </c>
      <c r="C6379" s="6">
        <v>12500</v>
      </c>
      <c r="D6379" s="7">
        <v>0.79</v>
      </c>
      <c r="E6379" t="s">
        <v>22</v>
      </c>
    </row>
    <row r="6380" spans="1:5" x14ac:dyDescent="0.25">
      <c r="A6380" t="str">
        <f>HYPERLINK("https://www.773grp.com/globalSearch/MC14024BDR2G/page-1", "MC14024BDR2G")</f>
        <v>MC14024BDR2G</v>
      </c>
      <c r="B6380" s="3" t="str">
        <f>HYPERLINK("https://www.773grp.com/manufacturer/onsemi?pageNo=987", "Onsemi")</f>
        <v>Onsemi</v>
      </c>
      <c r="C6380" s="6">
        <v>3720</v>
      </c>
      <c r="D6380" s="7">
        <v>0.79</v>
      </c>
    </row>
    <row r="6381" spans="1:5" x14ac:dyDescent="0.25">
      <c r="A6381" t="str">
        <f>HYPERLINK("https://www.773grp.com/globalSearch/MC14040BFL1/page-1", "MC14040BFL1")</f>
        <v>MC14040BFL1</v>
      </c>
      <c r="B6381" s="3" t="str">
        <f>HYPERLINK("https://www.773grp.com/manufacturer/onsemi?pageNo=988", "Onsemi")</f>
        <v>Onsemi</v>
      </c>
      <c r="C6381" s="6">
        <v>7000</v>
      </c>
      <c r="D6381" s="7">
        <v>0.79</v>
      </c>
      <c r="E6381" t="s">
        <v>22</v>
      </c>
    </row>
    <row r="6382" spans="1:5" x14ac:dyDescent="0.25">
      <c r="A6382" t="str">
        <f>HYPERLINK("https://www.773grp.com/globalSearch/MC14040BFL2/page-1", "MC14040BFL2")</f>
        <v>MC14040BFL2</v>
      </c>
      <c r="B6382" s="3" t="str">
        <f>HYPERLINK("https://www.773grp.com/manufacturer/onsemi?pageNo=989", "Onsemi")</f>
        <v>Onsemi</v>
      </c>
      <c r="C6382" s="6">
        <v>2000</v>
      </c>
      <c r="D6382" s="7">
        <v>0.79</v>
      </c>
      <c r="E6382" t="s">
        <v>22</v>
      </c>
    </row>
    <row r="6383" spans="1:5" x14ac:dyDescent="0.25">
      <c r="A6383" t="str">
        <f>HYPERLINK("https://www.773grp.com/globalSearch/MC14040BFR1/page-1", "MC14040BFR1")</f>
        <v>MC14040BFR1</v>
      </c>
      <c r="B6383" s="3" t="str">
        <f>HYPERLINK("https://www.773grp.com/manufacturer/onsemi?pageNo=990", "Onsemi")</f>
        <v>Onsemi</v>
      </c>
      <c r="C6383" s="6">
        <v>3000</v>
      </c>
      <c r="D6383" s="7">
        <v>0.79</v>
      </c>
      <c r="E6383" t="s">
        <v>22</v>
      </c>
    </row>
    <row r="6384" spans="1:5" x14ac:dyDescent="0.25">
      <c r="A6384" t="str">
        <f>HYPERLINK("https://www.773grp.com/globalSearch/MC14042BFEL/page-1", "MC14042BFEL")</f>
        <v>MC14042BFEL</v>
      </c>
      <c r="B6384" s="3" t="str">
        <f>HYPERLINK("https://www.773grp.com/manufacturer/onsemi?pageNo=991", "Onsemi")</f>
        <v>Onsemi</v>
      </c>
      <c r="C6384" s="6">
        <v>2000</v>
      </c>
      <c r="D6384" s="7">
        <v>0.79</v>
      </c>
      <c r="E6384" t="s">
        <v>31</v>
      </c>
    </row>
    <row r="6385" spans="1:5" x14ac:dyDescent="0.25">
      <c r="A6385" t="str">
        <f>HYPERLINK("https://www.773grp.com/globalSearch/MC14043BF/page-1", "MC14043BF")</f>
        <v>MC14043BF</v>
      </c>
      <c r="B6385" s="3" t="str">
        <f>HYPERLINK("https://www.773grp.com/manufacturer/onsemi?pageNo=992", "Onsemi")</f>
        <v>Onsemi</v>
      </c>
      <c r="C6385" s="6">
        <v>80</v>
      </c>
      <c r="D6385" s="7">
        <v>0.79</v>
      </c>
      <c r="E6385" t="s">
        <v>31</v>
      </c>
    </row>
    <row r="6386" spans="1:5" x14ac:dyDescent="0.25">
      <c r="A6386" t="str">
        <f>HYPERLINK("https://www.773grp.com/globalSearch/MC14052BDT/page-1", "MC14052BDT")</f>
        <v>MC14052BDT</v>
      </c>
      <c r="B6386" s="3" t="str">
        <f>HYPERLINK("https://www.773grp.com/manufacturer/onsemi?pageNo=993", "Onsemi")</f>
        <v>Onsemi</v>
      </c>
      <c r="C6386" s="6">
        <v>3820</v>
      </c>
      <c r="D6386" s="7">
        <v>0.79</v>
      </c>
      <c r="E6386" t="s">
        <v>46</v>
      </c>
    </row>
    <row r="6387" spans="1:5" x14ac:dyDescent="0.25">
      <c r="A6387" t="str">
        <f>HYPERLINK("https://www.773grp.com/globalSearch/MC14060BF/page-1", "MC14060BF")</f>
        <v>MC14060BF</v>
      </c>
      <c r="B6387" s="3" t="str">
        <f>HYPERLINK("https://www.773grp.com/manufacturer/onsemi?pageNo=994", "Onsemi")</f>
        <v>Onsemi</v>
      </c>
      <c r="C6387" s="6">
        <v>200</v>
      </c>
      <c r="D6387" s="7">
        <v>0.79</v>
      </c>
      <c r="E6387" t="s">
        <v>22</v>
      </c>
    </row>
    <row r="6388" spans="1:5" x14ac:dyDescent="0.25">
      <c r="A6388" t="str">
        <f>HYPERLINK("https://www.773grp.com/globalSearch/MC14066BDG/page-1", "MC14066BDG")</f>
        <v>MC14066BDG</v>
      </c>
      <c r="B6388" s="3" t="str">
        <f>HYPERLINK("https://www.773grp.com/manufacturer/onsemi?pageNo=995", "Onsemi")</f>
        <v>Onsemi</v>
      </c>
      <c r="C6388" s="6">
        <v>9303</v>
      </c>
      <c r="D6388" s="7">
        <v>0.79</v>
      </c>
      <c r="E6388" t="s">
        <v>46</v>
      </c>
    </row>
    <row r="6389" spans="1:5" x14ac:dyDescent="0.25">
      <c r="A6389" t="str">
        <f>HYPERLINK("https://www.773grp.com/globalSearch/MC14066BDR2G/page-1", "MC14066BDR2G")</f>
        <v>MC14066BDR2G</v>
      </c>
      <c r="B6389" s="3" t="str">
        <f>HYPERLINK("https://www.773grp.com/manufacturer/onsemi?pageNo=996", "Onsemi")</f>
        <v>Onsemi</v>
      </c>
      <c r="C6389" s="6">
        <v>72496</v>
      </c>
      <c r="D6389" s="7">
        <v>0.79</v>
      </c>
      <c r="E6389" t="s">
        <v>46</v>
      </c>
    </row>
    <row r="6390" spans="1:5" x14ac:dyDescent="0.25">
      <c r="A6390" t="str">
        <f>HYPERLINK("https://www.773grp.com/globalSearch/MC14066BDTR2G/page-1", "MC14066BDTR2G")</f>
        <v>MC14066BDTR2G</v>
      </c>
      <c r="B6390" s="3" t="str">
        <f>HYPERLINK("https://www.773grp.com/manufacturer/onsemi?pageNo=997", "Onsemi")</f>
        <v>Onsemi</v>
      </c>
      <c r="C6390" s="6">
        <v>71283</v>
      </c>
      <c r="D6390" s="7">
        <v>0.79</v>
      </c>
      <c r="E6390" t="s">
        <v>46</v>
      </c>
    </row>
    <row r="6391" spans="1:5" x14ac:dyDescent="0.25">
      <c r="A6391" t="str">
        <f>HYPERLINK("https://www.773grp.com/globalSearch/MC14069UBFELG/page-1", "MC14069UBFELG")</f>
        <v>MC14069UBFELG</v>
      </c>
      <c r="B6391" s="3" t="str">
        <f>HYPERLINK("https://www.773grp.com/manufacturer/onsemi?pageNo=998", "Onsemi")</f>
        <v>Onsemi</v>
      </c>
      <c r="C6391" s="6">
        <v>10550</v>
      </c>
      <c r="D6391" s="7">
        <v>0.79</v>
      </c>
      <c r="E6391" t="s">
        <v>27</v>
      </c>
    </row>
    <row r="6392" spans="1:5" x14ac:dyDescent="0.25">
      <c r="A6392" t="str">
        <f>HYPERLINK("https://www.773grp.com/globalSearch/MC14081BFELG/page-1", "MC14081BFELG")</f>
        <v>MC14081BFELG</v>
      </c>
      <c r="B6392" s="3" t="str">
        <f>HYPERLINK("https://www.773grp.com/manufacturer/onsemi?pageNo=999", "Onsemi")</f>
        <v>Onsemi</v>
      </c>
      <c r="C6392" s="6">
        <v>5000</v>
      </c>
      <c r="D6392" s="7">
        <v>0.79</v>
      </c>
      <c r="E6392" t="s">
        <v>27</v>
      </c>
    </row>
    <row r="6393" spans="1:5" x14ac:dyDescent="0.25">
      <c r="A6393" t="str">
        <f>HYPERLINK("https://www.773grp.com/globalSearch/MC14093BFELG/page-1", "MC14093BFELG")</f>
        <v>MC14093BFELG</v>
      </c>
      <c r="B6393" s="3" t="str">
        <f>HYPERLINK("https://www.773grp.com/manufacturer/onsemi?pageNo=1000", "Onsemi")</f>
        <v>Onsemi</v>
      </c>
      <c r="C6393" s="6">
        <v>797</v>
      </c>
      <c r="D6393" s="7">
        <v>0.79</v>
      </c>
      <c r="E6393" t="s">
        <v>27</v>
      </c>
    </row>
    <row r="6394" spans="1:5" x14ac:dyDescent="0.25">
      <c r="A6394" t="str">
        <f>HYPERLINK("https://www.773grp.com/globalSearch/MC14106BDG/page-1", "MC14106BDG")</f>
        <v>MC14106BDG</v>
      </c>
      <c r="B6394" s="3" t="str">
        <f>HYPERLINK("https://www.773grp.com/manufacturer/onsemi?pageNo=1001", "Onsemi")</f>
        <v>Onsemi</v>
      </c>
      <c r="C6394" s="6">
        <v>5995</v>
      </c>
      <c r="D6394" s="7">
        <v>0.79</v>
      </c>
    </row>
    <row r="6395" spans="1:5" x14ac:dyDescent="0.25">
      <c r="A6395" t="str">
        <f>HYPERLINK("https://www.773grp.com/globalSearch/MC14106BDR2G/page-1", "MC14106BDR2G")</f>
        <v>MC14106BDR2G</v>
      </c>
      <c r="B6395" s="3" t="str">
        <f>HYPERLINK("https://www.773grp.com/manufacturer/onsemi?pageNo=1002", "Onsemi")</f>
        <v>Onsemi</v>
      </c>
      <c r="C6395" s="6">
        <v>2500</v>
      </c>
      <c r="D6395" s="7">
        <v>0.79</v>
      </c>
    </row>
    <row r="6396" spans="1:5" x14ac:dyDescent="0.25">
      <c r="A6396" t="str">
        <f>HYPERLINK("https://www.773grp.com/globalSearch/MC14106BDTR2G/page-1", "MC14106BDTR2G")</f>
        <v>MC14106BDTR2G</v>
      </c>
      <c r="B6396" s="3" t="str">
        <f>HYPERLINK("https://www.773grp.com/manufacturer/onsemi?pageNo=1003", "Onsemi")</f>
        <v>Onsemi</v>
      </c>
      <c r="C6396" s="6">
        <v>1425</v>
      </c>
      <c r="D6396" s="7">
        <v>0.79</v>
      </c>
      <c r="E6396" t="s">
        <v>27</v>
      </c>
    </row>
    <row r="6397" spans="1:5" x14ac:dyDescent="0.25">
      <c r="A6397" t="str">
        <f>HYPERLINK("https://www.773grp.com/globalSearch/MC14584BDR2/page-1", "MC14584BDR2")</f>
        <v>MC14584BDR2</v>
      </c>
      <c r="B6397" s="3" t="str">
        <f>HYPERLINK("https://www.773grp.com/manufacturer/onsemi?pageNo=1004", "Onsemi")</f>
        <v>Onsemi</v>
      </c>
      <c r="C6397" s="6">
        <v>2500</v>
      </c>
      <c r="D6397" s="7">
        <v>0.79</v>
      </c>
    </row>
    <row r="6398" spans="1:5" x14ac:dyDescent="0.25">
      <c r="A6398" t="str">
        <f>HYPERLINK("https://www.773grp.com/globalSearch/MC14584BDT/page-1", "MC14584BDT")</f>
        <v>MC14584BDT</v>
      </c>
      <c r="B6398" s="3" t="str">
        <f>HYPERLINK("https://www.773grp.com/manufacturer/onsemi?pageNo=1005", "Onsemi")</f>
        <v>Onsemi</v>
      </c>
      <c r="C6398" s="6">
        <v>2226</v>
      </c>
      <c r="D6398" s="7">
        <v>0.79</v>
      </c>
      <c r="E6398" t="s">
        <v>27</v>
      </c>
    </row>
    <row r="6399" spans="1:5" x14ac:dyDescent="0.25">
      <c r="A6399" t="str">
        <f>HYPERLINK("https://www.773grp.com/globalSearch/MC1489AML2/page-1", "MC1489AML2")</f>
        <v>MC1489AML2</v>
      </c>
      <c r="B6399" s="3" t="str">
        <f>HYPERLINK("https://www.773grp.com/manufacturer/onsemi?pageNo=1006", "Onsemi")</f>
        <v>Onsemi</v>
      </c>
      <c r="C6399" s="6">
        <v>2000</v>
      </c>
      <c r="D6399" s="7">
        <v>0.79</v>
      </c>
      <c r="E6399" t="s">
        <v>17</v>
      </c>
    </row>
    <row r="6400" spans="1:5" x14ac:dyDescent="0.25">
      <c r="A6400" t="str">
        <f>HYPERLINK("https://www.773grp.com/globalSearch/MC1489AMR1/page-1", "MC1489AMR1")</f>
        <v>MC1489AMR1</v>
      </c>
      <c r="B6400" s="3" t="str">
        <f>HYPERLINK("https://www.773grp.com/manufacturer/onsemi?pageNo=1007", "Onsemi")</f>
        <v>Onsemi</v>
      </c>
      <c r="C6400" s="6">
        <v>1000</v>
      </c>
      <c r="D6400" s="7">
        <v>0.79</v>
      </c>
      <c r="E6400" t="s">
        <v>17</v>
      </c>
    </row>
    <row r="6401" spans="1:5" x14ac:dyDescent="0.25">
      <c r="A6401" t="str">
        <f>HYPERLINK("https://www.773grp.com/globalSearch/MC1489AMR2/page-1", "MC1489AMR2")</f>
        <v>MC1489AMR2</v>
      </c>
      <c r="B6401" s="3" t="str">
        <f>HYPERLINK("https://www.773grp.com/manufacturer/onsemi?pageNo=1008", "Onsemi")</f>
        <v>Onsemi</v>
      </c>
      <c r="C6401" s="6">
        <v>6000</v>
      </c>
      <c r="D6401" s="7">
        <v>0.79</v>
      </c>
      <c r="E6401" t="s">
        <v>17</v>
      </c>
    </row>
    <row r="6402" spans="1:5" x14ac:dyDescent="0.25">
      <c r="A6402" t="str">
        <f>HYPERLINK("https://www.773grp.com/globalSearch/MC1489MR1/page-1", "MC1489MR1")</f>
        <v>MC1489MR1</v>
      </c>
      <c r="B6402" s="3" t="str">
        <f>HYPERLINK("https://www.773grp.com/manufacturer/onsemi?pageNo=1009", "Onsemi")</f>
        <v>Onsemi</v>
      </c>
      <c r="C6402" s="6">
        <v>11000</v>
      </c>
      <c r="D6402" s="7">
        <v>0.79</v>
      </c>
      <c r="E6402" t="s">
        <v>17</v>
      </c>
    </row>
    <row r="6403" spans="1:5" x14ac:dyDescent="0.25">
      <c r="A6403" t="str">
        <f>HYPERLINK("https://www.773grp.com/globalSearch/MC3302D/page-1", "MC3302D")</f>
        <v>MC3302D</v>
      </c>
      <c r="B6403" s="3" t="str">
        <f>HYPERLINK("https://www.773grp.com/manufacturer/onsemi?pageNo=1010", "Onsemi")</f>
        <v>Onsemi</v>
      </c>
      <c r="C6403" s="6">
        <v>3135</v>
      </c>
      <c r="D6403" s="7">
        <v>0.79</v>
      </c>
      <c r="E6403" t="s">
        <v>6</v>
      </c>
    </row>
    <row r="6404" spans="1:5" x14ac:dyDescent="0.25">
      <c r="A6404" t="str">
        <f>HYPERLINK("https://www.773grp.com/globalSearch/MC3302DTBR2G/page-1", "MC3302DTBR2G")</f>
        <v>MC3302DTBR2G</v>
      </c>
      <c r="B6404" s="3" t="str">
        <f>HYPERLINK("https://www.773grp.com/manufacturer/onsemi?pageNo=1011", "Onsemi")</f>
        <v>Onsemi</v>
      </c>
      <c r="C6404" s="6">
        <v>9302</v>
      </c>
      <c r="D6404" s="7">
        <v>0.79</v>
      </c>
      <c r="E6404" t="s">
        <v>6</v>
      </c>
    </row>
    <row r="6405" spans="1:5" x14ac:dyDescent="0.25">
      <c r="A6405" t="str">
        <f>HYPERLINK("https://www.773grp.com/globalSearch/MC3302P/page-1", "MC3302P")</f>
        <v>MC3302P</v>
      </c>
      <c r="B6405" s="3" t="str">
        <f>HYPERLINK("https://www.773grp.com/manufacturer/onsemi?pageNo=1012", "Onsemi")</f>
        <v>Onsemi</v>
      </c>
      <c r="C6405" s="6">
        <v>1631</v>
      </c>
      <c r="D6405" s="7">
        <v>0.79</v>
      </c>
      <c r="E6405" t="s">
        <v>6</v>
      </c>
    </row>
    <row r="6406" spans="1:5" x14ac:dyDescent="0.25">
      <c r="A6406" t="str">
        <f>HYPERLINK("https://www.773grp.com/globalSearch/MC33261P/page-1", "MC33261P")</f>
        <v>MC33261P</v>
      </c>
      <c r="B6406" s="3" t="str">
        <f>HYPERLINK("https://www.773grp.com/manufacturer/onsemi?pageNo=1013", "Onsemi")</f>
        <v>Onsemi</v>
      </c>
      <c r="C6406" s="6">
        <v>13810</v>
      </c>
      <c r="D6406" s="7">
        <v>0.79</v>
      </c>
      <c r="E6406" t="s">
        <v>5</v>
      </c>
    </row>
    <row r="6407" spans="1:5" x14ac:dyDescent="0.25">
      <c r="A6407" t="str">
        <f>HYPERLINK("https://www.773grp.com/globalSearch/MC33275D-2.5/page-1", "MC33275D-2.5")</f>
        <v>MC33275D-2.5</v>
      </c>
      <c r="B6407" s="3" t="str">
        <f>HYPERLINK("https://www.773grp.com/manufacturer/onsemi?pageNo=1014", "Onsemi")</f>
        <v>Onsemi</v>
      </c>
      <c r="C6407" s="6">
        <v>1598</v>
      </c>
      <c r="D6407" s="7">
        <v>0.79</v>
      </c>
      <c r="E6407" t="s">
        <v>15</v>
      </c>
    </row>
    <row r="6408" spans="1:5" x14ac:dyDescent="0.25">
      <c r="A6408" t="str">
        <f>HYPERLINK("https://www.773grp.com/globalSearch/MC33275D-2.5R2/page-1", "MC33275D-2.5R2")</f>
        <v>MC33275D-2.5R2</v>
      </c>
      <c r="B6408" s="3" t="str">
        <f>HYPERLINK("https://www.773grp.com/manufacturer/onsemi?pageNo=1015", "Onsemi")</f>
        <v>Onsemi</v>
      </c>
      <c r="C6408" s="6">
        <v>2485</v>
      </c>
      <c r="D6408" s="7">
        <v>0.79</v>
      </c>
      <c r="E6408" t="s">
        <v>15</v>
      </c>
    </row>
    <row r="6409" spans="1:5" x14ac:dyDescent="0.25">
      <c r="A6409" t="str">
        <f>HYPERLINK("https://www.773grp.com/globalSearch/MC33275ST-2.5T3/page-1", "MC33275ST-2.5T3")</f>
        <v>MC33275ST-2.5T3</v>
      </c>
      <c r="B6409" s="3" t="str">
        <f>HYPERLINK("https://www.773grp.com/manufacturer/onsemi?pageNo=1016", "Onsemi")</f>
        <v>Onsemi</v>
      </c>
      <c r="C6409" s="6">
        <v>35912</v>
      </c>
      <c r="D6409" s="7">
        <v>0.79</v>
      </c>
      <c r="E6409" t="s">
        <v>15</v>
      </c>
    </row>
    <row r="6410" spans="1:5" x14ac:dyDescent="0.25">
      <c r="A6410" t="str">
        <f>HYPERLINK("https://www.773grp.com/globalSearch/MC3346D/page-1", "MC3346D")</f>
        <v>MC3346D</v>
      </c>
      <c r="B6410" s="3" t="str">
        <f>HYPERLINK("https://www.773grp.com/manufacturer/onsemi?pageNo=1017", "Onsemi")</f>
        <v>Onsemi</v>
      </c>
      <c r="C6410" s="6">
        <v>133</v>
      </c>
      <c r="D6410" s="7">
        <v>0.79</v>
      </c>
      <c r="E6410" t="s">
        <v>93</v>
      </c>
    </row>
    <row r="6411" spans="1:5" x14ac:dyDescent="0.25">
      <c r="A6411" t="str">
        <f>HYPERLINK("https://www.773grp.com/globalSearch/MC3346D/page-1", "MC3346D")</f>
        <v>MC3346D</v>
      </c>
      <c r="B6411" s="3" t="str">
        <f>HYPERLINK("https://www.773grp.com/manufacturer/onsemi?pageNo=1018", "Onsemi")</f>
        <v>Onsemi</v>
      </c>
      <c r="C6411" s="6">
        <v>370</v>
      </c>
      <c r="D6411" s="7">
        <v>0.79</v>
      </c>
      <c r="E6411" t="s">
        <v>93</v>
      </c>
    </row>
    <row r="6412" spans="1:5" x14ac:dyDescent="0.25">
      <c r="A6412" t="str">
        <f>HYPERLINK("https://www.773grp.com/globalSearch/MC3346DR2/page-1", "MC3346DR2")</f>
        <v>MC3346DR2</v>
      </c>
      <c r="B6412" s="3" t="str">
        <f>HYPERLINK("https://www.773grp.com/manufacturer/onsemi?pageNo=1019", "Onsemi")</f>
        <v>Onsemi</v>
      </c>
      <c r="C6412" s="6">
        <v>227300</v>
      </c>
      <c r="D6412" s="7">
        <v>0.79</v>
      </c>
      <c r="E6412" t="s">
        <v>93</v>
      </c>
    </row>
    <row r="6413" spans="1:5" x14ac:dyDescent="0.25">
      <c r="A6413" t="str">
        <f>HYPERLINK("https://www.773grp.com/globalSearch/MC34071ADR2/page-1", "MC34071ADR2")</f>
        <v>MC34071ADR2</v>
      </c>
      <c r="B6413" s="3" t="str">
        <f>HYPERLINK("https://www.773grp.com/manufacturer/onsemi?pageNo=1020", "Onsemi")</f>
        <v>Onsemi</v>
      </c>
      <c r="C6413" s="6">
        <v>1820</v>
      </c>
      <c r="D6413" s="7">
        <v>0.79</v>
      </c>
      <c r="E6413" t="s">
        <v>10</v>
      </c>
    </row>
    <row r="6414" spans="1:5" x14ac:dyDescent="0.25">
      <c r="A6414" t="str">
        <f>HYPERLINK("https://www.773grp.com/globalSearch/MC34071DR2/page-1", "MC34071DR2")</f>
        <v>MC34071DR2</v>
      </c>
      <c r="B6414" s="3" t="str">
        <f>HYPERLINK("https://www.773grp.com/manufacturer/onsemi?pageNo=1021", "Onsemi")</f>
        <v>Onsemi</v>
      </c>
      <c r="C6414" s="6">
        <v>25000</v>
      </c>
      <c r="D6414" s="7">
        <v>0.79</v>
      </c>
      <c r="E6414" t="s">
        <v>10</v>
      </c>
    </row>
    <row r="6415" spans="1:5" x14ac:dyDescent="0.25">
      <c r="A6415" t="str">
        <f>HYPERLINK("https://www.773grp.com/globalSearch/MC34072AD/page-1", "MC34072AD")</f>
        <v>MC34072AD</v>
      </c>
      <c r="B6415" s="3" t="str">
        <f>HYPERLINK("https://www.773grp.com/manufacturer/onsemi?pageNo=1022", "Onsemi")</f>
        <v>Onsemi</v>
      </c>
      <c r="C6415" s="6">
        <v>259</v>
      </c>
      <c r="D6415" s="7">
        <v>0.79</v>
      </c>
      <c r="E6415" t="s">
        <v>10</v>
      </c>
    </row>
    <row r="6416" spans="1:5" x14ac:dyDescent="0.25">
      <c r="A6416" t="str">
        <f>HYPERLINK("https://www.773grp.com/globalSearch/MC34072AP/page-1", "MC34072AP")</f>
        <v>MC34072AP</v>
      </c>
      <c r="B6416" s="3" t="str">
        <f>HYPERLINK("https://www.773grp.com/manufacturer/onsemi?pageNo=1023", "Onsemi")</f>
        <v>Onsemi</v>
      </c>
      <c r="C6416" s="6">
        <v>430</v>
      </c>
      <c r="D6416" s="7">
        <v>0.79</v>
      </c>
      <c r="E6416" t="s">
        <v>10</v>
      </c>
    </row>
    <row r="6417" spans="1:5" x14ac:dyDescent="0.25">
      <c r="A6417" t="str">
        <f>HYPERLINK("https://www.773grp.com/globalSearch/MC34072D/page-1", "MC34072D")</f>
        <v>MC34072D</v>
      </c>
      <c r="B6417" s="3" t="str">
        <f>HYPERLINK("https://www.773grp.com/manufacturer/onsemi?pageNo=1024", "Onsemi")</f>
        <v>Onsemi</v>
      </c>
      <c r="C6417" s="6">
        <v>3610</v>
      </c>
      <c r="D6417" s="7">
        <v>0.79</v>
      </c>
      <c r="E6417" t="s">
        <v>10</v>
      </c>
    </row>
    <row r="6418" spans="1:5" x14ac:dyDescent="0.25">
      <c r="A6418" t="str">
        <f>HYPERLINK("https://www.773grp.com/globalSearch/MC34072DR2/page-1", "MC34072DR2")</f>
        <v>MC34072DR2</v>
      </c>
      <c r="B6418" s="3" t="str">
        <f>HYPERLINK("https://www.773grp.com/manufacturer/onsemi?pageNo=1025", "Onsemi")</f>
        <v>Onsemi</v>
      </c>
      <c r="C6418" s="6">
        <v>58401</v>
      </c>
      <c r="D6418" s="7">
        <v>0.79</v>
      </c>
      <c r="E6418" t="s">
        <v>10</v>
      </c>
    </row>
    <row r="6419" spans="1:5" x14ac:dyDescent="0.25">
      <c r="A6419" t="str">
        <f>HYPERLINK("https://www.773grp.com/globalSearch/MC34072P/page-1", "MC34072P")</f>
        <v>MC34072P</v>
      </c>
      <c r="B6419" s="3" t="str">
        <f>HYPERLINK("https://www.773grp.com/manufacturer/onsemi?pageNo=1026", "Onsemi")</f>
        <v>Onsemi</v>
      </c>
      <c r="C6419" s="6">
        <v>2043</v>
      </c>
      <c r="D6419" s="7">
        <v>0.79</v>
      </c>
      <c r="E6419" t="s">
        <v>10</v>
      </c>
    </row>
    <row r="6420" spans="1:5" x14ac:dyDescent="0.25">
      <c r="A6420" t="str">
        <f>HYPERLINK("https://www.773grp.com/globalSearch/MC34262D/page-1", "MC34262D")</f>
        <v>MC34262D</v>
      </c>
      <c r="B6420" s="3" t="str">
        <f>HYPERLINK("https://www.773grp.com/manufacturer/onsemi?pageNo=1027", "Onsemi")</f>
        <v>Onsemi</v>
      </c>
      <c r="C6420" s="6">
        <v>66</v>
      </c>
      <c r="D6420" s="7">
        <v>0.79</v>
      </c>
      <c r="E6420" t="s">
        <v>5</v>
      </c>
    </row>
    <row r="6421" spans="1:5" x14ac:dyDescent="0.25">
      <c r="A6421" t="str">
        <f>HYPERLINK("https://www.773grp.com/globalSearch/MC4558VD/page-1", "MC4558VD")</f>
        <v>MC4558VD</v>
      </c>
      <c r="B6421" s="3" t="str">
        <f>HYPERLINK("https://www.773grp.com/manufacturer/onsemi?pageNo=1028", "Onsemi")</f>
        <v>Onsemi</v>
      </c>
      <c r="C6421" s="6">
        <v>5368</v>
      </c>
      <c r="D6421" s="7">
        <v>0.79</v>
      </c>
      <c r="E6421" t="s">
        <v>10</v>
      </c>
    </row>
    <row r="6422" spans="1:5" x14ac:dyDescent="0.25">
      <c r="A6422" t="str">
        <f>HYPERLINK("https://www.773grp.com/globalSearch/MC74AC138DT/page-1", "MC74AC138DT")</f>
        <v>MC74AC138DT</v>
      </c>
      <c r="B6422" s="3" t="str">
        <f>HYPERLINK("https://www.773grp.com/manufacturer/onsemi?pageNo=1029", "Onsemi")</f>
        <v>Onsemi</v>
      </c>
      <c r="C6422" s="6">
        <v>9216</v>
      </c>
      <c r="D6422" s="7">
        <v>0.79</v>
      </c>
      <c r="E6422" t="s">
        <v>32</v>
      </c>
    </row>
    <row r="6423" spans="1:5" x14ac:dyDescent="0.25">
      <c r="A6423" t="str">
        <f>HYPERLINK("https://www.773grp.com/globalSearch/MC74AC138DT/page-1", "MC74AC138DT")</f>
        <v>MC74AC138DT</v>
      </c>
      <c r="B6423" s="3" t="str">
        <f>HYPERLINK("https://www.773grp.com/manufacturer/onsemi?pageNo=1030", "Onsemi")</f>
        <v>Onsemi</v>
      </c>
      <c r="C6423" s="6">
        <v>3744</v>
      </c>
      <c r="D6423" s="7">
        <v>0.79</v>
      </c>
      <c r="E6423" t="s">
        <v>32</v>
      </c>
    </row>
    <row r="6424" spans="1:5" x14ac:dyDescent="0.25">
      <c r="A6424" t="str">
        <f>HYPERLINK("https://www.773grp.com/globalSearch/MC74AC138ML1/page-1", "MC74AC138ML1")</f>
        <v>MC74AC138ML1</v>
      </c>
      <c r="B6424" s="3" t="str">
        <f>HYPERLINK("https://www.773grp.com/manufacturer/onsemi?pageNo=1031", "Onsemi")</f>
        <v>Onsemi</v>
      </c>
      <c r="C6424" s="6">
        <v>4000</v>
      </c>
      <c r="D6424" s="7">
        <v>0.79</v>
      </c>
    </row>
    <row r="6425" spans="1:5" x14ac:dyDescent="0.25">
      <c r="A6425" t="str">
        <f>HYPERLINK("https://www.773grp.com/globalSearch/MC74AC138MR1/page-1", "MC74AC138MR1")</f>
        <v>MC74AC138MR1</v>
      </c>
      <c r="B6425" s="3" t="str">
        <f>HYPERLINK("https://www.773grp.com/manufacturer/onsemi?pageNo=1032", "Onsemi")</f>
        <v>Onsemi</v>
      </c>
      <c r="C6425" s="6">
        <v>3000</v>
      </c>
      <c r="D6425" s="7">
        <v>0.79</v>
      </c>
      <c r="E6425" t="s">
        <v>32</v>
      </c>
    </row>
    <row r="6426" spans="1:5" x14ac:dyDescent="0.25">
      <c r="A6426" t="str">
        <f>HYPERLINK("https://www.773grp.com/globalSearch/MC74AC139DT/page-1", "MC74AC139DT")</f>
        <v>MC74AC139DT</v>
      </c>
      <c r="B6426" s="3" t="str">
        <f>HYPERLINK("https://www.773grp.com/manufacturer/onsemi?pageNo=1033", "Onsemi")</f>
        <v>Onsemi</v>
      </c>
      <c r="C6426" s="6">
        <v>2688</v>
      </c>
      <c r="D6426" s="7">
        <v>0.79</v>
      </c>
      <c r="E6426" t="s">
        <v>32</v>
      </c>
    </row>
    <row r="6427" spans="1:5" x14ac:dyDescent="0.25">
      <c r="A6427" t="str">
        <f>HYPERLINK("https://www.773grp.com/globalSearch/MC74AC139M/page-1", "MC74AC139M")</f>
        <v>MC74AC139M</v>
      </c>
      <c r="B6427" s="3" t="str">
        <f>HYPERLINK("https://www.773grp.com/manufacturer/onsemi?pageNo=1034", "Onsemi")</f>
        <v>Onsemi</v>
      </c>
      <c r="C6427" s="6">
        <v>250</v>
      </c>
      <c r="D6427" s="7">
        <v>0.79</v>
      </c>
      <c r="E6427" t="s">
        <v>32</v>
      </c>
    </row>
    <row r="6428" spans="1:5" x14ac:dyDescent="0.25">
      <c r="A6428" t="str">
        <f>HYPERLINK("https://www.773grp.com/globalSearch/MC74AC139ML1/page-1", "MC74AC139ML1")</f>
        <v>MC74AC139ML1</v>
      </c>
      <c r="B6428" s="3" t="str">
        <f>HYPERLINK("https://www.773grp.com/manufacturer/onsemi?pageNo=1035", "Onsemi")</f>
        <v>Onsemi</v>
      </c>
      <c r="C6428" s="6">
        <v>9000</v>
      </c>
      <c r="D6428" s="7">
        <v>0.79</v>
      </c>
    </row>
    <row r="6429" spans="1:5" x14ac:dyDescent="0.25">
      <c r="A6429" t="str">
        <f>HYPERLINK("https://www.773grp.com/globalSearch/MC74AC151DR2/page-1", "MC74AC151DR2")</f>
        <v>MC74AC151DR2</v>
      </c>
      <c r="B6429" s="3" t="str">
        <f>HYPERLINK("https://www.773grp.com/manufacturer/onsemi?pageNo=1036", "Onsemi")</f>
        <v>Onsemi</v>
      </c>
      <c r="C6429" s="6">
        <v>12500</v>
      </c>
      <c r="D6429" s="7">
        <v>0.79</v>
      </c>
      <c r="E6429" t="s">
        <v>16</v>
      </c>
    </row>
    <row r="6430" spans="1:5" x14ac:dyDescent="0.25">
      <c r="A6430" t="str">
        <f>HYPERLINK("https://www.773grp.com/globalSearch/MC74AC153D/page-1", "MC74AC153D")</f>
        <v>MC74AC153D</v>
      </c>
      <c r="B6430" s="3" t="str">
        <f>HYPERLINK("https://www.773grp.com/manufacturer/onsemi?pageNo=1037", "Onsemi")</f>
        <v>Onsemi</v>
      </c>
      <c r="C6430" s="6">
        <v>2237</v>
      </c>
      <c r="D6430" s="7">
        <v>0.79</v>
      </c>
      <c r="E6430" t="s">
        <v>16</v>
      </c>
    </row>
    <row r="6431" spans="1:5" x14ac:dyDescent="0.25">
      <c r="A6431" t="str">
        <f>HYPERLINK("https://www.773grp.com/globalSearch/MC74AC157M/page-1", "MC74AC157M")</f>
        <v>MC74AC157M</v>
      </c>
      <c r="B6431" s="3" t="str">
        <f>HYPERLINK("https://www.773grp.com/manufacturer/onsemi?pageNo=1038", "Onsemi")</f>
        <v>Onsemi</v>
      </c>
      <c r="C6431" s="6">
        <v>4200</v>
      </c>
      <c r="D6431" s="7">
        <v>0.79</v>
      </c>
      <c r="E6431" t="s">
        <v>16</v>
      </c>
    </row>
    <row r="6432" spans="1:5" x14ac:dyDescent="0.25">
      <c r="A6432" t="str">
        <f>HYPERLINK("https://www.773grp.com/globalSearch/MC74AC157ML1/page-1", "MC74AC157ML1")</f>
        <v>MC74AC157ML1</v>
      </c>
      <c r="B6432" s="3" t="str">
        <f>HYPERLINK("https://www.773grp.com/manufacturer/onsemi?pageNo=1039", "Onsemi")</f>
        <v>Onsemi</v>
      </c>
      <c r="C6432" s="6">
        <v>5000</v>
      </c>
      <c r="D6432" s="7">
        <v>0.79</v>
      </c>
    </row>
    <row r="6433" spans="1:5" x14ac:dyDescent="0.25">
      <c r="A6433" t="str">
        <f>HYPERLINK("https://www.773grp.com/globalSearch/MC74AC175DR2/page-1", "MC74AC175DR2")</f>
        <v>MC74AC175DR2</v>
      </c>
      <c r="B6433" s="3" t="str">
        <f>HYPERLINK("https://www.773grp.com/manufacturer/onsemi?pageNo=1040", "Onsemi")</f>
        <v>Onsemi</v>
      </c>
      <c r="C6433" s="6">
        <v>15000</v>
      </c>
      <c r="D6433" s="7">
        <v>0.79</v>
      </c>
      <c r="E6433" t="s">
        <v>31</v>
      </c>
    </row>
    <row r="6434" spans="1:5" x14ac:dyDescent="0.25">
      <c r="A6434" t="str">
        <f>HYPERLINK("https://www.773grp.com/globalSearch/MC74AC240M/page-1", "MC74AC240M")</f>
        <v>MC74AC240M</v>
      </c>
      <c r="B6434" s="3" t="str">
        <f>HYPERLINK("https://www.773grp.com/manufacturer/onsemi?pageNo=1041", "Onsemi")</f>
        <v>Onsemi</v>
      </c>
      <c r="C6434" s="6">
        <v>13380</v>
      </c>
      <c r="D6434" s="7">
        <v>0.79</v>
      </c>
      <c r="E6434" t="s">
        <v>11</v>
      </c>
    </row>
    <row r="6435" spans="1:5" x14ac:dyDescent="0.25">
      <c r="A6435" t="str">
        <f>HYPERLINK("https://www.773grp.com/globalSearch/MC74AC240ML1/page-1", "MC74AC240ML1")</f>
        <v>MC74AC240ML1</v>
      </c>
      <c r="B6435" s="3" t="str">
        <f>HYPERLINK("https://www.773grp.com/manufacturer/onsemi?pageNo=1042", "Onsemi")</f>
        <v>Onsemi</v>
      </c>
      <c r="C6435" s="6">
        <v>6000</v>
      </c>
      <c r="D6435" s="7">
        <v>0.79</v>
      </c>
    </row>
    <row r="6436" spans="1:5" x14ac:dyDescent="0.25">
      <c r="A6436" t="str">
        <f>HYPERLINK("https://www.773grp.com/globalSearch/MC74AC244M/page-1", "MC74AC244M")</f>
        <v>MC74AC244M</v>
      </c>
      <c r="B6436" s="3" t="str">
        <f>HYPERLINK("https://www.773grp.com/manufacturer/onsemi?pageNo=1043", "Onsemi")</f>
        <v>Onsemi</v>
      </c>
      <c r="C6436" s="6">
        <v>8170</v>
      </c>
      <c r="D6436" s="7">
        <v>0.79</v>
      </c>
      <c r="E6436" t="s">
        <v>11</v>
      </c>
    </row>
    <row r="6437" spans="1:5" x14ac:dyDescent="0.25">
      <c r="A6437" t="str">
        <f>HYPERLINK("https://www.773grp.com/globalSearch/MC74AC244ML1/page-1", "MC74AC244ML1")</f>
        <v>MC74AC244ML1</v>
      </c>
      <c r="B6437" s="3" t="str">
        <f>HYPERLINK("https://www.773grp.com/manufacturer/onsemi?pageNo=1044", "Onsemi")</f>
        <v>Onsemi</v>
      </c>
      <c r="C6437" s="6">
        <v>59000</v>
      </c>
      <c r="D6437" s="7">
        <v>0.79</v>
      </c>
    </row>
    <row r="6438" spans="1:5" x14ac:dyDescent="0.25">
      <c r="A6438" t="str">
        <f>HYPERLINK("https://www.773grp.com/globalSearch/MC74AC245ML1/page-1", "MC74AC245ML1")</f>
        <v>MC74AC245ML1</v>
      </c>
      <c r="B6438" s="3" t="str">
        <f>HYPERLINK("https://www.773grp.com/manufacturer/onsemi?pageNo=1045", "Onsemi")</f>
        <v>Onsemi</v>
      </c>
      <c r="C6438" s="6">
        <v>8000</v>
      </c>
      <c r="D6438" s="7">
        <v>0.79</v>
      </c>
    </row>
    <row r="6439" spans="1:5" x14ac:dyDescent="0.25">
      <c r="A6439" t="str">
        <f>HYPERLINK("https://www.773grp.com/globalSearch/MC74AC245MR1/page-1", "MC74AC245MR1")</f>
        <v>MC74AC245MR1</v>
      </c>
      <c r="B6439" s="3" t="str">
        <f>HYPERLINK("https://www.773grp.com/manufacturer/onsemi?pageNo=1046", "Onsemi")</f>
        <v>Onsemi</v>
      </c>
      <c r="C6439" s="6">
        <v>5000</v>
      </c>
      <c r="D6439" s="7">
        <v>0.79</v>
      </c>
      <c r="E6439" t="s">
        <v>11</v>
      </c>
    </row>
    <row r="6440" spans="1:5" x14ac:dyDescent="0.25">
      <c r="A6440" t="str">
        <f>HYPERLINK("https://www.773grp.com/globalSearch/MC74AC273M/page-1", "MC74AC273M")</f>
        <v>MC74AC273M</v>
      </c>
      <c r="B6440" s="3" t="str">
        <f>HYPERLINK("https://www.773grp.com/manufacturer/onsemi?pageNo=1047", "Onsemi")</f>
        <v>Onsemi</v>
      </c>
      <c r="C6440" s="6">
        <v>134</v>
      </c>
      <c r="D6440" s="7">
        <v>0.79</v>
      </c>
      <c r="E6440" t="s">
        <v>31</v>
      </c>
    </row>
    <row r="6441" spans="1:5" x14ac:dyDescent="0.25">
      <c r="A6441" t="str">
        <f>HYPERLINK("https://www.773grp.com/globalSearch/MC74AC273ML1/page-1", "MC74AC273ML1")</f>
        <v>MC74AC273ML1</v>
      </c>
      <c r="B6441" s="3" t="str">
        <f>HYPERLINK("https://www.773grp.com/manufacturer/onsemi?pageNo=1048", "Onsemi")</f>
        <v>Onsemi</v>
      </c>
      <c r="C6441" s="6">
        <v>42000</v>
      </c>
      <c r="D6441" s="7">
        <v>0.79</v>
      </c>
    </row>
    <row r="6442" spans="1:5" x14ac:dyDescent="0.25">
      <c r="A6442" t="str">
        <f>HYPERLINK("https://www.773grp.com/globalSearch/MC74AC373M/page-1", "MC74AC373M")</f>
        <v>MC74AC373M</v>
      </c>
      <c r="B6442" s="3" t="str">
        <f>HYPERLINK("https://www.773grp.com/manufacturer/onsemi?pageNo=1049", "Onsemi")</f>
        <v>Onsemi</v>
      </c>
      <c r="C6442" s="6">
        <v>10680</v>
      </c>
      <c r="D6442" s="7">
        <v>0.79</v>
      </c>
      <c r="E6442" t="s">
        <v>11</v>
      </c>
    </row>
    <row r="6443" spans="1:5" x14ac:dyDescent="0.25">
      <c r="A6443" t="str">
        <f>HYPERLINK("https://www.773grp.com/globalSearch/MC74AC373ML1/page-1", "MC74AC373ML1")</f>
        <v>MC74AC373ML1</v>
      </c>
      <c r="B6443" s="3" t="str">
        <f>HYPERLINK("https://www.773grp.com/manufacturer/onsemi?pageNo=1050", "Onsemi")</f>
        <v>Onsemi</v>
      </c>
      <c r="C6443" s="6">
        <v>19000</v>
      </c>
      <c r="D6443" s="7">
        <v>0.79</v>
      </c>
    </row>
    <row r="6444" spans="1:5" x14ac:dyDescent="0.25">
      <c r="A6444" t="str">
        <f>HYPERLINK("https://www.773grp.com/globalSearch/MC74AC374ML1/page-1", "MC74AC374ML1")</f>
        <v>MC74AC374ML1</v>
      </c>
      <c r="B6444" s="3" t="str">
        <f>HYPERLINK("https://www.773grp.com/manufacturer/onsemi?pageNo=1051", "Onsemi")</f>
        <v>Onsemi</v>
      </c>
      <c r="C6444" s="6">
        <v>5000</v>
      </c>
      <c r="D6444" s="7">
        <v>0.79</v>
      </c>
    </row>
    <row r="6445" spans="1:5" x14ac:dyDescent="0.25">
      <c r="A6445" t="str">
        <f>HYPERLINK("https://www.773grp.com/globalSearch/MC74AC573M/page-1", "MC74AC573M")</f>
        <v>MC74AC573M</v>
      </c>
      <c r="B6445" s="3" t="str">
        <f>HYPERLINK("https://www.773grp.com/manufacturer/onsemi?pageNo=1052", "Onsemi")</f>
        <v>Onsemi</v>
      </c>
      <c r="C6445" s="6">
        <v>7480</v>
      </c>
      <c r="D6445" s="7">
        <v>0.79</v>
      </c>
      <c r="E6445" t="s">
        <v>11</v>
      </c>
    </row>
    <row r="6446" spans="1:5" x14ac:dyDescent="0.25">
      <c r="A6446" t="str">
        <f>HYPERLINK("https://www.773grp.com/globalSearch/MC74AC573ML1/page-1", "MC74AC573ML1")</f>
        <v>MC74AC573ML1</v>
      </c>
      <c r="B6446" s="3" t="str">
        <f>HYPERLINK("https://www.773grp.com/manufacturer/onsemi?pageNo=1053", "Onsemi")</f>
        <v>Onsemi</v>
      </c>
      <c r="C6446" s="6">
        <v>1000</v>
      </c>
      <c r="D6446" s="7">
        <v>0.79</v>
      </c>
    </row>
    <row r="6447" spans="1:5" x14ac:dyDescent="0.25">
      <c r="A6447" t="str">
        <f>HYPERLINK("https://www.773grp.com/globalSearch/MC74ACT125M/page-1", "MC74ACT125M")</f>
        <v>MC74ACT125M</v>
      </c>
      <c r="B6447" s="3" t="str">
        <f>HYPERLINK("https://www.773grp.com/manufacturer/onsemi?pageNo=1054", "Onsemi")</f>
        <v>Onsemi</v>
      </c>
      <c r="C6447" s="6">
        <v>9900</v>
      </c>
      <c r="D6447" s="7">
        <v>0.79</v>
      </c>
      <c r="E6447" t="s">
        <v>11</v>
      </c>
    </row>
    <row r="6448" spans="1:5" x14ac:dyDescent="0.25">
      <c r="A6448" t="str">
        <f>HYPERLINK("https://www.773grp.com/globalSearch/MC74ACT125ML1/page-1", "MC74ACT125ML1")</f>
        <v>MC74ACT125ML1</v>
      </c>
      <c r="B6448" s="3" t="str">
        <f>HYPERLINK("https://www.773grp.com/manufacturer/onsemi?pageNo=1055", "Onsemi")</f>
        <v>Onsemi</v>
      </c>
      <c r="C6448" s="6">
        <v>12000</v>
      </c>
      <c r="D6448" s="7">
        <v>0.79</v>
      </c>
      <c r="E6448" t="s">
        <v>11</v>
      </c>
    </row>
    <row r="6449" spans="1:5" x14ac:dyDescent="0.25">
      <c r="A6449" t="str">
        <f>HYPERLINK("https://www.773grp.com/globalSearch/MC74ACT138MEL/page-1", "MC74ACT138MEL")</f>
        <v>MC74ACT138MEL</v>
      </c>
      <c r="B6449" s="3" t="str">
        <f>HYPERLINK("https://www.773grp.com/manufacturer/onsemi?pageNo=1056", "Onsemi")</f>
        <v>Onsemi</v>
      </c>
      <c r="C6449" s="6">
        <v>12000</v>
      </c>
      <c r="D6449" s="7">
        <v>0.79</v>
      </c>
      <c r="E6449" t="s">
        <v>32</v>
      </c>
    </row>
    <row r="6450" spans="1:5" x14ac:dyDescent="0.25">
      <c r="A6450" t="str">
        <f>HYPERLINK("https://www.773grp.com/globalSearch/MC74ACT138ML1/page-1", "MC74ACT138ML1")</f>
        <v>MC74ACT138ML1</v>
      </c>
      <c r="B6450" s="3" t="str">
        <f>HYPERLINK("https://www.773grp.com/manufacturer/onsemi?pageNo=1057", "Onsemi")</f>
        <v>Onsemi</v>
      </c>
      <c r="C6450" s="6">
        <v>6000</v>
      </c>
      <c r="D6450" s="7">
        <v>0.79</v>
      </c>
      <c r="E6450" t="s">
        <v>32</v>
      </c>
    </row>
    <row r="6451" spans="1:5" x14ac:dyDescent="0.25">
      <c r="A6451" t="str">
        <f>HYPERLINK("https://www.773grp.com/globalSearch/MC74ACT139M/page-1", "MC74ACT139M")</f>
        <v>MC74ACT139M</v>
      </c>
      <c r="B6451" s="3" t="str">
        <f>HYPERLINK("https://www.773grp.com/manufacturer/onsemi?pageNo=1058", "Onsemi")</f>
        <v>Onsemi</v>
      </c>
      <c r="C6451" s="6">
        <v>18700</v>
      </c>
      <c r="D6451" s="7">
        <v>0.79</v>
      </c>
      <c r="E6451" t="s">
        <v>32</v>
      </c>
    </row>
    <row r="6452" spans="1:5" x14ac:dyDescent="0.25">
      <c r="A6452" t="str">
        <f>HYPERLINK("https://www.773grp.com/globalSearch/MC74ACT139ML1/page-1", "MC74ACT139ML1")</f>
        <v>MC74ACT139ML1</v>
      </c>
      <c r="B6452" s="3" t="str">
        <f>HYPERLINK("https://www.773grp.com/manufacturer/onsemi?pageNo=1059", "Onsemi")</f>
        <v>Onsemi</v>
      </c>
      <c r="C6452" s="6">
        <v>2000</v>
      </c>
      <c r="D6452" s="7">
        <v>0.79</v>
      </c>
    </row>
    <row r="6453" spans="1:5" x14ac:dyDescent="0.25">
      <c r="A6453" t="str">
        <f>HYPERLINK("https://www.773grp.com/globalSearch/MC74ACT151DR2/page-1", "MC74ACT151DR2")</f>
        <v>MC74ACT151DR2</v>
      </c>
      <c r="B6453" s="3" t="str">
        <f>HYPERLINK("https://www.773grp.com/manufacturer/onsemi?pageNo=1060", "Onsemi")</f>
        <v>Onsemi</v>
      </c>
      <c r="C6453" s="6">
        <v>117500</v>
      </c>
      <c r="D6453" s="7">
        <v>0.79</v>
      </c>
      <c r="E6453" t="s">
        <v>16</v>
      </c>
    </row>
    <row r="6454" spans="1:5" x14ac:dyDescent="0.25">
      <c r="A6454" t="str">
        <f>HYPERLINK("https://www.773grp.com/globalSearch/MC74ACT151M/page-1", "MC74ACT151M")</f>
        <v>MC74ACT151M</v>
      </c>
      <c r="B6454" s="3" t="str">
        <f>HYPERLINK("https://www.773grp.com/manufacturer/onsemi?pageNo=1061", "Onsemi")</f>
        <v>Onsemi</v>
      </c>
      <c r="C6454" s="6">
        <v>4950</v>
      </c>
      <c r="D6454" s="7">
        <v>0.79</v>
      </c>
      <c r="E6454" t="s">
        <v>16</v>
      </c>
    </row>
    <row r="6455" spans="1:5" x14ac:dyDescent="0.25">
      <c r="A6455" t="str">
        <f>HYPERLINK("https://www.773grp.com/globalSearch/MC74ACT151ML1/page-1", "MC74ACT151ML1")</f>
        <v>MC74ACT151ML1</v>
      </c>
      <c r="B6455" s="3" t="str">
        <f>HYPERLINK("https://www.773grp.com/manufacturer/onsemi?pageNo=1062", "Onsemi")</f>
        <v>Onsemi</v>
      </c>
      <c r="C6455" s="6">
        <v>1000</v>
      </c>
      <c r="D6455" s="7">
        <v>0.79</v>
      </c>
    </row>
    <row r="6456" spans="1:5" x14ac:dyDescent="0.25">
      <c r="A6456" t="str">
        <f>HYPERLINK("https://www.773grp.com/globalSearch/MC74ACT153M/page-1", "MC74ACT153M")</f>
        <v>MC74ACT153M</v>
      </c>
      <c r="B6456" s="3" t="str">
        <f>HYPERLINK("https://www.773grp.com/manufacturer/onsemi?pageNo=1063", "Onsemi")</f>
        <v>Onsemi</v>
      </c>
      <c r="C6456" s="6">
        <v>7367</v>
      </c>
      <c r="D6456" s="7">
        <v>0.79</v>
      </c>
      <c r="E6456" t="s">
        <v>16</v>
      </c>
    </row>
    <row r="6457" spans="1:5" x14ac:dyDescent="0.25">
      <c r="A6457" t="str">
        <f>HYPERLINK("https://www.773grp.com/globalSearch/MC74ACT153MEL/page-1", "MC74ACT153MEL")</f>
        <v>MC74ACT153MEL</v>
      </c>
      <c r="B6457" s="3" t="str">
        <f>HYPERLINK("https://www.773grp.com/manufacturer/onsemi?pageNo=1064", "Onsemi")</f>
        <v>Onsemi</v>
      </c>
      <c r="C6457" s="6">
        <v>12000</v>
      </c>
      <c r="D6457" s="7">
        <v>0.79</v>
      </c>
      <c r="E6457" t="s">
        <v>16</v>
      </c>
    </row>
    <row r="6458" spans="1:5" x14ac:dyDescent="0.25">
      <c r="A6458" t="str">
        <f>HYPERLINK("https://www.773grp.com/globalSearch/MC74ACT157ML1/page-1", "MC74ACT157ML1")</f>
        <v>MC74ACT157ML1</v>
      </c>
      <c r="B6458" s="3" t="str">
        <f>HYPERLINK("https://www.773grp.com/manufacturer/onsemi?pageNo=1065", "Onsemi")</f>
        <v>Onsemi</v>
      </c>
      <c r="C6458" s="6">
        <v>29000</v>
      </c>
      <c r="D6458" s="7">
        <v>0.79</v>
      </c>
    </row>
    <row r="6459" spans="1:5" x14ac:dyDescent="0.25">
      <c r="A6459" t="str">
        <f>HYPERLINK("https://www.773grp.com/globalSearch/MC74ACT240ML1/page-1", "MC74ACT240ML1")</f>
        <v>MC74ACT240ML1</v>
      </c>
      <c r="B6459" s="3" t="str">
        <f>HYPERLINK("https://www.773grp.com/manufacturer/onsemi?pageNo=1066", "Onsemi")</f>
        <v>Onsemi</v>
      </c>
      <c r="C6459" s="6">
        <v>9000</v>
      </c>
      <c r="D6459" s="7">
        <v>0.79</v>
      </c>
    </row>
    <row r="6460" spans="1:5" x14ac:dyDescent="0.25">
      <c r="A6460" t="str">
        <f>HYPERLINK("https://www.773grp.com/globalSearch/MC74ACT240MR1/page-1", "MC74ACT240MR1")</f>
        <v>MC74ACT240MR1</v>
      </c>
      <c r="B6460" s="3" t="str">
        <f>HYPERLINK("https://www.773grp.com/manufacturer/onsemi?pageNo=1067", "Onsemi")</f>
        <v>Onsemi</v>
      </c>
      <c r="C6460" s="6">
        <v>6000</v>
      </c>
      <c r="D6460" s="7">
        <v>0.79</v>
      </c>
    </row>
    <row r="6461" spans="1:5" x14ac:dyDescent="0.25">
      <c r="A6461" t="str">
        <f>HYPERLINK("https://www.773grp.com/globalSearch/MC74ACT240MR2/page-1", "MC74ACT240MR2")</f>
        <v>MC74ACT240MR2</v>
      </c>
      <c r="B6461" s="3" t="str">
        <f>HYPERLINK("https://www.773grp.com/manufacturer/onsemi?pageNo=1068", "Onsemi")</f>
        <v>Onsemi</v>
      </c>
      <c r="C6461" s="6">
        <v>10000</v>
      </c>
      <c r="D6461" s="7">
        <v>0.79</v>
      </c>
    </row>
    <row r="6462" spans="1:5" x14ac:dyDescent="0.25">
      <c r="A6462" t="str">
        <f>HYPERLINK("https://www.773grp.com/globalSearch/MC74ACT241M/page-1", "MC74ACT241M")</f>
        <v>MC74ACT241M</v>
      </c>
      <c r="B6462" s="3" t="str">
        <f>HYPERLINK("https://www.773grp.com/manufacturer/onsemi?pageNo=1069", "Onsemi")</f>
        <v>Onsemi</v>
      </c>
      <c r="C6462" s="6">
        <v>16289</v>
      </c>
      <c r="D6462" s="7">
        <v>0.79</v>
      </c>
      <c r="E6462" t="s">
        <v>11</v>
      </c>
    </row>
    <row r="6463" spans="1:5" x14ac:dyDescent="0.25">
      <c r="A6463" t="str">
        <f>HYPERLINK("https://www.773grp.com/globalSearch/MC74ACT244ML1/page-1", "MC74ACT244ML1")</f>
        <v>MC74ACT244ML1</v>
      </c>
      <c r="B6463" s="3" t="str">
        <f>HYPERLINK("https://www.773grp.com/manufacturer/onsemi?pageNo=1070", "Onsemi")</f>
        <v>Onsemi</v>
      </c>
      <c r="C6463" s="6">
        <v>15000</v>
      </c>
      <c r="D6463" s="7">
        <v>0.79</v>
      </c>
    </row>
    <row r="6464" spans="1:5" x14ac:dyDescent="0.25">
      <c r="A6464" t="str">
        <f>HYPERLINK("https://www.773grp.com/globalSearch/MC74ACT244MR2/page-1", "MC74ACT244MR2")</f>
        <v>MC74ACT244MR2</v>
      </c>
      <c r="B6464" s="3" t="str">
        <f>HYPERLINK("https://www.773grp.com/manufacturer/onsemi?pageNo=1071", "Onsemi")</f>
        <v>Onsemi</v>
      </c>
      <c r="C6464" s="6">
        <v>4000</v>
      </c>
      <c r="D6464" s="7">
        <v>0.79</v>
      </c>
      <c r="E6464" t="s">
        <v>11</v>
      </c>
    </row>
    <row r="6465" spans="1:5" x14ac:dyDescent="0.25">
      <c r="A6465" t="str">
        <f>HYPERLINK("https://www.773grp.com/globalSearch/MC74ACT245ML1/page-1", "MC74ACT245ML1")</f>
        <v>MC74ACT245ML1</v>
      </c>
      <c r="B6465" s="3" t="str">
        <f>HYPERLINK("https://www.773grp.com/manufacturer/onsemi?pageNo=1072", "Onsemi")</f>
        <v>Onsemi</v>
      </c>
      <c r="C6465" s="6">
        <v>7750</v>
      </c>
      <c r="D6465" s="7">
        <v>0.79</v>
      </c>
    </row>
    <row r="6466" spans="1:5" x14ac:dyDescent="0.25">
      <c r="A6466" t="str">
        <f>HYPERLINK("https://www.773grp.com/globalSearch/MC74ACT273ML1/page-1", "MC74ACT273ML1")</f>
        <v>MC74ACT273ML1</v>
      </c>
      <c r="B6466" s="3" t="str">
        <f>HYPERLINK("https://www.773grp.com/manufacturer/onsemi?pageNo=1073", "Onsemi")</f>
        <v>Onsemi</v>
      </c>
      <c r="C6466" s="6">
        <v>3800</v>
      </c>
      <c r="D6466" s="7">
        <v>0.79</v>
      </c>
    </row>
    <row r="6467" spans="1:5" x14ac:dyDescent="0.25">
      <c r="A6467" t="str">
        <f>HYPERLINK("https://www.773grp.com/globalSearch/MC74ACT273MR2/page-1", "MC74ACT273MR2")</f>
        <v>MC74ACT273MR2</v>
      </c>
      <c r="B6467" s="3" t="str">
        <f>HYPERLINK("https://www.773grp.com/manufacturer/onsemi?pageNo=1074", "Onsemi")</f>
        <v>Onsemi</v>
      </c>
      <c r="C6467" s="6">
        <v>2000</v>
      </c>
      <c r="D6467" s="7">
        <v>0.79</v>
      </c>
      <c r="E6467" t="s">
        <v>31</v>
      </c>
    </row>
    <row r="6468" spans="1:5" x14ac:dyDescent="0.25">
      <c r="A6468" t="str">
        <f>HYPERLINK("https://www.773grp.com/globalSearch/MC74ACT32N/page-1", "MC74ACT32N")</f>
        <v>MC74ACT32N</v>
      </c>
      <c r="B6468" s="3" t="str">
        <f>HYPERLINK("https://www.773grp.com/manufacturer/onsemi?pageNo=1075", "Onsemi")</f>
        <v>Onsemi</v>
      </c>
      <c r="C6468" s="6">
        <v>7393</v>
      </c>
      <c r="D6468" s="7">
        <v>0.79</v>
      </c>
      <c r="E6468" t="s">
        <v>27</v>
      </c>
    </row>
    <row r="6469" spans="1:5" x14ac:dyDescent="0.25">
      <c r="A6469" t="str">
        <f>HYPERLINK("https://www.773grp.com/globalSearch/MC74ACT373M/page-1", "MC74ACT373M")</f>
        <v>MC74ACT373M</v>
      </c>
      <c r="B6469" s="3" t="str">
        <f>HYPERLINK("https://www.773grp.com/manufacturer/onsemi?pageNo=1076", "Onsemi")</f>
        <v>Onsemi</v>
      </c>
      <c r="C6469" s="6">
        <v>610</v>
      </c>
      <c r="D6469" s="7">
        <v>0.79</v>
      </c>
      <c r="E6469" t="s">
        <v>11</v>
      </c>
    </row>
    <row r="6470" spans="1:5" x14ac:dyDescent="0.25">
      <c r="A6470" t="str">
        <f>HYPERLINK("https://www.773grp.com/globalSearch/MC74ACT373ML1/page-1", "MC74ACT373ML1")</f>
        <v>MC74ACT373ML1</v>
      </c>
      <c r="B6470" s="3" t="str">
        <f>HYPERLINK("https://www.773grp.com/manufacturer/onsemi?pageNo=1077", "Onsemi")</f>
        <v>Onsemi</v>
      </c>
      <c r="C6470" s="6">
        <v>2000</v>
      </c>
      <c r="D6470" s="7">
        <v>0.79</v>
      </c>
    </row>
    <row r="6471" spans="1:5" x14ac:dyDescent="0.25">
      <c r="A6471" t="str">
        <f>HYPERLINK("https://www.773grp.com/globalSearch/MC74ACT373MR2/page-1", "MC74ACT373MR2")</f>
        <v>MC74ACT373MR2</v>
      </c>
      <c r="B6471" s="3" t="str">
        <f>HYPERLINK("https://www.773grp.com/manufacturer/onsemi?pageNo=1078", "Onsemi")</f>
        <v>Onsemi</v>
      </c>
      <c r="C6471" s="6">
        <v>8000</v>
      </c>
      <c r="D6471" s="7">
        <v>0.79</v>
      </c>
      <c r="E6471" t="s">
        <v>11</v>
      </c>
    </row>
    <row r="6472" spans="1:5" x14ac:dyDescent="0.25">
      <c r="A6472" t="str">
        <f>HYPERLINK("https://www.773grp.com/globalSearch/MC74ACT374M/page-1", "MC74ACT374M")</f>
        <v>MC74ACT374M</v>
      </c>
      <c r="B6472" s="3" t="str">
        <f>HYPERLINK("https://www.773grp.com/manufacturer/onsemi?pageNo=1079", "Onsemi")</f>
        <v>Onsemi</v>
      </c>
      <c r="C6472" s="6">
        <v>8740</v>
      </c>
      <c r="D6472" s="7">
        <v>0.79</v>
      </c>
      <c r="E6472" t="s">
        <v>11</v>
      </c>
    </row>
    <row r="6473" spans="1:5" x14ac:dyDescent="0.25">
      <c r="A6473" t="str">
        <f>HYPERLINK("https://www.773grp.com/globalSearch/MC74ACT374ML1/page-1", "MC74ACT374ML1")</f>
        <v>MC74ACT374ML1</v>
      </c>
      <c r="B6473" s="3" t="str">
        <f>HYPERLINK("https://www.773grp.com/manufacturer/onsemi?pageNo=1080", "Onsemi")</f>
        <v>Onsemi</v>
      </c>
      <c r="C6473" s="6">
        <v>6000</v>
      </c>
      <c r="D6473" s="7">
        <v>0.79</v>
      </c>
    </row>
    <row r="6474" spans="1:5" x14ac:dyDescent="0.25">
      <c r="A6474" t="str">
        <f>HYPERLINK("https://www.773grp.com/globalSearch/MC74ACT573M/page-1", "MC74ACT573M")</f>
        <v>MC74ACT573M</v>
      </c>
      <c r="B6474" s="3" t="str">
        <f>HYPERLINK("https://www.773grp.com/manufacturer/onsemi?pageNo=1081", "Onsemi")</f>
        <v>Onsemi</v>
      </c>
      <c r="C6474" s="6">
        <v>15400</v>
      </c>
      <c r="D6474" s="7">
        <v>0.79</v>
      </c>
      <c r="E6474" t="s">
        <v>11</v>
      </c>
    </row>
    <row r="6475" spans="1:5" x14ac:dyDescent="0.25">
      <c r="A6475" t="str">
        <f>HYPERLINK("https://www.773grp.com/globalSearch/MC74ACT574ML1/page-1", "MC74ACT574ML1")</f>
        <v>MC74ACT574ML1</v>
      </c>
      <c r="B6475" s="3" t="str">
        <f>HYPERLINK("https://www.773grp.com/manufacturer/onsemi?pageNo=1082", "Onsemi")</f>
        <v>Onsemi</v>
      </c>
      <c r="C6475" s="6">
        <v>6000</v>
      </c>
      <c r="D6475" s="7">
        <v>0.79</v>
      </c>
    </row>
    <row r="6476" spans="1:5" x14ac:dyDescent="0.25">
      <c r="A6476" t="str">
        <f>HYPERLINK("https://www.773grp.com/globalSearch/MC74CT138MEL/page-1", "MC74CT138MEL")</f>
        <v>MC74CT138MEL</v>
      </c>
      <c r="B6476" s="3" t="str">
        <f>HYPERLINK("https://www.773grp.com/manufacturer/onsemi?pageNo=1083", "Onsemi")</f>
        <v>Onsemi</v>
      </c>
      <c r="C6476" s="6">
        <v>2000</v>
      </c>
      <c r="D6476" s="7">
        <v>0.79</v>
      </c>
    </row>
    <row r="6477" spans="1:5" x14ac:dyDescent="0.25">
      <c r="A6477" t="str">
        <f>HYPERLINK("https://www.773grp.com/globalSearch/MC74F157AD/page-1", "MC74F157AD")</f>
        <v>MC74F157AD</v>
      </c>
      <c r="B6477" s="3" t="str">
        <f>HYPERLINK("https://www.773grp.com/manufacturer/onsemi?pageNo=1084", "Onsemi")</f>
        <v>Onsemi</v>
      </c>
      <c r="C6477" s="6">
        <v>2244</v>
      </c>
      <c r="D6477" s="7">
        <v>0.79</v>
      </c>
      <c r="E6477" t="s">
        <v>16</v>
      </c>
    </row>
    <row r="6478" spans="1:5" x14ac:dyDescent="0.25">
      <c r="A6478" t="str">
        <f>HYPERLINK("https://www.773grp.com/globalSearch/MC74F240DW/page-1", "MC74F240DW")</f>
        <v>MC74F240DW</v>
      </c>
      <c r="B6478" s="3" t="str">
        <f>HYPERLINK("https://www.773grp.com/manufacturer/onsemi?pageNo=1085", "Onsemi")</f>
        <v>Onsemi</v>
      </c>
      <c r="C6478" s="6">
        <v>558</v>
      </c>
      <c r="D6478" s="7">
        <v>0.79</v>
      </c>
      <c r="E6478" t="s">
        <v>11</v>
      </c>
    </row>
    <row r="6479" spans="1:5" x14ac:dyDescent="0.25">
      <c r="A6479" t="str">
        <f>HYPERLINK("https://www.773grp.com/globalSearch/MC74F240M/page-1", "MC74F240M")</f>
        <v>MC74F240M</v>
      </c>
      <c r="B6479" s="3" t="str">
        <f>HYPERLINK("https://www.773grp.com/manufacturer/onsemi?pageNo=1086", "Onsemi")</f>
        <v>Onsemi</v>
      </c>
      <c r="C6479" s="6">
        <v>3181</v>
      </c>
      <c r="D6479" s="7">
        <v>0.79</v>
      </c>
    </row>
    <row r="6480" spans="1:5" x14ac:dyDescent="0.25">
      <c r="A6480" t="str">
        <f>HYPERLINK("https://www.773grp.com/globalSearch/MC74F240ML1/page-1", "MC74F240ML1")</f>
        <v>MC74F240ML1</v>
      </c>
      <c r="B6480" s="3" t="str">
        <f>HYPERLINK("https://www.773grp.com/manufacturer/onsemi?pageNo=1087", "Onsemi")</f>
        <v>Onsemi</v>
      </c>
      <c r="C6480" s="6">
        <v>4000</v>
      </c>
      <c r="D6480" s="7">
        <v>0.79</v>
      </c>
    </row>
    <row r="6481" spans="1:5" x14ac:dyDescent="0.25">
      <c r="A6481" t="str">
        <f>HYPERLINK("https://www.773grp.com/globalSearch/MC74F240MR1/page-1", "MC74F240MR1")</f>
        <v>MC74F240MR1</v>
      </c>
      <c r="B6481" s="3" t="str">
        <f>HYPERLINK("https://www.773grp.com/manufacturer/onsemi?pageNo=1088", "Onsemi")</f>
        <v>Onsemi</v>
      </c>
      <c r="C6481" s="6">
        <v>4000</v>
      </c>
      <c r="D6481" s="7">
        <v>0.79</v>
      </c>
    </row>
    <row r="6482" spans="1:5" x14ac:dyDescent="0.25">
      <c r="A6482" t="str">
        <f>HYPERLINK("https://www.773grp.com/globalSearch/MC74F244DWR2/page-1", "MC74F244DWR2")</f>
        <v>MC74F244DWR2</v>
      </c>
      <c r="B6482" s="3" t="str">
        <f>HYPERLINK("https://www.773grp.com/manufacturer/onsemi?pageNo=1089", "Onsemi")</f>
        <v>Onsemi</v>
      </c>
      <c r="C6482" s="6">
        <v>51000</v>
      </c>
      <c r="D6482" s="7">
        <v>0.79</v>
      </c>
      <c r="E6482" t="s">
        <v>11</v>
      </c>
    </row>
    <row r="6483" spans="1:5" x14ac:dyDescent="0.25">
      <c r="A6483" t="str">
        <f>HYPERLINK("https://www.773grp.com/globalSearch/MC74F280MEL/page-1", "MC74F280MEL")</f>
        <v>MC74F280MEL</v>
      </c>
      <c r="B6483" s="3" t="str">
        <f>HYPERLINK("https://www.773grp.com/manufacturer/onsemi?pageNo=1090", "Onsemi")</f>
        <v>Onsemi</v>
      </c>
      <c r="C6483" s="6">
        <v>2000</v>
      </c>
      <c r="D6483" s="7">
        <v>0.79</v>
      </c>
    </row>
    <row r="6484" spans="1:5" x14ac:dyDescent="0.25">
      <c r="A6484" t="str">
        <f>HYPERLINK("https://www.773grp.com/globalSearch/MC74F280N/page-1", "MC74F280N")</f>
        <v>MC74F280N</v>
      </c>
      <c r="B6484" s="3" t="str">
        <f>HYPERLINK("https://www.773grp.com/manufacturer/onsemi?pageNo=1091", "Onsemi")</f>
        <v>Onsemi</v>
      </c>
      <c r="C6484" s="6">
        <v>35381</v>
      </c>
      <c r="D6484" s="7">
        <v>0.79</v>
      </c>
      <c r="E6484" t="s">
        <v>38</v>
      </c>
    </row>
    <row r="6485" spans="1:5" x14ac:dyDescent="0.25">
      <c r="A6485" t="str">
        <f>HYPERLINK("https://www.773grp.com/globalSearch/MC74F373MR1/page-1", "MC74F373MR1")</f>
        <v>MC74F373MR1</v>
      </c>
      <c r="B6485" s="3" t="str">
        <f>HYPERLINK("https://www.773grp.com/manufacturer/onsemi?pageNo=1092", "Onsemi")</f>
        <v>Onsemi</v>
      </c>
      <c r="C6485" s="6">
        <v>1000</v>
      </c>
      <c r="D6485" s="7">
        <v>0.79</v>
      </c>
    </row>
    <row r="6486" spans="1:5" x14ac:dyDescent="0.25">
      <c r="A6486" t="str">
        <f>HYPERLINK("https://www.773grp.com/globalSearch/MC74F374DR2/page-1", "MC74F374DR2")</f>
        <v>MC74F374DR2</v>
      </c>
      <c r="B6486" s="3" t="str">
        <f>HYPERLINK("https://www.773grp.com/manufacturer/onsemi?pageNo=1093", "Onsemi")</f>
        <v>Onsemi</v>
      </c>
      <c r="C6486" s="6">
        <v>20000</v>
      </c>
      <c r="D6486" s="7">
        <v>0.79</v>
      </c>
    </row>
    <row r="6487" spans="1:5" x14ac:dyDescent="0.25">
      <c r="A6487" t="str">
        <f>HYPERLINK("https://www.773grp.com/globalSearch/MC74F374DW/page-1", "MC74F374DW")</f>
        <v>MC74F374DW</v>
      </c>
      <c r="B6487" s="3" t="str">
        <f>HYPERLINK("https://www.773grp.com/manufacturer/onsemi?pageNo=1094", "Onsemi")</f>
        <v>Onsemi</v>
      </c>
      <c r="C6487" s="6">
        <v>480</v>
      </c>
      <c r="D6487" s="7">
        <v>0.79</v>
      </c>
      <c r="E6487" t="s">
        <v>11</v>
      </c>
    </row>
    <row r="6488" spans="1:5" x14ac:dyDescent="0.25">
      <c r="A6488" t="str">
        <f>HYPERLINK("https://www.773grp.com/globalSearch/MC74HC00AN/page-1", "MC74HC00AN")</f>
        <v>MC74HC00AN</v>
      </c>
      <c r="B6488" s="3" t="str">
        <f>HYPERLINK("https://www.773grp.com/manufacturer/onsemi?pageNo=1095", "Onsemi")</f>
        <v>Onsemi</v>
      </c>
      <c r="C6488" s="6">
        <v>80216</v>
      </c>
      <c r="D6488" s="7">
        <v>0.79</v>
      </c>
      <c r="E6488" t="s">
        <v>27</v>
      </c>
    </row>
    <row r="6489" spans="1:5" x14ac:dyDescent="0.25">
      <c r="A6489" t="str">
        <f>HYPERLINK("https://www.773grp.com/globalSearch/MC74HC00ANG/page-1", "MC74HC00ANG")</f>
        <v>MC74HC00ANG</v>
      </c>
      <c r="B6489" s="3" t="str">
        <f>HYPERLINK("https://www.773grp.com/manufacturer/onsemi?pageNo=1096", "Onsemi")</f>
        <v>Onsemi</v>
      </c>
      <c r="C6489" s="6">
        <v>25931</v>
      </c>
      <c r="D6489" s="7">
        <v>0.79</v>
      </c>
      <c r="E6489" t="s">
        <v>27</v>
      </c>
    </row>
    <row r="6490" spans="1:5" x14ac:dyDescent="0.25">
      <c r="A6490" t="str">
        <f>HYPERLINK("https://www.773grp.com/globalSearch/MC74HC02ANG/page-1", "MC74HC02ANG")</f>
        <v>MC74HC02ANG</v>
      </c>
      <c r="B6490" s="3" t="str">
        <f>HYPERLINK("https://www.773grp.com/manufacturer/onsemi?pageNo=1097", "Onsemi")</f>
        <v>Onsemi</v>
      </c>
      <c r="C6490" s="6">
        <v>2595</v>
      </c>
      <c r="D6490" s="7">
        <v>0.79</v>
      </c>
      <c r="E6490" t="s">
        <v>27</v>
      </c>
    </row>
    <row r="6491" spans="1:5" x14ac:dyDescent="0.25">
      <c r="A6491" t="str">
        <f>HYPERLINK("https://www.773grp.com/globalSearch/MC74HC03ANG/page-1", "MC74HC03ANG")</f>
        <v>MC74HC03ANG</v>
      </c>
      <c r="B6491" s="3" t="str">
        <f>HYPERLINK("https://www.773grp.com/manufacturer/onsemi?pageNo=1098", "Onsemi")</f>
        <v>Onsemi</v>
      </c>
      <c r="C6491" s="6">
        <v>32034</v>
      </c>
      <c r="D6491" s="7">
        <v>0.79</v>
      </c>
      <c r="E6491" t="s">
        <v>27</v>
      </c>
    </row>
    <row r="6492" spans="1:5" x14ac:dyDescent="0.25">
      <c r="A6492" t="str">
        <f>HYPERLINK("https://www.773grp.com/globalSearch/MC74HC04AFEL/page-1", "MC74HC04AFEL")</f>
        <v>MC74HC04AFEL</v>
      </c>
      <c r="B6492" s="3" t="str">
        <f>HYPERLINK("https://www.773grp.com/manufacturer/onsemi?pageNo=1099", "Onsemi")</f>
        <v>Onsemi</v>
      </c>
      <c r="C6492" s="6">
        <v>23392</v>
      </c>
      <c r="D6492" s="7">
        <v>0.79</v>
      </c>
      <c r="E6492" t="s">
        <v>27</v>
      </c>
    </row>
    <row r="6493" spans="1:5" x14ac:dyDescent="0.25">
      <c r="A6493" t="str">
        <f>HYPERLINK("https://www.773grp.com/globalSearch/MC74HC04ANG/page-1", "MC74HC04ANG")</f>
        <v>MC74HC04ANG</v>
      </c>
      <c r="B6493" s="3" t="str">
        <f>HYPERLINK("https://www.773grp.com/manufacturer/onsemi?pageNo=1100", "Onsemi")</f>
        <v>Onsemi</v>
      </c>
      <c r="C6493" s="6">
        <v>406</v>
      </c>
      <c r="D6493" s="7">
        <v>0.79</v>
      </c>
      <c r="E6493" t="s">
        <v>27</v>
      </c>
    </row>
    <row r="6494" spans="1:5" x14ac:dyDescent="0.25">
      <c r="A6494" t="str">
        <f>HYPERLINK("https://www.773grp.com/globalSearch/MC74HC08ANG/page-1", "MC74HC08ANG")</f>
        <v>MC74HC08ANG</v>
      </c>
      <c r="B6494" s="3" t="str">
        <f>HYPERLINK("https://www.773grp.com/manufacturer/onsemi?pageNo=1101", "Onsemi")</f>
        <v>Onsemi</v>
      </c>
      <c r="C6494" s="6">
        <v>4346</v>
      </c>
      <c r="D6494" s="7">
        <v>0.79</v>
      </c>
      <c r="E6494" t="s">
        <v>27</v>
      </c>
    </row>
    <row r="6495" spans="1:5" x14ac:dyDescent="0.25">
      <c r="A6495" t="str">
        <f>HYPERLINK("https://www.773grp.com/globalSearch/MC74HC109D/page-1", "MC74HC109D")</f>
        <v>MC74HC109D</v>
      </c>
      <c r="B6495" s="3" t="str">
        <f>HYPERLINK("https://www.773grp.com/manufacturer/onsemi?pageNo=1102", "Onsemi")</f>
        <v>Onsemi</v>
      </c>
      <c r="C6495" s="6">
        <v>72</v>
      </c>
      <c r="D6495" s="7">
        <v>0.79</v>
      </c>
      <c r="E6495" t="s">
        <v>31</v>
      </c>
    </row>
    <row r="6496" spans="1:5" x14ac:dyDescent="0.25">
      <c r="A6496" t="str">
        <f>HYPERLINK("https://www.773grp.com/globalSearch/MC74HC109N/page-1", "MC74HC109N")</f>
        <v>MC74HC109N</v>
      </c>
      <c r="B6496" s="3" t="str">
        <f>HYPERLINK("https://www.773grp.com/manufacturer/onsemi?pageNo=1103", "Onsemi")</f>
        <v>Onsemi</v>
      </c>
      <c r="C6496" s="6">
        <v>123557</v>
      </c>
      <c r="D6496" s="7">
        <v>0.79</v>
      </c>
      <c r="E6496" t="s">
        <v>31</v>
      </c>
    </row>
    <row r="6497" spans="1:5" x14ac:dyDescent="0.25">
      <c r="A6497" t="str">
        <f>HYPERLINK("https://www.773grp.com/globalSearch/MC74HC112N/page-1", "MC74HC112N")</f>
        <v>MC74HC112N</v>
      </c>
      <c r="B6497" s="3" t="str">
        <f>HYPERLINK("https://www.773grp.com/manufacturer/onsemi?pageNo=1104", "Onsemi")</f>
        <v>Onsemi</v>
      </c>
      <c r="C6497" s="6">
        <v>2044</v>
      </c>
      <c r="D6497" s="7">
        <v>0.79</v>
      </c>
      <c r="E6497" t="s">
        <v>31</v>
      </c>
    </row>
    <row r="6498" spans="1:5" x14ac:dyDescent="0.25">
      <c r="A6498" t="str">
        <f>HYPERLINK("https://www.773grp.com/globalSearch/MC74HC133D/page-1", "MC74HC133D")</f>
        <v>MC74HC133D</v>
      </c>
      <c r="B6498" s="3" t="str">
        <f>HYPERLINK("https://www.773grp.com/manufacturer/onsemi?pageNo=1105", "Onsemi")</f>
        <v>Onsemi</v>
      </c>
      <c r="C6498" s="6">
        <v>2</v>
      </c>
      <c r="D6498" s="7">
        <v>0.79</v>
      </c>
      <c r="E6498" t="s">
        <v>27</v>
      </c>
    </row>
    <row r="6499" spans="1:5" x14ac:dyDescent="0.25">
      <c r="A6499" t="str">
        <f>HYPERLINK("https://www.773grp.com/globalSearch/MC74HC133F/page-1", "MC74HC133F")</f>
        <v>MC74HC133F</v>
      </c>
      <c r="B6499" s="3" t="str">
        <f>HYPERLINK("https://www.773grp.com/manufacturer/onsemi?pageNo=1106", "Onsemi")</f>
        <v>Onsemi</v>
      </c>
      <c r="C6499" s="6">
        <v>880</v>
      </c>
      <c r="D6499" s="7">
        <v>0.79</v>
      </c>
    </row>
    <row r="6500" spans="1:5" x14ac:dyDescent="0.25">
      <c r="A6500" t="str">
        <f>HYPERLINK("https://www.773grp.com/globalSearch/MC74HC133FL1/page-1", "MC74HC133FL1")</f>
        <v>MC74HC133FL1</v>
      </c>
      <c r="B6500" s="3" t="str">
        <f>HYPERLINK("https://www.773grp.com/manufacturer/onsemi?pageNo=1107", "Onsemi")</f>
        <v>Onsemi</v>
      </c>
      <c r="C6500" s="6">
        <v>2000</v>
      </c>
      <c r="D6500" s="7">
        <v>0.79</v>
      </c>
    </row>
    <row r="6501" spans="1:5" x14ac:dyDescent="0.25">
      <c r="A6501" t="str">
        <f>HYPERLINK("https://www.773grp.com/globalSearch/MC74HC151F/page-1", "MC74HC151F")</f>
        <v>MC74HC151F</v>
      </c>
      <c r="B6501" s="3" t="str">
        <f>HYPERLINK("https://www.773grp.com/manufacturer/onsemi?pageNo=1108", "Onsemi")</f>
        <v>Onsemi</v>
      </c>
      <c r="C6501" s="6">
        <v>5551</v>
      </c>
      <c r="D6501" s="7">
        <v>0.79</v>
      </c>
    </row>
    <row r="6502" spans="1:5" x14ac:dyDescent="0.25">
      <c r="A6502" t="str">
        <f>HYPERLINK("https://www.773grp.com/globalSearch/MC74HC151FL1/page-1", "MC74HC151FL1")</f>
        <v>MC74HC151FL1</v>
      </c>
      <c r="B6502" s="3" t="str">
        <f>HYPERLINK("https://www.773grp.com/manufacturer/onsemi?pageNo=1109", "Onsemi")</f>
        <v>Onsemi</v>
      </c>
      <c r="C6502" s="6">
        <v>2000</v>
      </c>
      <c r="D6502" s="7">
        <v>0.79</v>
      </c>
    </row>
    <row r="6503" spans="1:5" x14ac:dyDescent="0.25">
      <c r="A6503" t="str">
        <f>HYPERLINK("https://www.773grp.com/globalSearch/MC74HC165DR2/page-1", "MC74HC165DR2")</f>
        <v>MC74HC165DR2</v>
      </c>
      <c r="B6503" s="3" t="str">
        <f>HYPERLINK("https://www.773grp.com/manufacturer/onsemi?pageNo=1110", "Onsemi")</f>
        <v>Onsemi</v>
      </c>
      <c r="C6503" s="6">
        <v>2500</v>
      </c>
      <c r="D6503" s="7">
        <v>0.79</v>
      </c>
      <c r="E6503" t="s">
        <v>28</v>
      </c>
    </row>
    <row r="6504" spans="1:5" x14ac:dyDescent="0.25">
      <c r="A6504" t="str">
        <f>HYPERLINK("https://www.773grp.com/globalSearch/MC74HC165FL1/page-1", "MC74HC165FL1")</f>
        <v>MC74HC165FL1</v>
      </c>
      <c r="B6504" s="3" t="str">
        <f>HYPERLINK("https://www.773grp.com/manufacturer/onsemi?pageNo=1111", "Onsemi")</f>
        <v>Onsemi</v>
      </c>
      <c r="C6504" s="6">
        <v>3000</v>
      </c>
      <c r="D6504" s="7">
        <v>0.79</v>
      </c>
    </row>
    <row r="6505" spans="1:5" x14ac:dyDescent="0.25">
      <c r="A6505" t="str">
        <f>HYPERLINK("https://www.773grp.com/globalSearch/MC74HC165FR1/page-1", "MC74HC165FR1")</f>
        <v>MC74HC165FR1</v>
      </c>
      <c r="B6505" s="3" t="str">
        <f>HYPERLINK("https://www.773grp.com/manufacturer/onsemi?pageNo=1112", "Onsemi")</f>
        <v>Onsemi</v>
      </c>
      <c r="C6505" s="6">
        <v>1000</v>
      </c>
      <c r="D6505" s="7">
        <v>0.79</v>
      </c>
    </row>
    <row r="6506" spans="1:5" x14ac:dyDescent="0.25">
      <c r="A6506" t="str">
        <f>HYPERLINK("https://www.773grp.com/globalSearch/MC74HC175AFL1/page-1", "MC74HC175AFL1")</f>
        <v>MC74HC175AFL1</v>
      </c>
      <c r="B6506" s="3" t="str">
        <f>HYPERLINK("https://www.773grp.com/manufacturer/onsemi?pageNo=1113", "Onsemi")</f>
        <v>Onsemi</v>
      </c>
      <c r="C6506" s="6">
        <v>6000</v>
      </c>
      <c r="D6506" s="7">
        <v>0.79</v>
      </c>
    </row>
    <row r="6507" spans="1:5" x14ac:dyDescent="0.25">
      <c r="A6507" t="str">
        <f>HYPERLINK("https://www.773grp.com/globalSearch/MC74HC175AFR1/page-1", "MC74HC175AFR1")</f>
        <v>MC74HC175AFR1</v>
      </c>
      <c r="B6507" s="3" t="str">
        <f>HYPERLINK("https://www.773grp.com/manufacturer/onsemi?pageNo=1114", "Onsemi")</f>
        <v>Onsemi</v>
      </c>
      <c r="C6507" s="6">
        <v>5000</v>
      </c>
      <c r="D6507" s="7">
        <v>0.79</v>
      </c>
    </row>
    <row r="6508" spans="1:5" x14ac:dyDescent="0.25">
      <c r="A6508" t="str">
        <f>HYPERLINK("https://www.773grp.com/globalSearch/MC74HC175D/page-1", "MC74HC175D")</f>
        <v>MC74HC175D</v>
      </c>
      <c r="B6508" s="3" t="str">
        <f>HYPERLINK("https://www.773grp.com/manufacturer/onsemi?pageNo=1115", "Onsemi")</f>
        <v>Onsemi</v>
      </c>
      <c r="C6508" s="6">
        <v>7629</v>
      </c>
      <c r="D6508" s="7">
        <v>0.79</v>
      </c>
      <c r="E6508" t="s">
        <v>31</v>
      </c>
    </row>
    <row r="6509" spans="1:5" x14ac:dyDescent="0.25">
      <c r="A6509" t="str">
        <f>HYPERLINK("https://www.773grp.com/globalSearch/MC74HC175DR2/page-1", "MC74HC175DR2")</f>
        <v>MC74HC175DR2</v>
      </c>
      <c r="B6509" s="3" t="str">
        <f>HYPERLINK("https://www.773grp.com/manufacturer/onsemi?pageNo=1116", "Onsemi")</f>
        <v>Onsemi</v>
      </c>
      <c r="C6509" s="6">
        <v>5000</v>
      </c>
      <c r="D6509" s="7">
        <v>0.79</v>
      </c>
      <c r="E6509" t="s">
        <v>31</v>
      </c>
    </row>
    <row r="6510" spans="1:5" x14ac:dyDescent="0.25">
      <c r="A6510" t="str">
        <f>HYPERLINK("https://www.773grp.com/globalSearch/MC74HC175DTR2/page-1", "MC74HC175DTR2")</f>
        <v>MC74HC175DTR2</v>
      </c>
      <c r="B6510" s="3" t="str">
        <f>HYPERLINK("https://www.773grp.com/manufacturer/onsemi?pageNo=1117", "Onsemi")</f>
        <v>Onsemi</v>
      </c>
      <c r="C6510" s="6">
        <v>2500</v>
      </c>
      <c r="D6510" s="7">
        <v>0.79</v>
      </c>
    </row>
    <row r="6511" spans="1:5" x14ac:dyDescent="0.25">
      <c r="A6511" t="str">
        <f>HYPERLINK("https://www.773grp.com/globalSearch/MC74HC175FL2/page-1", "MC74HC175FL2")</f>
        <v>MC74HC175FL2</v>
      </c>
      <c r="B6511" s="3" t="str">
        <f>HYPERLINK("https://www.773grp.com/manufacturer/onsemi?pageNo=1118", "Onsemi")</f>
        <v>Onsemi</v>
      </c>
      <c r="C6511" s="6">
        <v>6000</v>
      </c>
      <c r="D6511" s="7">
        <v>0.79</v>
      </c>
    </row>
    <row r="6512" spans="1:5" x14ac:dyDescent="0.25">
      <c r="A6512" t="str">
        <f>HYPERLINK("https://www.773grp.com/globalSearch/MC74HC175N/page-1", "MC74HC175N")</f>
        <v>MC74HC175N</v>
      </c>
      <c r="B6512" s="3" t="str">
        <f>HYPERLINK("https://www.773grp.com/manufacturer/onsemi?pageNo=1119", "Onsemi")</f>
        <v>Onsemi</v>
      </c>
      <c r="C6512" s="6">
        <v>791</v>
      </c>
      <c r="D6512" s="7">
        <v>0.79</v>
      </c>
      <c r="E6512" t="s">
        <v>31</v>
      </c>
    </row>
    <row r="6513" spans="1:5" x14ac:dyDescent="0.25">
      <c r="A6513" t="str">
        <f>HYPERLINK("https://www.773grp.com/globalSearch/MC74HC237F/page-1", "MC74HC237F")</f>
        <v>MC74HC237F</v>
      </c>
      <c r="B6513" s="3" t="str">
        <f>HYPERLINK("https://www.773grp.com/manufacturer/onsemi?pageNo=1120", "Onsemi")</f>
        <v>Onsemi</v>
      </c>
      <c r="C6513" s="6">
        <v>50</v>
      </c>
      <c r="D6513" s="7">
        <v>0.79</v>
      </c>
    </row>
    <row r="6514" spans="1:5" x14ac:dyDescent="0.25">
      <c r="A6514" t="str">
        <f>HYPERLINK("https://www.773grp.com/globalSearch/MC74HC237FEL/page-1", "MC74HC237FEL")</f>
        <v>MC74HC237FEL</v>
      </c>
      <c r="B6514" s="3" t="str">
        <f>HYPERLINK("https://www.773grp.com/manufacturer/onsemi?pageNo=1121", "Onsemi")</f>
        <v>Onsemi</v>
      </c>
      <c r="C6514" s="6">
        <v>46000</v>
      </c>
      <c r="D6514" s="7">
        <v>0.79</v>
      </c>
    </row>
    <row r="6515" spans="1:5" x14ac:dyDescent="0.25">
      <c r="A6515" t="str">
        <f>HYPERLINK("https://www.773grp.com/globalSearch/MC74HC237FR2/page-1", "MC74HC237FR2")</f>
        <v>MC74HC237FR2</v>
      </c>
      <c r="B6515" s="3" t="str">
        <f>HYPERLINK("https://www.773grp.com/manufacturer/onsemi?pageNo=1122", "Onsemi")</f>
        <v>Onsemi</v>
      </c>
      <c r="C6515" s="6">
        <v>2000</v>
      </c>
      <c r="D6515" s="7">
        <v>0.79</v>
      </c>
    </row>
    <row r="6516" spans="1:5" x14ac:dyDescent="0.25">
      <c r="A6516" t="str">
        <f>HYPERLINK("https://www.773grp.com/globalSearch/MC74HC237N/page-1", "MC74HC237N")</f>
        <v>MC74HC237N</v>
      </c>
      <c r="B6516" s="3" t="str">
        <f>HYPERLINK("https://www.773grp.com/manufacturer/onsemi?pageNo=1123", "Onsemi")</f>
        <v>Onsemi</v>
      </c>
      <c r="C6516" s="6">
        <v>512</v>
      </c>
      <c r="D6516" s="7">
        <v>0.79</v>
      </c>
      <c r="E6516" t="s">
        <v>32</v>
      </c>
    </row>
    <row r="6517" spans="1:5" x14ac:dyDescent="0.25">
      <c r="A6517" t="str">
        <f>HYPERLINK("https://www.773grp.com/globalSearch/MC74HC240AF/page-1", "MC74HC240AF")</f>
        <v>MC74HC240AF</v>
      </c>
      <c r="B6517" s="3" t="str">
        <f>HYPERLINK("https://www.773grp.com/manufacturer/onsemi?pageNo=1124", "Onsemi")</f>
        <v>Onsemi</v>
      </c>
      <c r="C6517" s="6">
        <v>10257</v>
      </c>
      <c r="D6517" s="7">
        <v>0.79</v>
      </c>
      <c r="E6517" t="s">
        <v>11</v>
      </c>
    </row>
    <row r="6518" spans="1:5" x14ac:dyDescent="0.25">
      <c r="A6518" t="str">
        <f>HYPERLINK("https://www.773grp.com/globalSearch/MC74HC240AFL1/page-1", "MC74HC240AFL1")</f>
        <v>MC74HC240AFL1</v>
      </c>
      <c r="B6518" s="3" t="str">
        <f>HYPERLINK("https://www.773grp.com/manufacturer/onsemi?pageNo=1125", "Onsemi")</f>
        <v>Onsemi</v>
      </c>
      <c r="C6518" s="6">
        <v>4000</v>
      </c>
      <c r="D6518" s="7">
        <v>0.79</v>
      </c>
    </row>
    <row r="6519" spans="1:5" x14ac:dyDescent="0.25">
      <c r="A6519" t="str">
        <f>HYPERLINK("https://www.773grp.com/globalSearch/MC74HC240AFL2/page-1", "MC74HC240AFL2")</f>
        <v>MC74HC240AFL2</v>
      </c>
      <c r="B6519" s="3" t="str">
        <f>HYPERLINK("https://www.773grp.com/manufacturer/onsemi?pageNo=1126", "Onsemi")</f>
        <v>Onsemi</v>
      </c>
      <c r="C6519" s="6">
        <v>8000</v>
      </c>
      <c r="D6519" s="7">
        <v>0.79</v>
      </c>
    </row>
    <row r="6520" spans="1:5" x14ac:dyDescent="0.25">
      <c r="A6520" t="str">
        <f>HYPERLINK("https://www.773grp.com/globalSearch/MC74HC241AF/page-1", "MC74HC241AF")</f>
        <v>MC74HC241AF</v>
      </c>
      <c r="B6520" s="3" t="str">
        <f>HYPERLINK("https://www.773grp.com/manufacturer/onsemi?pageNo=1127", "Onsemi")</f>
        <v>Onsemi</v>
      </c>
      <c r="C6520" s="6">
        <v>2747</v>
      </c>
      <c r="D6520" s="7">
        <v>0.79</v>
      </c>
    </row>
    <row r="6521" spans="1:5" x14ac:dyDescent="0.25">
      <c r="A6521" t="str">
        <f>HYPERLINK("https://www.773grp.com/globalSearch/MC74HC241AFEL/page-1", "MC74HC241AFEL")</f>
        <v>MC74HC241AFEL</v>
      </c>
      <c r="B6521" s="3" t="str">
        <f>HYPERLINK("https://www.773grp.com/manufacturer/onsemi?pageNo=1128", "Onsemi")</f>
        <v>Onsemi</v>
      </c>
      <c r="C6521" s="6">
        <v>2000</v>
      </c>
      <c r="D6521" s="7">
        <v>0.79</v>
      </c>
    </row>
    <row r="6522" spans="1:5" x14ac:dyDescent="0.25">
      <c r="A6522" t="str">
        <f>HYPERLINK("https://www.773grp.com/globalSearch/MC74HC241AFR1/page-1", "MC74HC241AFR1")</f>
        <v>MC74HC241AFR1</v>
      </c>
      <c r="B6522" s="3" t="str">
        <f>HYPERLINK("https://www.773grp.com/manufacturer/onsemi?pageNo=1129", "Onsemi")</f>
        <v>Onsemi</v>
      </c>
      <c r="C6522" s="6">
        <v>1000</v>
      </c>
      <c r="D6522" s="7">
        <v>0.79</v>
      </c>
    </row>
    <row r="6523" spans="1:5" x14ac:dyDescent="0.25">
      <c r="A6523" t="str">
        <f>HYPERLINK("https://www.773grp.com/globalSearch/MC74HC241AH/page-1", "MC74HC241AH")</f>
        <v>MC74HC241AH</v>
      </c>
      <c r="B6523" s="3" t="str">
        <f>HYPERLINK("https://www.773grp.com/manufacturer/onsemi?pageNo=1130", "Onsemi")</f>
        <v>Onsemi</v>
      </c>
      <c r="C6523" s="6">
        <v>261</v>
      </c>
      <c r="D6523" s="7">
        <v>0.79</v>
      </c>
    </row>
    <row r="6524" spans="1:5" x14ac:dyDescent="0.25">
      <c r="A6524" t="str">
        <f>HYPERLINK("https://www.773grp.com/globalSearch/MC74HC241AN/page-1", "MC74HC241AN")</f>
        <v>MC74HC241AN</v>
      </c>
      <c r="B6524" s="3" t="str">
        <f>HYPERLINK("https://www.773grp.com/manufacturer/onsemi?pageNo=1131", "Onsemi")</f>
        <v>Onsemi</v>
      </c>
      <c r="C6524" s="6">
        <v>35194</v>
      </c>
      <c r="D6524" s="7">
        <v>0.79</v>
      </c>
      <c r="E6524" t="s">
        <v>11</v>
      </c>
    </row>
    <row r="6525" spans="1:5" x14ac:dyDescent="0.25">
      <c r="A6525" t="str">
        <f>HYPERLINK("https://www.773grp.com/globalSearch/MC74HC244ADTEL/page-1", "MC74HC244ADTEL")</f>
        <v>MC74HC244ADTEL</v>
      </c>
      <c r="B6525" s="3" t="str">
        <f>HYPERLINK("https://www.773grp.com/manufacturer/onsemi?pageNo=1132", "Onsemi")</f>
        <v>Onsemi</v>
      </c>
      <c r="C6525" s="6">
        <v>105750</v>
      </c>
      <c r="D6525" s="7">
        <v>0.79</v>
      </c>
    </row>
    <row r="6526" spans="1:5" x14ac:dyDescent="0.25">
      <c r="A6526" t="str">
        <f>HYPERLINK("https://www.773grp.com/globalSearch/MC74HC244ADTEL/page-1", "MC74HC244ADTEL")</f>
        <v>MC74HC244ADTEL</v>
      </c>
      <c r="B6526" s="3" t="str">
        <f>HYPERLINK("https://www.773grp.com/manufacturer/onsemi?pageNo=1133", "Onsemi")</f>
        <v>Onsemi</v>
      </c>
      <c r="C6526" s="6">
        <v>45686</v>
      </c>
      <c r="D6526" s="7">
        <v>0.79</v>
      </c>
    </row>
    <row r="6527" spans="1:5" x14ac:dyDescent="0.25">
      <c r="A6527" t="str">
        <f>HYPERLINK("https://www.773grp.com/globalSearch/MC74HC244AFL1/page-1", "MC74HC244AFL1")</f>
        <v>MC74HC244AFL1</v>
      </c>
      <c r="B6527" s="3" t="str">
        <f>HYPERLINK("https://www.773grp.com/manufacturer/onsemi?pageNo=1134", "Onsemi")</f>
        <v>Onsemi</v>
      </c>
      <c r="C6527" s="6">
        <v>15955</v>
      </c>
      <c r="D6527" s="7">
        <v>0.79</v>
      </c>
    </row>
    <row r="6528" spans="1:5" x14ac:dyDescent="0.25">
      <c r="A6528" t="str">
        <f>HYPERLINK("https://www.773grp.com/globalSearch/MC74HC244AFL2/page-1", "MC74HC244AFL2")</f>
        <v>MC74HC244AFL2</v>
      </c>
      <c r="B6528" s="3" t="str">
        <f>HYPERLINK("https://www.773grp.com/manufacturer/onsemi?pageNo=1135", "Onsemi")</f>
        <v>Onsemi</v>
      </c>
      <c r="C6528" s="6">
        <v>6000</v>
      </c>
      <c r="D6528" s="7">
        <v>0.79</v>
      </c>
    </row>
    <row r="6529" spans="1:5" x14ac:dyDescent="0.25">
      <c r="A6529" t="str">
        <f>HYPERLINK("https://www.773grp.com/globalSearch/MC74HC244AFR1/page-1", "MC74HC244AFR1")</f>
        <v>MC74HC244AFR1</v>
      </c>
      <c r="B6529" s="3" t="str">
        <f>HYPERLINK("https://www.773grp.com/manufacturer/onsemi?pageNo=1136", "Onsemi")</f>
        <v>Onsemi</v>
      </c>
      <c r="C6529" s="6">
        <v>26000</v>
      </c>
      <c r="D6529" s="7">
        <v>0.79</v>
      </c>
    </row>
    <row r="6530" spans="1:5" x14ac:dyDescent="0.25">
      <c r="A6530" t="str">
        <f>HYPERLINK("https://www.773grp.com/globalSearch/MC74HC244AFR2/page-1", "MC74HC244AFR2")</f>
        <v>MC74HC244AFR2</v>
      </c>
      <c r="B6530" s="3" t="str">
        <f>HYPERLINK("https://www.773grp.com/manufacturer/onsemi?pageNo=1137", "Onsemi")</f>
        <v>Onsemi</v>
      </c>
      <c r="C6530" s="6">
        <v>4000</v>
      </c>
      <c r="D6530" s="7">
        <v>0.79</v>
      </c>
    </row>
    <row r="6531" spans="1:5" x14ac:dyDescent="0.25">
      <c r="A6531" t="str">
        <f>HYPERLINK("https://www.773grp.com/globalSearch/MC74HC244AH/page-1", "MC74HC244AH")</f>
        <v>MC74HC244AH</v>
      </c>
      <c r="B6531" s="3" t="str">
        <f>HYPERLINK("https://www.773grp.com/manufacturer/onsemi?pageNo=1138", "Onsemi")</f>
        <v>Onsemi</v>
      </c>
      <c r="C6531" s="6">
        <v>720</v>
      </c>
      <c r="D6531" s="7">
        <v>0.79</v>
      </c>
    </row>
    <row r="6532" spans="1:5" x14ac:dyDescent="0.25">
      <c r="A6532" t="str">
        <f>HYPERLINK("https://www.773grp.com/globalSearch/MC74HC245ADTEL/page-1", "MC74HC245ADTEL")</f>
        <v>MC74HC245ADTEL</v>
      </c>
      <c r="B6532" s="3" t="str">
        <f>HYPERLINK("https://www.773grp.com/manufacturer/onsemi?pageNo=1139", "Onsemi")</f>
        <v>Onsemi</v>
      </c>
      <c r="C6532" s="6">
        <v>7000</v>
      </c>
      <c r="D6532" s="7">
        <v>0.79</v>
      </c>
    </row>
    <row r="6533" spans="1:5" x14ac:dyDescent="0.25">
      <c r="A6533" t="str">
        <f>HYPERLINK("https://www.773grp.com/globalSearch/MC74HC245AFL1/page-1", "MC74HC245AFL1")</f>
        <v>MC74HC245AFL1</v>
      </c>
      <c r="B6533" s="3" t="str">
        <f>HYPERLINK("https://www.773grp.com/manufacturer/onsemi?pageNo=1140", "Onsemi")</f>
        <v>Onsemi</v>
      </c>
      <c r="C6533" s="6">
        <v>3000</v>
      </c>
      <c r="D6533" s="7">
        <v>0.79</v>
      </c>
    </row>
    <row r="6534" spans="1:5" x14ac:dyDescent="0.25">
      <c r="A6534" t="str">
        <f>HYPERLINK("https://www.773grp.com/globalSearch/MC74HC251D/page-1", "MC74HC251D")</f>
        <v>MC74HC251D</v>
      </c>
      <c r="B6534" s="3" t="str">
        <f>HYPERLINK("https://www.773grp.com/manufacturer/onsemi?pageNo=1141", "Onsemi")</f>
        <v>Onsemi</v>
      </c>
      <c r="C6534" s="6">
        <v>2422</v>
      </c>
      <c r="D6534" s="7">
        <v>0.79</v>
      </c>
      <c r="E6534" t="s">
        <v>16</v>
      </c>
    </row>
    <row r="6535" spans="1:5" x14ac:dyDescent="0.25">
      <c r="A6535" t="str">
        <f>HYPERLINK("https://www.773grp.com/globalSearch/MC74HC32ANG/page-1", "MC74HC32ANG")</f>
        <v>MC74HC32ANG</v>
      </c>
      <c r="B6535" s="3" t="str">
        <f>HYPERLINK("https://www.773grp.com/manufacturer/onsemi?pageNo=1142", "Onsemi")</f>
        <v>Onsemi</v>
      </c>
      <c r="C6535" s="6">
        <v>24048</v>
      </c>
      <c r="D6535" s="7">
        <v>0.79</v>
      </c>
      <c r="E6535" t="s">
        <v>27</v>
      </c>
    </row>
    <row r="6536" spans="1:5" x14ac:dyDescent="0.25">
      <c r="A6536" t="str">
        <f>HYPERLINK("https://www.773grp.com/globalSearch/MC74HC373AFL1/page-1", "MC74HC373AFL1")</f>
        <v>MC74HC373AFL1</v>
      </c>
      <c r="B6536" s="3" t="str">
        <f>HYPERLINK("https://www.773grp.com/manufacturer/onsemi?pageNo=1143", "Onsemi")</f>
        <v>Onsemi</v>
      </c>
      <c r="C6536" s="6">
        <v>17000</v>
      </c>
      <c r="D6536" s="7">
        <v>0.79</v>
      </c>
    </row>
    <row r="6537" spans="1:5" x14ac:dyDescent="0.25">
      <c r="A6537" t="str">
        <f>HYPERLINK("https://www.773grp.com/globalSearch/MC74HC373AFR1/page-1", "MC74HC373AFR1")</f>
        <v>MC74HC373AFR1</v>
      </c>
      <c r="B6537" s="3" t="str">
        <f>HYPERLINK("https://www.773grp.com/manufacturer/onsemi?pageNo=1144", "Onsemi")</f>
        <v>Onsemi</v>
      </c>
      <c r="C6537" s="6">
        <v>11000</v>
      </c>
      <c r="D6537" s="7">
        <v>0.79</v>
      </c>
      <c r="E6537" t="s">
        <v>11</v>
      </c>
    </row>
    <row r="6538" spans="1:5" x14ac:dyDescent="0.25">
      <c r="A6538" t="str">
        <f>HYPERLINK("https://www.773grp.com/globalSearch/MC74HC374AFL1/page-1", "MC74HC374AFL1")</f>
        <v>MC74HC374AFL1</v>
      </c>
      <c r="B6538" s="3" t="str">
        <f>HYPERLINK("https://www.773grp.com/manufacturer/onsemi?pageNo=1145", "Onsemi")</f>
        <v>Onsemi</v>
      </c>
      <c r="C6538" s="6">
        <v>5000</v>
      </c>
      <c r="D6538" s="7">
        <v>0.79</v>
      </c>
    </row>
    <row r="6539" spans="1:5" x14ac:dyDescent="0.25">
      <c r="A6539" t="str">
        <f>HYPERLINK("https://www.773grp.com/globalSearch/MC74HC374AFL2/page-1", "MC74HC374AFL2")</f>
        <v>MC74HC374AFL2</v>
      </c>
      <c r="B6539" s="3" t="str">
        <f>HYPERLINK("https://www.773grp.com/manufacturer/onsemi?pageNo=1146", "Onsemi")</f>
        <v>Onsemi</v>
      </c>
      <c r="C6539" s="6">
        <v>8000</v>
      </c>
      <c r="D6539" s="7">
        <v>0.79</v>
      </c>
    </row>
    <row r="6540" spans="1:5" x14ac:dyDescent="0.25">
      <c r="A6540" t="str">
        <f>HYPERLINK("https://www.773grp.com/globalSearch/MC74HC374AFR1/page-1", "MC74HC374AFR1")</f>
        <v>MC74HC374AFR1</v>
      </c>
      <c r="B6540" s="3" t="str">
        <f>HYPERLINK("https://www.773grp.com/manufacturer/onsemi?pageNo=1147", "Onsemi")</f>
        <v>Onsemi</v>
      </c>
      <c r="C6540" s="6">
        <v>5000</v>
      </c>
      <c r="D6540" s="7">
        <v>0.79</v>
      </c>
    </row>
    <row r="6541" spans="1:5" x14ac:dyDescent="0.25">
      <c r="A6541" t="str">
        <f>HYPERLINK("https://www.773grp.com/globalSearch/MC74HC374AFR2/page-1", "MC74HC374AFR2")</f>
        <v>MC74HC374AFR2</v>
      </c>
      <c r="B6541" s="3" t="str">
        <f>HYPERLINK("https://www.773grp.com/manufacturer/onsemi?pageNo=1148", "Onsemi")</f>
        <v>Onsemi</v>
      </c>
      <c r="C6541" s="6">
        <v>2000</v>
      </c>
      <c r="D6541" s="7">
        <v>0.79</v>
      </c>
    </row>
    <row r="6542" spans="1:5" x14ac:dyDescent="0.25">
      <c r="A6542" t="str">
        <f>HYPERLINK("https://www.773grp.com/globalSearch/MC74HC4040ADG/page-1", "MC74HC4040ADG")</f>
        <v>MC74HC4040ADG</v>
      </c>
      <c r="B6542" s="3" t="str">
        <f>HYPERLINK("https://www.773grp.com/manufacturer/onsemi?pageNo=1149", "Onsemi")</f>
        <v>Onsemi</v>
      </c>
      <c r="C6542" s="6">
        <v>17716</v>
      </c>
      <c r="D6542" s="7">
        <v>0.79</v>
      </c>
      <c r="E6542" t="s">
        <v>22</v>
      </c>
    </row>
    <row r="6543" spans="1:5" x14ac:dyDescent="0.25">
      <c r="A6543" t="str">
        <f>HYPERLINK("https://www.773grp.com/globalSearch/MC74HC4040ADR2/page-1", "MC74HC4040ADR2")</f>
        <v>MC74HC4040ADR2</v>
      </c>
      <c r="B6543" s="3" t="str">
        <f>HYPERLINK("https://www.773grp.com/manufacturer/onsemi?pageNo=1150", "Onsemi")</f>
        <v>Onsemi</v>
      </c>
      <c r="C6543" s="6">
        <v>12500</v>
      </c>
      <c r="D6543" s="7">
        <v>0.79</v>
      </c>
      <c r="E6543" t="s">
        <v>22</v>
      </c>
    </row>
    <row r="6544" spans="1:5" x14ac:dyDescent="0.25">
      <c r="A6544" t="str">
        <f>HYPERLINK("https://www.773grp.com/globalSearch/MC74HC4040ADR2G/page-1", "MC74HC4040ADR2G")</f>
        <v>MC74HC4040ADR2G</v>
      </c>
      <c r="B6544" s="3" t="str">
        <f>HYPERLINK("https://www.773grp.com/manufacturer/onsemi?pageNo=1151", "Onsemi")</f>
        <v>Onsemi</v>
      </c>
      <c r="C6544" s="6">
        <v>37315</v>
      </c>
      <c r="D6544" s="7">
        <v>0.79</v>
      </c>
      <c r="E6544" t="s">
        <v>22</v>
      </c>
    </row>
    <row r="6545" spans="1:5" x14ac:dyDescent="0.25">
      <c r="A6545" t="str">
        <f>HYPERLINK("https://www.773grp.com/globalSearch/MC74HC4040ADTR2G/page-1", "MC74HC4040ADTR2G")</f>
        <v>MC74HC4040ADTR2G</v>
      </c>
      <c r="B6545" s="3" t="str">
        <f>HYPERLINK("https://www.773grp.com/manufacturer/onsemi?pageNo=1152", "Onsemi")</f>
        <v>Onsemi</v>
      </c>
      <c r="C6545" s="6">
        <v>7500</v>
      </c>
      <c r="D6545" s="7">
        <v>0.79</v>
      </c>
      <c r="E6545" t="s">
        <v>22</v>
      </c>
    </row>
    <row r="6546" spans="1:5" x14ac:dyDescent="0.25">
      <c r="A6546" t="str">
        <f>HYPERLINK("https://www.773grp.com/globalSearch/MC74HC4060ADG/page-1", "MC74HC4060ADG")</f>
        <v>MC74HC4060ADG</v>
      </c>
      <c r="B6546" s="3" t="str">
        <f>HYPERLINK("https://www.773grp.com/manufacturer/onsemi?pageNo=1153", "Onsemi")</f>
        <v>Onsemi</v>
      </c>
      <c r="C6546" s="6">
        <v>9752</v>
      </c>
      <c r="D6546" s="7">
        <v>0.79</v>
      </c>
      <c r="E6546" t="s">
        <v>22</v>
      </c>
    </row>
    <row r="6547" spans="1:5" x14ac:dyDescent="0.25">
      <c r="A6547" t="str">
        <f>HYPERLINK("https://www.773grp.com/globalSearch/MC74HC4060ADR2G/page-1", "MC74HC4060ADR2G")</f>
        <v>MC74HC4060ADR2G</v>
      </c>
      <c r="B6547" s="3" t="str">
        <f>HYPERLINK("https://www.773grp.com/manufacturer/onsemi?pageNo=1154", "Onsemi")</f>
        <v>Onsemi</v>
      </c>
      <c r="C6547" s="6">
        <v>24385</v>
      </c>
      <c r="D6547" s="7">
        <v>0.79</v>
      </c>
      <c r="E6547" t="s">
        <v>22</v>
      </c>
    </row>
    <row r="6548" spans="1:5" x14ac:dyDescent="0.25">
      <c r="A6548" t="str">
        <f>HYPERLINK("https://www.773grp.com/globalSearch/MC74HC4060ADTG/page-1", "MC74HC4060ADTG")</f>
        <v>MC74HC4060ADTG</v>
      </c>
      <c r="B6548" s="3" t="str">
        <f>HYPERLINK("https://www.773grp.com/manufacturer/onsemi?pageNo=1155", "Onsemi")</f>
        <v>Onsemi</v>
      </c>
      <c r="C6548" s="6">
        <v>1790</v>
      </c>
      <c r="D6548" s="7">
        <v>0.79</v>
      </c>
      <c r="E6548" t="s">
        <v>22</v>
      </c>
    </row>
    <row r="6549" spans="1:5" x14ac:dyDescent="0.25">
      <c r="A6549" t="str">
        <f>HYPERLINK("https://www.773grp.com/globalSearch/MC74HC4060ADTR2G/page-1", "MC74HC4060ADTR2G")</f>
        <v>MC74HC4060ADTR2G</v>
      </c>
      <c r="B6549" s="3" t="str">
        <f>HYPERLINK("https://www.773grp.com/manufacturer/onsemi?pageNo=1156", "Onsemi")</f>
        <v>Onsemi</v>
      </c>
      <c r="C6549" s="6">
        <v>2500</v>
      </c>
      <c r="D6549" s="7">
        <v>0.79</v>
      </c>
    </row>
    <row r="6550" spans="1:5" x14ac:dyDescent="0.25">
      <c r="A6550" t="str">
        <f>HYPERLINK("https://www.773grp.com/globalSearch/MC74HC4060AF/page-1", "MC74HC4060AF")</f>
        <v>MC74HC4060AF</v>
      </c>
      <c r="B6550" s="3" t="str">
        <f>HYPERLINK("https://www.773grp.com/manufacturer/onsemi?pageNo=1157", "Onsemi")</f>
        <v>Onsemi</v>
      </c>
      <c r="C6550" s="6">
        <v>960</v>
      </c>
      <c r="D6550" s="7">
        <v>0.79</v>
      </c>
    </row>
    <row r="6551" spans="1:5" x14ac:dyDescent="0.25">
      <c r="A6551" t="str">
        <f>HYPERLINK("https://www.773grp.com/globalSearch/MC74HC4066DT/page-1", "MC74HC4066DT")</f>
        <v>MC74HC4066DT</v>
      </c>
      <c r="B6551" s="3" t="str">
        <f>HYPERLINK("https://www.773grp.com/manufacturer/onsemi?pageNo=1158", "Onsemi")</f>
        <v>Onsemi</v>
      </c>
      <c r="C6551" s="6">
        <v>1056</v>
      </c>
      <c r="D6551" s="7">
        <v>0.79</v>
      </c>
      <c r="E6551" t="s">
        <v>46</v>
      </c>
    </row>
    <row r="6552" spans="1:5" x14ac:dyDescent="0.25">
      <c r="A6552" t="str">
        <f>HYPERLINK("https://www.773grp.com/globalSearch/MC74HC4066DT/page-1", "MC74HC4066DT")</f>
        <v>MC74HC4066DT</v>
      </c>
      <c r="B6552" s="3" t="str">
        <f>HYPERLINK("https://www.773grp.com/manufacturer/onsemi?pageNo=1159", "Onsemi")</f>
        <v>Onsemi</v>
      </c>
      <c r="C6552" s="6">
        <v>76</v>
      </c>
      <c r="D6552" s="7">
        <v>0.79</v>
      </c>
      <c r="E6552" t="s">
        <v>46</v>
      </c>
    </row>
    <row r="6553" spans="1:5" x14ac:dyDescent="0.25">
      <c r="A6553" t="str">
        <f>HYPERLINK("https://www.773grp.com/globalSearch/MC74HC4066DTEL/page-1", "MC74HC4066DTEL")</f>
        <v>MC74HC4066DTEL</v>
      </c>
      <c r="B6553" s="3" t="str">
        <f>HYPERLINK("https://www.773grp.com/manufacturer/onsemi?pageNo=1160", "Onsemi")</f>
        <v>Onsemi</v>
      </c>
      <c r="C6553" s="6">
        <v>684000</v>
      </c>
      <c r="D6553" s="7">
        <v>0.79</v>
      </c>
    </row>
    <row r="6554" spans="1:5" x14ac:dyDescent="0.25">
      <c r="A6554" t="str">
        <f>HYPERLINK("https://www.773grp.com/globalSearch/MC74HC573AF/page-1", "MC74HC573AF")</f>
        <v>MC74HC573AF</v>
      </c>
      <c r="B6554" s="3" t="str">
        <f>HYPERLINK("https://www.773grp.com/manufacturer/onsemi?pageNo=1161", "Onsemi")</f>
        <v>Onsemi</v>
      </c>
      <c r="C6554" s="6">
        <v>1766</v>
      </c>
      <c r="D6554" s="7">
        <v>0.79</v>
      </c>
    </row>
    <row r="6555" spans="1:5" x14ac:dyDescent="0.25">
      <c r="A6555" t="str">
        <f>HYPERLINK("https://www.773grp.com/globalSearch/MC74HC573AFL1/page-1", "MC74HC573AFL1")</f>
        <v>MC74HC573AFL1</v>
      </c>
      <c r="B6555" s="3" t="str">
        <f>HYPERLINK("https://www.773grp.com/manufacturer/onsemi?pageNo=1162", "Onsemi")</f>
        <v>Onsemi</v>
      </c>
      <c r="C6555" s="6">
        <v>3000</v>
      </c>
      <c r="D6555" s="7">
        <v>0.79</v>
      </c>
    </row>
    <row r="6556" spans="1:5" x14ac:dyDescent="0.25">
      <c r="A6556" t="str">
        <f>HYPERLINK("https://www.773grp.com/globalSearch/MC74HC574AFR1/page-1", "MC74HC574AFR1")</f>
        <v>MC74HC574AFR1</v>
      </c>
      <c r="B6556" s="3" t="str">
        <f>HYPERLINK("https://www.773grp.com/manufacturer/onsemi?pageNo=1163", "Onsemi")</f>
        <v>Onsemi</v>
      </c>
      <c r="C6556" s="6">
        <v>1000</v>
      </c>
      <c r="D6556" s="7">
        <v>0.79</v>
      </c>
    </row>
    <row r="6557" spans="1:5" x14ac:dyDescent="0.25">
      <c r="A6557" t="str">
        <f>HYPERLINK("https://www.773grp.com/globalSearch/MC74HC589ADG/page-1", "MC74HC589ADG")</f>
        <v>MC74HC589ADG</v>
      </c>
      <c r="B6557" s="3" t="str">
        <f>HYPERLINK("https://www.773grp.com/manufacturer/onsemi?pageNo=1164", "Onsemi")</f>
        <v>Onsemi</v>
      </c>
      <c r="C6557" s="6">
        <v>19430</v>
      </c>
      <c r="D6557" s="7">
        <v>0.79</v>
      </c>
    </row>
    <row r="6558" spans="1:5" x14ac:dyDescent="0.25">
      <c r="A6558" t="str">
        <f>HYPERLINK("https://www.773grp.com/globalSearch/MC74HC589ADR2G/page-1", "MC74HC589ADR2G")</f>
        <v>MC74HC589ADR2G</v>
      </c>
      <c r="B6558" s="3" t="str">
        <f>HYPERLINK("https://www.773grp.com/manufacturer/onsemi?pageNo=1165", "Onsemi")</f>
        <v>Onsemi</v>
      </c>
      <c r="C6558" s="6">
        <v>58018</v>
      </c>
      <c r="D6558" s="7">
        <v>0.79</v>
      </c>
      <c r="E6558" t="s">
        <v>28</v>
      </c>
    </row>
    <row r="6559" spans="1:5" x14ac:dyDescent="0.25">
      <c r="A6559" t="str">
        <f>HYPERLINK("https://www.773grp.com/globalSearch/MC74HC589ADTR2G/page-1", "MC74HC589ADTR2G")</f>
        <v>MC74HC589ADTR2G</v>
      </c>
      <c r="B6559" s="3" t="str">
        <f>HYPERLINK("https://www.773grp.com/manufacturer/onsemi?pageNo=1166", "Onsemi")</f>
        <v>Onsemi</v>
      </c>
      <c r="C6559" s="6">
        <v>132810</v>
      </c>
      <c r="D6559" s="7">
        <v>0.79</v>
      </c>
      <c r="E6559" t="s">
        <v>28</v>
      </c>
    </row>
    <row r="6560" spans="1:5" x14ac:dyDescent="0.25">
      <c r="A6560" t="str">
        <f>HYPERLINK("https://www.773grp.com/globalSearch/MC74HCT04ANG/page-1", "MC74HCT04ANG")</f>
        <v>MC74HCT04ANG</v>
      </c>
      <c r="B6560" s="3" t="str">
        <f>HYPERLINK("https://www.773grp.com/manufacturer/onsemi?pageNo=1167", "Onsemi")</f>
        <v>Onsemi</v>
      </c>
      <c r="C6560" s="6">
        <v>41948</v>
      </c>
      <c r="D6560" s="7">
        <v>0.79</v>
      </c>
      <c r="E6560" t="s">
        <v>27</v>
      </c>
    </row>
    <row r="6561" spans="1:5" x14ac:dyDescent="0.25">
      <c r="A6561" t="str">
        <f>HYPERLINK("https://www.773grp.com/globalSearch/MC74HCT157AN/page-1", "MC74HCT157AN")</f>
        <v>MC74HCT157AN</v>
      </c>
      <c r="B6561" s="3" t="str">
        <f>HYPERLINK("https://www.773grp.com/manufacturer/onsemi?pageNo=1168", "Onsemi")</f>
        <v>Onsemi</v>
      </c>
      <c r="C6561" s="6">
        <v>13375</v>
      </c>
      <c r="D6561" s="7">
        <v>0.79</v>
      </c>
      <c r="E6561" t="s">
        <v>16</v>
      </c>
    </row>
    <row r="6562" spans="1:5" x14ac:dyDescent="0.25">
      <c r="A6562" t="str">
        <f>HYPERLINK("https://www.773grp.com/globalSearch/MC74HCT174AD/page-1", "MC74HCT174AD")</f>
        <v>MC74HCT174AD</v>
      </c>
      <c r="B6562" s="3" t="str">
        <f>HYPERLINK("https://www.773grp.com/manufacturer/onsemi?pageNo=1169", "Onsemi")</f>
        <v>Onsemi</v>
      </c>
      <c r="C6562" s="6">
        <v>1609</v>
      </c>
      <c r="D6562" s="7">
        <v>0.79</v>
      </c>
      <c r="E6562" t="s">
        <v>31</v>
      </c>
    </row>
    <row r="6563" spans="1:5" x14ac:dyDescent="0.25">
      <c r="A6563" t="str">
        <f>HYPERLINK("https://www.773grp.com/globalSearch/MC74HCT174AN/page-1", "MC74HCT174AN")</f>
        <v>MC74HCT174AN</v>
      </c>
      <c r="B6563" s="3" t="str">
        <f>HYPERLINK("https://www.773grp.com/manufacturer/onsemi?pageNo=1170", "Onsemi")</f>
        <v>Onsemi</v>
      </c>
      <c r="C6563" s="6">
        <v>5300</v>
      </c>
      <c r="D6563" s="7">
        <v>0.79</v>
      </c>
      <c r="E6563" t="s">
        <v>31</v>
      </c>
    </row>
    <row r="6564" spans="1:5" x14ac:dyDescent="0.25">
      <c r="A6564" t="str">
        <f>HYPERLINK("https://www.773grp.com/globalSearch/MC74HCT240ADW/page-1", "MC74HCT240ADW")</f>
        <v>MC74HCT240ADW</v>
      </c>
      <c r="B6564" s="3" t="str">
        <f>HYPERLINK("https://www.773grp.com/manufacturer/onsemi?pageNo=1171", "Onsemi")</f>
        <v>Onsemi</v>
      </c>
      <c r="C6564" s="6">
        <v>9811</v>
      </c>
      <c r="D6564" s="7">
        <v>0.79</v>
      </c>
      <c r="E6564" t="s">
        <v>11</v>
      </c>
    </row>
    <row r="6565" spans="1:5" x14ac:dyDescent="0.25">
      <c r="A6565" t="str">
        <f>HYPERLINK("https://www.773grp.com/globalSearch/MC74HCT240ADWR2/page-1", "MC74HCT240ADWR2")</f>
        <v>MC74HCT240ADWR2</v>
      </c>
      <c r="B6565" s="3" t="str">
        <f>HYPERLINK("https://www.773grp.com/manufacturer/onsemi?pageNo=1172", "Onsemi")</f>
        <v>Onsemi</v>
      </c>
      <c r="C6565" s="6">
        <v>1000</v>
      </c>
      <c r="D6565" s="7">
        <v>0.79</v>
      </c>
      <c r="E6565" t="s">
        <v>11</v>
      </c>
    </row>
    <row r="6566" spans="1:5" x14ac:dyDescent="0.25">
      <c r="A6566" t="str">
        <f>HYPERLINK("https://www.773grp.com/globalSearch/MC74HCT240AN/page-1", "MC74HCT240AN")</f>
        <v>MC74HCT240AN</v>
      </c>
      <c r="B6566" s="3" t="str">
        <f>HYPERLINK("https://www.773grp.com/manufacturer/onsemi?pageNo=1173", "Onsemi")</f>
        <v>Onsemi</v>
      </c>
      <c r="C6566" s="6">
        <v>1124</v>
      </c>
      <c r="D6566" s="7">
        <v>0.79</v>
      </c>
      <c r="E6566" t="s">
        <v>11</v>
      </c>
    </row>
    <row r="6567" spans="1:5" x14ac:dyDescent="0.25">
      <c r="A6567" t="str">
        <f>HYPERLINK("https://www.773grp.com/globalSearch/MC74HCT241ADW/page-1", "MC74HCT241ADW")</f>
        <v>MC74HCT241ADW</v>
      </c>
      <c r="B6567" s="3" t="str">
        <f>HYPERLINK("https://www.773grp.com/manufacturer/onsemi?pageNo=1174", "Onsemi")</f>
        <v>Onsemi</v>
      </c>
      <c r="C6567" s="6">
        <v>1009</v>
      </c>
      <c r="D6567" s="7">
        <v>0.79</v>
      </c>
      <c r="E6567" t="s">
        <v>11</v>
      </c>
    </row>
    <row r="6568" spans="1:5" x14ac:dyDescent="0.25">
      <c r="A6568" t="str">
        <f>HYPERLINK("https://www.773grp.com/globalSearch/MC74HCT241ADWR2/page-1", "MC74HCT241ADWR2")</f>
        <v>MC74HCT241ADWR2</v>
      </c>
      <c r="B6568" s="3" t="str">
        <f>HYPERLINK("https://www.773grp.com/manufacturer/onsemi?pageNo=1175", "Onsemi")</f>
        <v>Onsemi</v>
      </c>
      <c r="C6568" s="6">
        <v>8000</v>
      </c>
      <c r="D6568" s="7">
        <v>0.79</v>
      </c>
      <c r="E6568" t="s">
        <v>11</v>
      </c>
    </row>
    <row r="6569" spans="1:5" x14ac:dyDescent="0.25">
      <c r="A6569" t="str">
        <f>HYPERLINK("https://www.773grp.com/globalSearch/MC74HCT241AF/page-1", "MC74HCT241AF")</f>
        <v>MC74HCT241AF</v>
      </c>
      <c r="B6569" s="3" t="str">
        <f>HYPERLINK("https://www.773grp.com/manufacturer/onsemi?pageNo=1176", "Onsemi")</f>
        <v>Onsemi</v>
      </c>
      <c r="C6569" s="6">
        <v>3440</v>
      </c>
      <c r="D6569" s="7">
        <v>0.79</v>
      </c>
    </row>
    <row r="6570" spans="1:5" x14ac:dyDescent="0.25">
      <c r="A6570" t="str">
        <f>HYPERLINK("https://www.773grp.com/globalSearch/MC74HCT241AN/page-1", "MC74HCT241AN")</f>
        <v>MC74HCT241AN</v>
      </c>
      <c r="B6570" s="3" t="str">
        <f>HYPERLINK("https://www.773grp.com/manufacturer/onsemi?pageNo=1177", "Onsemi")</f>
        <v>Onsemi</v>
      </c>
      <c r="C6570" s="6">
        <v>3545</v>
      </c>
      <c r="D6570" s="7">
        <v>0.79</v>
      </c>
      <c r="E6570" t="s">
        <v>11</v>
      </c>
    </row>
    <row r="6571" spans="1:5" x14ac:dyDescent="0.25">
      <c r="A6571" t="str">
        <f>HYPERLINK("https://www.773grp.com/globalSearch/MC74HCT244AFL1/page-1", "MC74HCT244AFL1")</f>
        <v>MC74HCT244AFL1</v>
      </c>
      <c r="B6571" s="3" t="str">
        <f>HYPERLINK("https://www.773grp.com/manufacturer/onsemi?pageNo=1178", "Onsemi")</f>
        <v>Onsemi</v>
      </c>
      <c r="C6571" s="6">
        <v>2000</v>
      </c>
      <c r="D6571" s="7">
        <v>0.79</v>
      </c>
    </row>
    <row r="6572" spans="1:5" x14ac:dyDescent="0.25">
      <c r="A6572" t="str">
        <f>HYPERLINK("https://www.773grp.com/globalSearch/MC74HCT244AFR2/page-1", "MC74HCT244AFR2")</f>
        <v>MC74HCT244AFR2</v>
      </c>
      <c r="B6572" s="3" t="str">
        <f>HYPERLINK("https://www.773grp.com/manufacturer/onsemi?pageNo=1179", "Onsemi")</f>
        <v>Onsemi</v>
      </c>
      <c r="C6572" s="6">
        <v>12000</v>
      </c>
      <c r="D6572" s="7">
        <v>0.79</v>
      </c>
    </row>
    <row r="6573" spans="1:5" x14ac:dyDescent="0.25">
      <c r="A6573" t="str">
        <f>HYPERLINK("https://www.773grp.com/globalSearch/MC74HCT245AF/page-1", "MC74HCT245AF")</f>
        <v>MC74HCT245AF</v>
      </c>
      <c r="B6573" s="3" t="str">
        <f>HYPERLINK("https://www.773grp.com/manufacturer/onsemi?pageNo=1180", "Onsemi")</f>
        <v>Onsemi</v>
      </c>
      <c r="C6573" s="6">
        <v>17346</v>
      </c>
      <c r="D6573" s="7">
        <v>0.79</v>
      </c>
      <c r="E6573" t="s">
        <v>11</v>
      </c>
    </row>
    <row r="6574" spans="1:5" x14ac:dyDescent="0.25">
      <c r="A6574" t="str">
        <f>HYPERLINK("https://www.773grp.com/globalSearch/MC74HCT245AFL1/page-1", "MC74HCT245AFL1")</f>
        <v>MC74HCT245AFL1</v>
      </c>
      <c r="B6574" s="3" t="str">
        <f>HYPERLINK("https://www.773grp.com/manufacturer/onsemi?pageNo=1181", "Onsemi")</f>
        <v>Onsemi</v>
      </c>
      <c r="C6574" s="6">
        <v>2000</v>
      </c>
      <c r="D6574" s="7">
        <v>0.79</v>
      </c>
      <c r="E6574" t="s">
        <v>11</v>
      </c>
    </row>
    <row r="6575" spans="1:5" x14ac:dyDescent="0.25">
      <c r="A6575" t="str">
        <f>HYPERLINK("https://www.773grp.com/globalSearch/MC74HCT374AF/page-1", "MC74HCT374AF")</f>
        <v>MC74HCT374AF</v>
      </c>
      <c r="B6575" s="3" t="str">
        <f>HYPERLINK("https://www.773grp.com/manufacturer/onsemi?pageNo=1182", "Onsemi")</f>
        <v>Onsemi</v>
      </c>
      <c r="C6575" s="6">
        <v>2640</v>
      </c>
      <c r="D6575" s="7">
        <v>0.79</v>
      </c>
    </row>
    <row r="6576" spans="1:5" x14ac:dyDescent="0.25">
      <c r="A6576" t="str">
        <f>HYPERLINK("https://www.773grp.com/globalSearch/MC74HCT374AFL1/page-1", "MC74HCT374AFL1")</f>
        <v>MC74HCT374AFL1</v>
      </c>
      <c r="B6576" s="3" t="str">
        <f>HYPERLINK("https://www.773grp.com/manufacturer/onsemi?pageNo=1183", "Onsemi")</f>
        <v>Onsemi</v>
      </c>
      <c r="C6576" s="6">
        <v>12000</v>
      </c>
      <c r="D6576" s="7">
        <v>0.79</v>
      </c>
    </row>
    <row r="6577" spans="1:5" x14ac:dyDescent="0.25">
      <c r="A6577" t="str">
        <f>HYPERLINK("https://www.773grp.com/globalSearch/MC74HCU04ANG/page-1", "MC74HCU04ANG")</f>
        <v>MC74HCU04ANG</v>
      </c>
      <c r="B6577" s="3" t="str">
        <f>HYPERLINK("https://www.773grp.com/manufacturer/onsemi?pageNo=1184", "Onsemi")</f>
        <v>Onsemi</v>
      </c>
      <c r="C6577" s="6">
        <v>39190</v>
      </c>
      <c r="D6577" s="7">
        <v>0.79</v>
      </c>
      <c r="E6577" t="s">
        <v>27</v>
      </c>
    </row>
    <row r="6578" spans="1:5" x14ac:dyDescent="0.25">
      <c r="A6578" t="str">
        <f>HYPERLINK("https://www.773grp.com/globalSearch/MC74LCX125DTEL/page-1", "MC74LCX125DTEL")</f>
        <v>MC74LCX125DTEL</v>
      </c>
      <c r="B6578" s="3" t="str">
        <f>HYPERLINK("https://www.773grp.com/manufacturer/onsemi?pageNo=1185", "Onsemi")</f>
        <v>Onsemi</v>
      </c>
      <c r="C6578" s="6">
        <v>10000</v>
      </c>
      <c r="D6578" s="7">
        <v>0.79</v>
      </c>
    </row>
    <row r="6579" spans="1:5" x14ac:dyDescent="0.25">
      <c r="A6579" t="str">
        <f>HYPERLINK("https://www.773grp.com/globalSearch/MC74LCX125M/page-1", "MC74LCX125M")</f>
        <v>MC74LCX125M</v>
      </c>
      <c r="B6579" s="3" t="str">
        <f>HYPERLINK("https://www.773grp.com/manufacturer/onsemi?pageNo=1186", "Onsemi")</f>
        <v>Onsemi</v>
      </c>
      <c r="C6579" s="6">
        <v>188</v>
      </c>
      <c r="D6579" s="7">
        <v>0.79</v>
      </c>
      <c r="E6579" t="s">
        <v>11</v>
      </c>
    </row>
    <row r="6580" spans="1:5" x14ac:dyDescent="0.25">
      <c r="A6580" t="str">
        <f>HYPERLINK("https://www.773grp.com/globalSearch/MC74LCX138M/page-1", "MC74LCX138M")</f>
        <v>MC74LCX138M</v>
      </c>
      <c r="B6580" s="3" t="str">
        <f>HYPERLINK("https://www.773grp.com/manufacturer/onsemi?pageNo=1187", "Onsemi")</f>
        <v>Onsemi</v>
      </c>
      <c r="C6580" s="6">
        <v>1500</v>
      </c>
      <c r="D6580" s="7">
        <v>0.79</v>
      </c>
      <c r="E6580" t="s">
        <v>32</v>
      </c>
    </row>
    <row r="6581" spans="1:5" x14ac:dyDescent="0.25">
      <c r="A6581" t="str">
        <f>HYPERLINK("https://www.773grp.com/globalSearch/MC74LCX244M/page-1", "MC74LCX244M")</f>
        <v>MC74LCX244M</v>
      </c>
      <c r="B6581" s="3" t="str">
        <f>HYPERLINK("https://www.773grp.com/manufacturer/onsemi?pageNo=1188", "Onsemi")</f>
        <v>Onsemi</v>
      </c>
      <c r="C6581" s="6">
        <v>1783</v>
      </c>
      <c r="D6581" s="7">
        <v>0.79</v>
      </c>
      <c r="E6581" t="s">
        <v>11</v>
      </c>
    </row>
    <row r="6582" spans="1:5" x14ac:dyDescent="0.25">
      <c r="A6582" t="str">
        <f>HYPERLINK("https://www.773grp.com/globalSearch/MC74LVQ04D/page-1", "MC74LVQ04D")</f>
        <v>MC74LVQ04D</v>
      </c>
      <c r="B6582" s="3" t="str">
        <f>HYPERLINK("https://www.773grp.com/manufacturer/onsemi?pageNo=1189", "Onsemi")</f>
        <v>Onsemi</v>
      </c>
      <c r="C6582" s="6">
        <v>1265</v>
      </c>
      <c r="D6582" s="7">
        <v>0.79</v>
      </c>
      <c r="E6582" t="s">
        <v>27</v>
      </c>
    </row>
    <row r="6583" spans="1:5" x14ac:dyDescent="0.25">
      <c r="A6583" t="str">
        <f>HYPERLINK("https://www.773grp.com/globalSearch/MC74LVX8053DT/page-1", "MC74LVX8053DT")</f>
        <v>MC74LVX8053DT</v>
      </c>
      <c r="B6583" s="3" t="str">
        <f>HYPERLINK("https://www.773grp.com/manufacturer/onsemi?pageNo=1190", "Onsemi")</f>
        <v>Onsemi</v>
      </c>
      <c r="C6583" s="6">
        <v>25824</v>
      </c>
      <c r="D6583" s="7">
        <v>0.79</v>
      </c>
      <c r="E6583" t="s">
        <v>46</v>
      </c>
    </row>
    <row r="6584" spans="1:5" x14ac:dyDescent="0.25">
      <c r="A6584" t="str">
        <f>HYPERLINK("https://www.773grp.com/globalSearch/MC74LVXT8051D/page-1", "MC74LVXT8051D")</f>
        <v>MC74LVXT8051D</v>
      </c>
      <c r="B6584" s="3" t="str">
        <f>HYPERLINK("https://www.773grp.com/manufacturer/onsemi?pageNo=1191", "Onsemi")</f>
        <v>Onsemi</v>
      </c>
      <c r="C6584" s="6">
        <v>1152</v>
      </c>
      <c r="D6584" s="7">
        <v>0.79</v>
      </c>
      <c r="E6584" t="s">
        <v>46</v>
      </c>
    </row>
    <row r="6585" spans="1:5" x14ac:dyDescent="0.25">
      <c r="A6585" t="str">
        <f>HYPERLINK("https://www.773grp.com/globalSearch/MC7805CD2TR4/page-1", "MC7805CD2TR4")</f>
        <v>MC7805CD2TR4</v>
      </c>
      <c r="B6585" s="3" t="str">
        <f>HYPERLINK("https://www.773grp.com/manufacturer/onsemi?pageNo=1192", "Onsemi")</f>
        <v>Onsemi</v>
      </c>
      <c r="C6585" s="6">
        <v>1600</v>
      </c>
      <c r="D6585" s="7">
        <v>0.79</v>
      </c>
      <c r="E6585" t="s">
        <v>24</v>
      </c>
    </row>
    <row r="6586" spans="1:5" x14ac:dyDescent="0.25">
      <c r="A6586" t="str">
        <f>HYPERLINK("https://www.773grp.com/globalSearch/MC7808BDTRK/page-1", "MC7808BDTRK")</f>
        <v>MC7808BDTRK</v>
      </c>
      <c r="B6586" s="3" t="str">
        <f>HYPERLINK("https://www.773grp.com/manufacturer/onsemi?pageNo=1193", "Onsemi")</f>
        <v>Onsemi</v>
      </c>
      <c r="C6586" s="6">
        <v>27500</v>
      </c>
      <c r="D6586" s="7">
        <v>0.79</v>
      </c>
      <c r="E6586" t="s">
        <v>24</v>
      </c>
    </row>
    <row r="6587" spans="1:5" x14ac:dyDescent="0.25">
      <c r="A6587" t="str">
        <f>HYPERLINK("https://www.773grp.com/globalSearch/MC7809CD2TR4/page-1", "MC7809CD2TR4")</f>
        <v>MC7809CD2TR4</v>
      </c>
      <c r="B6587" s="3" t="str">
        <f>HYPERLINK("https://www.773grp.com/manufacturer/onsemi?pageNo=1194", "Onsemi")</f>
        <v>Onsemi</v>
      </c>
      <c r="C6587" s="6">
        <v>4800</v>
      </c>
      <c r="D6587" s="7">
        <v>0.79</v>
      </c>
      <c r="E6587" t="s">
        <v>24</v>
      </c>
    </row>
    <row r="6588" spans="1:5" x14ac:dyDescent="0.25">
      <c r="A6588" t="str">
        <f>HYPERLINK("https://www.773grp.com/globalSearch/MC7812BDTRK/page-1", "MC7812BDTRK")</f>
        <v>MC7812BDTRK</v>
      </c>
      <c r="B6588" s="3" t="str">
        <f>HYPERLINK("https://www.773grp.com/manufacturer/onsemi?pageNo=1195", "Onsemi")</f>
        <v>Onsemi</v>
      </c>
      <c r="C6588" s="6">
        <v>2501</v>
      </c>
      <c r="D6588" s="7">
        <v>0.79</v>
      </c>
      <c r="E6588" t="s">
        <v>24</v>
      </c>
    </row>
    <row r="6589" spans="1:5" x14ac:dyDescent="0.25">
      <c r="A6589" t="str">
        <f>HYPERLINK("https://www.773grp.com/globalSearch/MC7812CD2T/page-1", "MC7812CD2T")</f>
        <v>MC7812CD2T</v>
      </c>
      <c r="B6589" s="3" t="str">
        <f>HYPERLINK("https://www.773grp.com/manufacturer/onsemi?pageNo=1196", "Onsemi")</f>
        <v>Onsemi</v>
      </c>
      <c r="C6589" s="6">
        <v>1252</v>
      </c>
      <c r="D6589" s="7">
        <v>0.79</v>
      </c>
      <c r="E6589" t="s">
        <v>24</v>
      </c>
    </row>
    <row r="6590" spans="1:5" x14ac:dyDescent="0.25">
      <c r="A6590" t="str">
        <f>HYPERLINK("https://www.773grp.com/globalSearch/MC7815CD2TR4/page-1", "MC7815CD2TR4")</f>
        <v>MC7815CD2TR4</v>
      </c>
      <c r="B6590" s="3" t="str">
        <f>HYPERLINK("https://www.773grp.com/manufacturer/onsemi?pageNo=1197", "Onsemi")</f>
        <v>Onsemi</v>
      </c>
      <c r="C6590" s="6">
        <v>2400</v>
      </c>
      <c r="D6590" s="7">
        <v>0.79</v>
      </c>
      <c r="E6590" t="s">
        <v>24</v>
      </c>
    </row>
    <row r="6591" spans="1:5" x14ac:dyDescent="0.25">
      <c r="A6591" t="str">
        <f>HYPERLINK("https://www.773grp.com/globalSearch/MC7824CD2T/page-1", "MC7824CD2T")</f>
        <v>MC7824CD2T</v>
      </c>
      <c r="B6591" s="3" t="str">
        <f>HYPERLINK("https://www.773grp.com/manufacturer/onsemi?pageNo=1198", "Onsemi")</f>
        <v>Onsemi</v>
      </c>
      <c r="C6591" s="6">
        <v>1006</v>
      </c>
      <c r="D6591" s="7">
        <v>0.79</v>
      </c>
      <c r="E6591" t="s">
        <v>24</v>
      </c>
    </row>
    <row r="6592" spans="1:5" x14ac:dyDescent="0.25">
      <c r="A6592" t="str">
        <f>HYPERLINK("https://www.773grp.com/globalSearch/MC78FC30HT1/page-1", "MC78FC30HT1")</f>
        <v>MC78FC30HT1</v>
      </c>
      <c r="B6592" s="3" t="str">
        <f>HYPERLINK("https://www.773grp.com/manufacturer/onsemi?pageNo=1199", "Onsemi")</f>
        <v>Onsemi</v>
      </c>
      <c r="C6592" s="6">
        <v>8700</v>
      </c>
      <c r="D6592" s="7">
        <v>0.79</v>
      </c>
      <c r="E6592" t="s">
        <v>15</v>
      </c>
    </row>
    <row r="6593" spans="1:5" x14ac:dyDescent="0.25">
      <c r="A6593" t="str">
        <f>HYPERLINK("https://www.773grp.com/globalSearch/MC78FC33HT1/page-1", "MC78FC33HT1")</f>
        <v>MC78FC33HT1</v>
      </c>
      <c r="B6593" s="3" t="str">
        <f>HYPERLINK("https://www.773grp.com/manufacturer/onsemi?pageNo=1200", "Onsemi")</f>
        <v>Onsemi</v>
      </c>
      <c r="C6593" s="6">
        <v>132000</v>
      </c>
      <c r="D6593" s="7">
        <v>0.79</v>
      </c>
      <c r="E6593" t="s">
        <v>15</v>
      </c>
    </row>
    <row r="6594" spans="1:5" x14ac:dyDescent="0.25">
      <c r="A6594" t="str">
        <f>HYPERLINK("https://www.773grp.com/globalSearch/MC78LC30HT1/page-1", "MC78LC30HT1")</f>
        <v>MC78LC30HT1</v>
      </c>
      <c r="B6594" s="3" t="str">
        <f>HYPERLINK("https://www.773grp.com/manufacturer/onsemi?pageNo=1201", "Onsemi")</f>
        <v>Onsemi</v>
      </c>
      <c r="C6594" s="6">
        <v>17000</v>
      </c>
      <c r="D6594" s="7">
        <v>0.79</v>
      </c>
      <c r="E6594" t="s">
        <v>15</v>
      </c>
    </row>
    <row r="6595" spans="1:5" x14ac:dyDescent="0.25">
      <c r="A6595" t="str">
        <f>HYPERLINK("https://www.773grp.com/globalSearch/MC78LC33NTR/page-1", "MC78LC33NTR")</f>
        <v>MC78LC33NTR</v>
      </c>
      <c r="B6595" s="3" t="str">
        <f>HYPERLINK("https://www.773grp.com/manufacturer/onsemi?pageNo=1202", "Onsemi")</f>
        <v>Onsemi</v>
      </c>
      <c r="C6595" s="6">
        <v>5</v>
      </c>
      <c r="D6595" s="7">
        <v>0.79</v>
      </c>
      <c r="E6595" t="s">
        <v>15</v>
      </c>
    </row>
    <row r="6596" spans="1:5" x14ac:dyDescent="0.25">
      <c r="A6596" t="str">
        <f>HYPERLINK("https://www.773grp.com/globalSearch/MC78LC50NTR/page-1", "MC78LC50NTR")</f>
        <v>MC78LC50NTR</v>
      </c>
      <c r="B6596" s="3" t="str">
        <f>HYPERLINK("https://www.773grp.com/manufacturer/onsemi?pageNo=1203", "Onsemi")</f>
        <v>Onsemi</v>
      </c>
      <c r="C6596" s="6">
        <v>25000</v>
      </c>
      <c r="D6596" s="7">
        <v>0.79</v>
      </c>
      <c r="E6596" t="s">
        <v>15</v>
      </c>
    </row>
    <row r="6597" spans="1:5" x14ac:dyDescent="0.25">
      <c r="A6597" t="str">
        <f>HYPERLINK("https://www.773grp.com/globalSearch/MC7908CD2TR4/page-1", "MC7908CD2TR4")</f>
        <v>MC7908CD2TR4</v>
      </c>
      <c r="B6597" s="3" t="str">
        <f>HYPERLINK("https://www.773grp.com/manufacturer/onsemi?pageNo=1204", "Onsemi")</f>
        <v>Onsemi</v>
      </c>
      <c r="C6597" s="6">
        <v>1600</v>
      </c>
      <c r="D6597" s="7">
        <v>0.79</v>
      </c>
      <c r="E6597" t="s">
        <v>53</v>
      </c>
    </row>
    <row r="6598" spans="1:5" x14ac:dyDescent="0.25">
      <c r="A6598" t="str">
        <f>HYPERLINK("https://www.773grp.com/globalSearch/MC7912CD2T/page-1", "MC7912CD2T")</f>
        <v>MC7912CD2T</v>
      </c>
      <c r="B6598" s="3" t="str">
        <f>HYPERLINK("https://www.773grp.com/manufacturer/onsemi?pageNo=1205", "Onsemi")</f>
        <v>Onsemi</v>
      </c>
      <c r="C6598" s="6">
        <v>138</v>
      </c>
      <c r="D6598" s="7">
        <v>0.79</v>
      </c>
      <c r="E6598" t="s">
        <v>53</v>
      </c>
    </row>
    <row r="6599" spans="1:5" x14ac:dyDescent="0.25">
      <c r="A6599" t="str">
        <f>HYPERLINK("https://www.773grp.com/globalSearch/MC7912CD2TR4/page-1", "MC7912CD2TR4")</f>
        <v>MC7912CD2TR4</v>
      </c>
      <c r="B6599" s="3" t="str">
        <f>HYPERLINK("https://www.773grp.com/manufacturer/onsemi?pageNo=1206", "Onsemi")</f>
        <v>Onsemi</v>
      </c>
      <c r="C6599" s="6">
        <v>5297</v>
      </c>
      <c r="D6599" s="7">
        <v>0.79</v>
      </c>
      <c r="E6599" t="s">
        <v>53</v>
      </c>
    </row>
    <row r="6600" spans="1:5" x14ac:dyDescent="0.25">
      <c r="A6600" t="str">
        <f>HYPERLINK("https://www.773grp.com/globalSearch/MCHC175AFR1/page-1", "MCHC175AFR1")</f>
        <v>MCHC175AFR1</v>
      </c>
      <c r="B6600" s="3" t="str">
        <f>HYPERLINK("https://www.773grp.com/manufacturer/onsemi?pageNo=1207", "Onsemi")</f>
        <v>Onsemi</v>
      </c>
      <c r="C6600" s="6">
        <v>1000</v>
      </c>
      <c r="D6600" s="7">
        <v>0.79</v>
      </c>
    </row>
    <row r="6601" spans="1:5" x14ac:dyDescent="0.25">
      <c r="A6601" t="str">
        <f>HYPERLINK("https://www.773grp.com/globalSearch/MCR12LMGV0607/page-1", "MCR12LMGV0607")</f>
        <v>MCR12LMGV0607</v>
      </c>
      <c r="B6601" s="3" t="str">
        <f>HYPERLINK("https://www.773grp.com/manufacturer/onsemi?pageNo=1208", "Onsemi")</f>
        <v>Onsemi</v>
      </c>
      <c r="C6601" s="6">
        <v>150</v>
      </c>
      <c r="D6601" s="7">
        <v>0.79</v>
      </c>
    </row>
    <row r="6602" spans="1:5" x14ac:dyDescent="0.25">
      <c r="A6602" t="str">
        <f>HYPERLINK("https://www.773grp.com/globalSearch/MCR22-2RL1G/page-1", "MCR22-2RL1G")</f>
        <v>MCR22-2RL1G</v>
      </c>
      <c r="B6602" s="3" t="str">
        <f>HYPERLINK("https://www.773grp.com/manufacturer/onsemi?pageNo=1209", "Onsemi")</f>
        <v>Onsemi</v>
      </c>
      <c r="C6602" s="6">
        <v>18000</v>
      </c>
      <c r="D6602" s="7">
        <v>0.79</v>
      </c>
    </row>
    <row r="6603" spans="1:5" x14ac:dyDescent="0.25">
      <c r="A6603" t="str">
        <f>HYPERLINK("https://www.773grp.com/globalSearch/MCR22-6RLRAG/page-1", "MCR22-6RLRAG")</f>
        <v>MCR22-6RLRAG</v>
      </c>
      <c r="B6603" s="3" t="str">
        <f>HYPERLINK("https://www.773grp.com/manufacturer/onsemi?pageNo=1210", "Onsemi")</f>
        <v>Onsemi</v>
      </c>
      <c r="C6603" s="6">
        <v>135035</v>
      </c>
      <c r="D6603" s="7">
        <v>0.79</v>
      </c>
      <c r="E6603" t="s">
        <v>76</v>
      </c>
    </row>
    <row r="6604" spans="1:5" x14ac:dyDescent="0.25">
      <c r="A6604" t="str">
        <f>HYPERLINK("https://www.773grp.com/globalSearch/MCR22-6RLRPG/page-1", "MCR22-6RLRPG")</f>
        <v>MCR22-6RLRPG</v>
      </c>
      <c r="B6604" s="3" t="str">
        <f>HYPERLINK("https://www.773grp.com/manufacturer/onsemi?pageNo=1211", "Onsemi")</f>
        <v>Onsemi</v>
      </c>
      <c r="C6604" s="6">
        <v>75975</v>
      </c>
      <c r="D6604" s="7">
        <v>0.79</v>
      </c>
      <c r="E6604" t="s">
        <v>76</v>
      </c>
    </row>
    <row r="6605" spans="1:5" x14ac:dyDescent="0.25">
      <c r="A6605" t="str">
        <f>HYPERLINK("https://www.773grp.com/globalSearch/MCR22-8G/page-1", "MCR22-8G")</f>
        <v>MCR22-8G</v>
      </c>
      <c r="B6605" s="3" t="str">
        <f>HYPERLINK("https://www.773grp.com/manufacturer/onsemi?pageNo=1212", "Onsemi")</f>
        <v>Onsemi</v>
      </c>
      <c r="C6605" s="6">
        <v>946</v>
      </c>
      <c r="D6605" s="7">
        <v>0.79</v>
      </c>
    </row>
    <row r="6606" spans="1:5" x14ac:dyDescent="0.25">
      <c r="A6606" t="str">
        <f>HYPERLINK("https://www.773grp.com/globalSearch/MCR22-8RL1G/page-1", "MCR22-8RL1G")</f>
        <v>MCR22-8RL1G</v>
      </c>
      <c r="B6606" s="3" t="str">
        <f>HYPERLINK("https://www.773grp.com/manufacturer/onsemi?pageNo=1213", "Onsemi")</f>
        <v>Onsemi</v>
      </c>
      <c r="C6606" s="6">
        <v>2784</v>
      </c>
      <c r="D6606" s="7">
        <v>0.79</v>
      </c>
    </row>
    <row r="6607" spans="1:5" x14ac:dyDescent="0.25">
      <c r="A6607" t="str">
        <f>HYPERLINK("https://www.773grp.com/globalSearch/MCR708A1/page-1", "MCR708A1")</f>
        <v>MCR708A1</v>
      </c>
      <c r="B6607" s="3" t="str">
        <f>HYPERLINK("https://www.773grp.com/manufacturer/onsemi?pageNo=1214", "Onsemi")</f>
        <v>Onsemi</v>
      </c>
      <c r="C6607" s="6">
        <v>1500</v>
      </c>
      <c r="D6607" s="7">
        <v>0.79</v>
      </c>
      <c r="E6607" t="s">
        <v>76</v>
      </c>
    </row>
    <row r="6608" spans="1:5" x14ac:dyDescent="0.25">
      <c r="A6608" t="str">
        <f>HYPERLINK("https://www.773grp.com/globalSearch/MJD31C/page-1", "MJD31C")</f>
        <v>MJD31C</v>
      </c>
      <c r="B6608" s="3" t="str">
        <f>HYPERLINK("https://www.773grp.com/manufacturer/onsemi?pageNo=1215", "Onsemi")</f>
        <v>Onsemi</v>
      </c>
      <c r="C6608" s="6">
        <v>2190</v>
      </c>
      <c r="D6608" s="7">
        <v>0.79</v>
      </c>
    </row>
    <row r="6609" spans="1:5" x14ac:dyDescent="0.25">
      <c r="A6609" t="str">
        <f>HYPERLINK("https://www.773grp.com/globalSearch/MJD31CG/page-1", "MJD31CG")</f>
        <v>MJD31CG</v>
      </c>
      <c r="B6609" s="3" t="str">
        <f>HYPERLINK("https://www.773grp.com/manufacturer/onsemi?pageNo=1216", "Onsemi")</f>
        <v>Onsemi</v>
      </c>
      <c r="C6609" s="6">
        <v>33425</v>
      </c>
      <c r="D6609" s="7">
        <v>0.79</v>
      </c>
      <c r="E6609" t="s">
        <v>47</v>
      </c>
    </row>
    <row r="6610" spans="1:5" x14ac:dyDescent="0.25">
      <c r="A6610" t="str">
        <f>HYPERLINK("https://www.773grp.com/globalSearch/MJD31CRLG/page-1", "MJD31CRLG")</f>
        <v>MJD31CRLG</v>
      </c>
      <c r="B6610" s="3" t="str">
        <f>HYPERLINK("https://www.773grp.com/manufacturer/onsemi?pageNo=1217", "Onsemi")</f>
        <v>Onsemi</v>
      </c>
      <c r="C6610" s="6">
        <v>3600</v>
      </c>
      <c r="D6610" s="7">
        <v>0.79</v>
      </c>
    </row>
    <row r="6611" spans="1:5" x14ac:dyDescent="0.25">
      <c r="A6611" t="str">
        <f>HYPERLINK("https://www.773grp.com/globalSearch/MJD31CT4G/page-1", "MJD31CT4G")</f>
        <v>MJD31CT4G</v>
      </c>
      <c r="B6611" s="3" t="str">
        <f>HYPERLINK("https://www.773grp.com/manufacturer/onsemi?pageNo=1218", "Onsemi")</f>
        <v>Onsemi</v>
      </c>
      <c r="C6611" s="6">
        <v>27500</v>
      </c>
      <c r="D6611" s="7">
        <v>0.79</v>
      </c>
      <c r="E6611" t="s">
        <v>47</v>
      </c>
    </row>
    <row r="6612" spans="1:5" x14ac:dyDescent="0.25">
      <c r="A6612" t="str">
        <f>HYPERLINK("https://www.773grp.com/globalSearch/MJD31T4/page-1", "MJD31T4")</f>
        <v>MJD31T4</v>
      </c>
      <c r="B6612" s="3" t="str">
        <f>HYPERLINK("https://www.773grp.com/manufacturer/onsemi?pageNo=1219", "Onsemi")</f>
        <v>Onsemi</v>
      </c>
      <c r="C6612" s="6">
        <v>32500</v>
      </c>
      <c r="D6612" s="7">
        <v>0.79</v>
      </c>
      <c r="E6612" t="s">
        <v>47</v>
      </c>
    </row>
    <row r="6613" spans="1:5" x14ac:dyDescent="0.25">
      <c r="A6613" t="str">
        <f>HYPERLINK("https://www.773grp.com/globalSearch/MJD31T4G/page-1", "MJD31T4G")</f>
        <v>MJD31T4G</v>
      </c>
      <c r="B6613" s="3" t="str">
        <f>HYPERLINK("https://www.773grp.com/manufacturer/onsemi?pageNo=1220", "Onsemi")</f>
        <v>Onsemi</v>
      </c>
      <c r="C6613" s="6">
        <v>2500</v>
      </c>
      <c r="D6613" s="7">
        <v>0.79</v>
      </c>
      <c r="E6613" t="s">
        <v>47</v>
      </c>
    </row>
    <row r="6614" spans="1:5" x14ac:dyDescent="0.25">
      <c r="A6614" t="str">
        <f>HYPERLINK("https://www.773grp.com/globalSearch/MJD32C1/page-1", "MJD32C1")</f>
        <v>MJD32C1</v>
      </c>
      <c r="B6614" s="3" t="str">
        <f>HYPERLINK("https://www.773grp.com/manufacturer/onsemi?pageNo=1221", "Onsemi")</f>
        <v>Onsemi</v>
      </c>
      <c r="C6614" s="6">
        <v>10575</v>
      </c>
      <c r="D6614" s="7">
        <v>0.79</v>
      </c>
      <c r="E6614" t="s">
        <v>47</v>
      </c>
    </row>
    <row r="6615" spans="1:5" x14ac:dyDescent="0.25">
      <c r="A6615" t="str">
        <f>HYPERLINK("https://www.773grp.com/globalSearch/MJD32C1G/page-1", "MJD32C1G")</f>
        <v>MJD32C1G</v>
      </c>
      <c r="B6615" s="3" t="str">
        <f>HYPERLINK("https://www.773grp.com/manufacturer/onsemi?pageNo=1222", "Onsemi")</f>
        <v>Onsemi</v>
      </c>
      <c r="C6615" s="6">
        <v>910</v>
      </c>
      <c r="D6615" s="7">
        <v>0.79</v>
      </c>
      <c r="E6615" t="s">
        <v>47</v>
      </c>
    </row>
    <row r="6616" spans="1:5" x14ac:dyDescent="0.25">
      <c r="A6616" t="str">
        <f>HYPERLINK("https://www.773grp.com/globalSearch/MJD32CG/page-1", "MJD32CG")</f>
        <v>MJD32CG</v>
      </c>
      <c r="B6616" s="3" t="str">
        <f>HYPERLINK("https://www.773grp.com/manufacturer/onsemi?pageNo=1223", "Onsemi")</f>
        <v>Onsemi</v>
      </c>
      <c r="C6616" s="6">
        <v>36530</v>
      </c>
      <c r="D6616" s="7">
        <v>0.79</v>
      </c>
      <c r="E6616" t="s">
        <v>47</v>
      </c>
    </row>
    <row r="6617" spans="1:5" x14ac:dyDescent="0.25">
      <c r="A6617" t="str">
        <f>HYPERLINK("https://www.773grp.com/globalSearch/MJD32CT4G/page-1", "MJD32CT4G")</f>
        <v>MJD32CT4G</v>
      </c>
      <c r="B6617" s="3" t="str">
        <f>HYPERLINK("https://www.773grp.com/manufacturer/onsemi?pageNo=1224", "Onsemi")</f>
        <v>Onsemi</v>
      </c>
      <c r="C6617" s="6">
        <v>22500</v>
      </c>
      <c r="D6617" s="7">
        <v>0.79</v>
      </c>
    </row>
    <row r="6618" spans="1:5" x14ac:dyDescent="0.25">
      <c r="A6618" t="str">
        <f>HYPERLINK("https://www.773grp.com/globalSearch/MJD32T4/page-1", "MJD32T4")</f>
        <v>MJD32T4</v>
      </c>
      <c r="B6618" s="3" t="str">
        <f>HYPERLINK("https://www.773grp.com/manufacturer/onsemi?pageNo=1225", "Onsemi")</f>
        <v>Onsemi</v>
      </c>
      <c r="C6618" s="6">
        <v>13610</v>
      </c>
      <c r="D6618" s="7">
        <v>0.79</v>
      </c>
      <c r="E6618" t="s">
        <v>47</v>
      </c>
    </row>
    <row r="6619" spans="1:5" x14ac:dyDescent="0.25">
      <c r="A6619" t="str">
        <f>HYPERLINK("https://www.773grp.com/globalSearch/MJD32T4G/page-1", "MJD32T4G")</f>
        <v>MJD32T4G</v>
      </c>
      <c r="B6619" s="3" t="str">
        <f>HYPERLINK("https://www.773grp.com/manufacturer/onsemi?pageNo=1226", "Onsemi")</f>
        <v>Onsemi</v>
      </c>
      <c r="C6619" s="6">
        <v>27500</v>
      </c>
      <c r="D6619" s="7">
        <v>0.79</v>
      </c>
      <c r="E6619" t="s">
        <v>47</v>
      </c>
    </row>
    <row r="6620" spans="1:5" x14ac:dyDescent="0.25">
      <c r="A6620" t="str">
        <f>HYPERLINK("https://www.773grp.com/globalSearch/MJD42C1/page-1", "MJD42C1")</f>
        <v>MJD42C1</v>
      </c>
      <c r="B6620" s="3" t="str">
        <f>HYPERLINK("https://www.773grp.com/manufacturer/onsemi?pageNo=1227", "Onsemi")</f>
        <v>Onsemi</v>
      </c>
      <c r="C6620" s="6">
        <v>6036</v>
      </c>
      <c r="D6620" s="7">
        <v>0.79</v>
      </c>
      <c r="E6620" t="s">
        <v>47</v>
      </c>
    </row>
    <row r="6621" spans="1:5" x14ac:dyDescent="0.25">
      <c r="A6621" t="str">
        <f>HYPERLINK("https://www.773grp.com/globalSearch/MJE3055T/page-1", "MJE3055T")</f>
        <v>MJE3055T</v>
      </c>
      <c r="B6621" s="3" t="str">
        <f>HYPERLINK("https://www.773grp.com/manufacturer/onsemi?pageNo=1228", "Onsemi")</f>
        <v>Onsemi</v>
      </c>
      <c r="C6621" s="6">
        <v>3147</v>
      </c>
      <c r="D6621" s="7">
        <v>0.79</v>
      </c>
      <c r="E6621" t="s">
        <v>47</v>
      </c>
    </row>
    <row r="6622" spans="1:5" x14ac:dyDescent="0.25">
      <c r="A6622" t="str">
        <f>HYPERLINK("https://www.773grp.com/globalSearch/MJF32C/page-1", "MJF32C")</f>
        <v>MJF32C</v>
      </c>
      <c r="B6622" s="3" t="str">
        <f>HYPERLINK("https://www.773grp.com/manufacturer/onsemi?pageNo=1229", "Onsemi")</f>
        <v>Onsemi</v>
      </c>
      <c r="C6622" s="6">
        <v>900</v>
      </c>
      <c r="D6622" s="7">
        <v>0.79</v>
      </c>
      <c r="E6622" t="s">
        <v>47</v>
      </c>
    </row>
    <row r="6623" spans="1:5" x14ac:dyDescent="0.25">
      <c r="A6623" t="str">
        <f>HYPERLINK("https://www.773grp.com/globalSearch/MMBF4416LT1G/page-1", "MMBF4416LT1G")</f>
        <v>MMBF4416LT1G</v>
      </c>
      <c r="B6623" s="3" t="str">
        <f>HYPERLINK("https://www.773grp.com/manufacturer/onsemi?pageNo=1230", "Onsemi")</f>
        <v>Onsemi</v>
      </c>
      <c r="C6623" s="6">
        <v>8700</v>
      </c>
      <c r="D6623" s="7">
        <v>0.79</v>
      </c>
      <c r="E6623" t="s">
        <v>83</v>
      </c>
    </row>
    <row r="6624" spans="1:5" x14ac:dyDescent="0.25">
      <c r="A6624" t="str">
        <f>HYPERLINK("https://www.773grp.com/globalSearch/MMBV3401LT1G/page-1", "MMBV3401LT1G")</f>
        <v>MMBV3401LT1G</v>
      </c>
      <c r="B6624" s="3" t="str">
        <f>HYPERLINK("https://www.773grp.com/manufacturer/onsemi?pageNo=1231", "Onsemi")</f>
        <v>Onsemi</v>
      </c>
      <c r="C6624" s="6">
        <v>663715</v>
      </c>
      <c r="D6624" s="7">
        <v>0.79</v>
      </c>
      <c r="E6624" t="s">
        <v>89</v>
      </c>
    </row>
    <row r="6625" spans="1:5" x14ac:dyDescent="0.25">
      <c r="A6625" t="str">
        <f>HYPERLINK("https://www.773grp.com/globalSearch/MMJT350T1G/page-1", "MMJT350T1G")</f>
        <v>MMJT350T1G</v>
      </c>
      <c r="B6625" s="3" t="str">
        <f>HYPERLINK("https://www.773grp.com/manufacturer/onsemi?pageNo=1232", "Onsemi")</f>
        <v>Onsemi</v>
      </c>
      <c r="C6625" s="6">
        <v>2000</v>
      </c>
      <c r="D6625" s="7">
        <v>0.79</v>
      </c>
    </row>
    <row r="6626" spans="1:5" x14ac:dyDescent="0.25">
      <c r="A6626" t="str">
        <f>HYPERLINK("https://www.773grp.com/globalSearch/MMT05A230T3/page-1", "MMT05A230T3")</f>
        <v>MMT05A230T3</v>
      </c>
      <c r="B6626" s="3" t="str">
        <f>HYPERLINK("https://www.773grp.com/manufacturer/onsemi?pageNo=1233", "Onsemi")</f>
        <v>Onsemi</v>
      </c>
      <c r="C6626" s="6">
        <v>37355</v>
      </c>
      <c r="D6626" s="7">
        <v>0.79</v>
      </c>
      <c r="E6626" t="s">
        <v>88</v>
      </c>
    </row>
    <row r="6627" spans="1:5" x14ac:dyDescent="0.25">
      <c r="A6627" t="str">
        <f>HYPERLINK("https://www.773grp.com/globalSearch/MMT05A260T3/page-1", "MMT05A260T3")</f>
        <v>MMT05A260T3</v>
      </c>
      <c r="B6627" s="3" t="str">
        <f>HYPERLINK("https://www.773grp.com/manufacturer/onsemi?pageNo=1234", "Onsemi")</f>
        <v>Onsemi</v>
      </c>
      <c r="C6627" s="6">
        <v>9925</v>
      </c>
      <c r="D6627" s="7">
        <v>0.79</v>
      </c>
      <c r="E6627" t="s">
        <v>88</v>
      </c>
    </row>
    <row r="6628" spans="1:5" x14ac:dyDescent="0.25">
      <c r="A6628" t="str">
        <f>HYPERLINK("https://www.773grp.com/globalSearch/MMT05A310T3/page-1", "MMT05A310T3")</f>
        <v>MMT05A310T3</v>
      </c>
      <c r="B6628" s="3" t="str">
        <f>HYPERLINK("https://www.773grp.com/manufacturer/onsemi?pageNo=1235", "Onsemi")</f>
        <v>Onsemi</v>
      </c>
      <c r="C6628" s="6">
        <v>54820</v>
      </c>
      <c r="D6628" s="7">
        <v>0.79</v>
      </c>
      <c r="E6628" t="s">
        <v>88</v>
      </c>
    </row>
    <row r="6629" spans="1:5" x14ac:dyDescent="0.25">
      <c r="A6629" t="str">
        <f>HYPERLINK("https://www.773grp.com/globalSearch/MMT05B230T3/page-1", "MMT05B230T3")</f>
        <v>MMT05B230T3</v>
      </c>
      <c r="B6629" s="3" t="str">
        <f>HYPERLINK("https://www.773grp.com/manufacturer/onsemi?pageNo=1236", "Onsemi")</f>
        <v>Onsemi</v>
      </c>
      <c r="C6629" s="6">
        <v>5000</v>
      </c>
      <c r="D6629" s="7">
        <v>0.79</v>
      </c>
      <c r="E6629" t="s">
        <v>88</v>
      </c>
    </row>
    <row r="6630" spans="1:5" x14ac:dyDescent="0.25">
      <c r="A6630" t="str">
        <f>HYPERLINK("https://www.773grp.com/globalSearch/MMT05B260T3/page-1", "MMT05B260T3")</f>
        <v>MMT05B260T3</v>
      </c>
      <c r="B6630" s="3" t="str">
        <f>HYPERLINK("https://www.773grp.com/manufacturer/onsemi?pageNo=1237", "Onsemi")</f>
        <v>Onsemi</v>
      </c>
      <c r="C6630" s="6">
        <v>2465</v>
      </c>
      <c r="D6630" s="7">
        <v>0.79</v>
      </c>
      <c r="E6630" t="s">
        <v>88</v>
      </c>
    </row>
    <row r="6631" spans="1:5" x14ac:dyDescent="0.25">
      <c r="A6631" t="str">
        <f>HYPERLINK("https://www.773grp.com/globalSearch/MMT05B310T3/page-1", "MMT05B310T3")</f>
        <v>MMT05B310T3</v>
      </c>
      <c r="B6631" s="3" t="str">
        <f>HYPERLINK("https://www.773grp.com/manufacturer/onsemi?pageNo=1238", "Onsemi")</f>
        <v>Onsemi</v>
      </c>
      <c r="C6631" s="6">
        <v>140000</v>
      </c>
      <c r="D6631" s="7">
        <v>0.79</v>
      </c>
      <c r="E6631" t="s">
        <v>88</v>
      </c>
    </row>
    <row r="6632" spans="1:5" x14ac:dyDescent="0.25">
      <c r="A6632" t="str">
        <f>HYPERLINK("https://www.773grp.com/globalSearch/MMT05B350T3/page-1", "MMT05B350T3")</f>
        <v>MMT05B350T3</v>
      </c>
      <c r="B6632" s="3" t="str">
        <f>HYPERLINK("https://www.773grp.com/manufacturer/onsemi?pageNo=1239", "Onsemi")</f>
        <v>Onsemi</v>
      </c>
      <c r="C6632" s="6">
        <v>7500</v>
      </c>
      <c r="D6632" s="7">
        <v>0.79</v>
      </c>
      <c r="E6632" t="s">
        <v>88</v>
      </c>
    </row>
    <row r="6633" spans="1:5" x14ac:dyDescent="0.25">
      <c r="A6633" t="str">
        <f>HYPERLINK("https://www.773grp.com/globalSearch/MMVL109T1G/page-1", "MMVL109T1G")</f>
        <v>MMVL109T1G</v>
      </c>
      <c r="B6633" s="3" t="str">
        <f>HYPERLINK("https://www.773grp.com/manufacturer/onsemi?pageNo=1240", "Onsemi")</f>
        <v>Onsemi</v>
      </c>
      <c r="C6633" s="6">
        <v>2736</v>
      </c>
      <c r="D6633" s="7">
        <v>0.79</v>
      </c>
      <c r="E6633" t="s">
        <v>80</v>
      </c>
    </row>
    <row r="6634" spans="1:5" x14ac:dyDescent="0.25">
      <c r="A6634" t="str">
        <f>HYPERLINK("https://www.773grp.com/globalSearch/MMVL239T1/page-1", "MMVL239T1")</f>
        <v>MMVL239T1</v>
      </c>
      <c r="B6634" s="3" t="str">
        <f>HYPERLINK("https://www.773grp.com/manufacturer/onsemi?pageNo=1241", "Onsemi")</f>
        <v>Onsemi</v>
      </c>
      <c r="C6634" s="6">
        <v>118</v>
      </c>
      <c r="D6634" s="7">
        <v>0.79</v>
      </c>
    </row>
    <row r="6635" spans="1:5" x14ac:dyDescent="0.25">
      <c r="A6635" t="str">
        <f>HYPERLINK("https://www.773grp.com/globalSearch/MMVL535T1/page-1", "MMVL535T1")</f>
        <v>MMVL535T1</v>
      </c>
      <c r="B6635" s="3" t="str">
        <f>HYPERLINK("https://www.773grp.com/manufacturer/onsemi?pageNo=1242", "Onsemi")</f>
        <v>Onsemi</v>
      </c>
      <c r="C6635" s="6">
        <v>29575</v>
      </c>
      <c r="D6635" s="7">
        <v>0.79</v>
      </c>
      <c r="E6635" t="s">
        <v>80</v>
      </c>
    </row>
    <row r="6636" spans="1:5" x14ac:dyDescent="0.25">
      <c r="A6636" t="str">
        <f>HYPERLINK("https://www.773grp.com/globalSearch/MRS1504T3G/page-1", "MRS1504T3G")</f>
        <v>MRS1504T3G</v>
      </c>
      <c r="B6636" s="3" t="str">
        <f>HYPERLINK("https://www.773grp.com/manufacturer/onsemi?pageNo=1243", "Onsemi")</f>
        <v>Onsemi</v>
      </c>
      <c r="C6636" s="6">
        <v>40000</v>
      </c>
      <c r="D6636" s="7">
        <v>0.79</v>
      </c>
      <c r="E6636" t="s">
        <v>82</v>
      </c>
    </row>
    <row r="6637" spans="1:5" x14ac:dyDescent="0.25">
      <c r="A6637" t="str">
        <f>HYPERLINK("https://www.773grp.com/globalSearch/MTD6N10E1/page-1", "MTD6N10E1")</f>
        <v>MTD6N10E1</v>
      </c>
      <c r="B6637" s="3" t="str">
        <f>HYPERLINK("https://www.773grp.com/manufacturer/onsemi?pageNo=1244", "Onsemi")</f>
        <v>Onsemi</v>
      </c>
      <c r="C6637" s="6">
        <v>19015</v>
      </c>
      <c r="D6637" s="7">
        <v>0.79</v>
      </c>
    </row>
    <row r="6638" spans="1:5" x14ac:dyDescent="0.25">
      <c r="A6638" t="str">
        <f>HYPERLINK("https://www.773grp.com/globalSearch/MUR480E/page-1", "MUR480E")</f>
        <v>MUR480E</v>
      </c>
      <c r="B6638" s="3" t="str">
        <f>HYPERLINK("https://www.773grp.com/manufacturer/onsemi?pageNo=1245", "Onsemi")</f>
        <v>Onsemi</v>
      </c>
      <c r="C6638" s="6">
        <v>18030</v>
      </c>
      <c r="D6638" s="7">
        <v>0.79</v>
      </c>
      <c r="E6638" t="s">
        <v>82</v>
      </c>
    </row>
    <row r="6639" spans="1:5" x14ac:dyDescent="0.25">
      <c r="A6639" t="str">
        <f>HYPERLINK("https://www.773grp.com/globalSearch/MUR480ES/page-1", "MUR480ES")</f>
        <v>MUR480ES</v>
      </c>
      <c r="B6639" s="3" t="str">
        <f>HYPERLINK("https://www.773grp.com/manufacturer/onsemi?pageNo=1246", "Onsemi")</f>
        <v>Onsemi</v>
      </c>
      <c r="C6639" s="6">
        <v>21000</v>
      </c>
      <c r="D6639" s="7">
        <v>0.79</v>
      </c>
      <c r="E6639" t="s">
        <v>82</v>
      </c>
    </row>
    <row r="6640" spans="1:5" x14ac:dyDescent="0.25">
      <c r="A6640" t="str">
        <f>HYPERLINK("https://www.773grp.com/globalSearch/MURS110T3/page-1", "MURS110T3")</f>
        <v>MURS110T3</v>
      </c>
      <c r="B6640" s="3" t="str">
        <f>HYPERLINK("https://www.773grp.com/manufacturer/onsemi?pageNo=1247", "Onsemi")</f>
        <v>Onsemi</v>
      </c>
      <c r="C6640" s="6">
        <v>2500</v>
      </c>
      <c r="D6640" s="7">
        <v>0.79</v>
      </c>
    </row>
    <row r="6641" spans="1:5" x14ac:dyDescent="0.25">
      <c r="A6641" t="str">
        <f>HYPERLINK("https://www.773grp.com/globalSearch/MURS115T3/page-1", "MURS115T3")</f>
        <v>MURS115T3</v>
      </c>
      <c r="B6641" s="3" t="str">
        <f>HYPERLINK("https://www.773grp.com/manufacturer/onsemi?pageNo=1248", "Onsemi")</f>
        <v>Onsemi</v>
      </c>
      <c r="C6641" s="6">
        <v>15000</v>
      </c>
      <c r="D6641" s="7">
        <v>0.79</v>
      </c>
    </row>
    <row r="6642" spans="1:5" x14ac:dyDescent="0.25">
      <c r="A6642" t="str">
        <f>HYPERLINK("https://www.773grp.com/globalSearch/MURS120T3/page-1", "MURS120T3")</f>
        <v>MURS120T3</v>
      </c>
      <c r="B6642" s="3" t="str">
        <f>HYPERLINK("https://www.773grp.com/manufacturer/onsemi?pageNo=1249", "Onsemi")</f>
        <v>Onsemi</v>
      </c>
      <c r="C6642" s="6">
        <v>34000</v>
      </c>
      <c r="D6642" s="7">
        <v>0.79</v>
      </c>
    </row>
    <row r="6643" spans="1:5" x14ac:dyDescent="0.25">
      <c r="A6643" t="str">
        <f>HYPERLINK("https://www.773grp.com/globalSearch/MURS140T3/page-1", "MURS140T3")</f>
        <v>MURS140T3</v>
      </c>
      <c r="B6643" s="3" t="str">
        <f>HYPERLINK("https://www.773grp.com/manufacturer/onsemi?pageNo=1250", "Onsemi")</f>
        <v>Onsemi</v>
      </c>
      <c r="C6643" s="6">
        <v>25000</v>
      </c>
      <c r="D6643" s="7">
        <v>0.79</v>
      </c>
    </row>
    <row r="6644" spans="1:5" x14ac:dyDescent="0.25">
      <c r="A6644" t="str">
        <f>HYPERLINK("https://www.773grp.com/globalSearch/NCP102SNT1G/page-1", "NCP102SNT1G")</f>
        <v>NCP102SNT1G</v>
      </c>
      <c r="B6644" s="3" t="str">
        <f>HYPERLINK("https://www.773grp.com/manufacturer/onsemi?pageNo=1251", "Onsemi")</f>
        <v>Onsemi</v>
      </c>
      <c r="C6644" s="6">
        <v>159000</v>
      </c>
      <c r="D6644" s="7">
        <v>0.79</v>
      </c>
      <c r="E6644" t="s">
        <v>5</v>
      </c>
    </row>
    <row r="6645" spans="1:5" x14ac:dyDescent="0.25">
      <c r="A6645" t="str">
        <f>HYPERLINK("https://www.773grp.com/globalSearch/NCP1117ST12T3G/page-1", "NCP1117ST12T3G")</f>
        <v>NCP1117ST12T3G</v>
      </c>
      <c r="B6645" s="3" t="str">
        <f>HYPERLINK("https://www.773grp.com/manufacturer/onsemi?pageNo=1252", "Onsemi")</f>
        <v>Onsemi</v>
      </c>
      <c r="C6645" s="6">
        <v>411586</v>
      </c>
      <c r="D6645" s="7">
        <v>0.79</v>
      </c>
      <c r="E6645" t="s">
        <v>15</v>
      </c>
    </row>
    <row r="6646" spans="1:5" x14ac:dyDescent="0.25">
      <c r="A6646" t="str">
        <f>HYPERLINK("https://www.773grp.com/globalSearch/NCP1117ST15T3G/page-1", "NCP1117ST15T3G")</f>
        <v>NCP1117ST15T3G</v>
      </c>
      <c r="B6646" s="3" t="str">
        <f>HYPERLINK("https://www.773grp.com/manufacturer/onsemi?pageNo=1253", "Onsemi")</f>
        <v>Onsemi</v>
      </c>
      <c r="C6646" s="6">
        <v>30360</v>
      </c>
      <c r="D6646" s="7">
        <v>0.79</v>
      </c>
      <c r="E6646" t="s">
        <v>15</v>
      </c>
    </row>
    <row r="6647" spans="1:5" x14ac:dyDescent="0.25">
      <c r="A6647" t="str">
        <f>HYPERLINK("https://www.773grp.com/globalSearch/NCP1117ST18T3G/page-1", "NCP1117ST18T3G")</f>
        <v>NCP1117ST18T3G</v>
      </c>
      <c r="B6647" s="3" t="str">
        <f>HYPERLINK("https://www.773grp.com/manufacturer/onsemi?pageNo=1254", "Onsemi")</f>
        <v>Onsemi</v>
      </c>
      <c r="C6647" s="6">
        <v>112614</v>
      </c>
      <c r="D6647" s="7">
        <v>0.79</v>
      </c>
      <c r="E6647" t="s">
        <v>15</v>
      </c>
    </row>
    <row r="6648" spans="1:5" x14ac:dyDescent="0.25">
      <c r="A6648" t="str">
        <f>HYPERLINK("https://www.773grp.com/globalSearch/NCP1117ST20T3G/page-1", "NCP1117ST20T3G")</f>
        <v>NCP1117ST20T3G</v>
      </c>
      <c r="B6648" s="3" t="str">
        <f>HYPERLINK("https://www.773grp.com/manufacturer/onsemi?pageNo=1255", "Onsemi")</f>
        <v>Onsemi</v>
      </c>
      <c r="C6648" s="6">
        <v>151131</v>
      </c>
      <c r="D6648" s="7">
        <v>0.79</v>
      </c>
      <c r="E6648" t="s">
        <v>15</v>
      </c>
    </row>
    <row r="6649" spans="1:5" x14ac:dyDescent="0.25">
      <c r="A6649" t="str">
        <f>HYPERLINK("https://www.773grp.com/globalSearch/NCP1117ST25T3G/page-1", "NCP1117ST25T3G")</f>
        <v>NCP1117ST25T3G</v>
      </c>
      <c r="B6649" s="3" t="str">
        <f>HYPERLINK("https://www.773grp.com/manufacturer/onsemi?pageNo=1256", "Onsemi")</f>
        <v>Onsemi</v>
      </c>
      <c r="C6649" s="6">
        <v>386642</v>
      </c>
      <c r="D6649" s="7">
        <v>0.79</v>
      </c>
      <c r="E6649" t="s">
        <v>15</v>
      </c>
    </row>
    <row r="6650" spans="1:5" x14ac:dyDescent="0.25">
      <c r="A6650" t="str">
        <f>HYPERLINK("https://www.773grp.com/globalSearch/NCP1117ST285T3G/page-1", "NCP1117ST285T3G")</f>
        <v>NCP1117ST285T3G</v>
      </c>
      <c r="B6650" s="3" t="str">
        <f>HYPERLINK("https://www.773grp.com/manufacturer/onsemi?pageNo=1257", "Onsemi")</f>
        <v>Onsemi</v>
      </c>
      <c r="C6650" s="6">
        <v>5786</v>
      </c>
      <c r="D6650" s="7">
        <v>0.79</v>
      </c>
      <c r="E6650" t="s">
        <v>15</v>
      </c>
    </row>
    <row r="6651" spans="1:5" x14ac:dyDescent="0.25">
      <c r="A6651" t="str">
        <f>HYPERLINK("https://www.773grp.com/globalSearch/NCP1117ST33T3G/page-1", "NCP1117ST33T3G")</f>
        <v>NCP1117ST33T3G</v>
      </c>
      <c r="B6651" s="3" t="str">
        <f>HYPERLINK("https://www.773grp.com/manufacturer/onsemi?pageNo=1258", "Onsemi")</f>
        <v>Onsemi</v>
      </c>
      <c r="C6651" s="6">
        <v>320595</v>
      </c>
      <c r="D6651" s="7">
        <v>0.79</v>
      </c>
      <c r="E6651" t="s">
        <v>15</v>
      </c>
    </row>
    <row r="6652" spans="1:5" x14ac:dyDescent="0.25">
      <c r="A6652" t="str">
        <f>HYPERLINK("https://www.773grp.com/globalSearch/NCP1117ST50T3G/page-1", "NCP1117ST50T3G")</f>
        <v>NCP1117ST50T3G</v>
      </c>
      <c r="B6652" s="3" t="str">
        <f>HYPERLINK("https://www.773grp.com/manufacturer/onsemi?pageNo=1259", "Onsemi")</f>
        <v>Onsemi</v>
      </c>
      <c r="C6652" s="6">
        <v>120000</v>
      </c>
      <c r="D6652" s="7">
        <v>0.79</v>
      </c>
      <c r="E6652" t="s">
        <v>15</v>
      </c>
    </row>
    <row r="6653" spans="1:5" x14ac:dyDescent="0.25">
      <c r="A6653" t="str">
        <f>HYPERLINK("https://www.773grp.com/globalSearch/NCP1117STAT3G/page-1", "NCP1117STAT3G")</f>
        <v>NCP1117STAT3G</v>
      </c>
      <c r="B6653" s="3" t="str">
        <f>HYPERLINK("https://www.773grp.com/manufacturer/onsemi?pageNo=1260", "Onsemi")</f>
        <v>Onsemi</v>
      </c>
      <c r="C6653" s="6">
        <v>138917</v>
      </c>
      <c r="D6653" s="7">
        <v>0.79</v>
      </c>
      <c r="E6653" t="s">
        <v>21</v>
      </c>
    </row>
    <row r="6654" spans="1:5" x14ac:dyDescent="0.25">
      <c r="A6654" t="str">
        <f>HYPERLINK("https://www.773grp.com/globalSearch/NCP1200AD60R2G/page-1", "NCP1200AD60R2G")</f>
        <v>NCP1200AD60R2G</v>
      </c>
      <c r="B6654" s="3" t="str">
        <f>HYPERLINK("https://www.773grp.com/manufacturer/onsemi?pageNo=1261", "Onsemi")</f>
        <v>Onsemi</v>
      </c>
      <c r="C6654" s="6">
        <v>3000</v>
      </c>
      <c r="D6654" s="7">
        <v>0.79</v>
      </c>
      <c r="E6654" t="s">
        <v>5</v>
      </c>
    </row>
    <row r="6655" spans="1:5" x14ac:dyDescent="0.25">
      <c r="A6655" t="str">
        <f>HYPERLINK("https://www.773grp.com/globalSearch/NCP1200D100R2/page-1", "NCP1200D100R2")</f>
        <v>NCP1200D100R2</v>
      </c>
      <c r="B6655" s="3" t="str">
        <f>HYPERLINK("https://www.773grp.com/manufacturer/onsemi?pageNo=1262", "Onsemi")</f>
        <v>Onsemi</v>
      </c>
      <c r="C6655" s="6">
        <v>9590</v>
      </c>
      <c r="D6655" s="7">
        <v>0.79</v>
      </c>
      <c r="E6655" t="s">
        <v>5</v>
      </c>
    </row>
    <row r="6656" spans="1:5" x14ac:dyDescent="0.25">
      <c r="A6656" t="str">
        <f>HYPERLINK("https://www.773grp.com/globalSearch/NCP1200D40R2/page-1", "NCP1200D40R2")</f>
        <v>NCP1200D40R2</v>
      </c>
      <c r="B6656" s="3" t="str">
        <f>HYPERLINK("https://www.773grp.com/manufacturer/onsemi?pageNo=1263", "Onsemi")</f>
        <v>Onsemi</v>
      </c>
      <c r="C6656" s="6">
        <v>9983</v>
      </c>
      <c r="D6656" s="7">
        <v>0.79</v>
      </c>
      <c r="E6656" t="s">
        <v>5</v>
      </c>
    </row>
    <row r="6657" spans="1:5" x14ac:dyDescent="0.25">
      <c r="A6657" t="str">
        <f>HYPERLINK("https://www.773grp.com/globalSearch/NCP1200D60R2/page-1", "NCP1200D60R2")</f>
        <v>NCP1200D60R2</v>
      </c>
      <c r="B6657" s="3" t="str">
        <f>HYPERLINK("https://www.773grp.com/manufacturer/onsemi?pageNo=1264", "Onsemi")</f>
        <v>Onsemi</v>
      </c>
      <c r="C6657" s="6">
        <v>2401</v>
      </c>
      <c r="D6657" s="7">
        <v>0.79</v>
      </c>
      <c r="E6657" t="s">
        <v>5</v>
      </c>
    </row>
    <row r="6658" spans="1:5" x14ac:dyDescent="0.25">
      <c r="A6658" t="str">
        <f>HYPERLINK("https://www.773grp.com/globalSearch/NCP1201D100R2/page-1", "NCP1201D100R2")</f>
        <v>NCP1201D100R2</v>
      </c>
      <c r="B6658" s="3" t="str">
        <f>HYPERLINK("https://www.773grp.com/manufacturer/onsemi?pageNo=1265", "Onsemi")</f>
        <v>Onsemi</v>
      </c>
      <c r="C6658" s="6">
        <v>15000</v>
      </c>
      <c r="D6658" s="7">
        <v>0.79</v>
      </c>
      <c r="E6658" t="s">
        <v>5</v>
      </c>
    </row>
    <row r="6659" spans="1:5" x14ac:dyDescent="0.25">
      <c r="A6659" t="str">
        <f>HYPERLINK("https://www.773grp.com/globalSearch/NCP1201D60R2/page-1", "NCP1201D60R2")</f>
        <v>NCP1201D60R2</v>
      </c>
      <c r="B6659" s="3" t="str">
        <f>HYPERLINK("https://www.773grp.com/manufacturer/onsemi?pageNo=1266", "Onsemi")</f>
        <v>Onsemi</v>
      </c>
      <c r="C6659" s="6">
        <v>25000</v>
      </c>
      <c r="D6659" s="7">
        <v>0.79</v>
      </c>
      <c r="E6659" t="s">
        <v>5</v>
      </c>
    </row>
    <row r="6660" spans="1:5" x14ac:dyDescent="0.25">
      <c r="A6660" t="str">
        <f>HYPERLINK("https://www.773grp.com/globalSearch/NCP1201D60R2G/page-1", "NCP1201D60R2G")</f>
        <v>NCP1201D60R2G</v>
      </c>
      <c r="B6660" s="3" t="str">
        <f>HYPERLINK("https://www.773grp.com/manufacturer/onsemi?pageNo=1267", "Onsemi")</f>
        <v>Onsemi</v>
      </c>
      <c r="C6660" s="6">
        <v>12479</v>
      </c>
      <c r="D6660" s="7">
        <v>0.79</v>
      </c>
      <c r="E6660" t="s">
        <v>5</v>
      </c>
    </row>
    <row r="6661" spans="1:5" x14ac:dyDescent="0.25">
      <c r="A6661" t="str">
        <f>HYPERLINK("https://www.773grp.com/globalSearch/NCP1203D100R2/page-1", "NCP1203D100R2")</f>
        <v>NCP1203D100R2</v>
      </c>
      <c r="B6661" s="3" t="str">
        <f>HYPERLINK("https://www.773grp.com/manufacturer/onsemi?pageNo=1268", "Onsemi")</f>
        <v>Onsemi</v>
      </c>
      <c r="C6661" s="6">
        <v>60600</v>
      </c>
      <c r="D6661" s="7">
        <v>0.79</v>
      </c>
      <c r="E6661" t="s">
        <v>5</v>
      </c>
    </row>
    <row r="6662" spans="1:5" x14ac:dyDescent="0.25">
      <c r="A6662" t="str">
        <f>HYPERLINK("https://www.773grp.com/globalSearch/NCP1203D40R2/page-1", "NCP1203D40R2")</f>
        <v>NCP1203D40R2</v>
      </c>
      <c r="B6662" s="3" t="str">
        <f>HYPERLINK("https://www.773grp.com/manufacturer/onsemi?pageNo=1269", "Onsemi")</f>
        <v>Onsemi</v>
      </c>
      <c r="C6662" s="6">
        <v>30000</v>
      </c>
      <c r="D6662" s="7">
        <v>0.79</v>
      </c>
      <c r="E6662" t="s">
        <v>5</v>
      </c>
    </row>
    <row r="6663" spans="1:5" x14ac:dyDescent="0.25">
      <c r="A6663" t="str">
        <f>HYPERLINK("https://www.773grp.com/globalSearch/NCP1203D60R2/page-1", "NCP1203D60R2")</f>
        <v>NCP1203D60R2</v>
      </c>
      <c r="B6663" s="3" t="str">
        <f>HYPERLINK("https://www.773grp.com/manufacturer/onsemi?pageNo=1270", "Onsemi")</f>
        <v>Onsemi</v>
      </c>
      <c r="C6663" s="6">
        <v>100561</v>
      </c>
      <c r="D6663" s="7">
        <v>0.79</v>
      </c>
      <c r="E6663" t="s">
        <v>5</v>
      </c>
    </row>
    <row r="6664" spans="1:5" x14ac:dyDescent="0.25">
      <c r="A6664" t="str">
        <f>HYPERLINK("https://www.773grp.com/globalSearch/NCP1253ASN100T1G/page-1", "NCP1253ASN100T1G")</f>
        <v>NCP1253ASN100T1G</v>
      </c>
      <c r="B6664" s="3" t="str">
        <f>HYPERLINK("https://www.773grp.com/manufacturer/onsemi?pageNo=1271", "Onsemi")</f>
        <v>Onsemi</v>
      </c>
      <c r="C6664" s="6">
        <v>21000</v>
      </c>
      <c r="D6664" s="7">
        <v>0.79</v>
      </c>
    </row>
    <row r="6665" spans="1:5" x14ac:dyDescent="0.25">
      <c r="A6665" t="str">
        <f>HYPERLINK("https://www.773grp.com/globalSearch/NCP1400ASN22T1/page-1", "NCP1400ASN22T1")</f>
        <v>NCP1400ASN22T1</v>
      </c>
      <c r="B6665" s="3" t="str">
        <f>HYPERLINK("https://www.773grp.com/manufacturer/onsemi?pageNo=1272", "Onsemi")</f>
        <v>Onsemi</v>
      </c>
      <c r="C6665" s="6">
        <v>92940</v>
      </c>
      <c r="D6665" s="7">
        <v>0.79</v>
      </c>
      <c r="E6665" t="s">
        <v>5</v>
      </c>
    </row>
    <row r="6666" spans="1:5" x14ac:dyDescent="0.25">
      <c r="A6666" t="str">
        <f>HYPERLINK("https://www.773grp.com/globalSearch/NCP1400ASN30T1/page-1", "NCP1400ASN30T1")</f>
        <v>NCP1400ASN30T1</v>
      </c>
      <c r="B6666" s="3" t="str">
        <f>HYPERLINK("https://www.773grp.com/manufacturer/onsemi?pageNo=1273", "Onsemi")</f>
        <v>Onsemi</v>
      </c>
      <c r="C6666" s="6">
        <v>2912</v>
      </c>
      <c r="D6666" s="7">
        <v>0.79</v>
      </c>
      <c r="E6666" t="s">
        <v>5</v>
      </c>
    </row>
    <row r="6667" spans="1:5" x14ac:dyDescent="0.25">
      <c r="A6667" t="str">
        <f>HYPERLINK("https://www.773grp.com/globalSearch/NCP1400ASN45T1/page-1", "NCP1400ASN45T1")</f>
        <v>NCP1400ASN45T1</v>
      </c>
      <c r="B6667" s="3" t="str">
        <f>HYPERLINK("https://www.773grp.com/manufacturer/onsemi?pageNo=1274", "Onsemi")</f>
        <v>Onsemi</v>
      </c>
      <c r="C6667" s="6">
        <v>24000</v>
      </c>
      <c r="D6667" s="7">
        <v>0.79</v>
      </c>
      <c r="E6667" t="s">
        <v>5</v>
      </c>
    </row>
    <row r="6668" spans="1:5" x14ac:dyDescent="0.25">
      <c r="A6668" t="str">
        <f>HYPERLINK("https://www.773grp.com/globalSearch/NCP300HSN47T1/page-1", "NCP300HSN47T1")</f>
        <v>NCP300HSN47T1</v>
      </c>
      <c r="B6668" s="3" t="str">
        <f>HYPERLINK("https://www.773grp.com/manufacturer/onsemi?pageNo=1275", "Onsemi")</f>
        <v>Onsemi</v>
      </c>
      <c r="C6668" s="6">
        <v>9000</v>
      </c>
      <c r="D6668" s="7">
        <v>0.79</v>
      </c>
      <c r="E6668" t="s">
        <v>26</v>
      </c>
    </row>
    <row r="6669" spans="1:5" x14ac:dyDescent="0.25">
      <c r="A6669" t="str">
        <f>HYPERLINK("https://www.773grp.com/globalSearch/NCP302HSN40T1/page-1", "NCP302HSN40T1")</f>
        <v>NCP302HSN40T1</v>
      </c>
      <c r="B6669" s="3" t="str">
        <f>HYPERLINK("https://www.773grp.com/manufacturer/onsemi?pageNo=1276", "Onsemi")</f>
        <v>Onsemi</v>
      </c>
      <c r="C6669" s="6">
        <v>6000</v>
      </c>
      <c r="D6669" s="7">
        <v>0.79</v>
      </c>
      <c r="E6669" t="s">
        <v>26</v>
      </c>
    </row>
    <row r="6670" spans="1:5" x14ac:dyDescent="0.25">
      <c r="A6670" t="str">
        <f>HYPERLINK("https://www.773grp.com/globalSearch/NCP302LSN43T1/page-1", "NCP302LSN43T1")</f>
        <v>NCP302LSN43T1</v>
      </c>
      <c r="B6670" s="3" t="str">
        <f>HYPERLINK("https://www.773grp.com/manufacturer/onsemi?pageNo=1277", "Onsemi")</f>
        <v>Onsemi</v>
      </c>
      <c r="C6670" s="6">
        <v>21000</v>
      </c>
      <c r="D6670" s="7">
        <v>0.79</v>
      </c>
      <c r="E6670" t="s">
        <v>26</v>
      </c>
    </row>
    <row r="6671" spans="1:5" x14ac:dyDescent="0.25">
      <c r="A6671" t="str">
        <f>HYPERLINK("https://www.773grp.com/globalSearch/NCP303LSN16T1/page-1", "NCP303LSN16T1")</f>
        <v>NCP303LSN16T1</v>
      </c>
      <c r="B6671" s="3" t="str">
        <f>HYPERLINK("https://www.773grp.com/manufacturer/onsemi?pageNo=1278", "Onsemi")</f>
        <v>Onsemi</v>
      </c>
      <c r="C6671" s="6">
        <v>2880</v>
      </c>
      <c r="D6671" s="7">
        <v>0.79</v>
      </c>
      <c r="E6671" t="s">
        <v>26</v>
      </c>
    </row>
    <row r="6672" spans="1:5" x14ac:dyDescent="0.25">
      <c r="A6672" t="str">
        <f>HYPERLINK("https://www.773grp.com/globalSearch/NCP303LSN32T1/page-1", "NCP303LSN32T1")</f>
        <v>NCP303LSN32T1</v>
      </c>
      <c r="B6672" s="3" t="str">
        <f>HYPERLINK("https://www.773grp.com/manufacturer/onsemi?pageNo=1279", "Onsemi")</f>
        <v>Onsemi</v>
      </c>
      <c r="C6672" s="6">
        <v>2950</v>
      </c>
      <c r="D6672" s="7">
        <v>0.79</v>
      </c>
      <c r="E6672" t="s">
        <v>26</v>
      </c>
    </row>
    <row r="6673" spans="1:5" x14ac:dyDescent="0.25">
      <c r="A6673" t="str">
        <f>HYPERLINK("https://www.773grp.com/globalSearch/NCP303LSN34T1/page-1", "NCP303LSN34T1")</f>
        <v>NCP303LSN34T1</v>
      </c>
      <c r="B6673" s="3" t="str">
        <f>HYPERLINK("https://www.773grp.com/manufacturer/onsemi?pageNo=1280", "Onsemi")</f>
        <v>Onsemi</v>
      </c>
      <c r="C6673" s="6">
        <v>11960</v>
      </c>
      <c r="D6673" s="7">
        <v>0.79</v>
      </c>
      <c r="E6673" t="s">
        <v>26</v>
      </c>
    </row>
    <row r="6674" spans="1:5" x14ac:dyDescent="0.25">
      <c r="A6674" t="str">
        <f>HYPERLINK("https://www.773grp.com/globalSearch/NCP303LSN42T1/page-1", "NCP303LSN42T1")</f>
        <v>NCP303LSN42T1</v>
      </c>
      <c r="B6674" s="3" t="str">
        <f>HYPERLINK("https://www.773grp.com/manufacturer/onsemi?pageNo=1281", "Onsemi")</f>
        <v>Onsemi</v>
      </c>
      <c r="C6674" s="6">
        <v>12980</v>
      </c>
      <c r="D6674" s="7">
        <v>0.79</v>
      </c>
      <c r="E6674" t="s">
        <v>26</v>
      </c>
    </row>
    <row r="6675" spans="1:5" x14ac:dyDescent="0.25">
      <c r="A6675" t="str">
        <f>HYPERLINK("https://www.773grp.com/globalSearch/NCP380HMU05AATBG/page-1", "NCP380HMU05AATBG")</f>
        <v>NCP380HMU05AATBG</v>
      </c>
      <c r="B6675" s="3" t="str">
        <f>HYPERLINK("https://www.773grp.com/manufacturer/onsemi?pageNo=1282", "Onsemi")</f>
        <v>Onsemi</v>
      </c>
      <c r="C6675" s="6">
        <v>18000</v>
      </c>
      <c r="D6675" s="7">
        <v>0.79</v>
      </c>
    </row>
    <row r="6676" spans="1:5" x14ac:dyDescent="0.25">
      <c r="A6676" t="str">
        <f>HYPERLINK("https://www.773grp.com/globalSearch/NCP380HMU15AATBG/page-1", "NCP380HMU15AATBG")</f>
        <v>NCP380HMU15AATBG</v>
      </c>
      <c r="B6676" s="3" t="str">
        <f>HYPERLINK("https://www.773grp.com/manufacturer/onsemi?pageNo=1283", "Onsemi")</f>
        <v>Onsemi</v>
      </c>
      <c r="C6676" s="6">
        <v>3000</v>
      </c>
      <c r="D6676" s="7">
        <v>0.79</v>
      </c>
    </row>
    <row r="6677" spans="1:5" x14ac:dyDescent="0.25">
      <c r="A6677" t="str">
        <f>HYPERLINK("https://www.773grp.com/globalSearch/NCP380HMU21AATBG/page-1", "NCP380HMU21AATBG")</f>
        <v>NCP380HMU21AATBG</v>
      </c>
      <c r="B6677" s="3" t="str">
        <f>HYPERLINK("https://www.773grp.com/manufacturer/onsemi?pageNo=1284", "Onsemi")</f>
        <v>Onsemi</v>
      </c>
      <c r="C6677" s="6">
        <v>6000</v>
      </c>
      <c r="D6677" s="7">
        <v>0.79</v>
      </c>
    </row>
    <row r="6678" spans="1:5" x14ac:dyDescent="0.25">
      <c r="A6678" t="str">
        <f>HYPERLINK("https://www.773grp.com/globalSearch/NCP380LMU05AATBG/page-1", "NCP380LMU05AATBG")</f>
        <v>NCP380LMU05AATBG</v>
      </c>
      <c r="B6678" s="3" t="str">
        <f>HYPERLINK("https://www.773grp.com/manufacturer/onsemi?pageNo=1285", "Onsemi")</f>
        <v>Onsemi</v>
      </c>
      <c r="C6678" s="6">
        <v>3000</v>
      </c>
      <c r="D6678" s="7">
        <v>0.79</v>
      </c>
    </row>
    <row r="6679" spans="1:5" x14ac:dyDescent="0.25">
      <c r="A6679" t="str">
        <f>HYPERLINK("https://www.773grp.com/globalSearch/NCP380LMU15AATBG/page-1", "NCP380LMU15AATBG")</f>
        <v>NCP380LMU15AATBG</v>
      </c>
      <c r="B6679" s="3" t="str">
        <f>HYPERLINK("https://www.773grp.com/manufacturer/onsemi?pageNo=1286", "Onsemi")</f>
        <v>Onsemi</v>
      </c>
      <c r="C6679" s="6">
        <v>9000</v>
      </c>
      <c r="D6679" s="7">
        <v>0.79</v>
      </c>
    </row>
    <row r="6680" spans="1:5" x14ac:dyDescent="0.25">
      <c r="A6680" t="str">
        <f>HYPERLINK("https://www.773grp.com/globalSearch/NCP435FCT2G/page-1", "NCP435FCT2G")</f>
        <v>NCP435FCT2G</v>
      </c>
      <c r="B6680" s="3" t="str">
        <f>HYPERLINK("https://www.773grp.com/manufacturer/onsemi?pageNo=1287", "Onsemi")</f>
        <v>Onsemi</v>
      </c>
      <c r="C6680" s="6">
        <v>327000</v>
      </c>
      <c r="D6680" s="7">
        <v>0.79</v>
      </c>
    </row>
    <row r="6681" spans="1:5" x14ac:dyDescent="0.25">
      <c r="A6681" t="str">
        <f>HYPERLINK("https://www.773grp.com/globalSearch/NCP508MT15TBG/page-1", "NCP508MT15TBG")</f>
        <v>NCP508MT15TBG</v>
      </c>
      <c r="B6681" s="3" t="str">
        <f>HYPERLINK("https://www.773grp.com/manufacturer/onsemi?pageNo=1288", "Onsemi")</f>
        <v>Onsemi</v>
      </c>
      <c r="C6681" s="6">
        <v>6000</v>
      </c>
      <c r="D6681" s="7">
        <v>0.79</v>
      </c>
    </row>
    <row r="6682" spans="1:5" x14ac:dyDescent="0.25">
      <c r="A6682" t="str">
        <f>HYPERLINK("https://www.773grp.com/globalSearch/NCP508MT18TBG/page-1", "NCP508MT18TBG")</f>
        <v>NCP508MT18TBG</v>
      </c>
      <c r="B6682" s="3" t="str">
        <f>HYPERLINK("https://www.773grp.com/manufacturer/onsemi?pageNo=1289", "Onsemi")</f>
        <v>Onsemi</v>
      </c>
      <c r="C6682" s="6">
        <v>27000</v>
      </c>
      <c r="D6682" s="7">
        <v>0.79</v>
      </c>
    </row>
    <row r="6683" spans="1:5" x14ac:dyDescent="0.25">
      <c r="A6683" t="str">
        <f>HYPERLINK("https://www.773grp.com/globalSearch/NCP508MT25TBG/page-1", "NCP508MT25TBG")</f>
        <v>NCP508MT25TBG</v>
      </c>
      <c r="B6683" s="3" t="str">
        <f>HYPERLINK("https://www.773grp.com/manufacturer/onsemi?pageNo=1290", "Onsemi")</f>
        <v>Onsemi</v>
      </c>
      <c r="C6683" s="6">
        <v>9000</v>
      </c>
      <c r="D6683" s="7">
        <v>0.79</v>
      </c>
    </row>
    <row r="6684" spans="1:5" x14ac:dyDescent="0.25">
      <c r="A6684" t="str">
        <f>HYPERLINK("https://www.773grp.com/globalSearch/NCP508MT28TBG/page-1", "NCP508MT28TBG")</f>
        <v>NCP508MT28TBG</v>
      </c>
      <c r="B6684" s="3" t="str">
        <f>HYPERLINK("https://www.773grp.com/manufacturer/onsemi?pageNo=1291", "Onsemi")</f>
        <v>Onsemi</v>
      </c>
      <c r="C6684" s="6">
        <v>6000</v>
      </c>
      <c r="D6684" s="7">
        <v>0.79</v>
      </c>
    </row>
    <row r="6685" spans="1:5" x14ac:dyDescent="0.25">
      <c r="A6685" t="str">
        <f>HYPERLINK("https://www.773grp.com/globalSearch/NCP508MT30TBG/page-1", "NCP508MT30TBG")</f>
        <v>NCP508MT30TBG</v>
      </c>
      <c r="B6685" s="3" t="str">
        <f>HYPERLINK("https://www.773grp.com/manufacturer/onsemi?pageNo=1292", "Onsemi")</f>
        <v>Onsemi</v>
      </c>
      <c r="C6685" s="6">
        <v>42000</v>
      </c>
      <c r="D6685" s="7">
        <v>0.79</v>
      </c>
    </row>
    <row r="6686" spans="1:5" x14ac:dyDescent="0.25">
      <c r="A6686" t="str">
        <f>HYPERLINK("https://www.773grp.com/globalSearch/NCP508MT33TBG/page-1", "NCP508MT33TBG")</f>
        <v>NCP508MT33TBG</v>
      </c>
      <c r="B6686" s="3" t="str">
        <f>HYPERLINK("https://www.773grp.com/manufacturer/onsemi?pageNo=1293", "Onsemi")</f>
        <v>Onsemi</v>
      </c>
      <c r="C6686" s="6">
        <v>8000</v>
      </c>
      <c r="D6686" s="7">
        <v>0.79</v>
      </c>
    </row>
    <row r="6687" spans="1:5" x14ac:dyDescent="0.25">
      <c r="A6687" t="str">
        <f>HYPERLINK("https://www.773grp.com/globalSearch/NCP508SQ15T1G/page-1", "NCP508SQ15T1G")</f>
        <v>NCP508SQ15T1G</v>
      </c>
      <c r="B6687" s="3" t="str">
        <f>HYPERLINK("https://www.773grp.com/manufacturer/onsemi?pageNo=1294", "Onsemi")</f>
        <v>Onsemi</v>
      </c>
      <c r="C6687" s="6">
        <v>297000</v>
      </c>
      <c r="D6687" s="7">
        <v>0.79</v>
      </c>
      <c r="E6687" t="s">
        <v>15</v>
      </c>
    </row>
    <row r="6688" spans="1:5" x14ac:dyDescent="0.25">
      <c r="A6688" t="str">
        <f>HYPERLINK("https://www.773grp.com/globalSearch/NCP508SQ18T1G/page-1", "NCP508SQ18T1G")</f>
        <v>NCP508SQ18T1G</v>
      </c>
      <c r="B6688" s="3" t="str">
        <f>HYPERLINK("https://www.773grp.com/manufacturer/onsemi?pageNo=1295", "Onsemi")</f>
        <v>Onsemi</v>
      </c>
      <c r="C6688" s="6">
        <v>2790</v>
      </c>
      <c r="D6688" s="7">
        <v>0.79</v>
      </c>
    </row>
    <row r="6689" spans="1:5" x14ac:dyDescent="0.25">
      <c r="A6689" t="str">
        <f>HYPERLINK("https://www.773grp.com/globalSearch/NCP508SQ25T1G/page-1", "NCP508SQ25T1G")</f>
        <v>NCP508SQ25T1G</v>
      </c>
      <c r="B6689" s="3" t="str">
        <f>HYPERLINK("https://www.773grp.com/manufacturer/onsemi?pageNo=1296", "Onsemi")</f>
        <v>Onsemi</v>
      </c>
      <c r="C6689" s="6">
        <v>6000</v>
      </c>
      <c r="D6689" s="7">
        <v>0.79</v>
      </c>
      <c r="E6689" t="s">
        <v>15</v>
      </c>
    </row>
    <row r="6690" spans="1:5" x14ac:dyDescent="0.25">
      <c r="A6690" t="str">
        <f>HYPERLINK("https://www.773grp.com/globalSearch/NCP508SQ28T1G/page-1", "NCP508SQ28T1G")</f>
        <v>NCP508SQ28T1G</v>
      </c>
      <c r="B6690" s="3" t="str">
        <f>HYPERLINK("https://www.773grp.com/manufacturer/onsemi?pageNo=1297", "Onsemi")</f>
        <v>Onsemi</v>
      </c>
      <c r="C6690" s="6">
        <v>5900</v>
      </c>
      <c r="D6690" s="7">
        <v>0.79</v>
      </c>
    </row>
    <row r="6691" spans="1:5" x14ac:dyDescent="0.25">
      <c r="A6691" t="str">
        <f>HYPERLINK("https://www.773grp.com/globalSearch/NCP508SQ30T1G/page-1", "NCP508SQ30T1G")</f>
        <v>NCP508SQ30T1G</v>
      </c>
      <c r="B6691" s="3" t="str">
        <f>HYPERLINK("https://www.773grp.com/manufacturer/onsemi?pageNo=1298", "Onsemi")</f>
        <v>Onsemi</v>
      </c>
      <c r="C6691" s="6">
        <v>6000</v>
      </c>
      <c r="D6691" s="7">
        <v>0.79</v>
      </c>
      <c r="E6691" t="s">
        <v>15</v>
      </c>
    </row>
    <row r="6692" spans="1:5" x14ac:dyDescent="0.25">
      <c r="A6692" t="str">
        <f>HYPERLINK("https://www.773grp.com/globalSearch/NCP508SQ33T1G/page-1", "NCP508SQ33T1G")</f>
        <v>NCP508SQ33T1G</v>
      </c>
      <c r="B6692" s="3" t="str">
        <f>HYPERLINK("https://www.773grp.com/manufacturer/onsemi?pageNo=1299", "Onsemi")</f>
        <v>Onsemi</v>
      </c>
      <c r="C6692" s="6">
        <v>12000</v>
      </c>
      <c r="D6692" s="7">
        <v>0.79</v>
      </c>
      <c r="E6692" t="s">
        <v>15</v>
      </c>
    </row>
    <row r="6693" spans="1:5" x14ac:dyDescent="0.25">
      <c r="A6693" t="str">
        <f>HYPERLINK("https://www.773grp.com/globalSearch/NCP698SQ18T1G/page-1", "NCP698SQ18T1G")</f>
        <v>NCP698SQ18T1G</v>
      </c>
      <c r="B6693" s="3" t="str">
        <f>HYPERLINK("https://www.773grp.com/manufacturer/onsemi?pageNo=1300", "Onsemi")</f>
        <v>Onsemi</v>
      </c>
      <c r="C6693" s="6">
        <v>9000</v>
      </c>
      <c r="D6693" s="7">
        <v>0.79</v>
      </c>
    </row>
    <row r="6694" spans="1:5" x14ac:dyDescent="0.25">
      <c r="A6694" t="str">
        <f>HYPERLINK("https://www.773grp.com/globalSearch/NCP698SQ25T1G/page-1", "NCP698SQ25T1G")</f>
        <v>NCP698SQ25T1G</v>
      </c>
      <c r="B6694" s="3" t="str">
        <f>HYPERLINK("https://www.773grp.com/manufacturer/onsemi?pageNo=1301", "Onsemi")</f>
        <v>Onsemi</v>
      </c>
      <c r="C6694" s="6">
        <v>3285</v>
      </c>
      <c r="D6694" s="7">
        <v>0.79</v>
      </c>
    </row>
    <row r="6695" spans="1:5" x14ac:dyDescent="0.25">
      <c r="A6695" t="str">
        <f>HYPERLINK("https://www.773grp.com/globalSearch/NCP698SQ35T1G/page-1", "NCP698SQ35T1G")</f>
        <v>NCP698SQ35T1G</v>
      </c>
      <c r="B6695" s="3" t="str">
        <f>HYPERLINK("https://www.773grp.com/manufacturer/onsemi?pageNo=1302", "Onsemi")</f>
        <v>Onsemi</v>
      </c>
      <c r="C6695" s="6">
        <v>3000</v>
      </c>
      <c r="D6695" s="7">
        <v>0.79</v>
      </c>
      <c r="E6695" t="s">
        <v>15</v>
      </c>
    </row>
    <row r="6696" spans="1:5" x14ac:dyDescent="0.25">
      <c r="A6696" t="str">
        <f>HYPERLINK("https://www.773grp.com/globalSearch/NCP698SQ50T1G/page-1", "NCP698SQ50T1G")</f>
        <v>NCP698SQ50T1G</v>
      </c>
      <c r="B6696" s="3" t="str">
        <f>HYPERLINK("https://www.773grp.com/manufacturer/onsemi?pageNo=1303", "Onsemi")</f>
        <v>Onsemi</v>
      </c>
      <c r="C6696" s="6">
        <v>32690</v>
      </c>
      <c r="D6696" s="7">
        <v>0.79</v>
      </c>
      <c r="E6696" t="s">
        <v>15</v>
      </c>
    </row>
    <row r="6697" spans="1:5" x14ac:dyDescent="0.25">
      <c r="A6697" t="str">
        <f>HYPERLINK("https://www.773grp.com/globalSearch/NCP699SN13T1G/page-1", "NCP699SN13T1G")</f>
        <v>NCP699SN13T1G</v>
      </c>
      <c r="B6697" s="3" t="str">
        <f>HYPERLINK("https://www.773grp.com/manufacturer/onsemi?pageNo=1304", "Onsemi")</f>
        <v>Onsemi</v>
      </c>
      <c r="C6697" s="6">
        <v>23700</v>
      </c>
      <c r="D6697" s="7">
        <v>0.79</v>
      </c>
      <c r="E6697" t="s">
        <v>15</v>
      </c>
    </row>
    <row r="6698" spans="1:5" x14ac:dyDescent="0.25">
      <c r="A6698" t="str">
        <f>HYPERLINK("https://www.773grp.com/globalSearch/NCP699SN14T1G/page-1", "NCP699SN14T1G")</f>
        <v>NCP699SN14T1G</v>
      </c>
      <c r="B6698" s="3" t="str">
        <f>HYPERLINK("https://www.773grp.com/manufacturer/onsemi?pageNo=1305", "Onsemi")</f>
        <v>Onsemi</v>
      </c>
      <c r="C6698" s="6">
        <v>332874</v>
      </c>
      <c r="D6698" s="7">
        <v>0.79</v>
      </c>
      <c r="E6698" t="s">
        <v>15</v>
      </c>
    </row>
    <row r="6699" spans="1:5" x14ac:dyDescent="0.25">
      <c r="A6699" t="str">
        <f>HYPERLINK("https://www.773grp.com/globalSearch/NCP699SN15T1G/page-1", "NCP699SN15T1G")</f>
        <v>NCP699SN15T1G</v>
      </c>
      <c r="B6699" s="3" t="str">
        <f>HYPERLINK("https://www.773grp.com/manufacturer/onsemi?pageNo=1306", "Onsemi")</f>
        <v>Onsemi</v>
      </c>
      <c r="C6699" s="6">
        <v>57000</v>
      </c>
      <c r="D6699" s="7">
        <v>0.79</v>
      </c>
      <c r="E6699" t="s">
        <v>15</v>
      </c>
    </row>
    <row r="6700" spans="1:5" x14ac:dyDescent="0.25">
      <c r="A6700" t="str">
        <f>HYPERLINK("https://www.773grp.com/globalSearch/NCP699SN18T1G/page-1", "NCP699SN18T1G")</f>
        <v>NCP699SN18T1G</v>
      </c>
      <c r="B6700" s="3" t="str">
        <f>HYPERLINK("https://www.773grp.com/manufacturer/onsemi?pageNo=1307", "Onsemi")</f>
        <v>Onsemi</v>
      </c>
      <c r="C6700" s="6">
        <v>5780</v>
      </c>
      <c r="D6700" s="7">
        <v>0.79</v>
      </c>
      <c r="E6700" t="s">
        <v>15</v>
      </c>
    </row>
    <row r="6701" spans="1:5" x14ac:dyDescent="0.25">
      <c r="A6701" t="str">
        <f>HYPERLINK("https://www.773grp.com/globalSearch/NCP699SN25T1G/page-1", "NCP699SN25T1G")</f>
        <v>NCP699SN25T1G</v>
      </c>
      <c r="B6701" s="3" t="str">
        <f>HYPERLINK("https://www.773grp.com/manufacturer/onsemi?pageNo=1308", "Onsemi")</f>
        <v>Onsemi</v>
      </c>
      <c r="C6701" s="6">
        <v>56760</v>
      </c>
      <c r="D6701" s="7">
        <v>0.79</v>
      </c>
      <c r="E6701" t="s">
        <v>15</v>
      </c>
    </row>
    <row r="6702" spans="1:5" x14ac:dyDescent="0.25">
      <c r="A6702" t="str">
        <f>HYPERLINK("https://www.773grp.com/globalSearch/NCP699SN28T1G/page-1", "NCP699SN28T1G")</f>
        <v>NCP699SN28T1G</v>
      </c>
      <c r="B6702" s="3" t="str">
        <f>HYPERLINK("https://www.773grp.com/manufacturer/onsemi?pageNo=1309", "Onsemi")</f>
        <v>Onsemi</v>
      </c>
      <c r="C6702" s="6">
        <v>106561</v>
      </c>
      <c r="D6702" s="7">
        <v>0.79</v>
      </c>
      <c r="E6702" t="s">
        <v>15</v>
      </c>
    </row>
    <row r="6703" spans="1:5" x14ac:dyDescent="0.25">
      <c r="A6703" t="str">
        <f>HYPERLINK("https://www.773grp.com/globalSearch/NCP699SN29T1G/page-1", "NCP699SN29T1G")</f>
        <v>NCP699SN29T1G</v>
      </c>
      <c r="B6703" s="3" t="str">
        <f>HYPERLINK("https://www.773grp.com/manufacturer/onsemi?pageNo=1310", "Onsemi")</f>
        <v>Onsemi</v>
      </c>
      <c r="C6703" s="6">
        <v>9000</v>
      </c>
      <c r="D6703" s="7">
        <v>0.79</v>
      </c>
    </row>
    <row r="6704" spans="1:5" x14ac:dyDescent="0.25">
      <c r="A6704" t="str">
        <f>HYPERLINK("https://www.773grp.com/globalSearch/NCP699SN30T1G/page-1", "NCP699SN30T1G")</f>
        <v>NCP699SN30T1G</v>
      </c>
      <c r="B6704" s="3" t="str">
        <f>HYPERLINK("https://www.773grp.com/manufacturer/onsemi?pageNo=1311", "Onsemi")</f>
        <v>Onsemi</v>
      </c>
      <c r="C6704" s="6">
        <v>4889</v>
      </c>
      <c r="D6704" s="7">
        <v>0.79</v>
      </c>
      <c r="E6704" t="s">
        <v>15</v>
      </c>
    </row>
    <row r="6705" spans="1:5" x14ac:dyDescent="0.25">
      <c r="A6705" t="str">
        <f>HYPERLINK("https://www.773grp.com/globalSearch/NCP699SN31T1G/page-1", "NCP699SN31T1G")</f>
        <v>NCP699SN31T1G</v>
      </c>
      <c r="B6705" s="3" t="str">
        <f>HYPERLINK("https://www.773grp.com/manufacturer/onsemi?pageNo=1312", "Onsemi")</f>
        <v>Onsemi</v>
      </c>
      <c r="C6705" s="6">
        <v>20739</v>
      </c>
      <c r="D6705" s="7">
        <v>0.79</v>
      </c>
      <c r="E6705" t="s">
        <v>15</v>
      </c>
    </row>
    <row r="6706" spans="1:5" x14ac:dyDescent="0.25">
      <c r="A6706" t="str">
        <f>HYPERLINK("https://www.773grp.com/globalSearch/NCP699SN34T1G/page-1", "NCP699SN34T1G")</f>
        <v>NCP699SN34T1G</v>
      </c>
      <c r="B6706" s="3" t="str">
        <f>HYPERLINK("https://www.773grp.com/manufacturer/onsemi?pageNo=1313", "Onsemi")</f>
        <v>Onsemi</v>
      </c>
      <c r="C6706" s="6">
        <v>9000</v>
      </c>
      <c r="D6706" s="7">
        <v>0.79</v>
      </c>
      <c r="E6706" t="s">
        <v>15</v>
      </c>
    </row>
    <row r="6707" spans="1:5" x14ac:dyDescent="0.25">
      <c r="A6707" t="str">
        <f>HYPERLINK("https://www.773grp.com/globalSearch/NCP699SN45T1G/page-1", "NCP699SN45T1G")</f>
        <v>NCP699SN45T1G</v>
      </c>
      <c r="B6707" s="3" t="str">
        <f>HYPERLINK("https://www.773grp.com/manufacturer/onsemi?pageNo=1314", "Onsemi")</f>
        <v>Onsemi</v>
      </c>
      <c r="C6707" s="6">
        <v>1101000</v>
      </c>
      <c r="D6707" s="7">
        <v>0.79</v>
      </c>
    </row>
    <row r="6708" spans="1:5" x14ac:dyDescent="0.25">
      <c r="A6708" t="str">
        <f>HYPERLINK("https://www.773grp.com/globalSearch/NCP699SN50T1G/page-1", "NCP699SN50T1G")</f>
        <v>NCP699SN50T1G</v>
      </c>
      <c r="B6708" s="3" t="str">
        <f>HYPERLINK("https://www.773grp.com/manufacturer/onsemi?pageNo=1315", "Onsemi")</f>
        <v>Onsemi</v>
      </c>
      <c r="C6708" s="6">
        <v>53980</v>
      </c>
      <c r="D6708" s="7">
        <v>0.79</v>
      </c>
      <c r="E6708" t="s">
        <v>15</v>
      </c>
    </row>
    <row r="6709" spans="1:5" x14ac:dyDescent="0.25">
      <c r="A6709" t="str">
        <f>HYPERLINK("https://www.773grp.com/globalSearch/NCP706MX22TAG/page-1", "NCP706MX22TAG")</f>
        <v>NCP706MX22TAG</v>
      </c>
      <c r="B6709" s="3" t="str">
        <f>HYPERLINK("https://www.773grp.com/manufacturer/onsemi?pageNo=1316", "Onsemi")</f>
        <v>Onsemi</v>
      </c>
      <c r="C6709" s="6">
        <v>3000</v>
      </c>
      <c r="D6709" s="7">
        <v>0.79</v>
      </c>
    </row>
    <row r="6710" spans="1:5" x14ac:dyDescent="0.25">
      <c r="A6710" t="str">
        <f>HYPERLINK("https://www.773grp.com/globalSearch/NCS2001SN2T1/page-1", "NCS2001SN2T1")</f>
        <v>NCS2001SN2T1</v>
      </c>
      <c r="B6710" s="3" t="str">
        <f>HYPERLINK("https://www.773grp.com/manufacturer/onsemi?pageNo=1317", "Onsemi")</f>
        <v>Onsemi</v>
      </c>
      <c r="C6710" s="6">
        <v>41780</v>
      </c>
      <c r="D6710" s="7">
        <v>0.79</v>
      </c>
      <c r="E6710" t="s">
        <v>10</v>
      </c>
    </row>
    <row r="6711" spans="1:5" x14ac:dyDescent="0.25">
      <c r="A6711" t="str">
        <f>HYPERLINK("https://www.773grp.com/globalSearch/NCS2001SQ2T1/page-1", "NCS2001SQ2T1")</f>
        <v>NCS2001SQ2T1</v>
      </c>
      <c r="B6711" s="3" t="str">
        <f>HYPERLINK("https://www.773grp.com/manufacturer/onsemi?pageNo=1318", "Onsemi")</f>
        <v>Onsemi</v>
      </c>
      <c r="C6711" s="6">
        <v>9000</v>
      </c>
      <c r="D6711" s="7">
        <v>0.79</v>
      </c>
      <c r="E6711" t="s">
        <v>10</v>
      </c>
    </row>
    <row r="6712" spans="1:5" x14ac:dyDescent="0.25">
      <c r="A6712" t="str">
        <f>HYPERLINK("https://www.773grp.com/globalSearch/NCS2200AMUT1G/page-1", "NCS2200AMUT1G")</f>
        <v>NCS2200AMUT1G</v>
      </c>
      <c r="B6712" s="3" t="str">
        <f>HYPERLINK("https://www.773grp.com/manufacturer/onsemi?pageNo=1319", "Onsemi")</f>
        <v>Onsemi</v>
      </c>
      <c r="C6712" s="6">
        <v>111500</v>
      </c>
      <c r="D6712" s="7">
        <v>0.79</v>
      </c>
      <c r="E6712" t="s">
        <v>6</v>
      </c>
    </row>
    <row r="6713" spans="1:5" x14ac:dyDescent="0.25">
      <c r="A6713" t="str">
        <f>HYPERLINK("https://www.773grp.com/globalSearch/NCV1117DT18RK/page-1", "NCV1117DT18RK")</f>
        <v>NCV1117DT18RK</v>
      </c>
      <c r="B6713" s="3" t="str">
        <f>HYPERLINK("https://www.773grp.com/manufacturer/onsemi?pageNo=1320", "Onsemi")</f>
        <v>Onsemi</v>
      </c>
      <c r="C6713" s="6">
        <v>7500</v>
      </c>
      <c r="D6713" s="7">
        <v>0.79</v>
      </c>
    </row>
    <row r="6714" spans="1:5" x14ac:dyDescent="0.25">
      <c r="A6714" t="str">
        <f>HYPERLINK("https://www.773grp.com/globalSearch/NCV1117ST12T3/page-1", "NCV1117ST12T3")</f>
        <v>NCV1117ST12T3</v>
      </c>
      <c r="B6714" s="3" t="str">
        <f>HYPERLINK("https://www.773grp.com/manufacturer/onsemi?pageNo=1321", "Onsemi")</f>
        <v>Onsemi</v>
      </c>
      <c r="C6714" s="6">
        <v>4000</v>
      </c>
      <c r="D6714" s="7">
        <v>0.79</v>
      </c>
      <c r="E6714" t="s">
        <v>15</v>
      </c>
    </row>
    <row r="6715" spans="1:5" x14ac:dyDescent="0.25">
      <c r="A6715" t="str">
        <f>HYPERLINK("https://www.773grp.com/globalSearch/NCV1117ST25T3/page-1", "NCV1117ST25T3")</f>
        <v>NCV1117ST25T3</v>
      </c>
      <c r="B6715" s="3" t="str">
        <f>HYPERLINK("https://www.773grp.com/manufacturer/onsemi?pageNo=1322", "Onsemi")</f>
        <v>Onsemi</v>
      </c>
      <c r="C6715" s="6">
        <v>4000</v>
      </c>
      <c r="D6715" s="7">
        <v>0.79</v>
      </c>
      <c r="E6715" t="s">
        <v>15</v>
      </c>
    </row>
    <row r="6716" spans="1:5" x14ac:dyDescent="0.25">
      <c r="A6716" t="str">
        <f>HYPERLINK("https://www.773grp.com/globalSearch/NCV612SQ18T1G/page-1", "NCV612SQ18T1G")</f>
        <v>NCV612SQ18T1G</v>
      </c>
      <c r="B6716" s="3" t="str">
        <f>HYPERLINK("https://www.773grp.com/manufacturer/onsemi?pageNo=1323", "Onsemi")</f>
        <v>Onsemi</v>
      </c>
      <c r="C6716" s="6">
        <v>17347</v>
      </c>
      <c r="D6716" s="7">
        <v>0.79</v>
      </c>
      <c r="E6716" t="s">
        <v>24</v>
      </c>
    </row>
    <row r="6717" spans="1:5" x14ac:dyDescent="0.25">
      <c r="A6717" t="str">
        <f>HYPERLINK("https://www.773grp.com/globalSearch/NCV612SQ27T1G/page-1", "NCV612SQ27T1G")</f>
        <v>NCV612SQ27T1G</v>
      </c>
      <c r="B6717" s="3" t="str">
        <f>HYPERLINK("https://www.773grp.com/manufacturer/onsemi?pageNo=1324", "Onsemi")</f>
        <v>Onsemi</v>
      </c>
      <c r="C6717" s="6">
        <v>6652</v>
      </c>
      <c r="D6717" s="7">
        <v>0.79</v>
      </c>
      <c r="E6717" t="s">
        <v>24</v>
      </c>
    </row>
    <row r="6718" spans="1:5" x14ac:dyDescent="0.25">
      <c r="A6718" t="str">
        <f>HYPERLINK("https://www.773grp.com/globalSearch/NCV612SQ28T1G/page-1", "NCV612SQ28T1G")</f>
        <v>NCV612SQ28T1G</v>
      </c>
      <c r="B6718" s="3" t="str">
        <f>HYPERLINK("https://www.773grp.com/manufacturer/onsemi?pageNo=1325", "Onsemi")</f>
        <v>Onsemi</v>
      </c>
      <c r="C6718" s="6">
        <v>14459</v>
      </c>
      <c r="D6718" s="7">
        <v>0.79</v>
      </c>
      <c r="E6718" t="s">
        <v>24</v>
      </c>
    </row>
    <row r="6719" spans="1:5" x14ac:dyDescent="0.25">
      <c r="A6719" t="str">
        <f>HYPERLINK("https://www.773grp.com/globalSearch/NCV612SQ31T1G/page-1", "NCV612SQ31T1G")</f>
        <v>NCV612SQ31T1G</v>
      </c>
      <c r="B6719" s="3" t="str">
        <f>HYPERLINK("https://www.773grp.com/manufacturer/onsemi?pageNo=1326", "Onsemi")</f>
        <v>Onsemi</v>
      </c>
      <c r="C6719" s="6">
        <v>22750</v>
      </c>
      <c r="D6719" s="7">
        <v>0.79</v>
      </c>
      <c r="E6719" t="s">
        <v>24</v>
      </c>
    </row>
    <row r="6720" spans="1:5" x14ac:dyDescent="0.25">
      <c r="A6720" t="str">
        <f>HYPERLINK("https://www.773grp.com/globalSearch/NCV612SQ33T1G/page-1", "NCV612SQ33T1G")</f>
        <v>NCV612SQ33T1G</v>
      </c>
      <c r="B6720" s="3" t="str">
        <f>HYPERLINK("https://www.773grp.com/manufacturer/onsemi?pageNo=1327", "Onsemi")</f>
        <v>Onsemi</v>
      </c>
      <c r="C6720" s="6">
        <v>14970</v>
      </c>
      <c r="D6720" s="7">
        <v>0.79</v>
      </c>
      <c r="E6720" t="s">
        <v>24</v>
      </c>
    </row>
    <row r="6721" spans="1:5" x14ac:dyDescent="0.25">
      <c r="A6721" t="str">
        <f>HYPERLINK("https://www.773grp.com/globalSearch/NCV612SQ50T1/page-1", "NCV612SQ50T1")</f>
        <v>NCV612SQ50T1</v>
      </c>
      <c r="B6721" s="3" t="str">
        <f>HYPERLINK("https://www.773grp.com/manufacturer/onsemi?pageNo=1328", "Onsemi")</f>
        <v>Onsemi</v>
      </c>
      <c r="C6721" s="6">
        <v>1759</v>
      </c>
      <c r="D6721" s="7">
        <v>0.79</v>
      </c>
      <c r="E6721" t="s">
        <v>24</v>
      </c>
    </row>
    <row r="6722" spans="1:5" x14ac:dyDescent="0.25">
      <c r="A6722" t="str">
        <f>HYPERLINK("https://www.773grp.com/globalSearch/NE555N/page-1", "NE555N")</f>
        <v>NE555N</v>
      </c>
      <c r="B6722" s="3" t="str">
        <f>HYPERLINK("https://www.773grp.com/manufacturer/onsemi?pageNo=1329", "Onsemi")</f>
        <v>Onsemi</v>
      </c>
      <c r="C6722" s="6">
        <v>2722</v>
      </c>
      <c r="D6722" s="7">
        <v>0.79</v>
      </c>
      <c r="E6722" t="s">
        <v>25</v>
      </c>
    </row>
    <row r="6723" spans="1:5" x14ac:dyDescent="0.25">
      <c r="A6723" t="str">
        <f>HYPERLINK("https://www.773grp.com/globalSearch/NE592D8R2/page-1", "NE592D8R2")</f>
        <v>NE592D8R2</v>
      </c>
      <c r="B6723" s="3" t="str">
        <f>HYPERLINK("https://www.773grp.com/manufacturer/onsemi?pageNo=1330", "Onsemi")</f>
        <v>Onsemi</v>
      </c>
      <c r="C6723" s="6">
        <v>77600</v>
      </c>
      <c r="D6723" s="7">
        <v>0.79</v>
      </c>
      <c r="E6723" t="s">
        <v>14</v>
      </c>
    </row>
    <row r="6724" spans="1:5" x14ac:dyDescent="0.25">
      <c r="A6724" t="str">
        <f>HYPERLINK("https://www.773grp.com/globalSearch/NID9N05CL/page-1", "NID9N05CL")</f>
        <v>NID9N05CL</v>
      </c>
      <c r="B6724" s="3" t="str">
        <f>HYPERLINK("https://www.773grp.com/manufacturer/onsemi?pageNo=1331", "Onsemi")</f>
        <v>Onsemi</v>
      </c>
      <c r="C6724" s="6">
        <v>50</v>
      </c>
      <c r="D6724" s="7">
        <v>0.79</v>
      </c>
      <c r="E6724" t="s">
        <v>84</v>
      </c>
    </row>
    <row r="6725" spans="1:5" x14ac:dyDescent="0.25">
      <c r="A6725" t="str">
        <f>HYPERLINK("https://www.773grp.com/globalSearch/NID9N05CLG/page-1", "NID9N05CLG")</f>
        <v>NID9N05CLG</v>
      </c>
      <c r="B6725" s="3" t="str">
        <f>HYPERLINK("https://www.773grp.com/manufacturer/onsemi?pageNo=1332", "Onsemi")</f>
        <v>Onsemi</v>
      </c>
      <c r="C6725" s="6">
        <v>300</v>
      </c>
      <c r="D6725" s="7">
        <v>0.79</v>
      </c>
      <c r="E6725" t="s">
        <v>84</v>
      </c>
    </row>
    <row r="6726" spans="1:5" x14ac:dyDescent="0.25">
      <c r="A6726" t="str">
        <f>HYPERLINK("https://www.773grp.com/globalSearch/NJVBDX53C/page-1", "NJVBDX53C")</f>
        <v>NJVBDX53C</v>
      </c>
      <c r="B6726" s="3" t="str">
        <f>HYPERLINK("https://www.773grp.com/manufacturer/onsemi?pageNo=1333", "Onsemi")</f>
        <v>Onsemi</v>
      </c>
      <c r="C6726" s="6">
        <v>600</v>
      </c>
      <c r="D6726" s="7">
        <v>0.79</v>
      </c>
    </row>
    <row r="6727" spans="1:5" x14ac:dyDescent="0.25">
      <c r="A6727" t="str">
        <f>HYPERLINK("https://www.773grp.com/globalSearch/NJVMJD42CT4/page-1", "NJVMJD42CT4")</f>
        <v>NJVMJD42CT4</v>
      </c>
      <c r="B6727" s="3" t="str">
        <f>HYPERLINK("https://www.773grp.com/manufacturer/onsemi?pageNo=1334", "Onsemi")</f>
        <v>Onsemi</v>
      </c>
      <c r="C6727" s="6">
        <v>8437</v>
      </c>
      <c r="D6727" s="7">
        <v>0.79</v>
      </c>
    </row>
    <row r="6728" spans="1:5" x14ac:dyDescent="0.25">
      <c r="A6728" t="str">
        <f>HYPERLINK("https://www.773grp.com/globalSearch/NJX1675PDR2G/page-1", "NJX1675PDR2G")</f>
        <v>NJX1675PDR2G</v>
      </c>
      <c r="B6728" s="3" t="str">
        <f>HYPERLINK("https://www.773grp.com/manufacturer/onsemi?pageNo=1335", "Onsemi")</f>
        <v>Onsemi</v>
      </c>
      <c r="C6728" s="6">
        <v>269618</v>
      </c>
      <c r="D6728" s="7">
        <v>0.79</v>
      </c>
      <c r="E6728" t="s">
        <v>47</v>
      </c>
    </row>
    <row r="6729" spans="1:5" x14ac:dyDescent="0.25">
      <c r="A6729" t="str">
        <f>HYPERLINK("https://www.773grp.com/globalSearch/NL17SZ74USG/page-1", "NL17SZ74USG")</f>
        <v>NL17SZ74USG</v>
      </c>
      <c r="B6729" s="3" t="str">
        <f>HYPERLINK("https://www.773grp.com/manufacturer/onsemi?pageNo=1336", "Onsemi")</f>
        <v>Onsemi</v>
      </c>
      <c r="C6729" s="6">
        <v>33170</v>
      </c>
      <c r="D6729" s="7">
        <v>0.79</v>
      </c>
      <c r="E6729" t="s">
        <v>31</v>
      </c>
    </row>
    <row r="6730" spans="1:5" x14ac:dyDescent="0.25">
      <c r="A6730" t="str">
        <f>HYPERLINK("https://www.773grp.com/globalSearch/NL17SZ74USGH/page-1", "NL17SZ74USGH")</f>
        <v>NL17SZ74USGH</v>
      </c>
      <c r="B6730" s="3" t="str">
        <f>HYPERLINK("https://www.773grp.com/manufacturer/onsemi?pageNo=1337", "Onsemi")</f>
        <v>Onsemi</v>
      </c>
      <c r="C6730" s="6">
        <v>9000</v>
      </c>
      <c r="D6730" s="7">
        <v>0.79</v>
      </c>
    </row>
    <row r="6731" spans="1:5" x14ac:dyDescent="0.25">
      <c r="A6731" t="str">
        <f>HYPERLINK("https://www.773grp.com/globalSearch/NLAS1053US/page-1", "NLAS1053US")</f>
        <v>NLAS1053US</v>
      </c>
      <c r="B6731" s="3" t="str">
        <f>HYPERLINK("https://www.773grp.com/manufacturer/onsemi?pageNo=1338", "Onsemi")</f>
        <v>Onsemi</v>
      </c>
      <c r="C6731" s="6">
        <v>2390</v>
      </c>
      <c r="D6731" s="7">
        <v>0.79</v>
      </c>
      <c r="E6731" t="s">
        <v>46</v>
      </c>
    </row>
    <row r="6732" spans="1:5" x14ac:dyDescent="0.25">
      <c r="A6732" t="str">
        <f>HYPERLINK("https://www.773grp.com/globalSearch/NLAS323US/page-1", "NLAS323US")</f>
        <v>NLAS323US</v>
      </c>
      <c r="B6732" s="3" t="str">
        <f>HYPERLINK("https://www.773grp.com/manufacturer/onsemi?pageNo=1339", "Onsemi")</f>
        <v>Onsemi</v>
      </c>
      <c r="C6732" s="6">
        <v>78000</v>
      </c>
      <c r="D6732" s="7">
        <v>0.79</v>
      </c>
      <c r="E6732" t="s">
        <v>46</v>
      </c>
    </row>
    <row r="6733" spans="1:5" x14ac:dyDescent="0.25">
      <c r="A6733" t="str">
        <f>HYPERLINK("https://www.773grp.com/globalSearch/NLAS5223BLMNR2G/page-1", "NLAS5223BLMNR2G")</f>
        <v>NLAS5223BLMNR2G</v>
      </c>
      <c r="B6733" s="3" t="str">
        <f>HYPERLINK("https://www.773grp.com/manufacturer/onsemi?pageNo=1340", "Onsemi")</f>
        <v>Onsemi</v>
      </c>
      <c r="C6733" s="6">
        <v>15000</v>
      </c>
      <c r="D6733" s="7">
        <v>0.79</v>
      </c>
      <c r="E6733" t="s">
        <v>46</v>
      </c>
    </row>
    <row r="6734" spans="1:5" x14ac:dyDescent="0.25">
      <c r="A6734" t="str">
        <f>HYPERLINK("https://www.773grp.com/globalSearch/NLAS5223BMNR2G/page-1", "NLAS5223BMNR2G")</f>
        <v>NLAS5223BMNR2G</v>
      </c>
      <c r="B6734" s="3" t="str">
        <f>HYPERLINK("https://www.773grp.com/manufacturer/onsemi?pageNo=1341", "Onsemi")</f>
        <v>Onsemi</v>
      </c>
      <c r="C6734" s="6">
        <v>121983</v>
      </c>
      <c r="D6734" s="7">
        <v>0.79</v>
      </c>
      <c r="E6734" t="s">
        <v>46</v>
      </c>
    </row>
    <row r="6735" spans="1:5" x14ac:dyDescent="0.25">
      <c r="A6735" t="str">
        <f>HYPERLINK("https://www.773grp.com/globalSearch/NLAS5223BMUR2G/page-1", "NLAS5223BMUR2G")</f>
        <v>NLAS5223BMUR2G</v>
      </c>
      <c r="B6735" s="3" t="str">
        <f>HYPERLINK("https://www.773grp.com/manufacturer/onsemi?pageNo=1342", "Onsemi")</f>
        <v>Onsemi</v>
      </c>
      <c r="C6735" s="6">
        <v>17400</v>
      </c>
      <c r="D6735" s="7">
        <v>0.79</v>
      </c>
      <c r="E6735" t="s">
        <v>46</v>
      </c>
    </row>
    <row r="6736" spans="1:5" x14ac:dyDescent="0.25">
      <c r="A6736" t="str">
        <f>HYPERLINK("https://www.773grp.com/globalSearch/NLU2G06MUTCG/page-1", "NLU2G06MUTCG")</f>
        <v>NLU2G06MUTCG</v>
      </c>
      <c r="B6736" s="3" t="str">
        <f>HYPERLINK("https://www.773grp.com/manufacturer/onsemi?pageNo=1343", "Onsemi")</f>
        <v>Onsemi</v>
      </c>
      <c r="C6736" s="6">
        <v>566079</v>
      </c>
      <c r="D6736" s="7">
        <v>0.79</v>
      </c>
      <c r="E6736" t="s">
        <v>27</v>
      </c>
    </row>
    <row r="6737" spans="1:5" x14ac:dyDescent="0.25">
      <c r="A6737" t="str">
        <f>HYPERLINK("https://www.773grp.com/globalSearch/NLU2G07MUTCG/page-1", "NLU2G07MUTCG")</f>
        <v>NLU2G07MUTCG</v>
      </c>
      <c r="B6737" s="3" t="str">
        <f>HYPERLINK("https://www.773grp.com/manufacturer/onsemi?pageNo=1344", "Onsemi")</f>
        <v>Onsemi</v>
      </c>
      <c r="C6737" s="6">
        <v>90201</v>
      </c>
      <c r="D6737" s="7">
        <v>0.79</v>
      </c>
      <c r="E6737" t="s">
        <v>27</v>
      </c>
    </row>
    <row r="6738" spans="1:5" x14ac:dyDescent="0.25">
      <c r="A6738" t="str">
        <f>HYPERLINK("https://www.773grp.com/globalSearch/NLU2G14MUTCG/page-1", "NLU2G14MUTCG")</f>
        <v>NLU2G14MUTCG</v>
      </c>
      <c r="B6738" s="3" t="str">
        <f>HYPERLINK("https://www.773grp.com/manufacturer/onsemi?pageNo=1345", "Onsemi")</f>
        <v>Onsemi</v>
      </c>
      <c r="C6738" s="6">
        <v>124477</v>
      </c>
      <c r="D6738" s="7">
        <v>0.79</v>
      </c>
      <c r="E6738" t="s">
        <v>27</v>
      </c>
    </row>
    <row r="6739" spans="1:5" x14ac:dyDescent="0.25">
      <c r="A6739" t="str">
        <f>HYPERLINK("https://www.773grp.com/globalSearch/NLU2G16MUTCG/page-1", "NLU2G16MUTCG")</f>
        <v>NLU2G16MUTCG</v>
      </c>
      <c r="B6739" s="3" t="str">
        <f>HYPERLINK("https://www.773grp.com/manufacturer/onsemi?pageNo=1346", "Onsemi")</f>
        <v>Onsemi</v>
      </c>
      <c r="C6739" s="6">
        <v>145739</v>
      </c>
      <c r="D6739" s="7">
        <v>0.79</v>
      </c>
      <c r="E6739" t="s">
        <v>27</v>
      </c>
    </row>
    <row r="6740" spans="1:5" x14ac:dyDescent="0.25">
      <c r="A6740" t="str">
        <f>HYPERLINK("https://www.773grp.com/globalSearch/NLU2G17MUTCG/page-1", "NLU2G17MUTCG")</f>
        <v>NLU2G17MUTCG</v>
      </c>
      <c r="B6740" s="3" t="str">
        <f>HYPERLINK("https://www.773grp.com/manufacturer/onsemi?pageNo=1347", "Onsemi")</f>
        <v>Onsemi</v>
      </c>
      <c r="C6740" s="6">
        <v>89900</v>
      </c>
      <c r="D6740" s="7">
        <v>0.79</v>
      </c>
      <c r="E6740" t="s">
        <v>27</v>
      </c>
    </row>
    <row r="6741" spans="1:5" x14ac:dyDescent="0.25">
      <c r="A6741" t="str">
        <f>HYPERLINK("https://www.773grp.com/globalSearch/NLU2GU04MUTCG/page-1", "NLU2GU04MUTCG")</f>
        <v>NLU2GU04MUTCG</v>
      </c>
      <c r="B6741" s="3" t="str">
        <f>HYPERLINK("https://www.773grp.com/manufacturer/onsemi?pageNo=1348", "Onsemi")</f>
        <v>Onsemi</v>
      </c>
      <c r="C6741" s="6">
        <v>65843</v>
      </c>
      <c r="D6741" s="7">
        <v>0.79</v>
      </c>
      <c r="E6741" t="s">
        <v>27</v>
      </c>
    </row>
    <row r="6742" spans="1:5" x14ac:dyDescent="0.25">
      <c r="A6742" t="str">
        <f>HYPERLINK("https://www.773grp.com/globalSearch/NLV14013BDG/page-1", "NLV14013BDG")</f>
        <v>NLV14013BDG</v>
      </c>
      <c r="B6742" s="3" t="str">
        <f>HYPERLINK("https://www.773grp.com/manufacturer/onsemi?pageNo=1", "Onsemi")</f>
        <v>Onsemi</v>
      </c>
      <c r="C6742" s="6">
        <v>40</v>
      </c>
      <c r="D6742" s="7">
        <v>0.79</v>
      </c>
    </row>
    <row r="6743" spans="1:5" x14ac:dyDescent="0.25">
      <c r="A6743" t="str">
        <f>HYPERLINK("https://www.773grp.com/globalSearch/NLV14013BDR2G/page-1", "NLV14013BDR2G")</f>
        <v>NLV14013BDR2G</v>
      </c>
      <c r="B6743" s="3" t="str">
        <f>HYPERLINK("https://www.773grp.com/manufacturer/onsemi?pageNo=2", "Onsemi")</f>
        <v>Onsemi</v>
      </c>
      <c r="C6743" s="6">
        <v>2035</v>
      </c>
      <c r="D6743" s="7">
        <v>0.79</v>
      </c>
    </row>
    <row r="6744" spans="1:5" x14ac:dyDescent="0.25">
      <c r="A6744" t="str">
        <f>HYPERLINK("https://www.773grp.com/globalSearch/NLV14013BDTR2G/page-1", "NLV14013BDTR2G")</f>
        <v>NLV14013BDTR2G</v>
      </c>
      <c r="B6744" s="3" t="str">
        <f>HYPERLINK("https://www.773grp.com/manufacturer/onsemi?pageNo=3", "Onsemi")</f>
        <v>Onsemi</v>
      </c>
      <c r="C6744" s="6">
        <v>1955</v>
      </c>
      <c r="D6744" s="7">
        <v>0.79</v>
      </c>
    </row>
    <row r="6745" spans="1:5" x14ac:dyDescent="0.25">
      <c r="A6745" t="str">
        <f>HYPERLINK("https://www.773grp.com/globalSearch/NLV14027BDG/page-1", "NLV14027BDG")</f>
        <v>NLV14027BDG</v>
      </c>
      <c r="B6745" s="3" t="str">
        <f>HYPERLINK("https://www.773grp.com/manufacturer/onsemi?pageNo=4", "Onsemi")</f>
        <v>Onsemi</v>
      </c>
      <c r="C6745" s="6">
        <v>144</v>
      </c>
      <c r="D6745" s="7">
        <v>0.79</v>
      </c>
    </row>
    <row r="6746" spans="1:5" x14ac:dyDescent="0.25">
      <c r="A6746" t="str">
        <f>HYPERLINK("https://www.773grp.com/globalSearch/NRVBM120ET1G/page-1", "NRVBM120ET1G")</f>
        <v>NRVBM120ET1G</v>
      </c>
      <c r="B6746" s="3" t="str">
        <f>HYPERLINK("https://www.773grp.com/manufacturer/onsemi?pageNo=5", "Onsemi")</f>
        <v>Onsemi</v>
      </c>
      <c r="C6746" s="6">
        <v>15000</v>
      </c>
      <c r="D6746" s="7">
        <v>0.79</v>
      </c>
    </row>
    <row r="6747" spans="1:5" x14ac:dyDescent="0.25">
      <c r="A6747" t="str">
        <f>HYPERLINK("https://www.773grp.com/globalSearch/NSS35200MR6T1G/page-1", "NSS35200MR6T1G")</f>
        <v>NSS35200MR6T1G</v>
      </c>
      <c r="B6747" s="3" t="str">
        <f>HYPERLINK("https://www.773grp.com/manufacturer/onsemi?pageNo=6", "Onsemi")</f>
        <v>Onsemi</v>
      </c>
      <c r="C6747" s="6">
        <v>277219</v>
      </c>
      <c r="D6747" s="7">
        <v>0.79</v>
      </c>
      <c r="E6747" t="s">
        <v>57</v>
      </c>
    </row>
    <row r="6748" spans="1:5" x14ac:dyDescent="0.25">
      <c r="A6748" t="str">
        <f>HYPERLINK("https://www.773grp.com/globalSearch/NSV60600MZ4T3G/page-1", "NSV60600MZ4T3G")</f>
        <v>NSV60600MZ4T3G</v>
      </c>
      <c r="B6748" s="3" t="str">
        <f>HYPERLINK("https://www.773grp.com/manufacturer/onsemi?pageNo=7", "Onsemi")</f>
        <v>Onsemi</v>
      </c>
      <c r="C6748" s="6">
        <v>4000</v>
      </c>
      <c r="D6748" s="7">
        <v>0.79</v>
      </c>
    </row>
    <row r="6749" spans="1:5" x14ac:dyDescent="0.25">
      <c r="A6749" t="str">
        <f>HYPERLINK("https://www.773grp.com/globalSearch/NTD12N06L/page-1", "NTD12N06L")</f>
        <v>NTD12N06L</v>
      </c>
      <c r="B6749" s="3" t="str">
        <f>HYPERLINK("https://www.773grp.com/manufacturer/onsemi?pageNo=8", "Onsemi")</f>
        <v>Onsemi</v>
      </c>
      <c r="C6749" s="6">
        <v>560</v>
      </c>
      <c r="D6749" s="7">
        <v>0.79</v>
      </c>
    </row>
    <row r="6750" spans="1:5" x14ac:dyDescent="0.25">
      <c r="A6750" t="str">
        <f>HYPERLINK("https://www.773grp.com/globalSearch/NTD15N06AV1/page-1", "NTD15N06AV1")</f>
        <v>NTD15N06AV1</v>
      </c>
      <c r="B6750" s="3" t="str">
        <f>HYPERLINK("https://www.773grp.com/manufacturer/onsemi?pageNo=9", "Onsemi")</f>
        <v>Onsemi</v>
      </c>
      <c r="C6750" s="6">
        <v>300</v>
      </c>
      <c r="D6750" s="7">
        <v>0.79</v>
      </c>
    </row>
    <row r="6751" spans="1:5" x14ac:dyDescent="0.25">
      <c r="A6751" t="str">
        <f>HYPERLINK("https://www.773grp.com/globalSearch/NTD15N06AVT4/page-1", "NTD15N06AVT4")</f>
        <v>NTD15N06AVT4</v>
      </c>
      <c r="B6751" s="3" t="str">
        <f>HYPERLINK("https://www.773grp.com/manufacturer/onsemi?pageNo=10", "Onsemi")</f>
        <v>Onsemi</v>
      </c>
      <c r="C6751" s="6">
        <v>2500</v>
      </c>
      <c r="D6751" s="7">
        <v>0.79</v>
      </c>
    </row>
    <row r="6752" spans="1:5" x14ac:dyDescent="0.25">
      <c r="A6752" t="str">
        <f>HYPERLINK("https://www.773grp.com/globalSearch/NTD3813N-1G/page-1", "NTD3813N-1G")</f>
        <v>NTD3813N-1G</v>
      </c>
      <c r="B6752" s="3" t="str">
        <f>HYPERLINK("https://www.773grp.com/manufacturer/onsemi?pageNo=11", "Onsemi")</f>
        <v>Onsemi</v>
      </c>
      <c r="C6752" s="6">
        <v>11100</v>
      </c>
      <c r="D6752" s="7">
        <v>0.79</v>
      </c>
      <c r="E6752" t="s">
        <v>84</v>
      </c>
    </row>
    <row r="6753" spans="1:5" x14ac:dyDescent="0.25">
      <c r="A6753" t="str">
        <f>HYPERLINK("https://www.773grp.com/globalSearch/NTD3813N-35G/page-1", "NTD3813N-35G")</f>
        <v>NTD3813N-35G</v>
      </c>
      <c r="B6753" s="3" t="str">
        <f>HYPERLINK("https://www.773grp.com/manufacturer/onsemi?pageNo=12", "Onsemi")</f>
        <v>Onsemi</v>
      </c>
      <c r="C6753" s="6">
        <v>11550</v>
      </c>
      <c r="D6753" s="7">
        <v>0.79</v>
      </c>
      <c r="E6753" t="s">
        <v>84</v>
      </c>
    </row>
    <row r="6754" spans="1:5" x14ac:dyDescent="0.25">
      <c r="A6754" t="str">
        <f>HYPERLINK("https://www.773grp.com/globalSearch/NTD3813NT4G/page-1", "NTD3813NT4G")</f>
        <v>NTD3813NT4G</v>
      </c>
      <c r="B6754" s="3" t="str">
        <f>HYPERLINK("https://www.773grp.com/manufacturer/onsemi?pageNo=13", "Onsemi")</f>
        <v>Onsemi</v>
      </c>
      <c r="C6754" s="6">
        <v>137500</v>
      </c>
      <c r="D6754" s="7">
        <v>0.79</v>
      </c>
      <c r="E6754" t="s">
        <v>84</v>
      </c>
    </row>
    <row r="6755" spans="1:5" x14ac:dyDescent="0.25">
      <c r="A6755" t="str">
        <f>HYPERLINK("https://www.773grp.com/globalSearch/NTD40N03R-1G/page-1", "NTD40N03R-1G")</f>
        <v>NTD40N03R-1G</v>
      </c>
      <c r="B6755" s="3" t="str">
        <f>HYPERLINK("https://www.773grp.com/manufacturer/onsemi?pageNo=14", "Onsemi")</f>
        <v>Onsemi</v>
      </c>
      <c r="C6755" s="6">
        <v>351580</v>
      </c>
      <c r="D6755" s="7">
        <v>0.79</v>
      </c>
      <c r="E6755" t="s">
        <v>84</v>
      </c>
    </row>
    <row r="6756" spans="1:5" x14ac:dyDescent="0.25">
      <c r="A6756" t="str">
        <f>HYPERLINK("https://www.773grp.com/globalSearch/NTD40N03RT4G/page-1", "NTD40N03RT4G")</f>
        <v>NTD40N03RT4G</v>
      </c>
      <c r="B6756" s="3" t="str">
        <f>HYPERLINK("https://www.773grp.com/manufacturer/onsemi?pageNo=15", "Onsemi")</f>
        <v>Onsemi</v>
      </c>
      <c r="C6756" s="6">
        <v>15</v>
      </c>
      <c r="D6756" s="7">
        <v>0.79</v>
      </c>
      <c r="E6756" t="s">
        <v>84</v>
      </c>
    </row>
    <row r="6757" spans="1:5" x14ac:dyDescent="0.25">
      <c r="A6757" t="str">
        <f>HYPERLINK("https://www.773grp.com/globalSearch/NTD4404N/page-1", "NTD4404N")</f>
        <v>NTD4404N</v>
      </c>
      <c r="B6757" s="3" t="str">
        <f>HYPERLINK("https://www.773grp.com/manufacturer/onsemi?pageNo=16", "Onsemi")</f>
        <v>Onsemi</v>
      </c>
      <c r="C6757" s="6">
        <v>750</v>
      </c>
      <c r="D6757" s="7">
        <v>0.79</v>
      </c>
      <c r="E6757" t="s">
        <v>84</v>
      </c>
    </row>
    <row r="6758" spans="1:5" x14ac:dyDescent="0.25">
      <c r="A6758" t="str">
        <f>HYPERLINK("https://www.773grp.com/globalSearch/NTD4404N1/page-1", "NTD4404N1")</f>
        <v>NTD4404N1</v>
      </c>
      <c r="B6758" s="3" t="str">
        <f>HYPERLINK("https://www.773grp.com/manufacturer/onsemi?pageNo=17", "Onsemi")</f>
        <v>Onsemi</v>
      </c>
      <c r="C6758" s="6">
        <v>121490</v>
      </c>
      <c r="D6758" s="7">
        <v>0.79</v>
      </c>
      <c r="E6758" t="s">
        <v>84</v>
      </c>
    </row>
    <row r="6759" spans="1:5" x14ac:dyDescent="0.25">
      <c r="A6759" t="str">
        <f>HYPERLINK("https://www.773grp.com/globalSearch/NTD4404NT4G/page-1", "NTD4404NT4G")</f>
        <v>NTD4404NT4G</v>
      </c>
      <c r="B6759" s="3" t="str">
        <f>HYPERLINK("https://www.773grp.com/manufacturer/onsemi?pageNo=18", "Onsemi")</f>
        <v>Onsemi</v>
      </c>
      <c r="C6759" s="6">
        <v>5000</v>
      </c>
      <c r="D6759" s="7">
        <v>0.79</v>
      </c>
    </row>
    <row r="6760" spans="1:5" x14ac:dyDescent="0.25">
      <c r="A6760" t="str">
        <f>HYPERLINK("https://www.773grp.com/globalSearch/NTD4808NT4G/page-1", "NTD4808NT4G")</f>
        <v>NTD4808NT4G</v>
      </c>
      <c r="B6760" s="3" t="str">
        <f>HYPERLINK("https://www.773grp.com/manufacturer/onsemi?pageNo=19", "Onsemi")</f>
        <v>Onsemi</v>
      </c>
      <c r="C6760" s="6">
        <v>23260</v>
      </c>
      <c r="D6760" s="7">
        <v>0.79</v>
      </c>
      <c r="E6760" t="s">
        <v>84</v>
      </c>
    </row>
    <row r="6761" spans="1:5" x14ac:dyDescent="0.25">
      <c r="A6761" t="str">
        <f>HYPERLINK("https://www.773grp.com/globalSearch/NTD4809N-35G/page-1", "NTD4809N-35G")</f>
        <v>NTD4809N-35G</v>
      </c>
      <c r="B6761" s="3" t="str">
        <f>HYPERLINK("https://www.773grp.com/manufacturer/onsemi?pageNo=20", "Onsemi")</f>
        <v>Onsemi</v>
      </c>
      <c r="C6761" s="6">
        <v>48375</v>
      </c>
      <c r="D6761" s="7">
        <v>0.79</v>
      </c>
    </row>
    <row r="6762" spans="1:5" x14ac:dyDescent="0.25">
      <c r="A6762" t="str">
        <f>HYPERLINK("https://www.773grp.com/globalSearch/NTD4809NAT4G/page-1", "NTD4809NAT4G")</f>
        <v>NTD4809NAT4G</v>
      </c>
      <c r="B6762" s="3" t="str">
        <f>HYPERLINK("https://www.773grp.com/manufacturer/onsemi?pageNo=21", "Onsemi")</f>
        <v>Onsemi</v>
      </c>
      <c r="C6762" s="6">
        <v>193200</v>
      </c>
      <c r="D6762" s="7">
        <v>0.79</v>
      </c>
    </row>
    <row r="6763" spans="1:5" x14ac:dyDescent="0.25">
      <c r="A6763" t="str">
        <f>HYPERLINK("https://www.773grp.com/globalSearch/NTD4809NT4G/page-1", "NTD4809NT4G")</f>
        <v>NTD4809NT4G</v>
      </c>
      <c r="B6763" s="3" t="str">
        <f>HYPERLINK("https://www.773grp.com/manufacturer/onsemi?pageNo=22", "Onsemi")</f>
        <v>Onsemi</v>
      </c>
      <c r="C6763" s="6">
        <v>485</v>
      </c>
      <c r="D6763" s="7">
        <v>0.79</v>
      </c>
      <c r="E6763" t="s">
        <v>84</v>
      </c>
    </row>
    <row r="6764" spans="1:5" x14ac:dyDescent="0.25">
      <c r="A6764" t="str">
        <f>HYPERLINK("https://www.773grp.com/globalSearch/NTD4858NA-35G/page-1", "NTD4858NA-35G")</f>
        <v>NTD4858NA-35G</v>
      </c>
      <c r="B6764" s="3" t="str">
        <f>HYPERLINK("https://www.773grp.com/manufacturer/onsemi?pageNo=23", "Onsemi")</f>
        <v>Onsemi</v>
      </c>
      <c r="C6764" s="6">
        <v>14400</v>
      </c>
      <c r="D6764" s="7">
        <v>0.79</v>
      </c>
    </row>
    <row r="6765" spans="1:5" x14ac:dyDescent="0.25">
      <c r="A6765" t="str">
        <f>HYPERLINK("https://www.773grp.com/globalSearch/NTD4858NAT4G/page-1", "NTD4858NAT4G")</f>
        <v>NTD4858NAT4G</v>
      </c>
      <c r="B6765" s="3" t="str">
        <f>HYPERLINK("https://www.773grp.com/manufacturer/onsemi?pageNo=24", "Onsemi")</f>
        <v>Onsemi</v>
      </c>
      <c r="C6765" s="6">
        <v>52950</v>
      </c>
      <c r="D6765" s="7">
        <v>0.79</v>
      </c>
    </row>
    <row r="6766" spans="1:5" x14ac:dyDescent="0.25">
      <c r="A6766" t="str">
        <f>HYPERLINK("https://www.773grp.com/globalSearch/NTD4860N-1G/page-1", "NTD4860N-1G")</f>
        <v>NTD4860N-1G</v>
      </c>
      <c r="B6766" s="3" t="str">
        <f>HYPERLINK("https://www.773grp.com/manufacturer/onsemi?pageNo=25", "Onsemi")</f>
        <v>Onsemi</v>
      </c>
      <c r="C6766" s="6">
        <v>8475</v>
      </c>
      <c r="D6766" s="7">
        <v>0.79</v>
      </c>
      <c r="E6766" t="s">
        <v>84</v>
      </c>
    </row>
    <row r="6767" spans="1:5" x14ac:dyDescent="0.25">
      <c r="A6767" t="str">
        <f>HYPERLINK("https://www.773grp.com/globalSearch/NTD4906N-1G/page-1", "NTD4906N-1G")</f>
        <v>NTD4906N-1G</v>
      </c>
      <c r="B6767" s="3" t="str">
        <f>HYPERLINK("https://www.773grp.com/manufacturer/onsemi?pageNo=26", "Onsemi")</f>
        <v>Onsemi</v>
      </c>
      <c r="C6767" s="6">
        <v>12350</v>
      </c>
      <c r="D6767" s="7">
        <v>0.79</v>
      </c>
      <c r="E6767" t="s">
        <v>84</v>
      </c>
    </row>
    <row r="6768" spans="1:5" x14ac:dyDescent="0.25">
      <c r="A6768" t="str">
        <f>HYPERLINK("https://www.773grp.com/globalSearch/NTD4906N-35G/page-1", "NTD4906N-35G")</f>
        <v>NTD4906N-35G</v>
      </c>
      <c r="B6768" s="3" t="str">
        <f>HYPERLINK("https://www.773grp.com/manufacturer/onsemi?pageNo=27", "Onsemi")</f>
        <v>Onsemi</v>
      </c>
      <c r="C6768" s="6">
        <v>41479</v>
      </c>
      <c r="D6768" s="7">
        <v>0.79</v>
      </c>
      <c r="E6768" t="s">
        <v>84</v>
      </c>
    </row>
    <row r="6769" spans="1:5" x14ac:dyDescent="0.25">
      <c r="A6769" t="str">
        <f>HYPERLINK("https://www.773grp.com/globalSearch/NTD65N03RT4G/page-1", "NTD65N03RT4G")</f>
        <v>NTD65N03RT4G</v>
      </c>
      <c r="B6769" s="3" t="str">
        <f>HYPERLINK("https://www.773grp.com/manufacturer/onsemi?pageNo=28", "Onsemi")</f>
        <v>Onsemi</v>
      </c>
      <c r="C6769" s="6">
        <v>124788</v>
      </c>
      <c r="D6769" s="7">
        <v>0.79</v>
      </c>
      <c r="E6769" t="s">
        <v>84</v>
      </c>
    </row>
    <row r="6770" spans="1:5" x14ac:dyDescent="0.25">
      <c r="A6770" t="str">
        <f>HYPERLINK("https://www.773grp.com/globalSearch/NTD78N03R-001/page-1", "NTD78N03R-001")</f>
        <v>NTD78N03R-001</v>
      </c>
      <c r="B6770" s="3" t="str">
        <f>HYPERLINK("https://www.773grp.com/manufacturer/onsemi?pageNo=29", "Onsemi")</f>
        <v>Onsemi</v>
      </c>
      <c r="C6770" s="6">
        <v>2775</v>
      </c>
      <c r="D6770" s="7">
        <v>0.79</v>
      </c>
    </row>
    <row r="6771" spans="1:5" x14ac:dyDescent="0.25">
      <c r="A6771" t="str">
        <f>HYPERLINK("https://www.773grp.com/globalSearch/NTD78N03R-035/page-1", "NTD78N03R-035")</f>
        <v>NTD78N03R-035</v>
      </c>
      <c r="B6771" s="3" t="str">
        <f>HYPERLINK("https://www.773grp.com/manufacturer/onsemi?pageNo=30", "Onsemi")</f>
        <v>Onsemi</v>
      </c>
      <c r="C6771" s="6">
        <v>2700</v>
      </c>
      <c r="D6771" s="7">
        <v>0.79</v>
      </c>
    </row>
    <row r="6772" spans="1:5" x14ac:dyDescent="0.25">
      <c r="A6772" t="str">
        <f>HYPERLINK("https://www.773grp.com/globalSearch/NTD78N03R-35G/page-1", "NTD78N03R-35G")</f>
        <v>NTD78N03R-35G</v>
      </c>
      <c r="B6772" s="3" t="str">
        <f>HYPERLINK("https://www.773grp.com/manufacturer/onsemi?pageNo=31", "Onsemi")</f>
        <v>Onsemi</v>
      </c>
      <c r="C6772" s="6">
        <v>2625</v>
      </c>
      <c r="D6772" s="7">
        <v>0.79</v>
      </c>
      <c r="E6772" t="s">
        <v>84</v>
      </c>
    </row>
    <row r="6773" spans="1:5" x14ac:dyDescent="0.25">
      <c r="A6773" t="str">
        <f>HYPERLINK("https://www.773grp.com/globalSearch/NTD78N03RG/page-1", "NTD78N03RG")</f>
        <v>NTD78N03RG</v>
      </c>
      <c r="B6773" s="3" t="str">
        <f>HYPERLINK("https://www.773grp.com/manufacturer/onsemi?pageNo=32", "Onsemi")</f>
        <v>Onsemi</v>
      </c>
      <c r="C6773" s="6">
        <v>1575</v>
      </c>
      <c r="D6773" s="7">
        <v>0.79</v>
      </c>
      <c r="E6773" t="s">
        <v>84</v>
      </c>
    </row>
    <row r="6774" spans="1:5" x14ac:dyDescent="0.25">
      <c r="A6774" t="str">
        <f>HYPERLINK("https://www.773grp.com/globalSearch/NTGS5120PT1G/page-1", "NTGS5120PT1G")</f>
        <v>NTGS5120PT1G</v>
      </c>
      <c r="B6774" s="3" t="str">
        <f>HYPERLINK("https://www.773grp.com/manufacturer/onsemi?pageNo=33", "Onsemi")</f>
        <v>Onsemi</v>
      </c>
      <c r="C6774" s="6">
        <v>162865</v>
      </c>
      <c r="D6774" s="7">
        <v>0.79</v>
      </c>
    </row>
    <row r="6775" spans="1:5" x14ac:dyDescent="0.25">
      <c r="A6775" t="str">
        <f>HYPERLINK("https://www.773grp.com/globalSearch/NTHD5904T1/page-1", "NTHD5904T1")</f>
        <v>NTHD5904T1</v>
      </c>
      <c r="B6775" s="3" t="str">
        <f>HYPERLINK("https://www.773grp.com/manufacturer/onsemi?pageNo=34", "Onsemi")</f>
        <v>Onsemi</v>
      </c>
      <c r="C6775" s="6">
        <v>81000</v>
      </c>
      <c r="D6775" s="7">
        <v>0.79</v>
      </c>
      <c r="E6775" t="s">
        <v>85</v>
      </c>
    </row>
    <row r="6776" spans="1:5" x14ac:dyDescent="0.25">
      <c r="A6776" t="str">
        <f>HYPERLINK("https://www.773grp.com/globalSearch/NTHS5402T1/page-1", "NTHS5402T1")</f>
        <v>NTHS5402T1</v>
      </c>
      <c r="B6776" s="3" t="str">
        <f>HYPERLINK("https://www.773grp.com/manufacturer/onsemi?pageNo=35", "Onsemi")</f>
        <v>Onsemi</v>
      </c>
      <c r="C6776" s="6">
        <v>21000</v>
      </c>
      <c r="D6776" s="7">
        <v>0.79</v>
      </c>
      <c r="E6776" t="s">
        <v>85</v>
      </c>
    </row>
    <row r="6777" spans="1:5" x14ac:dyDescent="0.25">
      <c r="A6777" t="str">
        <f>HYPERLINK("https://www.773grp.com/globalSearch/NTLJD2105LTBG/page-1", "NTLJD2105LTBG")</f>
        <v>NTLJD2105LTBG</v>
      </c>
      <c r="B6777" s="3" t="str">
        <f>HYPERLINK("https://www.773grp.com/manufacturer/onsemi?pageNo=36", "Onsemi")</f>
        <v>Onsemi</v>
      </c>
      <c r="C6777" s="6">
        <v>44912</v>
      </c>
      <c r="D6777" s="7">
        <v>0.79</v>
      </c>
      <c r="E6777" t="s">
        <v>84</v>
      </c>
    </row>
    <row r="6778" spans="1:5" x14ac:dyDescent="0.25">
      <c r="A6778" t="str">
        <f>HYPERLINK("https://www.773grp.com/globalSearch/NTLJD3115PT1G/page-1", "NTLJD3115PT1G")</f>
        <v>NTLJD3115PT1G</v>
      </c>
      <c r="B6778" s="3" t="str">
        <f>HYPERLINK("https://www.773grp.com/manufacturer/onsemi?pageNo=37", "Onsemi")</f>
        <v>Onsemi</v>
      </c>
      <c r="C6778" s="6">
        <v>116660</v>
      </c>
      <c r="D6778" s="7">
        <v>0.79</v>
      </c>
      <c r="E6778" t="s">
        <v>84</v>
      </c>
    </row>
    <row r="6779" spans="1:5" x14ac:dyDescent="0.25">
      <c r="A6779" t="str">
        <f>HYPERLINK("https://www.773grp.com/globalSearch/NTLJD3119CTAG/page-1", "NTLJD3119CTAG")</f>
        <v>NTLJD3119CTAG</v>
      </c>
      <c r="B6779" s="3" t="str">
        <f>HYPERLINK("https://www.773grp.com/manufacturer/onsemi?pageNo=38", "Onsemi")</f>
        <v>Onsemi</v>
      </c>
      <c r="C6779" s="6">
        <v>36000</v>
      </c>
      <c r="D6779" s="7">
        <v>0.79</v>
      </c>
      <c r="E6779" t="s">
        <v>84</v>
      </c>
    </row>
    <row r="6780" spans="1:5" x14ac:dyDescent="0.25">
      <c r="A6780" t="str">
        <f>HYPERLINK("https://www.773grp.com/globalSearch/NTLJD3119CTBG/page-1", "NTLJD3119CTBG")</f>
        <v>NTLJD3119CTBG</v>
      </c>
      <c r="B6780" s="3" t="str">
        <f>HYPERLINK("https://www.773grp.com/manufacturer/onsemi?pageNo=39", "Onsemi")</f>
        <v>Onsemi</v>
      </c>
      <c r="C6780" s="6">
        <v>108000</v>
      </c>
      <c r="D6780" s="7">
        <v>0.79</v>
      </c>
      <c r="E6780" t="s">
        <v>84</v>
      </c>
    </row>
    <row r="6781" spans="1:5" x14ac:dyDescent="0.25">
      <c r="A6781" t="str">
        <f>HYPERLINK("https://www.773grp.com/globalSearch/NTLTD7900ZR2/page-1", "NTLTD7900ZR2")</f>
        <v>NTLTD7900ZR2</v>
      </c>
      <c r="B6781" s="3" t="str">
        <f>HYPERLINK("https://www.773grp.com/manufacturer/onsemi?pageNo=40", "Onsemi")</f>
        <v>Onsemi</v>
      </c>
      <c r="C6781" s="6">
        <v>37000</v>
      </c>
      <c r="D6781" s="7">
        <v>0.79</v>
      </c>
      <c r="E6781" t="s">
        <v>84</v>
      </c>
    </row>
    <row r="6782" spans="1:5" x14ac:dyDescent="0.25">
      <c r="A6782" t="str">
        <f>HYPERLINK("https://www.773grp.com/globalSearch/NTLUF4189NZTAG/page-1", "NTLUF4189NZTAG")</f>
        <v>NTLUF4189NZTAG</v>
      </c>
      <c r="B6782" s="3" t="str">
        <f>HYPERLINK("https://www.773grp.com/manufacturer/onsemi?pageNo=41", "Onsemi")</f>
        <v>Onsemi</v>
      </c>
      <c r="C6782" s="6">
        <v>12000</v>
      </c>
      <c r="D6782" s="7">
        <v>0.79</v>
      </c>
    </row>
    <row r="6783" spans="1:5" x14ac:dyDescent="0.25">
      <c r="A6783" t="str">
        <f>HYPERLINK("https://www.773grp.com/globalSearch/NTLUF4189NZTBG/page-1", "NTLUF4189NZTBG")</f>
        <v>NTLUF4189NZTBG</v>
      </c>
      <c r="B6783" s="3" t="str">
        <f>HYPERLINK("https://www.773grp.com/manufacturer/onsemi?pageNo=42", "Onsemi")</f>
        <v>Onsemi</v>
      </c>
      <c r="C6783" s="6">
        <v>459000</v>
      </c>
      <c r="D6783" s="7">
        <v>0.79</v>
      </c>
      <c r="E6783" t="s">
        <v>85</v>
      </c>
    </row>
    <row r="6784" spans="1:5" x14ac:dyDescent="0.25">
      <c r="A6784" t="str">
        <f>HYPERLINK("https://www.773grp.com/globalSearch/NTLUS3A90PZTAG/page-1", "NTLUS3A90PZTAG")</f>
        <v>NTLUS3A90PZTAG</v>
      </c>
      <c r="B6784" s="3" t="str">
        <f>HYPERLINK("https://www.773grp.com/manufacturer/onsemi?pageNo=43", "Onsemi")</f>
        <v>Onsemi</v>
      </c>
      <c r="C6784" s="6">
        <v>129904</v>
      </c>
      <c r="D6784" s="7">
        <v>0.79</v>
      </c>
      <c r="E6784" t="s">
        <v>85</v>
      </c>
    </row>
    <row r="6785" spans="1:5" x14ac:dyDescent="0.25">
      <c r="A6785" t="str">
        <f>HYPERLINK("https://www.773grp.com/globalSearch/NTLUS3A90PZTBG/page-1", "NTLUS3A90PZTBG")</f>
        <v>NTLUS3A90PZTBG</v>
      </c>
      <c r="B6785" s="3" t="str">
        <f>HYPERLINK("https://www.773grp.com/manufacturer/onsemi?pageNo=44", "Onsemi")</f>
        <v>Onsemi</v>
      </c>
      <c r="C6785" s="6">
        <v>3000</v>
      </c>
      <c r="D6785" s="7">
        <v>0.79</v>
      </c>
      <c r="E6785" t="s">
        <v>85</v>
      </c>
    </row>
    <row r="6786" spans="1:5" x14ac:dyDescent="0.25">
      <c r="A6786" t="str">
        <f>HYPERLINK("https://www.773grp.com/globalSearch/NTMD6N02R2/page-1", "NTMD6N02R2")</f>
        <v>NTMD6N02R2</v>
      </c>
      <c r="B6786" s="3" t="str">
        <f>HYPERLINK("https://www.773grp.com/manufacturer/onsemi?pageNo=45", "Onsemi")</f>
        <v>Onsemi</v>
      </c>
      <c r="C6786" s="6">
        <v>27500</v>
      </c>
      <c r="D6786" s="7">
        <v>0.79</v>
      </c>
      <c r="E6786" t="s">
        <v>84</v>
      </c>
    </row>
    <row r="6787" spans="1:5" x14ac:dyDescent="0.25">
      <c r="A6787" t="str">
        <f>HYPERLINK("https://www.773grp.com/globalSearch/NTMFS4927NT1G/page-1", "NTMFS4927NT1G")</f>
        <v>NTMFS4927NT1G</v>
      </c>
      <c r="B6787" s="3" t="str">
        <f>HYPERLINK("https://www.773grp.com/manufacturer/onsemi?pageNo=46", "Onsemi")</f>
        <v>Onsemi</v>
      </c>
      <c r="C6787" s="6">
        <v>79303</v>
      </c>
      <c r="D6787" s="7">
        <v>0.79</v>
      </c>
      <c r="E6787" t="s">
        <v>85</v>
      </c>
    </row>
    <row r="6788" spans="1:5" x14ac:dyDescent="0.25">
      <c r="A6788" t="str">
        <f>HYPERLINK("https://www.773grp.com/globalSearch/NTMS4872NR2G/page-1", "NTMS4872NR2G")</f>
        <v>NTMS4872NR2G</v>
      </c>
      <c r="B6788" s="3" t="str">
        <f>HYPERLINK("https://www.773grp.com/manufacturer/onsemi?pageNo=47", "Onsemi")</f>
        <v>Onsemi</v>
      </c>
      <c r="C6788" s="6">
        <v>194350</v>
      </c>
      <c r="D6788" s="7">
        <v>0.79</v>
      </c>
      <c r="E6788" t="s">
        <v>85</v>
      </c>
    </row>
    <row r="6789" spans="1:5" x14ac:dyDescent="0.25">
      <c r="A6789" t="str">
        <f>HYPERLINK("https://www.773grp.com/globalSearch/NTMS7N03R2/page-1", "NTMS7N03R2")</f>
        <v>NTMS7N03R2</v>
      </c>
      <c r="B6789" s="3" t="str">
        <f>HYPERLINK("https://www.773grp.com/manufacturer/onsemi?pageNo=48", "Onsemi")</f>
        <v>Onsemi</v>
      </c>
      <c r="C6789" s="6">
        <v>87500</v>
      </c>
      <c r="D6789" s="7">
        <v>0.79</v>
      </c>
      <c r="E6789" t="s">
        <v>84</v>
      </c>
    </row>
    <row r="6790" spans="1:5" x14ac:dyDescent="0.25">
      <c r="A6790" t="str">
        <f>HYPERLINK("https://www.773grp.com/globalSearch/NTMSD3P303R2/page-1", "NTMSD3P303R2")</f>
        <v>NTMSD3P303R2</v>
      </c>
      <c r="B6790" s="3" t="str">
        <f>HYPERLINK("https://www.773grp.com/manufacturer/onsemi?pageNo=49", "Onsemi")</f>
        <v>Onsemi</v>
      </c>
      <c r="C6790" s="6">
        <v>2324</v>
      </c>
      <c r="D6790" s="7">
        <v>0.79</v>
      </c>
      <c r="E6790" t="s">
        <v>85</v>
      </c>
    </row>
    <row r="6791" spans="1:5" x14ac:dyDescent="0.25">
      <c r="A6791" t="str">
        <f>HYPERLINK("https://www.773grp.com/globalSearch/NTP15N06AV/page-1", "NTP15N06AV")</f>
        <v>NTP15N06AV</v>
      </c>
      <c r="B6791" s="3" t="str">
        <f>HYPERLINK("https://www.773grp.com/manufacturer/onsemi?pageNo=50", "Onsemi")</f>
        <v>Onsemi</v>
      </c>
      <c r="C6791" s="6">
        <v>6800</v>
      </c>
      <c r="D6791" s="7">
        <v>0.79</v>
      </c>
    </row>
    <row r="6792" spans="1:5" x14ac:dyDescent="0.25">
      <c r="A6792" t="str">
        <f>HYPERLINK("https://www.773grp.com/globalSearch/NTP22N06/page-1", "NTP22N06")</f>
        <v>NTP22N06</v>
      </c>
      <c r="B6792" s="3" t="str">
        <f>HYPERLINK("https://www.773grp.com/manufacturer/onsemi?pageNo=51", "Onsemi")</f>
        <v>Onsemi</v>
      </c>
      <c r="C6792" s="6">
        <v>5520</v>
      </c>
      <c r="D6792" s="7">
        <v>0.79</v>
      </c>
      <c r="E6792" t="s">
        <v>84</v>
      </c>
    </row>
    <row r="6793" spans="1:5" x14ac:dyDescent="0.25">
      <c r="A6793" t="str">
        <f>HYPERLINK("https://www.773grp.com/globalSearch/NTP22N06L/page-1", "NTP22N06L")</f>
        <v>NTP22N06L</v>
      </c>
      <c r="B6793" s="3" t="str">
        <f>HYPERLINK("https://www.773grp.com/manufacturer/onsemi?pageNo=52", "Onsemi")</f>
        <v>Onsemi</v>
      </c>
      <c r="C6793" s="6">
        <v>6550</v>
      </c>
      <c r="D6793" s="7">
        <v>0.79</v>
      </c>
      <c r="E6793" t="s">
        <v>84</v>
      </c>
    </row>
    <row r="6794" spans="1:5" x14ac:dyDescent="0.25">
      <c r="A6794" t="str">
        <f>HYPERLINK("https://www.773grp.com/globalSearch/NTQD6866R2/page-1", "NTQD6866R2")</f>
        <v>NTQD6866R2</v>
      </c>
      <c r="B6794" s="3" t="str">
        <f>HYPERLINK("https://www.773grp.com/manufacturer/onsemi?pageNo=53", "Onsemi")</f>
        <v>Onsemi</v>
      </c>
      <c r="C6794" s="6">
        <v>7960</v>
      </c>
      <c r="D6794" s="7">
        <v>0.79</v>
      </c>
      <c r="E6794" t="s">
        <v>85</v>
      </c>
    </row>
    <row r="6795" spans="1:5" x14ac:dyDescent="0.25">
      <c r="A6795" t="str">
        <f>HYPERLINK("https://www.773grp.com/globalSearch/NTQD6866R2G/page-1", "NTQD6866R2G")</f>
        <v>NTQD6866R2G</v>
      </c>
      <c r="B6795" s="3" t="str">
        <f>HYPERLINK("https://www.773grp.com/manufacturer/onsemi?pageNo=54", "Onsemi")</f>
        <v>Onsemi</v>
      </c>
      <c r="C6795" s="6">
        <v>11244</v>
      </c>
      <c r="D6795" s="7">
        <v>0.79</v>
      </c>
      <c r="E6795" t="s">
        <v>85</v>
      </c>
    </row>
    <row r="6796" spans="1:5" x14ac:dyDescent="0.25">
      <c r="A6796" t="str">
        <f>HYPERLINK("https://www.773grp.com/globalSearch/NTUD3170NZT5G/page-1", "NTUD3170NZT5G")</f>
        <v>NTUD3170NZT5G</v>
      </c>
      <c r="B6796" s="3" t="str">
        <f>HYPERLINK("https://www.773grp.com/manufacturer/onsemi?pageNo=55", "Onsemi")</f>
        <v>Onsemi</v>
      </c>
      <c r="C6796" s="6">
        <v>1316309</v>
      </c>
      <c r="D6796" s="7">
        <v>0.79</v>
      </c>
    </row>
    <row r="6797" spans="1:5" x14ac:dyDescent="0.25">
      <c r="A6797" t="str">
        <f>HYPERLINK("https://www.773grp.com/globalSearch/NUD3048MT1G/page-1", "NUD3048MT1G")</f>
        <v>NUD3048MT1G</v>
      </c>
      <c r="B6797" s="3" t="str">
        <f>HYPERLINK("https://www.773grp.com/manufacturer/onsemi?pageNo=56", "Onsemi")</f>
        <v>Onsemi</v>
      </c>
      <c r="C6797" s="6">
        <v>700</v>
      </c>
      <c r="D6797" s="7">
        <v>0.79</v>
      </c>
      <c r="E6797" t="s">
        <v>85</v>
      </c>
    </row>
    <row r="6798" spans="1:5" x14ac:dyDescent="0.25">
      <c r="A6798" t="str">
        <f>HYPERLINK("https://www.773grp.com/globalSearch/NUD4011DR2/page-1", "NUD4011DR2")</f>
        <v>NUD4011DR2</v>
      </c>
      <c r="B6798" s="3" t="str">
        <f>HYPERLINK("https://www.773grp.com/manufacturer/onsemi?pageNo=57", "Onsemi")</f>
        <v>Onsemi</v>
      </c>
      <c r="C6798" s="6">
        <v>169658</v>
      </c>
      <c r="D6798" s="7">
        <v>0.79</v>
      </c>
      <c r="E6798" t="s">
        <v>7</v>
      </c>
    </row>
    <row r="6799" spans="1:5" x14ac:dyDescent="0.25">
      <c r="A6799" t="str">
        <f>HYPERLINK("https://www.773grp.com/globalSearch/NUF2015W1T2G/page-1", "NUF2015W1T2G")</f>
        <v>NUF2015W1T2G</v>
      </c>
      <c r="B6799" s="3" t="str">
        <f>HYPERLINK("https://www.773grp.com/manufacturer/onsemi?pageNo=58", "Onsemi")</f>
        <v>Onsemi</v>
      </c>
      <c r="C6799" s="6">
        <v>35835</v>
      </c>
      <c r="D6799" s="7">
        <v>0.79</v>
      </c>
      <c r="E6799" t="s">
        <v>20</v>
      </c>
    </row>
    <row r="6800" spans="1:5" x14ac:dyDescent="0.25">
      <c r="A6800" t="str">
        <f>HYPERLINK("https://www.773grp.com/globalSearch/NUF2070MNT1G/page-1", "NUF2070MNT1G")</f>
        <v>NUF2070MNT1G</v>
      </c>
      <c r="B6800" s="3" t="str">
        <f>HYPERLINK("https://www.773grp.com/manufacturer/onsemi?pageNo=59", "Onsemi")</f>
        <v>Onsemi</v>
      </c>
      <c r="C6800" s="6">
        <v>6000</v>
      </c>
      <c r="D6800" s="7">
        <v>0.79</v>
      </c>
      <c r="E6800" t="s">
        <v>79</v>
      </c>
    </row>
    <row r="6801" spans="1:5" x14ac:dyDescent="0.25">
      <c r="A6801" t="str">
        <f>HYPERLINK("https://www.773grp.com/globalSearch/NUF4010MUT2G/page-1", "NUF4010MUT2G")</f>
        <v>NUF4010MUT2G</v>
      </c>
      <c r="B6801" s="3" t="str">
        <f>HYPERLINK("https://www.773grp.com/manufacturer/onsemi?pageNo=60", "Onsemi")</f>
        <v>Onsemi</v>
      </c>
      <c r="C6801" s="6">
        <v>52075</v>
      </c>
      <c r="D6801" s="7">
        <v>0.79</v>
      </c>
      <c r="E6801" t="s">
        <v>79</v>
      </c>
    </row>
    <row r="6802" spans="1:5" x14ac:dyDescent="0.25">
      <c r="A6802" t="str">
        <f>HYPERLINK("https://www.773grp.com/globalSearch/NUF4210MNT1G/page-1", "NUF4210MNT1G")</f>
        <v>NUF4210MNT1G</v>
      </c>
      <c r="B6802" s="3" t="str">
        <f>HYPERLINK("https://www.773grp.com/manufacturer/onsemi?pageNo=61", "Onsemi")</f>
        <v>Onsemi</v>
      </c>
      <c r="C6802" s="6">
        <v>80212</v>
      </c>
      <c r="D6802" s="7">
        <v>0.79</v>
      </c>
      <c r="E6802" t="s">
        <v>79</v>
      </c>
    </row>
    <row r="6803" spans="1:5" x14ac:dyDescent="0.25">
      <c r="A6803" t="str">
        <f>HYPERLINK("https://www.773grp.com/globalSearch/NUF6106FCT1/page-1", "NUF6106FCT1")</f>
        <v>NUF6106FCT1</v>
      </c>
      <c r="B6803" s="3" t="str">
        <f>HYPERLINK("https://www.773grp.com/manufacturer/onsemi?pageNo=62", "Onsemi")</f>
        <v>Onsemi</v>
      </c>
      <c r="C6803" s="6">
        <v>864000</v>
      </c>
      <c r="D6803" s="7">
        <v>0.79</v>
      </c>
      <c r="E6803" t="s">
        <v>79</v>
      </c>
    </row>
    <row r="6804" spans="1:5" x14ac:dyDescent="0.25">
      <c r="A6804" t="str">
        <f>HYPERLINK("https://www.773grp.com/globalSearch/NUP4060AXV6T1G/page-1", "NUP4060AXV6T1G")</f>
        <v>NUP4060AXV6T1G</v>
      </c>
      <c r="B6804" s="3" t="str">
        <f>HYPERLINK("https://www.773grp.com/manufacturer/onsemi?pageNo=63", "Onsemi")</f>
        <v>Onsemi</v>
      </c>
      <c r="C6804" s="6">
        <v>170910</v>
      </c>
      <c r="D6804" s="7">
        <v>0.79</v>
      </c>
      <c r="E6804" t="s">
        <v>75</v>
      </c>
    </row>
    <row r="6805" spans="1:5" x14ac:dyDescent="0.25">
      <c r="A6805" t="str">
        <f>HYPERLINK("https://www.773grp.com/globalSearch/NUP4304MR6T1G/page-1", "NUP4304MR6T1G")</f>
        <v>NUP4304MR6T1G</v>
      </c>
      <c r="B6805" s="3" t="str">
        <f>HYPERLINK("https://www.773grp.com/manufacturer/onsemi?pageNo=64", "Onsemi")</f>
        <v>Onsemi</v>
      </c>
      <c r="C6805" s="6">
        <v>204000</v>
      </c>
      <c r="D6805" s="7">
        <v>0.79</v>
      </c>
      <c r="E6805" t="s">
        <v>75</v>
      </c>
    </row>
    <row r="6806" spans="1:5" x14ac:dyDescent="0.25">
      <c r="A6806" t="str">
        <f>HYPERLINK("https://www.773grp.com/globalSearch/NUP5150MUTBG/page-1", "NUP5150MUTBG")</f>
        <v>NUP5150MUTBG</v>
      </c>
      <c r="B6806" s="3" t="str">
        <f>HYPERLINK("https://www.773grp.com/manufacturer/onsemi?pageNo=65", "Onsemi")</f>
        <v>Onsemi</v>
      </c>
      <c r="C6806" s="6">
        <v>114000</v>
      </c>
      <c r="D6806" s="7">
        <v>0.79</v>
      </c>
      <c r="E6806" t="s">
        <v>75</v>
      </c>
    </row>
    <row r="6807" spans="1:5" x14ac:dyDescent="0.25">
      <c r="A6807" t="str">
        <f>HYPERLINK("https://www.773grp.com/globalSearch/NYC222STT1G/page-1", "NYC222STT1G")</f>
        <v>NYC222STT1G</v>
      </c>
      <c r="B6807" s="3" t="str">
        <f>HYPERLINK("https://www.773grp.com/manufacturer/onsemi?pageNo=66", "Onsemi")</f>
        <v>Onsemi</v>
      </c>
      <c r="C6807" s="6">
        <v>6000</v>
      </c>
      <c r="D6807" s="7">
        <v>0.79</v>
      </c>
    </row>
    <row r="6808" spans="1:5" x14ac:dyDescent="0.25">
      <c r="A6808" t="str">
        <f>HYPERLINK("https://www.773grp.com/globalSearch/PKMBR845RL/page-1", "PKMBR845RL")</f>
        <v>PKMBR845RL</v>
      </c>
      <c r="B6808" s="3" t="str">
        <f>HYPERLINK("https://www.773grp.com/manufacturer/onsemi?pageNo=67", "Onsemi")</f>
        <v>Onsemi</v>
      </c>
      <c r="C6808" s="6">
        <v>1470</v>
      </c>
      <c r="D6808" s="7">
        <v>0.79</v>
      </c>
    </row>
    <row r="6809" spans="1:5" x14ac:dyDescent="0.25">
      <c r="A6809" t="str">
        <f>HYPERLINK("https://www.773grp.com/globalSearch/SA15AG/page-1", "SA15AG")</f>
        <v>SA15AG</v>
      </c>
      <c r="B6809" s="3" t="str">
        <f>HYPERLINK("https://www.773grp.com/manufacturer/onsemi?pageNo=68", "Onsemi")</f>
        <v>Onsemi</v>
      </c>
      <c r="C6809" s="6">
        <v>7000</v>
      </c>
      <c r="D6809" s="7">
        <v>0.79</v>
      </c>
      <c r="E6809" t="s">
        <v>75</v>
      </c>
    </row>
    <row r="6810" spans="1:5" x14ac:dyDescent="0.25">
      <c r="A6810" t="str">
        <f>HYPERLINK("https://www.773grp.com/globalSearch/SA15ARLG/page-1", "SA15ARLG")</f>
        <v>SA15ARLG</v>
      </c>
      <c r="B6810" s="3" t="str">
        <f>HYPERLINK("https://www.773grp.com/manufacturer/onsemi?pageNo=69", "Onsemi")</f>
        <v>Onsemi</v>
      </c>
      <c r="C6810" s="6">
        <v>14285</v>
      </c>
      <c r="D6810" s="7">
        <v>0.79</v>
      </c>
      <c r="E6810" t="s">
        <v>75</v>
      </c>
    </row>
    <row r="6811" spans="1:5" x14ac:dyDescent="0.25">
      <c r="A6811" t="str">
        <f>HYPERLINK("https://www.773grp.com/globalSearch/SA5.0AG/page-1", "SA5.0AG")</f>
        <v>SA5.0AG</v>
      </c>
      <c r="B6811" s="3" t="str">
        <f>HYPERLINK("https://www.773grp.com/manufacturer/onsemi?pageNo=70", "Onsemi")</f>
        <v>Onsemi</v>
      </c>
      <c r="C6811" s="6">
        <v>5000</v>
      </c>
      <c r="D6811" s="7">
        <v>0.79</v>
      </c>
      <c r="E6811" t="s">
        <v>75</v>
      </c>
    </row>
    <row r="6812" spans="1:5" x14ac:dyDescent="0.25">
      <c r="A6812" t="str">
        <f>HYPERLINK("https://www.773grp.com/globalSearch/SA5.0ARLG/page-1", "SA5.0ARLG")</f>
        <v>SA5.0ARLG</v>
      </c>
      <c r="B6812" s="3" t="str">
        <f>HYPERLINK("https://www.773grp.com/manufacturer/onsemi?pageNo=71", "Onsemi")</f>
        <v>Onsemi</v>
      </c>
      <c r="C6812" s="6">
        <v>15000</v>
      </c>
      <c r="D6812" s="7">
        <v>0.79</v>
      </c>
      <c r="E6812" t="s">
        <v>75</v>
      </c>
    </row>
    <row r="6813" spans="1:5" x14ac:dyDescent="0.25">
      <c r="A6813" t="str">
        <f>HYPERLINK("https://www.773grp.com/globalSearch/SBRD835LT4/page-1", "SBRD835LT4")</f>
        <v>SBRD835LT4</v>
      </c>
      <c r="B6813" s="3" t="str">
        <f>HYPERLINK("https://www.773grp.com/manufacturer/onsemi?pageNo=72", "Onsemi")</f>
        <v>Onsemi</v>
      </c>
      <c r="C6813" s="6">
        <v>35000</v>
      </c>
      <c r="D6813" s="7">
        <v>0.79</v>
      </c>
    </row>
    <row r="6814" spans="1:5" x14ac:dyDescent="0.25">
      <c r="A6814" t="str">
        <f>HYPERLINK("https://www.773grp.com/globalSearch/SBRS8340T3G/page-1", "SBRS8340T3G")</f>
        <v>SBRS8340T3G</v>
      </c>
      <c r="B6814" s="3" t="str">
        <f>HYPERLINK("https://www.773grp.com/manufacturer/onsemi?pageNo=73", "Onsemi")</f>
        <v>Onsemi</v>
      </c>
      <c r="C6814" s="6">
        <v>52500</v>
      </c>
      <c r="D6814" s="7">
        <v>0.79</v>
      </c>
    </row>
    <row r="6815" spans="1:5" x14ac:dyDescent="0.25">
      <c r="A6815" t="str">
        <f>HYPERLINK("https://www.773grp.com/globalSearch/SC239ADR2/page-1", "SC239ADR2")</f>
        <v>SC239ADR2</v>
      </c>
      <c r="B6815" s="3" t="str">
        <f>HYPERLINK("https://www.773grp.com/manufacturer/onsemi?pageNo=74", "Onsemi")</f>
        <v>Onsemi</v>
      </c>
      <c r="C6815" s="6">
        <v>87500</v>
      </c>
      <c r="D6815" s="7">
        <v>0.79</v>
      </c>
    </row>
    <row r="6816" spans="1:5" x14ac:dyDescent="0.25">
      <c r="A6816" t="str">
        <f>HYPERLINK("https://www.773grp.com/globalSearch/SMBF5460LT1/page-1", "SMBF5460LT1")</f>
        <v>SMBF5460LT1</v>
      </c>
      <c r="B6816" s="3" t="str">
        <f>HYPERLINK("https://www.773grp.com/manufacturer/onsemi?pageNo=75", "Onsemi")</f>
        <v>Onsemi</v>
      </c>
      <c r="C6816" s="6">
        <v>6000</v>
      </c>
      <c r="D6816" s="7">
        <v>0.79</v>
      </c>
    </row>
    <row r="6817" spans="1:5" x14ac:dyDescent="0.25">
      <c r="A6817" t="str">
        <f>HYPERLINK("https://www.773grp.com/globalSearch/SMMBFJ310LT1/page-1", "SMMBFJ310LT1")</f>
        <v>SMMBFJ310LT1</v>
      </c>
      <c r="B6817" s="3" t="str">
        <f>HYPERLINK("https://www.773grp.com/manufacturer/onsemi?pageNo=76", "Onsemi")</f>
        <v>Onsemi</v>
      </c>
      <c r="C6817" s="6">
        <v>21868</v>
      </c>
      <c r="D6817" s="7">
        <v>0.79</v>
      </c>
      <c r="E6817" t="s">
        <v>83</v>
      </c>
    </row>
    <row r="6818" spans="1:5" x14ac:dyDescent="0.25">
      <c r="A6818" t="str">
        <f>HYPERLINK("https://www.773grp.com/globalSearch/SN74LS109AN/page-1", "SN74LS109AN")</f>
        <v>SN74LS109AN</v>
      </c>
      <c r="B6818" s="3" t="str">
        <f>HYPERLINK("https://www.773grp.com/manufacturer/onsemi?pageNo=77", "Onsemi")</f>
        <v>Onsemi</v>
      </c>
      <c r="C6818" s="6">
        <v>9025</v>
      </c>
      <c r="D6818" s="7">
        <v>0.79</v>
      </c>
      <c r="E6818" t="s">
        <v>31</v>
      </c>
    </row>
    <row r="6819" spans="1:5" x14ac:dyDescent="0.25">
      <c r="A6819" t="str">
        <f>HYPERLINK("https://www.773grp.com/globalSearch/SN74LS123ML1/page-1", "SN74LS123ML1")</f>
        <v>SN74LS123ML1</v>
      </c>
      <c r="B6819" s="3" t="str">
        <f>HYPERLINK("https://www.773grp.com/manufacturer/onsemi?pageNo=78", "Onsemi")</f>
        <v>Onsemi</v>
      </c>
      <c r="C6819" s="6">
        <v>5000</v>
      </c>
      <c r="D6819" s="7">
        <v>0.79</v>
      </c>
    </row>
    <row r="6820" spans="1:5" x14ac:dyDescent="0.25">
      <c r="A6820" t="str">
        <f>HYPERLINK("https://www.773grp.com/globalSearch/SN74LS123MR1/page-1", "SN74LS123MR1")</f>
        <v>SN74LS123MR1</v>
      </c>
      <c r="B6820" s="3" t="str">
        <f>HYPERLINK("https://www.773grp.com/manufacturer/onsemi?pageNo=79", "Onsemi")</f>
        <v>Onsemi</v>
      </c>
      <c r="C6820" s="6">
        <v>4000</v>
      </c>
      <c r="D6820" s="7">
        <v>0.79</v>
      </c>
      <c r="E6820" t="s">
        <v>44</v>
      </c>
    </row>
    <row r="6821" spans="1:5" x14ac:dyDescent="0.25">
      <c r="A6821" t="str">
        <f>HYPERLINK("https://www.773grp.com/globalSearch/SN74LS133ML1/page-1", "SN74LS133ML1")</f>
        <v>SN74LS133ML1</v>
      </c>
      <c r="B6821" s="3" t="str">
        <f>HYPERLINK("https://www.773grp.com/manufacturer/onsemi?pageNo=80", "Onsemi")</f>
        <v>Onsemi</v>
      </c>
      <c r="C6821" s="6">
        <v>6000</v>
      </c>
      <c r="D6821" s="7">
        <v>0.79</v>
      </c>
    </row>
    <row r="6822" spans="1:5" x14ac:dyDescent="0.25">
      <c r="A6822" t="str">
        <f>HYPERLINK("https://www.773grp.com/globalSearch/SN74LS136D/page-1", "SN74LS136D")</f>
        <v>SN74LS136D</v>
      </c>
      <c r="B6822" s="3" t="str">
        <f>HYPERLINK("https://www.773grp.com/manufacturer/onsemi?pageNo=81", "Onsemi")</f>
        <v>Onsemi</v>
      </c>
      <c r="C6822" s="6">
        <v>4834</v>
      </c>
      <c r="D6822" s="7">
        <v>0.79</v>
      </c>
      <c r="E6822" t="s">
        <v>27</v>
      </c>
    </row>
    <row r="6823" spans="1:5" x14ac:dyDescent="0.25">
      <c r="A6823" t="str">
        <f>HYPERLINK("https://www.773grp.com/globalSearch/SN74LS136N/page-1", "SN74LS136N")</f>
        <v>SN74LS136N</v>
      </c>
      <c r="B6823" s="3" t="str">
        <f>HYPERLINK("https://www.773grp.com/manufacturer/onsemi?pageNo=82", "Onsemi")</f>
        <v>Onsemi</v>
      </c>
      <c r="C6823" s="6">
        <v>2504</v>
      </c>
      <c r="D6823" s="7">
        <v>0.79</v>
      </c>
      <c r="E6823" t="s">
        <v>27</v>
      </c>
    </row>
    <row r="6824" spans="1:5" x14ac:dyDescent="0.25">
      <c r="A6824" t="str">
        <f>HYPERLINK("https://www.773grp.com/globalSearch/SN74LS151N/page-1", "SN74LS151N")</f>
        <v>SN74LS151N</v>
      </c>
      <c r="B6824" s="3" t="str">
        <f>HYPERLINK("https://www.773grp.com/manufacturer/onsemi?pageNo=83", "Onsemi")</f>
        <v>Onsemi</v>
      </c>
      <c r="C6824" s="6">
        <v>102944</v>
      </c>
      <c r="D6824" s="7">
        <v>0.79</v>
      </c>
      <c r="E6824" t="s">
        <v>16</v>
      </c>
    </row>
    <row r="6825" spans="1:5" x14ac:dyDescent="0.25">
      <c r="A6825" t="str">
        <f>HYPERLINK("https://www.773grp.com/globalSearch/SN74LS153N/page-1", "SN74LS153N")</f>
        <v>SN74LS153N</v>
      </c>
      <c r="B6825" s="3" t="str">
        <f>HYPERLINK("https://www.773grp.com/manufacturer/onsemi?pageNo=84", "Onsemi")</f>
        <v>Onsemi</v>
      </c>
      <c r="C6825" s="6">
        <v>10383</v>
      </c>
      <c r="D6825" s="7">
        <v>0.79</v>
      </c>
      <c r="E6825" t="s">
        <v>16</v>
      </c>
    </row>
    <row r="6826" spans="1:5" x14ac:dyDescent="0.25">
      <c r="A6826" t="str">
        <f>HYPERLINK("https://www.773grp.com/globalSearch/SN74LS165MR1/page-1", "SN74LS165MR1")</f>
        <v>SN74LS165MR1</v>
      </c>
      <c r="B6826" s="3" t="str">
        <f>HYPERLINK("https://www.773grp.com/manufacturer/onsemi?pageNo=85", "Onsemi")</f>
        <v>Onsemi</v>
      </c>
      <c r="C6826" s="6">
        <v>7000</v>
      </c>
      <c r="D6826" s="7">
        <v>0.79</v>
      </c>
      <c r="E6826" t="s">
        <v>28</v>
      </c>
    </row>
    <row r="6827" spans="1:5" x14ac:dyDescent="0.25">
      <c r="A6827" t="str">
        <f>HYPERLINK("https://www.773grp.com/globalSearch/SN74LS169N/page-1", "SN74LS169N")</f>
        <v>SN74LS169N</v>
      </c>
      <c r="B6827" s="3" t="str">
        <f>HYPERLINK("https://www.773grp.com/manufacturer/onsemi?pageNo=86", "Onsemi")</f>
        <v>Onsemi</v>
      </c>
      <c r="C6827" s="6">
        <v>6641</v>
      </c>
      <c r="D6827" s="7">
        <v>0.79</v>
      </c>
      <c r="E6827" t="s">
        <v>22</v>
      </c>
    </row>
    <row r="6828" spans="1:5" x14ac:dyDescent="0.25">
      <c r="A6828" t="str">
        <f>HYPERLINK("https://www.773grp.com/globalSearch/SN74LS174D/page-1", "SN74LS174D")</f>
        <v>SN74LS174D</v>
      </c>
      <c r="B6828" s="3" t="str">
        <f>HYPERLINK("https://www.773grp.com/manufacturer/onsemi?pageNo=87", "Onsemi")</f>
        <v>Onsemi</v>
      </c>
      <c r="C6828" s="6">
        <v>3312</v>
      </c>
      <c r="D6828" s="7">
        <v>0.79</v>
      </c>
      <c r="E6828" t="s">
        <v>31</v>
      </c>
    </row>
    <row r="6829" spans="1:5" x14ac:dyDescent="0.25">
      <c r="A6829" t="str">
        <f>HYPERLINK("https://www.773grp.com/globalSearch/SN74LS174DR2/page-1", "SN74LS174DR2")</f>
        <v>SN74LS174DR2</v>
      </c>
      <c r="B6829" s="3" t="str">
        <f>HYPERLINK("https://www.773grp.com/manufacturer/onsemi?pageNo=88", "Onsemi")</f>
        <v>Onsemi</v>
      </c>
      <c r="C6829" s="6">
        <v>2500</v>
      </c>
      <c r="D6829" s="7">
        <v>0.79</v>
      </c>
      <c r="E6829" t="s">
        <v>31</v>
      </c>
    </row>
    <row r="6830" spans="1:5" x14ac:dyDescent="0.25">
      <c r="A6830" t="str">
        <f>HYPERLINK("https://www.773grp.com/globalSearch/SN74LS174M/page-1", "SN74LS174M")</f>
        <v>SN74LS174M</v>
      </c>
      <c r="B6830" s="3" t="str">
        <f>HYPERLINK("https://www.773grp.com/manufacturer/onsemi?pageNo=89", "Onsemi")</f>
        <v>Onsemi</v>
      </c>
      <c r="C6830" s="6">
        <v>2750</v>
      </c>
      <c r="D6830" s="7">
        <v>0.79</v>
      </c>
      <c r="E6830" t="s">
        <v>31</v>
      </c>
    </row>
    <row r="6831" spans="1:5" x14ac:dyDescent="0.25">
      <c r="A6831" t="str">
        <f>HYPERLINK("https://www.773grp.com/globalSearch/SN74LS175D/page-1", "SN74LS175D")</f>
        <v>SN74LS175D</v>
      </c>
      <c r="B6831" s="3" t="str">
        <f>HYPERLINK("https://www.773grp.com/manufacturer/onsemi?pageNo=90", "Onsemi")</f>
        <v>Onsemi</v>
      </c>
      <c r="C6831" s="6">
        <v>2344</v>
      </c>
      <c r="D6831" s="7">
        <v>0.79</v>
      </c>
      <c r="E6831" t="s">
        <v>31</v>
      </c>
    </row>
    <row r="6832" spans="1:5" x14ac:dyDescent="0.25">
      <c r="A6832" t="str">
        <f>HYPERLINK("https://www.773grp.com/globalSearch/SN74LS221D/page-1", "SN74LS221D")</f>
        <v>SN74LS221D</v>
      </c>
      <c r="B6832" s="3" t="str">
        <f>HYPERLINK("https://www.773grp.com/manufacturer/onsemi?pageNo=91", "Onsemi")</f>
        <v>Onsemi</v>
      </c>
      <c r="C6832" s="6">
        <v>451</v>
      </c>
      <c r="D6832" s="7">
        <v>0.79</v>
      </c>
      <c r="E6832" t="s">
        <v>44</v>
      </c>
    </row>
    <row r="6833" spans="1:5" x14ac:dyDescent="0.25">
      <c r="A6833" t="str">
        <f>HYPERLINK("https://www.773grp.com/globalSearch/SN74LS283ML1/page-1", "SN74LS283ML1")</f>
        <v>SN74LS283ML1</v>
      </c>
      <c r="B6833" s="3" t="str">
        <f>HYPERLINK("https://www.773grp.com/manufacturer/onsemi?pageNo=92", "Onsemi")</f>
        <v>Onsemi</v>
      </c>
      <c r="C6833" s="6">
        <v>1000</v>
      </c>
      <c r="D6833" s="7">
        <v>0.79</v>
      </c>
    </row>
    <row r="6834" spans="1:5" x14ac:dyDescent="0.25">
      <c r="A6834" t="str">
        <f>HYPERLINK("https://www.773grp.com/globalSearch/SN74LS365AN/page-1", "SN74LS365AN")</f>
        <v>SN74LS365AN</v>
      </c>
      <c r="B6834" s="3" t="str">
        <f>HYPERLINK("https://www.773grp.com/manufacturer/onsemi?pageNo=93", "Onsemi")</f>
        <v>Onsemi</v>
      </c>
      <c r="C6834" s="6">
        <v>2759</v>
      </c>
      <c r="D6834" s="7">
        <v>0.79</v>
      </c>
      <c r="E6834" t="s">
        <v>11</v>
      </c>
    </row>
    <row r="6835" spans="1:5" x14ac:dyDescent="0.25">
      <c r="A6835" t="str">
        <f>HYPERLINK("https://www.773grp.com/globalSearch/SN74LS367AN/page-1", "SN74LS367AN")</f>
        <v>SN74LS367AN</v>
      </c>
      <c r="B6835" s="3" t="str">
        <f>HYPERLINK("https://www.773grp.com/manufacturer/onsemi?pageNo=94", "Onsemi")</f>
        <v>Onsemi</v>
      </c>
      <c r="C6835" s="6">
        <v>5381</v>
      </c>
      <c r="D6835" s="7">
        <v>0.79</v>
      </c>
      <c r="E6835" t="s">
        <v>11</v>
      </c>
    </row>
    <row r="6836" spans="1:5" x14ac:dyDescent="0.25">
      <c r="A6836" t="str">
        <f>HYPERLINK("https://www.773grp.com/globalSearch/SN74LS368AN/page-1", "SN74LS368AN")</f>
        <v>SN74LS368AN</v>
      </c>
      <c r="B6836" s="3" t="str">
        <f>HYPERLINK("https://www.773grp.com/manufacturer/onsemi?pageNo=95", "Onsemi")</f>
        <v>Onsemi</v>
      </c>
      <c r="C6836" s="6">
        <v>7750</v>
      </c>
      <c r="D6836" s="7">
        <v>0.79</v>
      </c>
      <c r="E6836" t="s">
        <v>11</v>
      </c>
    </row>
    <row r="6837" spans="1:5" x14ac:dyDescent="0.25">
      <c r="A6837" t="str">
        <f>HYPERLINK("https://www.773grp.com/globalSearch/STF202-22T1/page-1", "STF202-22T1")</f>
        <v>STF202-22T1</v>
      </c>
      <c r="B6837" s="3" t="str">
        <f>HYPERLINK("https://www.773grp.com/manufacturer/onsemi?pageNo=96", "Onsemi")</f>
        <v>Onsemi</v>
      </c>
      <c r="C6837" s="6">
        <v>11524</v>
      </c>
      <c r="D6837" s="7">
        <v>0.79</v>
      </c>
      <c r="E6837" t="s">
        <v>79</v>
      </c>
    </row>
    <row r="6838" spans="1:5" x14ac:dyDescent="0.25">
      <c r="A6838" t="str">
        <f>HYPERLINK("https://www.773grp.com/globalSearch/SZNCP3712ASNT3G/page-1", "SZNCP3712ASNT3G")</f>
        <v>SZNCP3712ASNT3G</v>
      </c>
      <c r="B6838" s="3" t="str">
        <f>HYPERLINK("https://www.773grp.com/manufacturer/onsemi?pageNo=97", "Onsemi")</f>
        <v>Onsemi</v>
      </c>
      <c r="C6838" s="6">
        <v>9863</v>
      </c>
      <c r="D6838" s="7">
        <v>0.79</v>
      </c>
    </row>
    <row r="6839" spans="1:5" x14ac:dyDescent="0.25">
      <c r="A6839" t="str">
        <f>HYPERLINK("https://www.773grp.com/globalSearch/TIP110/page-1", "TIP110")</f>
        <v>TIP110</v>
      </c>
      <c r="B6839" s="3" t="str">
        <f>HYPERLINK("https://www.773grp.com/manufacturer/onsemi?pageNo=98", "Onsemi")</f>
        <v>Onsemi</v>
      </c>
      <c r="C6839" s="6">
        <v>4619</v>
      </c>
      <c r="D6839" s="7">
        <v>0.79</v>
      </c>
      <c r="E6839" t="s">
        <v>47</v>
      </c>
    </row>
    <row r="6840" spans="1:5" x14ac:dyDescent="0.25">
      <c r="A6840" t="str">
        <f>HYPERLINK("https://www.773grp.com/globalSearch/TIP112/page-1", "TIP112")</f>
        <v>TIP112</v>
      </c>
      <c r="B6840" s="3" t="str">
        <f>HYPERLINK("https://www.773grp.com/manufacturer/onsemi?pageNo=99", "Onsemi")</f>
        <v>Onsemi</v>
      </c>
      <c r="C6840" s="6">
        <v>20064</v>
      </c>
      <c r="D6840" s="7">
        <v>0.79</v>
      </c>
      <c r="E6840" t="s">
        <v>47</v>
      </c>
    </row>
    <row r="6841" spans="1:5" x14ac:dyDescent="0.25">
      <c r="A6841" t="str">
        <f>HYPERLINK("https://www.773grp.com/globalSearch/TIP115/page-1", "TIP115")</f>
        <v>TIP115</v>
      </c>
      <c r="B6841" s="3" t="str">
        <f>HYPERLINK("https://www.773grp.com/manufacturer/onsemi?pageNo=100", "Onsemi")</f>
        <v>Onsemi</v>
      </c>
      <c r="C6841" s="6">
        <v>7350</v>
      </c>
      <c r="D6841" s="7">
        <v>0.79</v>
      </c>
      <c r="E6841" t="s">
        <v>47</v>
      </c>
    </row>
    <row r="6842" spans="1:5" x14ac:dyDescent="0.25">
      <c r="A6842" t="str">
        <f>HYPERLINK("https://www.773grp.com/globalSearch/TIP117/page-1", "TIP117")</f>
        <v>TIP117</v>
      </c>
      <c r="B6842" s="3" t="str">
        <f>HYPERLINK("https://www.773grp.com/manufacturer/onsemi?pageNo=101", "Onsemi")</f>
        <v>Onsemi</v>
      </c>
      <c r="C6842" s="6">
        <v>250</v>
      </c>
      <c r="D6842" s="7">
        <v>0.79</v>
      </c>
      <c r="E6842" t="s">
        <v>47</v>
      </c>
    </row>
    <row r="6843" spans="1:5" x14ac:dyDescent="0.25">
      <c r="A6843" t="str">
        <f>HYPERLINK("https://www.773grp.com/globalSearch/TL431BIDMR2G/page-1", "TL431BIDMR2G")</f>
        <v>TL431BIDMR2G</v>
      </c>
      <c r="B6843" s="3" t="str">
        <f>HYPERLINK("https://www.773grp.com/manufacturer/onsemi?pageNo=102", "Onsemi")</f>
        <v>Onsemi</v>
      </c>
      <c r="C6843" s="6">
        <v>2718</v>
      </c>
      <c r="D6843" s="7">
        <v>0.79</v>
      </c>
      <c r="E6843" t="s">
        <v>13</v>
      </c>
    </row>
    <row r="6844" spans="1:5" x14ac:dyDescent="0.25">
      <c r="A6844" t="str">
        <f>HYPERLINK("https://www.773grp.com/globalSearch/TL431BIP/page-1", "TL431BIP")</f>
        <v>TL431BIP</v>
      </c>
      <c r="B6844" s="3" t="str">
        <f>HYPERLINK("https://www.773grp.com/manufacturer/onsemi?pageNo=103", "Onsemi")</f>
        <v>Onsemi</v>
      </c>
      <c r="C6844" s="6">
        <v>1000</v>
      </c>
      <c r="D6844" s="7">
        <v>0.79</v>
      </c>
      <c r="E6844" t="s">
        <v>13</v>
      </c>
    </row>
    <row r="6845" spans="1:5" x14ac:dyDescent="0.25">
      <c r="A6845" t="str">
        <f>HYPERLINK("https://www.773grp.com/globalSearch/TY30533R2G/page-1", "TY30533R2G")</f>
        <v>TY30533R2G</v>
      </c>
      <c r="B6845" s="3" t="str">
        <f>HYPERLINK("https://www.773grp.com/manufacturer/onsemi?pageNo=104", "Onsemi")</f>
        <v>Onsemi</v>
      </c>
      <c r="C6845" s="6">
        <v>4131</v>
      </c>
      <c r="D6845" s="7">
        <v>0.79</v>
      </c>
    </row>
    <row r="6846" spans="1:5" x14ac:dyDescent="0.25">
      <c r="A6846" t="str">
        <f>HYPERLINK("https://www.773grp.com/globalSearch/TY30577DR2G/page-1", "TY30577DR2G")</f>
        <v>TY30577DR2G</v>
      </c>
      <c r="B6846" s="3" t="str">
        <f>HYPERLINK("https://www.773grp.com/manufacturer/onsemi?pageNo=105", "Onsemi")</f>
        <v>Onsemi</v>
      </c>
      <c r="C6846" s="6">
        <v>2598</v>
      </c>
      <c r="D6846" s="7">
        <v>0.79</v>
      </c>
    </row>
    <row r="6847" spans="1:5" x14ac:dyDescent="0.25">
      <c r="A6847" t="str">
        <f>HYPERLINK("https://www.773grp.com/globalSearch/UC2842BD1G/page-1", "UC2842BD1G")</f>
        <v>UC2842BD1G</v>
      </c>
      <c r="B6847" s="3" t="str">
        <f>HYPERLINK("https://www.773grp.com/manufacturer/onsemi?pageNo=106", "Onsemi")</f>
        <v>Onsemi</v>
      </c>
      <c r="C6847" s="6">
        <v>872</v>
      </c>
      <c r="D6847" s="7">
        <v>0.79</v>
      </c>
      <c r="E6847" t="s">
        <v>5</v>
      </c>
    </row>
    <row r="6848" spans="1:5" x14ac:dyDescent="0.25">
      <c r="A6848" t="str">
        <f>HYPERLINK("https://www.773grp.com/globalSearch/UC2842BDG/page-1", "UC2842BDG")</f>
        <v>UC2842BDG</v>
      </c>
      <c r="B6848" s="3" t="str">
        <f>HYPERLINK("https://www.773grp.com/manufacturer/onsemi?pageNo=107", "Onsemi")</f>
        <v>Onsemi</v>
      </c>
      <c r="C6848" s="6">
        <v>2730</v>
      </c>
      <c r="D6848" s="7">
        <v>0.79</v>
      </c>
      <c r="E6848" t="s">
        <v>5</v>
      </c>
    </row>
    <row r="6849" spans="1:5" x14ac:dyDescent="0.25">
      <c r="A6849" t="str">
        <f>HYPERLINK("https://www.773grp.com/globalSearch/UC2843BD1G/page-1", "UC2843BD1G")</f>
        <v>UC2843BD1G</v>
      </c>
      <c r="B6849" s="3" t="str">
        <f>HYPERLINK("https://www.773grp.com/manufacturer/onsemi?pageNo=108", "Onsemi")</f>
        <v>Onsemi</v>
      </c>
      <c r="C6849" s="6">
        <v>10336</v>
      </c>
      <c r="D6849" s="7">
        <v>0.79</v>
      </c>
      <c r="E6849" t="s">
        <v>5</v>
      </c>
    </row>
    <row r="6850" spans="1:5" x14ac:dyDescent="0.25">
      <c r="A6850" t="str">
        <f>HYPERLINK("https://www.773grp.com/globalSearch/UC2843BDG/page-1", "UC2843BDG")</f>
        <v>UC2843BDG</v>
      </c>
      <c r="B6850" s="3" t="str">
        <f>HYPERLINK("https://www.773grp.com/manufacturer/onsemi?pageNo=109", "Onsemi")</f>
        <v>Onsemi</v>
      </c>
      <c r="C6850" s="6">
        <v>3073</v>
      </c>
      <c r="D6850" s="7">
        <v>0.79</v>
      </c>
      <c r="E6850" t="s">
        <v>5</v>
      </c>
    </row>
    <row r="6851" spans="1:5" x14ac:dyDescent="0.25">
      <c r="A6851" t="str">
        <f>HYPERLINK("https://www.773grp.com/globalSearch/UC2845BD1G/page-1", "UC2845BD1G")</f>
        <v>UC2845BD1G</v>
      </c>
      <c r="B6851" s="3" t="str">
        <f>HYPERLINK("https://www.773grp.com/manufacturer/onsemi?pageNo=110", "Onsemi")</f>
        <v>Onsemi</v>
      </c>
      <c r="C6851" s="6">
        <v>18920</v>
      </c>
      <c r="D6851" s="7">
        <v>0.79</v>
      </c>
      <c r="E6851" t="s">
        <v>5</v>
      </c>
    </row>
    <row r="6852" spans="1:5" x14ac:dyDescent="0.25">
      <c r="A6852" t="str">
        <f>HYPERLINK("https://www.773grp.com/globalSearch/UC2845BDG/page-1", "UC2845BDG")</f>
        <v>UC2845BDG</v>
      </c>
      <c r="B6852" s="3" t="str">
        <f>HYPERLINK("https://www.773grp.com/manufacturer/onsemi?pageNo=111", "Onsemi")</f>
        <v>Onsemi</v>
      </c>
      <c r="C6852" s="6">
        <v>8965</v>
      </c>
      <c r="D6852" s="7">
        <v>0.79</v>
      </c>
      <c r="E6852" t="s">
        <v>5</v>
      </c>
    </row>
    <row r="6853" spans="1:5" x14ac:dyDescent="0.25">
      <c r="A6853" t="str">
        <f>HYPERLINK("https://www.773grp.com/globalSearch/UC3842BD1G/page-1", "UC3842BD1G")</f>
        <v>UC3842BD1G</v>
      </c>
      <c r="B6853" s="3" t="str">
        <f>HYPERLINK("https://www.773grp.com/manufacturer/onsemi?pageNo=112", "Onsemi")</f>
        <v>Onsemi</v>
      </c>
      <c r="C6853" s="6">
        <v>38</v>
      </c>
      <c r="D6853" s="7">
        <v>0.79</v>
      </c>
      <c r="E6853" t="s">
        <v>5</v>
      </c>
    </row>
    <row r="6854" spans="1:5" x14ac:dyDescent="0.25">
      <c r="A6854" t="str">
        <f>HYPERLINK("https://www.773grp.com/globalSearch/UC3842BDG/page-1", "UC3842BDG")</f>
        <v>UC3842BDG</v>
      </c>
      <c r="B6854" s="3" t="str">
        <f>HYPERLINK("https://www.773grp.com/manufacturer/onsemi?pageNo=113", "Onsemi")</f>
        <v>Onsemi</v>
      </c>
      <c r="C6854" s="6">
        <v>118</v>
      </c>
      <c r="D6854" s="7">
        <v>0.79</v>
      </c>
      <c r="E6854" t="s">
        <v>5</v>
      </c>
    </row>
    <row r="6855" spans="1:5" x14ac:dyDescent="0.25">
      <c r="A6855" t="str">
        <f>HYPERLINK("https://www.773grp.com/globalSearch/UC3844BD1G/page-1", "UC3844BD1G")</f>
        <v>UC3844BD1G</v>
      </c>
      <c r="B6855" s="3" t="str">
        <f>HYPERLINK("https://www.773grp.com/manufacturer/onsemi?pageNo=114", "Onsemi")</f>
        <v>Onsemi</v>
      </c>
      <c r="C6855" s="6">
        <v>2422</v>
      </c>
      <c r="D6855" s="7">
        <v>0.79</v>
      </c>
    </row>
    <row r="6856" spans="1:5" x14ac:dyDescent="0.25">
      <c r="A6856" t="str">
        <f>HYPERLINK("https://www.773grp.com/globalSearch/UC3844BDG/page-1", "UC3844BDG")</f>
        <v>UC3844BDG</v>
      </c>
      <c r="B6856" s="3" t="str">
        <f>HYPERLINK("https://www.773grp.com/manufacturer/onsemi?pageNo=115", "Onsemi")</f>
        <v>Onsemi</v>
      </c>
      <c r="C6856" s="6">
        <v>5390</v>
      </c>
      <c r="D6856" s="7">
        <v>0.79</v>
      </c>
      <c r="E6856" t="s">
        <v>5</v>
      </c>
    </row>
    <row r="6857" spans="1:5" x14ac:dyDescent="0.25">
      <c r="A6857" t="str">
        <f>HYPERLINK("https://www.773grp.com/globalSearch/UC3845BDG/page-1", "UC3845BDG")</f>
        <v>UC3845BDG</v>
      </c>
      <c r="B6857" s="3" t="str">
        <f>HYPERLINK("https://www.773grp.com/manufacturer/onsemi?pageNo=116", "Onsemi")</f>
        <v>Onsemi</v>
      </c>
      <c r="C6857" s="6">
        <v>15830</v>
      </c>
      <c r="D6857" s="7">
        <v>0.79</v>
      </c>
      <c r="E6857" t="s">
        <v>5</v>
      </c>
    </row>
    <row r="6858" spans="1:5" x14ac:dyDescent="0.25">
      <c r="A6858" t="str">
        <f>HYPERLINK("https://www.773grp.com/globalSearch/ULN2003A/page-1", "ULN2003A")</f>
        <v>ULN2003A</v>
      </c>
      <c r="B6858" s="3" t="str">
        <f>HYPERLINK("https://www.773grp.com/manufacturer/onsemi?pageNo=117", "Onsemi")</f>
        <v>Onsemi</v>
      </c>
      <c r="C6858" s="6">
        <v>13547</v>
      </c>
      <c r="D6858" s="7">
        <v>0.79</v>
      </c>
      <c r="E6858" t="s">
        <v>47</v>
      </c>
    </row>
    <row r="6859" spans="1:5" x14ac:dyDescent="0.25">
      <c r="A6859" t="str">
        <f>HYPERLINK("https://www.773grp.com/globalSearch/XCP1203D60R2/page-1", "XCP1203D60R2")</f>
        <v>XCP1203D60R2</v>
      </c>
      <c r="B6859" s="3" t="str">
        <f>HYPERLINK("https://www.773grp.com/manufacturer/onsemi?pageNo=118", "Onsemi")</f>
        <v>Onsemi</v>
      </c>
      <c r="C6859" s="6">
        <v>1209</v>
      </c>
      <c r="D6859" s="7">
        <v>0.79</v>
      </c>
    </row>
    <row r="6860" spans="1:5" x14ac:dyDescent="0.25">
      <c r="A6860" t="str">
        <f>HYPERLINK("https://www.773grp.com/globalSearch/1N5336BG/page-1", "1N5336BG")</f>
        <v>1N5336BG</v>
      </c>
      <c r="B6860" s="3" t="str">
        <f>HYPERLINK("https://www.773grp.com/manufacturer/onsemi?pageNo=119", "Onsemi")</f>
        <v>Onsemi</v>
      </c>
      <c r="C6860" s="6">
        <v>39149</v>
      </c>
      <c r="D6860" s="7">
        <v>0.85</v>
      </c>
      <c r="E6860" t="s">
        <v>77</v>
      </c>
    </row>
    <row r="6861" spans="1:5" x14ac:dyDescent="0.25">
      <c r="A6861" t="str">
        <f>HYPERLINK("https://www.773grp.com/globalSearch/1N5336BRLG/page-1", "1N5336BRLG")</f>
        <v>1N5336BRLG</v>
      </c>
      <c r="B6861" s="3" t="str">
        <f>HYPERLINK("https://www.773grp.com/manufacturer/onsemi?pageNo=120", "Onsemi")</f>
        <v>Onsemi</v>
      </c>
      <c r="C6861" s="6">
        <v>28000</v>
      </c>
      <c r="D6861" s="7">
        <v>0.85</v>
      </c>
      <c r="E6861" t="s">
        <v>77</v>
      </c>
    </row>
    <row r="6862" spans="1:5" x14ac:dyDescent="0.25">
      <c r="A6862" t="str">
        <f>HYPERLINK("https://www.773grp.com/globalSearch/1N5337BG/page-1", "1N5337BG")</f>
        <v>1N5337BG</v>
      </c>
      <c r="B6862" s="3" t="str">
        <f>HYPERLINK("https://www.773grp.com/manufacturer/onsemi?pageNo=121", "Onsemi")</f>
        <v>Onsemi</v>
      </c>
      <c r="C6862" s="6">
        <v>5500</v>
      </c>
      <c r="D6862" s="7">
        <v>0.85</v>
      </c>
      <c r="E6862" t="s">
        <v>77</v>
      </c>
    </row>
    <row r="6863" spans="1:5" x14ac:dyDescent="0.25">
      <c r="A6863" t="str">
        <f>HYPERLINK("https://www.773grp.com/globalSearch/1N5337BRLG/page-1", "1N5337BRLG")</f>
        <v>1N5337BRLG</v>
      </c>
      <c r="B6863" s="3" t="str">
        <f>HYPERLINK("https://www.773grp.com/manufacturer/onsemi?pageNo=122", "Onsemi")</f>
        <v>Onsemi</v>
      </c>
      <c r="C6863" s="6">
        <v>4000</v>
      </c>
      <c r="D6863" s="7">
        <v>0.85</v>
      </c>
    </row>
    <row r="6864" spans="1:5" x14ac:dyDescent="0.25">
      <c r="A6864" t="str">
        <f>HYPERLINK("https://www.773grp.com/globalSearch/1N5338BG/page-1", "1N5338BG")</f>
        <v>1N5338BG</v>
      </c>
      <c r="B6864" s="3" t="str">
        <f>HYPERLINK("https://www.773grp.com/manufacturer/onsemi?pageNo=123", "Onsemi")</f>
        <v>Onsemi</v>
      </c>
      <c r="C6864" s="6">
        <v>2210</v>
      </c>
      <c r="D6864" s="7">
        <v>0.85</v>
      </c>
      <c r="E6864" t="s">
        <v>77</v>
      </c>
    </row>
    <row r="6865" spans="1:5" x14ac:dyDescent="0.25">
      <c r="A6865" t="str">
        <f>HYPERLINK("https://www.773grp.com/globalSearch/1N5338BRLG/page-1", "1N5338BRLG")</f>
        <v>1N5338BRLG</v>
      </c>
      <c r="B6865" s="3" t="str">
        <f>HYPERLINK("https://www.773grp.com/manufacturer/onsemi?pageNo=124", "Onsemi")</f>
        <v>Onsemi</v>
      </c>
      <c r="C6865" s="6">
        <v>3736</v>
      </c>
      <c r="D6865" s="7">
        <v>0.85</v>
      </c>
      <c r="E6865" t="s">
        <v>77</v>
      </c>
    </row>
    <row r="6866" spans="1:5" x14ac:dyDescent="0.25">
      <c r="A6866" t="str">
        <f>HYPERLINK("https://www.773grp.com/globalSearch/1N5339BG/page-1", "1N5339BG")</f>
        <v>1N5339BG</v>
      </c>
      <c r="B6866" s="3" t="str">
        <f>HYPERLINK("https://www.773grp.com/manufacturer/onsemi?pageNo=125", "Onsemi")</f>
        <v>Onsemi</v>
      </c>
      <c r="C6866" s="6">
        <v>2400</v>
      </c>
      <c r="D6866" s="7">
        <v>0.85</v>
      </c>
    </row>
    <row r="6867" spans="1:5" x14ac:dyDescent="0.25">
      <c r="A6867" t="str">
        <f>HYPERLINK("https://www.773grp.com/globalSearch/1N5339BRLG/page-1", "1N5339BRLG")</f>
        <v>1N5339BRLG</v>
      </c>
      <c r="B6867" s="3" t="str">
        <f>HYPERLINK("https://www.773grp.com/manufacturer/onsemi?pageNo=126", "Onsemi")</f>
        <v>Onsemi</v>
      </c>
      <c r="C6867" s="6">
        <v>23800</v>
      </c>
      <c r="D6867" s="7">
        <v>0.85</v>
      </c>
    </row>
    <row r="6868" spans="1:5" x14ac:dyDescent="0.25">
      <c r="A6868" t="str">
        <f>HYPERLINK("https://www.773grp.com/globalSearch/1N5340BG/page-1", "1N5340BG")</f>
        <v>1N5340BG</v>
      </c>
      <c r="B6868" s="3" t="str">
        <f>HYPERLINK("https://www.773grp.com/manufacturer/onsemi?pageNo=127", "Onsemi")</f>
        <v>Onsemi</v>
      </c>
      <c r="C6868" s="6">
        <v>7379</v>
      </c>
      <c r="D6868" s="7">
        <v>0.85</v>
      </c>
      <c r="E6868" t="s">
        <v>77</v>
      </c>
    </row>
    <row r="6869" spans="1:5" x14ac:dyDescent="0.25">
      <c r="A6869" t="str">
        <f>HYPERLINK("https://www.773grp.com/globalSearch/1N5340BRLG/page-1", "1N5340BRLG")</f>
        <v>1N5340BRLG</v>
      </c>
      <c r="B6869" s="3" t="str">
        <f>HYPERLINK("https://www.773grp.com/manufacturer/onsemi?pageNo=128", "Onsemi")</f>
        <v>Onsemi</v>
      </c>
      <c r="C6869" s="6">
        <v>48000</v>
      </c>
      <c r="D6869" s="7">
        <v>0.85</v>
      </c>
      <c r="E6869" t="s">
        <v>77</v>
      </c>
    </row>
    <row r="6870" spans="1:5" x14ac:dyDescent="0.25">
      <c r="A6870" t="str">
        <f>HYPERLINK("https://www.773grp.com/globalSearch/1N5343BG/page-1", "1N5343BG")</f>
        <v>1N5343BG</v>
      </c>
      <c r="B6870" s="3" t="str">
        <f>HYPERLINK("https://www.773grp.com/manufacturer/onsemi?pageNo=129", "Onsemi")</f>
        <v>Onsemi</v>
      </c>
      <c r="C6870" s="6">
        <v>19000</v>
      </c>
      <c r="D6870" s="7">
        <v>0.85</v>
      </c>
      <c r="E6870" t="s">
        <v>77</v>
      </c>
    </row>
    <row r="6871" spans="1:5" x14ac:dyDescent="0.25">
      <c r="A6871" t="str">
        <f>HYPERLINK("https://www.773grp.com/globalSearch/1N5347BG/page-1", "1N5347BG")</f>
        <v>1N5347BG</v>
      </c>
      <c r="B6871" s="3" t="str">
        <f>HYPERLINK("https://www.773grp.com/manufacturer/onsemi?pageNo=130", "Onsemi")</f>
        <v>Onsemi</v>
      </c>
      <c r="C6871" s="6">
        <v>47709</v>
      </c>
      <c r="D6871" s="7">
        <v>0.85</v>
      </c>
      <c r="E6871" t="s">
        <v>77</v>
      </c>
    </row>
    <row r="6872" spans="1:5" x14ac:dyDescent="0.25">
      <c r="A6872" t="str">
        <f>HYPERLINK("https://www.773grp.com/globalSearch/1N5347BRLG/page-1", "1N5347BRLG")</f>
        <v>1N5347BRLG</v>
      </c>
      <c r="B6872" s="3" t="str">
        <f>HYPERLINK("https://www.773grp.com/manufacturer/onsemi?pageNo=131", "Onsemi")</f>
        <v>Onsemi</v>
      </c>
      <c r="C6872" s="6">
        <v>48000</v>
      </c>
      <c r="D6872" s="7">
        <v>0.85</v>
      </c>
      <c r="E6872" t="s">
        <v>77</v>
      </c>
    </row>
    <row r="6873" spans="1:5" x14ac:dyDescent="0.25">
      <c r="A6873" t="str">
        <f>HYPERLINK("https://www.773grp.com/globalSearch/1N5348BG/page-1", "1N5348BG")</f>
        <v>1N5348BG</v>
      </c>
      <c r="B6873" s="3" t="str">
        <f>HYPERLINK("https://www.773grp.com/manufacturer/onsemi?pageNo=132", "Onsemi")</f>
        <v>Onsemi</v>
      </c>
      <c r="C6873" s="6">
        <v>1727</v>
      </c>
      <c r="D6873" s="7">
        <v>0.85</v>
      </c>
      <c r="E6873" t="s">
        <v>77</v>
      </c>
    </row>
    <row r="6874" spans="1:5" x14ac:dyDescent="0.25">
      <c r="A6874" t="str">
        <f>HYPERLINK("https://www.773grp.com/globalSearch/1N5348BRLG/page-1", "1N5348BRLG")</f>
        <v>1N5348BRLG</v>
      </c>
      <c r="B6874" s="3" t="str">
        <f>HYPERLINK("https://www.773grp.com/manufacturer/onsemi?pageNo=133", "Onsemi")</f>
        <v>Onsemi</v>
      </c>
      <c r="C6874" s="6">
        <v>412099</v>
      </c>
      <c r="D6874" s="7">
        <v>0.85</v>
      </c>
      <c r="E6874" t="s">
        <v>77</v>
      </c>
    </row>
    <row r="6875" spans="1:5" x14ac:dyDescent="0.25">
      <c r="A6875" t="str">
        <f>HYPERLINK("https://www.773grp.com/globalSearch/1N5349BG/page-1", "1N5349BG")</f>
        <v>1N5349BG</v>
      </c>
      <c r="B6875" s="3" t="str">
        <f>HYPERLINK("https://www.773grp.com/manufacturer/onsemi?pageNo=134", "Onsemi")</f>
        <v>Onsemi</v>
      </c>
      <c r="C6875" s="6">
        <v>1000</v>
      </c>
      <c r="D6875" s="7">
        <v>0.85</v>
      </c>
    </row>
    <row r="6876" spans="1:5" x14ac:dyDescent="0.25">
      <c r="A6876" t="str">
        <f>HYPERLINK("https://www.773grp.com/globalSearch/1N5349BRLG/page-1", "1N5349BRLG")</f>
        <v>1N5349BRLG</v>
      </c>
      <c r="B6876" s="3" t="str">
        <f>HYPERLINK("https://www.773grp.com/manufacturer/onsemi?pageNo=135", "Onsemi")</f>
        <v>Onsemi</v>
      </c>
      <c r="C6876" s="6">
        <v>18498</v>
      </c>
      <c r="D6876" s="7">
        <v>0.85</v>
      </c>
    </row>
    <row r="6877" spans="1:5" x14ac:dyDescent="0.25">
      <c r="A6877" t="str">
        <f>HYPERLINK("https://www.773grp.com/globalSearch/1N5350BG/page-1", "1N5350BG")</f>
        <v>1N5350BG</v>
      </c>
      <c r="B6877" s="3" t="str">
        <f>HYPERLINK("https://www.773grp.com/manufacturer/onsemi?pageNo=136", "Onsemi")</f>
        <v>Onsemi</v>
      </c>
      <c r="C6877" s="6">
        <v>16934</v>
      </c>
      <c r="D6877" s="7">
        <v>0.85</v>
      </c>
      <c r="E6877" t="s">
        <v>77</v>
      </c>
    </row>
    <row r="6878" spans="1:5" x14ac:dyDescent="0.25">
      <c r="A6878" t="str">
        <f>HYPERLINK("https://www.773grp.com/globalSearch/1N5350BRLG/page-1", "1N5350BRLG")</f>
        <v>1N5350BRLG</v>
      </c>
      <c r="B6878" s="3" t="str">
        <f>HYPERLINK("https://www.773grp.com/manufacturer/onsemi?pageNo=137", "Onsemi")</f>
        <v>Onsemi</v>
      </c>
      <c r="C6878" s="6">
        <v>36339</v>
      </c>
      <c r="D6878" s="7">
        <v>0.85</v>
      </c>
      <c r="E6878" t="s">
        <v>77</v>
      </c>
    </row>
    <row r="6879" spans="1:5" x14ac:dyDescent="0.25">
      <c r="A6879" t="str">
        <f>HYPERLINK("https://www.773grp.com/globalSearch/1N5351BG/page-1", "1N5351BG")</f>
        <v>1N5351BG</v>
      </c>
      <c r="B6879" s="3" t="str">
        <f>HYPERLINK("https://www.773grp.com/manufacturer/onsemi?pageNo=138", "Onsemi")</f>
        <v>Onsemi</v>
      </c>
      <c r="C6879" s="6">
        <v>29297</v>
      </c>
      <c r="D6879" s="7">
        <v>0.85</v>
      </c>
      <c r="E6879" t="s">
        <v>77</v>
      </c>
    </row>
    <row r="6880" spans="1:5" x14ac:dyDescent="0.25">
      <c r="A6880" t="str">
        <f>HYPERLINK("https://www.773grp.com/globalSearch/1N5351BRLG/page-1", "1N5351BRLG")</f>
        <v>1N5351BRLG</v>
      </c>
      <c r="B6880" s="3" t="str">
        <f>HYPERLINK("https://www.773grp.com/manufacturer/onsemi?pageNo=139", "Onsemi")</f>
        <v>Onsemi</v>
      </c>
      <c r="C6880" s="6">
        <v>116000</v>
      </c>
      <c r="D6880" s="7">
        <v>0.85</v>
      </c>
      <c r="E6880" t="s">
        <v>77</v>
      </c>
    </row>
    <row r="6881" spans="1:5" x14ac:dyDescent="0.25">
      <c r="A6881" t="str">
        <f>HYPERLINK("https://www.773grp.com/globalSearch/1N5352BG/page-1", "1N5352BG")</f>
        <v>1N5352BG</v>
      </c>
      <c r="B6881" s="3" t="str">
        <f>HYPERLINK("https://www.773grp.com/manufacturer/onsemi?pageNo=140", "Onsemi")</f>
        <v>Onsemi</v>
      </c>
      <c r="C6881" s="6">
        <v>11562</v>
      </c>
      <c r="D6881" s="7">
        <v>0.85</v>
      </c>
      <c r="E6881" t="s">
        <v>77</v>
      </c>
    </row>
    <row r="6882" spans="1:5" x14ac:dyDescent="0.25">
      <c r="A6882" t="str">
        <f>HYPERLINK("https://www.773grp.com/globalSearch/1N5352BRLG/page-1", "1N5352BRLG")</f>
        <v>1N5352BRLG</v>
      </c>
      <c r="B6882" s="3" t="str">
        <f>HYPERLINK("https://www.773grp.com/manufacturer/onsemi?pageNo=141", "Onsemi")</f>
        <v>Onsemi</v>
      </c>
      <c r="C6882" s="6">
        <v>50548</v>
      </c>
      <c r="D6882" s="7">
        <v>0.85</v>
      </c>
      <c r="E6882" t="s">
        <v>77</v>
      </c>
    </row>
    <row r="6883" spans="1:5" x14ac:dyDescent="0.25">
      <c r="A6883" t="str">
        <f>HYPERLINK("https://www.773grp.com/globalSearch/1N5353BG/page-1", "1N5353BG")</f>
        <v>1N5353BG</v>
      </c>
      <c r="B6883" s="3" t="str">
        <f>HYPERLINK("https://www.773grp.com/manufacturer/onsemi?pageNo=142", "Onsemi")</f>
        <v>Onsemi</v>
      </c>
      <c r="C6883" s="6">
        <v>40304</v>
      </c>
      <c r="D6883" s="7">
        <v>0.85</v>
      </c>
      <c r="E6883" t="s">
        <v>77</v>
      </c>
    </row>
    <row r="6884" spans="1:5" x14ac:dyDescent="0.25">
      <c r="A6884" t="str">
        <f>HYPERLINK("https://www.773grp.com/globalSearch/1N5353BRLG/page-1", "1N5353BRLG")</f>
        <v>1N5353BRLG</v>
      </c>
      <c r="B6884" s="3" t="str">
        <f>HYPERLINK("https://www.773grp.com/manufacturer/onsemi?pageNo=143", "Onsemi")</f>
        <v>Onsemi</v>
      </c>
      <c r="C6884" s="6">
        <v>162374</v>
      </c>
      <c r="D6884" s="7">
        <v>0.85</v>
      </c>
      <c r="E6884" t="s">
        <v>77</v>
      </c>
    </row>
    <row r="6885" spans="1:5" x14ac:dyDescent="0.25">
      <c r="A6885" t="str">
        <f>HYPERLINK("https://www.773grp.com/globalSearch/1N5354BG/page-1", "1N5354BG")</f>
        <v>1N5354BG</v>
      </c>
      <c r="B6885" s="3" t="str">
        <f>HYPERLINK("https://www.773grp.com/manufacturer/onsemi?pageNo=144", "Onsemi")</f>
        <v>Onsemi</v>
      </c>
      <c r="C6885" s="6">
        <v>18357</v>
      </c>
      <c r="D6885" s="7">
        <v>0.85</v>
      </c>
      <c r="E6885" t="s">
        <v>77</v>
      </c>
    </row>
    <row r="6886" spans="1:5" x14ac:dyDescent="0.25">
      <c r="A6886" t="str">
        <f>HYPERLINK("https://www.773grp.com/globalSearch/1N5355BG/page-1", "1N5355BG")</f>
        <v>1N5355BG</v>
      </c>
      <c r="B6886" s="3" t="str">
        <f>HYPERLINK("https://www.773grp.com/manufacturer/onsemi?pageNo=145", "Onsemi")</f>
        <v>Onsemi</v>
      </c>
      <c r="C6886" s="6">
        <v>28000</v>
      </c>
      <c r="D6886" s="7">
        <v>0.85</v>
      </c>
      <c r="E6886" t="s">
        <v>77</v>
      </c>
    </row>
    <row r="6887" spans="1:5" x14ac:dyDescent="0.25">
      <c r="A6887" t="str">
        <f>HYPERLINK("https://www.773grp.com/globalSearch/1N5355BRLG/page-1", "1N5355BRLG")</f>
        <v>1N5355BRLG</v>
      </c>
      <c r="B6887" s="3" t="str">
        <f>HYPERLINK("https://www.773grp.com/manufacturer/onsemi?pageNo=146", "Onsemi")</f>
        <v>Onsemi</v>
      </c>
      <c r="C6887" s="6">
        <v>114244</v>
      </c>
      <c r="D6887" s="7">
        <v>0.85</v>
      </c>
      <c r="E6887" t="s">
        <v>77</v>
      </c>
    </row>
    <row r="6888" spans="1:5" x14ac:dyDescent="0.25">
      <c r="A6888" t="str">
        <f>HYPERLINK("https://www.773grp.com/globalSearch/1N5357BG/page-1", "1N5357BG")</f>
        <v>1N5357BG</v>
      </c>
      <c r="B6888" s="3" t="str">
        <f>HYPERLINK("https://www.773grp.com/manufacturer/onsemi?pageNo=147", "Onsemi")</f>
        <v>Onsemi</v>
      </c>
      <c r="C6888" s="6">
        <v>24270</v>
      </c>
      <c r="D6888" s="7">
        <v>0.85</v>
      </c>
      <c r="E6888" t="s">
        <v>77</v>
      </c>
    </row>
    <row r="6889" spans="1:5" x14ac:dyDescent="0.25">
      <c r="A6889" t="str">
        <f>HYPERLINK("https://www.773grp.com/globalSearch/1N5357BRLG/page-1", "1N5357BRLG")</f>
        <v>1N5357BRLG</v>
      </c>
      <c r="B6889" s="3" t="str">
        <f>HYPERLINK("https://www.773grp.com/manufacturer/onsemi?pageNo=148", "Onsemi")</f>
        <v>Onsemi</v>
      </c>
      <c r="C6889" s="6">
        <v>28000</v>
      </c>
      <c r="D6889" s="7">
        <v>0.85</v>
      </c>
    </row>
    <row r="6890" spans="1:5" x14ac:dyDescent="0.25">
      <c r="A6890" t="str">
        <f>HYPERLINK("https://www.773grp.com/globalSearch/1N5358BG/page-1", "1N5358BG")</f>
        <v>1N5358BG</v>
      </c>
      <c r="B6890" s="3" t="str">
        <f>HYPERLINK("https://www.773grp.com/manufacturer/onsemi?pageNo=149", "Onsemi")</f>
        <v>Onsemi</v>
      </c>
      <c r="C6890" s="6">
        <v>6000</v>
      </c>
      <c r="D6890" s="7">
        <v>0.85</v>
      </c>
      <c r="E6890" t="s">
        <v>77</v>
      </c>
    </row>
    <row r="6891" spans="1:5" x14ac:dyDescent="0.25">
      <c r="A6891" t="str">
        <f>HYPERLINK("https://www.773grp.com/globalSearch/1N5358BRLG/page-1", "1N5358BRLG")</f>
        <v>1N5358BRLG</v>
      </c>
      <c r="B6891" s="3" t="str">
        <f>HYPERLINK("https://www.773grp.com/manufacturer/onsemi?pageNo=150", "Onsemi")</f>
        <v>Onsemi</v>
      </c>
      <c r="C6891" s="6">
        <v>3815</v>
      </c>
      <c r="D6891" s="7">
        <v>0.85</v>
      </c>
    </row>
    <row r="6892" spans="1:5" x14ac:dyDescent="0.25">
      <c r="A6892" t="str">
        <f>HYPERLINK("https://www.773grp.com/globalSearch/1N5359BG/page-1", "1N5359BG")</f>
        <v>1N5359BG</v>
      </c>
      <c r="B6892" s="3" t="str">
        <f>HYPERLINK("https://www.773grp.com/manufacturer/onsemi?pageNo=151", "Onsemi")</f>
        <v>Onsemi</v>
      </c>
      <c r="C6892" s="6">
        <v>38385</v>
      </c>
      <c r="D6892" s="7">
        <v>0.85</v>
      </c>
      <c r="E6892" t="s">
        <v>77</v>
      </c>
    </row>
    <row r="6893" spans="1:5" x14ac:dyDescent="0.25">
      <c r="A6893" t="str">
        <f>HYPERLINK("https://www.773grp.com/globalSearch/1N5359BRLG/page-1", "1N5359BRLG")</f>
        <v>1N5359BRLG</v>
      </c>
      <c r="B6893" s="3" t="str">
        <f>HYPERLINK("https://www.773grp.com/manufacturer/onsemi?pageNo=152", "Onsemi")</f>
        <v>Onsemi</v>
      </c>
      <c r="C6893" s="6">
        <v>15549</v>
      </c>
      <c r="D6893" s="7">
        <v>0.85</v>
      </c>
      <c r="E6893" t="s">
        <v>77</v>
      </c>
    </row>
    <row r="6894" spans="1:5" x14ac:dyDescent="0.25">
      <c r="A6894" t="str">
        <f>HYPERLINK("https://www.773grp.com/globalSearch/1N5360BG/page-1", "1N5360BG")</f>
        <v>1N5360BG</v>
      </c>
      <c r="B6894" s="3" t="str">
        <f>HYPERLINK("https://www.773grp.com/manufacturer/onsemi?pageNo=153", "Onsemi")</f>
        <v>Onsemi</v>
      </c>
      <c r="C6894" s="6">
        <v>32000</v>
      </c>
      <c r="D6894" s="7">
        <v>0.85</v>
      </c>
    </row>
    <row r="6895" spans="1:5" x14ac:dyDescent="0.25">
      <c r="A6895" t="str">
        <f>HYPERLINK("https://www.773grp.com/globalSearch/1N5360BRLG/page-1", "1N5360BRLG")</f>
        <v>1N5360BRLG</v>
      </c>
      <c r="B6895" s="3" t="str">
        <f>HYPERLINK("https://www.773grp.com/manufacturer/onsemi?pageNo=154", "Onsemi")</f>
        <v>Onsemi</v>
      </c>
      <c r="C6895" s="6">
        <v>10971</v>
      </c>
      <c r="D6895" s="7">
        <v>0.85</v>
      </c>
    </row>
    <row r="6896" spans="1:5" x14ac:dyDescent="0.25">
      <c r="A6896" t="str">
        <f>HYPERLINK("https://www.773grp.com/globalSearch/1N5361BG/page-1", "1N5361BG")</f>
        <v>1N5361BG</v>
      </c>
      <c r="B6896" s="3" t="str">
        <f>HYPERLINK("https://www.773grp.com/manufacturer/onsemi?pageNo=155", "Onsemi")</f>
        <v>Onsemi</v>
      </c>
      <c r="C6896" s="6">
        <v>169500</v>
      </c>
      <c r="D6896" s="7">
        <v>0.85</v>
      </c>
      <c r="E6896" t="s">
        <v>77</v>
      </c>
    </row>
    <row r="6897" spans="1:5" x14ac:dyDescent="0.25">
      <c r="A6897" t="str">
        <f>HYPERLINK("https://www.773grp.com/globalSearch/1N5361BRLG/page-1", "1N5361BRLG")</f>
        <v>1N5361BRLG</v>
      </c>
      <c r="B6897" s="3" t="str">
        <f>HYPERLINK("https://www.773grp.com/manufacturer/onsemi?pageNo=156", "Onsemi")</f>
        <v>Onsemi</v>
      </c>
      <c r="C6897" s="6">
        <v>51084</v>
      </c>
      <c r="D6897" s="7">
        <v>0.85</v>
      </c>
      <c r="E6897" t="s">
        <v>77</v>
      </c>
    </row>
    <row r="6898" spans="1:5" x14ac:dyDescent="0.25">
      <c r="A6898" t="str">
        <f>HYPERLINK("https://www.773grp.com/globalSearch/1N5362BG/page-1", "1N5362BG")</f>
        <v>1N5362BG</v>
      </c>
      <c r="B6898" s="3" t="str">
        <f>HYPERLINK("https://www.773grp.com/manufacturer/onsemi?pageNo=157", "Onsemi")</f>
        <v>Onsemi</v>
      </c>
      <c r="C6898" s="6">
        <v>12753</v>
      </c>
      <c r="D6898" s="7">
        <v>0.85</v>
      </c>
      <c r="E6898" t="s">
        <v>77</v>
      </c>
    </row>
    <row r="6899" spans="1:5" x14ac:dyDescent="0.25">
      <c r="A6899" t="str">
        <f>HYPERLINK("https://www.773grp.com/globalSearch/1N5362BRLG/page-1", "1N5362BRLG")</f>
        <v>1N5362BRLG</v>
      </c>
      <c r="B6899" s="3" t="str">
        <f>HYPERLINK("https://www.773grp.com/manufacturer/onsemi?pageNo=158", "Onsemi")</f>
        <v>Onsemi</v>
      </c>
      <c r="C6899" s="6">
        <v>16695</v>
      </c>
      <c r="D6899" s="7">
        <v>0.85</v>
      </c>
      <c r="E6899" t="s">
        <v>77</v>
      </c>
    </row>
    <row r="6900" spans="1:5" x14ac:dyDescent="0.25">
      <c r="A6900" t="str">
        <f>HYPERLINK("https://www.773grp.com/globalSearch/1N5363BG/page-1", "1N5363BG")</f>
        <v>1N5363BG</v>
      </c>
      <c r="B6900" s="3" t="str">
        <f>HYPERLINK("https://www.773grp.com/manufacturer/onsemi?pageNo=159", "Onsemi")</f>
        <v>Onsemi</v>
      </c>
      <c r="C6900" s="6">
        <v>7000</v>
      </c>
      <c r="D6900" s="7">
        <v>0.85</v>
      </c>
      <c r="E6900" t="s">
        <v>77</v>
      </c>
    </row>
    <row r="6901" spans="1:5" x14ac:dyDescent="0.25">
      <c r="A6901" t="str">
        <f>HYPERLINK("https://www.773grp.com/globalSearch/1N5363BRLG/page-1", "1N5363BRLG")</f>
        <v>1N5363BRLG</v>
      </c>
      <c r="B6901" s="3" t="str">
        <f>HYPERLINK("https://www.773grp.com/manufacturer/onsemi?pageNo=160", "Onsemi")</f>
        <v>Onsemi</v>
      </c>
      <c r="C6901" s="6">
        <v>68284</v>
      </c>
      <c r="D6901" s="7">
        <v>0.85</v>
      </c>
      <c r="E6901" t="s">
        <v>77</v>
      </c>
    </row>
    <row r="6902" spans="1:5" x14ac:dyDescent="0.25">
      <c r="A6902" t="str">
        <f>HYPERLINK("https://www.773grp.com/globalSearch/1N5364BG/page-1", "1N5364BG")</f>
        <v>1N5364BG</v>
      </c>
      <c r="B6902" s="3" t="str">
        <f>HYPERLINK("https://www.773grp.com/manufacturer/onsemi?pageNo=161", "Onsemi")</f>
        <v>Onsemi</v>
      </c>
      <c r="C6902" s="6">
        <v>7000</v>
      </c>
      <c r="D6902" s="7">
        <v>0.85</v>
      </c>
      <c r="E6902" t="s">
        <v>77</v>
      </c>
    </row>
    <row r="6903" spans="1:5" x14ac:dyDescent="0.25">
      <c r="A6903" t="str">
        <f>HYPERLINK("https://www.773grp.com/globalSearch/1N5365BG/page-1", "1N5365BG")</f>
        <v>1N5365BG</v>
      </c>
      <c r="B6903" s="3" t="str">
        <f>HYPERLINK("https://www.773grp.com/manufacturer/onsemi?pageNo=162", "Onsemi")</f>
        <v>Onsemi</v>
      </c>
      <c r="C6903" s="6">
        <v>12801</v>
      </c>
      <c r="D6903" s="7">
        <v>0.85</v>
      </c>
      <c r="E6903" t="s">
        <v>77</v>
      </c>
    </row>
    <row r="6904" spans="1:5" x14ac:dyDescent="0.25">
      <c r="A6904" t="str">
        <f>HYPERLINK("https://www.773grp.com/globalSearch/1N5366BG/page-1", "1N5366BG")</f>
        <v>1N5366BG</v>
      </c>
      <c r="B6904" s="3" t="str">
        <f>HYPERLINK("https://www.773grp.com/manufacturer/onsemi?pageNo=163", "Onsemi")</f>
        <v>Onsemi</v>
      </c>
      <c r="C6904" s="6">
        <v>4932</v>
      </c>
      <c r="D6904" s="7">
        <v>0.85</v>
      </c>
      <c r="E6904" t="s">
        <v>77</v>
      </c>
    </row>
    <row r="6905" spans="1:5" x14ac:dyDescent="0.25">
      <c r="A6905" t="str">
        <f>HYPERLINK("https://www.773grp.com/globalSearch/1N5366BRLG/page-1", "1N5366BRLG")</f>
        <v>1N5366BRLG</v>
      </c>
      <c r="B6905" s="3" t="str">
        <f>HYPERLINK("https://www.773grp.com/manufacturer/onsemi?pageNo=164", "Onsemi")</f>
        <v>Onsemi</v>
      </c>
      <c r="C6905" s="6">
        <v>28250</v>
      </c>
      <c r="D6905" s="7">
        <v>0.85</v>
      </c>
      <c r="E6905" t="s">
        <v>77</v>
      </c>
    </row>
    <row r="6906" spans="1:5" x14ac:dyDescent="0.25">
      <c r="A6906" t="str">
        <f>HYPERLINK("https://www.773grp.com/globalSearch/1N5367BG/page-1", "1N5367BG")</f>
        <v>1N5367BG</v>
      </c>
      <c r="B6906" s="3" t="str">
        <f>HYPERLINK("https://www.773grp.com/manufacturer/onsemi?pageNo=165", "Onsemi")</f>
        <v>Onsemi</v>
      </c>
      <c r="C6906" s="6">
        <v>1385</v>
      </c>
      <c r="D6906" s="7">
        <v>0.85</v>
      </c>
      <c r="E6906" t="s">
        <v>77</v>
      </c>
    </row>
    <row r="6907" spans="1:5" x14ac:dyDescent="0.25">
      <c r="A6907" t="str">
        <f>HYPERLINK("https://www.773grp.com/globalSearch/1N5367BRLG/page-1", "1N5367BRLG")</f>
        <v>1N5367BRLG</v>
      </c>
      <c r="B6907" s="3" t="str">
        <f>HYPERLINK("https://www.773grp.com/manufacturer/onsemi?pageNo=166", "Onsemi")</f>
        <v>Onsemi</v>
      </c>
      <c r="C6907" s="6">
        <v>4993</v>
      </c>
      <c r="D6907" s="7">
        <v>0.85</v>
      </c>
      <c r="E6907" t="s">
        <v>77</v>
      </c>
    </row>
    <row r="6908" spans="1:5" x14ac:dyDescent="0.25">
      <c r="A6908" t="str">
        <f>HYPERLINK("https://www.773grp.com/globalSearch/1N5368BG/page-1", "1N5368BG")</f>
        <v>1N5368BG</v>
      </c>
      <c r="B6908" s="3" t="str">
        <f>HYPERLINK("https://www.773grp.com/manufacturer/onsemi?pageNo=167", "Onsemi")</f>
        <v>Onsemi</v>
      </c>
      <c r="C6908" s="6">
        <v>24234</v>
      </c>
      <c r="D6908" s="7">
        <v>0.85</v>
      </c>
      <c r="E6908" t="s">
        <v>77</v>
      </c>
    </row>
    <row r="6909" spans="1:5" x14ac:dyDescent="0.25">
      <c r="A6909" t="str">
        <f>HYPERLINK("https://www.773grp.com/globalSearch/1N5368BRLG/page-1", "1N5368BRLG")</f>
        <v>1N5368BRLG</v>
      </c>
      <c r="B6909" s="3" t="str">
        <f>HYPERLINK("https://www.773grp.com/manufacturer/onsemi?pageNo=168", "Onsemi")</f>
        <v>Onsemi</v>
      </c>
      <c r="C6909" s="6">
        <v>56407</v>
      </c>
      <c r="D6909" s="7">
        <v>0.85</v>
      </c>
      <c r="E6909" t="s">
        <v>77</v>
      </c>
    </row>
    <row r="6910" spans="1:5" x14ac:dyDescent="0.25">
      <c r="A6910" t="str">
        <f>HYPERLINK("https://www.773grp.com/globalSearch/1N5369BG/page-1", "1N5369BG")</f>
        <v>1N5369BG</v>
      </c>
      <c r="B6910" s="3" t="str">
        <f>HYPERLINK("https://www.773grp.com/manufacturer/onsemi?pageNo=169", "Onsemi")</f>
        <v>Onsemi</v>
      </c>
      <c r="C6910" s="6">
        <v>11310</v>
      </c>
      <c r="D6910" s="7">
        <v>0.85</v>
      </c>
    </row>
    <row r="6911" spans="1:5" x14ac:dyDescent="0.25">
      <c r="A6911" t="str">
        <f>HYPERLINK("https://www.773grp.com/globalSearch/1N5369BRLG/page-1", "1N5369BRLG")</f>
        <v>1N5369BRLG</v>
      </c>
      <c r="B6911" s="3" t="str">
        <f>HYPERLINK("https://www.773grp.com/manufacturer/onsemi?pageNo=170", "Onsemi")</f>
        <v>Onsemi</v>
      </c>
      <c r="C6911" s="6">
        <v>48000</v>
      </c>
      <c r="D6911" s="7">
        <v>0.85</v>
      </c>
      <c r="E6911" t="s">
        <v>77</v>
      </c>
    </row>
    <row r="6912" spans="1:5" x14ac:dyDescent="0.25">
      <c r="A6912" t="str">
        <f>HYPERLINK("https://www.773grp.com/globalSearch/1N5370BG/page-1", "1N5370BG")</f>
        <v>1N5370BG</v>
      </c>
      <c r="B6912" s="3" t="str">
        <f>HYPERLINK("https://www.773grp.com/manufacturer/onsemi?pageNo=171", "Onsemi")</f>
        <v>Onsemi</v>
      </c>
      <c r="C6912" s="6">
        <v>15000</v>
      </c>
      <c r="D6912" s="7">
        <v>0.85</v>
      </c>
      <c r="E6912" t="s">
        <v>77</v>
      </c>
    </row>
    <row r="6913" spans="1:5" x14ac:dyDescent="0.25">
      <c r="A6913" t="str">
        <f>HYPERLINK("https://www.773grp.com/globalSearch/1N5370BRLG/page-1", "1N5370BRLG")</f>
        <v>1N5370BRLG</v>
      </c>
      <c r="B6913" s="3" t="str">
        <f>HYPERLINK("https://www.773grp.com/manufacturer/onsemi?pageNo=172", "Onsemi")</f>
        <v>Onsemi</v>
      </c>
      <c r="C6913" s="6">
        <v>12000</v>
      </c>
      <c r="D6913" s="7">
        <v>0.85</v>
      </c>
      <c r="E6913" t="s">
        <v>77</v>
      </c>
    </row>
    <row r="6914" spans="1:5" x14ac:dyDescent="0.25">
      <c r="A6914" t="str">
        <f>HYPERLINK("https://www.773grp.com/globalSearch/1N5372BG/page-1", "1N5372BG")</f>
        <v>1N5372BG</v>
      </c>
      <c r="B6914" s="3" t="str">
        <f>HYPERLINK("https://www.773grp.com/manufacturer/onsemi?pageNo=173", "Onsemi")</f>
        <v>Onsemi</v>
      </c>
      <c r="C6914" s="6">
        <v>18820</v>
      </c>
      <c r="D6914" s="7">
        <v>0.85</v>
      </c>
      <c r="E6914" t="s">
        <v>77</v>
      </c>
    </row>
    <row r="6915" spans="1:5" x14ac:dyDescent="0.25">
      <c r="A6915" t="str">
        <f>HYPERLINK("https://www.773grp.com/globalSearch/1N5372BRLG/page-1", "1N5372BRLG")</f>
        <v>1N5372BRLG</v>
      </c>
      <c r="B6915" s="3" t="str">
        <f>HYPERLINK("https://www.773grp.com/manufacturer/onsemi?pageNo=174", "Onsemi")</f>
        <v>Onsemi</v>
      </c>
      <c r="C6915" s="6">
        <v>4000</v>
      </c>
      <c r="D6915" s="7">
        <v>0.85</v>
      </c>
      <c r="E6915" t="s">
        <v>77</v>
      </c>
    </row>
    <row r="6916" spans="1:5" x14ac:dyDescent="0.25">
      <c r="A6916" t="str">
        <f>HYPERLINK("https://www.773grp.com/globalSearch/1N5373BG/page-1", "1N5373BG")</f>
        <v>1N5373BG</v>
      </c>
      <c r="B6916" s="3" t="str">
        <f>HYPERLINK("https://www.773grp.com/manufacturer/onsemi?pageNo=175", "Onsemi")</f>
        <v>Onsemi</v>
      </c>
      <c r="C6916" s="6">
        <v>24772</v>
      </c>
      <c r="D6916" s="7">
        <v>0.85</v>
      </c>
      <c r="E6916" t="s">
        <v>77</v>
      </c>
    </row>
    <row r="6917" spans="1:5" x14ac:dyDescent="0.25">
      <c r="A6917" t="str">
        <f>HYPERLINK("https://www.773grp.com/globalSearch/1N5373BRLG/page-1", "1N5373BRLG")</f>
        <v>1N5373BRLG</v>
      </c>
      <c r="B6917" s="3" t="str">
        <f>HYPERLINK("https://www.773grp.com/manufacturer/onsemi?pageNo=176", "Onsemi")</f>
        <v>Onsemi</v>
      </c>
      <c r="C6917" s="6">
        <v>20000</v>
      </c>
      <c r="D6917" s="7">
        <v>0.85</v>
      </c>
      <c r="E6917" t="s">
        <v>77</v>
      </c>
    </row>
    <row r="6918" spans="1:5" x14ac:dyDescent="0.25">
      <c r="A6918" t="str">
        <f>HYPERLINK("https://www.773grp.com/globalSearch/1N5374B/page-1", "1N5374B")</f>
        <v>1N5374B</v>
      </c>
      <c r="B6918" s="3" t="str">
        <f>HYPERLINK("https://www.773grp.com/manufacturer/onsemi?pageNo=177", "Onsemi")</f>
        <v>Onsemi</v>
      </c>
      <c r="C6918" s="6">
        <v>12622</v>
      </c>
      <c r="D6918" s="7">
        <v>0.85</v>
      </c>
      <c r="E6918" t="s">
        <v>77</v>
      </c>
    </row>
    <row r="6919" spans="1:5" x14ac:dyDescent="0.25">
      <c r="A6919" t="str">
        <f>HYPERLINK("https://www.773grp.com/globalSearch/1N5374BG/page-1", "1N5374BG")</f>
        <v>1N5374BG</v>
      </c>
      <c r="B6919" s="3" t="str">
        <f>HYPERLINK("https://www.773grp.com/manufacturer/onsemi?pageNo=178", "Onsemi")</f>
        <v>Onsemi</v>
      </c>
      <c r="C6919" s="6">
        <v>3284</v>
      </c>
      <c r="D6919" s="7">
        <v>0.85</v>
      </c>
      <c r="E6919" t="s">
        <v>77</v>
      </c>
    </row>
    <row r="6920" spans="1:5" x14ac:dyDescent="0.25">
      <c r="A6920" t="str">
        <f>HYPERLINK("https://www.773grp.com/globalSearch/1N5374BRLG/page-1", "1N5374BRLG")</f>
        <v>1N5374BRLG</v>
      </c>
      <c r="B6920" s="3" t="str">
        <f>HYPERLINK("https://www.773grp.com/manufacturer/onsemi?pageNo=179", "Onsemi")</f>
        <v>Onsemi</v>
      </c>
      <c r="C6920" s="6">
        <v>4000</v>
      </c>
      <c r="D6920" s="7">
        <v>0.85</v>
      </c>
    </row>
    <row r="6921" spans="1:5" x14ac:dyDescent="0.25">
      <c r="A6921" t="str">
        <f>HYPERLINK("https://www.773grp.com/globalSearch/1N5375BG/page-1", "1N5375BG")</f>
        <v>1N5375BG</v>
      </c>
      <c r="B6921" s="3" t="str">
        <f>HYPERLINK("https://www.773grp.com/manufacturer/onsemi?pageNo=180", "Onsemi")</f>
        <v>Onsemi</v>
      </c>
      <c r="C6921" s="6">
        <v>18217</v>
      </c>
      <c r="D6921" s="7">
        <v>0.85</v>
      </c>
      <c r="E6921" t="s">
        <v>77</v>
      </c>
    </row>
    <row r="6922" spans="1:5" x14ac:dyDescent="0.25">
      <c r="A6922" t="str">
        <f>HYPERLINK("https://www.773grp.com/globalSearch/1N5375BRLG/page-1", "1N5375BRLG")</f>
        <v>1N5375BRLG</v>
      </c>
      <c r="B6922" s="3" t="str">
        <f>HYPERLINK("https://www.773grp.com/manufacturer/onsemi?pageNo=181", "Onsemi")</f>
        <v>Onsemi</v>
      </c>
      <c r="C6922" s="6">
        <v>6342</v>
      </c>
      <c r="D6922" s="7">
        <v>0.85</v>
      </c>
    </row>
    <row r="6923" spans="1:5" x14ac:dyDescent="0.25">
      <c r="A6923" t="str">
        <f>HYPERLINK("https://www.773grp.com/globalSearch/1N5378BG/page-1", "1N5378BG")</f>
        <v>1N5378BG</v>
      </c>
      <c r="B6923" s="3" t="str">
        <f>HYPERLINK("https://www.773grp.com/manufacturer/onsemi?pageNo=182", "Onsemi")</f>
        <v>Onsemi</v>
      </c>
      <c r="C6923" s="6">
        <v>64000</v>
      </c>
      <c r="D6923" s="7">
        <v>0.85</v>
      </c>
      <c r="E6923" t="s">
        <v>77</v>
      </c>
    </row>
    <row r="6924" spans="1:5" x14ac:dyDescent="0.25">
      <c r="A6924" t="str">
        <f>HYPERLINK("https://www.773grp.com/globalSearch/1N5378BRLG/page-1", "1N5378BRLG")</f>
        <v>1N5378BRLG</v>
      </c>
      <c r="B6924" s="3" t="str">
        <f>HYPERLINK("https://www.773grp.com/manufacturer/onsemi?pageNo=183", "Onsemi")</f>
        <v>Onsemi</v>
      </c>
      <c r="C6924" s="6">
        <v>35150</v>
      </c>
      <c r="D6924" s="7">
        <v>0.85</v>
      </c>
      <c r="E6924" t="s">
        <v>77</v>
      </c>
    </row>
    <row r="6925" spans="1:5" x14ac:dyDescent="0.25">
      <c r="A6925" t="str">
        <f>HYPERLINK("https://www.773grp.com/globalSearch/1N5380BG/page-1", "1N5380BG")</f>
        <v>1N5380BG</v>
      </c>
      <c r="B6925" s="3" t="str">
        <f>HYPERLINK("https://www.773grp.com/manufacturer/onsemi?pageNo=184", "Onsemi")</f>
        <v>Onsemi</v>
      </c>
      <c r="C6925" s="6">
        <v>74831</v>
      </c>
      <c r="D6925" s="7">
        <v>0.85</v>
      </c>
      <c r="E6925" t="s">
        <v>77</v>
      </c>
    </row>
    <row r="6926" spans="1:5" x14ac:dyDescent="0.25">
      <c r="A6926" t="str">
        <f>HYPERLINK("https://www.773grp.com/globalSearch/1N5380BRLG/page-1", "1N5380BRLG")</f>
        <v>1N5380BRLG</v>
      </c>
      <c r="B6926" s="3" t="str">
        <f>HYPERLINK("https://www.773grp.com/manufacturer/onsemi?pageNo=185", "Onsemi")</f>
        <v>Onsemi</v>
      </c>
      <c r="C6926" s="6">
        <v>8000</v>
      </c>
      <c r="D6926" s="7">
        <v>0.85</v>
      </c>
      <c r="E6926" t="s">
        <v>77</v>
      </c>
    </row>
    <row r="6927" spans="1:5" x14ac:dyDescent="0.25">
      <c r="A6927" t="str">
        <f>HYPERLINK("https://www.773grp.com/globalSearch/1N5383BG/page-1", "1N5383BG")</f>
        <v>1N5383BG</v>
      </c>
      <c r="B6927" s="3" t="str">
        <f>HYPERLINK("https://www.773grp.com/manufacturer/onsemi?pageNo=186", "Onsemi")</f>
        <v>Onsemi</v>
      </c>
      <c r="C6927" s="6">
        <v>16000</v>
      </c>
      <c r="D6927" s="7">
        <v>0.85</v>
      </c>
      <c r="E6927" t="s">
        <v>77</v>
      </c>
    </row>
    <row r="6928" spans="1:5" x14ac:dyDescent="0.25">
      <c r="A6928" t="str">
        <f>HYPERLINK("https://www.773grp.com/globalSearch/1N5383BRLG/page-1", "1N5383BRLG")</f>
        <v>1N5383BRLG</v>
      </c>
      <c r="B6928" s="3" t="str">
        <f>HYPERLINK("https://www.773grp.com/manufacturer/onsemi?pageNo=187", "Onsemi")</f>
        <v>Onsemi</v>
      </c>
      <c r="C6928" s="6">
        <v>562</v>
      </c>
      <c r="D6928" s="7">
        <v>0.85</v>
      </c>
    </row>
    <row r="6929" spans="1:5" x14ac:dyDescent="0.25">
      <c r="A6929" t="str">
        <f>HYPERLINK("https://www.773grp.com/globalSearch/1N5384BG/page-1", "1N5384BG")</f>
        <v>1N5384BG</v>
      </c>
      <c r="B6929" s="3" t="str">
        <f>HYPERLINK("https://www.773grp.com/manufacturer/onsemi?pageNo=188", "Onsemi")</f>
        <v>Onsemi</v>
      </c>
      <c r="C6929" s="6">
        <v>20129</v>
      </c>
      <c r="D6929" s="7">
        <v>0.85</v>
      </c>
      <c r="E6929" t="s">
        <v>77</v>
      </c>
    </row>
    <row r="6930" spans="1:5" x14ac:dyDescent="0.25">
      <c r="A6930" t="str">
        <f>HYPERLINK("https://www.773grp.com/globalSearch/1N5384BRLG/page-1", "1N5384BRLG")</f>
        <v>1N5384BRLG</v>
      </c>
      <c r="B6930" s="3" t="str">
        <f>HYPERLINK("https://www.773grp.com/manufacturer/onsemi?pageNo=189", "Onsemi")</f>
        <v>Onsemi</v>
      </c>
      <c r="C6930" s="6">
        <v>8779</v>
      </c>
      <c r="D6930" s="7">
        <v>0.85</v>
      </c>
      <c r="E6930" t="s">
        <v>77</v>
      </c>
    </row>
    <row r="6931" spans="1:5" x14ac:dyDescent="0.25">
      <c r="A6931" t="str">
        <f>HYPERLINK("https://www.773grp.com/globalSearch/1N5386BG/page-1", "1N5386BG")</f>
        <v>1N5386BG</v>
      </c>
      <c r="B6931" s="3" t="str">
        <f>HYPERLINK("https://www.773grp.com/manufacturer/onsemi?pageNo=190", "Onsemi")</f>
        <v>Onsemi</v>
      </c>
      <c r="C6931" s="6">
        <v>4000</v>
      </c>
      <c r="D6931" s="7">
        <v>0.85</v>
      </c>
      <c r="E6931" t="s">
        <v>77</v>
      </c>
    </row>
    <row r="6932" spans="1:5" x14ac:dyDescent="0.25">
      <c r="A6932" t="str">
        <f>HYPERLINK("https://www.773grp.com/globalSearch/1N5386BRLG/page-1", "1N5386BRLG")</f>
        <v>1N5386BRLG</v>
      </c>
      <c r="B6932" s="3" t="str">
        <f>HYPERLINK("https://www.773grp.com/manufacturer/onsemi?pageNo=191", "Onsemi")</f>
        <v>Onsemi</v>
      </c>
      <c r="C6932" s="6">
        <v>7850</v>
      </c>
      <c r="D6932" s="7">
        <v>0.85</v>
      </c>
      <c r="E6932" t="s">
        <v>77</v>
      </c>
    </row>
    <row r="6933" spans="1:5" x14ac:dyDescent="0.25">
      <c r="A6933" t="str">
        <f>HYPERLINK("https://www.773grp.com/globalSearch/1N5388BG/page-1", "1N5388BG")</f>
        <v>1N5388BG</v>
      </c>
      <c r="B6933" s="3" t="str">
        <f>HYPERLINK("https://www.773grp.com/manufacturer/onsemi?pageNo=192", "Onsemi")</f>
        <v>Onsemi</v>
      </c>
      <c r="C6933" s="6">
        <v>29000</v>
      </c>
      <c r="D6933" s="7">
        <v>0.85</v>
      </c>
      <c r="E6933" t="s">
        <v>77</v>
      </c>
    </row>
    <row r="6934" spans="1:5" x14ac:dyDescent="0.25">
      <c r="A6934" t="str">
        <f>HYPERLINK("https://www.773grp.com/globalSearch/1N5388BRLG/page-1", "1N5388BRLG")</f>
        <v>1N5388BRLG</v>
      </c>
      <c r="B6934" s="3" t="str">
        <f>HYPERLINK("https://www.773grp.com/manufacturer/onsemi?pageNo=193", "Onsemi")</f>
        <v>Onsemi</v>
      </c>
      <c r="C6934" s="6">
        <v>30821</v>
      </c>
      <c r="D6934" s="7">
        <v>0.85</v>
      </c>
      <c r="E6934" t="s">
        <v>77</v>
      </c>
    </row>
    <row r="6935" spans="1:5" x14ac:dyDescent="0.25">
      <c r="A6935" t="str">
        <f>HYPERLINK("https://www.773grp.com/globalSearch/1SMA12AT3H/page-1", "1SMA12AT3H")</f>
        <v>1SMA12AT3H</v>
      </c>
      <c r="B6935" s="3" t="str">
        <f>HYPERLINK("https://www.773grp.com/manufacturer/onsemi?pageNo=194", "Onsemi")</f>
        <v>Onsemi</v>
      </c>
      <c r="C6935" s="6">
        <v>5000</v>
      </c>
      <c r="D6935" s="7">
        <v>0.85</v>
      </c>
    </row>
    <row r="6936" spans="1:5" x14ac:dyDescent="0.25">
      <c r="A6936" t="str">
        <f>HYPERLINK("https://www.773grp.com/globalSearch/1SMA5927BT3/page-1", "1SMA5927BT3")</f>
        <v>1SMA5927BT3</v>
      </c>
      <c r="B6936" s="3" t="str">
        <f>HYPERLINK("https://www.773grp.com/manufacturer/onsemi?pageNo=195", "Onsemi")</f>
        <v>Onsemi</v>
      </c>
      <c r="C6936" s="6">
        <v>10000</v>
      </c>
      <c r="D6936" s="7">
        <v>0.85</v>
      </c>
    </row>
    <row r="6937" spans="1:5" x14ac:dyDescent="0.25">
      <c r="A6937" t="str">
        <f>HYPERLINK("https://www.773grp.com/globalSearch/1SMA5937BT3/page-1", "1SMA5937BT3")</f>
        <v>1SMA5937BT3</v>
      </c>
      <c r="B6937" s="3" t="str">
        <f>HYPERLINK("https://www.773grp.com/manufacturer/onsemi?pageNo=196", "Onsemi")</f>
        <v>Onsemi</v>
      </c>
      <c r="C6937" s="6">
        <v>13500</v>
      </c>
      <c r="D6937" s="7">
        <v>0.85</v>
      </c>
    </row>
    <row r="6938" spans="1:5" x14ac:dyDescent="0.25">
      <c r="A6938" t="str">
        <f>HYPERLINK("https://www.773grp.com/globalSearch/1SMB11CAT3G/page-1", "1SMB11CAT3G")</f>
        <v>1SMB11CAT3G</v>
      </c>
      <c r="B6938" s="3" t="str">
        <f>HYPERLINK("https://www.773grp.com/manufacturer/onsemi?pageNo=197", "Onsemi")</f>
        <v>Onsemi</v>
      </c>
      <c r="C6938" s="6">
        <v>2500</v>
      </c>
      <c r="D6938" s="7">
        <v>0.85</v>
      </c>
    </row>
    <row r="6939" spans="1:5" x14ac:dyDescent="0.25">
      <c r="A6939" t="str">
        <f>HYPERLINK("https://www.773grp.com/globalSearch/1SMB13CAT3G/page-1", "1SMB13CAT3G")</f>
        <v>1SMB13CAT3G</v>
      </c>
      <c r="B6939" s="3" t="str">
        <f>HYPERLINK("https://www.773grp.com/manufacturer/onsemi?pageNo=198", "Onsemi")</f>
        <v>Onsemi</v>
      </c>
      <c r="C6939" s="6">
        <v>427500</v>
      </c>
      <c r="D6939" s="7">
        <v>0.85</v>
      </c>
      <c r="E6939" t="s">
        <v>75</v>
      </c>
    </row>
    <row r="6940" spans="1:5" x14ac:dyDescent="0.25">
      <c r="A6940" t="str">
        <f>HYPERLINK("https://www.773grp.com/globalSearch/1SMB17CAT3G/page-1", "1SMB17CAT3G")</f>
        <v>1SMB17CAT3G</v>
      </c>
      <c r="B6940" s="3" t="str">
        <f>HYPERLINK("https://www.773grp.com/manufacturer/onsemi?pageNo=199", "Onsemi")</f>
        <v>Onsemi</v>
      </c>
      <c r="C6940" s="6">
        <v>2500</v>
      </c>
      <c r="D6940" s="7">
        <v>0.85</v>
      </c>
    </row>
    <row r="6941" spans="1:5" x14ac:dyDescent="0.25">
      <c r="A6941" t="str">
        <f>HYPERLINK("https://www.773grp.com/globalSearch/1SMB26CAT3G/page-1", "1SMB26CAT3G")</f>
        <v>1SMB26CAT3G</v>
      </c>
      <c r="B6941" s="3" t="str">
        <f>HYPERLINK("https://www.773grp.com/manufacturer/onsemi?pageNo=200", "Onsemi")</f>
        <v>Onsemi</v>
      </c>
      <c r="C6941" s="6">
        <v>27500</v>
      </c>
      <c r="D6941" s="7">
        <v>0.85</v>
      </c>
      <c r="E6941" t="s">
        <v>75</v>
      </c>
    </row>
    <row r="6942" spans="1:5" x14ac:dyDescent="0.25">
      <c r="A6942" t="str">
        <f>HYPERLINK("https://www.773grp.com/globalSearch/1SMB28CAT3G/page-1", "1SMB28CAT3G")</f>
        <v>1SMB28CAT3G</v>
      </c>
      <c r="B6942" s="3" t="str">
        <f>HYPERLINK("https://www.773grp.com/manufacturer/onsemi?pageNo=201", "Onsemi")</f>
        <v>Onsemi</v>
      </c>
      <c r="C6942" s="6">
        <v>7500</v>
      </c>
      <c r="D6942" s="7">
        <v>0.85</v>
      </c>
      <c r="E6942" t="s">
        <v>75</v>
      </c>
    </row>
    <row r="6943" spans="1:5" x14ac:dyDescent="0.25">
      <c r="A6943" t="str">
        <f>HYPERLINK("https://www.773grp.com/globalSearch/1SMB40CAT3G/page-1", "1SMB40CAT3G")</f>
        <v>1SMB40CAT3G</v>
      </c>
      <c r="B6943" s="3" t="str">
        <f>HYPERLINK("https://www.773grp.com/manufacturer/onsemi?pageNo=202", "Onsemi")</f>
        <v>Onsemi</v>
      </c>
      <c r="C6943" s="6">
        <v>75000</v>
      </c>
      <c r="D6943" s="7">
        <v>0.85</v>
      </c>
      <c r="E6943" t="s">
        <v>75</v>
      </c>
    </row>
    <row r="6944" spans="1:5" x14ac:dyDescent="0.25">
      <c r="A6944" t="str">
        <f>HYPERLINK("https://www.773grp.com/globalSearch/1SMB43CAT3G/page-1", "1SMB43CAT3G")</f>
        <v>1SMB43CAT3G</v>
      </c>
      <c r="B6944" s="3" t="str">
        <f>HYPERLINK("https://www.773grp.com/manufacturer/onsemi?pageNo=203", "Onsemi")</f>
        <v>Onsemi</v>
      </c>
      <c r="C6944" s="6">
        <v>2500</v>
      </c>
      <c r="D6944" s="7">
        <v>0.85</v>
      </c>
    </row>
    <row r="6945" spans="1:5" x14ac:dyDescent="0.25">
      <c r="A6945" t="str">
        <f>HYPERLINK("https://www.773grp.com/globalSearch/1SMB45CAT3G/page-1", "1SMB45CAT3G")</f>
        <v>1SMB45CAT3G</v>
      </c>
      <c r="B6945" s="3" t="str">
        <f>HYPERLINK("https://www.773grp.com/manufacturer/onsemi?pageNo=204", "Onsemi")</f>
        <v>Onsemi</v>
      </c>
      <c r="C6945" s="6">
        <v>14775</v>
      </c>
      <c r="D6945" s="7">
        <v>0.85</v>
      </c>
      <c r="E6945" t="s">
        <v>75</v>
      </c>
    </row>
    <row r="6946" spans="1:5" x14ac:dyDescent="0.25">
      <c r="A6946" t="str">
        <f>HYPERLINK("https://www.773grp.com/globalSearch/1SMB51CAT3G/page-1", "1SMB51CAT3G")</f>
        <v>1SMB51CAT3G</v>
      </c>
      <c r="B6946" s="3" t="str">
        <f>HYPERLINK("https://www.773grp.com/manufacturer/onsemi?pageNo=205", "Onsemi")</f>
        <v>Onsemi</v>
      </c>
      <c r="C6946" s="6">
        <v>2500</v>
      </c>
      <c r="D6946" s="7">
        <v>0.85</v>
      </c>
    </row>
    <row r="6947" spans="1:5" x14ac:dyDescent="0.25">
      <c r="A6947" t="str">
        <f>HYPERLINK("https://www.773grp.com/globalSearch/1SMB54CAT3G/page-1", "1SMB54CAT3G")</f>
        <v>1SMB54CAT3G</v>
      </c>
      <c r="B6947" s="3" t="str">
        <f>HYPERLINK("https://www.773grp.com/manufacturer/onsemi?pageNo=206", "Onsemi")</f>
        <v>Onsemi</v>
      </c>
      <c r="C6947" s="6">
        <v>2500</v>
      </c>
      <c r="D6947" s="7">
        <v>0.85</v>
      </c>
      <c r="E6947" t="s">
        <v>75</v>
      </c>
    </row>
    <row r="6948" spans="1:5" x14ac:dyDescent="0.25">
      <c r="A6948" t="str">
        <f>HYPERLINK("https://www.773grp.com/globalSearch/1SMB58CAT3G/page-1", "1SMB58CAT3G")</f>
        <v>1SMB58CAT3G</v>
      </c>
      <c r="B6948" s="3" t="str">
        <f>HYPERLINK("https://www.773grp.com/manufacturer/onsemi?pageNo=207", "Onsemi")</f>
        <v>Onsemi</v>
      </c>
      <c r="C6948" s="6">
        <v>40255</v>
      </c>
      <c r="D6948" s="7">
        <v>0.85</v>
      </c>
      <c r="E6948" t="s">
        <v>75</v>
      </c>
    </row>
    <row r="6949" spans="1:5" x14ac:dyDescent="0.25">
      <c r="A6949" t="str">
        <f>HYPERLINK("https://www.773grp.com/globalSearch/1SMB60CAT3G/page-1", "1SMB60CAT3G")</f>
        <v>1SMB60CAT3G</v>
      </c>
      <c r="B6949" s="3" t="str">
        <f>HYPERLINK("https://www.773grp.com/manufacturer/onsemi?pageNo=208", "Onsemi")</f>
        <v>Onsemi</v>
      </c>
      <c r="C6949" s="6">
        <v>10000</v>
      </c>
      <c r="D6949" s="7">
        <v>0.85</v>
      </c>
      <c r="E6949" t="s">
        <v>75</v>
      </c>
    </row>
    <row r="6950" spans="1:5" x14ac:dyDescent="0.25">
      <c r="A6950" t="str">
        <f>HYPERLINK("https://www.773grp.com/globalSearch/1SMB64CAT3G/page-1", "1SMB64CAT3G")</f>
        <v>1SMB64CAT3G</v>
      </c>
      <c r="B6950" s="3" t="str">
        <f>HYPERLINK("https://www.773grp.com/manufacturer/onsemi?pageNo=209", "Onsemi")</f>
        <v>Onsemi</v>
      </c>
      <c r="C6950" s="6">
        <v>45000</v>
      </c>
      <c r="D6950" s="7">
        <v>0.85</v>
      </c>
      <c r="E6950" t="s">
        <v>75</v>
      </c>
    </row>
    <row r="6951" spans="1:5" x14ac:dyDescent="0.25">
      <c r="A6951" t="str">
        <f>HYPERLINK("https://www.773grp.com/globalSearch/1SMB75CAT3G/page-1", "1SMB75CAT3G")</f>
        <v>1SMB75CAT3G</v>
      </c>
      <c r="B6951" s="3" t="str">
        <f>HYPERLINK("https://www.773grp.com/manufacturer/onsemi?pageNo=210", "Onsemi")</f>
        <v>Onsemi</v>
      </c>
      <c r="C6951" s="6">
        <v>17500</v>
      </c>
      <c r="D6951" s="7">
        <v>0.85</v>
      </c>
      <c r="E6951" t="s">
        <v>75</v>
      </c>
    </row>
    <row r="6952" spans="1:5" x14ac:dyDescent="0.25">
      <c r="A6952" t="str">
        <f>HYPERLINK("https://www.773grp.com/globalSearch/2N2102/page-1", "2N2102")</f>
        <v>2N2102</v>
      </c>
      <c r="B6952" s="3" t="str">
        <f>HYPERLINK("https://www.773grp.com/manufacturer/onsemi?pageNo=211", "Onsemi")</f>
        <v>Onsemi</v>
      </c>
      <c r="C6952" s="6">
        <v>8277</v>
      </c>
      <c r="D6952" s="7">
        <v>0.85</v>
      </c>
      <c r="E6952" t="s">
        <v>57</v>
      </c>
    </row>
    <row r="6953" spans="1:5" x14ac:dyDescent="0.25">
      <c r="A6953" t="str">
        <f>HYPERLINK("https://www.773grp.com/globalSearch/2N6043/page-1", "2N6043")</f>
        <v>2N6043</v>
      </c>
      <c r="B6953" s="3" t="str">
        <f>HYPERLINK("https://www.773grp.com/manufacturer/onsemi?pageNo=212", "Onsemi")</f>
        <v>Onsemi</v>
      </c>
      <c r="C6953" s="6">
        <v>21</v>
      </c>
      <c r="D6953" s="7">
        <v>0.85</v>
      </c>
      <c r="E6953" t="s">
        <v>47</v>
      </c>
    </row>
    <row r="6954" spans="1:5" x14ac:dyDescent="0.25">
      <c r="A6954" t="str">
        <f>HYPERLINK("https://www.773grp.com/globalSearch/2SA1416S-TD-E/page-1", "2SA1416S-TD-E")</f>
        <v>2SA1416S-TD-E</v>
      </c>
      <c r="B6954" s="3" t="str">
        <f>HYPERLINK("https://www.773grp.com/manufacturer/onsemi?pageNo=213", "Onsemi")</f>
        <v>Onsemi</v>
      </c>
      <c r="C6954" s="6">
        <v>300</v>
      </c>
      <c r="D6954" s="7">
        <v>0.85</v>
      </c>
    </row>
    <row r="6955" spans="1:5" x14ac:dyDescent="0.25">
      <c r="A6955" t="str">
        <f>HYPERLINK("https://www.773grp.com/globalSearch/2SC6096-TD-E/page-1", "2SC6096-TD-E")</f>
        <v>2SC6096-TD-E</v>
      </c>
      <c r="B6955" s="3" t="str">
        <f>HYPERLINK("https://www.773grp.com/manufacturer/onsemi?pageNo=214", "Onsemi")</f>
        <v>Onsemi</v>
      </c>
      <c r="C6955" s="6">
        <v>2000</v>
      </c>
      <c r="D6955" s="7">
        <v>0.85</v>
      </c>
    </row>
    <row r="6956" spans="1:5" x14ac:dyDescent="0.25">
      <c r="A6956" t="str">
        <f>HYPERLINK("https://www.773grp.com/globalSearch/3EZ13D5G/page-1", "3EZ13D5G")</f>
        <v>3EZ13D5G</v>
      </c>
      <c r="B6956" s="3" t="str">
        <f>HYPERLINK("https://www.773grp.com/manufacturer/onsemi?pageNo=215", "Onsemi")</f>
        <v>Onsemi</v>
      </c>
      <c r="C6956" s="6">
        <v>7375</v>
      </c>
      <c r="D6956" s="7">
        <v>0.85</v>
      </c>
      <c r="E6956" t="s">
        <v>77</v>
      </c>
    </row>
    <row r="6957" spans="1:5" x14ac:dyDescent="0.25">
      <c r="A6957" t="str">
        <f>HYPERLINK("https://www.773grp.com/globalSearch/ADP3110AKRZ/page-1", "ADP3110AKRZ")</f>
        <v>ADP3110AKRZ</v>
      </c>
      <c r="B6957" s="3" t="str">
        <f>HYPERLINK("https://www.773grp.com/manufacturer/onsemi?pageNo=216", "Onsemi")</f>
        <v>Onsemi</v>
      </c>
      <c r="C6957" s="6">
        <v>17347</v>
      </c>
      <c r="D6957" s="7">
        <v>0.85</v>
      </c>
      <c r="E6957" t="s">
        <v>12</v>
      </c>
    </row>
    <row r="6958" spans="1:5" x14ac:dyDescent="0.25">
      <c r="A6958" t="str">
        <f>HYPERLINK("https://www.773grp.com/globalSearch/CAT24AA04WI-G/page-1", "CAT24AA04WI-G")</f>
        <v>CAT24AA04WI-G</v>
      </c>
      <c r="B6958" s="3" t="str">
        <f>HYPERLINK("https://www.773grp.com/manufacturer/onsemi?pageNo=217", "Onsemi")</f>
        <v>Onsemi</v>
      </c>
      <c r="C6958" s="6">
        <v>10500</v>
      </c>
      <c r="D6958" s="7">
        <v>0.85</v>
      </c>
    </row>
    <row r="6959" spans="1:5" x14ac:dyDescent="0.25">
      <c r="A6959" t="str">
        <f>HYPERLINK("https://www.773grp.com/globalSearch/CAT24C16WI-G/page-1", "CAT24C16WI-G")</f>
        <v>CAT24C16WI-G</v>
      </c>
      <c r="B6959" s="3" t="str">
        <f>HYPERLINK("https://www.773grp.com/manufacturer/onsemi?pageNo=218", "Onsemi")</f>
        <v>Onsemi</v>
      </c>
      <c r="C6959" s="6">
        <v>2800</v>
      </c>
      <c r="D6959" s="7">
        <v>0.85</v>
      </c>
    </row>
    <row r="6960" spans="1:5" x14ac:dyDescent="0.25">
      <c r="A6960" t="str">
        <f>HYPERLINK("https://www.773grp.com/globalSearch/CAT24C16WI-G/page-1", "CAT24C16WI-G")</f>
        <v>CAT24C16WI-G</v>
      </c>
      <c r="B6960" s="3" t="str">
        <f>HYPERLINK("https://www.773grp.com/manufacturer/onsemi?pageNo=219", "Onsemi")</f>
        <v>Onsemi</v>
      </c>
      <c r="C6960" s="6">
        <v>472</v>
      </c>
      <c r="D6960" s="7">
        <v>0.85</v>
      </c>
    </row>
    <row r="6961" spans="1:5" x14ac:dyDescent="0.25">
      <c r="A6961" t="str">
        <f>HYPERLINK("https://www.773grp.com/globalSearch/CAT24C32LI-G/page-1", "CAT24C32LI-G")</f>
        <v>CAT24C32LI-G</v>
      </c>
      <c r="B6961" s="3" t="str">
        <f>HYPERLINK("https://www.773grp.com/manufacturer/onsemi?pageNo=220", "Onsemi")</f>
        <v>Onsemi</v>
      </c>
      <c r="C6961" s="6">
        <v>4390</v>
      </c>
      <c r="D6961" s="7">
        <v>0.85</v>
      </c>
      <c r="E6961" t="s">
        <v>52</v>
      </c>
    </row>
    <row r="6962" spans="1:5" x14ac:dyDescent="0.25">
      <c r="A6962" t="str">
        <f>HYPERLINK("https://www.773grp.com/globalSearch/CAT25080VI-GT3/page-1", "CAT25080VI-GT3")</f>
        <v>CAT25080VI-GT3</v>
      </c>
      <c r="B6962" s="3" t="str">
        <f>HYPERLINK("https://www.773grp.com/manufacturer/onsemi?pageNo=221", "Onsemi")</f>
        <v>Onsemi</v>
      </c>
      <c r="C6962" s="6">
        <v>4132</v>
      </c>
      <c r="D6962" s="7">
        <v>0.85</v>
      </c>
      <c r="E6962" t="s">
        <v>52</v>
      </c>
    </row>
    <row r="6963" spans="1:5" x14ac:dyDescent="0.25">
      <c r="A6963" t="str">
        <f>HYPERLINK("https://www.773grp.com/globalSearch/CAT25080VI-GT3/page-1", "CAT25080VI-GT3")</f>
        <v>CAT25080VI-GT3</v>
      </c>
      <c r="B6963" s="3" t="str">
        <f>HYPERLINK("https://www.773grp.com/manufacturer/onsemi?pageNo=222", "Onsemi")</f>
        <v>Onsemi</v>
      </c>
      <c r="C6963" s="6">
        <v>3000</v>
      </c>
      <c r="D6963" s="7">
        <v>0.85</v>
      </c>
      <c r="E6963" t="s">
        <v>52</v>
      </c>
    </row>
    <row r="6964" spans="1:5" x14ac:dyDescent="0.25">
      <c r="A6964" t="str">
        <f>HYPERLINK("https://www.773grp.com/globalSearch/CAT25080YI-GT3/page-1", "CAT25080YI-GT3")</f>
        <v>CAT25080YI-GT3</v>
      </c>
      <c r="B6964" s="3" t="str">
        <f>HYPERLINK("https://www.773grp.com/manufacturer/onsemi?pageNo=223", "Onsemi")</f>
        <v>Onsemi</v>
      </c>
      <c r="C6964" s="6">
        <v>30000</v>
      </c>
      <c r="D6964" s="7">
        <v>0.85</v>
      </c>
    </row>
    <row r="6965" spans="1:5" x14ac:dyDescent="0.25">
      <c r="A6965" t="str">
        <f>HYPERLINK("https://www.773grp.com/globalSearch/CAT64LC40WI-GT3/page-1", "CAT64LC40WI-GT3")</f>
        <v>CAT64LC40WI-GT3</v>
      </c>
      <c r="B6965" s="3" t="str">
        <f>HYPERLINK("https://www.773grp.com/manufacturer/onsemi?pageNo=224", "Onsemi")</f>
        <v>Onsemi</v>
      </c>
      <c r="C6965" s="6">
        <v>249000</v>
      </c>
      <c r="D6965" s="7">
        <v>0.85</v>
      </c>
    </row>
    <row r="6966" spans="1:5" x14ac:dyDescent="0.25">
      <c r="A6966" t="str">
        <f>HYPERLINK("https://www.773grp.com/globalSearch/CAT93C46LI-G/page-1", "CAT93C46LI-G")</f>
        <v>CAT93C46LI-G</v>
      </c>
      <c r="B6966" s="3" t="str">
        <f>HYPERLINK("https://www.773grp.com/manufacturer/onsemi?pageNo=225", "Onsemi")</f>
        <v>Onsemi</v>
      </c>
      <c r="C6966" s="6">
        <v>6000</v>
      </c>
      <c r="D6966" s="7">
        <v>0.85</v>
      </c>
      <c r="E6966" t="s">
        <v>52</v>
      </c>
    </row>
    <row r="6967" spans="1:5" x14ac:dyDescent="0.25">
      <c r="A6967" t="str">
        <f>HYPERLINK("https://www.773grp.com/globalSearch/CAT93C46LI-G/page-1", "CAT93C46LI-G")</f>
        <v>CAT93C46LI-G</v>
      </c>
      <c r="B6967" s="3" t="str">
        <f>HYPERLINK("https://www.773grp.com/manufacturer/onsemi?pageNo=226", "Onsemi")</f>
        <v>Onsemi</v>
      </c>
      <c r="C6967" s="6">
        <v>3350</v>
      </c>
      <c r="D6967" s="7">
        <v>0.85</v>
      </c>
      <c r="E6967" t="s">
        <v>52</v>
      </c>
    </row>
    <row r="6968" spans="1:5" x14ac:dyDescent="0.25">
      <c r="A6968" t="str">
        <f>HYPERLINK("https://www.773grp.com/globalSearch/CAT93C46RVI-G/page-1", "CAT93C46RVI-G")</f>
        <v>CAT93C46RVI-G</v>
      </c>
      <c r="B6968" s="3" t="str">
        <f>HYPERLINK("https://www.773grp.com/manufacturer/onsemi?pageNo=227", "Onsemi")</f>
        <v>Onsemi</v>
      </c>
      <c r="C6968" s="6">
        <v>1699</v>
      </c>
      <c r="D6968" s="7">
        <v>0.85</v>
      </c>
    </row>
    <row r="6969" spans="1:5" x14ac:dyDescent="0.25">
      <c r="A6969" t="str">
        <f>HYPERLINK("https://www.773grp.com/globalSearch/CAT93C46RYI-G/page-1", "CAT93C46RYI-G")</f>
        <v>CAT93C46RYI-G</v>
      </c>
      <c r="B6969" s="3" t="str">
        <f>HYPERLINK("https://www.773grp.com/manufacturer/onsemi?pageNo=228", "Onsemi")</f>
        <v>Onsemi</v>
      </c>
      <c r="C6969" s="6">
        <v>2600</v>
      </c>
      <c r="D6969" s="7">
        <v>0.85</v>
      </c>
    </row>
    <row r="6970" spans="1:5" x14ac:dyDescent="0.25">
      <c r="A6970" t="str">
        <f>HYPERLINK("https://www.773grp.com/globalSearch/CAT93C46VI/page-1", "CAT93C46VI")</f>
        <v>CAT93C46VI</v>
      </c>
      <c r="B6970" s="3" t="str">
        <f>HYPERLINK("https://www.773grp.com/manufacturer/onsemi?pageNo=229", "Onsemi")</f>
        <v>Onsemi</v>
      </c>
      <c r="C6970" s="6">
        <v>2600</v>
      </c>
      <c r="D6970" s="7">
        <v>0.85</v>
      </c>
      <c r="E6970" t="s">
        <v>52</v>
      </c>
    </row>
    <row r="6971" spans="1:5" x14ac:dyDescent="0.25">
      <c r="A6971" t="str">
        <f>HYPERLINK("https://www.773grp.com/globalSearch/CAT93C46VI-T3/page-1", "CAT93C46VI-T3")</f>
        <v>CAT93C46VI-T3</v>
      </c>
      <c r="B6971" s="3" t="str">
        <f>HYPERLINK("https://www.773grp.com/manufacturer/onsemi?pageNo=230", "Onsemi")</f>
        <v>Onsemi</v>
      </c>
      <c r="C6971" s="6">
        <v>48000</v>
      </c>
      <c r="D6971" s="7">
        <v>0.85</v>
      </c>
      <c r="E6971" t="s">
        <v>52</v>
      </c>
    </row>
    <row r="6972" spans="1:5" x14ac:dyDescent="0.25">
      <c r="A6972" t="str">
        <f>HYPERLINK("https://www.773grp.com/globalSearch/CAT93C86VI-GT3/page-1", "CAT93C86VI-GT3")</f>
        <v>CAT93C86VI-GT3</v>
      </c>
      <c r="B6972" s="3" t="str">
        <f>HYPERLINK("https://www.773grp.com/manufacturer/onsemi?pageNo=231", "Onsemi")</f>
        <v>Onsemi</v>
      </c>
      <c r="C6972" s="6">
        <v>3000</v>
      </c>
      <c r="D6972" s="7">
        <v>0.85</v>
      </c>
    </row>
    <row r="6973" spans="1:5" x14ac:dyDescent="0.25">
      <c r="A6973" t="str">
        <f>HYPERLINK("https://www.773grp.com/globalSearch/CAT93C86VI-GT3/page-1", "CAT93C86VI-GT3")</f>
        <v>CAT93C86VI-GT3</v>
      </c>
      <c r="B6973" s="3" t="str">
        <f>HYPERLINK("https://www.773grp.com/manufacturer/onsemi?pageNo=232", "Onsemi")</f>
        <v>Onsemi</v>
      </c>
      <c r="C6973" s="6">
        <v>12140</v>
      </c>
      <c r="D6973" s="7">
        <v>0.85</v>
      </c>
    </row>
    <row r="6974" spans="1:5" x14ac:dyDescent="0.25">
      <c r="A6974" t="str">
        <f>HYPERLINK("https://www.773grp.com/globalSearch/CM1443-04CP/page-1", "CM1443-04CP")</f>
        <v>CM1443-04CP</v>
      </c>
      <c r="B6974" s="3" t="str">
        <f>HYPERLINK("https://www.773grp.com/manufacturer/onsemi?pageNo=233", "Onsemi")</f>
        <v>Onsemi</v>
      </c>
      <c r="C6974" s="6">
        <v>21000</v>
      </c>
      <c r="D6974" s="7">
        <v>0.85</v>
      </c>
      <c r="E6974" t="s">
        <v>79</v>
      </c>
    </row>
    <row r="6975" spans="1:5" x14ac:dyDescent="0.25">
      <c r="A6975" t="str">
        <f>HYPERLINK("https://www.773grp.com/globalSearch/CM1631-08DE/page-1", "CM1631-08DE")</f>
        <v>CM1631-08DE</v>
      </c>
      <c r="B6975" s="3" t="str">
        <f>HYPERLINK("https://www.773grp.com/manufacturer/onsemi?pageNo=234", "Onsemi")</f>
        <v>Onsemi</v>
      </c>
      <c r="C6975" s="6">
        <v>9000</v>
      </c>
      <c r="D6975" s="7">
        <v>0.85</v>
      </c>
      <c r="E6975" t="s">
        <v>79</v>
      </c>
    </row>
    <row r="6976" spans="1:5" x14ac:dyDescent="0.25">
      <c r="A6976" t="str">
        <f>HYPERLINK("https://www.773grp.com/globalSearch/CM1690-06DE/page-1", "CM1690-06DE")</f>
        <v>CM1690-06DE</v>
      </c>
      <c r="B6976" s="3" t="str">
        <f>HYPERLINK("https://www.773grp.com/manufacturer/onsemi?pageNo=235", "Onsemi")</f>
        <v>Onsemi</v>
      </c>
      <c r="C6976" s="6">
        <v>3000</v>
      </c>
      <c r="D6976" s="7">
        <v>0.85</v>
      </c>
      <c r="E6976" t="s">
        <v>79</v>
      </c>
    </row>
    <row r="6977" spans="1:5" x14ac:dyDescent="0.25">
      <c r="A6977" t="str">
        <f>HYPERLINK("https://www.773grp.com/globalSearch/CM6320/page-1", "CM6320")</f>
        <v>CM6320</v>
      </c>
      <c r="B6977" s="3" t="str">
        <f>HYPERLINK("https://www.773grp.com/manufacturer/onsemi?pageNo=236", "Onsemi")</f>
        <v>Onsemi</v>
      </c>
      <c r="C6977" s="6">
        <v>5000</v>
      </c>
      <c r="D6977" s="7">
        <v>0.85</v>
      </c>
    </row>
    <row r="6978" spans="1:5" x14ac:dyDescent="0.25">
      <c r="A6978" t="str">
        <f>HYPERLINK("https://www.773grp.com/globalSearch/CM6407/page-1", "CM6407")</f>
        <v>CM6407</v>
      </c>
      <c r="B6978" s="3" t="str">
        <f>HYPERLINK("https://www.773grp.com/manufacturer/onsemi?pageNo=237", "Onsemi")</f>
        <v>Onsemi</v>
      </c>
      <c r="C6978" s="6">
        <v>395000</v>
      </c>
      <c r="D6978" s="7">
        <v>0.85</v>
      </c>
    </row>
    <row r="6979" spans="1:5" x14ac:dyDescent="0.25">
      <c r="A6979" t="str">
        <f>HYPERLINK("https://www.773grp.com/globalSearch/CPH6347-TL-H/page-1", "CPH6347-TL-H")</f>
        <v>CPH6347-TL-H</v>
      </c>
      <c r="B6979" s="3" t="str">
        <f>HYPERLINK("https://www.773grp.com/manufacturer/onsemi?pageNo=238", "Onsemi")</f>
        <v>Onsemi</v>
      </c>
      <c r="C6979" s="6">
        <v>72000</v>
      </c>
      <c r="D6979" s="7">
        <v>0.85</v>
      </c>
    </row>
    <row r="6980" spans="1:5" x14ac:dyDescent="0.25">
      <c r="A6980" t="str">
        <f>HYPERLINK("https://www.773grp.com/globalSearch/CSPEMI201AG/page-1", "CSPEMI201AG")</f>
        <v>CSPEMI201AG</v>
      </c>
      <c r="B6980" s="3" t="str">
        <f>HYPERLINK("https://www.773grp.com/manufacturer/onsemi?pageNo=239", "Onsemi")</f>
        <v>Onsemi</v>
      </c>
      <c r="C6980" s="6">
        <v>38500</v>
      </c>
      <c r="D6980" s="7">
        <v>0.85</v>
      </c>
      <c r="E6980" t="s">
        <v>79</v>
      </c>
    </row>
    <row r="6981" spans="1:5" x14ac:dyDescent="0.25">
      <c r="A6981" t="str">
        <f>HYPERLINK("https://www.773grp.com/globalSearch/CSPEMI202AG/page-1", "CSPEMI202AG")</f>
        <v>CSPEMI202AG</v>
      </c>
      <c r="B6981" s="3" t="str">
        <f>HYPERLINK("https://www.773grp.com/manufacturer/onsemi?pageNo=240", "Onsemi")</f>
        <v>Onsemi</v>
      </c>
      <c r="C6981" s="6">
        <v>7930</v>
      </c>
      <c r="D6981" s="7">
        <v>0.85</v>
      </c>
    </row>
    <row r="6982" spans="1:5" x14ac:dyDescent="0.25">
      <c r="A6982" t="str">
        <f>HYPERLINK("https://www.773grp.com/globalSearch/ESDR0524PMUTAG/page-1", "ESDR0524PMUTAG")</f>
        <v>ESDR0524PMUTAG</v>
      </c>
      <c r="B6982" s="3" t="str">
        <f>HYPERLINK("https://www.773grp.com/manufacturer/onsemi?pageNo=241", "Onsemi")</f>
        <v>Onsemi</v>
      </c>
      <c r="C6982" s="6">
        <v>221180</v>
      </c>
      <c r="D6982" s="7">
        <v>0.85</v>
      </c>
      <c r="E6982" t="s">
        <v>75</v>
      </c>
    </row>
    <row r="6983" spans="1:5" x14ac:dyDescent="0.25">
      <c r="A6983" t="str">
        <f>HYPERLINK("https://www.773grp.com/globalSearch/ESDR0544MDMR4G/page-1", "ESDR0544MDMR4G")</f>
        <v>ESDR0544MDMR4G</v>
      </c>
      <c r="B6983" s="3" t="str">
        <f>HYPERLINK("https://www.773grp.com/manufacturer/onsemi?pageNo=242", "Onsemi")</f>
        <v>Onsemi</v>
      </c>
      <c r="C6983" s="6">
        <v>2000</v>
      </c>
      <c r="D6983" s="7">
        <v>0.85</v>
      </c>
    </row>
    <row r="6984" spans="1:5" x14ac:dyDescent="0.25">
      <c r="A6984" t="str">
        <f>HYPERLINK("https://www.773grp.com/globalSearch/ICTE-12C/page-1", "ICTE-12C")</f>
        <v>ICTE-12C</v>
      </c>
      <c r="B6984" s="3" t="str">
        <f>HYPERLINK("https://www.773grp.com/manufacturer/onsemi?pageNo=243", "Onsemi")</f>
        <v>Onsemi</v>
      </c>
      <c r="C6984" s="6">
        <v>2424</v>
      </c>
      <c r="D6984" s="7">
        <v>0.85</v>
      </c>
      <c r="E6984" t="s">
        <v>75</v>
      </c>
    </row>
    <row r="6985" spans="1:5" x14ac:dyDescent="0.25">
      <c r="A6985" t="str">
        <f>HYPERLINK("https://www.773grp.com/globalSearch/ICTE-12CRL4/page-1", "ICTE-12CRL4")</f>
        <v>ICTE-12CRL4</v>
      </c>
      <c r="B6985" s="3" t="str">
        <f>HYPERLINK("https://www.773grp.com/manufacturer/onsemi?pageNo=244", "Onsemi")</f>
        <v>Onsemi</v>
      </c>
      <c r="C6985" s="6">
        <v>16500</v>
      </c>
      <c r="D6985" s="7">
        <v>0.85</v>
      </c>
      <c r="E6985" t="s">
        <v>75</v>
      </c>
    </row>
    <row r="6986" spans="1:5" x14ac:dyDescent="0.25">
      <c r="A6986" t="str">
        <f>HYPERLINK("https://www.773grp.com/globalSearch/ICTE-15C/page-1", "ICTE-15C")</f>
        <v>ICTE-15C</v>
      </c>
      <c r="B6986" s="3" t="str">
        <f>HYPERLINK("https://www.773grp.com/manufacturer/onsemi?pageNo=245", "Onsemi")</f>
        <v>Onsemi</v>
      </c>
      <c r="C6986" s="6">
        <v>84</v>
      </c>
      <c r="D6986" s="7">
        <v>0.85</v>
      </c>
    </row>
    <row r="6987" spans="1:5" x14ac:dyDescent="0.25">
      <c r="A6987" t="str">
        <f>HYPERLINK("https://www.773grp.com/globalSearch/ICTE-15CRL4/page-1", "ICTE-15CRL4")</f>
        <v>ICTE-15CRL4</v>
      </c>
      <c r="B6987" s="3" t="str">
        <f>HYPERLINK("https://www.773grp.com/manufacturer/onsemi?pageNo=246", "Onsemi")</f>
        <v>Onsemi</v>
      </c>
      <c r="C6987" s="6">
        <v>4500</v>
      </c>
      <c r="D6987" s="7">
        <v>0.85</v>
      </c>
      <c r="E6987" t="s">
        <v>75</v>
      </c>
    </row>
    <row r="6988" spans="1:5" x14ac:dyDescent="0.25">
      <c r="A6988" t="str">
        <f>HYPERLINK("https://www.773grp.com/globalSearch/LF347N/page-1", "LF347N")</f>
        <v>LF347N</v>
      </c>
      <c r="B6988" s="3" t="str">
        <f>HYPERLINK("https://www.773grp.com/manufacturer/onsemi?pageNo=247", "Onsemi")</f>
        <v>Onsemi</v>
      </c>
      <c r="C6988" s="6">
        <v>26080</v>
      </c>
      <c r="D6988" s="7">
        <v>0.85</v>
      </c>
      <c r="E6988" t="s">
        <v>10</v>
      </c>
    </row>
    <row r="6989" spans="1:5" x14ac:dyDescent="0.25">
      <c r="A6989" t="str">
        <f>HYPERLINK("https://www.773grp.com/globalSearch/LM2901NG/page-1", "LM2901NG")</f>
        <v>LM2901NG</v>
      </c>
      <c r="B6989" s="3" t="str">
        <f>HYPERLINK("https://www.773grp.com/manufacturer/onsemi?pageNo=248", "Onsemi")</f>
        <v>Onsemi</v>
      </c>
      <c r="C6989" s="6">
        <v>67475</v>
      </c>
      <c r="D6989" s="7">
        <v>0.85</v>
      </c>
      <c r="E6989" t="s">
        <v>6</v>
      </c>
    </row>
    <row r="6990" spans="1:5" x14ac:dyDescent="0.25">
      <c r="A6990" t="str">
        <f>HYPERLINK("https://www.773grp.com/globalSearch/LM2902NG/page-1", "LM2902NG")</f>
        <v>LM2902NG</v>
      </c>
      <c r="B6990" s="3" t="str">
        <f>HYPERLINK("https://www.773grp.com/manufacturer/onsemi?pageNo=249", "Onsemi")</f>
        <v>Onsemi</v>
      </c>
      <c r="C6990" s="6">
        <v>132400</v>
      </c>
      <c r="D6990" s="7">
        <v>0.85</v>
      </c>
      <c r="E6990" t="s">
        <v>10</v>
      </c>
    </row>
    <row r="6991" spans="1:5" x14ac:dyDescent="0.25">
      <c r="A6991" t="str">
        <f>HYPERLINK("https://www.773grp.com/globalSearch/LM2903NG/page-1", "LM2903NG")</f>
        <v>LM2903NG</v>
      </c>
      <c r="B6991" s="3" t="str">
        <f>HYPERLINK("https://www.773grp.com/manufacturer/onsemi?pageNo=250", "Onsemi")</f>
        <v>Onsemi</v>
      </c>
      <c r="C6991" s="6">
        <v>571417</v>
      </c>
      <c r="D6991" s="7">
        <v>0.85</v>
      </c>
      <c r="E6991" t="s">
        <v>6</v>
      </c>
    </row>
    <row r="6992" spans="1:5" x14ac:dyDescent="0.25">
      <c r="A6992" t="str">
        <f>HYPERLINK("https://www.773grp.com/globalSearch/LM2904NG/page-1", "LM2904NG")</f>
        <v>LM2904NG</v>
      </c>
      <c r="B6992" s="3" t="str">
        <f>HYPERLINK("https://www.773grp.com/manufacturer/onsemi?pageNo=251", "Onsemi")</f>
        <v>Onsemi</v>
      </c>
      <c r="C6992" s="6">
        <v>83025</v>
      </c>
      <c r="D6992" s="7">
        <v>0.85</v>
      </c>
      <c r="E6992" t="s">
        <v>10</v>
      </c>
    </row>
    <row r="6993" spans="1:5" x14ac:dyDescent="0.25">
      <c r="A6993" t="str">
        <f>HYPERLINK("https://www.773grp.com/globalSearch/LM2931CT/page-1", "LM2931CT")</f>
        <v>LM2931CT</v>
      </c>
      <c r="B6993" s="3" t="str">
        <f>HYPERLINK("https://www.773grp.com/manufacturer/onsemi?pageNo=252", "Onsemi")</f>
        <v>Onsemi</v>
      </c>
      <c r="C6993" s="6">
        <v>2907</v>
      </c>
      <c r="D6993" s="7">
        <v>0.85</v>
      </c>
      <c r="E6993" t="s">
        <v>21</v>
      </c>
    </row>
    <row r="6994" spans="1:5" x14ac:dyDescent="0.25">
      <c r="A6994" t="str">
        <f>HYPERLINK("https://www.773grp.com/globalSearch/LM317MDT/page-1", "LM317MDT")</f>
        <v>LM317MDT</v>
      </c>
      <c r="B6994" s="3" t="str">
        <f>HYPERLINK("https://www.773grp.com/manufacturer/onsemi?pageNo=253", "Onsemi")</f>
        <v>Onsemi</v>
      </c>
      <c r="C6994" s="6">
        <v>3732</v>
      </c>
      <c r="D6994" s="7">
        <v>0.85</v>
      </c>
      <c r="E6994" t="s">
        <v>18</v>
      </c>
    </row>
    <row r="6995" spans="1:5" x14ac:dyDescent="0.25">
      <c r="A6995" t="str">
        <f>HYPERLINK("https://www.773grp.com/globalSearch/MBR3100G/page-1", "MBR3100G")</f>
        <v>MBR3100G</v>
      </c>
      <c r="B6995" s="3" t="str">
        <f>HYPERLINK("https://www.773grp.com/manufacturer/onsemi?pageNo=254", "Onsemi")</f>
        <v>Onsemi</v>
      </c>
      <c r="C6995" s="6">
        <v>12840</v>
      </c>
      <c r="D6995" s="7">
        <v>0.85</v>
      </c>
      <c r="E6995" t="s">
        <v>82</v>
      </c>
    </row>
    <row r="6996" spans="1:5" x14ac:dyDescent="0.25">
      <c r="A6996" t="str">
        <f>HYPERLINK("https://www.773grp.com/globalSearch/MBR3100RLG/page-1", "MBR3100RLG")</f>
        <v>MBR3100RLG</v>
      </c>
      <c r="B6996" s="3" t="str">
        <f>HYPERLINK("https://www.773grp.com/manufacturer/onsemi?pageNo=255", "Onsemi")</f>
        <v>Onsemi</v>
      </c>
      <c r="C6996" s="6">
        <v>8855</v>
      </c>
      <c r="D6996" s="7">
        <v>0.85</v>
      </c>
      <c r="E6996" t="s">
        <v>82</v>
      </c>
    </row>
    <row r="6997" spans="1:5" x14ac:dyDescent="0.25">
      <c r="A6997" t="str">
        <f>HYPERLINK("https://www.773grp.com/globalSearch/MC14008BD/page-1", "MC14008BD")</f>
        <v>MC14008BD</v>
      </c>
      <c r="B6997" s="3" t="str">
        <f>HYPERLINK("https://www.773grp.com/manufacturer/onsemi?pageNo=256", "Onsemi")</f>
        <v>Onsemi</v>
      </c>
      <c r="C6997" s="6">
        <v>1133</v>
      </c>
      <c r="D6997" s="7">
        <v>0.85</v>
      </c>
      <c r="E6997" t="s">
        <v>38</v>
      </c>
    </row>
    <row r="6998" spans="1:5" x14ac:dyDescent="0.25">
      <c r="A6998" t="str">
        <f>HYPERLINK("https://www.773grp.com/globalSearch/MC14049BDR2/page-1", "MC14049BDR2")</f>
        <v>MC14049BDR2</v>
      </c>
      <c r="B6998" s="3" t="str">
        <f>HYPERLINK("https://www.773grp.com/manufacturer/onsemi?pageNo=257", "Onsemi")</f>
        <v>Onsemi</v>
      </c>
      <c r="C6998" s="6">
        <v>4296</v>
      </c>
      <c r="D6998" s="7">
        <v>0.85</v>
      </c>
      <c r="E6998" t="s">
        <v>27</v>
      </c>
    </row>
    <row r="6999" spans="1:5" x14ac:dyDescent="0.25">
      <c r="A6999" t="str">
        <f>HYPERLINK("https://www.773grp.com/globalSearch/MC14050BDR2/page-1", "MC14050BDR2")</f>
        <v>MC14050BDR2</v>
      </c>
      <c r="B6999" s="3" t="str">
        <f>HYPERLINK("https://www.773grp.com/manufacturer/onsemi?pageNo=258", "Onsemi")</f>
        <v>Onsemi</v>
      </c>
      <c r="C6999" s="6">
        <v>3782</v>
      </c>
      <c r="D6999" s="7">
        <v>0.85</v>
      </c>
      <c r="E6999" t="s">
        <v>27</v>
      </c>
    </row>
    <row r="7000" spans="1:5" x14ac:dyDescent="0.25">
      <c r="A7000" t="str">
        <f>HYPERLINK("https://www.773grp.com/globalSearch/MC14066BFG/page-1", "MC14066BFG")</f>
        <v>MC14066BFG</v>
      </c>
      <c r="B7000" s="3" t="str">
        <f>HYPERLINK("https://www.773grp.com/manufacturer/onsemi?pageNo=259", "Onsemi")</f>
        <v>Onsemi</v>
      </c>
      <c r="C7000" s="6">
        <v>3900</v>
      </c>
      <c r="D7000" s="7">
        <v>0.85</v>
      </c>
      <c r="E7000" t="s">
        <v>46</v>
      </c>
    </row>
    <row r="7001" spans="1:5" x14ac:dyDescent="0.25">
      <c r="A7001" t="str">
        <f>HYPERLINK("https://www.773grp.com/globalSearch/MC14099BFELG/page-1", "MC14099BFELG")</f>
        <v>MC14099BFELG</v>
      </c>
      <c r="B7001" s="3" t="str">
        <f>HYPERLINK("https://www.773grp.com/manufacturer/onsemi?pageNo=260", "Onsemi")</f>
        <v>Onsemi</v>
      </c>
      <c r="C7001" s="6">
        <v>3256</v>
      </c>
      <c r="D7001" s="7">
        <v>0.85</v>
      </c>
      <c r="E7001" t="s">
        <v>31</v>
      </c>
    </row>
    <row r="7002" spans="1:5" x14ac:dyDescent="0.25">
      <c r="A7002" t="str">
        <f>HYPERLINK("https://www.773grp.com/globalSearch/MC14541BD/page-1", "MC14541BD")</f>
        <v>MC14541BD</v>
      </c>
      <c r="B7002" s="3" t="str">
        <f>HYPERLINK("https://www.773grp.com/manufacturer/onsemi?pageNo=261", "Onsemi")</f>
        <v>Onsemi</v>
      </c>
      <c r="C7002" s="6">
        <v>1980</v>
      </c>
      <c r="D7002" s="7">
        <v>0.85</v>
      </c>
      <c r="E7002" t="s">
        <v>67</v>
      </c>
    </row>
    <row r="7003" spans="1:5" x14ac:dyDescent="0.25">
      <c r="A7003" t="str">
        <f>HYPERLINK("https://www.773grp.com/globalSearch/MC14541BDG/page-1", "MC14541BDG")</f>
        <v>MC14541BDG</v>
      </c>
      <c r="B7003" s="3" t="str">
        <f>HYPERLINK("https://www.773grp.com/manufacturer/onsemi?pageNo=262", "Onsemi")</f>
        <v>Onsemi</v>
      </c>
      <c r="C7003" s="6">
        <v>727</v>
      </c>
      <c r="D7003" s="7">
        <v>0.85</v>
      </c>
      <c r="E7003" t="s">
        <v>67</v>
      </c>
    </row>
    <row r="7004" spans="1:5" x14ac:dyDescent="0.25">
      <c r="A7004" t="str">
        <f>HYPERLINK("https://www.773grp.com/globalSearch/MC14541BDR2G/page-1", "MC14541BDR2G")</f>
        <v>MC14541BDR2G</v>
      </c>
      <c r="B7004" s="3" t="str">
        <f>HYPERLINK("https://www.773grp.com/manufacturer/onsemi?pageNo=263", "Onsemi")</f>
        <v>Onsemi</v>
      </c>
      <c r="C7004" s="6">
        <v>1079445</v>
      </c>
      <c r="D7004" s="7">
        <v>0.85</v>
      </c>
      <c r="E7004" t="s">
        <v>67</v>
      </c>
    </row>
    <row r="7005" spans="1:5" x14ac:dyDescent="0.25">
      <c r="A7005" t="str">
        <f>HYPERLINK("https://www.773grp.com/globalSearch/MC14541BDTR2G/page-1", "MC14541BDTR2G")</f>
        <v>MC14541BDTR2G</v>
      </c>
      <c r="B7005" s="3" t="str">
        <f>HYPERLINK("https://www.773grp.com/manufacturer/onsemi?pageNo=264", "Onsemi")</f>
        <v>Onsemi</v>
      </c>
      <c r="C7005" s="6">
        <v>566779</v>
      </c>
      <c r="D7005" s="7">
        <v>0.85</v>
      </c>
      <c r="E7005" t="s">
        <v>67</v>
      </c>
    </row>
    <row r="7006" spans="1:5" x14ac:dyDescent="0.25">
      <c r="A7006" t="str">
        <f>HYPERLINK("https://www.773grp.com/globalSearch/MC14584BFG/page-1", "MC14584BFG")</f>
        <v>MC14584BFG</v>
      </c>
      <c r="B7006" s="3" t="str">
        <f>HYPERLINK("https://www.773grp.com/manufacturer/onsemi?pageNo=265", "Onsemi")</f>
        <v>Onsemi</v>
      </c>
      <c r="C7006" s="6">
        <v>42236</v>
      </c>
      <c r="D7006" s="7">
        <v>0.85</v>
      </c>
      <c r="E7006" t="s">
        <v>27</v>
      </c>
    </row>
    <row r="7007" spans="1:5" x14ac:dyDescent="0.25">
      <c r="A7007" t="str">
        <f>HYPERLINK("https://www.773grp.com/globalSearch/MC33171D/page-1", "MC33171D")</f>
        <v>MC33171D</v>
      </c>
      <c r="B7007" s="3" t="str">
        <f>HYPERLINK("https://www.773grp.com/manufacturer/onsemi?pageNo=266", "Onsemi")</f>
        <v>Onsemi</v>
      </c>
      <c r="C7007" s="6">
        <v>3732</v>
      </c>
      <c r="D7007" s="7">
        <v>0.85</v>
      </c>
      <c r="E7007" t="s">
        <v>10</v>
      </c>
    </row>
    <row r="7008" spans="1:5" x14ac:dyDescent="0.25">
      <c r="A7008" t="str">
        <f>HYPERLINK("https://www.773grp.com/globalSearch/MC33269D-3.3/page-1", "MC33269D-3.3")</f>
        <v>MC33269D-3.3</v>
      </c>
      <c r="B7008" s="3" t="str">
        <f>HYPERLINK("https://www.773grp.com/manufacturer/onsemi?pageNo=267", "Onsemi")</f>
        <v>Onsemi</v>
      </c>
      <c r="C7008" s="6">
        <v>354</v>
      </c>
      <c r="D7008" s="7">
        <v>0.85</v>
      </c>
      <c r="E7008" t="s">
        <v>15</v>
      </c>
    </row>
    <row r="7009" spans="1:5" x14ac:dyDescent="0.25">
      <c r="A7009" t="str">
        <f>HYPERLINK("https://www.773grp.com/globalSearch/MC33269D-5.0/page-1", "MC33269D-5.0")</f>
        <v>MC33269D-5.0</v>
      </c>
      <c r="B7009" s="3" t="str">
        <f>HYPERLINK("https://www.773grp.com/manufacturer/onsemi?pageNo=268", "Onsemi")</f>
        <v>Onsemi</v>
      </c>
      <c r="C7009" s="6">
        <v>8373</v>
      </c>
      <c r="D7009" s="7">
        <v>0.85</v>
      </c>
      <c r="E7009" t="s">
        <v>15</v>
      </c>
    </row>
    <row r="7010" spans="1:5" x14ac:dyDescent="0.25">
      <c r="A7010" t="str">
        <f>HYPERLINK("https://www.773grp.com/globalSearch/MC33269DR2-3.3/page-1", "MC33269DR2-3.3")</f>
        <v>MC33269DR2-3.3</v>
      </c>
      <c r="B7010" s="3" t="str">
        <f>HYPERLINK("https://www.773grp.com/manufacturer/onsemi?pageNo=269", "Onsemi")</f>
        <v>Onsemi</v>
      </c>
      <c r="C7010" s="6">
        <v>185000</v>
      </c>
      <c r="D7010" s="7">
        <v>0.85</v>
      </c>
      <c r="E7010" t="s">
        <v>15</v>
      </c>
    </row>
    <row r="7011" spans="1:5" x14ac:dyDescent="0.25">
      <c r="A7011" t="str">
        <f>HYPERLINK("https://www.773grp.com/globalSearch/MC33275DT-2.5RK/page-1", "MC33275DT-2.5RK")</f>
        <v>MC33275DT-2.5RK</v>
      </c>
      <c r="B7011" s="3" t="str">
        <f>HYPERLINK("https://www.773grp.com/manufacturer/onsemi?pageNo=270", "Onsemi")</f>
        <v>Onsemi</v>
      </c>
      <c r="C7011" s="6">
        <v>2500</v>
      </c>
      <c r="D7011" s="7">
        <v>0.85</v>
      </c>
      <c r="E7011" t="s">
        <v>15</v>
      </c>
    </row>
    <row r="7012" spans="1:5" x14ac:dyDescent="0.25">
      <c r="A7012" t="str">
        <f>HYPERLINK("https://www.773grp.com/globalSearch/MC33275DT-3.0/page-1", "MC33275DT-3.0")</f>
        <v>MC33275DT-3.0</v>
      </c>
      <c r="B7012" s="3" t="str">
        <f>HYPERLINK("https://www.773grp.com/manufacturer/onsemi?pageNo=271", "Onsemi")</f>
        <v>Onsemi</v>
      </c>
      <c r="C7012" s="6">
        <v>800</v>
      </c>
      <c r="D7012" s="7">
        <v>0.85</v>
      </c>
      <c r="E7012" t="s">
        <v>15</v>
      </c>
    </row>
    <row r="7013" spans="1:5" x14ac:dyDescent="0.25">
      <c r="A7013" t="str">
        <f>HYPERLINK("https://www.773grp.com/globalSearch/MC33275DT-3.0RK/page-1", "MC33275DT-3.0RK")</f>
        <v>MC33275DT-3.0RK</v>
      </c>
      <c r="B7013" s="3" t="str">
        <f>HYPERLINK("https://www.773grp.com/manufacturer/onsemi?pageNo=272", "Onsemi")</f>
        <v>Onsemi</v>
      </c>
      <c r="C7013" s="6">
        <v>3580</v>
      </c>
      <c r="D7013" s="7">
        <v>0.85</v>
      </c>
      <c r="E7013" t="s">
        <v>15</v>
      </c>
    </row>
    <row r="7014" spans="1:5" x14ac:dyDescent="0.25">
      <c r="A7014" t="str">
        <f>HYPERLINK("https://www.773grp.com/globalSearch/MC34071AD/page-1", "MC34071AD")</f>
        <v>MC34071AD</v>
      </c>
      <c r="B7014" s="3" t="str">
        <f>HYPERLINK("https://www.773grp.com/manufacturer/onsemi?pageNo=273", "Onsemi")</f>
        <v>Onsemi</v>
      </c>
      <c r="C7014" s="6">
        <v>1470</v>
      </c>
      <c r="D7014" s="7">
        <v>0.85</v>
      </c>
      <c r="E7014" t="s">
        <v>10</v>
      </c>
    </row>
    <row r="7015" spans="1:5" x14ac:dyDescent="0.25">
      <c r="A7015" t="str">
        <f>HYPERLINK("https://www.773grp.com/globalSearch/MC74AC00DG/page-1", "MC74AC00DG")</f>
        <v>MC74AC00DG</v>
      </c>
      <c r="B7015" s="3" t="str">
        <f>HYPERLINK("https://www.773grp.com/manufacturer/onsemi?pageNo=274", "Onsemi")</f>
        <v>Onsemi</v>
      </c>
      <c r="C7015" s="6">
        <v>38344</v>
      </c>
      <c r="D7015" s="7">
        <v>0.85</v>
      </c>
      <c r="E7015" t="s">
        <v>27</v>
      </c>
    </row>
    <row r="7016" spans="1:5" x14ac:dyDescent="0.25">
      <c r="A7016" t="str">
        <f>HYPERLINK("https://www.773grp.com/globalSearch/MC74AC00DR2G/page-1", "MC74AC00DR2G")</f>
        <v>MC74AC00DR2G</v>
      </c>
      <c r="B7016" s="3" t="str">
        <f>HYPERLINK("https://www.773grp.com/manufacturer/onsemi?pageNo=275", "Onsemi")</f>
        <v>Onsemi</v>
      </c>
      <c r="C7016" s="6">
        <v>12505</v>
      </c>
      <c r="D7016" s="7">
        <v>0.85</v>
      </c>
      <c r="E7016" t="s">
        <v>27</v>
      </c>
    </row>
    <row r="7017" spans="1:5" x14ac:dyDescent="0.25">
      <c r="A7017" t="str">
        <f>HYPERLINK("https://www.773grp.com/globalSearch/MC74AC00DTR2G/page-1", "MC74AC00DTR2G")</f>
        <v>MC74AC00DTR2G</v>
      </c>
      <c r="B7017" s="3" t="str">
        <f>HYPERLINK("https://www.773grp.com/manufacturer/onsemi?pageNo=276", "Onsemi")</f>
        <v>Onsemi</v>
      </c>
      <c r="C7017" s="6">
        <v>19230</v>
      </c>
      <c r="D7017" s="7">
        <v>0.85</v>
      </c>
      <c r="E7017" t="s">
        <v>27</v>
      </c>
    </row>
    <row r="7018" spans="1:5" x14ac:dyDescent="0.25">
      <c r="A7018" t="str">
        <f>HYPERLINK("https://www.773grp.com/globalSearch/MC74AC02DG/page-1", "MC74AC02DG")</f>
        <v>MC74AC02DG</v>
      </c>
      <c r="B7018" s="3" t="str">
        <f>HYPERLINK("https://www.773grp.com/manufacturer/onsemi?pageNo=277", "Onsemi")</f>
        <v>Onsemi</v>
      </c>
      <c r="C7018" s="6">
        <v>7113</v>
      </c>
      <c r="D7018" s="7">
        <v>0.85</v>
      </c>
    </row>
    <row r="7019" spans="1:5" x14ac:dyDescent="0.25">
      <c r="A7019" t="str">
        <f>HYPERLINK("https://www.773grp.com/globalSearch/MC74AC02DR2G/page-1", "MC74AC02DR2G")</f>
        <v>MC74AC02DR2G</v>
      </c>
      <c r="B7019" s="3" t="str">
        <f>HYPERLINK("https://www.773grp.com/manufacturer/onsemi?pageNo=278", "Onsemi")</f>
        <v>Onsemi</v>
      </c>
      <c r="C7019" s="6">
        <v>10236</v>
      </c>
      <c r="D7019" s="7">
        <v>0.85</v>
      </c>
      <c r="E7019" t="s">
        <v>27</v>
      </c>
    </row>
    <row r="7020" spans="1:5" x14ac:dyDescent="0.25">
      <c r="A7020" t="str">
        <f>HYPERLINK("https://www.773grp.com/globalSearch/MC74AC02DTR2G/page-1", "MC74AC02DTR2G")</f>
        <v>MC74AC02DTR2G</v>
      </c>
      <c r="B7020" s="3" t="str">
        <f>HYPERLINK("https://www.773grp.com/manufacturer/onsemi?pageNo=279", "Onsemi")</f>
        <v>Onsemi</v>
      </c>
      <c r="C7020" s="6">
        <v>7500</v>
      </c>
      <c r="D7020" s="7">
        <v>0.85</v>
      </c>
    </row>
    <row r="7021" spans="1:5" x14ac:dyDescent="0.25">
      <c r="A7021" t="str">
        <f>HYPERLINK("https://www.773grp.com/globalSearch/MC74AC04DG/page-1", "MC74AC04DG")</f>
        <v>MC74AC04DG</v>
      </c>
      <c r="B7021" s="3" t="str">
        <f>HYPERLINK("https://www.773grp.com/manufacturer/onsemi?pageNo=280", "Onsemi")</f>
        <v>Onsemi</v>
      </c>
      <c r="C7021" s="6">
        <v>12672</v>
      </c>
      <c r="D7021" s="7">
        <v>0.85</v>
      </c>
      <c r="E7021" t="s">
        <v>27</v>
      </c>
    </row>
    <row r="7022" spans="1:5" x14ac:dyDescent="0.25">
      <c r="A7022" t="str">
        <f>HYPERLINK("https://www.773grp.com/globalSearch/MC74AC04DR2G/page-1", "MC74AC04DR2G")</f>
        <v>MC74AC04DR2G</v>
      </c>
      <c r="B7022" s="3" t="str">
        <f>HYPERLINK("https://www.773grp.com/manufacturer/onsemi?pageNo=281", "Onsemi")</f>
        <v>Onsemi</v>
      </c>
      <c r="C7022" s="6">
        <v>45000</v>
      </c>
      <c r="D7022" s="7">
        <v>0.85</v>
      </c>
      <c r="E7022" t="s">
        <v>27</v>
      </c>
    </row>
    <row r="7023" spans="1:5" x14ac:dyDescent="0.25">
      <c r="A7023" t="str">
        <f>HYPERLINK("https://www.773grp.com/globalSearch/MC74AC04DTR2G/page-1", "MC74AC04DTR2G")</f>
        <v>MC74AC04DTR2G</v>
      </c>
      <c r="B7023" s="3" t="str">
        <f>HYPERLINK("https://www.773grp.com/manufacturer/onsemi?pageNo=282", "Onsemi")</f>
        <v>Onsemi</v>
      </c>
      <c r="C7023" s="6">
        <v>6700</v>
      </c>
      <c r="D7023" s="7">
        <v>0.85</v>
      </c>
      <c r="E7023" t="s">
        <v>27</v>
      </c>
    </row>
    <row r="7024" spans="1:5" x14ac:dyDescent="0.25">
      <c r="A7024" t="str">
        <f>HYPERLINK("https://www.773grp.com/globalSearch/MC74AC05DG/page-1", "MC74AC05DG")</f>
        <v>MC74AC05DG</v>
      </c>
      <c r="B7024" s="3" t="str">
        <f>HYPERLINK("https://www.773grp.com/manufacturer/onsemi?pageNo=283", "Onsemi")</f>
        <v>Onsemi</v>
      </c>
      <c r="C7024" s="6">
        <v>12954</v>
      </c>
      <c r="D7024" s="7">
        <v>0.85</v>
      </c>
      <c r="E7024" t="s">
        <v>27</v>
      </c>
    </row>
    <row r="7025" spans="1:5" x14ac:dyDescent="0.25">
      <c r="A7025" t="str">
        <f>HYPERLINK("https://www.773grp.com/globalSearch/MC74AC05DR2G/page-1", "MC74AC05DR2G")</f>
        <v>MC74AC05DR2G</v>
      </c>
      <c r="B7025" s="3" t="str">
        <f>HYPERLINK("https://www.773grp.com/manufacturer/onsemi?pageNo=284", "Onsemi")</f>
        <v>Onsemi</v>
      </c>
      <c r="C7025" s="6">
        <v>17170</v>
      </c>
      <c r="D7025" s="7">
        <v>0.85</v>
      </c>
      <c r="E7025" t="s">
        <v>27</v>
      </c>
    </row>
    <row r="7026" spans="1:5" x14ac:dyDescent="0.25">
      <c r="A7026" t="str">
        <f>HYPERLINK("https://www.773grp.com/globalSearch/MC74AC08DG/page-1", "MC74AC08DG")</f>
        <v>MC74AC08DG</v>
      </c>
      <c r="B7026" s="3" t="str">
        <f>HYPERLINK("https://www.773grp.com/manufacturer/onsemi?pageNo=285", "Onsemi")</f>
        <v>Onsemi</v>
      </c>
      <c r="C7026" s="6">
        <v>3575</v>
      </c>
      <c r="D7026" s="7">
        <v>0.85</v>
      </c>
      <c r="E7026" t="s">
        <v>27</v>
      </c>
    </row>
    <row r="7027" spans="1:5" x14ac:dyDescent="0.25">
      <c r="A7027" t="str">
        <f>HYPERLINK("https://www.773grp.com/globalSearch/MC74AC08DR2G/page-1", "MC74AC08DR2G")</f>
        <v>MC74AC08DR2G</v>
      </c>
      <c r="B7027" s="3" t="str">
        <f>HYPERLINK("https://www.773grp.com/manufacturer/onsemi?pageNo=286", "Onsemi")</f>
        <v>Onsemi</v>
      </c>
      <c r="C7027" s="6">
        <v>7500</v>
      </c>
      <c r="D7027" s="7">
        <v>0.85</v>
      </c>
      <c r="E7027" t="s">
        <v>27</v>
      </c>
    </row>
    <row r="7028" spans="1:5" x14ac:dyDescent="0.25">
      <c r="A7028" t="str">
        <f>HYPERLINK("https://www.773grp.com/globalSearch/MC74AC08DTR2G/page-1", "MC74AC08DTR2G")</f>
        <v>MC74AC08DTR2G</v>
      </c>
      <c r="B7028" s="3" t="str">
        <f>HYPERLINK("https://www.773grp.com/manufacturer/onsemi?pageNo=287", "Onsemi")</f>
        <v>Onsemi</v>
      </c>
      <c r="C7028" s="6">
        <v>38400</v>
      </c>
      <c r="D7028" s="7">
        <v>0.85</v>
      </c>
      <c r="E7028" t="s">
        <v>27</v>
      </c>
    </row>
    <row r="7029" spans="1:5" x14ac:dyDescent="0.25">
      <c r="A7029" t="str">
        <f>HYPERLINK("https://www.773grp.com/globalSearch/MC74AC10DG/page-1", "MC74AC10DG")</f>
        <v>MC74AC10DG</v>
      </c>
      <c r="B7029" s="3" t="str">
        <f>HYPERLINK("https://www.773grp.com/manufacturer/onsemi?pageNo=288", "Onsemi")</f>
        <v>Onsemi</v>
      </c>
      <c r="C7029" s="6">
        <v>28895</v>
      </c>
      <c r="D7029" s="7">
        <v>0.85</v>
      </c>
      <c r="E7029" t="s">
        <v>27</v>
      </c>
    </row>
    <row r="7030" spans="1:5" x14ac:dyDescent="0.25">
      <c r="A7030" t="str">
        <f>HYPERLINK("https://www.773grp.com/globalSearch/MC74AC11DG/page-1", "MC74AC11DG")</f>
        <v>MC74AC11DG</v>
      </c>
      <c r="B7030" s="3" t="str">
        <f>HYPERLINK("https://www.773grp.com/manufacturer/onsemi?pageNo=289", "Onsemi")</f>
        <v>Onsemi</v>
      </c>
      <c r="C7030" s="6">
        <v>19150</v>
      </c>
      <c r="D7030" s="7">
        <v>0.85</v>
      </c>
      <c r="E7030" t="s">
        <v>27</v>
      </c>
    </row>
    <row r="7031" spans="1:5" x14ac:dyDescent="0.25">
      <c r="A7031" t="str">
        <f>HYPERLINK("https://www.773grp.com/globalSearch/MC74AC11DR2G/page-1", "MC74AC11DR2G")</f>
        <v>MC74AC11DR2G</v>
      </c>
      <c r="B7031" s="3" t="str">
        <f>HYPERLINK("https://www.773grp.com/manufacturer/onsemi?pageNo=290", "Onsemi")</f>
        <v>Onsemi</v>
      </c>
      <c r="C7031" s="6">
        <v>4875</v>
      </c>
      <c r="D7031" s="7">
        <v>0.85</v>
      </c>
      <c r="E7031" t="s">
        <v>27</v>
      </c>
    </row>
    <row r="7032" spans="1:5" x14ac:dyDescent="0.25">
      <c r="A7032" t="str">
        <f>HYPERLINK("https://www.773grp.com/globalSearch/MC74AC151N/page-1", "MC74AC151N")</f>
        <v>MC74AC151N</v>
      </c>
      <c r="B7032" s="3" t="str">
        <f>HYPERLINK("https://www.773grp.com/manufacturer/onsemi?pageNo=291", "Onsemi")</f>
        <v>Onsemi</v>
      </c>
      <c r="C7032" s="6">
        <v>1550</v>
      </c>
      <c r="D7032" s="7">
        <v>0.85</v>
      </c>
      <c r="E7032" t="s">
        <v>16</v>
      </c>
    </row>
    <row r="7033" spans="1:5" x14ac:dyDescent="0.25">
      <c r="A7033" t="str">
        <f>HYPERLINK("https://www.773grp.com/globalSearch/MC74AC157DT/page-1", "MC74AC157DT")</f>
        <v>MC74AC157DT</v>
      </c>
      <c r="B7033" s="3" t="str">
        <f>HYPERLINK("https://www.773grp.com/manufacturer/onsemi?pageNo=292", "Onsemi")</f>
        <v>Onsemi</v>
      </c>
      <c r="C7033" s="6">
        <v>8928</v>
      </c>
      <c r="D7033" s="7">
        <v>0.85</v>
      </c>
      <c r="E7033" t="s">
        <v>16</v>
      </c>
    </row>
    <row r="7034" spans="1:5" x14ac:dyDescent="0.25">
      <c r="A7034" t="str">
        <f>HYPERLINK("https://www.773grp.com/globalSearch/MC74AC158D/page-1", "MC74AC158D")</f>
        <v>MC74AC158D</v>
      </c>
      <c r="B7034" s="3" t="str">
        <f>HYPERLINK("https://www.773grp.com/manufacturer/onsemi?pageNo=293", "Onsemi")</f>
        <v>Onsemi</v>
      </c>
      <c r="C7034" s="6">
        <v>4984</v>
      </c>
      <c r="D7034" s="7">
        <v>0.85</v>
      </c>
      <c r="E7034" t="s">
        <v>16</v>
      </c>
    </row>
    <row r="7035" spans="1:5" x14ac:dyDescent="0.25">
      <c r="A7035" t="str">
        <f>HYPERLINK("https://www.773grp.com/globalSearch/MC74AC20DG/page-1", "MC74AC20DG")</f>
        <v>MC74AC20DG</v>
      </c>
      <c r="B7035" s="3" t="str">
        <f>HYPERLINK("https://www.773grp.com/manufacturer/onsemi?pageNo=294", "Onsemi")</f>
        <v>Onsemi</v>
      </c>
      <c r="C7035" s="6">
        <v>7168</v>
      </c>
      <c r="D7035" s="7">
        <v>0.85</v>
      </c>
      <c r="E7035" t="s">
        <v>27</v>
      </c>
    </row>
    <row r="7036" spans="1:5" x14ac:dyDescent="0.25">
      <c r="A7036" t="str">
        <f>HYPERLINK("https://www.773grp.com/globalSearch/MC74AC20DR2G/page-1", "MC74AC20DR2G")</f>
        <v>MC74AC20DR2G</v>
      </c>
      <c r="B7036" s="3" t="str">
        <f>HYPERLINK("https://www.773grp.com/manufacturer/onsemi?pageNo=295", "Onsemi")</f>
        <v>Onsemi</v>
      </c>
      <c r="C7036" s="6">
        <v>8324</v>
      </c>
      <c r="D7036" s="7">
        <v>0.85</v>
      </c>
      <c r="E7036" t="s">
        <v>27</v>
      </c>
    </row>
    <row r="7037" spans="1:5" x14ac:dyDescent="0.25">
      <c r="A7037" t="str">
        <f>HYPERLINK("https://www.773grp.com/globalSearch/MC74AC240DT/page-1", "MC74AC240DT")</f>
        <v>MC74AC240DT</v>
      </c>
      <c r="B7037" s="3" t="str">
        <f>HYPERLINK("https://www.773grp.com/manufacturer/onsemi?pageNo=296", "Onsemi")</f>
        <v>Onsemi</v>
      </c>
      <c r="C7037" s="6">
        <v>10800</v>
      </c>
      <c r="D7037" s="7">
        <v>0.85</v>
      </c>
      <c r="E7037" t="s">
        <v>11</v>
      </c>
    </row>
    <row r="7038" spans="1:5" x14ac:dyDescent="0.25">
      <c r="A7038" t="str">
        <f>HYPERLINK("https://www.773grp.com/globalSearch/MC74AC244DT/page-1", "MC74AC244DT")</f>
        <v>MC74AC244DT</v>
      </c>
      <c r="B7038" s="3" t="str">
        <f>HYPERLINK("https://www.773grp.com/manufacturer/onsemi?pageNo=297", "Onsemi")</f>
        <v>Onsemi</v>
      </c>
      <c r="C7038" s="6">
        <v>12550</v>
      </c>
      <c r="D7038" s="7">
        <v>0.85</v>
      </c>
      <c r="E7038" t="s">
        <v>11</v>
      </c>
    </row>
    <row r="7039" spans="1:5" x14ac:dyDescent="0.25">
      <c r="A7039" t="str">
        <f>HYPERLINK("https://www.773grp.com/globalSearch/MC74AC244DT/page-1", "MC74AC244DT")</f>
        <v>MC74AC244DT</v>
      </c>
      <c r="B7039" s="3" t="str">
        <f>HYPERLINK("https://www.773grp.com/manufacturer/onsemi?pageNo=298", "Onsemi")</f>
        <v>Onsemi</v>
      </c>
      <c r="C7039" s="6">
        <v>3150</v>
      </c>
      <c r="D7039" s="7">
        <v>0.85</v>
      </c>
      <c r="E7039" t="s">
        <v>11</v>
      </c>
    </row>
    <row r="7040" spans="1:5" x14ac:dyDescent="0.25">
      <c r="A7040" t="str">
        <f>HYPERLINK("https://www.773grp.com/globalSearch/MC74AC244DTEL/page-1", "MC74AC244DTEL")</f>
        <v>MC74AC244DTEL</v>
      </c>
      <c r="B7040" s="3" t="str">
        <f>HYPERLINK("https://www.773grp.com/manufacturer/onsemi?pageNo=299", "Onsemi")</f>
        <v>Onsemi</v>
      </c>
      <c r="C7040" s="6">
        <v>4000</v>
      </c>
      <c r="D7040" s="7">
        <v>0.85</v>
      </c>
    </row>
    <row r="7041" spans="1:5" x14ac:dyDescent="0.25">
      <c r="A7041" t="str">
        <f>HYPERLINK("https://www.773grp.com/globalSearch/MC74AC273DT/page-1", "MC74AC273DT")</f>
        <v>MC74AC273DT</v>
      </c>
      <c r="B7041" s="3" t="str">
        <f>HYPERLINK("https://www.773grp.com/manufacturer/onsemi?pageNo=300", "Onsemi")</f>
        <v>Onsemi</v>
      </c>
      <c r="C7041" s="6">
        <v>6525</v>
      </c>
      <c r="D7041" s="7">
        <v>0.85</v>
      </c>
      <c r="E7041" t="s">
        <v>31</v>
      </c>
    </row>
    <row r="7042" spans="1:5" x14ac:dyDescent="0.25">
      <c r="A7042" t="str">
        <f>HYPERLINK("https://www.773grp.com/globalSearch/MC74AC32DG/page-1", "MC74AC32DG")</f>
        <v>MC74AC32DG</v>
      </c>
      <c r="B7042" s="3" t="str">
        <f>HYPERLINK("https://www.773grp.com/manufacturer/onsemi?pageNo=301", "Onsemi")</f>
        <v>Onsemi</v>
      </c>
      <c r="C7042" s="6">
        <v>36022</v>
      </c>
      <c r="D7042" s="7">
        <v>0.85</v>
      </c>
      <c r="E7042" t="s">
        <v>27</v>
      </c>
    </row>
    <row r="7043" spans="1:5" x14ac:dyDescent="0.25">
      <c r="A7043" t="str">
        <f>HYPERLINK("https://www.773grp.com/globalSearch/MC74AC32DR2G/page-1", "MC74AC32DR2G")</f>
        <v>MC74AC32DR2G</v>
      </c>
      <c r="B7043" s="3" t="str">
        <f>HYPERLINK("https://www.773grp.com/manufacturer/onsemi?pageNo=302", "Onsemi")</f>
        <v>Onsemi</v>
      </c>
      <c r="C7043" s="6">
        <v>4602</v>
      </c>
      <c r="D7043" s="7">
        <v>0.85</v>
      </c>
      <c r="E7043" t="s">
        <v>27</v>
      </c>
    </row>
    <row r="7044" spans="1:5" x14ac:dyDescent="0.25">
      <c r="A7044" t="str">
        <f>HYPERLINK("https://www.773grp.com/globalSearch/MC74AC32DTR2G/page-1", "MC74AC32DTR2G")</f>
        <v>MC74AC32DTR2G</v>
      </c>
      <c r="B7044" s="3" t="str">
        <f>HYPERLINK("https://www.773grp.com/manufacturer/onsemi?pageNo=303", "Onsemi")</f>
        <v>Onsemi</v>
      </c>
      <c r="C7044" s="6">
        <v>3930</v>
      </c>
      <c r="D7044" s="7">
        <v>0.85</v>
      </c>
      <c r="E7044" t="s">
        <v>27</v>
      </c>
    </row>
    <row r="7045" spans="1:5" x14ac:dyDescent="0.25">
      <c r="A7045" t="str">
        <f>HYPERLINK("https://www.773grp.com/globalSearch/MC74AC373DTEL/page-1", "MC74AC373DTEL")</f>
        <v>MC74AC373DTEL</v>
      </c>
      <c r="B7045" s="3" t="str">
        <f>HYPERLINK("https://www.773grp.com/manufacturer/onsemi?pageNo=304", "Onsemi")</f>
        <v>Onsemi</v>
      </c>
      <c r="C7045" s="6">
        <v>7750</v>
      </c>
      <c r="D7045" s="7">
        <v>0.85</v>
      </c>
    </row>
    <row r="7046" spans="1:5" x14ac:dyDescent="0.25">
      <c r="A7046" t="str">
        <f>HYPERLINK("https://www.773grp.com/globalSearch/MC74AC574DT/page-1", "MC74AC574DT")</f>
        <v>MC74AC574DT</v>
      </c>
      <c r="B7046" s="3" t="str">
        <f>HYPERLINK("https://www.773grp.com/manufacturer/onsemi?pageNo=305", "Onsemi")</f>
        <v>Onsemi</v>
      </c>
      <c r="C7046" s="6">
        <v>5925</v>
      </c>
      <c r="D7046" s="7">
        <v>0.85</v>
      </c>
      <c r="E7046" t="s">
        <v>11</v>
      </c>
    </row>
    <row r="7047" spans="1:5" x14ac:dyDescent="0.25">
      <c r="A7047" t="str">
        <f>HYPERLINK("https://www.773grp.com/globalSearch/MC74ACT00DG/page-1", "MC74ACT00DG")</f>
        <v>MC74ACT00DG</v>
      </c>
      <c r="B7047" s="3" t="str">
        <f>HYPERLINK("https://www.773grp.com/manufacturer/onsemi?pageNo=306", "Onsemi")</f>
        <v>Onsemi</v>
      </c>
      <c r="C7047" s="6">
        <v>18355</v>
      </c>
      <c r="D7047" s="7">
        <v>0.85</v>
      </c>
      <c r="E7047" t="s">
        <v>27</v>
      </c>
    </row>
    <row r="7048" spans="1:5" x14ac:dyDescent="0.25">
      <c r="A7048" t="str">
        <f>HYPERLINK("https://www.773grp.com/globalSearch/MC74ACT00DR2G/page-1", "MC74ACT00DR2G")</f>
        <v>MC74ACT00DR2G</v>
      </c>
      <c r="B7048" s="3" t="str">
        <f>HYPERLINK("https://www.773grp.com/manufacturer/onsemi?pageNo=307", "Onsemi")</f>
        <v>Onsemi</v>
      </c>
      <c r="C7048" s="6">
        <v>12500</v>
      </c>
      <c r="D7048" s="7">
        <v>0.85</v>
      </c>
      <c r="E7048" t="s">
        <v>27</v>
      </c>
    </row>
    <row r="7049" spans="1:5" x14ac:dyDescent="0.25">
      <c r="A7049" t="str">
        <f>HYPERLINK("https://www.773grp.com/globalSearch/MC74ACT00DTR2G/page-1", "MC74ACT00DTR2G")</f>
        <v>MC74ACT00DTR2G</v>
      </c>
      <c r="B7049" s="3" t="str">
        <f>HYPERLINK("https://www.773grp.com/manufacturer/onsemi?pageNo=308", "Onsemi")</f>
        <v>Onsemi</v>
      </c>
      <c r="C7049" s="6">
        <v>806</v>
      </c>
      <c r="D7049" s="7">
        <v>0.85</v>
      </c>
      <c r="E7049" t="s">
        <v>27</v>
      </c>
    </row>
    <row r="7050" spans="1:5" x14ac:dyDescent="0.25">
      <c r="A7050" t="str">
        <f>HYPERLINK("https://www.773grp.com/globalSearch/MC74ACT02DG/page-1", "MC74ACT02DG")</f>
        <v>MC74ACT02DG</v>
      </c>
      <c r="B7050" s="3" t="str">
        <f>HYPERLINK("https://www.773grp.com/manufacturer/onsemi?pageNo=309", "Onsemi")</f>
        <v>Onsemi</v>
      </c>
      <c r="C7050" s="6">
        <v>5907</v>
      </c>
      <c r="D7050" s="7">
        <v>0.85</v>
      </c>
    </row>
    <row r="7051" spans="1:5" x14ac:dyDescent="0.25">
      <c r="A7051" t="str">
        <f>HYPERLINK("https://www.773grp.com/globalSearch/MC74ACT02DR2G/page-1", "MC74ACT02DR2G")</f>
        <v>MC74ACT02DR2G</v>
      </c>
      <c r="B7051" s="3" t="str">
        <f>HYPERLINK("https://www.773grp.com/manufacturer/onsemi?pageNo=310", "Onsemi")</f>
        <v>Onsemi</v>
      </c>
      <c r="C7051" s="6">
        <v>2065</v>
      </c>
      <c r="D7051" s="7">
        <v>0.85</v>
      </c>
    </row>
    <row r="7052" spans="1:5" x14ac:dyDescent="0.25">
      <c r="A7052" t="str">
        <f>HYPERLINK("https://www.773grp.com/globalSearch/MC74ACT02DTR2G/page-1", "MC74ACT02DTR2G")</f>
        <v>MC74ACT02DTR2G</v>
      </c>
      <c r="B7052" s="3" t="str">
        <f>HYPERLINK("https://www.773grp.com/manufacturer/onsemi?pageNo=311", "Onsemi")</f>
        <v>Onsemi</v>
      </c>
      <c r="C7052" s="6">
        <v>2500</v>
      </c>
      <c r="D7052" s="7">
        <v>0.85</v>
      </c>
    </row>
    <row r="7053" spans="1:5" x14ac:dyDescent="0.25">
      <c r="A7053" t="str">
        <f>HYPERLINK("https://www.773grp.com/globalSearch/MC74ACT04DG/page-1", "MC74ACT04DG")</f>
        <v>MC74ACT04DG</v>
      </c>
      <c r="B7053" s="3" t="str">
        <f>HYPERLINK("https://www.773grp.com/manufacturer/onsemi?pageNo=312", "Onsemi")</f>
        <v>Onsemi</v>
      </c>
      <c r="C7053" s="6">
        <v>16345</v>
      </c>
      <c r="D7053" s="7">
        <v>0.85</v>
      </c>
      <c r="E7053" t="s">
        <v>27</v>
      </c>
    </row>
    <row r="7054" spans="1:5" x14ac:dyDescent="0.25">
      <c r="A7054" t="str">
        <f>HYPERLINK("https://www.773grp.com/globalSearch/MC74ACT04DR2G/page-1", "MC74ACT04DR2G")</f>
        <v>MC74ACT04DR2G</v>
      </c>
      <c r="B7054" s="3" t="str">
        <f>HYPERLINK("https://www.773grp.com/manufacturer/onsemi?pageNo=313", "Onsemi")</f>
        <v>Onsemi</v>
      </c>
      <c r="C7054" s="6">
        <v>197380</v>
      </c>
      <c r="D7054" s="7">
        <v>0.85</v>
      </c>
      <c r="E7054" t="s">
        <v>27</v>
      </c>
    </row>
    <row r="7055" spans="1:5" x14ac:dyDescent="0.25">
      <c r="A7055" t="str">
        <f>HYPERLINK("https://www.773grp.com/globalSearch/MC74ACT04DTR2G/page-1", "MC74ACT04DTR2G")</f>
        <v>MC74ACT04DTR2G</v>
      </c>
      <c r="B7055" s="3" t="str">
        <f>HYPERLINK("https://www.773grp.com/manufacturer/onsemi?pageNo=314", "Onsemi")</f>
        <v>Onsemi</v>
      </c>
      <c r="C7055" s="6">
        <v>7500</v>
      </c>
      <c r="D7055" s="7">
        <v>0.85</v>
      </c>
      <c r="E7055" t="s">
        <v>27</v>
      </c>
    </row>
    <row r="7056" spans="1:5" x14ac:dyDescent="0.25">
      <c r="A7056" t="str">
        <f>HYPERLINK("https://www.773grp.com/globalSearch/MC74ACT05DG/page-1", "MC74ACT05DG")</f>
        <v>MC74ACT05DG</v>
      </c>
      <c r="B7056" s="3" t="str">
        <f>HYPERLINK("https://www.773grp.com/manufacturer/onsemi?pageNo=315", "Onsemi")</f>
        <v>Onsemi</v>
      </c>
      <c r="C7056" s="6">
        <v>10565</v>
      </c>
      <c r="D7056" s="7">
        <v>0.85</v>
      </c>
      <c r="E7056" t="s">
        <v>27</v>
      </c>
    </row>
    <row r="7057" spans="1:5" x14ac:dyDescent="0.25">
      <c r="A7057" t="str">
        <f>HYPERLINK("https://www.773grp.com/globalSearch/MC74ACT05DR2G/page-1", "MC74ACT05DR2G")</f>
        <v>MC74ACT05DR2G</v>
      </c>
      <c r="B7057" s="3" t="str">
        <f>HYPERLINK("https://www.773grp.com/manufacturer/onsemi?pageNo=316", "Onsemi")</f>
        <v>Onsemi</v>
      </c>
      <c r="C7057" s="6">
        <v>39175</v>
      </c>
      <c r="D7057" s="7">
        <v>0.85</v>
      </c>
      <c r="E7057" t="s">
        <v>27</v>
      </c>
    </row>
    <row r="7058" spans="1:5" x14ac:dyDescent="0.25">
      <c r="A7058" t="str">
        <f>HYPERLINK("https://www.773grp.com/globalSearch/MC74ACT05DTR2G/page-1", "MC74ACT05DTR2G")</f>
        <v>MC74ACT05DTR2G</v>
      </c>
      <c r="B7058" s="3" t="str">
        <f>HYPERLINK("https://www.773grp.com/manufacturer/onsemi?pageNo=317", "Onsemi")</f>
        <v>Onsemi</v>
      </c>
      <c r="C7058" s="6">
        <v>2057</v>
      </c>
      <c r="D7058" s="7">
        <v>0.85</v>
      </c>
      <c r="E7058" t="s">
        <v>27</v>
      </c>
    </row>
    <row r="7059" spans="1:5" x14ac:dyDescent="0.25">
      <c r="A7059" t="str">
        <f>HYPERLINK("https://www.773grp.com/globalSearch/MC74ACT08DG/page-1", "MC74ACT08DG")</f>
        <v>MC74ACT08DG</v>
      </c>
      <c r="B7059" s="3" t="str">
        <f>HYPERLINK("https://www.773grp.com/manufacturer/onsemi?pageNo=318", "Onsemi")</f>
        <v>Onsemi</v>
      </c>
      <c r="C7059" s="6">
        <v>15510</v>
      </c>
      <c r="D7059" s="7">
        <v>0.85</v>
      </c>
      <c r="E7059" t="s">
        <v>27</v>
      </c>
    </row>
    <row r="7060" spans="1:5" x14ac:dyDescent="0.25">
      <c r="A7060" t="str">
        <f>HYPERLINK("https://www.773grp.com/globalSearch/MC74ACT08DR2G/page-1", "MC74ACT08DR2G")</f>
        <v>MC74ACT08DR2G</v>
      </c>
      <c r="B7060" s="3" t="str">
        <f>HYPERLINK("https://www.773grp.com/manufacturer/onsemi?pageNo=319", "Onsemi")</f>
        <v>Onsemi</v>
      </c>
      <c r="C7060" s="6">
        <v>2500</v>
      </c>
      <c r="D7060" s="7">
        <v>0.85</v>
      </c>
      <c r="E7060" t="s">
        <v>27</v>
      </c>
    </row>
    <row r="7061" spans="1:5" x14ac:dyDescent="0.25">
      <c r="A7061" t="str">
        <f>HYPERLINK("https://www.773grp.com/globalSearch/MC74ACT08DTR2G/page-1", "MC74ACT08DTR2G")</f>
        <v>MC74ACT08DTR2G</v>
      </c>
      <c r="B7061" s="3" t="str">
        <f>HYPERLINK("https://www.773grp.com/manufacturer/onsemi?pageNo=320", "Onsemi")</f>
        <v>Onsemi</v>
      </c>
      <c r="C7061" s="6">
        <v>50157</v>
      </c>
      <c r="D7061" s="7">
        <v>0.85</v>
      </c>
      <c r="E7061" t="s">
        <v>27</v>
      </c>
    </row>
    <row r="7062" spans="1:5" x14ac:dyDescent="0.25">
      <c r="A7062" t="str">
        <f>HYPERLINK("https://www.773grp.com/globalSearch/MC74ACT10DR2G/page-1", "MC74ACT10DR2G")</f>
        <v>MC74ACT10DR2G</v>
      </c>
      <c r="B7062" s="3" t="str">
        <f>HYPERLINK("https://www.773grp.com/manufacturer/onsemi?pageNo=321", "Onsemi")</f>
        <v>Onsemi</v>
      </c>
      <c r="C7062" s="6">
        <v>14030</v>
      </c>
      <c r="D7062" s="7">
        <v>0.85</v>
      </c>
      <c r="E7062" t="s">
        <v>27</v>
      </c>
    </row>
    <row r="7063" spans="1:5" x14ac:dyDescent="0.25">
      <c r="A7063" t="str">
        <f>HYPERLINK("https://www.773grp.com/globalSearch/MC74ACT10DTR2G/page-1", "MC74ACT10DTR2G")</f>
        <v>MC74ACT10DTR2G</v>
      </c>
      <c r="B7063" s="3" t="str">
        <f>HYPERLINK("https://www.773grp.com/manufacturer/onsemi?pageNo=322", "Onsemi")</f>
        <v>Onsemi</v>
      </c>
      <c r="C7063" s="6">
        <v>7375</v>
      </c>
      <c r="D7063" s="7">
        <v>0.85</v>
      </c>
      <c r="E7063" t="s">
        <v>27</v>
      </c>
    </row>
    <row r="7064" spans="1:5" x14ac:dyDescent="0.25">
      <c r="A7064" t="str">
        <f>HYPERLINK("https://www.773grp.com/globalSearch/MC74ACT11DR2G/page-1", "MC74ACT11DR2G")</f>
        <v>MC74ACT11DR2G</v>
      </c>
      <c r="B7064" s="3" t="str">
        <f>HYPERLINK("https://www.773grp.com/manufacturer/onsemi?pageNo=323", "Onsemi")</f>
        <v>Onsemi</v>
      </c>
      <c r="C7064" s="6">
        <v>13157</v>
      </c>
      <c r="D7064" s="7">
        <v>0.85</v>
      </c>
      <c r="E7064" t="s">
        <v>27</v>
      </c>
    </row>
    <row r="7065" spans="1:5" x14ac:dyDescent="0.25">
      <c r="A7065" t="str">
        <f>HYPERLINK("https://www.773grp.com/globalSearch/MC74ACT157DT/page-1", "MC74ACT157DT")</f>
        <v>MC74ACT157DT</v>
      </c>
      <c r="B7065" s="3" t="str">
        <f>HYPERLINK("https://www.773grp.com/manufacturer/onsemi?pageNo=324", "Onsemi")</f>
        <v>Onsemi</v>
      </c>
      <c r="C7065" s="6">
        <v>2344</v>
      </c>
      <c r="D7065" s="7">
        <v>0.85</v>
      </c>
      <c r="E7065" t="s">
        <v>16</v>
      </c>
    </row>
    <row r="7066" spans="1:5" x14ac:dyDescent="0.25">
      <c r="A7066" t="str">
        <f>HYPERLINK("https://www.773grp.com/globalSearch/MC74ACT157DT/page-1", "MC74ACT157DT")</f>
        <v>MC74ACT157DT</v>
      </c>
      <c r="B7066" s="3" t="str">
        <f>HYPERLINK("https://www.773grp.com/manufacturer/onsemi?pageNo=325", "Onsemi")</f>
        <v>Onsemi</v>
      </c>
      <c r="C7066" s="6">
        <v>360</v>
      </c>
      <c r="D7066" s="7">
        <v>0.85</v>
      </c>
      <c r="E7066" t="s">
        <v>16</v>
      </c>
    </row>
    <row r="7067" spans="1:5" x14ac:dyDescent="0.25">
      <c r="A7067" t="str">
        <f>HYPERLINK("https://www.773grp.com/globalSearch/MC74ACT20DG/page-1", "MC74ACT20DG")</f>
        <v>MC74ACT20DG</v>
      </c>
      <c r="B7067" s="3" t="str">
        <f>HYPERLINK("https://www.773grp.com/manufacturer/onsemi?pageNo=326", "Onsemi")</f>
        <v>Onsemi</v>
      </c>
      <c r="C7067" s="6">
        <v>11600</v>
      </c>
      <c r="D7067" s="7">
        <v>0.85</v>
      </c>
      <c r="E7067" t="s">
        <v>27</v>
      </c>
    </row>
    <row r="7068" spans="1:5" x14ac:dyDescent="0.25">
      <c r="A7068" t="str">
        <f>HYPERLINK("https://www.773grp.com/globalSearch/MC74ACT20DR2G/page-1", "MC74ACT20DR2G")</f>
        <v>MC74ACT20DR2G</v>
      </c>
      <c r="B7068" s="3" t="str">
        <f>HYPERLINK("https://www.773grp.com/manufacturer/onsemi?pageNo=327", "Onsemi")</f>
        <v>Onsemi</v>
      </c>
      <c r="C7068" s="6">
        <v>2385</v>
      </c>
      <c r="D7068" s="7">
        <v>0.85</v>
      </c>
      <c r="E7068" t="s">
        <v>27</v>
      </c>
    </row>
    <row r="7069" spans="1:5" x14ac:dyDescent="0.25">
      <c r="A7069" t="str">
        <f>HYPERLINK("https://www.773grp.com/globalSearch/MC74ACT241DT/page-1", "MC74ACT241DT")</f>
        <v>MC74ACT241DT</v>
      </c>
      <c r="B7069" s="3" t="str">
        <f>HYPERLINK("https://www.773grp.com/manufacturer/onsemi?pageNo=328", "Onsemi")</f>
        <v>Onsemi</v>
      </c>
      <c r="C7069" s="6">
        <v>24600</v>
      </c>
      <c r="D7069" s="7">
        <v>0.85</v>
      </c>
      <c r="E7069" t="s">
        <v>11</v>
      </c>
    </row>
    <row r="7070" spans="1:5" x14ac:dyDescent="0.25">
      <c r="A7070" t="str">
        <f>HYPERLINK("https://www.773grp.com/globalSearch/MC74ACT241DT/page-1", "MC74ACT241DT")</f>
        <v>MC74ACT241DT</v>
      </c>
      <c r="B7070" s="3" t="str">
        <f>HYPERLINK("https://www.773grp.com/manufacturer/onsemi?pageNo=329", "Onsemi")</f>
        <v>Onsemi</v>
      </c>
      <c r="C7070" s="6">
        <v>2775</v>
      </c>
      <c r="D7070" s="7">
        <v>0.85</v>
      </c>
      <c r="E7070" t="s">
        <v>11</v>
      </c>
    </row>
    <row r="7071" spans="1:5" x14ac:dyDescent="0.25">
      <c r="A7071" t="str">
        <f>HYPERLINK("https://www.773grp.com/globalSearch/MC74ACT32DG/page-1", "MC74ACT32DG")</f>
        <v>MC74ACT32DG</v>
      </c>
      <c r="B7071" s="3" t="str">
        <f>HYPERLINK("https://www.773grp.com/manufacturer/onsemi?pageNo=330", "Onsemi")</f>
        <v>Onsemi</v>
      </c>
      <c r="C7071" s="6">
        <v>12850</v>
      </c>
      <c r="D7071" s="7">
        <v>0.85</v>
      </c>
      <c r="E7071" t="s">
        <v>27</v>
      </c>
    </row>
    <row r="7072" spans="1:5" x14ac:dyDescent="0.25">
      <c r="A7072" t="str">
        <f>HYPERLINK("https://www.773grp.com/globalSearch/MC74ACT32DR2G/page-1", "MC74ACT32DR2G")</f>
        <v>MC74ACT32DR2G</v>
      </c>
      <c r="B7072" s="3" t="str">
        <f>HYPERLINK("https://www.773grp.com/manufacturer/onsemi?pageNo=331", "Onsemi")</f>
        <v>Onsemi</v>
      </c>
      <c r="C7072" s="6">
        <v>100000</v>
      </c>
      <c r="D7072" s="7">
        <v>0.85</v>
      </c>
      <c r="E7072" t="s">
        <v>27</v>
      </c>
    </row>
    <row r="7073" spans="1:5" x14ac:dyDescent="0.25">
      <c r="A7073" t="str">
        <f>HYPERLINK("https://www.773grp.com/globalSearch/MC74ACT32DTR2G/page-1", "MC74ACT32DTR2G")</f>
        <v>MC74ACT32DTR2G</v>
      </c>
      <c r="B7073" s="3" t="str">
        <f>HYPERLINK("https://www.773grp.com/manufacturer/onsemi?pageNo=332", "Onsemi")</f>
        <v>Onsemi</v>
      </c>
      <c r="C7073" s="6">
        <v>7445</v>
      </c>
      <c r="D7073" s="7">
        <v>0.85</v>
      </c>
      <c r="E7073" t="s">
        <v>27</v>
      </c>
    </row>
    <row r="7074" spans="1:5" x14ac:dyDescent="0.25">
      <c r="A7074" t="str">
        <f>HYPERLINK("https://www.773grp.com/globalSearch/MC74ACT373DT/page-1", "MC74ACT373DT")</f>
        <v>MC74ACT373DT</v>
      </c>
      <c r="B7074" s="3" t="str">
        <f>HYPERLINK("https://www.773grp.com/manufacturer/onsemi?pageNo=333", "Onsemi")</f>
        <v>Onsemi</v>
      </c>
      <c r="C7074" s="6">
        <v>3450</v>
      </c>
      <c r="D7074" s="7">
        <v>0.85</v>
      </c>
      <c r="E7074" t="s">
        <v>11</v>
      </c>
    </row>
    <row r="7075" spans="1:5" x14ac:dyDescent="0.25">
      <c r="A7075" t="str">
        <f>HYPERLINK("https://www.773grp.com/globalSearch/MC74ACT373DT/page-1", "MC74ACT373DT")</f>
        <v>MC74ACT373DT</v>
      </c>
      <c r="B7075" s="3" t="str">
        <f>HYPERLINK("https://www.773grp.com/manufacturer/onsemi?pageNo=334", "Onsemi")</f>
        <v>Onsemi</v>
      </c>
      <c r="C7075" s="6">
        <v>1200</v>
      </c>
      <c r="D7075" s="7">
        <v>0.85</v>
      </c>
      <c r="E7075" t="s">
        <v>11</v>
      </c>
    </row>
    <row r="7076" spans="1:5" x14ac:dyDescent="0.25">
      <c r="A7076" t="str">
        <f>HYPERLINK("https://www.773grp.com/globalSearch/MC74F14M/page-1", "MC74F14M")</f>
        <v>MC74F14M</v>
      </c>
      <c r="B7076" s="3" t="str">
        <f>HYPERLINK("https://www.773grp.com/manufacturer/onsemi?pageNo=335", "Onsemi")</f>
        <v>Onsemi</v>
      </c>
      <c r="C7076" s="6">
        <v>3570</v>
      </c>
      <c r="D7076" s="7">
        <v>0.85</v>
      </c>
    </row>
    <row r="7077" spans="1:5" x14ac:dyDescent="0.25">
      <c r="A7077" t="str">
        <f>HYPERLINK("https://www.773grp.com/globalSearch/MC74F14N/page-1", "MC74F14N")</f>
        <v>MC74F14N</v>
      </c>
      <c r="B7077" s="3" t="str">
        <f>HYPERLINK("https://www.773grp.com/manufacturer/onsemi?pageNo=336", "Onsemi")</f>
        <v>Onsemi</v>
      </c>
      <c r="C7077" s="6">
        <v>1486</v>
      </c>
      <c r="D7077" s="7">
        <v>0.85</v>
      </c>
      <c r="E7077" t="s">
        <v>27</v>
      </c>
    </row>
    <row r="7078" spans="1:5" x14ac:dyDescent="0.25">
      <c r="A7078" t="str">
        <f>HYPERLINK("https://www.773grp.com/globalSearch/MC74F174D/page-1", "MC74F174D")</f>
        <v>MC74F174D</v>
      </c>
      <c r="B7078" s="3" t="str">
        <f>HYPERLINK("https://www.773grp.com/manufacturer/onsemi?pageNo=337", "Onsemi")</f>
        <v>Onsemi</v>
      </c>
      <c r="C7078" s="6">
        <v>13512</v>
      </c>
      <c r="D7078" s="7">
        <v>0.85</v>
      </c>
      <c r="E7078" t="s">
        <v>31</v>
      </c>
    </row>
    <row r="7079" spans="1:5" x14ac:dyDescent="0.25">
      <c r="A7079" t="str">
        <f>HYPERLINK("https://www.773grp.com/globalSearch/MC74F174DR2/page-1", "MC74F174DR2")</f>
        <v>MC74F174DR2</v>
      </c>
      <c r="B7079" s="3" t="str">
        <f>HYPERLINK("https://www.773grp.com/manufacturer/onsemi?pageNo=338", "Onsemi")</f>
        <v>Onsemi</v>
      </c>
      <c r="C7079" s="6">
        <v>12500</v>
      </c>
      <c r="D7079" s="7">
        <v>0.85</v>
      </c>
      <c r="E7079" t="s">
        <v>31</v>
      </c>
    </row>
    <row r="7080" spans="1:5" x14ac:dyDescent="0.25">
      <c r="A7080" t="str">
        <f>HYPERLINK("https://www.773grp.com/globalSearch/MC74F244M/page-1", "MC74F244M")</f>
        <v>MC74F244M</v>
      </c>
      <c r="B7080" s="3" t="str">
        <f>HYPERLINK("https://www.773grp.com/manufacturer/onsemi?pageNo=339", "Onsemi")</f>
        <v>Onsemi</v>
      </c>
      <c r="C7080" s="6">
        <v>3867</v>
      </c>
      <c r="D7080" s="7">
        <v>0.85</v>
      </c>
    </row>
    <row r="7081" spans="1:5" x14ac:dyDescent="0.25">
      <c r="A7081" t="str">
        <f>HYPERLINK("https://www.773grp.com/globalSearch/MC74F244MR1/page-1", "MC74F244MR1")</f>
        <v>MC74F244MR1</v>
      </c>
      <c r="B7081" s="3" t="str">
        <f>HYPERLINK("https://www.773grp.com/manufacturer/onsemi?pageNo=340", "Onsemi")</f>
        <v>Onsemi</v>
      </c>
      <c r="C7081" s="6">
        <v>2000</v>
      </c>
      <c r="D7081" s="7">
        <v>0.85</v>
      </c>
    </row>
    <row r="7082" spans="1:5" x14ac:dyDescent="0.25">
      <c r="A7082" t="str">
        <f>HYPERLINK("https://www.773grp.com/globalSearch/MC74F244N/page-1", "MC74F244N")</f>
        <v>MC74F244N</v>
      </c>
      <c r="B7082" s="3" t="str">
        <f>HYPERLINK("https://www.773grp.com/manufacturer/onsemi?pageNo=341", "Onsemi")</f>
        <v>Onsemi</v>
      </c>
      <c r="C7082" s="6">
        <v>9866</v>
      </c>
      <c r="D7082" s="7">
        <v>0.85</v>
      </c>
      <c r="E7082" t="s">
        <v>11</v>
      </c>
    </row>
    <row r="7083" spans="1:5" x14ac:dyDescent="0.25">
      <c r="A7083" t="str">
        <f>HYPERLINK("https://www.773grp.com/globalSearch/MC74F245DWR2/page-1", "MC74F245DWR2")</f>
        <v>MC74F245DWR2</v>
      </c>
      <c r="B7083" s="3" t="str">
        <f>HYPERLINK("https://www.773grp.com/manufacturer/onsemi?pageNo=342", "Onsemi")</f>
        <v>Onsemi</v>
      </c>
      <c r="C7083" s="6">
        <v>86000</v>
      </c>
      <c r="D7083" s="7">
        <v>0.85</v>
      </c>
      <c r="E7083" t="s">
        <v>11</v>
      </c>
    </row>
    <row r="7084" spans="1:5" x14ac:dyDescent="0.25">
      <c r="A7084" t="str">
        <f>HYPERLINK("https://www.773grp.com/globalSearch/MC74HC107N/page-1", "MC74HC107N")</f>
        <v>MC74HC107N</v>
      </c>
      <c r="B7084" s="3" t="str">
        <f>HYPERLINK("https://www.773grp.com/manufacturer/onsemi?pageNo=343", "Onsemi")</f>
        <v>Onsemi</v>
      </c>
      <c r="C7084" s="6">
        <v>3760</v>
      </c>
      <c r="D7084" s="7">
        <v>0.85</v>
      </c>
      <c r="E7084" t="s">
        <v>31</v>
      </c>
    </row>
    <row r="7085" spans="1:5" x14ac:dyDescent="0.25">
      <c r="A7085" t="str">
        <f>HYPERLINK("https://www.773grp.com/globalSearch/MC74HC163ADG/page-1", "MC74HC163ADG")</f>
        <v>MC74HC163ADG</v>
      </c>
      <c r="B7085" s="3" t="str">
        <f>HYPERLINK("https://www.773grp.com/manufacturer/onsemi?pageNo=344", "Onsemi")</f>
        <v>Onsemi</v>
      </c>
      <c r="C7085" s="6">
        <v>2160</v>
      </c>
      <c r="D7085" s="7">
        <v>0.85</v>
      </c>
      <c r="E7085" t="s">
        <v>22</v>
      </c>
    </row>
    <row r="7086" spans="1:5" x14ac:dyDescent="0.25">
      <c r="A7086" t="str">
        <f>HYPERLINK("https://www.773grp.com/globalSearch/MC74HC163ADR/page-1", "MC74HC163ADR")</f>
        <v>MC74HC163ADR</v>
      </c>
      <c r="B7086" s="3" t="str">
        <f>HYPERLINK("https://www.773grp.com/manufacturer/onsemi?pageNo=345", "Onsemi")</f>
        <v>Onsemi</v>
      </c>
      <c r="C7086" s="6">
        <v>2500</v>
      </c>
      <c r="D7086" s="7">
        <v>0.85</v>
      </c>
    </row>
    <row r="7087" spans="1:5" x14ac:dyDescent="0.25">
      <c r="A7087" t="str">
        <f>HYPERLINK("https://www.773grp.com/globalSearch/MC74HC163ADR2G/page-1", "MC74HC163ADR2G")</f>
        <v>MC74HC163ADR2G</v>
      </c>
      <c r="B7087" s="3" t="str">
        <f>HYPERLINK("https://www.773grp.com/manufacturer/onsemi?pageNo=346", "Onsemi")</f>
        <v>Onsemi</v>
      </c>
      <c r="C7087" s="6">
        <v>5000</v>
      </c>
      <c r="D7087" s="7">
        <v>0.85</v>
      </c>
      <c r="E7087" t="s">
        <v>22</v>
      </c>
    </row>
    <row r="7088" spans="1:5" x14ac:dyDescent="0.25">
      <c r="A7088" t="str">
        <f>HYPERLINK("https://www.773grp.com/globalSearch/MC74HC163ADTG/page-1", "MC74HC163ADTG")</f>
        <v>MC74HC163ADTG</v>
      </c>
      <c r="B7088" s="3" t="str">
        <f>HYPERLINK("https://www.773grp.com/manufacturer/onsemi?pageNo=347", "Onsemi")</f>
        <v>Onsemi</v>
      </c>
      <c r="C7088" s="6">
        <v>35232</v>
      </c>
      <c r="D7088" s="7">
        <v>0.85</v>
      </c>
    </row>
    <row r="7089" spans="1:5" x14ac:dyDescent="0.25">
      <c r="A7089" t="str">
        <f>HYPERLINK("https://www.773grp.com/globalSearch/MC74HC163ADTR2G/page-1", "MC74HC163ADTR2G")</f>
        <v>MC74HC163ADTR2G</v>
      </c>
      <c r="B7089" s="3" t="str">
        <f>HYPERLINK("https://www.773grp.com/manufacturer/onsemi?pageNo=348", "Onsemi")</f>
        <v>Onsemi</v>
      </c>
      <c r="C7089" s="6">
        <v>36994</v>
      </c>
      <c r="D7089" s="7">
        <v>0.85</v>
      </c>
    </row>
    <row r="7090" spans="1:5" x14ac:dyDescent="0.25">
      <c r="A7090" t="str">
        <f>HYPERLINK("https://www.773grp.com/globalSearch/MC74HC367ADT/page-1", "MC74HC367ADT")</f>
        <v>MC74HC367ADT</v>
      </c>
      <c r="B7090" s="3" t="str">
        <f>HYPERLINK("https://www.773grp.com/manufacturer/onsemi?pageNo=349", "Onsemi")</f>
        <v>Onsemi</v>
      </c>
      <c r="C7090" s="6">
        <v>3239</v>
      </c>
      <c r="D7090" s="7">
        <v>0.85</v>
      </c>
      <c r="E7090" t="s">
        <v>11</v>
      </c>
    </row>
    <row r="7091" spans="1:5" x14ac:dyDescent="0.25">
      <c r="A7091" t="str">
        <f>HYPERLINK("https://www.773grp.com/globalSearch/MC74HC367AF/page-1", "MC74HC367AF")</f>
        <v>MC74HC367AF</v>
      </c>
      <c r="B7091" s="3" t="str">
        <f>HYPERLINK("https://www.773grp.com/manufacturer/onsemi?pageNo=350", "Onsemi")</f>
        <v>Onsemi</v>
      </c>
      <c r="C7091" s="6">
        <v>281</v>
      </c>
      <c r="D7091" s="7">
        <v>0.85</v>
      </c>
    </row>
    <row r="7092" spans="1:5" x14ac:dyDescent="0.25">
      <c r="A7092" t="str">
        <f>HYPERLINK("https://www.773grp.com/globalSearch/MC74HC367AFL1/page-1", "MC74HC367AFL1")</f>
        <v>MC74HC367AFL1</v>
      </c>
      <c r="B7092" s="3" t="str">
        <f>HYPERLINK("https://www.773grp.com/manufacturer/onsemi?pageNo=351", "Onsemi")</f>
        <v>Onsemi</v>
      </c>
      <c r="C7092" s="6">
        <v>8000</v>
      </c>
      <c r="D7092" s="7">
        <v>0.85</v>
      </c>
    </row>
    <row r="7093" spans="1:5" x14ac:dyDescent="0.25">
      <c r="A7093" t="str">
        <f>HYPERLINK("https://www.773grp.com/globalSearch/MC74HC367AFR1/page-1", "MC74HC367AFR1")</f>
        <v>MC74HC367AFR1</v>
      </c>
      <c r="B7093" s="3" t="str">
        <f>HYPERLINK("https://www.773grp.com/manufacturer/onsemi?pageNo=352", "Onsemi")</f>
        <v>Onsemi</v>
      </c>
      <c r="C7093" s="6">
        <v>2000</v>
      </c>
      <c r="D7093" s="7">
        <v>0.85</v>
      </c>
    </row>
    <row r="7094" spans="1:5" x14ac:dyDescent="0.25">
      <c r="A7094" t="str">
        <f>HYPERLINK("https://www.773grp.com/globalSearch/MC74HC390AFL1/page-1", "MC74HC390AFL1")</f>
        <v>MC74HC390AFL1</v>
      </c>
      <c r="B7094" s="3" t="str">
        <f>HYPERLINK("https://www.773grp.com/manufacturer/onsemi?pageNo=353", "Onsemi")</f>
        <v>Onsemi</v>
      </c>
      <c r="C7094" s="6">
        <v>4000</v>
      </c>
      <c r="D7094" s="7">
        <v>0.85</v>
      </c>
    </row>
    <row r="7095" spans="1:5" x14ac:dyDescent="0.25">
      <c r="A7095" t="str">
        <f>HYPERLINK("https://www.773grp.com/globalSearch/MC74HC390D/page-1", "MC74HC390D")</f>
        <v>MC74HC390D</v>
      </c>
      <c r="B7095" s="3" t="str">
        <f>HYPERLINK("https://www.773grp.com/manufacturer/onsemi?pageNo=354", "Onsemi")</f>
        <v>Onsemi</v>
      </c>
      <c r="C7095" s="6">
        <v>6</v>
      </c>
      <c r="D7095" s="7">
        <v>0.85</v>
      </c>
      <c r="E7095" t="s">
        <v>22</v>
      </c>
    </row>
    <row r="7096" spans="1:5" x14ac:dyDescent="0.25">
      <c r="A7096" t="str">
        <f>HYPERLINK("https://www.773grp.com/globalSearch/MC74HC390DR2/page-1", "MC74HC390DR2")</f>
        <v>MC74HC390DR2</v>
      </c>
      <c r="B7096" s="3" t="str">
        <f>HYPERLINK("https://www.773grp.com/manufacturer/onsemi?pageNo=355", "Onsemi")</f>
        <v>Onsemi</v>
      </c>
      <c r="C7096" s="6">
        <v>23287</v>
      </c>
      <c r="D7096" s="7">
        <v>0.85</v>
      </c>
      <c r="E7096" t="s">
        <v>22</v>
      </c>
    </row>
    <row r="7097" spans="1:5" x14ac:dyDescent="0.25">
      <c r="A7097" t="str">
        <f>HYPERLINK("https://www.773grp.com/globalSearch/MC74HC393ADG/page-1", "MC74HC393ADG")</f>
        <v>MC74HC393ADG</v>
      </c>
      <c r="B7097" s="3" t="str">
        <f>HYPERLINK("https://www.773grp.com/manufacturer/onsemi?pageNo=356", "Onsemi")</f>
        <v>Onsemi</v>
      </c>
      <c r="C7097" s="6">
        <v>812</v>
      </c>
      <c r="D7097" s="7">
        <v>0.85</v>
      </c>
      <c r="E7097" t="s">
        <v>22</v>
      </c>
    </row>
    <row r="7098" spans="1:5" x14ac:dyDescent="0.25">
      <c r="A7098" t="str">
        <f>HYPERLINK("https://www.773grp.com/globalSearch/MC74HC393ADR2/page-1", "MC74HC393ADR2")</f>
        <v>MC74HC393ADR2</v>
      </c>
      <c r="B7098" s="3" t="str">
        <f>HYPERLINK("https://www.773grp.com/manufacturer/onsemi?pageNo=357", "Onsemi")</f>
        <v>Onsemi</v>
      </c>
      <c r="C7098" s="6">
        <v>28444</v>
      </c>
      <c r="D7098" s="7">
        <v>0.85</v>
      </c>
      <c r="E7098" t="s">
        <v>22</v>
      </c>
    </row>
    <row r="7099" spans="1:5" x14ac:dyDescent="0.25">
      <c r="A7099" t="str">
        <f>HYPERLINK("https://www.773grp.com/globalSearch/MC74HC393ADR2G/page-1", "MC74HC393ADR2G")</f>
        <v>MC74HC393ADR2G</v>
      </c>
      <c r="B7099" s="3" t="str">
        <f>HYPERLINK("https://www.773grp.com/manufacturer/onsemi?pageNo=358", "Onsemi")</f>
        <v>Onsemi</v>
      </c>
      <c r="C7099" s="6">
        <v>45152</v>
      </c>
      <c r="D7099" s="7">
        <v>0.85</v>
      </c>
      <c r="E7099" t="s">
        <v>22</v>
      </c>
    </row>
    <row r="7100" spans="1:5" x14ac:dyDescent="0.25">
      <c r="A7100" t="str">
        <f>HYPERLINK("https://www.773grp.com/globalSearch/MC74HC393ADT/page-1", "MC74HC393ADT")</f>
        <v>MC74HC393ADT</v>
      </c>
      <c r="B7100" s="3" t="str">
        <f>HYPERLINK("https://www.773grp.com/manufacturer/onsemi?pageNo=359", "Onsemi")</f>
        <v>Onsemi</v>
      </c>
      <c r="C7100" s="6">
        <v>1023</v>
      </c>
      <c r="D7100" s="7">
        <v>0.85</v>
      </c>
      <c r="E7100" t="s">
        <v>22</v>
      </c>
    </row>
    <row r="7101" spans="1:5" x14ac:dyDescent="0.25">
      <c r="A7101" t="str">
        <f>HYPERLINK("https://www.773grp.com/globalSearch/MC74HC393ADTR2G/page-1", "MC74HC393ADTR2G")</f>
        <v>MC74HC393ADTR2G</v>
      </c>
      <c r="B7101" s="3" t="str">
        <f>HYPERLINK("https://www.773grp.com/manufacturer/onsemi?pageNo=360", "Onsemi")</f>
        <v>Onsemi</v>
      </c>
      <c r="C7101" s="6">
        <v>5644</v>
      </c>
      <c r="D7101" s="7">
        <v>0.85</v>
      </c>
      <c r="E7101" t="s">
        <v>22</v>
      </c>
    </row>
    <row r="7102" spans="1:5" x14ac:dyDescent="0.25">
      <c r="A7102" t="str">
        <f>HYPERLINK("https://www.773grp.com/globalSearch/MC74HC393AFL1/page-1", "MC74HC393AFL1")</f>
        <v>MC74HC393AFL1</v>
      </c>
      <c r="B7102" s="3" t="str">
        <f>HYPERLINK("https://www.773grp.com/manufacturer/onsemi?pageNo=361", "Onsemi")</f>
        <v>Onsemi</v>
      </c>
      <c r="C7102" s="6">
        <v>1000</v>
      </c>
      <c r="D7102" s="7">
        <v>0.85</v>
      </c>
    </row>
    <row r="7103" spans="1:5" x14ac:dyDescent="0.25">
      <c r="A7103" t="str">
        <f>HYPERLINK("https://www.773grp.com/globalSearch/MC74HC393D/page-1", "MC74HC393D")</f>
        <v>MC74HC393D</v>
      </c>
      <c r="B7103" s="3" t="str">
        <f>HYPERLINK("https://www.773grp.com/manufacturer/onsemi?pageNo=362", "Onsemi")</f>
        <v>Onsemi</v>
      </c>
      <c r="C7103" s="6">
        <v>24456</v>
      </c>
      <c r="D7103" s="7">
        <v>0.85</v>
      </c>
      <c r="E7103" t="s">
        <v>22</v>
      </c>
    </row>
    <row r="7104" spans="1:5" x14ac:dyDescent="0.25">
      <c r="A7104" t="str">
        <f>HYPERLINK("https://www.773grp.com/globalSearch/MC74HC393F/page-1", "MC74HC393F")</f>
        <v>MC74HC393F</v>
      </c>
      <c r="B7104" s="3" t="str">
        <f>HYPERLINK("https://www.773grp.com/manufacturer/onsemi?pageNo=363", "Onsemi")</f>
        <v>Onsemi</v>
      </c>
      <c r="C7104" s="6">
        <v>9350</v>
      </c>
      <c r="D7104" s="7">
        <v>0.85</v>
      </c>
    </row>
    <row r="7105" spans="1:5" x14ac:dyDescent="0.25">
      <c r="A7105" t="str">
        <f>HYPERLINK("https://www.773grp.com/globalSearch/MC74HC4017F/page-1", "MC74HC4017F")</f>
        <v>MC74HC4017F</v>
      </c>
      <c r="B7105" s="3" t="str">
        <f>HYPERLINK("https://www.773grp.com/manufacturer/onsemi?pageNo=364", "Onsemi")</f>
        <v>Onsemi</v>
      </c>
      <c r="C7105" s="6">
        <v>5316</v>
      </c>
      <c r="D7105" s="7">
        <v>0.85</v>
      </c>
    </row>
    <row r="7106" spans="1:5" x14ac:dyDescent="0.25">
      <c r="A7106" t="str">
        <f>HYPERLINK("https://www.773grp.com/globalSearch/MC74HC4017FEL/page-1", "MC74HC4017FEL")</f>
        <v>MC74HC4017FEL</v>
      </c>
      <c r="B7106" s="3" t="str">
        <f>HYPERLINK("https://www.773grp.com/manufacturer/onsemi?pageNo=365", "Onsemi")</f>
        <v>Onsemi</v>
      </c>
      <c r="C7106" s="6">
        <v>8000</v>
      </c>
      <c r="D7106" s="7">
        <v>0.85</v>
      </c>
    </row>
    <row r="7107" spans="1:5" x14ac:dyDescent="0.25">
      <c r="A7107" t="str">
        <f>HYPERLINK("https://www.773grp.com/globalSearch/MC74HC4020AFL1/page-1", "MC74HC4020AFL1")</f>
        <v>MC74HC4020AFL1</v>
      </c>
      <c r="B7107" s="3" t="str">
        <f>HYPERLINK("https://www.773grp.com/manufacturer/onsemi?pageNo=366", "Onsemi")</f>
        <v>Onsemi</v>
      </c>
      <c r="C7107" s="6">
        <v>5000</v>
      </c>
      <c r="D7107" s="7">
        <v>0.85</v>
      </c>
    </row>
    <row r="7108" spans="1:5" x14ac:dyDescent="0.25">
      <c r="A7108" t="str">
        <f>HYPERLINK("https://www.773grp.com/globalSearch/MC74HC4040AFR2/page-1", "MC74HC4040AFR2")</f>
        <v>MC74HC4040AFR2</v>
      </c>
      <c r="B7108" s="3" t="str">
        <f>HYPERLINK("https://www.773grp.com/manufacturer/onsemi?pageNo=367", "Onsemi")</f>
        <v>Onsemi</v>
      </c>
      <c r="C7108" s="6">
        <v>2000</v>
      </c>
      <c r="D7108" s="7">
        <v>0.85</v>
      </c>
    </row>
    <row r="7109" spans="1:5" x14ac:dyDescent="0.25">
      <c r="A7109" t="str">
        <f>HYPERLINK("https://www.773grp.com/globalSearch/MC74HC404AFL2/page-1", "MC74HC404AFL2")</f>
        <v>MC74HC404AFL2</v>
      </c>
      <c r="B7109" s="3" t="str">
        <f>HYPERLINK("https://www.773grp.com/manufacturer/onsemi?pageNo=368", "Onsemi")</f>
        <v>Onsemi</v>
      </c>
      <c r="C7109" s="6">
        <v>6000</v>
      </c>
      <c r="D7109" s="7">
        <v>0.85</v>
      </c>
    </row>
    <row r="7110" spans="1:5" x14ac:dyDescent="0.25">
      <c r="A7110" t="str">
        <f>HYPERLINK("https://www.773grp.com/globalSearch/MC74HC40501DW/page-1", "MC74HC40501DW")</f>
        <v>MC74HC40501DW</v>
      </c>
      <c r="B7110" s="3" t="str">
        <f>HYPERLINK("https://www.773grp.com/manufacturer/onsemi?pageNo=369", "Onsemi")</f>
        <v>Onsemi</v>
      </c>
      <c r="C7110" s="6">
        <v>671</v>
      </c>
      <c r="D7110" s="7">
        <v>0.85</v>
      </c>
    </row>
    <row r="7111" spans="1:5" x14ac:dyDescent="0.25">
      <c r="A7111" t="str">
        <f>HYPERLINK("https://www.773grp.com/globalSearch/MC74HC4051DR2/page-1", "MC74HC4051DR2")</f>
        <v>MC74HC4051DR2</v>
      </c>
      <c r="B7111" s="3" t="str">
        <f>HYPERLINK("https://www.773grp.com/manufacturer/onsemi?pageNo=370", "Onsemi")</f>
        <v>Onsemi</v>
      </c>
      <c r="C7111" s="6">
        <v>14190</v>
      </c>
      <c r="D7111" s="7">
        <v>0.85</v>
      </c>
      <c r="E7111" t="s">
        <v>46</v>
      </c>
    </row>
    <row r="7112" spans="1:5" x14ac:dyDescent="0.25">
      <c r="A7112" t="str">
        <f>HYPERLINK("https://www.773grp.com/globalSearch/MC74HC4051F/page-1", "MC74HC4051F")</f>
        <v>MC74HC4051F</v>
      </c>
      <c r="B7112" s="3" t="str">
        <f>HYPERLINK("https://www.773grp.com/manufacturer/onsemi?pageNo=371", "Onsemi")</f>
        <v>Onsemi</v>
      </c>
      <c r="C7112" s="6">
        <v>2176</v>
      </c>
      <c r="D7112" s="7">
        <v>0.85</v>
      </c>
    </row>
    <row r="7113" spans="1:5" x14ac:dyDescent="0.25">
      <c r="A7113" t="str">
        <f>HYPERLINK("https://www.773grp.com/globalSearch/MC74HC4051FEL/page-1", "MC74HC4051FEL")</f>
        <v>MC74HC4051FEL</v>
      </c>
      <c r="B7113" s="3" t="str">
        <f>HYPERLINK("https://www.773grp.com/manufacturer/onsemi?pageNo=372", "Onsemi")</f>
        <v>Onsemi</v>
      </c>
      <c r="C7113" s="6">
        <v>34000</v>
      </c>
      <c r="D7113" s="7">
        <v>0.85</v>
      </c>
    </row>
    <row r="7114" spans="1:5" x14ac:dyDescent="0.25">
      <c r="A7114" t="str">
        <f>HYPERLINK("https://www.773grp.com/globalSearch/MC74HC4051N/page-1", "MC74HC4051N")</f>
        <v>MC74HC4051N</v>
      </c>
      <c r="B7114" s="3" t="str">
        <f>HYPERLINK("https://www.773grp.com/manufacturer/onsemi?pageNo=373", "Onsemi")</f>
        <v>Onsemi</v>
      </c>
      <c r="C7114" s="6">
        <v>15799</v>
      </c>
      <c r="D7114" s="7">
        <v>0.85</v>
      </c>
      <c r="E7114" t="s">
        <v>46</v>
      </c>
    </row>
    <row r="7115" spans="1:5" x14ac:dyDescent="0.25">
      <c r="A7115" t="str">
        <f>HYPERLINK("https://www.773grp.com/globalSearch/MC74HC4052DR2/page-1", "MC74HC4052DR2")</f>
        <v>MC74HC4052DR2</v>
      </c>
      <c r="B7115" s="3" t="str">
        <f>HYPERLINK("https://www.773grp.com/manufacturer/onsemi?pageNo=374", "Onsemi")</f>
        <v>Onsemi</v>
      </c>
      <c r="C7115" s="6">
        <v>100500</v>
      </c>
      <c r="D7115" s="7">
        <v>0.85</v>
      </c>
      <c r="E7115" t="s">
        <v>46</v>
      </c>
    </row>
    <row r="7116" spans="1:5" x14ac:dyDescent="0.25">
      <c r="A7116" t="str">
        <f>HYPERLINK("https://www.773grp.com/globalSearch/MC74HC4052DT/page-1", "MC74HC4052DT")</f>
        <v>MC74HC4052DT</v>
      </c>
      <c r="B7116" s="3" t="str">
        <f>HYPERLINK("https://www.773grp.com/manufacturer/onsemi?pageNo=375", "Onsemi")</f>
        <v>Onsemi</v>
      </c>
      <c r="C7116" s="6">
        <v>5275</v>
      </c>
      <c r="D7116" s="7">
        <v>0.85</v>
      </c>
      <c r="E7116" t="s">
        <v>46</v>
      </c>
    </row>
    <row r="7117" spans="1:5" x14ac:dyDescent="0.25">
      <c r="A7117" t="str">
        <f>HYPERLINK("https://www.773grp.com/globalSearch/MC74HC4052DW/page-1", "MC74HC4052DW")</f>
        <v>MC74HC4052DW</v>
      </c>
      <c r="B7117" s="3" t="str">
        <f>HYPERLINK("https://www.773grp.com/manufacturer/onsemi?pageNo=376", "Onsemi")</f>
        <v>Onsemi</v>
      </c>
      <c r="C7117" s="6">
        <v>1</v>
      </c>
      <c r="D7117" s="7">
        <v>0.85</v>
      </c>
      <c r="E7117" t="s">
        <v>46</v>
      </c>
    </row>
    <row r="7118" spans="1:5" x14ac:dyDescent="0.25">
      <c r="A7118" t="str">
        <f>HYPERLINK("https://www.773grp.com/globalSearch/MC74HC4052DWR2/page-1", "MC74HC4052DWR2")</f>
        <v>MC74HC4052DWR2</v>
      </c>
      <c r="B7118" s="3" t="str">
        <f>HYPERLINK("https://www.773grp.com/manufacturer/onsemi?pageNo=377", "Onsemi")</f>
        <v>Onsemi</v>
      </c>
      <c r="C7118" s="6">
        <v>10900</v>
      </c>
      <c r="D7118" s="7">
        <v>0.85</v>
      </c>
      <c r="E7118" t="s">
        <v>46</v>
      </c>
    </row>
    <row r="7119" spans="1:5" x14ac:dyDescent="0.25">
      <c r="A7119" t="str">
        <f>HYPERLINK("https://www.773grp.com/globalSearch/MC74HC4052F/page-1", "MC74HC4052F")</f>
        <v>MC74HC4052F</v>
      </c>
      <c r="B7119" s="3" t="str">
        <f>HYPERLINK("https://www.773grp.com/manufacturer/onsemi?pageNo=378", "Onsemi")</f>
        <v>Onsemi</v>
      </c>
      <c r="C7119" s="6">
        <v>9050</v>
      </c>
      <c r="D7119" s="7">
        <v>0.85</v>
      </c>
    </row>
    <row r="7120" spans="1:5" x14ac:dyDescent="0.25">
      <c r="A7120" t="str">
        <f>HYPERLINK("https://www.773grp.com/globalSearch/MC74HC4052FEL/page-1", "MC74HC4052FEL")</f>
        <v>MC74HC4052FEL</v>
      </c>
      <c r="B7120" s="3" t="str">
        <f>HYPERLINK("https://www.773grp.com/manufacturer/onsemi?pageNo=379", "Onsemi")</f>
        <v>Onsemi</v>
      </c>
      <c r="C7120" s="6">
        <v>12000</v>
      </c>
      <c r="D7120" s="7">
        <v>0.85</v>
      </c>
    </row>
    <row r="7121" spans="1:5" x14ac:dyDescent="0.25">
      <c r="A7121" t="str">
        <f>HYPERLINK("https://www.773grp.com/globalSearch/MC74HC4052N/page-1", "MC74HC4052N")</f>
        <v>MC74HC4052N</v>
      </c>
      <c r="B7121" s="3" t="str">
        <f>HYPERLINK("https://www.773grp.com/manufacturer/onsemi?pageNo=380", "Onsemi")</f>
        <v>Onsemi</v>
      </c>
      <c r="C7121" s="6">
        <v>1120</v>
      </c>
      <c r="D7121" s="7">
        <v>0.85</v>
      </c>
      <c r="E7121" t="s">
        <v>46</v>
      </c>
    </row>
    <row r="7122" spans="1:5" x14ac:dyDescent="0.25">
      <c r="A7122" t="str">
        <f>HYPERLINK("https://www.773grp.com/globalSearch/MC74HC4053D/page-1", "MC74HC4053D")</f>
        <v>MC74HC4053D</v>
      </c>
      <c r="B7122" s="3" t="str">
        <f>HYPERLINK("https://www.773grp.com/manufacturer/onsemi?pageNo=381", "Onsemi")</f>
        <v>Onsemi</v>
      </c>
      <c r="C7122" s="6">
        <v>6725</v>
      </c>
      <c r="D7122" s="7">
        <v>0.85</v>
      </c>
      <c r="E7122" t="s">
        <v>46</v>
      </c>
    </row>
    <row r="7123" spans="1:5" x14ac:dyDescent="0.25">
      <c r="A7123" t="str">
        <f>HYPERLINK("https://www.773grp.com/globalSearch/MC74HC4053DR2/page-1", "MC74HC4053DR2")</f>
        <v>MC74HC4053DR2</v>
      </c>
      <c r="B7123" s="3" t="str">
        <f>HYPERLINK("https://www.773grp.com/manufacturer/onsemi?pageNo=382", "Onsemi")</f>
        <v>Onsemi</v>
      </c>
      <c r="C7123" s="6">
        <v>2500</v>
      </c>
      <c r="D7123" s="7">
        <v>0.85</v>
      </c>
      <c r="E7123" t="s">
        <v>46</v>
      </c>
    </row>
    <row r="7124" spans="1:5" x14ac:dyDescent="0.25">
      <c r="A7124" t="str">
        <f>HYPERLINK("https://www.773grp.com/globalSearch/MC74HC4053DT/page-1", "MC74HC4053DT")</f>
        <v>MC74HC4053DT</v>
      </c>
      <c r="B7124" s="3" t="str">
        <f>HYPERLINK("https://www.773grp.com/manufacturer/onsemi?pageNo=383", "Onsemi")</f>
        <v>Onsemi</v>
      </c>
      <c r="C7124" s="6">
        <v>12376</v>
      </c>
      <c r="D7124" s="7">
        <v>0.85</v>
      </c>
      <c r="E7124" t="s">
        <v>46</v>
      </c>
    </row>
    <row r="7125" spans="1:5" x14ac:dyDescent="0.25">
      <c r="A7125" t="str">
        <f>HYPERLINK("https://www.773grp.com/globalSearch/MC74HC4053DTEL/page-1", "MC74HC4053DTEL")</f>
        <v>MC74HC4053DTEL</v>
      </c>
      <c r="B7125" s="3" t="str">
        <f>HYPERLINK("https://www.773grp.com/manufacturer/onsemi?pageNo=384", "Onsemi")</f>
        <v>Onsemi</v>
      </c>
      <c r="C7125" s="6">
        <v>10000</v>
      </c>
      <c r="D7125" s="7">
        <v>0.85</v>
      </c>
    </row>
    <row r="7126" spans="1:5" x14ac:dyDescent="0.25">
      <c r="A7126" t="str">
        <f>HYPERLINK("https://www.773grp.com/globalSearch/MC74HC4053N/page-1", "MC74HC4053N")</f>
        <v>MC74HC4053N</v>
      </c>
      <c r="B7126" s="3" t="str">
        <f>HYPERLINK("https://www.773grp.com/manufacturer/onsemi?pageNo=385", "Onsemi")</f>
        <v>Onsemi</v>
      </c>
      <c r="C7126" s="6">
        <v>4175</v>
      </c>
      <c r="D7126" s="7">
        <v>0.85</v>
      </c>
      <c r="E7126" t="s">
        <v>46</v>
      </c>
    </row>
    <row r="7127" spans="1:5" x14ac:dyDescent="0.25">
      <c r="A7127" t="str">
        <f>HYPERLINK("https://www.773grp.com/globalSearch/MC74HC4060AFL1/page-1", "MC74HC4060AFL1")</f>
        <v>MC74HC4060AFL1</v>
      </c>
      <c r="B7127" s="3" t="str">
        <f>HYPERLINK("https://www.773grp.com/manufacturer/onsemi?pageNo=386", "Onsemi")</f>
        <v>Onsemi</v>
      </c>
      <c r="C7127" s="6">
        <v>5000</v>
      </c>
      <c r="D7127" s="7">
        <v>0.85</v>
      </c>
    </row>
    <row r="7128" spans="1:5" x14ac:dyDescent="0.25">
      <c r="A7128" t="str">
        <f>HYPERLINK("https://www.773grp.com/globalSearch/MC74HC4066AFELG/page-1", "MC74HC4066AFELG")</f>
        <v>MC74HC4066AFELG</v>
      </c>
      <c r="B7128" s="3" t="str">
        <f>HYPERLINK("https://www.773grp.com/manufacturer/onsemi?pageNo=387", "Onsemi")</f>
        <v>Onsemi</v>
      </c>
      <c r="C7128" s="6">
        <v>5151</v>
      </c>
      <c r="D7128" s="7">
        <v>0.85</v>
      </c>
      <c r="E7128" t="s">
        <v>46</v>
      </c>
    </row>
    <row r="7129" spans="1:5" x14ac:dyDescent="0.25">
      <c r="A7129" t="str">
        <f>HYPERLINK("https://www.773grp.com/globalSearch/MC74HC4538AFL1/page-1", "MC74HC4538AFL1")</f>
        <v>MC74HC4538AFL1</v>
      </c>
      <c r="B7129" s="3" t="str">
        <f>HYPERLINK("https://www.773grp.com/manufacturer/onsemi?pageNo=388", "Onsemi")</f>
        <v>Onsemi</v>
      </c>
      <c r="C7129" s="6">
        <v>1000</v>
      </c>
      <c r="D7129" s="7">
        <v>0.85</v>
      </c>
    </row>
    <row r="7130" spans="1:5" x14ac:dyDescent="0.25">
      <c r="A7130" t="str">
        <f>HYPERLINK("https://www.773grp.com/globalSearch/MC74HC4538AFL2/page-1", "MC74HC4538AFL2")</f>
        <v>MC74HC4538AFL2</v>
      </c>
      <c r="B7130" s="3" t="str">
        <f>HYPERLINK("https://www.773grp.com/manufacturer/onsemi?pageNo=389", "Onsemi")</f>
        <v>Onsemi</v>
      </c>
      <c r="C7130" s="6">
        <v>2000</v>
      </c>
      <c r="D7130" s="7">
        <v>0.85</v>
      </c>
    </row>
    <row r="7131" spans="1:5" x14ac:dyDescent="0.25">
      <c r="A7131" t="str">
        <f>HYPERLINK("https://www.773grp.com/globalSearch/MC74HC4538AFR1/page-1", "MC74HC4538AFR1")</f>
        <v>MC74HC4538AFR1</v>
      </c>
      <c r="B7131" s="3" t="str">
        <f>HYPERLINK("https://www.773grp.com/manufacturer/onsemi?pageNo=390", "Onsemi")</f>
        <v>Onsemi</v>
      </c>
      <c r="C7131" s="6">
        <v>18000</v>
      </c>
      <c r="D7131" s="7">
        <v>0.85</v>
      </c>
    </row>
    <row r="7132" spans="1:5" x14ac:dyDescent="0.25">
      <c r="A7132" t="str">
        <f>HYPERLINK("https://www.773grp.com/globalSearch/MC74HC4538AFR2/page-1", "MC74HC4538AFR2")</f>
        <v>MC74HC4538AFR2</v>
      </c>
      <c r="B7132" s="3" t="str">
        <f>HYPERLINK("https://www.773grp.com/manufacturer/onsemi?pageNo=391", "Onsemi")</f>
        <v>Onsemi</v>
      </c>
      <c r="C7132" s="6">
        <v>8000</v>
      </c>
      <c r="D7132" s="7">
        <v>0.85</v>
      </c>
    </row>
    <row r="7133" spans="1:5" x14ac:dyDescent="0.25">
      <c r="A7133" t="str">
        <f>HYPERLINK("https://www.773grp.com/globalSearch/MC74HC573ADTEL/page-1", "MC74HC573ADTEL")</f>
        <v>MC74HC573ADTEL</v>
      </c>
      <c r="B7133" s="3" t="str">
        <f>HYPERLINK("https://www.773grp.com/manufacturer/onsemi?pageNo=392", "Onsemi")</f>
        <v>Onsemi</v>
      </c>
      <c r="C7133" s="6">
        <v>5000</v>
      </c>
      <c r="D7133" s="7">
        <v>0.85</v>
      </c>
    </row>
    <row r="7134" spans="1:5" x14ac:dyDescent="0.25">
      <c r="A7134" t="str">
        <f>HYPERLINK("https://www.773grp.com/globalSearch/MC74HC595AD/page-1", "MC74HC595AD")</f>
        <v>MC74HC595AD</v>
      </c>
      <c r="B7134" s="3" t="str">
        <f>HYPERLINK("https://www.773grp.com/manufacturer/onsemi?pageNo=393", "Onsemi")</f>
        <v>Onsemi</v>
      </c>
      <c r="C7134" s="6">
        <v>28204</v>
      </c>
      <c r="D7134" s="7">
        <v>0.85</v>
      </c>
    </row>
    <row r="7135" spans="1:5" x14ac:dyDescent="0.25">
      <c r="A7135" t="str">
        <f>HYPERLINK("https://www.773grp.com/globalSearch/MC74HC595ADH/page-1", "MC74HC595ADH")</f>
        <v>MC74HC595ADH</v>
      </c>
      <c r="B7135" s="3" t="str">
        <f>HYPERLINK("https://www.773grp.com/manufacturer/onsemi?pageNo=394", "Onsemi")</f>
        <v>Onsemi</v>
      </c>
      <c r="C7135" s="6">
        <v>5240</v>
      </c>
      <c r="D7135" s="7">
        <v>0.85</v>
      </c>
    </row>
    <row r="7136" spans="1:5" x14ac:dyDescent="0.25">
      <c r="A7136" t="str">
        <f>HYPERLINK("https://www.773grp.com/globalSearch/MC74HC7266AD/page-1", "MC74HC7266AD")</f>
        <v>MC74HC7266AD</v>
      </c>
      <c r="B7136" s="3" t="str">
        <f>HYPERLINK("https://www.773grp.com/manufacturer/onsemi?pageNo=395", "Onsemi")</f>
        <v>Onsemi</v>
      </c>
      <c r="C7136" s="6">
        <v>13</v>
      </c>
      <c r="D7136" s="7">
        <v>0.85</v>
      </c>
      <c r="E7136" t="s">
        <v>27</v>
      </c>
    </row>
    <row r="7137" spans="1:5" x14ac:dyDescent="0.25">
      <c r="A7137" t="str">
        <f>HYPERLINK("https://www.773grp.com/globalSearch/MC74HC7266AF/page-1", "MC74HC7266AF")</f>
        <v>MC74HC7266AF</v>
      </c>
      <c r="B7137" s="3" t="str">
        <f>HYPERLINK("https://www.773grp.com/manufacturer/onsemi?pageNo=396", "Onsemi")</f>
        <v>Onsemi</v>
      </c>
      <c r="C7137" s="6">
        <v>644</v>
      </c>
      <c r="D7137" s="7">
        <v>0.85</v>
      </c>
    </row>
    <row r="7138" spans="1:5" x14ac:dyDescent="0.25">
      <c r="A7138" t="str">
        <f>HYPERLINK("https://www.773grp.com/globalSearch/MC74HC7266AFEL/page-1", "MC74HC7266AFEL")</f>
        <v>MC74HC7266AFEL</v>
      </c>
      <c r="B7138" s="3" t="str">
        <f>HYPERLINK("https://www.773grp.com/manufacturer/onsemi?pageNo=397", "Onsemi")</f>
        <v>Onsemi</v>
      </c>
      <c r="C7138" s="6">
        <v>2000</v>
      </c>
      <c r="D7138" s="7">
        <v>0.85</v>
      </c>
    </row>
    <row r="7139" spans="1:5" x14ac:dyDescent="0.25">
      <c r="A7139" t="str">
        <f>HYPERLINK("https://www.773grp.com/globalSearch/MC74HC7266AFR1/page-1", "MC74HC7266AFR1")</f>
        <v>MC74HC7266AFR1</v>
      </c>
      <c r="B7139" s="3" t="str">
        <f>HYPERLINK("https://www.773grp.com/manufacturer/onsemi?pageNo=398", "Onsemi")</f>
        <v>Onsemi</v>
      </c>
      <c r="C7139" s="6">
        <v>5000</v>
      </c>
      <c r="D7139" s="7">
        <v>0.85</v>
      </c>
    </row>
    <row r="7140" spans="1:5" x14ac:dyDescent="0.25">
      <c r="A7140" t="str">
        <f>HYPERLINK("https://www.773grp.com/globalSearch/MC74VHC157DR2G/page-1", "MC74VHC157DR2G")</f>
        <v>MC74VHC157DR2G</v>
      </c>
      <c r="B7140" s="3" t="str">
        <f>HYPERLINK("https://www.773grp.com/manufacturer/onsemi?pageNo=399", "Onsemi")</f>
        <v>Onsemi</v>
      </c>
      <c r="C7140" s="6">
        <v>19146</v>
      </c>
      <c r="D7140" s="7">
        <v>0.85</v>
      </c>
      <c r="E7140" t="s">
        <v>16</v>
      </c>
    </row>
    <row r="7141" spans="1:5" x14ac:dyDescent="0.25">
      <c r="A7141" t="str">
        <f>HYPERLINK("https://www.773grp.com/globalSearch/MC74VHC157DTR2G/page-1", "MC74VHC157DTR2G")</f>
        <v>MC74VHC157DTR2G</v>
      </c>
      <c r="B7141" s="3" t="str">
        <f>HYPERLINK("https://www.773grp.com/manufacturer/onsemi?pageNo=400", "Onsemi")</f>
        <v>Onsemi</v>
      </c>
      <c r="C7141" s="6">
        <v>50000</v>
      </c>
      <c r="D7141" s="7">
        <v>0.85</v>
      </c>
      <c r="E7141" t="s">
        <v>16</v>
      </c>
    </row>
    <row r="7142" spans="1:5" x14ac:dyDescent="0.25">
      <c r="A7142" t="str">
        <f>HYPERLINK("https://www.773grp.com/globalSearch/MC74VHC4051D/page-1", "MC74VHC4051D")</f>
        <v>MC74VHC4051D</v>
      </c>
      <c r="B7142" s="3" t="str">
        <f>HYPERLINK("https://www.773grp.com/manufacturer/onsemi?pageNo=401", "Onsemi")</f>
        <v>Onsemi</v>
      </c>
      <c r="C7142" s="6">
        <v>9853</v>
      </c>
      <c r="D7142" s="7">
        <v>0.85</v>
      </c>
      <c r="E7142" t="s">
        <v>46</v>
      </c>
    </row>
    <row r="7143" spans="1:5" x14ac:dyDescent="0.25">
      <c r="A7143" t="str">
        <f>HYPERLINK("https://www.773grp.com/globalSearch/MC74VHC4051DT/page-1", "MC74VHC4051DT")</f>
        <v>MC74VHC4051DT</v>
      </c>
      <c r="B7143" s="3" t="str">
        <f>HYPERLINK("https://www.773grp.com/manufacturer/onsemi?pageNo=402", "Onsemi")</f>
        <v>Onsemi</v>
      </c>
      <c r="C7143" s="6">
        <v>1264</v>
      </c>
      <c r="D7143" s="7">
        <v>0.85</v>
      </c>
      <c r="E7143" t="s">
        <v>46</v>
      </c>
    </row>
    <row r="7144" spans="1:5" x14ac:dyDescent="0.25">
      <c r="A7144" t="str">
        <f>HYPERLINK("https://www.773grp.com/globalSearch/MC74VHC4052D/page-1", "MC74VHC4052D")</f>
        <v>MC74VHC4052D</v>
      </c>
      <c r="B7144" s="3" t="str">
        <f>HYPERLINK("https://www.773grp.com/manufacturer/onsemi?pageNo=403", "Onsemi")</f>
        <v>Onsemi</v>
      </c>
      <c r="C7144" s="6">
        <v>11664</v>
      </c>
      <c r="D7144" s="7">
        <v>0.85</v>
      </c>
      <c r="E7144" t="s">
        <v>46</v>
      </c>
    </row>
    <row r="7145" spans="1:5" x14ac:dyDescent="0.25">
      <c r="A7145" t="str">
        <f>HYPERLINK("https://www.773grp.com/globalSearch/MC74VHC4053DT/page-1", "MC74VHC4053DT")</f>
        <v>MC74VHC4053DT</v>
      </c>
      <c r="B7145" s="3" t="str">
        <f>HYPERLINK("https://www.773grp.com/manufacturer/onsemi?pageNo=404", "Onsemi")</f>
        <v>Onsemi</v>
      </c>
      <c r="C7145" s="6">
        <v>1288</v>
      </c>
      <c r="D7145" s="7">
        <v>0.85</v>
      </c>
      <c r="E7145" t="s">
        <v>46</v>
      </c>
    </row>
    <row r="7146" spans="1:5" x14ac:dyDescent="0.25">
      <c r="A7146" t="str">
        <f>HYPERLINK("https://www.773grp.com/globalSearch/MC74VHC4053DT/page-1", "MC74VHC4053DT")</f>
        <v>MC74VHC4053DT</v>
      </c>
      <c r="B7146" s="3" t="str">
        <f>HYPERLINK("https://www.773grp.com/manufacturer/onsemi?pageNo=405", "Onsemi")</f>
        <v>Onsemi</v>
      </c>
      <c r="C7146" s="6">
        <v>960</v>
      </c>
      <c r="D7146" s="7">
        <v>0.85</v>
      </c>
      <c r="E7146" t="s">
        <v>46</v>
      </c>
    </row>
    <row r="7147" spans="1:5" x14ac:dyDescent="0.25">
      <c r="A7147" t="str">
        <f>HYPERLINK("https://www.773grp.com/globalSearch/MC74VHC595DR2/page-1", "MC74VHC595DR2")</f>
        <v>MC74VHC595DR2</v>
      </c>
      <c r="B7147" s="3" t="str">
        <f>HYPERLINK("https://www.773grp.com/manufacturer/onsemi?pageNo=406", "Onsemi")</f>
        <v>Onsemi</v>
      </c>
      <c r="C7147" s="6">
        <v>5000</v>
      </c>
      <c r="D7147" s="7">
        <v>0.85</v>
      </c>
      <c r="E7147" t="s">
        <v>28</v>
      </c>
    </row>
    <row r="7148" spans="1:5" x14ac:dyDescent="0.25">
      <c r="A7148" t="str">
        <f>HYPERLINK("https://www.773grp.com/globalSearch/MC74VHC595MEL/page-1", "MC74VHC595MEL")</f>
        <v>MC74VHC595MEL</v>
      </c>
      <c r="B7148" s="3" t="str">
        <f>HYPERLINK("https://www.773grp.com/manufacturer/onsemi?pageNo=407", "Onsemi")</f>
        <v>Onsemi</v>
      </c>
      <c r="C7148" s="6">
        <v>2000</v>
      </c>
      <c r="D7148" s="7">
        <v>0.85</v>
      </c>
      <c r="E7148" t="s">
        <v>28</v>
      </c>
    </row>
    <row r="7149" spans="1:5" x14ac:dyDescent="0.25">
      <c r="A7149" t="str">
        <f>HYPERLINK("https://www.773grp.com/globalSearch/MC78L05ACPG/page-1", "MC78L05ACPG")</f>
        <v>MC78L05ACPG</v>
      </c>
      <c r="B7149" s="3" t="str">
        <f>HYPERLINK("https://www.773grp.com/manufacturer/onsemi?pageNo=408", "Onsemi")</f>
        <v>Onsemi</v>
      </c>
      <c r="C7149" s="6">
        <v>41708</v>
      </c>
      <c r="D7149" s="7">
        <v>0.85</v>
      </c>
      <c r="E7149" t="s">
        <v>24</v>
      </c>
    </row>
    <row r="7150" spans="1:5" x14ac:dyDescent="0.25">
      <c r="A7150" t="str">
        <f>HYPERLINK("https://www.773grp.com/globalSearch/MC78L05ACPRAG/page-1", "MC78L05ACPRAG")</f>
        <v>MC78L05ACPRAG</v>
      </c>
      <c r="B7150" s="3" t="str">
        <f>HYPERLINK("https://www.773grp.com/manufacturer/onsemi?pageNo=409", "Onsemi")</f>
        <v>Onsemi</v>
      </c>
      <c r="C7150" s="6">
        <v>163681</v>
      </c>
      <c r="D7150" s="7">
        <v>0.85</v>
      </c>
      <c r="E7150" t="s">
        <v>24</v>
      </c>
    </row>
    <row r="7151" spans="1:5" x14ac:dyDescent="0.25">
      <c r="A7151" t="str">
        <f>HYPERLINK("https://www.773grp.com/globalSearch/MC78L05ACPREG/page-1", "MC78L05ACPREG")</f>
        <v>MC78L05ACPREG</v>
      </c>
      <c r="B7151" s="3" t="str">
        <f>HYPERLINK("https://www.773grp.com/manufacturer/onsemi?pageNo=410", "Onsemi")</f>
        <v>Onsemi</v>
      </c>
      <c r="C7151" s="6">
        <v>14360</v>
      </c>
      <c r="D7151" s="7">
        <v>0.85</v>
      </c>
      <c r="E7151" t="s">
        <v>24</v>
      </c>
    </row>
    <row r="7152" spans="1:5" x14ac:dyDescent="0.25">
      <c r="A7152" t="str">
        <f>HYPERLINK("https://www.773grp.com/globalSearch/MC78L05ACPRMG/page-1", "MC78L05ACPRMG")</f>
        <v>MC78L05ACPRMG</v>
      </c>
      <c r="B7152" s="3" t="str">
        <f>HYPERLINK("https://www.773grp.com/manufacturer/onsemi?pageNo=411", "Onsemi")</f>
        <v>Onsemi</v>
      </c>
      <c r="C7152" s="6">
        <v>31815</v>
      </c>
      <c r="D7152" s="7">
        <v>0.85</v>
      </c>
      <c r="E7152" t="s">
        <v>24</v>
      </c>
    </row>
    <row r="7153" spans="1:5" x14ac:dyDescent="0.25">
      <c r="A7153" t="str">
        <f>HYPERLINK("https://www.773grp.com/globalSearch/MC78L05ACPRPG/page-1", "MC78L05ACPRPG")</f>
        <v>MC78L05ACPRPG</v>
      </c>
      <c r="B7153" s="3" t="str">
        <f>HYPERLINK("https://www.773grp.com/manufacturer/onsemi?pageNo=412", "Onsemi")</f>
        <v>Onsemi</v>
      </c>
      <c r="C7153" s="6">
        <v>111500</v>
      </c>
      <c r="D7153" s="7">
        <v>0.85</v>
      </c>
      <c r="E7153" t="s">
        <v>24</v>
      </c>
    </row>
    <row r="7154" spans="1:5" x14ac:dyDescent="0.25">
      <c r="A7154" t="str">
        <f>HYPERLINK("https://www.773grp.com/globalSearch/MC78L08ACPG/page-1", "MC78L08ACPG")</f>
        <v>MC78L08ACPG</v>
      </c>
      <c r="B7154" s="3" t="str">
        <f>HYPERLINK("https://www.773grp.com/manufacturer/onsemi?pageNo=413", "Onsemi")</f>
        <v>Onsemi</v>
      </c>
      <c r="C7154" s="6">
        <v>102927</v>
      </c>
      <c r="D7154" s="7">
        <v>0.85</v>
      </c>
      <c r="E7154" t="s">
        <v>24</v>
      </c>
    </row>
    <row r="7155" spans="1:5" x14ac:dyDescent="0.25">
      <c r="A7155" t="str">
        <f>HYPERLINK("https://www.773grp.com/globalSearch/MC78L08ACPRAG/page-1", "MC78L08ACPRAG")</f>
        <v>MC78L08ACPRAG</v>
      </c>
      <c r="B7155" s="3" t="str">
        <f>HYPERLINK("https://www.773grp.com/manufacturer/onsemi?pageNo=414", "Onsemi")</f>
        <v>Onsemi</v>
      </c>
      <c r="C7155" s="6">
        <v>31458</v>
      </c>
      <c r="D7155" s="7">
        <v>0.85</v>
      </c>
      <c r="E7155" t="s">
        <v>24</v>
      </c>
    </row>
    <row r="7156" spans="1:5" x14ac:dyDescent="0.25">
      <c r="A7156" t="str">
        <f>HYPERLINK("https://www.773grp.com/globalSearch/MC78L08ACPRPG/page-1", "MC78L08ACPRPG")</f>
        <v>MC78L08ACPRPG</v>
      </c>
      <c r="B7156" s="3" t="str">
        <f>HYPERLINK("https://www.773grp.com/manufacturer/onsemi?pageNo=415", "Onsemi")</f>
        <v>Onsemi</v>
      </c>
      <c r="C7156" s="6">
        <v>8000</v>
      </c>
      <c r="D7156" s="7">
        <v>0.85</v>
      </c>
      <c r="E7156" t="s">
        <v>24</v>
      </c>
    </row>
    <row r="7157" spans="1:5" x14ac:dyDescent="0.25">
      <c r="A7157" t="str">
        <f>HYPERLINK("https://www.773grp.com/globalSearch/MC78L09ACPG/page-1", "MC78L09ACPG")</f>
        <v>MC78L09ACPG</v>
      </c>
      <c r="B7157" s="3" t="str">
        <f>HYPERLINK("https://www.773grp.com/manufacturer/onsemi?pageNo=416", "Onsemi")</f>
        <v>Onsemi</v>
      </c>
      <c r="C7157" s="6">
        <v>27626</v>
      </c>
      <c r="D7157" s="7">
        <v>0.85</v>
      </c>
      <c r="E7157" t="s">
        <v>24</v>
      </c>
    </row>
    <row r="7158" spans="1:5" x14ac:dyDescent="0.25">
      <c r="A7158" t="str">
        <f>HYPERLINK("https://www.773grp.com/globalSearch/MC78L12ACPG/page-1", "MC78L12ACPG")</f>
        <v>MC78L12ACPG</v>
      </c>
      <c r="B7158" s="3" t="str">
        <f>HYPERLINK("https://www.773grp.com/manufacturer/onsemi?pageNo=417", "Onsemi")</f>
        <v>Onsemi</v>
      </c>
      <c r="C7158" s="6">
        <v>72468</v>
      </c>
      <c r="D7158" s="7">
        <v>0.85</v>
      </c>
      <c r="E7158" t="s">
        <v>24</v>
      </c>
    </row>
    <row r="7159" spans="1:5" x14ac:dyDescent="0.25">
      <c r="A7159" t="str">
        <f>HYPERLINK("https://www.773grp.com/globalSearch/MC78L12ACPRAG/page-1", "MC78L12ACPRAG")</f>
        <v>MC78L12ACPRAG</v>
      </c>
      <c r="B7159" s="3" t="str">
        <f>HYPERLINK("https://www.773grp.com/manufacturer/onsemi?pageNo=418", "Onsemi")</f>
        <v>Onsemi</v>
      </c>
      <c r="C7159" s="6">
        <v>25584</v>
      </c>
      <c r="D7159" s="7">
        <v>0.85</v>
      </c>
      <c r="E7159" t="s">
        <v>24</v>
      </c>
    </row>
    <row r="7160" spans="1:5" x14ac:dyDescent="0.25">
      <c r="A7160" t="str">
        <f>HYPERLINK("https://www.773grp.com/globalSearch/MC78L12ACPREG/page-1", "MC78L12ACPREG")</f>
        <v>MC78L12ACPREG</v>
      </c>
      <c r="B7160" s="3" t="str">
        <f>HYPERLINK("https://www.773grp.com/manufacturer/onsemi?pageNo=419", "Onsemi")</f>
        <v>Onsemi</v>
      </c>
      <c r="C7160" s="6">
        <v>6000</v>
      </c>
      <c r="D7160" s="7">
        <v>0.85</v>
      </c>
      <c r="E7160" t="s">
        <v>24</v>
      </c>
    </row>
    <row r="7161" spans="1:5" x14ac:dyDescent="0.25">
      <c r="A7161" t="str">
        <f>HYPERLINK("https://www.773grp.com/globalSearch/MC78L12ACPRMG/page-1", "MC78L12ACPRMG")</f>
        <v>MC78L12ACPRMG</v>
      </c>
      <c r="B7161" s="3" t="str">
        <f>HYPERLINK("https://www.773grp.com/manufacturer/onsemi?pageNo=420", "Onsemi")</f>
        <v>Onsemi</v>
      </c>
      <c r="C7161" s="6">
        <v>21615</v>
      </c>
      <c r="D7161" s="7">
        <v>0.85</v>
      </c>
      <c r="E7161" t="s">
        <v>24</v>
      </c>
    </row>
    <row r="7162" spans="1:5" x14ac:dyDescent="0.25">
      <c r="A7162" t="str">
        <f>HYPERLINK("https://www.773grp.com/globalSearch/MC78L12ACPRPG/page-1", "MC78L12ACPRPG")</f>
        <v>MC78L12ACPRPG</v>
      </c>
      <c r="B7162" s="3" t="str">
        <f>HYPERLINK("https://www.773grp.com/manufacturer/onsemi?pageNo=421", "Onsemi")</f>
        <v>Onsemi</v>
      </c>
      <c r="C7162" s="6">
        <v>17000</v>
      </c>
      <c r="D7162" s="7">
        <v>0.85</v>
      </c>
      <c r="E7162" t="s">
        <v>24</v>
      </c>
    </row>
    <row r="7163" spans="1:5" x14ac:dyDescent="0.25">
      <c r="A7163" t="str">
        <f>HYPERLINK("https://www.773grp.com/globalSearch/MC78L15ACPG/page-1", "MC78L15ACPG")</f>
        <v>MC78L15ACPG</v>
      </c>
      <c r="B7163" s="3" t="str">
        <f>HYPERLINK("https://www.773grp.com/manufacturer/onsemi?pageNo=422", "Onsemi")</f>
        <v>Onsemi</v>
      </c>
      <c r="C7163" s="6">
        <v>103261</v>
      </c>
      <c r="D7163" s="7">
        <v>0.85</v>
      </c>
      <c r="E7163" t="s">
        <v>24</v>
      </c>
    </row>
    <row r="7164" spans="1:5" x14ac:dyDescent="0.25">
      <c r="A7164" t="str">
        <f>HYPERLINK("https://www.773grp.com/globalSearch/MC78L15ACPRAG/page-1", "MC78L15ACPRAG")</f>
        <v>MC78L15ACPRAG</v>
      </c>
      <c r="B7164" s="3" t="str">
        <f>HYPERLINK("https://www.773grp.com/manufacturer/onsemi?pageNo=423", "Onsemi")</f>
        <v>Onsemi</v>
      </c>
      <c r="C7164" s="6">
        <v>26000</v>
      </c>
      <c r="D7164" s="7">
        <v>0.85</v>
      </c>
      <c r="E7164" t="s">
        <v>24</v>
      </c>
    </row>
    <row r="7165" spans="1:5" x14ac:dyDescent="0.25">
      <c r="A7165" t="str">
        <f>HYPERLINK("https://www.773grp.com/globalSearch/MC78L15ACPRPG/page-1", "MC78L15ACPRPG")</f>
        <v>MC78L15ACPRPG</v>
      </c>
      <c r="B7165" s="3" t="str">
        <f>HYPERLINK("https://www.773grp.com/manufacturer/onsemi?pageNo=424", "Onsemi")</f>
        <v>Onsemi</v>
      </c>
      <c r="C7165" s="6">
        <v>7502</v>
      </c>
      <c r="D7165" s="7">
        <v>0.85</v>
      </c>
      <c r="E7165" t="s">
        <v>24</v>
      </c>
    </row>
    <row r="7166" spans="1:5" x14ac:dyDescent="0.25">
      <c r="A7166" t="str">
        <f>HYPERLINK("https://www.773grp.com/globalSearch/MC78L18ACPG/page-1", "MC78L18ACPG")</f>
        <v>MC78L18ACPG</v>
      </c>
      <c r="B7166" s="3" t="str">
        <f>HYPERLINK("https://www.773grp.com/manufacturer/onsemi?pageNo=425", "Onsemi")</f>
        <v>Onsemi</v>
      </c>
      <c r="C7166" s="6">
        <v>20678</v>
      </c>
      <c r="D7166" s="7">
        <v>0.85</v>
      </c>
      <c r="E7166" t="s">
        <v>24</v>
      </c>
    </row>
    <row r="7167" spans="1:5" x14ac:dyDescent="0.25">
      <c r="A7167" t="str">
        <f>HYPERLINK("https://www.773grp.com/globalSearch/MC78L18ACPRAG/page-1", "MC78L18ACPRAG")</f>
        <v>MC78L18ACPRAG</v>
      </c>
      <c r="B7167" s="3" t="str">
        <f>HYPERLINK("https://www.773grp.com/manufacturer/onsemi?pageNo=426", "Onsemi")</f>
        <v>Onsemi</v>
      </c>
      <c r="C7167" s="6">
        <v>8000</v>
      </c>
      <c r="D7167" s="7">
        <v>0.85</v>
      </c>
      <c r="E7167" t="s">
        <v>24</v>
      </c>
    </row>
    <row r="7168" spans="1:5" x14ac:dyDescent="0.25">
      <c r="A7168" t="str">
        <f>HYPERLINK("https://www.773grp.com/globalSearch/MC78L18ACPRPG/page-1", "MC78L18ACPRPG")</f>
        <v>MC78L18ACPRPG</v>
      </c>
      <c r="B7168" s="3" t="str">
        <f>HYPERLINK("https://www.773grp.com/manufacturer/onsemi?pageNo=427", "Onsemi")</f>
        <v>Onsemi</v>
      </c>
      <c r="C7168" s="6">
        <v>441</v>
      </c>
      <c r="D7168" s="7">
        <v>0.85</v>
      </c>
      <c r="E7168" t="s">
        <v>24</v>
      </c>
    </row>
    <row r="7169" spans="1:5" x14ac:dyDescent="0.25">
      <c r="A7169" t="str">
        <f>HYPERLINK("https://www.773grp.com/globalSearch/MC78L24ACPG/page-1", "MC78L24ACPG")</f>
        <v>MC78L24ACPG</v>
      </c>
      <c r="B7169" s="3" t="str">
        <f>HYPERLINK("https://www.773grp.com/manufacturer/onsemi?pageNo=428", "Onsemi")</f>
        <v>Onsemi</v>
      </c>
      <c r="C7169" s="6">
        <v>33813</v>
      </c>
      <c r="D7169" s="7">
        <v>0.85</v>
      </c>
      <c r="E7169" t="s">
        <v>24</v>
      </c>
    </row>
    <row r="7170" spans="1:5" x14ac:dyDescent="0.25">
      <c r="A7170" t="str">
        <f>HYPERLINK("https://www.773grp.com/globalSearch/MC79L05ACPG/page-1", "MC79L05ACPG")</f>
        <v>MC79L05ACPG</v>
      </c>
      <c r="B7170" s="3" t="str">
        <f>HYPERLINK("https://www.773grp.com/manufacturer/onsemi?pageNo=429", "Onsemi")</f>
        <v>Onsemi</v>
      </c>
      <c r="C7170" s="6">
        <v>51007</v>
      </c>
      <c r="D7170" s="7">
        <v>0.85</v>
      </c>
      <c r="E7170" t="s">
        <v>53</v>
      </c>
    </row>
    <row r="7171" spans="1:5" x14ac:dyDescent="0.25">
      <c r="A7171" t="str">
        <f>HYPERLINK("https://www.773grp.com/globalSearch/MC79L05ACPRAG/page-1", "MC79L05ACPRAG")</f>
        <v>MC79L05ACPRAG</v>
      </c>
      <c r="B7171" s="3" t="str">
        <f>HYPERLINK("https://www.773grp.com/manufacturer/onsemi?pageNo=430", "Onsemi")</f>
        <v>Onsemi</v>
      </c>
      <c r="C7171" s="6">
        <v>808</v>
      </c>
      <c r="D7171" s="7">
        <v>0.85</v>
      </c>
    </row>
    <row r="7172" spans="1:5" x14ac:dyDescent="0.25">
      <c r="A7172" t="str">
        <f>HYPERLINK("https://www.773grp.com/globalSearch/MC79L05ACPRMG/page-1", "MC79L05ACPRMG")</f>
        <v>MC79L05ACPRMG</v>
      </c>
      <c r="B7172" s="3" t="str">
        <f>HYPERLINK("https://www.773grp.com/manufacturer/onsemi?pageNo=431", "Onsemi")</f>
        <v>Onsemi</v>
      </c>
      <c r="C7172" s="6">
        <v>18000</v>
      </c>
      <c r="D7172" s="7">
        <v>0.85</v>
      </c>
      <c r="E7172" t="s">
        <v>53</v>
      </c>
    </row>
    <row r="7173" spans="1:5" x14ac:dyDescent="0.25">
      <c r="A7173" t="str">
        <f>HYPERLINK("https://www.773grp.com/globalSearch/MC79L05ACPRPG/page-1", "MC79L05ACPRPG")</f>
        <v>MC79L05ACPRPG</v>
      </c>
      <c r="B7173" s="3" t="str">
        <f>HYPERLINK("https://www.773grp.com/manufacturer/onsemi?pageNo=432", "Onsemi")</f>
        <v>Onsemi</v>
      </c>
      <c r="C7173" s="6">
        <v>8000</v>
      </c>
      <c r="D7173" s="7">
        <v>0.85</v>
      </c>
      <c r="E7173" t="s">
        <v>53</v>
      </c>
    </row>
    <row r="7174" spans="1:5" x14ac:dyDescent="0.25">
      <c r="A7174" t="str">
        <f>HYPERLINK("https://www.773grp.com/globalSearch/MC79L12ACPG/page-1", "MC79L12ACPG")</f>
        <v>MC79L12ACPG</v>
      </c>
      <c r="B7174" s="3" t="str">
        <f>HYPERLINK("https://www.773grp.com/manufacturer/onsemi?pageNo=433", "Onsemi")</f>
        <v>Onsemi</v>
      </c>
      <c r="C7174" s="6">
        <v>19169</v>
      </c>
      <c r="D7174" s="7">
        <v>0.85</v>
      </c>
      <c r="E7174" t="s">
        <v>53</v>
      </c>
    </row>
    <row r="7175" spans="1:5" x14ac:dyDescent="0.25">
      <c r="A7175" t="str">
        <f>HYPERLINK("https://www.773grp.com/globalSearch/MC79L12ACPRAG/page-1", "MC79L12ACPRAG")</f>
        <v>MC79L12ACPRAG</v>
      </c>
      <c r="B7175" s="3" t="str">
        <f>HYPERLINK("https://www.773grp.com/manufacturer/onsemi?pageNo=434", "Onsemi")</f>
        <v>Onsemi</v>
      </c>
      <c r="C7175" s="6">
        <v>6000</v>
      </c>
      <c r="D7175" s="7">
        <v>0.85</v>
      </c>
      <c r="E7175" t="s">
        <v>53</v>
      </c>
    </row>
    <row r="7176" spans="1:5" x14ac:dyDescent="0.25">
      <c r="A7176" t="str">
        <f>HYPERLINK("https://www.773grp.com/globalSearch/MC79L12ACPRPG/page-1", "MC79L12ACPRPG")</f>
        <v>MC79L12ACPRPG</v>
      </c>
      <c r="B7176" s="3" t="str">
        <f>HYPERLINK("https://www.773grp.com/manufacturer/onsemi?pageNo=435", "Onsemi")</f>
        <v>Onsemi</v>
      </c>
      <c r="C7176" s="6">
        <v>26000</v>
      </c>
      <c r="D7176" s="7">
        <v>0.85</v>
      </c>
      <c r="E7176" t="s">
        <v>53</v>
      </c>
    </row>
    <row r="7177" spans="1:5" x14ac:dyDescent="0.25">
      <c r="A7177" t="str">
        <f>HYPERLINK("https://www.773grp.com/globalSearch/MC79L15ACPG/page-1", "MC79L15ACPG")</f>
        <v>MC79L15ACPG</v>
      </c>
      <c r="B7177" s="3" t="str">
        <f>HYPERLINK("https://www.773grp.com/manufacturer/onsemi?pageNo=436", "Onsemi")</f>
        <v>Onsemi</v>
      </c>
      <c r="C7177" s="6">
        <v>125</v>
      </c>
      <c r="D7177" s="7">
        <v>0.85</v>
      </c>
      <c r="E7177" t="s">
        <v>53</v>
      </c>
    </row>
    <row r="7178" spans="1:5" x14ac:dyDescent="0.25">
      <c r="A7178" t="str">
        <f>HYPERLINK("https://www.773grp.com/globalSearch/MC79L15ACPRAG/page-1", "MC79L15ACPRAG")</f>
        <v>MC79L15ACPRAG</v>
      </c>
      <c r="B7178" s="3" t="str">
        <f>HYPERLINK("https://www.773grp.com/manufacturer/onsemi?pageNo=437", "Onsemi")</f>
        <v>Onsemi</v>
      </c>
      <c r="C7178" s="6">
        <v>9800</v>
      </c>
      <c r="D7178" s="7">
        <v>0.85</v>
      </c>
      <c r="E7178" t="s">
        <v>53</v>
      </c>
    </row>
    <row r="7179" spans="1:5" x14ac:dyDescent="0.25">
      <c r="A7179" t="str">
        <f>HYPERLINK("https://www.773grp.com/globalSearch/MC79L15ACPRPG/page-1", "MC79L15ACPRPG")</f>
        <v>MC79L15ACPRPG</v>
      </c>
      <c r="B7179" s="3" t="str">
        <f>HYPERLINK("https://www.773grp.com/manufacturer/onsemi?pageNo=438", "Onsemi")</f>
        <v>Onsemi</v>
      </c>
      <c r="C7179" s="6">
        <v>22000</v>
      </c>
      <c r="D7179" s="7">
        <v>0.85</v>
      </c>
      <c r="E7179" t="s">
        <v>53</v>
      </c>
    </row>
    <row r="7180" spans="1:5" x14ac:dyDescent="0.25">
      <c r="A7180" t="str">
        <f>HYPERLINK("https://www.773grp.com/globalSearch/MC79L18ACPG/page-1", "MC79L18ACPG")</f>
        <v>MC79L18ACPG</v>
      </c>
      <c r="B7180" s="3" t="str">
        <f>HYPERLINK("https://www.773grp.com/manufacturer/onsemi?pageNo=439", "Onsemi")</f>
        <v>Onsemi</v>
      </c>
      <c r="C7180" s="6">
        <v>16003</v>
      </c>
      <c r="D7180" s="7">
        <v>0.85</v>
      </c>
      <c r="E7180" t="s">
        <v>53</v>
      </c>
    </row>
    <row r="7181" spans="1:5" x14ac:dyDescent="0.25">
      <c r="A7181" t="str">
        <f>HYPERLINK("https://www.773grp.com/globalSearch/MC79L24ACPG/page-1", "MC79L24ACPG")</f>
        <v>MC79L24ACPG</v>
      </c>
      <c r="B7181" s="3" t="str">
        <f>HYPERLINK("https://www.773grp.com/manufacturer/onsemi?pageNo=440", "Onsemi")</f>
        <v>Onsemi</v>
      </c>
      <c r="C7181" s="6">
        <v>448</v>
      </c>
      <c r="D7181" s="7">
        <v>0.85</v>
      </c>
      <c r="E7181" t="s">
        <v>53</v>
      </c>
    </row>
    <row r="7182" spans="1:5" x14ac:dyDescent="0.25">
      <c r="A7182" t="str">
        <f>HYPERLINK("https://www.773grp.com/globalSearch/MC79L24ACPRMG/page-1", "MC79L24ACPRMG")</f>
        <v>MC79L24ACPRMG</v>
      </c>
      <c r="B7182" s="3" t="str">
        <f>HYPERLINK("https://www.773grp.com/manufacturer/onsemi?pageNo=441", "Onsemi")</f>
        <v>Onsemi</v>
      </c>
      <c r="C7182" s="6">
        <v>2000</v>
      </c>
      <c r="D7182" s="7">
        <v>0.85</v>
      </c>
      <c r="E7182" t="s">
        <v>53</v>
      </c>
    </row>
    <row r="7183" spans="1:5" x14ac:dyDescent="0.25">
      <c r="A7183" t="str">
        <f>HYPERLINK("https://www.773grp.com/globalSearch/MC79L24ACPRPG/page-1", "MC79L24ACPRPG")</f>
        <v>MC79L24ACPRPG</v>
      </c>
      <c r="B7183" s="3" t="str">
        <f>HYPERLINK("https://www.773grp.com/manufacturer/onsemi?pageNo=442", "Onsemi")</f>
        <v>Onsemi</v>
      </c>
      <c r="C7183" s="6">
        <v>4924</v>
      </c>
      <c r="D7183" s="7">
        <v>0.85</v>
      </c>
      <c r="E7183" t="s">
        <v>53</v>
      </c>
    </row>
    <row r="7184" spans="1:5" x14ac:dyDescent="0.25">
      <c r="A7184" t="str">
        <f>HYPERLINK("https://www.773grp.com/globalSearch/MCR506-002/page-1", "MCR506-002")</f>
        <v>MCR506-002</v>
      </c>
      <c r="B7184" s="3" t="str">
        <f>HYPERLINK("https://www.773grp.com/manufacturer/onsemi?pageNo=443", "Onsemi")</f>
        <v>Onsemi</v>
      </c>
      <c r="C7184" s="6">
        <v>2000</v>
      </c>
      <c r="D7184" s="7">
        <v>0.85</v>
      </c>
    </row>
    <row r="7185" spans="1:5" x14ac:dyDescent="0.25">
      <c r="A7185" t="str">
        <f>HYPERLINK("https://www.773grp.com/globalSearch/MDC3237T1/page-1", "MDC3237T1")</f>
        <v>MDC3237T1</v>
      </c>
      <c r="B7185" s="3" t="str">
        <f>HYPERLINK("https://www.773grp.com/manufacturer/onsemi?pageNo=444", "Onsemi")</f>
        <v>Onsemi</v>
      </c>
      <c r="C7185" s="6">
        <v>3000</v>
      </c>
      <c r="D7185" s="7">
        <v>0.85</v>
      </c>
      <c r="E7185" t="s">
        <v>57</v>
      </c>
    </row>
    <row r="7186" spans="1:5" x14ac:dyDescent="0.25">
      <c r="A7186" t="str">
        <f>HYPERLINK("https://www.773grp.com/globalSearch/MJD350G/page-1", "MJD350G")</f>
        <v>MJD350G</v>
      </c>
      <c r="B7186" s="3" t="str">
        <f>HYPERLINK("https://www.773grp.com/manufacturer/onsemi?pageNo=445", "Onsemi")</f>
        <v>Onsemi</v>
      </c>
      <c r="C7186" s="6">
        <v>1690</v>
      </c>
      <c r="D7186" s="7">
        <v>0.85</v>
      </c>
      <c r="E7186" t="s">
        <v>47</v>
      </c>
    </row>
    <row r="7187" spans="1:5" x14ac:dyDescent="0.25">
      <c r="A7187" t="str">
        <f>HYPERLINK("https://www.773grp.com/globalSearch/MJD350T4G/page-1", "MJD350T4G")</f>
        <v>MJD350T4G</v>
      </c>
      <c r="B7187" s="3" t="str">
        <f>HYPERLINK("https://www.773grp.com/manufacturer/onsemi?pageNo=446", "Onsemi")</f>
        <v>Onsemi</v>
      </c>
      <c r="C7187" s="6">
        <v>49998</v>
      </c>
      <c r="D7187" s="7">
        <v>0.85</v>
      </c>
      <c r="E7187" t="s">
        <v>47</v>
      </c>
    </row>
    <row r="7188" spans="1:5" x14ac:dyDescent="0.25">
      <c r="A7188" t="str">
        <f>HYPERLINK("https://www.773grp.com/globalSearch/MJE350G/page-1", "MJE350G")</f>
        <v>MJE350G</v>
      </c>
      <c r="B7188" s="3" t="str">
        <f>HYPERLINK("https://www.773grp.com/manufacturer/onsemi?pageNo=447", "Onsemi")</f>
        <v>Onsemi</v>
      </c>
      <c r="C7188" s="6">
        <v>27040</v>
      </c>
      <c r="D7188" s="7">
        <v>0.85</v>
      </c>
      <c r="E7188" t="s">
        <v>47</v>
      </c>
    </row>
    <row r="7189" spans="1:5" x14ac:dyDescent="0.25">
      <c r="A7189" t="str">
        <f>HYPERLINK("https://www.773grp.com/globalSearch/MPS650G/page-1", "MPS650G")</f>
        <v>MPS650G</v>
      </c>
      <c r="B7189" s="3" t="str">
        <f>HYPERLINK("https://www.773grp.com/manufacturer/onsemi?pageNo=448", "Onsemi")</f>
        <v>Onsemi</v>
      </c>
      <c r="C7189" s="6">
        <v>60703</v>
      </c>
      <c r="D7189" s="7">
        <v>0.85</v>
      </c>
      <c r="E7189" t="s">
        <v>57</v>
      </c>
    </row>
    <row r="7190" spans="1:5" x14ac:dyDescent="0.25">
      <c r="A7190" t="str">
        <f>HYPERLINK("https://www.773grp.com/globalSearch/MPS650RLRAG/page-1", "MPS650RLRAG")</f>
        <v>MPS650RLRAG</v>
      </c>
      <c r="B7190" s="3" t="str">
        <f>HYPERLINK("https://www.773grp.com/manufacturer/onsemi?pageNo=449", "Onsemi")</f>
        <v>Onsemi</v>
      </c>
      <c r="C7190" s="6">
        <v>913</v>
      </c>
      <c r="D7190" s="7">
        <v>0.85</v>
      </c>
      <c r="E7190" t="s">
        <v>57</v>
      </c>
    </row>
    <row r="7191" spans="1:5" x14ac:dyDescent="0.25">
      <c r="A7191" t="str">
        <f>HYPERLINK("https://www.773grp.com/globalSearch/MPS651G/page-1", "MPS651G")</f>
        <v>MPS651G</v>
      </c>
      <c r="B7191" s="3" t="str">
        <f>HYPERLINK("https://www.773grp.com/manufacturer/onsemi?pageNo=450", "Onsemi")</f>
        <v>Onsemi</v>
      </c>
      <c r="C7191" s="6">
        <v>84853</v>
      </c>
      <c r="D7191" s="7">
        <v>0.85</v>
      </c>
      <c r="E7191" t="s">
        <v>57</v>
      </c>
    </row>
    <row r="7192" spans="1:5" x14ac:dyDescent="0.25">
      <c r="A7192" t="str">
        <f>HYPERLINK("https://www.773grp.com/globalSearch/MPS651RLRAG/page-1", "MPS651RLRAG")</f>
        <v>MPS651RLRAG</v>
      </c>
      <c r="B7192" s="3" t="str">
        <f>HYPERLINK("https://www.773grp.com/manufacturer/onsemi?pageNo=451", "Onsemi")</f>
        <v>Onsemi</v>
      </c>
      <c r="C7192" s="6">
        <v>48000</v>
      </c>
      <c r="D7192" s="7">
        <v>0.85</v>
      </c>
      <c r="E7192" t="s">
        <v>57</v>
      </c>
    </row>
    <row r="7193" spans="1:5" x14ac:dyDescent="0.25">
      <c r="A7193" t="str">
        <f>HYPERLINK("https://www.773grp.com/globalSearch/MPS651RLRMG/page-1", "MPS651RLRMG")</f>
        <v>MPS651RLRMG</v>
      </c>
      <c r="B7193" s="3" t="str">
        <f>HYPERLINK("https://www.773grp.com/manufacturer/onsemi?pageNo=452", "Onsemi")</f>
        <v>Onsemi</v>
      </c>
      <c r="C7193" s="6">
        <v>1850</v>
      </c>
      <c r="D7193" s="7">
        <v>0.85</v>
      </c>
      <c r="E7193" t="s">
        <v>57</v>
      </c>
    </row>
    <row r="7194" spans="1:5" x14ac:dyDescent="0.25">
      <c r="A7194" t="str">
        <f>HYPERLINK("https://www.773grp.com/globalSearch/MPS750RLRPG/page-1", "MPS750RLRPG")</f>
        <v>MPS750RLRPG</v>
      </c>
      <c r="B7194" s="3" t="str">
        <f>HYPERLINK("https://www.773grp.com/manufacturer/onsemi?pageNo=453", "Onsemi")</f>
        <v>Onsemi</v>
      </c>
      <c r="C7194" s="6">
        <v>8000</v>
      </c>
      <c r="D7194" s="7">
        <v>0.85</v>
      </c>
    </row>
    <row r="7195" spans="1:5" x14ac:dyDescent="0.25">
      <c r="A7195" t="str">
        <f>HYPERLINK("https://www.773grp.com/globalSearch/MPS751G/page-1", "MPS751G")</f>
        <v>MPS751G</v>
      </c>
      <c r="B7195" s="3" t="str">
        <f>HYPERLINK("https://www.773grp.com/manufacturer/onsemi?pageNo=454", "Onsemi")</f>
        <v>Onsemi</v>
      </c>
      <c r="C7195" s="6">
        <v>31090</v>
      </c>
      <c r="D7195" s="7">
        <v>0.85</v>
      </c>
      <c r="E7195" t="s">
        <v>57</v>
      </c>
    </row>
    <row r="7196" spans="1:5" x14ac:dyDescent="0.25">
      <c r="A7196" t="str">
        <f>HYPERLINK("https://www.773grp.com/globalSearch/MPS751RLRAG/page-1", "MPS751RLRAG")</f>
        <v>MPS751RLRAG</v>
      </c>
      <c r="B7196" s="3" t="str">
        <f>HYPERLINK("https://www.773grp.com/manufacturer/onsemi?pageNo=455", "Onsemi")</f>
        <v>Onsemi</v>
      </c>
      <c r="C7196" s="6">
        <v>138476</v>
      </c>
      <c r="D7196" s="7">
        <v>0.85</v>
      </c>
      <c r="E7196" t="s">
        <v>57</v>
      </c>
    </row>
    <row r="7197" spans="1:5" x14ac:dyDescent="0.25">
      <c r="A7197" t="str">
        <f>HYPERLINK("https://www.773grp.com/globalSearch/MPS751RLRPG/page-1", "MPS751RLRPG")</f>
        <v>MPS751RLRPG</v>
      </c>
      <c r="B7197" s="3" t="str">
        <f>HYPERLINK("https://www.773grp.com/manufacturer/onsemi?pageNo=456", "Onsemi")</f>
        <v>Onsemi</v>
      </c>
      <c r="C7197" s="6">
        <v>3000</v>
      </c>
      <c r="D7197" s="7">
        <v>0.85</v>
      </c>
      <c r="E7197" t="s">
        <v>57</v>
      </c>
    </row>
    <row r="7198" spans="1:5" x14ac:dyDescent="0.25">
      <c r="A7198" t="str">
        <f>HYPERLINK("https://www.773grp.com/globalSearch/MPS751ZL1G/page-1", "MPS751ZL1G")</f>
        <v>MPS751ZL1G</v>
      </c>
      <c r="B7198" s="3" t="str">
        <f>HYPERLINK("https://www.773grp.com/manufacturer/onsemi?pageNo=457", "Onsemi")</f>
        <v>Onsemi</v>
      </c>
      <c r="C7198" s="6">
        <v>22000</v>
      </c>
      <c r="D7198" s="7">
        <v>0.85</v>
      </c>
      <c r="E7198" t="s">
        <v>57</v>
      </c>
    </row>
    <row r="7199" spans="1:5" x14ac:dyDescent="0.25">
      <c r="A7199" t="str">
        <f>HYPERLINK("https://www.773grp.com/globalSearch/MPSA44RL1G/page-1", "MPSA44RL1G")</f>
        <v>MPSA44RL1G</v>
      </c>
      <c r="B7199" s="3" t="str">
        <f>HYPERLINK("https://www.773grp.com/manufacturer/onsemi?pageNo=458", "Onsemi")</f>
        <v>Onsemi</v>
      </c>
      <c r="C7199" s="6">
        <v>2050</v>
      </c>
      <c r="D7199" s="7">
        <v>0.85</v>
      </c>
    </row>
    <row r="7200" spans="1:5" x14ac:dyDescent="0.25">
      <c r="A7200" t="str">
        <f>HYPERLINK("https://www.773grp.com/globalSearch/MPSA44RLRAG/page-1", "MPSA44RLRAG")</f>
        <v>MPSA44RLRAG</v>
      </c>
      <c r="B7200" s="3" t="str">
        <f>HYPERLINK("https://www.773grp.com/manufacturer/onsemi?pageNo=459", "Onsemi")</f>
        <v>Onsemi</v>
      </c>
      <c r="C7200" s="6">
        <v>10000</v>
      </c>
      <c r="D7200" s="7">
        <v>0.85</v>
      </c>
    </row>
    <row r="7201" spans="1:5" x14ac:dyDescent="0.25">
      <c r="A7201" t="str">
        <f>HYPERLINK("https://www.773grp.com/globalSearch/MTDF1N03HDR2/page-1", "MTDF1N03HDR2")</f>
        <v>MTDF1N03HDR2</v>
      </c>
      <c r="B7201" s="3" t="str">
        <f>HYPERLINK("https://www.773grp.com/manufacturer/onsemi?pageNo=460", "Onsemi")</f>
        <v>Onsemi</v>
      </c>
      <c r="C7201" s="6">
        <v>5700</v>
      </c>
      <c r="D7201" s="7">
        <v>0.85</v>
      </c>
      <c r="E7201" t="s">
        <v>85</v>
      </c>
    </row>
    <row r="7202" spans="1:5" x14ac:dyDescent="0.25">
      <c r="A7202" t="str">
        <f>HYPERLINK("https://www.773grp.com/globalSearch/MZP4746ARLG/page-1", "MZP4746ARLG")</f>
        <v>MZP4746ARLG</v>
      </c>
      <c r="B7202" s="3" t="str">
        <f>HYPERLINK("https://www.773grp.com/manufacturer/onsemi?pageNo=461", "Onsemi")</f>
        <v>Onsemi</v>
      </c>
      <c r="C7202" s="6">
        <v>19179</v>
      </c>
      <c r="D7202" s="7">
        <v>0.85</v>
      </c>
      <c r="E7202" t="s">
        <v>77</v>
      </c>
    </row>
    <row r="7203" spans="1:5" x14ac:dyDescent="0.25">
      <c r="A7203" t="str">
        <f>HYPERLINK("https://www.773grp.com/globalSearch/NCP1450ASN27T1/page-1", "NCP1450ASN27T1")</f>
        <v>NCP1450ASN27T1</v>
      </c>
      <c r="B7203" s="3" t="str">
        <f>HYPERLINK("https://www.773grp.com/manufacturer/onsemi?pageNo=462", "Onsemi")</f>
        <v>Onsemi</v>
      </c>
      <c r="C7203" s="6">
        <v>48000</v>
      </c>
      <c r="D7203" s="7">
        <v>0.85</v>
      </c>
      <c r="E7203" t="s">
        <v>5</v>
      </c>
    </row>
    <row r="7204" spans="1:5" x14ac:dyDescent="0.25">
      <c r="A7204" t="str">
        <f>HYPERLINK("https://www.773grp.com/globalSearch/NCP1450ASN30T1/page-1", "NCP1450ASN30T1")</f>
        <v>NCP1450ASN30T1</v>
      </c>
      <c r="B7204" s="3" t="str">
        <f>HYPERLINK("https://www.773grp.com/manufacturer/onsemi?pageNo=463", "Onsemi")</f>
        <v>Onsemi</v>
      </c>
      <c r="C7204" s="6">
        <v>2947</v>
      </c>
      <c r="D7204" s="7">
        <v>0.85</v>
      </c>
      <c r="E7204" t="s">
        <v>5</v>
      </c>
    </row>
    <row r="7205" spans="1:5" x14ac:dyDescent="0.25">
      <c r="A7205" t="str">
        <f>HYPERLINK("https://www.773grp.com/globalSearch/NCP1450ASN33T1/page-1", "NCP1450ASN33T1")</f>
        <v>NCP1450ASN33T1</v>
      </c>
      <c r="B7205" s="3" t="str">
        <f>HYPERLINK("https://www.773grp.com/manufacturer/onsemi?pageNo=464", "Onsemi")</f>
        <v>Onsemi</v>
      </c>
      <c r="C7205" s="6">
        <v>894</v>
      </c>
      <c r="D7205" s="7">
        <v>0.85</v>
      </c>
      <c r="E7205" t="s">
        <v>5</v>
      </c>
    </row>
    <row r="7206" spans="1:5" x14ac:dyDescent="0.25">
      <c r="A7206" t="str">
        <f>HYPERLINK("https://www.773grp.com/globalSearch/NCP5359AMNR2G/page-1", "NCP5359AMNR2G")</f>
        <v>NCP5359AMNR2G</v>
      </c>
      <c r="B7206" s="3" t="str">
        <f>HYPERLINK("https://www.773grp.com/manufacturer/onsemi?pageNo=465", "Onsemi")</f>
        <v>Onsemi</v>
      </c>
      <c r="C7206" s="6">
        <v>6000</v>
      </c>
      <c r="D7206" s="7">
        <v>0.85</v>
      </c>
    </row>
    <row r="7207" spans="1:5" x14ac:dyDescent="0.25">
      <c r="A7207" t="str">
        <f>HYPERLINK("https://www.773grp.com/globalSearch/NCP582LSQ28T1G/page-1", "NCP582LSQ28T1G")</f>
        <v>NCP582LSQ28T1G</v>
      </c>
      <c r="B7207" s="3" t="str">
        <f>HYPERLINK("https://www.773grp.com/manufacturer/onsemi?pageNo=466", "Onsemi")</f>
        <v>Onsemi</v>
      </c>
      <c r="C7207" s="6">
        <v>11500</v>
      </c>
      <c r="D7207" s="7">
        <v>0.85</v>
      </c>
      <c r="E7207" t="s">
        <v>15</v>
      </c>
    </row>
    <row r="7208" spans="1:5" x14ac:dyDescent="0.25">
      <c r="A7208" t="str">
        <f>HYPERLINK("https://www.773grp.com/globalSearch/NCP582LSQ30T1G/page-1", "NCP582LSQ30T1G")</f>
        <v>NCP582LSQ30T1G</v>
      </c>
      <c r="B7208" s="3" t="str">
        <f>HYPERLINK("https://www.773grp.com/manufacturer/onsemi?pageNo=467", "Onsemi")</f>
        <v>Onsemi</v>
      </c>
      <c r="C7208" s="6">
        <v>5505</v>
      </c>
      <c r="D7208" s="7">
        <v>0.85</v>
      </c>
      <c r="E7208" t="s">
        <v>15</v>
      </c>
    </row>
    <row r="7209" spans="1:5" x14ac:dyDescent="0.25">
      <c r="A7209" t="str">
        <f>HYPERLINK("https://www.773grp.com/globalSearch/NCP7805TG/page-1", "NCP7805TG")</f>
        <v>NCP7805TG</v>
      </c>
      <c r="B7209" s="3" t="str">
        <f>HYPERLINK("https://www.773grp.com/manufacturer/onsemi?pageNo=468", "Onsemi")</f>
        <v>Onsemi</v>
      </c>
      <c r="C7209" s="6">
        <v>184499</v>
      </c>
      <c r="D7209" s="7">
        <v>0.85</v>
      </c>
    </row>
    <row r="7210" spans="1:5" x14ac:dyDescent="0.25">
      <c r="A7210" t="str">
        <f>HYPERLINK("https://www.773grp.com/globalSearch/NCP7808TG/page-1", "NCP7808TG")</f>
        <v>NCP7808TG</v>
      </c>
      <c r="B7210" s="3" t="str">
        <f>HYPERLINK("https://www.773grp.com/manufacturer/onsemi?pageNo=469", "Onsemi")</f>
        <v>Onsemi</v>
      </c>
      <c r="C7210" s="6">
        <v>3050</v>
      </c>
      <c r="D7210" s="7">
        <v>0.85</v>
      </c>
    </row>
    <row r="7211" spans="1:5" x14ac:dyDescent="0.25">
      <c r="A7211" t="str">
        <f>HYPERLINK("https://www.773grp.com/globalSearch/NCP7812TG/page-1", "NCP7812TG")</f>
        <v>NCP7812TG</v>
      </c>
      <c r="B7211" s="3" t="str">
        <f>HYPERLINK("https://www.773grp.com/manufacturer/onsemi?pageNo=470", "Onsemi")</f>
        <v>Onsemi</v>
      </c>
      <c r="C7211" s="6">
        <v>1249373</v>
      </c>
      <c r="D7211" s="7">
        <v>0.85</v>
      </c>
      <c r="E7211" t="s">
        <v>24</v>
      </c>
    </row>
    <row r="7212" spans="1:5" x14ac:dyDescent="0.25">
      <c r="A7212" t="str">
        <f>HYPERLINK("https://www.773grp.com/globalSearch/NCP7815TG/page-1", "NCP7815TG")</f>
        <v>NCP7815TG</v>
      </c>
      <c r="B7212" s="3" t="str">
        <f>HYPERLINK("https://www.773grp.com/manufacturer/onsemi?pageNo=471", "Onsemi")</f>
        <v>Onsemi</v>
      </c>
      <c r="C7212" s="6">
        <v>3600</v>
      </c>
      <c r="D7212" s="7">
        <v>0.85</v>
      </c>
    </row>
    <row r="7213" spans="1:5" x14ac:dyDescent="0.25">
      <c r="A7213" t="str">
        <f>HYPERLINK("https://www.773grp.com/globalSearch/NCS2001SN1T1/page-1", "NCS2001SN1T1")</f>
        <v>NCS2001SN1T1</v>
      </c>
      <c r="B7213" s="3" t="str">
        <f>HYPERLINK("https://www.773grp.com/manufacturer/onsemi?pageNo=472", "Onsemi")</f>
        <v>Onsemi</v>
      </c>
      <c r="C7213" s="6">
        <v>5927</v>
      </c>
      <c r="D7213" s="7">
        <v>0.85</v>
      </c>
      <c r="E7213" t="s">
        <v>10</v>
      </c>
    </row>
    <row r="7214" spans="1:5" x14ac:dyDescent="0.25">
      <c r="A7214" t="str">
        <f>HYPERLINK("https://www.773grp.com/globalSearch/NCS2002SN1T1/page-1", "NCS2002SN1T1")</f>
        <v>NCS2002SN1T1</v>
      </c>
      <c r="B7214" s="3" t="str">
        <f>HYPERLINK("https://www.773grp.com/manufacturer/onsemi?pageNo=473", "Onsemi")</f>
        <v>Onsemi</v>
      </c>
      <c r="C7214" s="6">
        <v>1682</v>
      </c>
      <c r="D7214" s="7">
        <v>0.85</v>
      </c>
      <c r="E7214" t="s">
        <v>10</v>
      </c>
    </row>
    <row r="7215" spans="1:5" x14ac:dyDescent="0.25">
      <c r="A7215" t="str">
        <f>HYPERLINK("https://www.773grp.com/globalSearch/NCS2002SN2T1/page-1", "NCS2002SN2T1")</f>
        <v>NCS2002SN2T1</v>
      </c>
      <c r="B7215" s="3" t="str">
        <f>HYPERLINK("https://www.773grp.com/manufacturer/onsemi?pageNo=474", "Onsemi")</f>
        <v>Onsemi</v>
      </c>
      <c r="C7215" s="6">
        <v>5945</v>
      </c>
      <c r="D7215" s="7">
        <v>0.85</v>
      </c>
      <c r="E7215" t="s">
        <v>10</v>
      </c>
    </row>
    <row r="7216" spans="1:5" x14ac:dyDescent="0.25">
      <c r="A7216" t="str">
        <f>HYPERLINK("https://www.773grp.com/globalSearch/NCS2201SN1T1/page-1", "NCS2201SN1T1")</f>
        <v>NCS2201SN1T1</v>
      </c>
      <c r="B7216" s="3" t="str">
        <f>HYPERLINK("https://www.773grp.com/manufacturer/onsemi?pageNo=475", "Onsemi")</f>
        <v>Onsemi</v>
      </c>
      <c r="C7216" s="6">
        <v>11995</v>
      </c>
      <c r="D7216" s="7">
        <v>0.85</v>
      </c>
      <c r="E7216" t="s">
        <v>6</v>
      </c>
    </row>
    <row r="7217" spans="1:5" x14ac:dyDescent="0.25">
      <c r="A7217" t="str">
        <f>HYPERLINK("https://www.773grp.com/globalSearch/NCS2201SN1T1G/page-1", "NCS2201SN1T1G")</f>
        <v>NCS2201SN1T1G</v>
      </c>
      <c r="B7217" s="3" t="str">
        <f>HYPERLINK("https://www.773grp.com/manufacturer/onsemi?pageNo=476", "Onsemi")</f>
        <v>Onsemi</v>
      </c>
      <c r="C7217" s="6">
        <v>15000</v>
      </c>
      <c r="D7217" s="7">
        <v>0.85</v>
      </c>
      <c r="E7217" t="s">
        <v>6</v>
      </c>
    </row>
    <row r="7218" spans="1:5" x14ac:dyDescent="0.25">
      <c r="A7218" t="str">
        <f>HYPERLINK("https://www.773grp.com/globalSearch/NCS2203SN1T1/page-1", "NCS2203SN1T1")</f>
        <v>NCS2203SN1T1</v>
      </c>
      <c r="B7218" s="3" t="str">
        <f>HYPERLINK("https://www.773grp.com/manufacturer/onsemi?pageNo=477", "Onsemi")</f>
        <v>Onsemi</v>
      </c>
      <c r="C7218" s="6">
        <v>3000</v>
      </c>
      <c r="D7218" s="7">
        <v>0.85</v>
      </c>
      <c r="E7218" t="s">
        <v>6</v>
      </c>
    </row>
    <row r="7219" spans="1:5" x14ac:dyDescent="0.25">
      <c r="A7219" t="str">
        <f>HYPERLINK("https://www.773grp.com/globalSearch/NCS2203SN2T1/page-1", "NCS2203SN2T1")</f>
        <v>NCS2203SN2T1</v>
      </c>
      <c r="B7219" s="3" t="str">
        <f>HYPERLINK("https://www.773grp.com/manufacturer/onsemi?pageNo=478", "Onsemi")</f>
        <v>Onsemi</v>
      </c>
      <c r="C7219" s="6">
        <v>18000</v>
      </c>
      <c r="D7219" s="7">
        <v>0.85</v>
      </c>
      <c r="E7219" t="s">
        <v>6</v>
      </c>
    </row>
    <row r="7220" spans="1:5" x14ac:dyDescent="0.25">
      <c r="A7220" t="str">
        <f>HYPERLINK("https://www.773grp.com/globalSearch/NCV2904DMR2G/page-1", "NCV2904DMR2G")</f>
        <v>NCV2904DMR2G</v>
      </c>
      <c r="B7220" s="3" t="str">
        <f>HYPERLINK("https://www.773grp.com/manufacturer/onsemi?pageNo=479", "Onsemi")</f>
        <v>Onsemi</v>
      </c>
      <c r="C7220" s="6">
        <v>32000</v>
      </c>
      <c r="D7220" s="7">
        <v>0.85</v>
      </c>
    </row>
    <row r="7221" spans="1:5" x14ac:dyDescent="0.25">
      <c r="A7221" t="str">
        <f>HYPERLINK("https://www.773grp.com/globalSearch/NCV301LSN22T1/page-1", "NCV301LSN22T1")</f>
        <v>NCV301LSN22T1</v>
      </c>
      <c r="B7221" s="3" t="str">
        <f>HYPERLINK("https://www.773grp.com/manufacturer/onsemi?pageNo=480", "Onsemi")</f>
        <v>Onsemi</v>
      </c>
      <c r="C7221" s="6">
        <v>12000</v>
      </c>
      <c r="D7221" s="7">
        <v>0.85</v>
      </c>
      <c r="E7221" t="s">
        <v>26</v>
      </c>
    </row>
    <row r="7222" spans="1:5" x14ac:dyDescent="0.25">
      <c r="A7222" t="str">
        <f>HYPERLINK("https://www.773grp.com/globalSearch/NLAS4051D/page-1", "NLAS4051D")</f>
        <v>NLAS4051D</v>
      </c>
      <c r="B7222" s="3" t="str">
        <f>HYPERLINK("https://www.773grp.com/manufacturer/onsemi?pageNo=481", "Onsemi")</f>
        <v>Onsemi</v>
      </c>
      <c r="C7222" s="6">
        <v>2688</v>
      </c>
      <c r="D7222" s="7">
        <v>0.85</v>
      </c>
    </row>
    <row r="7223" spans="1:5" x14ac:dyDescent="0.25">
      <c r="A7223" t="str">
        <f>HYPERLINK("https://www.773grp.com/globalSearch/NLAS4051DR2/page-1", "NLAS4051DR2")</f>
        <v>NLAS4051DR2</v>
      </c>
      <c r="B7223" s="3" t="str">
        <f>HYPERLINK("https://www.773grp.com/manufacturer/onsemi?pageNo=482", "Onsemi")</f>
        <v>Onsemi</v>
      </c>
      <c r="C7223" s="6">
        <v>2500</v>
      </c>
      <c r="D7223" s="7">
        <v>0.85</v>
      </c>
      <c r="E7223" t="s">
        <v>46</v>
      </c>
    </row>
    <row r="7224" spans="1:5" x14ac:dyDescent="0.25">
      <c r="A7224" t="str">
        <f>HYPERLINK("https://www.773grp.com/globalSearch/NLAS4052QSR/page-1", "NLAS4052QSR")</f>
        <v>NLAS4052QSR</v>
      </c>
      <c r="B7224" s="3" t="str">
        <f>HYPERLINK("https://www.773grp.com/manufacturer/onsemi?pageNo=483", "Onsemi")</f>
        <v>Onsemi</v>
      </c>
      <c r="C7224" s="6">
        <v>10000</v>
      </c>
      <c r="D7224" s="7">
        <v>0.85</v>
      </c>
      <c r="E7224" t="s">
        <v>46</v>
      </c>
    </row>
    <row r="7225" spans="1:5" x14ac:dyDescent="0.25">
      <c r="A7225" t="str">
        <f>HYPERLINK("https://www.773grp.com/globalSearch/NLAST4052DT/page-1", "NLAST4052DT")</f>
        <v>NLAST4052DT</v>
      </c>
      <c r="B7225" s="3" t="str">
        <f>HYPERLINK("https://www.773grp.com/manufacturer/onsemi?pageNo=484", "Onsemi")</f>
        <v>Onsemi</v>
      </c>
      <c r="C7225" s="6">
        <v>720</v>
      </c>
      <c r="D7225" s="7">
        <v>0.85</v>
      </c>
      <c r="E7225" t="s">
        <v>46</v>
      </c>
    </row>
    <row r="7226" spans="1:5" x14ac:dyDescent="0.25">
      <c r="A7226" t="str">
        <f>HYPERLINK("https://www.773grp.com/globalSearch/NLAST4052DTR2/page-1", "NLAST4052DTR2")</f>
        <v>NLAST4052DTR2</v>
      </c>
      <c r="B7226" s="3" t="str">
        <f>HYPERLINK("https://www.773grp.com/manufacturer/onsemi?pageNo=485", "Onsemi")</f>
        <v>Onsemi</v>
      </c>
      <c r="C7226" s="6">
        <v>7500</v>
      </c>
      <c r="D7226" s="7">
        <v>0.85</v>
      </c>
      <c r="E7226" t="s">
        <v>46</v>
      </c>
    </row>
    <row r="7227" spans="1:5" x14ac:dyDescent="0.25">
      <c r="A7227" t="str">
        <f>HYPERLINK("https://www.773grp.com/globalSearch/NLAST4052QSR/page-1", "NLAST4052QSR")</f>
        <v>NLAST4052QSR</v>
      </c>
      <c r="B7227" s="3" t="str">
        <f>HYPERLINK("https://www.773grp.com/manufacturer/onsemi?pageNo=486", "Onsemi")</f>
        <v>Onsemi</v>
      </c>
      <c r="C7227" s="6">
        <v>12500</v>
      </c>
      <c r="D7227" s="7">
        <v>0.85</v>
      </c>
      <c r="E7227" t="s">
        <v>46</v>
      </c>
    </row>
    <row r="7228" spans="1:5" x14ac:dyDescent="0.25">
      <c r="A7228" t="str">
        <f>HYPERLINK("https://www.773grp.com/globalSearch/NLV14066BDG/page-1", "NLV14066BDG")</f>
        <v>NLV14066BDG</v>
      </c>
      <c r="B7228" s="3" t="str">
        <f>HYPERLINK("https://www.773grp.com/manufacturer/onsemi?pageNo=487", "Onsemi")</f>
        <v>Onsemi</v>
      </c>
      <c r="C7228" s="6">
        <v>120</v>
      </c>
      <c r="D7228" s="7">
        <v>0.85</v>
      </c>
    </row>
    <row r="7229" spans="1:5" x14ac:dyDescent="0.25">
      <c r="A7229" t="str">
        <f>HYPERLINK("https://www.773grp.com/globalSearch/NLV14066BDR2G/page-1", "NLV14066BDR2G")</f>
        <v>NLV14066BDR2G</v>
      </c>
      <c r="B7229" s="3" t="str">
        <f>HYPERLINK("https://www.773grp.com/manufacturer/onsemi?pageNo=488", "Onsemi")</f>
        <v>Onsemi</v>
      </c>
      <c r="C7229" s="6">
        <v>21394</v>
      </c>
      <c r="D7229" s="7">
        <v>0.85</v>
      </c>
    </row>
    <row r="7230" spans="1:5" x14ac:dyDescent="0.25">
      <c r="A7230" t="str">
        <f>HYPERLINK("https://www.773grp.com/globalSearch/NLV74HC393ANG/page-1", "NLV74HC393ANG")</f>
        <v>NLV74HC393ANG</v>
      </c>
      <c r="B7230" s="3" t="str">
        <f>HYPERLINK("https://www.773grp.com/manufacturer/onsemi?pageNo=489", "Onsemi")</f>
        <v>Onsemi</v>
      </c>
      <c r="C7230" s="6">
        <v>4261</v>
      </c>
      <c r="D7230" s="7">
        <v>0.85</v>
      </c>
    </row>
    <row r="7231" spans="1:5" x14ac:dyDescent="0.25">
      <c r="A7231" t="str">
        <f>HYPERLINK("https://www.773grp.com/globalSearch/NP0640SBT3G/page-1", "NP0640SBT3G")</f>
        <v>NP0640SBT3G</v>
      </c>
      <c r="B7231" s="3" t="str">
        <f>HYPERLINK("https://www.773grp.com/manufacturer/onsemi?pageNo=490", "Onsemi")</f>
        <v>Onsemi</v>
      </c>
      <c r="C7231" s="6">
        <v>20910</v>
      </c>
      <c r="D7231" s="7">
        <v>0.85</v>
      </c>
    </row>
    <row r="7232" spans="1:5" x14ac:dyDescent="0.25">
      <c r="A7232" t="str">
        <f>HYPERLINK("https://www.773grp.com/globalSearch/NP0720SBT3G/page-1", "NP0720SBT3G")</f>
        <v>NP0720SBT3G</v>
      </c>
      <c r="B7232" s="3" t="str">
        <f>HYPERLINK("https://www.773grp.com/manufacturer/onsemi?pageNo=491", "Onsemi")</f>
        <v>Onsemi</v>
      </c>
      <c r="C7232" s="6">
        <v>16487</v>
      </c>
      <c r="D7232" s="7">
        <v>0.85</v>
      </c>
      <c r="E7232" t="s">
        <v>88</v>
      </c>
    </row>
    <row r="7233" spans="1:5" x14ac:dyDescent="0.25">
      <c r="A7233" t="str">
        <f>HYPERLINK("https://www.773grp.com/globalSearch/NP0900SBT3G/page-1", "NP0900SBT3G")</f>
        <v>NP0900SBT3G</v>
      </c>
      <c r="B7233" s="3" t="str">
        <f>HYPERLINK("https://www.773grp.com/manufacturer/onsemi?pageNo=492", "Onsemi")</f>
        <v>Onsemi</v>
      </c>
      <c r="C7233" s="6">
        <v>2400</v>
      </c>
      <c r="D7233" s="7">
        <v>0.85</v>
      </c>
    </row>
    <row r="7234" spans="1:5" x14ac:dyDescent="0.25">
      <c r="A7234" t="str">
        <f>HYPERLINK("https://www.773grp.com/globalSearch/NP1100SBT3G/page-1", "NP1100SBT3G")</f>
        <v>NP1100SBT3G</v>
      </c>
      <c r="B7234" s="3" t="str">
        <f>HYPERLINK("https://www.773grp.com/manufacturer/onsemi?pageNo=493", "Onsemi")</f>
        <v>Onsemi</v>
      </c>
      <c r="C7234" s="6">
        <v>7300</v>
      </c>
      <c r="D7234" s="7">
        <v>0.85</v>
      </c>
    </row>
    <row r="7235" spans="1:5" x14ac:dyDescent="0.25">
      <c r="A7235" t="str">
        <f>HYPERLINK("https://www.773grp.com/globalSearch/NP1300SBT3G/page-1", "NP1300SBT3G")</f>
        <v>NP1300SBT3G</v>
      </c>
      <c r="B7235" s="3" t="str">
        <f>HYPERLINK("https://www.773grp.com/manufacturer/onsemi?pageNo=494", "Onsemi")</f>
        <v>Onsemi</v>
      </c>
      <c r="C7235" s="6">
        <v>4990</v>
      </c>
      <c r="D7235" s="7">
        <v>0.85</v>
      </c>
      <c r="E7235" t="s">
        <v>88</v>
      </c>
    </row>
    <row r="7236" spans="1:5" x14ac:dyDescent="0.25">
      <c r="A7236" t="str">
        <f>HYPERLINK("https://www.773grp.com/globalSearch/NP1500SBT3G/page-1", "NP1500SBT3G")</f>
        <v>NP1500SBT3G</v>
      </c>
      <c r="B7236" s="3" t="str">
        <f>HYPERLINK("https://www.773grp.com/manufacturer/onsemi?pageNo=495", "Onsemi")</f>
        <v>Onsemi</v>
      </c>
      <c r="C7236" s="6">
        <v>4985</v>
      </c>
      <c r="D7236" s="7">
        <v>0.85</v>
      </c>
    </row>
    <row r="7237" spans="1:5" x14ac:dyDescent="0.25">
      <c r="A7237" t="str">
        <f>HYPERLINK("https://www.773grp.com/globalSearch/NP1800SBT3G/page-1", "NP1800SBT3G")</f>
        <v>NP1800SBT3G</v>
      </c>
      <c r="B7237" s="3" t="str">
        <f>HYPERLINK("https://www.773grp.com/manufacturer/onsemi?pageNo=496", "Onsemi")</f>
        <v>Onsemi</v>
      </c>
      <c r="C7237" s="6">
        <v>3125</v>
      </c>
      <c r="D7237" s="7">
        <v>0.85</v>
      </c>
    </row>
    <row r="7238" spans="1:5" x14ac:dyDescent="0.25">
      <c r="A7238" t="str">
        <f>HYPERLINK("https://www.773grp.com/globalSearch/NP2100SBT3G/page-1", "NP2100SBT3G")</f>
        <v>NP2100SBT3G</v>
      </c>
      <c r="B7238" s="3" t="str">
        <f>HYPERLINK("https://www.773grp.com/manufacturer/onsemi?pageNo=497", "Onsemi")</f>
        <v>Onsemi</v>
      </c>
      <c r="C7238" s="6">
        <v>5000</v>
      </c>
      <c r="D7238" s="7">
        <v>0.85</v>
      </c>
      <c r="E7238" t="s">
        <v>88</v>
      </c>
    </row>
    <row r="7239" spans="1:5" x14ac:dyDescent="0.25">
      <c r="A7239" t="str">
        <f>HYPERLINK("https://www.773grp.com/globalSearch/NP2300SBT3G/page-1", "NP2300SBT3G")</f>
        <v>NP2300SBT3G</v>
      </c>
      <c r="B7239" s="3" t="str">
        <f>HYPERLINK("https://www.773grp.com/manufacturer/onsemi?pageNo=498", "Onsemi")</f>
        <v>Onsemi</v>
      </c>
      <c r="C7239" s="6">
        <v>12500</v>
      </c>
      <c r="D7239" s="7">
        <v>0.85</v>
      </c>
      <c r="E7239" t="s">
        <v>88</v>
      </c>
    </row>
    <row r="7240" spans="1:5" x14ac:dyDescent="0.25">
      <c r="A7240" t="str">
        <f>HYPERLINK("https://www.773grp.com/globalSearch/NP2600SBT3G/page-1", "NP2600SBT3G")</f>
        <v>NP2600SBT3G</v>
      </c>
      <c r="B7240" s="3" t="str">
        <f>HYPERLINK("https://www.773grp.com/manufacturer/onsemi?pageNo=499", "Onsemi")</f>
        <v>Onsemi</v>
      </c>
      <c r="C7240" s="6">
        <v>12500</v>
      </c>
      <c r="D7240" s="7">
        <v>0.85</v>
      </c>
      <c r="E7240" t="s">
        <v>88</v>
      </c>
    </row>
    <row r="7241" spans="1:5" x14ac:dyDescent="0.25">
      <c r="A7241" t="str">
        <f>HYPERLINK("https://www.773grp.com/globalSearch/NP3100SBT3G/page-1", "NP3100SBT3G")</f>
        <v>NP3100SBT3G</v>
      </c>
      <c r="B7241" s="3" t="str">
        <f>HYPERLINK("https://www.773grp.com/manufacturer/onsemi?pageNo=500", "Onsemi")</f>
        <v>Onsemi</v>
      </c>
      <c r="C7241" s="6">
        <v>261921</v>
      </c>
      <c r="D7241" s="7">
        <v>0.85</v>
      </c>
      <c r="E7241" t="s">
        <v>88</v>
      </c>
    </row>
    <row r="7242" spans="1:5" x14ac:dyDescent="0.25">
      <c r="A7242" t="str">
        <f>HYPERLINK("https://www.773grp.com/globalSearch/NP3500SBT3G/page-1", "NP3500SBT3G")</f>
        <v>NP3500SBT3G</v>
      </c>
      <c r="B7242" s="3" t="str">
        <f>HYPERLINK("https://www.773grp.com/manufacturer/onsemi?pageNo=501", "Onsemi")</f>
        <v>Onsemi</v>
      </c>
      <c r="C7242" s="6">
        <v>87500</v>
      </c>
      <c r="D7242" s="7">
        <v>0.85</v>
      </c>
      <c r="E7242" t="s">
        <v>88</v>
      </c>
    </row>
    <row r="7243" spans="1:5" x14ac:dyDescent="0.25">
      <c r="A7243" t="str">
        <f>HYPERLINK("https://www.773grp.com/globalSearch/NRVBA130LT3/page-1", "NRVBA130LT3")</f>
        <v>NRVBA130LT3</v>
      </c>
      <c r="B7243" s="3" t="str">
        <f>HYPERLINK("https://www.773grp.com/manufacturer/onsemi?pageNo=502", "Onsemi")</f>
        <v>Onsemi</v>
      </c>
      <c r="C7243" s="6">
        <v>5000</v>
      </c>
      <c r="D7243" s="7">
        <v>0.85</v>
      </c>
    </row>
    <row r="7244" spans="1:5" x14ac:dyDescent="0.25">
      <c r="A7244" t="str">
        <f>HYPERLINK("https://www.773grp.com/globalSearch/NSS35200CF8T1G/page-1", "NSS35200CF8T1G")</f>
        <v>NSS35200CF8T1G</v>
      </c>
      <c r="B7244" s="3" t="str">
        <f>HYPERLINK("https://www.773grp.com/manufacturer/onsemi?pageNo=503", "Onsemi")</f>
        <v>Onsemi</v>
      </c>
      <c r="C7244" s="6">
        <v>508707</v>
      </c>
      <c r="D7244" s="7">
        <v>0.85</v>
      </c>
      <c r="E7244" t="s">
        <v>57</v>
      </c>
    </row>
    <row r="7245" spans="1:5" x14ac:dyDescent="0.25">
      <c r="A7245" t="str">
        <f>HYPERLINK("https://www.773grp.com/globalSearch/NSS35200CF8TIG/page-1", "NSS35200CF8TIG")</f>
        <v>NSS35200CF8TIG</v>
      </c>
      <c r="B7245" s="3" t="str">
        <f>HYPERLINK("https://www.773grp.com/manufacturer/onsemi?pageNo=504", "Onsemi")</f>
        <v>Onsemi</v>
      </c>
      <c r="C7245" s="6">
        <v>2736</v>
      </c>
      <c r="D7245" s="7">
        <v>0.85</v>
      </c>
    </row>
    <row r="7246" spans="1:5" x14ac:dyDescent="0.25">
      <c r="A7246" t="str">
        <f>HYPERLINK("https://www.773grp.com/globalSearch/NSS40600CF8T1G/page-1", "NSS40600CF8T1G")</f>
        <v>NSS40600CF8T1G</v>
      </c>
      <c r="B7246" s="3" t="str">
        <f>HYPERLINK("https://www.773grp.com/manufacturer/onsemi?pageNo=505", "Onsemi")</f>
        <v>Onsemi</v>
      </c>
      <c r="C7246" s="6">
        <v>147000</v>
      </c>
      <c r="D7246" s="7">
        <v>0.85</v>
      </c>
    </row>
    <row r="7247" spans="1:5" x14ac:dyDescent="0.25">
      <c r="A7247" t="str">
        <f>HYPERLINK("https://www.773grp.com/globalSearch/NSVF2250WT1G/page-1", "NSVF2250WT1G")</f>
        <v>NSVF2250WT1G</v>
      </c>
      <c r="B7247" s="3" t="str">
        <f>HYPERLINK("https://www.773grp.com/manufacturer/onsemi?pageNo=506", "Onsemi")</f>
        <v>Onsemi</v>
      </c>
      <c r="C7247" s="6">
        <v>108000</v>
      </c>
      <c r="D7247" s="7">
        <v>0.85</v>
      </c>
    </row>
    <row r="7248" spans="1:5" x14ac:dyDescent="0.25">
      <c r="A7248" t="str">
        <f>HYPERLINK("https://www.773grp.com/globalSearch/NTB13N10G/page-1", "NTB13N10G")</f>
        <v>NTB13N10G</v>
      </c>
      <c r="B7248" s="3" t="str">
        <f>HYPERLINK("https://www.773grp.com/manufacturer/onsemi?pageNo=507", "Onsemi")</f>
        <v>Onsemi</v>
      </c>
      <c r="C7248" s="6">
        <v>100</v>
      </c>
      <c r="D7248" s="7">
        <v>0.85</v>
      </c>
      <c r="E7248" t="s">
        <v>84</v>
      </c>
    </row>
    <row r="7249" spans="1:5" x14ac:dyDescent="0.25">
      <c r="A7249" t="str">
        <f>HYPERLINK("https://www.773grp.com/globalSearch/NTB22N06/page-1", "NTB22N06")</f>
        <v>NTB22N06</v>
      </c>
      <c r="B7249" s="3" t="str">
        <f>HYPERLINK("https://www.773grp.com/manufacturer/onsemi?pageNo=508", "Onsemi")</f>
        <v>Onsemi</v>
      </c>
      <c r="C7249" s="6">
        <v>2729</v>
      </c>
      <c r="D7249" s="7">
        <v>0.85</v>
      </c>
      <c r="E7249" t="s">
        <v>84</v>
      </c>
    </row>
    <row r="7250" spans="1:5" x14ac:dyDescent="0.25">
      <c r="A7250" t="str">
        <f>HYPERLINK("https://www.773grp.com/globalSearch/NTB22N06L/page-1", "NTB22N06L")</f>
        <v>NTB22N06L</v>
      </c>
      <c r="B7250" s="3" t="str">
        <f>HYPERLINK("https://www.773grp.com/manufacturer/onsemi?pageNo=509", "Onsemi")</f>
        <v>Onsemi</v>
      </c>
      <c r="C7250" s="6">
        <v>629</v>
      </c>
      <c r="D7250" s="7">
        <v>0.85</v>
      </c>
      <c r="E7250" t="s">
        <v>84</v>
      </c>
    </row>
    <row r="7251" spans="1:5" x14ac:dyDescent="0.25">
      <c r="A7251" t="str">
        <f>HYPERLINK("https://www.773grp.com/globalSearch/NTB22N06LT4/page-1", "NTB22N06LT4")</f>
        <v>NTB22N06LT4</v>
      </c>
      <c r="B7251" s="3" t="str">
        <f>HYPERLINK("https://www.773grp.com/manufacturer/onsemi?pageNo=510", "Onsemi")</f>
        <v>Onsemi</v>
      </c>
      <c r="C7251" s="6">
        <v>1600</v>
      </c>
      <c r="D7251" s="7">
        <v>0.85</v>
      </c>
      <c r="E7251" t="s">
        <v>84</v>
      </c>
    </row>
    <row r="7252" spans="1:5" x14ac:dyDescent="0.25">
      <c r="A7252" t="str">
        <f>HYPERLINK("https://www.773grp.com/globalSearch/NTB22N06T4/page-1", "NTB22N06T4")</f>
        <v>NTB22N06T4</v>
      </c>
      <c r="B7252" s="3" t="str">
        <f>HYPERLINK("https://www.773grp.com/manufacturer/onsemi?pageNo=511", "Onsemi")</f>
        <v>Onsemi</v>
      </c>
      <c r="C7252" s="6">
        <v>4800</v>
      </c>
      <c r="D7252" s="7">
        <v>0.85</v>
      </c>
      <c r="E7252" t="s">
        <v>84</v>
      </c>
    </row>
    <row r="7253" spans="1:5" x14ac:dyDescent="0.25">
      <c r="A7253" t="str">
        <f>HYPERLINK("https://www.773grp.com/globalSearch/NTD20N06-001/page-1", "NTD20N06-001")</f>
        <v>NTD20N06-001</v>
      </c>
      <c r="B7253" s="3" t="str">
        <f>HYPERLINK("https://www.773grp.com/manufacturer/onsemi?pageNo=512", "Onsemi")</f>
        <v>Onsemi</v>
      </c>
      <c r="C7253" s="6">
        <v>3436</v>
      </c>
      <c r="D7253" s="7">
        <v>0.85</v>
      </c>
    </row>
    <row r="7254" spans="1:5" x14ac:dyDescent="0.25">
      <c r="A7254" t="str">
        <f>HYPERLINK("https://www.773grp.com/globalSearch/NTD20N06-1G/page-1", "NTD20N06-1G")</f>
        <v>NTD20N06-1G</v>
      </c>
      <c r="B7254" s="3" t="str">
        <f>HYPERLINK("https://www.773grp.com/manufacturer/onsemi?pageNo=513", "Onsemi")</f>
        <v>Onsemi</v>
      </c>
      <c r="C7254" s="6">
        <v>1425</v>
      </c>
      <c r="D7254" s="7">
        <v>0.85</v>
      </c>
      <c r="E7254" t="s">
        <v>84</v>
      </c>
    </row>
    <row r="7255" spans="1:5" x14ac:dyDescent="0.25">
      <c r="A7255" t="str">
        <f>HYPERLINK("https://www.773grp.com/globalSearch/NTD3055L104-001/page-1", "NTD3055L104-001")</f>
        <v>NTD3055L104-001</v>
      </c>
      <c r="B7255" s="3" t="str">
        <f>HYPERLINK("https://www.773grp.com/manufacturer/onsemi?pageNo=514", "Onsemi")</f>
        <v>Onsemi</v>
      </c>
      <c r="C7255" s="6">
        <v>19875</v>
      </c>
      <c r="D7255" s="7">
        <v>0.85</v>
      </c>
    </row>
    <row r="7256" spans="1:5" x14ac:dyDescent="0.25">
      <c r="A7256" t="str">
        <f>HYPERLINK("https://www.773grp.com/globalSearch/NTD3055L170T4G/page-1", "NTD3055L170T4G")</f>
        <v>NTD3055L170T4G</v>
      </c>
      <c r="B7256" s="3" t="str">
        <f>HYPERLINK("https://www.773grp.com/manufacturer/onsemi?pageNo=515", "Onsemi")</f>
        <v>Onsemi</v>
      </c>
      <c r="C7256" s="6">
        <v>5466</v>
      </c>
      <c r="D7256" s="7">
        <v>0.85</v>
      </c>
      <c r="E7256" t="s">
        <v>84</v>
      </c>
    </row>
    <row r="7257" spans="1:5" x14ac:dyDescent="0.25">
      <c r="A7257" t="str">
        <f>HYPERLINK("https://www.773grp.com/globalSearch/NTD4302-001/page-1", "NTD4302-001")</f>
        <v>NTD4302-001</v>
      </c>
      <c r="B7257" s="3" t="str">
        <f>HYPERLINK("https://www.773grp.com/manufacturer/onsemi?pageNo=516", "Onsemi")</f>
        <v>Onsemi</v>
      </c>
      <c r="C7257" s="6">
        <v>4001</v>
      </c>
      <c r="D7257" s="7">
        <v>0.85</v>
      </c>
      <c r="E7257" t="s">
        <v>84</v>
      </c>
    </row>
    <row r="7258" spans="1:5" x14ac:dyDescent="0.25">
      <c r="A7258" t="str">
        <f>HYPERLINK("https://www.773grp.com/globalSearch/NTD4302-1G/page-1", "NTD4302-1G")</f>
        <v>NTD4302-1G</v>
      </c>
      <c r="B7258" s="3" t="str">
        <f>HYPERLINK("https://www.773grp.com/manufacturer/onsemi?pageNo=517", "Onsemi")</f>
        <v>Onsemi</v>
      </c>
      <c r="C7258" s="6">
        <v>34404</v>
      </c>
      <c r="D7258" s="7">
        <v>0.85</v>
      </c>
      <c r="E7258" t="s">
        <v>84</v>
      </c>
    </row>
    <row r="7259" spans="1:5" x14ac:dyDescent="0.25">
      <c r="A7259" t="str">
        <f>HYPERLINK("https://www.773grp.com/globalSearch/NTD4857N-1G/page-1", "NTD4857N-1G")</f>
        <v>NTD4857N-1G</v>
      </c>
      <c r="B7259" s="3" t="str">
        <f>HYPERLINK("https://www.773grp.com/manufacturer/onsemi?pageNo=518", "Onsemi")</f>
        <v>Onsemi</v>
      </c>
      <c r="C7259" s="6">
        <v>8400</v>
      </c>
      <c r="D7259" s="7">
        <v>0.85</v>
      </c>
      <c r="E7259" t="s">
        <v>84</v>
      </c>
    </row>
    <row r="7260" spans="1:5" x14ac:dyDescent="0.25">
      <c r="A7260" t="str">
        <f>HYPERLINK("https://www.773grp.com/globalSearch/NTD4857NT4G/page-1", "NTD4857NT4G")</f>
        <v>NTD4857NT4G</v>
      </c>
      <c r="B7260" s="3" t="str">
        <f>HYPERLINK("https://www.773grp.com/manufacturer/onsemi?pageNo=519", "Onsemi")</f>
        <v>Onsemi</v>
      </c>
      <c r="C7260" s="6">
        <v>127500</v>
      </c>
      <c r="D7260" s="7">
        <v>0.85</v>
      </c>
      <c r="E7260" t="s">
        <v>84</v>
      </c>
    </row>
    <row r="7261" spans="1:5" x14ac:dyDescent="0.25">
      <c r="A7261" t="str">
        <f>HYPERLINK("https://www.773grp.com/globalSearch/NTD5867NL-1G/page-1", "NTD5867NL-1G")</f>
        <v>NTD5867NL-1G</v>
      </c>
      <c r="B7261" s="3" t="str">
        <f>HYPERLINK("https://www.773grp.com/manufacturer/onsemi?pageNo=520", "Onsemi")</f>
        <v>Onsemi</v>
      </c>
      <c r="C7261" s="6">
        <v>39</v>
      </c>
      <c r="D7261" s="7">
        <v>0.85</v>
      </c>
      <c r="E7261" t="s">
        <v>84</v>
      </c>
    </row>
    <row r="7262" spans="1:5" x14ac:dyDescent="0.25">
      <c r="A7262" t="str">
        <f>HYPERLINK("https://www.773grp.com/globalSearch/NTD95N02RG/page-1", "NTD95N02RG")</f>
        <v>NTD95N02RG</v>
      </c>
      <c r="B7262" s="3" t="str">
        <f>HYPERLINK("https://www.773grp.com/manufacturer/onsemi?pageNo=521", "Onsemi")</f>
        <v>Onsemi</v>
      </c>
      <c r="C7262" s="6">
        <v>4142</v>
      </c>
      <c r="D7262" s="7">
        <v>0.85</v>
      </c>
      <c r="E7262" t="s">
        <v>84</v>
      </c>
    </row>
    <row r="7263" spans="1:5" x14ac:dyDescent="0.25">
      <c r="A7263" t="str">
        <f>HYPERLINK("https://www.773grp.com/globalSearch/NTHD4401PT1G/page-1", "NTHD4401PT1G")</f>
        <v>NTHD4401PT1G</v>
      </c>
      <c r="B7263" s="3" t="str">
        <f>HYPERLINK("https://www.773grp.com/manufacturer/onsemi?pageNo=522", "Onsemi")</f>
        <v>Onsemi</v>
      </c>
      <c r="C7263" s="6">
        <v>1174697</v>
      </c>
      <c r="D7263" s="7">
        <v>0.85</v>
      </c>
      <c r="E7263" t="s">
        <v>85</v>
      </c>
    </row>
    <row r="7264" spans="1:5" x14ac:dyDescent="0.25">
      <c r="A7264" t="str">
        <f>HYPERLINK("https://www.773grp.com/globalSearch/NTHD4401PT3G/page-1", "NTHD4401PT3G")</f>
        <v>NTHD4401PT3G</v>
      </c>
      <c r="B7264" s="3" t="str">
        <f>HYPERLINK("https://www.773grp.com/manufacturer/onsemi?pageNo=523", "Onsemi")</f>
        <v>Onsemi</v>
      </c>
      <c r="C7264" s="6">
        <v>100000</v>
      </c>
      <c r="D7264" s="7">
        <v>0.85</v>
      </c>
    </row>
    <row r="7265" spans="1:5" x14ac:dyDescent="0.25">
      <c r="A7265" t="str">
        <f>HYPERLINK("https://www.773grp.com/globalSearch/NTHD4N02FT1/page-1", "NTHD4N02FT1")</f>
        <v>NTHD4N02FT1</v>
      </c>
      <c r="B7265" s="3" t="str">
        <f>HYPERLINK("https://www.773grp.com/manufacturer/onsemi?pageNo=524", "Onsemi")</f>
        <v>Onsemi</v>
      </c>
      <c r="C7265" s="6">
        <v>12000</v>
      </c>
      <c r="D7265" s="7">
        <v>0.85</v>
      </c>
      <c r="E7265" t="s">
        <v>85</v>
      </c>
    </row>
    <row r="7266" spans="1:5" x14ac:dyDescent="0.25">
      <c r="A7266" t="str">
        <f>HYPERLINK("https://www.773grp.com/globalSearch/NTLJS2103PTBG/page-1", "NTLJS2103PTBG")</f>
        <v>NTLJS2103PTBG</v>
      </c>
      <c r="B7266" s="3" t="str">
        <f>HYPERLINK("https://www.773grp.com/manufacturer/onsemi?pageNo=525", "Onsemi")</f>
        <v>Onsemi</v>
      </c>
      <c r="C7266" s="6">
        <v>45000</v>
      </c>
      <c r="D7266" s="7">
        <v>0.85</v>
      </c>
      <c r="E7266" t="s">
        <v>85</v>
      </c>
    </row>
    <row r="7267" spans="1:5" x14ac:dyDescent="0.25">
      <c r="A7267" t="str">
        <f>HYPERLINK("https://www.773grp.com/globalSearch/NTLUS3192PZTBG/page-1", "NTLUS3192PZTBG")</f>
        <v>NTLUS3192PZTBG</v>
      </c>
      <c r="B7267" s="3" t="str">
        <f>HYPERLINK("https://www.773grp.com/manufacturer/onsemi?pageNo=526", "Onsemi")</f>
        <v>Onsemi</v>
      </c>
      <c r="C7267" s="6">
        <v>35000</v>
      </c>
      <c r="D7267" s="7">
        <v>0.85</v>
      </c>
      <c r="E7267" t="s">
        <v>85</v>
      </c>
    </row>
    <row r="7268" spans="1:5" x14ac:dyDescent="0.25">
      <c r="A7268" t="str">
        <f>HYPERLINK("https://www.773grp.com/globalSearch/NTLUS4195PZTAG/page-1", "NTLUS4195PZTAG")</f>
        <v>NTLUS4195PZTAG</v>
      </c>
      <c r="B7268" s="3" t="str">
        <f>HYPERLINK("https://www.773grp.com/manufacturer/onsemi?pageNo=527", "Onsemi")</f>
        <v>Onsemi</v>
      </c>
      <c r="C7268" s="6">
        <v>45000</v>
      </c>
      <c r="D7268" s="7">
        <v>0.85</v>
      </c>
      <c r="E7268" t="s">
        <v>84</v>
      </c>
    </row>
    <row r="7269" spans="1:5" x14ac:dyDescent="0.25">
      <c r="A7269" t="str">
        <f>HYPERLINK("https://www.773grp.com/globalSearch/NTLUS4195PZTBG/page-1", "NTLUS4195PZTBG")</f>
        <v>NTLUS4195PZTBG</v>
      </c>
      <c r="B7269" s="3" t="str">
        <f>HYPERLINK("https://www.773grp.com/manufacturer/onsemi?pageNo=528", "Onsemi")</f>
        <v>Onsemi</v>
      </c>
      <c r="C7269" s="6">
        <v>21000</v>
      </c>
      <c r="D7269" s="7">
        <v>0.85</v>
      </c>
      <c r="E7269" t="s">
        <v>84</v>
      </c>
    </row>
    <row r="7270" spans="1:5" x14ac:dyDescent="0.25">
      <c r="A7270" t="str">
        <f>HYPERLINK("https://www.773grp.com/globalSearch/NTMD3N08LR2/page-1", "NTMD3N08LR2")</f>
        <v>NTMD3N08LR2</v>
      </c>
      <c r="B7270" s="3" t="str">
        <f>HYPERLINK("https://www.773grp.com/manufacturer/onsemi?pageNo=529", "Onsemi")</f>
        <v>Onsemi</v>
      </c>
      <c r="C7270" s="6">
        <v>154453</v>
      </c>
      <c r="D7270" s="7">
        <v>0.85</v>
      </c>
      <c r="E7270" t="s">
        <v>84</v>
      </c>
    </row>
    <row r="7271" spans="1:5" x14ac:dyDescent="0.25">
      <c r="A7271" t="str">
        <f>HYPERLINK("https://www.773grp.com/globalSearch/NTMD3P03R2/page-1", "NTMD3P03R2")</f>
        <v>NTMD3P03R2</v>
      </c>
      <c r="B7271" s="3" t="str">
        <f>HYPERLINK("https://www.773grp.com/manufacturer/onsemi?pageNo=530", "Onsemi")</f>
        <v>Onsemi</v>
      </c>
      <c r="C7271" s="6">
        <v>192261</v>
      </c>
      <c r="D7271" s="7">
        <v>0.85</v>
      </c>
      <c r="E7271" t="s">
        <v>85</v>
      </c>
    </row>
    <row r="7272" spans="1:5" x14ac:dyDescent="0.25">
      <c r="A7272" t="str">
        <f>HYPERLINK("https://www.773grp.com/globalSearch/NTMD4840NR2G/page-1", "NTMD4840NR2G")</f>
        <v>NTMD4840NR2G</v>
      </c>
      <c r="B7272" s="3" t="str">
        <f>HYPERLINK("https://www.773grp.com/manufacturer/onsemi?pageNo=531", "Onsemi")</f>
        <v>Onsemi</v>
      </c>
      <c r="C7272" s="6">
        <v>356792</v>
      </c>
      <c r="D7272" s="7">
        <v>0.85</v>
      </c>
      <c r="E7272" t="s">
        <v>85</v>
      </c>
    </row>
    <row r="7273" spans="1:5" x14ac:dyDescent="0.25">
      <c r="A7273" t="str">
        <f>HYPERLINK("https://www.773grp.com/globalSearch/NTMD4884NFR2G/page-1", "NTMD4884NFR2G")</f>
        <v>NTMD4884NFR2G</v>
      </c>
      <c r="B7273" s="3" t="str">
        <f>HYPERLINK("https://www.773grp.com/manufacturer/onsemi?pageNo=532", "Onsemi")</f>
        <v>Onsemi</v>
      </c>
      <c r="C7273" s="6">
        <v>11895</v>
      </c>
      <c r="D7273" s="7">
        <v>0.85</v>
      </c>
      <c r="E7273" t="s">
        <v>85</v>
      </c>
    </row>
    <row r="7274" spans="1:5" x14ac:dyDescent="0.25">
      <c r="A7274" t="str">
        <f>HYPERLINK("https://www.773grp.com/globalSearch/NTMFS4926NT1G/page-1", "NTMFS4926NT1G")</f>
        <v>NTMFS4926NT1G</v>
      </c>
      <c r="B7274" s="3" t="str">
        <f>HYPERLINK("https://www.773grp.com/manufacturer/onsemi?pageNo=533", "Onsemi")</f>
        <v>Onsemi</v>
      </c>
      <c r="C7274" s="6">
        <v>12000</v>
      </c>
      <c r="D7274" s="7">
        <v>0.85</v>
      </c>
      <c r="E7274" t="s">
        <v>85</v>
      </c>
    </row>
    <row r="7275" spans="1:5" x14ac:dyDescent="0.25">
      <c r="A7275" t="str">
        <f>HYPERLINK("https://www.773grp.com/globalSearch/NTMFS4945NT1G/page-1", "NTMFS4945NT1G")</f>
        <v>NTMFS4945NT1G</v>
      </c>
      <c r="B7275" s="3" t="str">
        <f>HYPERLINK("https://www.773grp.com/manufacturer/onsemi?pageNo=534", "Onsemi")</f>
        <v>Onsemi</v>
      </c>
      <c r="C7275" s="6">
        <v>229678</v>
      </c>
      <c r="D7275" s="7">
        <v>0.85</v>
      </c>
      <c r="E7275" t="s">
        <v>84</v>
      </c>
    </row>
    <row r="7276" spans="1:5" x14ac:dyDescent="0.25">
      <c r="A7276" t="str">
        <f>HYPERLINK("https://www.773grp.com/globalSearch/NTMS4706NR2G/page-1", "NTMS4706NR2G")</f>
        <v>NTMS4706NR2G</v>
      </c>
      <c r="B7276" s="3" t="str">
        <f>HYPERLINK("https://www.773grp.com/manufacturer/onsemi?pageNo=535", "Onsemi")</f>
        <v>Onsemi</v>
      </c>
      <c r="C7276" s="6">
        <v>273293</v>
      </c>
      <c r="D7276" s="7">
        <v>0.85</v>
      </c>
      <c r="E7276" t="s">
        <v>85</v>
      </c>
    </row>
    <row r="7277" spans="1:5" x14ac:dyDescent="0.25">
      <c r="A7277" t="str">
        <f>HYPERLINK("https://www.773grp.com/globalSearch/NTMS4816NR2G/page-1", "NTMS4816NR2G")</f>
        <v>NTMS4816NR2G</v>
      </c>
      <c r="B7277" s="3" t="str">
        <f>HYPERLINK("https://www.773grp.com/manufacturer/onsemi?pageNo=536", "Onsemi")</f>
        <v>Onsemi</v>
      </c>
      <c r="C7277" s="6">
        <v>68489</v>
      </c>
      <c r="D7277" s="7">
        <v>0.85</v>
      </c>
      <c r="E7277" t="s">
        <v>84</v>
      </c>
    </row>
    <row r="7278" spans="1:5" x14ac:dyDescent="0.25">
      <c r="A7278" t="str">
        <f>HYPERLINK("https://www.773grp.com/globalSearch/NTMSD6N303R2/page-1", "NTMSD6N303R2")</f>
        <v>NTMSD6N303R2</v>
      </c>
      <c r="B7278" s="3" t="str">
        <f>HYPERLINK("https://www.773grp.com/manufacturer/onsemi?pageNo=537", "Onsemi")</f>
        <v>Onsemi</v>
      </c>
      <c r="C7278" s="6">
        <v>26450</v>
      </c>
      <c r="D7278" s="7">
        <v>0.85</v>
      </c>
      <c r="E7278" t="s">
        <v>84</v>
      </c>
    </row>
    <row r="7279" spans="1:5" x14ac:dyDescent="0.25">
      <c r="A7279" t="str">
        <f>HYPERLINK("https://www.773grp.com/globalSearch/NTTD4401FR2G/page-1", "NTTD4401FR2G")</f>
        <v>NTTD4401FR2G</v>
      </c>
      <c r="B7279" s="3" t="str">
        <f>HYPERLINK("https://www.773grp.com/manufacturer/onsemi?pageNo=538", "Onsemi")</f>
        <v>Onsemi</v>
      </c>
      <c r="C7279" s="6">
        <v>14108</v>
      </c>
      <c r="D7279" s="7">
        <v>0.85</v>
      </c>
      <c r="E7279" t="s">
        <v>85</v>
      </c>
    </row>
    <row r="7280" spans="1:5" x14ac:dyDescent="0.25">
      <c r="A7280" t="str">
        <f>HYPERLINK("https://www.773grp.com/globalSearch/NTTFS4930NTAG/page-1", "NTTFS4930NTAG")</f>
        <v>NTTFS4930NTAG</v>
      </c>
      <c r="B7280" s="3" t="str">
        <f>HYPERLINK("https://www.773grp.com/manufacturer/onsemi?pageNo=539", "Onsemi")</f>
        <v>Onsemi</v>
      </c>
      <c r="C7280" s="6">
        <v>120000</v>
      </c>
      <c r="D7280" s="7">
        <v>0.85</v>
      </c>
    </row>
    <row r="7281" spans="1:5" x14ac:dyDescent="0.25">
      <c r="A7281" t="str">
        <f>HYPERLINK("https://www.773grp.com/globalSearch/NUD3124DMT1/page-1", "NUD3124DMT1")</f>
        <v>NUD3124DMT1</v>
      </c>
      <c r="B7281" s="3" t="str">
        <f>HYPERLINK("https://www.773grp.com/manufacturer/onsemi?pageNo=540", "Onsemi")</f>
        <v>Onsemi</v>
      </c>
      <c r="C7281" s="6">
        <v>2362</v>
      </c>
      <c r="D7281" s="7">
        <v>0.85</v>
      </c>
      <c r="E7281" t="s">
        <v>85</v>
      </c>
    </row>
    <row r="7282" spans="1:5" x14ac:dyDescent="0.25">
      <c r="A7282" t="str">
        <f>HYPERLINK("https://www.773grp.com/globalSearch/NUF4000MUT2G/page-1", "NUF4000MUT2G")</f>
        <v>NUF4000MUT2G</v>
      </c>
      <c r="B7282" s="3" t="str">
        <f>HYPERLINK("https://www.773grp.com/manufacturer/onsemi?pageNo=541", "Onsemi")</f>
        <v>Onsemi</v>
      </c>
      <c r="C7282" s="6">
        <v>37246</v>
      </c>
      <c r="D7282" s="7">
        <v>0.85</v>
      </c>
      <c r="E7282" t="s">
        <v>79</v>
      </c>
    </row>
    <row r="7283" spans="1:5" x14ac:dyDescent="0.25">
      <c r="A7283" t="str">
        <f>HYPERLINK("https://www.773grp.com/globalSearch/NUF6406MNT1G/page-1", "NUF6406MNT1G")</f>
        <v>NUF6406MNT1G</v>
      </c>
      <c r="B7283" s="3" t="str">
        <f>HYPERLINK("https://www.773grp.com/manufacturer/onsemi?pageNo=542", "Onsemi")</f>
        <v>Onsemi</v>
      </c>
      <c r="C7283" s="6">
        <v>283829</v>
      </c>
      <c r="D7283" s="7">
        <v>0.85</v>
      </c>
      <c r="E7283" t="s">
        <v>79</v>
      </c>
    </row>
    <row r="7284" spans="1:5" x14ac:dyDescent="0.25">
      <c r="A7284" t="str">
        <f>HYPERLINK("https://www.773grp.com/globalSearch/P6KE10AG/page-1", "P6KE10AG")</f>
        <v>P6KE10AG</v>
      </c>
      <c r="B7284" s="3" t="str">
        <f>HYPERLINK("https://www.773grp.com/manufacturer/onsemi?pageNo=543", "Onsemi")</f>
        <v>Onsemi</v>
      </c>
      <c r="C7284" s="6">
        <v>76774</v>
      </c>
      <c r="D7284" s="7">
        <v>0.85</v>
      </c>
      <c r="E7284" t="s">
        <v>75</v>
      </c>
    </row>
    <row r="7285" spans="1:5" x14ac:dyDescent="0.25">
      <c r="A7285" t="str">
        <f>HYPERLINK("https://www.773grp.com/globalSearch/P6KE10ARLG/page-1", "P6KE10ARLG")</f>
        <v>P6KE10ARLG</v>
      </c>
      <c r="B7285" s="3" t="str">
        <f>HYPERLINK("https://www.773grp.com/manufacturer/onsemi?pageNo=544", "Onsemi")</f>
        <v>Onsemi</v>
      </c>
      <c r="C7285" s="6">
        <v>8000</v>
      </c>
      <c r="D7285" s="7">
        <v>0.85</v>
      </c>
    </row>
    <row r="7286" spans="1:5" x14ac:dyDescent="0.25">
      <c r="A7286" t="str">
        <f>HYPERLINK("https://www.773grp.com/globalSearch/P6KE12AG/page-1", "P6KE12AG")</f>
        <v>P6KE12AG</v>
      </c>
      <c r="B7286" s="3" t="str">
        <f>HYPERLINK("https://www.773grp.com/manufacturer/onsemi?pageNo=545", "Onsemi")</f>
        <v>Onsemi</v>
      </c>
      <c r="C7286" s="6">
        <v>4178</v>
      </c>
      <c r="D7286" s="7">
        <v>0.85</v>
      </c>
      <c r="E7286" t="s">
        <v>75</v>
      </c>
    </row>
    <row r="7287" spans="1:5" x14ac:dyDescent="0.25">
      <c r="A7287" t="str">
        <f>HYPERLINK("https://www.773grp.com/globalSearch/P6KE12ARLG/page-1", "P6KE12ARLG")</f>
        <v>P6KE12ARLG</v>
      </c>
      <c r="B7287" s="3" t="str">
        <f>HYPERLINK("https://www.773grp.com/manufacturer/onsemi?pageNo=546", "Onsemi")</f>
        <v>Onsemi</v>
      </c>
      <c r="C7287" s="6">
        <v>24000</v>
      </c>
      <c r="D7287" s="7">
        <v>0.85</v>
      </c>
      <c r="E7287" t="s">
        <v>75</v>
      </c>
    </row>
    <row r="7288" spans="1:5" x14ac:dyDescent="0.25">
      <c r="A7288" t="str">
        <f>HYPERLINK("https://www.773grp.com/globalSearch/P6KE130AG/page-1", "P6KE130AG")</f>
        <v>P6KE130AG</v>
      </c>
      <c r="B7288" s="3" t="str">
        <f>HYPERLINK("https://www.773grp.com/manufacturer/onsemi?pageNo=547", "Onsemi")</f>
        <v>Onsemi</v>
      </c>
      <c r="C7288" s="6">
        <v>8000</v>
      </c>
      <c r="D7288" s="7">
        <v>0.85</v>
      </c>
      <c r="E7288" t="s">
        <v>75</v>
      </c>
    </row>
    <row r="7289" spans="1:5" x14ac:dyDescent="0.25">
      <c r="A7289" t="str">
        <f>HYPERLINK("https://www.773grp.com/globalSearch/P6KE13ARLG/page-1", "P6KE13ARLG")</f>
        <v>P6KE13ARLG</v>
      </c>
      <c r="B7289" s="3" t="str">
        <f>HYPERLINK("https://www.773grp.com/manufacturer/onsemi?pageNo=548", "Onsemi")</f>
        <v>Onsemi</v>
      </c>
      <c r="C7289" s="6">
        <v>36000</v>
      </c>
      <c r="D7289" s="7">
        <v>0.85</v>
      </c>
      <c r="E7289" t="s">
        <v>75</v>
      </c>
    </row>
    <row r="7290" spans="1:5" x14ac:dyDescent="0.25">
      <c r="A7290" t="str">
        <f>HYPERLINK("https://www.773grp.com/globalSearch/P6KE150AG/page-1", "P6KE150AG")</f>
        <v>P6KE150AG</v>
      </c>
      <c r="B7290" s="3" t="str">
        <f>HYPERLINK("https://www.773grp.com/manufacturer/onsemi?pageNo=549", "Onsemi")</f>
        <v>Onsemi</v>
      </c>
      <c r="C7290" s="6">
        <v>14219</v>
      </c>
      <c r="D7290" s="7">
        <v>0.85</v>
      </c>
      <c r="E7290" t="s">
        <v>75</v>
      </c>
    </row>
    <row r="7291" spans="1:5" x14ac:dyDescent="0.25">
      <c r="A7291" t="str">
        <f>HYPERLINK("https://www.773grp.com/globalSearch/P6KE15AG/page-1", "P6KE15AG")</f>
        <v>P6KE15AG</v>
      </c>
      <c r="B7291" s="3" t="str">
        <f>HYPERLINK("https://www.773grp.com/manufacturer/onsemi?pageNo=550", "Onsemi")</f>
        <v>Onsemi</v>
      </c>
      <c r="C7291" s="6">
        <v>12000</v>
      </c>
      <c r="D7291" s="7">
        <v>0.85</v>
      </c>
      <c r="E7291" t="s">
        <v>75</v>
      </c>
    </row>
    <row r="7292" spans="1:5" x14ac:dyDescent="0.25">
      <c r="A7292" t="str">
        <f>HYPERLINK("https://www.773grp.com/globalSearch/P6KE15ARLG/page-1", "P6KE15ARLG")</f>
        <v>P6KE15ARLG</v>
      </c>
      <c r="B7292" s="3" t="str">
        <f>HYPERLINK("https://www.773grp.com/manufacturer/onsemi?pageNo=551", "Onsemi")</f>
        <v>Onsemi</v>
      </c>
      <c r="C7292" s="6">
        <v>24000</v>
      </c>
      <c r="D7292" s="7">
        <v>0.85</v>
      </c>
      <c r="E7292" t="s">
        <v>75</v>
      </c>
    </row>
    <row r="7293" spans="1:5" x14ac:dyDescent="0.25">
      <c r="A7293" t="str">
        <f>HYPERLINK("https://www.773grp.com/globalSearch/P6KE18AG/page-1", "P6KE18AG")</f>
        <v>P6KE18AG</v>
      </c>
      <c r="B7293" s="3" t="str">
        <f>HYPERLINK("https://www.773grp.com/manufacturer/onsemi?pageNo=552", "Onsemi")</f>
        <v>Onsemi</v>
      </c>
      <c r="C7293" s="6">
        <v>22486</v>
      </c>
      <c r="D7293" s="7">
        <v>0.85</v>
      </c>
      <c r="E7293" t="s">
        <v>75</v>
      </c>
    </row>
    <row r="7294" spans="1:5" x14ac:dyDescent="0.25">
      <c r="A7294" t="str">
        <f>HYPERLINK("https://www.773grp.com/globalSearch/P6KE18ARLG/page-1", "P6KE18ARLG")</f>
        <v>P6KE18ARLG</v>
      </c>
      <c r="B7294" s="3" t="str">
        <f>HYPERLINK("https://www.773grp.com/manufacturer/onsemi?pageNo=553", "Onsemi")</f>
        <v>Onsemi</v>
      </c>
      <c r="C7294" s="6">
        <v>23900</v>
      </c>
      <c r="D7294" s="7">
        <v>0.85</v>
      </c>
      <c r="E7294" t="s">
        <v>75</v>
      </c>
    </row>
    <row r="7295" spans="1:5" x14ac:dyDescent="0.25">
      <c r="A7295" t="str">
        <f>HYPERLINK("https://www.773grp.com/globalSearch/P6KE200AG/page-1", "P6KE200AG")</f>
        <v>P6KE200AG</v>
      </c>
      <c r="B7295" s="3" t="str">
        <f>HYPERLINK("https://www.773grp.com/manufacturer/onsemi?pageNo=554", "Onsemi")</f>
        <v>Onsemi</v>
      </c>
      <c r="C7295" s="6">
        <v>80126</v>
      </c>
      <c r="D7295" s="7">
        <v>0.85</v>
      </c>
      <c r="E7295" t="s">
        <v>75</v>
      </c>
    </row>
    <row r="7296" spans="1:5" x14ac:dyDescent="0.25">
      <c r="A7296" t="str">
        <f>HYPERLINK("https://www.773grp.com/globalSearch/P6KE200ARLG/page-1", "P6KE200ARLG")</f>
        <v>P6KE200ARLG</v>
      </c>
      <c r="B7296" s="3" t="str">
        <f>HYPERLINK("https://www.773grp.com/manufacturer/onsemi?pageNo=555", "Onsemi")</f>
        <v>Onsemi</v>
      </c>
      <c r="C7296" s="6">
        <v>585744</v>
      </c>
      <c r="D7296" s="7">
        <v>0.85</v>
      </c>
      <c r="E7296" t="s">
        <v>75</v>
      </c>
    </row>
    <row r="7297" spans="1:5" x14ac:dyDescent="0.25">
      <c r="A7297" t="str">
        <f>HYPERLINK("https://www.773grp.com/globalSearch/P6KE30AG/page-1", "P6KE30AG")</f>
        <v>P6KE30AG</v>
      </c>
      <c r="B7297" s="3" t="str">
        <f>HYPERLINK("https://www.773grp.com/manufacturer/onsemi?pageNo=556", "Onsemi")</f>
        <v>Onsemi</v>
      </c>
      <c r="C7297" s="6">
        <v>8526</v>
      </c>
      <c r="D7297" s="7">
        <v>0.85</v>
      </c>
      <c r="E7297" t="s">
        <v>75</v>
      </c>
    </row>
    <row r="7298" spans="1:5" x14ac:dyDescent="0.25">
      <c r="A7298" t="str">
        <f>HYPERLINK("https://www.773grp.com/globalSearch/P6KE30ARLG/page-1", "P6KE30ARLG")</f>
        <v>P6KE30ARLG</v>
      </c>
      <c r="B7298" s="3" t="str">
        <f>HYPERLINK("https://www.773grp.com/manufacturer/onsemi?pageNo=557", "Onsemi")</f>
        <v>Onsemi</v>
      </c>
      <c r="C7298" s="6">
        <v>6030</v>
      </c>
      <c r="D7298" s="7">
        <v>0.85</v>
      </c>
      <c r="E7298" t="s">
        <v>75</v>
      </c>
    </row>
    <row r="7299" spans="1:5" x14ac:dyDescent="0.25">
      <c r="A7299" t="str">
        <f>HYPERLINK("https://www.773grp.com/globalSearch/P6KE33AG/page-1", "P6KE33AG")</f>
        <v>P6KE33AG</v>
      </c>
      <c r="B7299" s="3" t="str">
        <f>HYPERLINK("https://www.773grp.com/manufacturer/onsemi?pageNo=558", "Onsemi")</f>
        <v>Onsemi</v>
      </c>
      <c r="C7299" s="6">
        <v>14000</v>
      </c>
      <c r="D7299" s="7">
        <v>0.85</v>
      </c>
      <c r="E7299" t="s">
        <v>75</v>
      </c>
    </row>
    <row r="7300" spans="1:5" x14ac:dyDescent="0.25">
      <c r="A7300" t="str">
        <f>HYPERLINK("https://www.773grp.com/globalSearch/P6KE33ARLG/page-1", "P6KE33ARLG")</f>
        <v>P6KE33ARLG</v>
      </c>
      <c r="B7300" s="3" t="str">
        <f>HYPERLINK("https://www.773grp.com/manufacturer/onsemi?pageNo=559", "Onsemi")</f>
        <v>Onsemi</v>
      </c>
      <c r="C7300" s="6">
        <v>16000</v>
      </c>
      <c r="D7300" s="7">
        <v>0.85</v>
      </c>
      <c r="E7300" t="s">
        <v>75</v>
      </c>
    </row>
    <row r="7301" spans="1:5" x14ac:dyDescent="0.25">
      <c r="A7301" t="str">
        <f>HYPERLINK("https://www.773grp.com/globalSearch/P6KE36AG/page-1", "P6KE36AG")</f>
        <v>P6KE36AG</v>
      </c>
      <c r="B7301" s="3" t="str">
        <f>HYPERLINK("https://www.773grp.com/manufacturer/onsemi?pageNo=560", "Onsemi")</f>
        <v>Onsemi</v>
      </c>
      <c r="C7301" s="6">
        <v>37109</v>
      </c>
      <c r="D7301" s="7">
        <v>0.85</v>
      </c>
      <c r="E7301" t="s">
        <v>75</v>
      </c>
    </row>
    <row r="7302" spans="1:5" x14ac:dyDescent="0.25">
      <c r="A7302" t="str">
        <f>HYPERLINK("https://www.773grp.com/globalSearch/P6KE39AG/page-1", "P6KE39AG")</f>
        <v>P6KE39AG</v>
      </c>
      <c r="B7302" s="3" t="str">
        <f>HYPERLINK("https://www.773grp.com/manufacturer/onsemi?pageNo=561", "Onsemi")</f>
        <v>Onsemi</v>
      </c>
      <c r="C7302" s="6">
        <v>19000</v>
      </c>
      <c r="D7302" s="7">
        <v>0.85</v>
      </c>
      <c r="E7302" t="s">
        <v>75</v>
      </c>
    </row>
    <row r="7303" spans="1:5" x14ac:dyDescent="0.25">
      <c r="A7303" t="str">
        <f>HYPERLINK("https://www.773grp.com/globalSearch/P6KE39ARLG/page-1", "P6KE39ARLG")</f>
        <v>P6KE39ARLG</v>
      </c>
      <c r="B7303" s="3" t="str">
        <f>HYPERLINK("https://www.773grp.com/manufacturer/onsemi?pageNo=562", "Onsemi")</f>
        <v>Onsemi</v>
      </c>
      <c r="C7303" s="6">
        <v>4000</v>
      </c>
      <c r="D7303" s="7">
        <v>0.85</v>
      </c>
    </row>
    <row r="7304" spans="1:5" x14ac:dyDescent="0.25">
      <c r="A7304" t="str">
        <f>HYPERLINK("https://www.773grp.com/globalSearch/P6KE43AG/page-1", "P6KE43AG")</f>
        <v>P6KE43AG</v>
      </c>
      <c r="B7304" s="3" t="str">
        <f>HYPERLINK("https://www.773grp.com/manufacturer/onsemi?pageNo=563", "Onsemi")</f>
        <v>Onsemi</v>
      </c>
      <c r="C7304" s="6">
        <v>28906</v>
      </c>
      <c r="D7304" s="7">
        <v>0.85</v>
      </c>
      <c r="E7304" t="s">
        <v>75</v>
      </c>
    </row>
    <row r="7305" spans="1:5" x14ac:dyDescent="0.25">
      <c r="A7305" t="str">
        <f>HYPERLINK("https://www.773grp.com/globalSearch/P6KE47ARLG/page-1", "P6KE47ARLG")</f>
        <v>P6KE47ARLG</v>
      </c>
      <c r="B7305" s="3" t="str">
        <f>HYPERLINK("https://www.773grp.com/manufacturer/onsemi?pageNo=564", "Onsemi")</f>
        <v>Onsemi</v>
      </c>
      <c r="C7305" s="6">
        <v>8000</v>
      </c>
      <c r="D7305" s="7">
        <v>0.85</v>
      </c>
      <c r="E7305" t="s">
        <v>75</v>
      </c>
    </row>
    <row r="7306" spans="1:5" x14ac:dyDescent="0.25">
      <c r="A7306" t="str">
        <f>HYPERLINK("https://www.773grp.com/globalSearch/P6KE51AG/page-1", "P6KE51AG")</f>
        <v>P6KE51AG</v>
      </c>
      <c r="B7306" s="3" t="str">
        <f>HYPERLINK("https://www.773grp.com/manufacturer/onsemi?pageNo=565", "Onsemi")</f>
        <v>Onsemi</v>
      </c>
      <c r="C7306" s="6">
        <v>8950</v>
      </c>
      <c r="D7306" s="7">
        <v>0.85</v>
      </c>
      <c r="E7306" t="s">
        <v>75</v>
      </c>
    </row>
    <row r="7307" spans="1:5" x14ac:dyDescent="0.25">
      <c r="A7307" t="str">
        <f>HYPERLINK("https://www.773grp.com/globalSearch/P6KE51ARLG/page-1", "P6KE51ARLG")</f>
        <v>P6KE51ARLG</v>
      </c>
      <c r="B7307" s="3" t="str">
        <f>HYPERLINK("https://www.773grp.com/manufacturer/onsemi?pageNo=566", "Onsemi")</f>
        <v>Onsemi</v>
      </c>
      <c r="C7307" s="6">
        <v>28000</v>
      </c>
      <c r="D7307" s="7">
        <v>0.85</v>
      </c>
      <c r="E7307" t="s">
        <v>75</v>
      </c>
    </row>
    <row r="7308" spans="1:5" x14ac:dyDescent="0.25">
      <c r="A7308" t="str">
        <f>HYPERLINK("https://www.773grp.com/globalSearch/P6KE56AG/page-1", "P6KE56AG")</f>
        <v>P6KE56AG</v>
      </c>
      <c r="B7308" s="3" t="str">
        <f>HYPERLINK("https://www.773grp.com/manufacturer/onsemi?pageNo=567", "Onsemi")</f>
        <v>Onsemi</v>
      </c>
      <c r="C7308" s="6">
        <v>3369</v>
      </c>
      <c r="D7308" s="7">
        <v>0.85</v>
      </c>
      <c r="E7308" t="s">
        <v>75</v>
      </c>
    </row>
    <row r="7309" spans="1:5" x14ac:dyDescent="0.25">
      <c r="A7309" t="str">
        <f>HYPERLINK("https://www.773grp.com/globalSearch/P6KE56ARLG/page-1", "P6KE56ARLG")</f>
        <v>P6KE56ARLG</v>
      </c>
      <c r="B7309" s="3" t="str">
        <f>HYPERLINK("https://www.773grp.com/manufacturer/onsemi?pageNo=568", "Onsemi")</f>
        <v>Onsemi</v>
      </c>
      <c r="C7309" s="6">
        <v>4000</v>
      </c>
      <c r="D7309" s="7">
        <v>0.85</v>
      </c>
      <c r="E7309" t="s">
        <v>75</v>
      </c>
    </row>
    <row r="7310" spans="1:5" x14ac:dyDescent="0.25">
      <c r="A7310" t="str">
        <f>HYPERLINK("https://www.773grp.com/globalSearch/P6KE6.8AG/page-1", "P6KE6.8AG")</f>
        <v>P6KE6.8AG</v>
      </c>
      <c r="B7310" s="3" t="str">
        <f>HYPERLINK("https://www.773grp.com/manufacturer/onsemi?pageNo=569", "Onsemi")</f>
        <v>Onsemi</v>
      </c>
      <c r="C7310" s="6">
        <v>444017</v>
      </c>
      <c r="D7310" s="7">
        <v>0.85</v>
      </c>
      <c r="E7310" t="s">
        <v>75</v>
      </c>
    </row>
    <row r="7311" spans="1:5" x14ac:dyDescent="0.25">
      <c r="A7311" t="str">
        <f>HYPERLINK("https://www.773grp.com/globalSearch/P6KE6.8ARLG/page-1", "P6KE6.8ARLG")</f>
        <v>P6KE6.8ARLG</v>
      </c>
      <c r="B7311" s="3" t="str">
        <f>HYPERLINK("https://www.773grp.com/manufacturer/onsemi?pageNo=570", "Onsemi")</f>
        <v>Onsemi</v>
      </c>
      <c r="C7311" s="6">
        <v>18596</v>
      </c>
      <c r="D7311" s="7">
        <v>0.85</v>
      </c>
      <c r="E7311" t="s">
        <v>75</v>
      </c>
    </row>
    <row r="7312" spans="1:5" x14ac:dyDescent="0.25">
      <c r="A7312" t="str">
        <f>HYPERLINK("https://www.773grp.com/globalSearch/P6KE68AG/page-1", "P6KE68AG")</f>
        <v>P6KE68AG</v>
      </c>
      <c r="B7312" s="3" t="str">
        <f>HYPERLINK("https://www.773grp.com/manufacturer/onsemi?pageNo=571", "Onsemi")</f>
        <v>Onsemi</v>
      </c>
      <c r="C7312" s="6">
        <v>9025</v>
      </c>
      <c r="D7312" s="7">
        <v>0.85</v>
      </c>
      <c r="E7312" t="s">
        <v>75</v>
      </c>
    </row>
    <row r="7313" spans="1:5" x14ac:dyDescent="0.25">
      <c r="A7313" t="str">
        <f>HYPERLINK("https://www.773grp.com/globalSearch/P6SMB18CAT3G/page-1", "P6SMB18CAT3G")</f>
        <v>P6SMB18CAT3G</v>
      </c>
      <c r="B7313" s="3" t="str">
        <f>HYPERLINK("https://www.773grp.com/manufacturer/onsemi?pageNo=572", "Onsemi")</f>
        <v>Onsemi</v>
      </c>
      <c r="C7313" s="6">
        <v>1378</v>
      </c>
      <c r="D7313" s="7">
        <v>0.85</v>
      </c>
      <c r="E7313" t="s">
        <v>75</v>
      </c>
    </row>
    <row r="7314" spans="1:5" x14ac:dyDescent="0.25">
      <c r="A7314" t="str">
        <f>HYPERLINK("https://www.773grp.com/globalSearch/P6SMB20CAT3G/page-1", "P6SMB20CAT3G")</f>
        <v>P6SMB20CAT3G</v>
      </c>
      <c r="B7314" s="3" t="str">
        <f>HYPERLINK("https://www.773grp.com/manufacturer/onsemi?pageNo=573", "Onsemi")</f>
        <v>Onsemi</v>
      </c>
      <c r="C7314" s="6">
        <v>87500</v>
      </c>
      <c r="D7314" s="7">
        <v>0.85</v>
      </c>
      <c r="E7314" t="s">
        <v>75</v>
      </c>
    </row>
    <row r="7315" spans="1:5" x14ac:dyDescent="0.25">
      <c r="A7315" t="str">
        <f>HYPERLINK("https://www.773grp.com/globalSearch/P6SMB24CAT3G/page-1", "P6SMB24CAT3G")</f>
        <v>P6SMB24CAT3G</v>
      </c>
      <c r="B7315" s="3" t="str">
        <f>HYPERLINK("https://www.773grp.com/manufacturer/onsemi?pageNo=574", "Onsemi")</f>
        <v>Onsemi</v>
      </c>
      <c r="C7315" s="6">
        <v>2250</v>
      </c>
      <c r="D7315" s="7">
        <v>0.85</v>
      </c>
    </row>
    <row r="7316" spans="1:5" x14ac:dyDescent="0.25">
      <c r="A7316" t="str">
        <f>HYPERLINK("https://www.773grp.com/globalSearch/P6SMB27CAT3G/page-1", "P6SMB27CAT3G")</f>
        <v>P6SMB27CAT3G</v>
      </c>
      <c r="B7316" s="3" t="str">
        <f>HYPERLINK("https://www.773grp.com/manufacturer/onsemi?pageNo=575", "Onsemi")</f>
        <v>Onsemi</v>
      </c>
      <c r="C7316" s="6">
        <v>7500</v>
      </c>
      <c r="D7316" s="7">
        <v>0.85</v>
      </c>
      <c r="E7316" t="s">
        <v>75</v>
      </c>
    </row>
    <row r="7317" spans="1:5" x14ac:dyDescent="0.25">
      <c r="A7317" t="str">
        <f>HYPERLINK("https://www.773grp.com/globalSearch/P6SMB39CAT3G/page-1", "P6SMB39CAT3G")</f>
        <v>P6SMB39CAT3G</v>
      </c>
      <c r="B7317" s="3" t="str">
        <f>HYPERLINK("https://www.773grp.com/manufacturer/onsemi?pageNo=576", "Onsemi")</f>
        <v>Onsemi</v>
      </c>
      <c r="C7317" s="6">
        <v>2500</v>
      </c>
      <c r="D7317" s="7">
        <v>0.85</v>
      </c>
    </row>
    <row r="7318" spans="1:5" x14ac:dyDescent="0.25">
      <c r="A7318" t="str">
        <f>HYPERLINK("https://www.773grp.com/globalSearch/P6SMB43CAT3G/page-1", "P6SMB43CAT3G")</f>
        <v>P6SMB43CAT3G</v>
      </c>
      <c r="B7318" s="3" t="str">
        <f>HYPERLINK("https://www.773grp.com/manufacturer/onsemi?pageNo=577", "Onsemi")</f>
        <v>Onsemi</v>
      </c>
      <c r="C7318" s="6">
        <v>3684</v>
      </c>
      <c r="D7318" s="7">
        <v>0.85</v>
      </c>
      <c r="E7318" t="s">
        <v>75</v>
      </c>
    </row>
    <row r="7319" spans="1:5" x14ac:dyDescent="0.25">
      <c r="A7319" t="str">
        <f>HYPERLINK("https://www.773grp.com/globalSearch/P6SMB62CAT3G/page-1", "P6SMB62CAT3G")</f>
        <v>P6SMB62CAT3G</v>
      </c>
      <c r="B7319" s="3" t="str">
        <f>HYPERLINK("https://www.773grp.com/manufacturer/onsemi?pageNo=578", "Onsemi")</f>
        <v>Onsemi</v>
      </c>
      <c r="C7319" s="6">
        <v>7500</v>
      </c>
      <c r="D7319" s="7">
        <v>0.85</v>
      </c>
    </row>
    <row r="7320" spans="1:5" x14ac:dyDescent="0.25">
      <c r="A7320" t="str">
        <f>HYPERLINK("https://www.773grp.com/globalSearch/P6SMB68CAT3G/page-1", "P6SMB68CAT3G")</f>
        <v>P6SMB68CAT3G</v>
      </c>
      <c r="B7320" s="3" t="str">
        <f>HYPERLINK("https://www.773grp.com/manufacturer/onsemi?pageNo=579", "Onsemi")</f>
        <v>Onsemi</v>
      </c>
      <c r="C7320" s="6">
        <v>10000</v>
      </c>
      <c r="D7320" s="7">
        <v>0.85</v>
      </c>
      <c r="E7320" t="s">
        <v>75</v>
      </c>
    </row>
    <row r="7321" spans="1:5" x14ac:dyDescent="0.25">
      <c r="A7321" t="str">
        <f>HYPERLINK("https://www.773grp.com/globalSearch/P6SMB82CAT3G/page-1", "P6SMB82CAT3G")</f>
        <v>P6SMB82CAT3G</v>
      </c>
      <c r="B7321" s="3" t="str">
        <f>HYPERLINK("https://www.773grp.com/manufacturer/onsemi?pageNo=580", "Onsemi")</f>
        <v>Onsemi</v>
      </c>
      <c r="C7321" s="6">
        <v>7500</v>
      </c>
      <c r="D7321" s="7">
        <v>0.85</v>
      </c>
      <c r="E7321" t="s">
        <v>75</v>
      </c>
    </row>
    <row r="7322" spans="1:5" x14ac:dyDescent="0.25">
      <c r="A7322" t="str">
        <f>HYPERLINK("https://www.773grp.com/globalSearch/PZTA14T3/page-1", "PZTA14T3")</f>
        <v>PZTA14T3</v>
      </c>
      <c r="B7322" s="3" t="str">
        <f>HYPERLINK("https://www.773grp.com/manufacturer/onsemi?pageNo=581", "Onsemi")</f>
        <v>Onsemi</v>
      </c>
      <c r="C7322" s="6">
        <v>59960</v>
      </c>
      <c r="D7322" s="7">
        <v>0.85</v>
      </c>
      <c r="E7322" t="s">
        <v>57</v>
      </c>
    </row>
    <row r="7323" spans="1:5" x14ac:dyDescent="0.25">
      <c r="A7323" t="str">
        <f>HYPERLINK("https://www.773grp.com/globalSearch/SC2903VDR2G/page-1", "SC2903VDR2G")</f>
        <v>SC2903VDR2G</v>
      </c>
      <c r="B7323" s="3" t="str">
        <f>HYPERLINK("https://www.773grp.com/manufacturer/onsemi?pageNo=582", "Onsemi")</f>
        <v>Onsemi</v>
      </c>
      <c r="C7323" s="6">
        <v>4446</v>
      </c>
      <c r="D7323" s="7">
        <v>0.85</v>
      </c>
    </row>
    <row r="7324" spans="1:5" x14ac:dyDescent="0.25">
      <c r="A7324" t="str">
        <f>HYPERLINK("https://www.773grp.com/globalSearch/SC2904VDR2/page-1", "SC2904VDR2")</f>
        <v>SC2904VDR2</v>
      </c>
      <c r="B7324" s="3" t="str">
        <f>HYPERLINK("https://www.773grp.com/manufacturer/onsemi?pageNo=583", "Onsemi")</f>
        <v>Onsemi</v>
      </c>
      <c r="C7324" s="6">
        <v>50000</v>
      </c>
      <c r="D7324" s="7">
        <v>0.85</v>
      </c>
    </row>
    <row r="7325" spans="1:5" x14ac:dyDescent="0.25">
      <c r="A7325" t="str">
        <f>HYPERLINK("https://www.773grp.com/globalSearch/SC2904VDR2G/page-1", "SC2904VDR2G")</f>
        <v>SC2904VDR2G</v>
      </c>
      <c r="B7325" s="3" t="str">
        <f>HYPERLINK("https://www.773grp.com/manufacturer/onsemi?pageNo=584", "Onsemi")</f>
        <v>Onsemi</v>
      </c>
      <c r="C7325" s="6">
        <v>11157</v>
      </c>
      <c r="D7325" s="7">
        <v>0.85</v>
      </c>
    </row>
    <row r="7326" spans="1:5" x14ac:dyDescent="0.25">
      <c r="A7326" t="str">
        <f>HYPERLINK("https://www.773grp.com/globalSearch/SC358NG/page-1", "SC358NG")</f>
        <v>SC358NG</v>
      </c>
      <c r="B7326" s="3" t="str">
        <f>HYPERLINK("https://www.773grp.com/manufacturer/onsemi?pageNo=585", "Onsemi")</f>
        <v>Onsemi</v>
      </c>
      <c r="C7326" s="6">
        <v>350</v>
      </c>
      <c r="D7326" s="7">
        <v>0.85</v>
      </c>
    </row>
    <row r="7327" spans="1:5" x14ac:dyDescent="0.25">
      <c r="A7327" t="str">
        <f>HYPERLINK("https://www.773grp.com/globalSearch/SC65897PK1648/page-1", "SC65897PK1648")</f>
        <v>SC65897PK1648</v>
      </c>
      <c r="B7327" s="3" t="str">
        <f>HYPERLINK("https://www.773grp.com/manufacturer/onsemi?pageNo=586", "Onsemi")</f>
        <v>Onsemi</v>
      </c>
      <c r="C7327" s="6">
        <v>500</v>
      </c>
      <c r="D7327" s="7">
        <v>0.85</v>
      </c>
    </row>
    <row r="7328" spans="1:5" x14ac:dyDescent="0.25">
      <c r="A7328" t="str">
        <f>HYPERLINK("https://www.773grp.com/globalSearch/SC79058P/page-1", "SC79058P")</f>
        <v>SC79058P</v>
      </c>
      <c r="B7328" s="3" t="str">
        <f>HYPERLINK("https://www.773grp.com/manufacturer/onsemi?pageNo=587", "Onsemi")</f>
        <v>Onsemi</v>
      </c>
      <c r="C7328" s="6">
        <v>1000</v>
      </c>
      <c r="D7328" s="7">
        <v>0.85</v>
      </c>
    </row>
    <row r="7329" spans="1:5" x14ac:dyDescent="0.25">
      <c r="A7329" t="str">
        <f>HYPERLINK("https://www.773grp.com/globalSearch/SCV303LSN44T1G/page-1", "SCV303LSN44T1G")</f>
        <v>SCV303LSN44T1G</v>
      </c>
      <c r="B7329" s="3" t="str">
        <f>HYPERLINK("https://www.773grp.com/manufacturer/onsemi?pageNo=588", "Onsemi")</f>
        <v>Onsemi</v>
      </c>
      <c r="C7329" s="6">
        <v>15000</v>
      </c>
      <c r="D7329" s="7">
        <v>0.85</v>
      </c>
    </row>
    <row r="7330" spans="1:5" x14ac:dyDescent="0.25">
      <c r="A7330" t="str">
        <f>HYPERLINK("https://www.773grp.com/globalSearch/SN74LS122D/page-1", "SN74LS122D")</f>
        <v>SN74LS122D</v>
      </c>
      <c r="B7330" s="3" t="str">
        <f>HYPERLINK("https://www.773grp.com/manufacturer/onsemi?pageNo=589", "Onsemi")</f>
        <v>Onsemi</v>
      </c>
      <c r="C7330" s="6">
        <v>3395</v>
      </c>
      <c r="D7330" s="7">
        <v>0.85</v>
      </c>
      <c r="E7330" t="s">
        <v>44</v>
      </c>
    </row>
    <row r="7331" spans="1:5" x14ac:dyDescent="0.25">
      <c r="A7331" t="str">
        <f>HYPERLINK("https://www.773grp.com/globalSearch/SN74LS280D/page-1", "SN74LS280D")</f>
        <v>SN74LS280D</v>
      </c>
      <c r="B7331" s="3" t="str">
        <f>HYPERLINK("https://www.773grp.com/manufacturer/onsemi?pageNo=590", "Onsemi")</f>
        <v>Onsemi</v>
      </c>
      <c r="C7331" s="6">
        <v>2035</v>
      </c>
      <c r="D7331" s="7">
        <v>0.85</v>
      </c>
      <c r="E7331" t="s">
        <v>38</v>
      </c>
    </row>
    <row r="7332" spans="1:5" x14ac:dyDescent="0.25">
      <c r="A7332" t="str">
        <f>HYPERLINK("https://www.773grp.com/globalSearch/SN74LS280M/page-1", "SN74LS280M")</f>
        <v>SN74LS280M</v>
      </c>
      <c r="B7332" s="3" t="str">
        <f>HYPERLINK("https://www.773grp.com/manufacturer/onsemi?pageNo=591", "Onsemi")</f>
        <v>Onsemi</v>
      </c>
      <c r="C7332" s="6">
        <v>2850</v>
      </c>
      <c r="D7332" s="7">
        <v>0.85</v>
      </c>
      <c r="E7332" t="s">
        <v>38</v>
      </c>
    </row>
    <row r="7333" spans="1:5" x14ac:dyDescent="0.25">
      <c r="A7333" t="str">
        <f>HYPERLINK("https://www.773grp.com/globalSearch/SN74LS283D/page-1", "SN74LS283D")</f>
        <v>SN74LS283D</v>
      </c>
      <c r="B7333" s="3" t="str">
        <f>HYPERLINK("https://www.773grp.com/manufacturer/onsemi?pageNo=592", "Onsemi")</f>
        <v>Onsemi</v>
      </c>
      <c r="C7333" s="6">
        <v>1406</v>
      </c>
      <c r="D7333" s="7">
        <v>0.85</v>
      </c>
      <c r="E7333" t="s">
        <v>38</v>
      </c>
    </row>
    <row r="7334" spans="1:5" x14ac:dyDescent="0.25">
      <c r="A7334" t="str">
        <f>HYPERLINK("https://www.773grp.com/globalSearch/SN74LS47N/page-1", "SN74LS47N")</f>
        <v>SN74LS47N</v>
      </c>
      <c r="B7334" s="3" t="str">
        <f>HYPERLINK("https://www.773grp.com/manufacturer/onsemi?pageNo=593", "Onsemi")</f>
        <v>Onsemi</v>
      </c>
      <c r="C7334" s="6">
        <v>29</v>
      </c>
      <c r="D7334" s="7">
        <v>0.85</v>
      </c>
      <c r="E7334" t="s">
        <v>32</v>
      </c>
    </row>
    <row r="7335" spans="1:5" x14ac:dyDescent="0.25">
      <c r="A7335" t="str">
        <f>HYPERLINK("https://www.773grp.com/globalSearch/TL431BIDG/page-1", "TL431BIDG")</f>
        <v>TL431BIDG</v>
      </c>
      <c r="B7335" s="3" t="str">
        <f>HYPERLINK("https://www.773grp.com/manufacturer/onsemi?pageNo=594", "Onsemi")</f>
        <v>Onsemi</v>
      </c>
      <c r="C7335" s="6">
        <v>2201</v>
      </c>
      <c r="D7335" s="7">
        <v>0.85</v>
      </c>
      <c r="E7335" t="s">
        <v>13</v>
      </c>
    </row>
    <row r="7336" spans="1:5" x14ac:dyDescent="0.25">
      <c r="A7336" t="str">
        <f>HYPERLINK("https://www.773grp.com/globalSearch/TL431BIDR2G/page-1", "TL431BIDR2G")</f>
        <v>TL431BIDR2G</v>
      </c>
      <c r="B7336" s="3" t="str">
        <f>HYPERLINK("https://www.773grp.com/manufacturer/onsemi?pageNo=595", "Onsemi")</f>
        <v>Onsemi</v>
      </c>
      <c r="C7336" s="6">
        <v>157500</v>
      </c>
      <c r="D7336" s="7">
        <v>0.85</v>
      </c>
      <c r="E7336" t="s">
        <v>13</v>
      </c>
    </row>
    <row r="7337" spans="1:5" x14ac:dyDescent="0.25">
      <c r="A7337" t="str">
        <f>HYPERLINK("https://www.773grp.com/globalSearch/TL431BILPG/page-1", "TL431BILPG")</f>
        <v>TL431BILPG</v>
      </c>
      <c r="B7337" s="3" t="str">
        <f>HYPERLINK("https://www.773grp.com/manufacturer/onsemi?pageNo=596", "Onsemi")</f>
        <v>Onsemi</v>
      </c>
      <c r="C7337" s="6">
        <v>18000</v>
      </c>
      <c r="D7337" s="7">
        <v>0.85</v>
      </c>
      <c r="E7337" t="s">
        <v>13</v>
      </c>
    </row>
    <row r="7338" spans="1:5" x14ac:dyDescent="0.25">
      <c r="A7338" t="str">
        <f>HYPERLINK("https://www.773grp.com/globalSearch/TL431BILPRAG/page-1", "TL431BILPRAG")</f>
        <v>TL431BILPRAG</v>
      </c>
      <c r="B7338" s="3" t="str">
        <f>HYPERLINK("https://www.773grp.com/manufacturer/onsemi?pageNo=597", "Onsemi")</f>
        <v>Onsemi</v>
      </c>
      <c r="C7338" s="6">
        <v>66000</v>
      </c>
      <c r="D7338" s="7">
        <v>0.85</v>
      </c>
    </row>
    <row r="7339" spans="1:5" x14ac:dyDescent="0.25">
      <c r="A7339" t="str">
        <f>HYPERLINK("https://www.773grp.com/globalSearch/TLV431ASN1T1G/page-1", "TLV431ASN1T1G")</f>
        <v>TLV431ASN1T1G</v>
      </c>
      <c r="B7339" s="3" t="str">
        <f>HYPERLINK("https://www.773grp.com/manufacturer/onsemi?pageNo=598", "Onsemi")</f>
        <v>Onsemi</v>
      </c>
      <c r="C7339" s="6">
        <v>6000</v>
      </c>
      <c r="D7339" s="7">
        <v>0.85</v>
      </c>
    </row>
    <row r="7340" spans="1:5" x14ac:dyDescent="0.25">
      <c r="A7340" t="str">
        <f>HYPERLINK("https://www.773grp.com/globalSearch/TLV431ASNT1G/page-1", "TLV431ASNT1G")</f>
        <v>TLV431ASNT1G</v>
      </c>
      <c r="B7340" s="3" t="str">
        <f>HYPERLINK("https://www.773grp.com/manufacturer/onsemi?pageNo=599", "Onsemi")</f>
        <v>Onsemi</v>
      </c>
      <c r="C7340" s="6">
        <v>33600</v>
      </c>
      <c r="D7340" s="7">
        <v>0.85</v>
      </c>
      <c r="E7340" t="s">
        <v>13</v>
      </c>
    </row>
    <row r="7341" spans="1:5" x14ac:dyDescent="0.25">
      <c r="A7341" t="str">
        <f>HYPERLINK("https://www.773grp.com/globalSearch/TLV431BSN1T1G/page-1", "TLV431BSN1T1G")</f>
        <v>TLV431BSN1T1G</v>
      </c>
      <c r="B7341" s="3" t="str">
        <f>HYPERLINK("https://www.773grp.com/manufacturer/onsemi?pageNo=600", "Onsemi")</f>
        <v>Onsemi</v>
      </c>
      <c r="C7341" s="6">
        <v>7830</v>
      </c>
      <c r="D7341" s="7">
        <v>0.85</v>
      </c>
      <c r="E7341" t="s">
        <v>13</v>
      </c>
    </row>
    <row r="7342" spans="1:5" x14ac:dyDescent="0.25">
      <c r="A7342" t="str">
        <f>HYPERLINK("https://www.773grp.com/globalSearch/VN2406LZL1/page-1", "VN2406LZL1")</f>
        <v>VN2406LZL1</v>
      </c>
      <c r="B7342" s="3" t="str">
        <f>HYPERLINK("https://www.773grp.com/manufacturer/onsemi?pageNo=601", "Onsemi")</f>
        <v>Onsemi</v>
      </c>
      <c r="C7342" s="6">
        <v>267150</v>
      </c>
      <c r="D7342" s="7">
        <v>0.85</v>
      </c>
      <c r="E7342" t="s">
        <v>85</v>
      </c>
    </row>
    <row r="7343" spans="1:5" x14ac:dyDescent="0.25">
      <c r="A7343" t="str">
        <f>HYPERLINK("https://www.773grp.com/globalSearch/1SMB100AT3/page-1", "1SMB100AT3")</f>
        <v>1SMB100AT3</v>
      </c>
      <c r="B7343" s="3" t="str">
        <f>HYPERLINK("https://www.773grp.com/manufacturer/onsemi?pageNo=602", "Onsemi")</f>
        <v>Onsemi</v>
      </c>
      <c r="C7343" s="6">
        <v>2500</v>
      </c>
      <c r="D7343" s="7">
        <v>0.9</v>
      </c>
      <c r="E7343" t="s">
        <v>75</v>
      </c>
    </row>
    <row r="7344" spans="1:5" x14ac:dyDescent="0.25">
      <c r="A7344" t="str">
        <f>HYPERLINK("https://www.773grp.com/globalSearch/1SMB11AT3G/page-1", "1SMB11AT3G")</f>
        <v>1SMB11AT3G</v>
      </c>
      <c r="B7344" s="3" t="str">
        <f>HYPERLINK("https://www.773grp.com/manufacturer/onsemi?pageNo=603", "Onsemi")</f>
        <v>Onsemi</v>
      </c>
      <c r="C7344" s="6">
        <v>15000</v>
      </c>
      <c r="D7344" s="7">
        <v>0.9</v>
      </c>
    </row>
    <row r="7345" spans="1:5" x14ac:dyDescent="0.25">
      <c r="A7345" t="str">
        <f>HYPERLINK("https://www.773grp.com/globalSearch/1SMB15AT3G/page-1", "1SMB15AT3G")</f>
        <v>1SMB15AT3G</v>
      </c>
      <c r="B7345" s="3" t="str">
        <f>HYPERLINK("https://www.773grp.com/manufacturer/onsemi?pageNo=604", "Onsemi")</f>
        <v>Onsemi</v>
      </c>
      <c r="C7345" s="6">
        <v>40000</v>
      </c>
      <c r="D7345" s="7">
        <v>0.9</v>
      </c>
      <c r="E7345" t="s">
        <v>75</v>
      </c>
    </row>
    <row r="7346" spans="1:5" x14ac:dyDescent="0.25">
      <c r="A7346" t="str">
        <f>HYPERLINK("https://www.773grp.com/globalSearch/1SMB17AT3G/page-1", "1SMB17AT3G")</f>
        <v>1SMB17AT3G</v>
      </c>
      <c r="B7346" s="3" t="str">
        <f>HYPERLINK("https://www.773grp.com/manufacturer/onsemi?pageNo=605", "Onsemi")</f>
        <v>Onsemi</v>
      </c>
      <c r="C7346" s="6">
        <v>38474</v>
      </c>
      <c r="D7346" s="7">
        <v>0.9</v>
      </c>
      <c r="E7346" t="s">
        <v>75</v>
      </c>
    </row>
    <row r="7347" spans="1:5" x14ac:dyDescent="0.25">
      <c r="A7347" t="str">
        <f>HYPERLINK("https://www.773grp.com/globalSearch/1SMB20AT3/page-1", "1SMB20AT3")</f>
        <v>1SMB20AT3</v>
      </c>
      <c r="B7347" s="3" t="str">
        <f>HYPERLINK("https://www.773grp.com/manufacturer/onsemi?pageNo=606", "Onsemi")</f>
        <v>Onsemi</v>
      </c>
      <c r="C7347" s="6">
        <v>45000</v>
      </c>
      <c r="D7347" s="7">
        <v>0.9</v>
      </c>
      <c r="E7347" t="s">
        <v>75</v>
      </c>
    </row>
    <row r="7348" spans="1:5" x14ac:dyDescent="0.25">
      <c r="A7348" t="str">
        <f>HYPERLINK("https://www.773grp.com/globalSearch/1SMB43AT3/page-1", "1SMB43AT3")</f>
        <v>1SMB43AT3</v>
      </c>
      <c r="B7348" s="3" t="str">
        <f>HYPERLINK("https://www.773grp.com/manufacturer/onsemi?pageNo=607", "Onsemi")</f>
        <v>Onsemi</v>
      </c>
      <c r="C7348" s="6">
        <v>2500</v>
      </c>
      <c r="D7348" s="7">
        <v>0.9</v>
      </c>
      <c r="E7348" t="s">
        <v>75</v>
      </c>
    </row>
    <row r="7349" spans="1:5" x14ac:dyDescent="0.25">
      <c r="A7349" t="str">
        <f>HYPERLINK("https://www.773grp.com/globalSearch/1SMB43AT3G/page-1", "1SMB43AT3G")</f>
        <v>1SMB43AT3G</v>
      </c>
      <c r="B7349" s="3" t="str">
        <f>HYPERLINK("https://www.773grp.com/manufacturer/onsemi?pageNo=608", "Onsemi")</f>
        <v>Onsemi</v>
      </c>
      <c r="C7349" s="6">
        <v>22500</v>
      </c>
      <c r="D7349" s="7">
        <v>0.9</v>
      </c>
      <c r="E7349" t="s">
        <v>75</v>
      </c>
    </row>
    <row r="7350" spans="1:5" x14ac:dyDescent="0.25">
      <c r="A7350" t="str">
        <f>HYPERLINK("https://www.773grp.com/globalSearch/1SMB45AT3G/page-1", "1SMB45AT3G")</f>
        <v>1SMB45AT3G</v>
      </c>
      <c r="B7350" s="3" t="str">
        <f>HYPERLINK("https://www.773grp.com/manufacturer/onsemi?pageNo=609", "Onsemi")</f>
        <v>Onsemi</v>
      </c>
      <c r="C7350" s="6">
        <v>5000</v>
      </c>
      <c r="D7350" s="7">
        <v>0.9</v>
      </c>
      <c r="E7350" t="s">
        <v>75</v>
      </c>
    </row>
    <row r="7351" spans="1:5" x14ac:dyDescent="0.25">
      <c r="A7351" t="str">
        <f>HYPERLINK("https://www.773grp.com/globalSearch/1SMB48AT3G/page-1", "1SMB48AT3G")</f>
        <v>1SMB48AT3G</v>
      </c>
      <c r="B7351" s="3" t="str">
        <f>HYPERLINK("https://www.773grp.com/manufacturer/onsemi?pageNo=610", "Onsemi")</f>
        <v>Onsemi</v>
      </c>
      <c r="C7351" s="6">
        <v>2500</v>
      </c>
      <c r="D7351" s="7">
        <v>0.9</v>
      </c>
      <c r="E7351" t="s">
        <v>75</v>
      </c>
    </row>
    <row r="7352" spans="1:5" x14ac:dyDescent="0.25">
      <c r="A7352" t="str">
        <f>HYPERLINK("https://www.773grp.com/globalSearch/1SMB51AT3G/page-1", "1SMB51AT3G")</f>
        <v>1SMB51AT3G</v>
      </c>
      <c r="B7352" s="3" t="str">
        <f>HYPERLINK("https://www.773grp.com/manufacturer/onsemi?pageNo=611", "Onsemi")</f>
        <v>Onsemi</v>
      </c>
      <c r="C7352" s="6">
        <v>22500</v>
      </c>
      <c r="D7352" s="7">
        <v>0.9</v>
      </c>
      <c r="E7352" t="s">
        <v>75</v>
      </c>
    </row>
    <row r="7353" spans="1:5" x14ac:dyDescent="0.25">
      <c r="A7353" t="str">
        <f>HYPERLINK("https://www.773grp.com/globalSearch/1SMB5913BT3/page-1", "1SMB5913BT3")</f>
        <v>1SMB5913BT3</v>
      </c>
      <c r="B7353" s="3" t="str">
        <f>HYPERLINK("https://www.773grp.com/manufacturer/onsemi?pageNo=612", "Onsemi")</f>
        <v>Onsemi</v>
      </c>
      <c r="C7353" s="6">
        <v>5000</v>
      </c>
      <c r="D7353" s="7">
        <v>0.9</v>
      </c>
    </row>
    <row r="7354" spans="1:5" x14ac:dyDescent="0.25">
      <c r="A7354" t="str">
        <f>HYPERLINK("https://www.773grp.com/globalSearch/1SMB5914BT3/page-1", "1SMB5914BT3")</f>
        <v>1SMB5914BT3</v>
      </c>
      <c r="B7354" s="3" t="str">
        <f>HYPERLINK("https://www.773grp.com/manufacturer/onsemi?pageNo=613", "Onsemi")</f>
        <v>Onsemi</v>
      </c>
      <c r="C7354" s="6">
        <v>10000</v>
      </c>
      <c r="D7354" s="7">
        <v>0.9</v>
      </c>
    </row>
    <row r="7355" spans="1:5" x14ac:dyDescent="0.25">
      <c r="A7355" t="str">
        <f>HYPERLINK("https://www.773grp.com/globalSearch/1SMB5916BT3/page-1", "1SMB5916BT3")</f>
        <v>1SMB5916BT3</v>
      </c>
      <c r="B7355" s="3" t="str">
        <f>HYPERLINK("https://www.773grp.com/manufacturer/onsemi?pageNo=614", "Onsemi")</f>
        <v>Onsemi</v>
      </c>
      <c r="C7355" s="6">
        <v>2500</v>
      </c>
      <c r="D7355" s="7">
        <v>0.9</v>
      </c>
      <c r="E7355" t="s">
        <v>77</v>
      </c>
    </row>
    <row r="7356" spans="1:5" x14ac:dyDescent="0.25">
      <c r="A7356" t="str">
        <f>HYPERLINK("https://www.773grp.com/globalSearch/1SMB5917BT3/page-1", "1SMB5917BT3")</f>
        <v>1SMB5917BT3</v>
      </c>
      <c r="B7356" s="3" t="str">
        <f>HYPERLINK("https://www.773grp.com/manufacturer/onsemi?pageNo=615", "Onsemi")</f>
        <v>Onsemi</v>
      </c>
      <c r="C7356" s="6">
        <v>10000</v>
      </c>
      <c r="D7356" s="7">
        <v>0.9</v>
      </c>
    </row>
    <row r="7357" spans="1:5" x14ac:dyDescent="0.25">
      <c r="A7357" t="str">
        <f>HYPERLINK("https://www.773grp.com/globalSearch/1SMB5919BT3/page-1", "1SMB5919BT3")</f>
        <v>1SMB5919BT3</v>
      </c>
      <c r="B7357" s="3" t="str">
        <f>HYPERLINK("https://www.773grp.com/manufacturer/onsemi?pageNo=616", "Onsemi")</f>
        <v>Onsemi</v>
      </c>
      <c r="C7357" s="6">
        <v>16200</v>
      </c>
      <c r="D7357" s="7">
        <v>0.9</v>
      </c>
    </row>
    <row r="7358" spans="1:5" x14ac:dyDescent="0.25">
      <c r="A7358" t="str">
        <f>HYPERLINK("https://www.773grp.com/globalSearch/1SMB5920BT3/page-1", "1SMB5920BT3")</f>
        <v>1SMB5920BT3</v>
      </c>
      <c r="B7358" s="3" t="str">
        <f>HYPERLINK("https://www.773grp.com/manufacturer/onsemi?pageNo=617", "Onsemi")</f>
        <v>Onsemi</v>
      </c>
      <c r="C7358" s="6">
        <v>12500</v>
      </c>
      <c r="D7358" s="7">
        <v>0.9</v>
      </c>
    </row>
    <row r="7359" spans="1:5" x14ac:dyDescent="0.25">
      <c r="A7359" t="str">
        <f>HYPERLINK("https://www.773grp.com/globalSearch/1SMB5925BT3/page-1", "1SMB5925BT3")</f>
        <v>1SMB5925BT3</v>
      </c>
      <c r="B7359" s="3" t="str">
        <f>HYPERLINK("https://www.773grp.com/manufacturer/onsemi?pageNo=618", "Onsemi")</f>
        <v>Onsemi</v>
      </c>
      <c r="C7359" s="6">
        <v>12500</v>
      </c>
      <c r="D7359" s="7">
        <v>0.9</v>
      </c>
    </row>
    <row r="7360" spans="1:5" x14ac:dyDescent="0.25">
      <c r="A7360" t="str">
        <f>HYPERLINK("https://www.773grp.com/globalSearch/1SMB5927BT3/page-1", "1SMB5927BT3")</f>
        <v>1SMB5927BT3</v>
      </c>
      <c r="B7360" s="3" t="str">
        <f>HYPERLINK("https://www.773grp.com/manufacturer/onsemi?pageNo=619", "Onsemi")</f>
        <v>Onsemi</v>
      </c>
      <c r="C7360" s="6">
        <v>211</v>
      </c>
      <c r="D7360" s="7">
        <v>0.9</v>
      </c>
      <c r="E7360" t="s">
        <v>77</v>
      </c>
    </row>
    <row r="7361" spans="1:5" x14ac:dyDescent="0.25">
      <c r="A7361" t="str">
        <f>HYPERLINK("https://www.773grp.com/globalSearch/1SMB5928BT3/page-1", "1SMB5928BT3")</f>
        <v>1SMB5928BT3</v>
      </c>
      <c r="B7361" s="3" t="str">
        <f>HYPERLINK("https://www.773grp.com/manufacturer/onsemi?pageNo=620", "Onsemi")</f>
        <v>Onsemi</v>
      </c>
      <c r="C7361" s="6">
        <v>19528</v>
      </c>
      <c r="D7361" s="7">
        <v>0.9</v>
      </c>
      <c r="E7361" t="s">
        <v>77</v>
      </c>
    </row>
    <row r="7362" spans="1:5" x14ac:dyDescent="0.25">
      <c r="A7362" t="str">
        <f>HYPERLINK("https://www.773grp.com/globalSearch/1SMB5934BT3/page-1", "1SMB5934BT3")</f>
        <v>1SMB5934BT3</v>
      </c>
      <c r="B7362" s="3" t="str">
        <f>HYPERLINK("https://www.773grp.com/manufacturer/onsemi?pageNo=621", "Onsemi")</f>
        <v>Onsemi</v>
      </c>
      <c r="C7362" s="6">
        <v>2500</v>
      </c>
      <c r="D7362" s="7">
        <v>0.9</v>
      </c>
    </row>
    <row r="7363" spans="1:5" x14ac:dyDescent="0.25">
      <c r="A7363" t="str">
        <f>HYPERLINK("https://www.773grp.com/globalSearch/1SMB5935BT3/page-1", "1SMB5935BT3")</f>
        <v>1SMB5935BT3</v>
      </c>
      <c r="B7363" s="3" t="str">
        <f>HYPERLINK("https://www.773grp.com/manufacturer/onsemi?pageNo=622", "Onsemi")</f>
        <v>Onsemi</v>
      </c>
      <c r="C7363" s="6">
        <v>16911</v>
      </c>
      <c r="D7363" s="7">
        <v>0.9</v>
      </c>
      <c r="E7363" t="s">
        <v>77</v>
      </c>
    </row>
    <row r="7364" spans="1:5" x14ac:dyDescent="0.25">
      <c r="A7364" t="str">
        <f>HYPERLINK("https://www.773grp.com/globalSearch/1SMB5938BT3/page-1", "1SMB5938BT3")</f>
        <v>1SMB5938BT3</v>
      </c>
      <c r="B7364" s="3" t="str">
        <f>HYPERLINK("https://www.773grp.com/manufacturer/onsemi?pageNo=623", "Onsemi")</f>
        <v>Onsemi</v>
      </c>
      <c r="C7364" s="6">
        <v>2500</v>
      </c>
      <c r="D7364" s="7">
        <v>0.9</v>
      </c>
      <c r="E7364" t="s">
        <v>77</v>
      </c>
    </row>
    <row r="7365" spans="1:5" x14ac:dyDescent="0.25">
      <c r="A7365" t="str">
        <f>HYPERLINK("https://www.773grp.com/globalSearch/1SMB5939BT3/page-1", "1SMB5939BT3")</f>
        <v>1SMB5939BT3</v>
      </c>
      <c r="B7365" s="3" t="str">
        <f>HYPERLINK("https://www.773grp.com/manufacturer/onsemi?pageNo=624", "Onsemi")</f>
        <v>Onsemi</v>
      </c>
      <c r="C7365" s="6">
        <v>15000</v>
      </c>
      <c r="D7365" s="7">
        <v>0.9</v>
      </c>
      <c r="E7365" t="s">
        <v>77</v>
      </c>
    </row>
    <row r="7366" spans="1:5" x14ac:dyDescent="0.25">
      <c r="A7366" t="str">
        <f>HYPERLINK("https://www.773grp.com/globalSearch/1SMB5941BT3/page-1", "1SMB5941BT3")</f>
        <v>1SMB5941BT3</v>
      </c>
      <c r="B7366" s="3" t="str">
        <f>HYPERLINK("https://www.773grp.com/manufacturer/onsemi?pageNo=625", "Onsemi")</f>
        <v>Onsemi</v>
      </c>
      <c r="C7366" s="6">
        <v>27500</v>
      </c>
      <c r="D7366" s="7">
        <v>0.9</v>
      </c>
      <c r="E7366" t="s">
        <v>77</v>
      </c>
    </row>
    <row r="7367" spans="1:5" x14ac:dyDescent="0.25">
      <c r="A7367" t="str">
        <f>HYPERLINK("https://www.773grp.com/globalSearch/1SMB5944BT3/page-1", "1SMB5944BT3")</f>
        <v>1SMB5944BT3</v>
      </c>
      <c r="B7367" s="3" t="str">
        <f>HYPERLINK("https://www.773grp.com/manufacturer/onsemi?pageNo=626", "Onsemi")</f>
        <v>Onsemi</v>
      </c>
      <c r="C7367" s="6">
        <v>40000</v>
      </c>
      <c r="D7367" s="7">
        <v>0.9</v>
      </c>
      <c r="E7367" t="s">
        <v>77</v>
      </c>
    </row>
    <row r="7368" spans="1:5" x14ac:dyDescent="0.25">
      <c r="A7368" t="str">
        <f>HYPERLINK("https://www.773grp.com/globalSearch/1SMB6.5AT3G/page-1", "1SMB6.5AT3G")</f>
        <v>1SMB6.5AT3G</v>
      </c>
      <c r="B7368" s="3" t="str">
        <f>HYPERLINK("https://www.773grp.com/manufacturer/onsemi?pageNo=627", "Onsemi")</f>
        <v>Onsemi</v>
      </c>
      <c r="C7368" s="6">
        <v>17500</v>
      </c>
      <c r="D7368" s="7">
        <v>0.9</v>
      </c>
      <c r="E7368" t="s">
        <v>75</v>
      </c>
    </row>
    <row r="7369" spans="1:5" x14ac:dyDescent="0.25">
      <c r="A7369" t="str">
        <f>HYPERLINK("https://www.773grp.com/globalSearch/1SMB60AT3G/page-1", "1SMB60AT3G")</f>
        <v>1SMB60AT3G</v>
      </c>
      <c r="B7369" s="3" t="str">
        <f>HYPERLINK("https://www.773grp.com/manufacturer/onsemi?pageNo=628", "Onsemi")</f>
        <v>Onsemi</v>
      </c>
      <c r="C7369" s="6">
        <v>7500</v>
      </c>
      <c r="D7369" s="7">
        <v>0.9</v>
      </c>
      <c r="E7369" t="s">
        <v>75</v>
      </c>
    </row>
    <row r="7370" spans="1:5" x14ac:dyDescent="0.25">
      <c r="A7370" t="str">
        <f>HYPERLINK("https://www.773grp.com/globalSearch/1SMB7.0AT3/page-1", "1SMB7.0AT3")</f>
        <v>1SMB7.0AT3</v>
      </c>
      <c r="B7370" s="3" t="str">
        <f>HYPERLINK("https://www.773grp.com/manufacturer/onsemi?pageNo=629", "Onsemi")</f>
        <v>Onsemi</v>
      </c>
      <c r="C7370" s="6">
        <v>5000</v>
      </c>
      <c r="D7370" s="7">
        <v>0.9</v>
      </c>
      <c r="E7370" t="s">
        <v>75</v>
      </c>
    </row>
    <row r="7371" spans="1:5" x14ac:dyDescent="0.25">
      <c r="A7371" t="str">
        <f>HYPERLINK("https://www.773grp.com/globalSearch/1SMB7.0AT3G/page-1", "1SMB7.0AT3G")</f>
        <v>1SMB7.0AT3G</v>
      </c>
      <c r="B7371" s="3" t="str">
        <f>HYPERLINK("https://www.773grp.com/manufacturer/onsemi?pageNo=630", "Onsemi")</f>
        <v>Onsemi</v>
      </c>
      <c r="C7371" s="6">
        <v>73750</v>
      </c>
      <c r="D7371" s="7">
        <v>0.9</v>
      </c>
      <c r="E7371" t="s">
        <v>75</v>
      </c>
    </row>
    <row r="7372" spans="1:5" x14ac:dyDescent="0.25">
      <c r="A7372" t="str">
        <f>HYPERLINK("https://www.773grp.com/globalSearch/1SMB75AT3G/page-1", "1SMB75AT3G")</f>
        <v>1SMB75AT3G</v>
      </c>
      <c r="B7372" s="3" t="str">
        <f>HYPERLINK("https://www.773grp.com/manufacturer/onsemi?pageNo=631", "Onsemi")</f>
        <v>Onsemi</v>
      </c>
      <c r="C7372" s="6">
        <v>52500</v>
      </c>
      <c r="D7372" s="7">
        <v>0.9</v>
      </c>
      <c r="E7372" t="s">
        <v>75</v>
      </c>
    </row>
    <row r="7373" spans="1:5" x14ac:dyDescent="0.25">
      <c r="A7373" t="str">
        <f>HYPERLINK("https://www.773grp.com/globalSearch/1SMB9.0AT3G/page-1", "1SMB9.0AT3G")</f>
        <v>1SMB9.0AT3G</v>
      </c>
      <c r="B7373" s="3" t="str">
        <f>HYPERLINK("https://www.773grp.com/manufacturer/onsemi?pageNo=632", "Onsemi")</f>
        <v>Onsemi</v>
      </c>
      <c r="C7373" s="6">
        <v>12500</v>
      </c>
      <c r="D7373" s="7">
        <v>0.9</v>
      </c>
      <c r="E7373" t="s">
        <v>75</v>
      </c>
    </row>
    <row r="7374" spans="1:5" x14ac:dyDescent="0.25">
      <c r="A7374" t="str">
        <f>HYPERLINK("https://www.773grp.com/globalSearch/2N1711/page-1", "2N1711")</f>
        <v>2N1711</v>
      </c>
      <c r="B7374" s="3" t="str">
        <f>HYPERLINK("https://www.773grp.com/manufacturer/onsemi?pageNo=633", "Onsemi")</f>
        <v>Onsemi</v>
      </c>
      <c r="C7374" s="6">
        <v>65</v>
      </c>
      <c r="D7374" s="7">
        <v>0.9</v>
      </c>
      <c r="E7374" t="s">
        <v>57</v>
      </c>
    </row>
    <row r="7375" spans="1:5" x14ac:dyDescent="0.25">
      <c r="A7375" t="str">
        <f>HYPERLINK("https://www.773grp.com/globalSearch/2N5655G/page-1", "2N5655G")</f>
        <v>2N5655G</v>
      </c>
      <c r="B7375" s="3" t="str">
        <f>HYPERLINK("https://www.773grp.com/manufacturer/onsemi?pageNo=634", "Onsemi")</f>
        <v>Onsemi</v>
      </c>
      <c r="C7375" s="6">
        <v>16374</v>
      </c>
      <c r="D7375" s="7">
        <v>0.9</v>
      </c>
      <c r="E7375" t="s">
        <v>47</v>
      </c>
    </row>
    <row r="7376" spans="1:5" x14ac:dyDescent="0.25">
      <c r="A7376" t="str">
        <f>HYPERLINK("https://www.773grp.com/globalSearch/2N5657/page-1", "2N5657")</f>
        <v>2N5657</v>
      </c>
      <c r="B7376" s="3" t="str">
        <f>HYPERLINK("https://www.773grp.com/manufacturer/onsemi?pageNo=635", "Onsemi")</f>
        <v>Onsemi</v>
      </c>
      <c r="C7376" s="6">
        <v>1589</v>
      </c>
      <c r="D7376" s="7">
        <v>0.9</v>
      </c>
      <c r="E7376" t="s">
        <v>47</v>
      </c>
    </row>
    <row r="7377" spans="1:5" x14ac:dyDescent="0.25">
      <c r="A7377" t="str">
        <f>HYPERLINK("https://www.773grp.com/globalSearch/2N5657G/page-1", "2N5657G")</f>
        <v>2N5657G</v>
      </c>
      <c r="B7377" s="3" t="str">
        <f>HYPERLINK("https://www.773grp.com/manufacturer/onsemi?pageNo=636", "Onsemi")</f>
        <v>Onsemi</v>
      </c>
      <c r="C7377" s="6">
        <v>15648</v>
      </c>
      <c r="D7377" s="7">
        <v>0.9</v>
      </c>
      <c r="E7377" t="s">
        <v>47</v>
      </c>
    </row>
    <row r="7378" spans="1:5" x14ac:dyDescent="0.25">
      <c r="A7378" t="str">
        <f>HYPERLINK("https://www.773grp.com/globalSearch/2N6107/page-1", "2N6107")</f>
        <v>2N6107</v>
      </c>
      <c r="B7378" s="3" t="str">
        <f>HYPERLINK("https://www.773grp.com/manufacturer/onsemi?pageNo=637", "Onsemi")</f>
        <v>Onsemi</v>
      </c>
      <c r="C7378" s="6">
        <v>1467</v>
      </c>
      <c r="D7378" s="7">
        <v>0.9</v>
      </c>
      <c r="E7378" t="s">
        <v>47</v>
      </c>
    </row>
    <row r="7379" spans="1:5" x14ac:dyDescent="0.25">
      <c r="A7379" t="str">
        <f>HYPERLINK("https://www.773grp.com/globalSearch/2N6109/page-1", "2N6109")</f>
        <v>2N6109</v>
      </c>
      <c r="B7379" s="3" t="str">
        <f>HYPERLINK("https://www.773grp.com/manufacturer/onsemi?pageNo=638", "Onsemi")</f>
        <v>Onsemi</v>
      </c>
      <c r="C7379" s="6">
        <v>3629</v>
      </c>
      <c r="D7379" s="7">
        <v>0.9</v>
      </c>
      <c r="E7379" t="s">
        <v>47</v>
      </c>
    </row>
    <row r="7380" spans="1:5" x14ac:dyDescent="0.25">
      <c r="A7380" t="str">
        <f>HYPERLINK("https://www.773grp.com/globalSearch/2N6487/page-1", "2N6487")</f>
        <v>2N6487</v>
      </c>
      <c r="B7380" s="3" t="str">
        <f>HYPERLINK("https://www.773grp.com/manufacturer/onsemi?pageNo=639", "Onsemi")</f>
        <v>Onsemi</v>
      </c>
      <c r="C7380" s="6">
        <v>818</v>
      </c>
      <c r="D7380" s="7">
        <v>0.9</v>
      </c>
      <c r="E7380" t="s">
        <v>47</v>
      </c>
    </row>
    <row r="7381" spans="1:5" x14ac:dyDescent="0.25">
      <c r="A7381" t="str">
        <f>HYPERLINK("https://www.773grp.com/globalSearch/2N6488/page-1", "2N6488")</f>
        <v>2N6488</v>
      </c>
      <c r="B7381" s="3" t="str">
        <f>HYPERLINK("https://www.773grp.com/manufacturer/onsemi?pageNo=640", "Onsemi")</f>
        <v>Onsemi</v>
      </c>
      <c r="C7381" s="6">
        <v>87090</v>
      </c>
      <c r="D7381" s="7">
        <v>0.9</v>
      </c>
      <c r="E7381" t="s">
        <v>47</v>
      </c>
    </row>
    <row r="7382" spans="1:5" x14ac:dyDescent="0.25">
      <c r="A7382" t="str">
        <f>HYPERLINK("https://www.773grp.com/globalSearch/2N6667/page-1", "2N6667")</f>
        <v>2N6667</v>
      </c>
      <c r="B7382" s="3" t="str">
        <f>HYPERLINK("https://www.773grp.com/manufacturer/onsemi?pageNo=641", "Onsemi")</f>
        <v>Onsemi</v>
      </c>
      <c r="C7382" s="6">
        <v>34</v>
      </c>
      <c r="D7382" s="7">
        <v>0.9</v>
      </c>
      <c r="E7382" t="s">
        <v>47</v>
      </c>
    </row>
    <row r="7383" spans="1:5" x14ac:dyDescent="0.25">
      <c r="A7383" t="str">
        <f>HYPERLINK("https://www.773grp.com/globalSearch/2SK715V/page-1", "2SK715V")</f>
        <v>2SK715V</v>
      </c>
      <c r="B7383" s="3" t="str">
        <f>HYPERLINK("https://www.773grp.com/manufacturer/onsemi?pageNo=642", "Onsemi")</f>
        <v>Onsemi</v>
      </c>
      <c r="C7383" s="6">
        <v>1099</v>
      </c>
      <c r="D7383" s="7">
        <v>0.9</v>
      </c>
    </row>
    <row r="7384" spans="1:5" x14ac:dyDescent="0.25">
      <c r="A7384" t="str">
        <f>HYPERLINK("https://www.773grp.com/globalSearch/74FST3383DT/page-1", "74FST3383DT")</f>
        <v>74FST3383DT</v>
      </c>
      <c r="B7384" s="3" t="str">
        <f>HYPERLINK("https://www.773grp.com/manufacturer/onsemi?pageNo=643", "Onsemi")</f>
        <v>Onsemi</v>
      </c>
      <c r="C7384" s="6">
        <v>10230</v>
      </c>
      <c r="D7384" s="7">
        <v>0.9</v>
      </c>
      <c r="E7384" t="s">
        <v>11</v>
      </c>
    </row>
    <row r="7385" spans="1:5" x14ac:dyDescent="0.25">
      <c r="A7385" t="str">
        <f>HYPERLINK("https://www.773grp.com/globalSearch/74FST3383DTR2/page-1", "74FST3383DTR2")</f>
        <v>74FST3383DTR2</v>
      </c>
      <c r="B7385" s="3" t="str">
        <f>HYPERLINK("https://www.773grp.com/manufacturer/onsemi?pageNo=644", "Onsemi")</f>
        <v>Onsemi</v>
      </c>
      <c r="C7385" s="6">
        <v>17500</v>
      </c>
      <c r="D7385" s="7">
        <v>0.9</v>
      </c>
      <c r="E7385" t="s">
        <v>11</v>
      </c>
    </row>
    <row r="7386" spans="1:5" x14ac:dyDescent="0.25">
      <c r="A7386" t="str">
        <f>HYPERLINK("https://www.773grp.com/globalSearch/74FST3383DW/page-1", "74FST3383DW")</f>
        <v>74FST3383DW</v>
      </c>
      <c r="B7386" s="3" t="str">
        <f>HYPERLINK("https://www.773grp.com/manufacturer/onsemi?pageNo=645", "Onsemi")</f>
        <v>Onsemi</v>
      </c>
      <c r="C7386" s="6">
        <v>11250</v>
      </c>
      <c r="D7386" s="7">
        <v>0.9</v>
      </c>
      <c r="E7386" t="s">
        <v>11</v>
      </c>
    </row>
    <row r="7387" spans="1:5" x14ac:dyDescent="0.25">
      <c r="A7387" t="str">
        <f>HYPERLINK("https://www.773grp.com/globalSearch/74FST3383DWR2/page-1", "74FST3383DWR2")</f>
        <v>74FST3383DWR2</v>
      </c>
      <c r="B7387" s="3" t="str">
        <f>HYPERLINK("https://www.773grp.com/manufacturer/onsemi?pageNo=646", "Onsemi")</f>
        <v>Onsemi</v>
      </c>
      <c r="C7387" s="6">
        <v>16000</v>
      </c>
      <c r="D7387" s="7">
        <v>0.9</v>
      </c>
      <c r="E7387" t="s">
        <v>11</v>
      </c>
    </row>
    <row r="7388" spans="1:5" x14ac:dyDescent="0.25">
      <c r="A7388" t="str">
        <f>HYPERLINK("https://www.773grp.com/globalSearch/74FST3383QS/page-1", "74FST3383QS")</f>
        <v>74FST3383QS</v>
      </c>
      <c r="B7388" s="3" t="str">
        <f>HYPERLINK("https://www.773grp.com/manufacturer/onsemi?pageNo=647", "Onsemi")</f>
        <v>Onsemi</v>
      </c>
      <c r="C7388" s="6">
        <v>9055</v>
      </c>
      <c r="D7388" s="7">
        <v>0.9</v>
      </c>
      <c r="E7388" t="s">
        <v>11</v>
      </c>
    </row>
    <row r="7389" spans="1:5" x14ac:dyDescent="0.25">
      <c r="A7389" t="str">
        <f>HYPERLINK("https://www.773grp.com/globalSearch/74FST3383QSR/page-1", "74FST3383QSR")</f>
        <v>74FST3383QSR</v>
      </c>
      <c r="B7389" s="3" t="str">
        <f>HYPERLINK("https://www.773grp.com/manufacturer/onsemi?pageNo=648", "Onsemi")</f>
        <v>Onsemi</v>
      </c>
      <c r="C7389" s="6">
        <v>27500</v>
      </c>
      <c r="D7389" s="7">
        <v>0.9</v>
      </c>
      <c r="E7389" t="s">
        <v>11</v>
      </c>
    </row>
    <row r="7390" spans="1:5" x14ac:dyDescent="0.25">
      <c r="A7390" t="str">
        <f>HYPERLINK("https://www.773grp.com/globalSearch/74FST3384DT/page-1", "74FST3384DT")</f>
        <v>74FST3384DT</v>
      </c>
      <c r="B7390" s="3" t="str">
        <f>HYPERLINK("https://www.773grp.com/manufacturer/onsemi?pageNo=649", "Onsemi")</f>
        <v>Onsemi</v>
      </c>
      <c r="C7390" s="6">
        <v>7161</v>
      </c>
      <c r="D7390" s="7">
        <v>0.9</v>
      </c>
      <c r="E7390" t="s">
        <v>11</v>
      </c>
    </row>
    <row r="7391" spans="1:5" x14ac:dyDescent="0.25">
      <c r="A7391" t="str">
        <f>HYPERLINK("https://www.773grp.com/globalSearch/74FST3384DWR2/page-1", "74FST3384DWR2")</f>
        <v>74FST3384DWR2</v>
      </c>
      <c r="B7391" s="3" t="str">
        <f>HYPERLINK("https://www.773grp.com/manufacturer/onsemi?pageNo=650", "Onsemi")</f>
        <v>Onsemi</v>
      </c>
      <c r="C7391" s="6">
        <v>6000</v>
      </c>
      <c r="D7391" s="7">
        <v>0.9</v>
      </c>
      <c r="E7391" t="s">
        <v>11</v>
      </c>
    </row>
    <row r="7392" spans="1:5" x14ac:dyDescent="0.25">
      <c r="A7392" t="str">
        <f>HYPERLINK("https://www.773grp.com/globalSearch/74FST3384QS/page-1", "74FST3384QS")</f>
        <v>74FST3384QS</v>
      </c>
      <c r="B7392" s="3" t="str">
        <f>HYPERLINK("https://www.773grp.com/manufacturer/onsemi?pageNo=651", "Onsemi")</f>
        <v>Onsemi</v>
      </c>
      <c r="C7392" s="6">
        <v>8965</v>
      </c>
      <c r="D7392" s="7">
        <v>0.9</v>
      </c>
      <c r="E7392" t="s">
        <v>11</v>
      </c>
    </row>
    <row r="7393" spans="1:5" x14ac:dyDescent="0.25">
      <c r="A7393" t="str">
        <f>HYPERLINK("https://www.773grp.com/globalSearch/ADP3120AJCPZ-RL/page-1", "ADP3120AJCPZ-RL")</f>
        <v>ADP3120AJCPZ-RL</v>
      </c>
      <c r="B7393" s="3" t="str">
        <f>HYPERLINK("https://www.773grp.com/manufacturer/onsemi?pageNo=652", "Onsemi")</f>
        <v>Onsemi</v>
      </c>
      <c r="C7393" s="6">
        <v>138988</v>
      </c>
      <c r="D7393" s="7">
        <v>0.9</v>
      </c>
      <c r="E7393" t="s">
        <v>12</v>
      </c>
    </row>
    <row r="7394" spans="1:5" x14ac:dyDescent="0.25">
      <c r="A7394" t="str">
        <f>HYPERLINK("https://www.773grp.com/globalSearch/ADP3121JCPZ-RL/page-1", "ADP3121JCPZ-RL")</f>
        <v>ADP3121JCPZ-RL</v>
      </c>
      <c r="B7394" s="3" t="str">
        <f>HYPERLINK("https://www.773grp.com/manufacturer/onsemi?pageNo=653", "Onsemi")</f>
        <v>Onsemi</v>
      </c>
      <c r="C7394" s="6">
        <v>103000</v>
      </c>
      <c r="D7394" s="7">
        <v>0.9</v>
      </c>
      <c r="E7394" t="s">
        <v>12</v>
      </c>
    </row>
    <row r="7395" spans="1:5" x14ac:dyDescent="0.25">
      <c r="A7395" t="str">
        <f>HYPERLINK("https://www.773grp.com/globalSearch/BD159G/page-1", "BD159G")</f>
        <v>BD159G</v>
      </c>
      <c r="B7395" s="3" t="str">
        <f>HYPERLINK("https://www.773grp.com/manufacturer/onsemi?pageNo=654", "Onsemi")</f>
        <v>Onsemi</v>
      </c>
      <c r="C7395" s="6">
        <v>1000</v>
      </c>
      <c r="D7395" s="7">
        <v>0.9</v>
      </c>
      <c r="E7395" t="s">
        <v>47</v>
      </c>
    </row>
    <row r="7396" spans="1:5" x14ac:dyDescent="0.25">
      <c r="A7396" t="str">
        <f>HYPERLINK("https://www.773grp.com/globalSearch/BD244C/page-1", "BD244C")</f>
        <v>BD244C</v>
      </c>
      <c r="B7396" s="3" t="str">
        <f>HYPERLINK("https://www.773grp.com/manufacturer/onsemi?pageNo=655", "Onsemi")</f>
        <v>Onsemi</v>
      </c>
      <c r="C7396" s="6">
        <v>214</v>
      </c>
      <c r="D7396" s="7">
        <v>0.9</v>
      </c>
      <c r="E7396" t="s">
        <v>47</v>
      </c>
    </row>
    <row r="7397" spans="1:5" x14ac:dyDescent="0.25">
      <c r="A7397" t="str">
        <f>HYPERLINK("https://www.773grp.com/globalSearch/BD809/page-1", "BD809")</f>
        <v>BD809</v>
      </c>
      <c r="B7397" s="3" t="str">
        <f>HYPERLINK("https://www.773grp.com/manufacturer/onsemi?pageNo=656", "Onsemi")</f>
        <v>Onsemi</v>
      </c>
      <c r="C7397" s="6">
        <v>2350</v>
      </c>
      <c r="D7397" s="7">
        <v>0.9</v>
      </c>
      <c r="E7397" t="s">
        <v>47</v>
      </c>
    </row>
    <row r="7398" spans="1:5" x14ac:dyDescent="0.25">
      <c r="A7398" t="str">
        <f>HYPERLINK("https://www.773grp.com/globalSearch/BUX85/page-1", "BUX85")</f>
        <v>BUX85</v>
      </c>
      <c r="B7398" s="3" t="str">
        <f>HYPERLINK("https://www.773grp.com/manufacturer/onsemi?pageNo=657", "Onsemi")</f>
        <v>Onsemi</v>
      </c>
      <c r="C7398" s="6">
        <v>229</v>
      </c>
      <c r="D7398" s="7">
        <v>0.9</v>
      </c>
      <c r="E7398" t="s">
        <v>47</v>
      </c>
    </row>
    <row r="7399" spans="1:5" x14ac:dyDescent="0.25">
      <c r="A7399" t="str">
        <f>HYPERLINK("https://www.773grp.com/globalSearch/CAT24AA16WI-G/page-1", "CAT24AA16WI-G")</f>
        <v>CAT24AA16WI-G</v>
      </c>
      <c r="B7399" s="3" t="str">
        <f>HYPERLINK("https://www.773grp.com/manufacturer/onsemi?pageNo=658", "Onsemi")</f>
        <v>Onsemi</v>
      </c>
      <c r="C7399" s="6">
        <v>300</v>
      </c>
      <c r="D7399" s="7">
        <v>0.9</v>
      </c>
    </row>
    <row r="7400" spans="1:5" x14ac:dyDescent="0.25">
      <c r="A7400" t="str">
        <f>HYPERLINK("https://www.773grp.com/globalSearch/CAT24AA16WI-GT3/page-1", "CAT24AA16WI-GT3")</f>
        <v>CAT24AA16WI-GT3</v>
      </c>
      <c r="B7400" s="3" t="str">
        <f>HYPERLINK("https://www.773grp.com/manufacturer/onsemi?pageNo=659", "Onsemi")</f>
        <v>Onsemi</v>
      </c>
      <c r="C7400" s="6">
        <v>18000</v>
      </c>
      <c r="D7400" s="7">
        <v>0.9</v>
      </c>
      <c r="E7400" t="s">
        <v>52</v>
      </c>
    </row>
    <row r="7401" spans="1:5" x14ac:dyDescent="0.25">
      <c r="A7401" t="str">
        <f>HYPERLINK("https://www.773grp.com/globalSearch/CAT24C01LI-G/page-1", "CAT24C01LI-G")</f>
        <v>CAT24C01LI-G</v>
      </c>
      <c r="B7401" s="3" t="str">
        <f>HYPERLINK("https://www.773grp.com/manufacturer/onsemi?pageNo=660", "Onsemi")</f>
        <v>Onsemi</v>
      </c>
      <c r="C7401" s="6">
        <v>10300</v>
      </c>
      <c r="D7401" s="7">
        <v>0.9</v>
      </c>
      <c r="E7401" t="s">
        <v>52</v>
      </c>
    </row>
    <row r="7402" spans="1:5" x14ac:dyDescent="0.25">
      <c r="A7402" t="str">
        <f>HYPERLINK("https://www.773grp.com/globalSearch/CAT24C02WE-G/page-1", "CAT24C02WE-G")</f>
        <v>CAT24C02WE-G</v>
      </c>
      <c r="B7402" s="3" t="str">
        <f>HYPERLINK("https://www.773grp.com/manufacturer/onsemi?pageNo=661", "Onsemi")</f>
        <v>Onsemi</v>
      </c>
      <c r="C7402" s="6">
        <v>1600</v>
      </c>
      <c r="D7402" s="7">
        <v>0.9</v>
      </c>
    </row>
    <row r="7403" spans="1:5" x14ac:dyDescent="0.25">
      <c r="A7403" t="str">
        <f>HYPERLINK("https://www.773grp.com/globalSearch/CAT24C02YE-GT3/page-1", "CAT24C02YE-GT3")</f>
        <v>CAT24C02YE-GT3</v>
      </c>
      <c r="B7403" s="3" t="str">
        <f>HYPERLINK("https://www.773grp.com/manufacturer/onsemi?pageNo=662", "Onsemi")</f>
        <v>Onsemi</v>
      </c>
      <c r="C7403" s="6">
        <v>9000</v>
      </c>
      <c r="D7403" s="7">
        <v>0.9</v>
      </c>
      <c r="E7403" t="s">
        <v>52</v>
      </c>
    </row>
    <row r="7404" spans="1:5" x14ac:dyDescent="0.25">
      <c r="A7404" t="str">
        <f>HYPERLINK("https://www.773grp.com/globalSearch/CAT24C02YE-GT3A/page-1", "CAT24C02YE-GT3A")</f>
        <v>CAT24C02YE-GT3A</v>
      </c>
      <c r="B7404" s="3" t="str">
        <f>HYPERLINK("https://www.773grp.com/manufacturer/onsemi?pageNo=663", "Onsemi")</f>
        <v>Onsemi</v>
      </c>
      <c r="C7404" s="6">
        <v>1000</v>
      </c>
      <c r="D7404" s="7">
        <v>0.9</v>
      </c>
      <c r="E7404" t="s">
        <v>52</v>
      </c>
    </row>
    <row r="7405" spans="1:5" x14ac:dyDescent="0.25">
      <c r="A7405" t="str">
        <f>HYPERLINK("https://www.773grp.com/globalSearch/CAT24C03WI-G/page-1", "CAT24C03WI-G")</f>
        <v>CAT24C03WI-G</v>
      </c>
      <c r="B7405" s="3" t="str">
        <f>HYPERLINK("https://www.773grp.com/manufacturer/onsemi?pageNo=664", "Onsemi")</f>
        <v>Onsemi</v>
      </c>
      <c r="C7405" s="6">
        <v>568</v>
      </c>
      <c r="D7405" s="7">
        <v>0.9</v>
      </c>
    </row>
    <row r="7406" spans="1:5" x14ac:dyDescent="0.25">
      <c r="A7406" t="str">
        <f>HYPERLINK("https://www.773grp.com/globalSearch/CAT24C05WI-GT3/page-1", "CAT24C05WI-GT3")</f>
        <v>CAT24C05WI-GT3</v>
      </c>
      <c r="B7406" s="3" t="str">
        <f>HYPERLINK("https://www.773grp.com/manufacturer/onsemi?pageNo=665", "Onsemi")</f>
        <v>Onsemi</v>
      </c>
      <c r="C7406" s="6">
        <v>6000</v>
      </c>
      <c r="D7406" s="7">
        <v>0.9</v>
      </c>
      <c r="E7406" t="s">
        <v>52</v>
      </c>
    </row>
    <row r="7407" spans="1:5" x14ac:dyDescent="0.25">
      <c r="A7407" t="str">
        <f>HYPERLINK("https://www.773grp.com/globalSearch/CAT24C05YI-GT3/page-1", "CAT24C05YI-GT3")</f>
        <v>CAT24C05YI-GT3</v>
      </c>
      <c r="B7407" s="3" t="str">
        <f>HYPERLINK("https://www.773grp.com/manufacturer/onsemi?pageNo=666", "Onsemi")</f>
        <v>Onsemi</v>
      </c>
      <c r="C7407" s="6">
        <v>9000</v>
      </c>
      <c r="D7407" s="7">
        <v>0.9</v>
      </c>
      <c r="E7407" t="s">
        <v>52</v>
      </c>
    </row>
    <row r="7408" spans="1:5" x14ac:dyDescent="0.25">
      <c r="A7408" t="str">
        <f>HYPERLINK("https://www.773grp.com/globalSearch/CAT24C32HU3I-GT3/page-1", "CAT24C32HU3I-GT3")</f>
        <v>CAT24C32HU3I-GT3</v>
      </c>
      <c r="B7408" s="3" t="str">
        <f>HYPERLINK("https://www.773grp.com/manufacturer/onsemi?pageNo=667", "Onsemi")</f>
        <v>Onsemi</v>
      </c>
      <c r="C7408" s="6">
        <v>3000</v>
      </c>
      <c r="D7408" s="7">
        <v>0.9</v>
      </c>
      <c r="E7408" t="s">
        <v>52</v>
      </c>
    </row>
    <row r="7409" spans="1:5" x14ac:dyDescent="0.25">
      <c r="A7409" t="str">
        <f>HYPERLINK("https://www.773grp.com/globalSearch/CAT24C32HU4I-GT3/page-1", "CAT24C32HU4I-GT3")</f>
        <v>CAT24C32HU4I-GT3</v>
      </c>
      <c r="B7409" s="3" t="str">
        <f>HYPERLINK("https://www.773grp.com/manufacturer/onsemi?pageNo=668", "Onsemi")</f>
        <v>Onsemi</v>
      </c>
      <c r="C7409" s="6">
        <v>22425</v>
      </c>
      <c r="D7409" s="7">
        <v>0.9</v>
      </c>
      <c r="E7409" t="s">
        <v>52</v>
      </c>
    </row>
    <row r="7410" spans="1:5" x14ac:dyDescent="0.25">
      <c r="A7410" t="str">
        <f>HYPERLINK("https://www.773grp.com/globalSearch/CAT24C32YI-G/page-1", "CAT24C32YI-G")</f>
        <v>CAT24C32YI-G</v>
      </c>
      <c r="B7410" s="3" t="str">
        <f>HYPERLINK("https://www.773grp.com/manufacturer/onsemi?pageNo=669", "Onsemi")</f>
        <v>Onsemi</v>
      </c>
      <c r="C7410" s="6">
        <v>3659</v>
      </c>
      <c r="D7410" s="7">
        <v>0.9</v>
      </c>
    </row>
    <row r="7411" spans="1:5" x14ac:dyDescent="0.25">
      <c r="A7411" t="str">
        <f>HYPERLINK("https://www.773grp.com/globalSearch/CAT24C32YI-G/page-1", "CAT24C32YI-G")</f>
        <v>CAT24C32YI-G</v>
      </c>
      <c r="B7411" s="3" t="str">
        <f>HYPERLINK("https://www.773grp.com/manufacturer/onsemi?pageNo=670", "Onsemi")</f>
        <v>Onsemi</v>
      </c>
      <c r="C7411" s="6">
        <v>900</v>
      </c>
      <c r="D7411" s="7">
        <v>0.9</v>
      </c>
    </row>
    <row r="7412" spans="1:5" x14ac:dyDescent="0.25">
      <c r="A7412" t="str">
        <f>HYPERLINK("https://www.773grp.com/globalSearch/CAT25010YI-G/page-1", "CAT25010YI-G")</f>
        <v>CAT25010YI-G</v>
      </c>
      <c r="B7412" s="3" t="str">
        <f>HYPERLINK("https://www.773grp.com/manufacturer/onsemi?pageNo=671", "Onsemi")</f>
        <v>Onsemi</v>
      </c>
      <c r="C7412" s="6">
        <v>4962</v>
      </c>
      <c r="D7412" s="7">
        <v>0.9</v>
      </c>
    </row>
    <row r="7413" spans="1:5" x14ac:dyDescent="0.25">
      <c r="A7413" t="str">
        <f>HYPERLINK("https://www.773grp.com/globalSearch/CAT25010YI-GD/page-1", "CAT25010YI-GD")</f>
        <v>CAT25010YI-GD</v>
      </c>
      <c r="B7413" s="3" t="str">
        <f>HYPERLINK("https://www.773grp.com/manufacturer/onsemi?pageNo=672", "Onsemi")</f>
        <v>Onsemi</v>
      </c>
      <c r="C7413" s="6">
        <v>4300</v>
      </c>
      <c r="D7413" s="7">
        <v>0.9</v>
      </c>
    </row>
    <row r="7414" spans="1:5" x14ac:dyDescent="0.25">
      <c r="A7414" t="str">
        <f>HYPERLINK("https://www.773grp.com/globalSearch/CAT25020HU4I-GT3/page-1", "CAT25020HU4I-GT3")</f>
        <v>CAT25020HU4I-GT3</v>
      </c>
      <c r="B7414" s="3" t="str">
        <f>HYPERLINK("https://www.773grp.com/manufacturer/onsemi?pageNo=673", "Onsemi")</f>
        <v>Onsemi</v>
      </c>
      <c r="C7414" s="6">
        <v>9000</v>
      </c>
      <c r="D7414" s="7">
        <v>0.9</v>
      </c>
    </row>
    <row r="7415" spans="1:5" x14ac:dyDescent="0.25">
      <c r="A7415" t="str">
        <f>HYPERLINK("https://www.773grp.com/globalSearch/CAT808NTDI-32GT3/page-1", "CAT808NTDI-32GT3")</f>
        <v>CAT808NTDI-32GT3</v>
      </c>
      <c r="B7415" s="3" t="str">
        <f>HYPERLINK("https://www.773grp.com/manufacturer/onsemi?pageNo=674", "Onsemi")</f>
        <v>Onsemi</v>
      </c>
      <c r="C7415" s="6">
        <v>39000</v>
      </c>
      <c r="D7415" s="7">
        <v>0.9</v>
      </c>
    </row>
    <row r="7416" spans="1:5" x14ac:dyDescent="0.25">
      <c r="A7416" t="str">
        <f>HYPERLINK("https://www.773grp.com/globalSearch/CAT809JSDI-GT3/page-1", "CAT809JSDI-GT3")</f>
        <v>CAT809JSDI-GT3</v>
      </c>
      <c r="B7416" s="3" t="str">
        <f>HYPERLINK("https://www.773grp.com/manufacturer/onsemi?pageNo=675", "Onsemi")</f>
        <v>Onsemi</v>
      </c>
      <c r="C7416" s="6">
        <v>3000</v>
      </c>
      <c r="D7416" s="7">
        <v>0.9</v>
      </c>
    </row>
    <row r="7417" spans="1:5" x14ac:dyDescent="0.25">
      <c r="A7417" t="str">
        <f>HYPERLINK("https://www.773grp.com/globalSearch/CAT809LTBI-GT3/page-1", "CAT809LTBI-GT3")</f>
        <v>CAT809LTBI-GT3</v>
      </c>
      <c r="B7417" s="3" t="str">
        <f>HYPERLINK("https://www.773grp.com/manufacturer/onsemi?pageNo=676", "Onsemi")</f>
        <v>Onsemi</v>
      </c>
      <c r="C7417" s="6">
        <v>3000</v>
      </c>
      <c r="D7417" s="7">
        <v>0.9</v>
      </c>
    </row>
    <row r="7418" spans="1:5" x14ac:dyDescent="0.25">
      <c r="A7418" t="str">
        <f>HYPERLINK("https://www.773grp.com/globalSearch/CAT809LTBI-T3/page-1", "CAT809LTBI-T3")</f>
        <v>CAT809LTBI-T3</v>
      </c>
      <c r="B7418" s="3" t="str">
        <f>HYPERLINK("https://www.773grp.com/manufacturer/onsemi?pageNo=677", "Onsemi")</f>
        <v>Onsemi</v>
      </c>
      <c r="C7418" s="6">
        <v>4517</v>
      </c>
      <c r="D7418" s="7">
        <v>0.9</v>
      </c>
    </row>
    <row r="7419" spans="1:5" x14ac:dyDescent="0.25">
      <c r="A7419" t="str">
        <f>HYPERLINK("https://www.773grp.com/globalSearch/CAT809MSDI-GT3/page-1", "CAT809MSDI-GT3")</f>
        <v>CAT809MSDI-GT3</v>
      </c>
      <c r="B7419" s="3" t="str">
        <f>HYPERLINK("https://www.773grp.com/manufacturer/onsemi?pageNo=678", "Onsemi")</f>
        <v>Onsemi</v>
      </c>
      <c r="C7419" s="6">
        <v>58771</v>
      </c>
      <c r="D7419" s="7">
        <v>0.9</v>
      </c>
    </row>
    <row r="7420" spans="1:5" x14ac:dyDescent="0.25">
      <c r="A7420" t="str">
        <f>HYPERLINK("https://www.773grp.com/globalSearch/CAT809MTBI-GT3/page-1", "CAT809MTBI-GT3")</f>
        <v>CAT809MTBI-GT3</v>
      </c>
      <c r="B7420" s="3" t="str">
        <f>HYPERLINK("https://www.773grp.com/manufacturer/onsemi?pageNo=679", "Onsemi")</f>
        <v>Onsemi</v>
      </c>
      <c r="C7420" s="6">
        <v>3000</v>
      </c>
      <c r="D7420" s="7">
        <v>0.9</v>
      </c>
    </row>
    <row r="7421" spans="1:5" x14ac:dyDescent="0.25">
      <c r="A7421" t="str">
        <f>HYPERLINK("https://www.773grp.com/globalSearch/CAT809MTBI-T3/page-1", "CAT809MTBI-T3")</f>
        <v>CAT809MTBI-T3</v>
      </c>
      <c r="B7421" s="3" t="str">
        <f>HYPERLINK("https://www.773grp.com/manufacturer/onsemi?pageNo=680", "Onsemi")</f>
        <v>Onsemi</v>
      </c>
      <c r="C7421" s="6">
        <v>5796</v>
      </c>
      <c r="D7421" s="7">
        <v>0.9</v>
      </c>
    </row>
    <row r="7422" spans="1:5" x14ac:dyDescent="0.25">
      <c r="A7422" t="str">
        <f>HYPERLINK("https://www.773grp.com/globalSearch/CAT809RTBI-GT3/page-1", "CAT809RTBI-GT3")</f>
        <v>CAT809RTBI-GT3</v>
      </c>
      <c r="B7422" s="3" t="str">
        <f>HYPERLINK("https://www.773grp.com/manufacturer/onsemi?pageNo=681", "Onsemi")</f>
        <v>Onsemi</v>
      </c>
      <c r="C7422" s="6">
        <v>51000</v>
      </c>
      <c r="D7422" s="7">
        <v>0.9</v>
      </c>
    </row>
    <row r="7423" spans="1:5" x14ac:dyDescent="0.25">
      <c r="A7423" t="str">
        <f>HYPERLINK("https://www.773grp.com/globalSearch/CAT809RTBI-T3/page-1", "CAT809RTBI-T3")</f>
        <v>CAT809RTBI-T3</v>
      </c>
      <c r="B7423" s="3" t="str">
        <f>HYPERLINK("https://www.773grp.com/manufacturer/onsemi?pageNo=682", "Onsemi")</f>
        <v>Onsemi</v>
      </c>
      <c r="C7423" s="6">
        <v>36000</v>
      </c>
      <c r="D7423" s="7">
        <v>0.9</v>
      </c>
    </row>
    <row r="7424" spans="1:5" x14ac:dyDescent="0.25">
      <c r="A7424" t="str">
        <f>HYPERLINK("https://www.773grp.com/globalSearch/CAT809SSDI-GT3/page-1", "CAT809SSDI-GT3")</f>
        <v>CAT809SSDI-GT3</v>
      </c>
      <c r="B7424" s="3" t="str">
        <f>HYPERLINK("https://www.773grp.com/manufacturer/onsemi?pageNo=683", "Onsemi")</f>
        <v>Onsemi</v>
      </c>
      <c r="C7424" s="6">
        <v>6000</v>
      </c>
      <c r="D7424" s="7">
        <v>0.9</v>
      </c>
    </row>
    <row r="7425" spans="1:5" x14ac:dyDescent="0.25">
      <c r="A7425" t="str">
        <f>HYPERLINK("https://www.773grp.com/globalSearch/CAT809SSDI-T3/page-1", "CAT809SSDI-T3")</f>
        <v>CAT809SSDI-T3</v>
      </c>
      <c r="B7425" s="3" t="str">
        <f>HYPERLINK("https://www.773grp.com/manufacturer/onsemi?pageNo=684", "Onsemi")</f>
        <v>Onsemi</v>
      </c>
      <c r="C7425" s="6">
        <v>33000</v>
      </c>
      <c r="D7425" s="7">
        <v>0.9</v>
      </c>
      <c r="E7425" t="s">
        <v>26</v>
      </c>
    </row>
    <row r="7426" spans="1:5" x14ac:dyDescent="0.25">
      <c r="A7426" t="str">
        <f>HYPERLINK("https://www.773grp.com/globalSearch/CAT809STBI-GT3/page-1", "CAT809STBI-GT3")</f>
        <v>CAT809STBI-GT3</v>
      </c>
      <c r="B7426" s="3" t="str">
        <f>HYPERLINK("https://www.773grp.com/manufacturer/onsemi?pageNo=685", "Onsemi")</f>
        <v>Onsemi</v>
      </c>
      <c r="C7426" s="6">
        <v>43332</v>
      </c>
      <c r="D7426" s="7">
        <v>0.9</v>
      </c>
    </row>
    <row r="7427" spans="1:5" x14ac:dyDescent="0.25">
      <c r="A7427" t="str">
        <f>HYPERLINK("https://www.773grp.com/globalSearch/CAT809STBI-T3/page-1", "CAT809STBI-T3")</f>
        <v>CAT809STBI-T3</v>
      </c>
      <c r="B7427" s="3" t="str">
        <f>HYPERLINK("https://www.773grp.com/manufacturer/onsemi?pageNo=686", "Onsemi")</f>
        <v>Onsemi</v>
      </c>
      <c r="C7427" s="6">
        <v>3700</v>
      </c>
      <c r="D7427" s="7">
        <v>0.9</v>
      </c>
    </row>
    <row r="7428" spans="1:5" x14ac:dyDescent="0.25">
      <c r="A7428" t="str">
        <f>HYPERLINK("https://www.773grp.com/globalSearch/CAT809TTBI-T3/page-1", "CAT809TTBI-T3")</f>
        <v>CAT809TTBI-T3</v>
      </c>
      <c r="B7428" s="3" t="str">
        <f>HYPERLINK("https://www.773grp.com/manufacturer/onsemi?pageNo=687", "Onsemi")</f>
        <v>Onsemi</v>
      </c>
      <c r="C7428" s="6">
        <v>147000</v>
      </c>
      <c r="D7428" s="7">
        <v>0.9</v>
      </c>
    </row>
    <row r="7429" spans="1:5" x14ac:dyDescent="0.25">
      <c r="A7429" t="str">
        <f>HYPERLINK("https://www.773grp.com/globalSearch/CAT809ZTBI-GT3/page-1", "CAT809ZTBI-GT3")</f>
        <v>CAT809ZTBI-GT3</v>
      </c>
      <c r="B7429" s="3" t="str">
        <f>HYPERLINK("https://www.773grp.com/manufacturer/onsemi?pageNo=688", "Onsemi")</f>
        <v>Onsemi</v>
      </c>
      <c r="C7429" s="6">
        <v>2965</v>
      </c>
      <c r="D7429" s="7">
        <v>0.9</v>
      </c>
    </row>
    <row r="7430" spans="1:5" x14ac:dyDescent="0.25">
      <c r="A7430" t="str">
        <f>HYPERLINK("https://www.773grp.com/globalSearch/CAT93C46RVP2IGT3/page-1", "CAT93C46RVP2IGT3")</f>
        <v>CAT93C46RVP2IGT3</v>
      </c>
      <c r="B7430" s="3" t="str">
        <f>HYPERLINK("https://www.773grp.com/manufacturer/onsemi?pageNo=689", "Onsemi")</f>
        <v>Onsemi</v>
      </c>
      <c r="C7430" s="6">
        <v>36000</v>
      </c>
      <c r="D7430" s="7">
        <v>0.9</v>
      </c>
      <c r="E7430" t="s">
        <v>52</v>
      </c>
    </row>
    <row r="7431" spans="1:5" x14ac:dyDescent="0.25">
      <c r="A7431" t="str">
        <f>HYPERLINK("https://www.773grp.com/globalSearch/CAT93C56LI-G/page-1", "CAT93C56LI-G")</f>
        <v>CAT93C56LI-G</v>
      </c>
      <c r="B7431" s="3" t="str">
        <f>HYPERLINK("https://www.773grp.com/manufacturer/onsemi?pageNo=690", "Onsemi")</f>
        <v>Onsemi</v>
      </c>
      <c r="C7431" s="6">
        <v>1650</v>
      </c>
      <c r="D7431" s="7">
        <v>0.9</v>
      </c>
      <c r="E7431" t="s">
        <v>52</v>
      </c>
    </row>
    <row r="7432" spans="1:5" x14ac:dyDescent="0.25">
      <c r="A7432" t="str">
        <f>HYPERLINK("https://www.773grp.com/globalSearch/CAT93C56VI-G/page-1", "CAT93C56VI-G")</f>
        <v>CAT93C56VI-G</v>
      </c>
      <c r="B7432" s="3" t="str">
        <f>HYPERLINK("https://www.773grp.com/manufacturer/onsemi?pageNo=691", "Onsemi")</f>
        <v>Onsemi</v>
      </c>
      <c r="C7432" s="6">
        <v>14900</v>
      </c>
      <c r="D7432" s="7">
        <v>0.9</v>
      </c>
    </row>
    <row r="7433" spans="1:5" x14ac:dyDescent="0.25">
      <c r="A7433" t="str">
        <f>HYPERLINK("https://www.773grp.com/globalSearch/CAT93C56YI-G/page-1", "CAT93C56YI-G")</f>
        <v>CAT93C56YI-G</v>
      </c>
      <c r="B7433" s="3" t="str">
        <f>HYPERLINK("https://www.773grp.com/manufacturer/onsemi?pageNo=692", "Onsemi")</f>
        <v>Onsemi</v>
      </c>
      <c r="C7433" s="6">
        <v>3900</v>
      </c>
      <c r="D7433" s="7">
        <v>0.9</v>
      </c>
      <c r="E7433" t="s">
        <v>52</v>
      </c>
    </row>
    <row r="7434" spans="1:5" x14ac:dyDescent="0.25">
      <c r="A7434" t="str">
        <f>HYPERLINK("https://www.773grp.com/globalSearch/CAV24C08WE-GT3/page-1", "CAV24C08WE-GT3")</f>
        <v>CAV24C08WE-GT3</v>
      </c>
      <c r="B7434" s="3" t="str">
        <f>HYPERLINK("https://www.773grp.com/manufacturer/onsemi?pageNo=693", "Onsemi")</f>
        <v>Onsemi</v>
      </c>
      <c r="C7434" s="6">
        <v>15000</v>
      </c>
      <c r="D7434" s="7">
        <v>0.9</v>
      </c>
    </row>
    <row r="7435" spans="1:5" x14ac:dyDescent="0.25">
      <c r="A7435" t="str">
        <f>HYPERLINK("https://www.773grp.com/globalSearch/CM1263-06DE/page-1", "CM1263-06DE")</f>
        <v>CM1263-06DE</v>
      </c>
      <c r="B7435" s="3" t="str">
        <f>HYPERLINK("https://www.773grp.com/manufacturer/onsemi?pageNo=694", "Onsemi")</f>
        <v>Onsemi</v>
      </c>
      <c r="C7435" s="6">
        <v>6000</v>
      </c>
      <c r="D7435" s="7">
        <v>0.9</v>
      </c>
      <c r="E7435" t="s">
        <v>75</v>
      </c>
    </row>
    <row r="7436" spans="1:5" x14ac:dyDescent="0.25">
      <c r="A7436" t="str">
        <f>HYPERLINK("https://www.773grp.com/globalSearch/CM1422-03CP/page-1", "CM1422-03CP")</f>
        <v>CM1422-03CP</v>
      </c>
      <c r="B7436" s="3" t="str">
        <f>HYPERLINK("https://www.773grp.com/manufacturer/onsemi?pageNo=695", "Onsemi")</f>
        <v>Onsemi</v>
      </c>
      <c r="C7436" s="6">
        <v>78960</v>
      </c>
      <c r="D7436" s="7">
        <v>0.9</v>
      </c>
    </row>
    <row r="7437" spans="1:5" x14ac:dyDescent="0.25">
      <c r="A7437" t="str">
        <f>HYPERLINK("https://www.773grp.com/globalSearch/CM1693-06DE/page-1", "CM1693-06DE")</f>
        <v>CM1693-06DE</v>
      </c>
      <c r="B7437" s="3" t="str">
        <f>HYPERLINK("https://www.773grp.com/manufacturer/onsemi?pageNo=696", "Onsemi")</f>
        <v>Onsemi</v>
      </c>
      <c r="C7437" s="6">
        <v>36000</v>
      </c>
      <c r="D7437" s="7">
        <v>0.9</v>
      </c>
      <c r="E7437" t="s">
        <v>79</v>
      </c>
    </row>
    <row r="7438" spans="1:5" x14ac:dyDescent="0.25">
      <c r="A7438" t="str">
        <f>HYPERLINK("https://www.773grp.com/globalSearch/CM6400A/page-1", "CM6400A")</f>
        <v>CM6400A</v>
      </c>
      <c r="B7438" s="3" t="str">
        <f>HYPERLINK("https://www.773grp.com/manufacturer/onsemi?pageNo=697", "Onsemi")</f>
        <v>Onsemi</v>
      </c>
      <c r="C7438" s="6">
        <v>10000</v>
      </c>
      <c r="D7438" s="7">
        <v>0.9</v>
      </c>
    </row>
    <row r="7439" spans="1:5" x14ac:dyDescent="0.25">
      <c r="A7439" t="str">
        <f>HYPERLINK("https://www.773grp.com/globalSearch/J110RLRA/page-1", "J110RLRA")</f>
        <v>J110RLRA</v>
      </c>
      <c r="B7439" s="3" t="str">
        <f>HYPERLINK("https://www.773grp.com/manufacturer/onsemi?pageNo=698", "Onsemi")</f>
        <v>Onsemi</v>
      </c>
      <c r="C7439" s="6">
        <v>18000</v>
      </c>
      <c r="D7439" s="7">
        <v>0.9</v>
      </c>
      <c r="E7439" t="s">
        <v>85</v>
      </c>
    </row>
    <row r="7440" spans="1:5" x14ac:dyDescent="0.25">
      <c r="A7440" t="str">
        <f>HYPERLINK("https://www.773grp.com/globalSearch/LM2903VDG/page-1", "LM2903VDG")</f>
        <v>LM2903VDG</v>
      </c>
      <c r="B7440" s="3" t="str">
        <f>HYPERLINK("https://www.773grp.com/manufacturer/onsemi?pageNo=699", "Onsemi")</f>
        <v>Onsemi</v>
      </c>
      <c r="C7440" s="6">
        <v>30658</v>
      </c>
      <c r="D7440" s="7">
        <v>0.9</v>
      </c>
      <c r="E7440" t="s">
        <v>6</v>
      </c>
    </row>
    <row r="7441" spans="1:5" x14ac:dyDescent="0.25">
      <c r="A7441" t="str">
        <f>HYPERLINK("https://www.773grp.com/globalSearch/LM2903VDR2G/page-1", "LM2903VDR2G")</f>
        <v>LM2903VDR2G</v>
      </c>
      <c r="B7441" s="3" t="str">
        <f>HYPERLINK("https://www.773grp.com/manufacturer/onsemi?pageNo=700", "Onsemi")</f>
        <v>Onsemi</v>
      </c>
      <c r="C7441" s="6">
        <v>50000</v>
      </c>
      <c r="D7441" s="7">
        <v>0.9</v>
      </c>
      <c r="E7441" t="s">
        <v>6</v>
      </c>
    </row>
    <row r="7442" spans="1:5" x14ac:dyDescent="0.25">
      <c r="A7442" t="str">
        <f>HYPERLINK("https://www.773grp.com/globalSearch/LM2904VDG/page-1", "LM2904VDG")</f>
        <v>LM2904VDG</v>
      </c>
      <c r="B7442" s="3" t="str">
        <f>HYPERLINK("https://www.773grp.com/manufacturer/onsemi?pageNo=701", "Onsemi")</f>
        <v>Onsemi</v>
      </c>
      <c r="C7442" s="6">
        <v>8428</v>
      </c>
      <c r="D7442" s="7">
        <v>0.9</v>
      </c>
      <c r="E7442" t="s">
        <v>10</v>
      </c>
    </row>
    <row r="7443" spans="1:5" x14ac:dyDescent="0.25">
      <c r="A7443" t="str">
        <f>HYPERLINK("https://www.773grp.com/globalSearch/LM2904VDR2G/page-1", "LM2904VDR2G")</f>
        <v>LM2904VDR2G</v>
      </c>
      <c r="B7443" s="3" t="str">
        <f>HYPERLINK("https://www.773grp.com/manufacturer/onsemi?pageNo=702", "Onsemi")</f>
        <v>Onsemi</v>
      </c>
      <c r="C7443" s="6">
        <v>239900</v>
      </c>
      <c r="D7443" s="7">
        <v>0.9</v>
      </c>
      <c r="E7443" t="s">
        <v>10</v>
      </c>
    </row>
    <row r="7444" spans="1:5" x14ac:dyDescent="0.25">
      <c r="A7444" t="str">
        <f>HYPERLINK("https://www.773grp.com/globalSearch/LM317D2TR4/page-1", "LM317D2TR4")</f>
        <v>LM317D2TR4</v>
      </c>
      <c r="B7444" s="3" t="str">
        <f>HYPERLINK("https://www.773grp.com/manufacturer/onsemi?pageNo=703", "Onsemi")</f>
        <v>Onsemi</v>
      </c>
      <c r="C7444" s="6">
        <v>31229</v>
      </c>
      <c r="D7444" s="7">
        <v>0.9</v>
      </c>
      <c r="E7444" t="s">
        <v>18</v>
      </c>
    </row>
    <row r="7445" spans="1:5" x14ac:dyDescent="0.25">
      <c r="A7445" t="str">
        <f>HYPERLINK("https://www.773grp.com/globalSearch/LM324DTBG/page-1", "LM324DTBG")</f>
        <v>LM324DTBG</v>
      </c>
      <c r="B7445" s="3" t="str">
        <f>HYPERLINK("https://www.773grp.com/manufacturer/onsemi?pageNo=704", "Onsemi")</f>
        <v>Onsemi</v>
      </c>
      <c r="C7445" s="6">
        <v>2432</v>
      </c>
      <c r="D7445" s="7">
        <v>0.9</v>
      </c>
      <c r="E7445" t="s">
        <v>10</v>
      </c>
    </row>
    <row r="7446" spans="1:5" x14ac:dyDescent="0.25">
      <c r="A7446" t="str">
        <f>HYPERLINK("https://www.773grp.com/globalSearch/LM339DTBR2G/page-1", "LM339DTBR2G")</f>
        <v>LM339DTBR2G</v>
      </c>
      <c r="B7446" s="3" t="str">
        <f>HYPERLINK("https://www.773grp.com/manufacturer/onsemi?pageNo=705", "Onsemi")</f>
        <v>Onsemi</v>
      </c>
      <c r="C7446" s="6">
        <v>30196</v>
      </c>
      <c r="D7446" s="7">
        <v>0.9</v>
      </c>
      <c r="E7446" t="s">
        <v>6</v>
      </c>
    </row>
    <row r="7447" spans="1:5" x14ac:dyDescent="0.25">
      <c r="A7447" t="str">
        <f>HYPERLINK("https://www.773grp.com/globalSearch/LM833D/page-1", "LM833D")</f>
        <v>LM833D</v>
      </c>
      <c r="B7447" s="3" t="str">
        <f>HYPERLINK("https://www.773grp.com/manufacturer/onsemi?pageNo=706", "Onsemi")</f>
        <v>Onsemi</v>
      </c>
      <c r="C7447" s="6">
        <v>6107</v>
      </c>
      <c r="D7447" s="7">
        <v>0.9</v>
      </c>
      <c r="E7447" t="s">
        <v>14</v>
      </c>
    </row>
    <row r="7448" spans="1:5" x14ac:dyDescent="0.25">
      <c r="A7448" t="str">
        <f>HYPERLINK("https://www.773grp.com/globalSearch/LM833DR2/page-1", "LM833DR2")</f>
        <v>LM833DR2</v>
      </c>
      <c r="B7448" s="3" t="str">
        <f>HYPERLINK("https://www.773grp.com/manufacturer/onsemi?pageNo=707", "Onsemi")</f>
        <v>Onsemi</v>
      </c>
      <c r="C7448" s="6">
        <v>2305</v>
      </c>
      <c r="D7448" s="7">
        <v>0.9</v>
      </c>
      <c r="E7448" t="s">
        <v>14</v>
      </c>
    </row>
    <row r="7449" spans="1:5" x14ac:dyDescent="0.25">
      <c r="A7449" t="str">
        <f>HYPERLINK("https://www.773grp.com/globalSearch/MAX828SNTR/page-1", "MAX828SNTR")</f>
        <v>MAX828SNTR</v>
      </c>
      <c r="B7449" s="3" t="str">
        <f>HYPERLINK("https://www.773grp.com/manufacturer/onsemi?pageNo=708", "Onsemi")</f>
        <v>Onsemi</v>
      </c>
      <c r="C7449" s="6">
        <v>1489300</v>
      </c>
      <c r="D7449" s="7">
        <v>0.9</v>
      </c>
      <c r="E7449" t="s">
        <v>5</v>
      </c>
    </row>
    <row r="7450" spans="1:5" x14ac:dyDescent="0.25">
      <c r="A7450" t="str">
        <f>HYPERLINK("https://www.773grp.com/globalSearch/MAX829SNTR/page-1", "MAX829SNTR")</f>
        <v>MAX829SNTR</v>
      </c>
      <c r="B7450" s="3" t="str">
        <f>HYPERLINK("https://www.773grp.com/manufacturer/onsemi?pageNo=709", "Onsemi")</f>
        <v>Onsemi</v>
      </c>
      <c r="C7450" s="6">
        <v>242905</v>
      </c>
      <c r="D7450" s="7">
        <v>0.9</v>
      </c>
      <c r="E7450" t="s">
        <v>5</v>
      </c>
    </row>
    <row r="7451" spans="1:5" x14ac:dyDescent="0.25">
      <c r="A7451" t="str">
        <f>HYPERLINK("https://www.773grp.com/globalSearch/MBRA140T3/page-1", "MBRA140T3")</f>
        <v>MBRA140T3</v>
      </c>
      <c r="B7451" s="3" t="str">
        <f>HYPERLINK("https://www.773grp.com/manufacturer/onsemi?pageNo=710", "Onsemi")</f>
        <v>Onsemi</v>
      </c>
      <c r="C7451" s="6">
        <v>5000</v>
      </c>
      <c r="D7451" s="7">
        <v>0.9</v>
      </c>
    </row>
    <row r="7452" spans="1:5" x14ac:dyDescent="0.25">
      <c r="A7452" t="str">
        <f>HYPERLINK("https://www.773grp.com/globalSearch/MBRS1100T3/page-1", "MBRS1100T3")</f>
        <v>MBRS1100T3</v>
      </c>
      <c r="B7452" s="3" t="str">
        <f>HYPERLINK("https://www.773grp.com/manufacturer/onsemi?pageNo=711", "Onsemi")</f>
        <v>Onsemi</v>
      </c>
      <c r="C7452" s="6">
        <v>2500</v>
      </c>
      <c r="D7452" s="7">
        <v>0.9</v>
      </c>
    </row>
    <row r="7453" spans="1:5" x14ac:dyDescent="0.25">
      <c r="A7453" t="str">
        <f>HYPERLINK("https://www.773grp.com/globalSearch/MC14022BCP/page-1", "MC14022BCP")</f>
        <v>MC14022BCP</v>
      </c>
      <c r="B7453" s="3" t="str">
        <f>HYPERLINK("https://www.773grp.com/manufacturer/onsemi?pageNo=712", "Onsemi")</f>
        <v>Onsemi</v>
      </c>
      <c r="C7453" s="6">
        <v>2871</v>
      </c>
      <c r="D7453" s="7">
        <v>0.9</v>
      </c>
      <c r="E7453" t="s">
        <v>22</v>
      </c>
    </row>
    <row r="7454" spans="1:5" x14ac:dyDescent="0.25">
      <c r="A7454" t="str">
        <f>HYPERLINK("https://www.773grp.com/globalSearch/MC14029BF/page-1", "MC14029BF")</f>
        <v>MC14029BF</v>
      </c>
      <c r="B7454" s="3" t="str">
        <f>HYPERLINK("https://www.773grp.com/manufacturer/onsemi?pageNo=713", "Onsemi")</f>
        <v>Onsemi</v>
      </c>
      <c r="C7454" s="6">
        <v>1100</v>
      </c>
      <c r="D7454" s="7">
        <v>0.9</v>
      </c>
      <c r="E7454" t="s">
        <v>22</v>
      </c>
    </row>
    <row r="7455" spans="1:5" x14ac:dyDescent="0.25">
      <c r="A7455" t="str">
        <f>HYPERLINK("https://www.773grp.com/globalSearch/MC14043BFEL/page-1", "MC14043BFEL")</f>
        <v>MC14043BFEL</v>
      </c>
      <c r="B7455" s="3" t="str">
        <f>HYPERLINK("https://www.773grp.com/manufacturer/onsemi?pageNo=714", "Onsemi")</f>
        <v>Onsemi</v>
      </c>
      <c r="C7455" s="6">
        <v>4000</v>
      </c>
      <c r="D7455" s="7">
        <v>0.9</v>
      </c>
      <c r="E7455" t="s">
        <v>31</v>
      </c>
    </row>
    <row r="7456" spans="1:5" x14ac:dyDescent="0.25">
      <c r="A7456" t="str">
        <f>HYPERLINK("https://www.773grp.com/globalSearch/MC14049BDG/page-1", "MC14049BDG")</f>
        <v>MC14049BDG</v>
      </c>
      <c r="B7456" s="3" t="str">
        <f>HYPERLINK("https://www.773grp.com/manufacturer/onsemi?pageNo=715", "Onsemi")</f>
        <v>Onsemi</v>
      </c>
      <c r="C7456" s="6">
        <v>31462</v>
      </c>
      <c r="D7456" s="7">
        <v>0.9</v>
      </c>
      <c r="E7456" t="s">
        <v>27</v>
      </c>
    </row>
    <row r="7457" spans="1:5" x14ac:dyDescent="0.25">
      <c r="A7457" t="str">
        <f>HYPERLINK("https://www.773grp.com/globalSearch/MC14049BDR2G/page-1", "MC14049BDR2G")</f>
        <v>MC14049BDR2G</v>
      </c>
      <c r="B7457" s="3" t="str">
        <f>HYPERLINK("https://www.773grp.com/manufacturer/onsemi?pageNo=716", "Onsemi")</f>
        <v>Onsemi</v>
      </c>
      <c r="C7457" s="6">
        <v>21171</v>
      </c>
      <c r="D7457" s="7">
        <v>0.9</v>
      </c>
      <c r="E7457" t="s">
        <v>27</v>
      </c>
    </row>
    <row r="7458" spans="1:5" x14ac:dyDescent="0.25">
      <c r="A7458" t="str">
        <f>HYPERLINK("https://www.773grp.com/globalSearch/MC14049UBDG/page-1", "MC14049UBDG")</f>
        <v>MC14049UBDG</v>
      </c>
      <c r="B7458" s="3" t="str">
        <f>HYPERLINK("https://www.773grp.com/manufacturer/onsemi?pageNo=717", "Onsemi")</f>
        <v>Onsemi</v>
      </c>
      <c r="C7458" s="6">
        <v>7365</v>
      </c>
      <c r="D7458" s="7">
        <v>0.9</v>
      </c>
      <c r="E7458" t="s">
        <v>27</v>
      </c>
    </row>
    <row r="7459" spans="1:5" x14ac:dyDescent="0.25">
      <c r="A7459" t="str">
        <f>HYPERLINK("https://www.773grp.com/globalSearch/MC14049UBDR2G/page-1", "MC14049UBDR2G")</f>
        <v>MC14049UBDR2G</v>
      </c>
      <c r="B7459" s="3" t="str">
        <f>HYPERLINK("https://www.773grp.com/manufacturer/onsemi?pageNo=718", "Onsemi")</f>
        <v>Onsemi</v>
      </c>
      <c r="C7459" s="6">
        <v>7659</v>
      </c>
      <c r="D7459" s="7">
        <v>0.9</v>
      </c>
      <c r="E7459" t="s">
        <v>27</v>
      </c>
    </row>
    <row r="7460" spans="1:5" x14ac:dyDescent="0.25">
      <c r="A7460" t="str">
        <f>HYPERLINK("https://www.773grp.com/globalSearch/MC14049UBDTELG/page-1", "MC14049UBDTELG")</f>
        <v>MC14049UBDTELG</v>
      </c>
      <c r="B7460" s="3" t="str">
        <f>HYPERLINK("https://www.773grp.com/manufacturer/onsemi?pageNo=719", "Onsemi")</f>
        <v>Onsemi</v>
      </c>
      <c r="C7460" s="6">
        <v>12672</v>
      </c>
      <c r="D7460" s="7">
        <v>0.9</v>
      </c>
      <c r="E7460" t="s">
        <v>27</v>
      </c>
    </row>
    <row r="7461" spans="1:5" x14ac:dyDescent="0.25">
      <c r="A7461" t="str">
        <f>HYPERLINK("https://www.773grp.com/globalSearch/MC14049UBDTR2G/page-1", "MC14049UBDTR2G")</f>
        <v>MC14049UBDTR2G</v>
      </c>
      <c r="B7461" s="3" t="str">
        <f>HYPERLINK("https://www.773grp.com/manufacturer/onsemi?pageNo=720", "Onsemi")</f>
        <v>Onsemi</v>
      </c>
      <c r="C7461" s="6">
        <v>7500</v>
      </c>
      <c r="D7461" s="7">
        <v>0.9</v>
      </c>
      <c r="E7461" t="s">
        <v>27</v>
      </c>
    </row>
    <row r="7462" spans="1:5" x14ac:dyDescent="0.25">
      <c r="A7462" t="str">
        <f>HYPERLINK("https://www.773grp.com/globalSearch/MC14050BDG/page-1", "MC14050BDG")</f>
        <v>MC14050BDG</v>
      </c>
      <c r="B7462" s="3" t="str">
        <f>HYPERLINK("https://www.773grp.com/manufacturer/onsemi?pageNo=721", "Onsemi")</f>
        <v>Onsemi</v>
      </c>
      <c r="C7462" s="6">
        <v>14304</v>
      </c>
      <c r="D7462" s="7">
        <v>0.9</v>
      </c>
      <c r="E7462" t="s">
        <v>27</v>
      </c>
    </row>
    <row r="7463" spans="1:5" x14ac:dyDescent="0.25">
      <c r="A7463" t="str">
        <f>HYPERLINK("https://www.773grp.com/globalSearch/MC14050BDR2G/page-1", "MC14050BDR2G")</f>
        <v>MC14050BDR2G</v>
      </c>
      <c r="B7463" s="3" t="str">
        <f>HYPERLINK("https://www.773grp.com/manufacturer/onsemi?pageNo=722", "Onsemi")</f>
        <v>Onsemi</v>
      </c>
      <c r="C7463" s="6">
        <v>5500</v>
      </c>
      <c r="D7463" s="7">
        <v>0.9</v>
      </c>
      <c r="E7463" t="s">
        <v>27</v>
      </c>
    </row>
    <row r="7464" spans="1:5" x14ac:dyDescent="0.25">
      <c r="A7464" t="str">
        <f>HYPERLINK("https://www.773grp.com/globalSearch/MC14050BDTG/page-1", "MC14050BDTG")</f>
        <v>MC14050BDTG</v>
      </c>
      <c r="B7464" s="3" t="str">
        <f>HYPERLINK("https://www.773grp.com/manufacturer/onsemi?pageNo=723", "Onsemi")</f>
        <v>Onsemi</v>
      </c>
      <c r="C7464" s="6">
        <v>11232</v>
      </c>
      <c r="D7464" s="7">
        <v>0.9</v>
      </c>
      <c r="E7464" t="s">
        <v>27</v>
      </c>
    </row>
    <row r="7465" spans="1:5" x14ac:dyDescent="0.25">
      <c r="A7465" t="str">
        <f>HYPERLINK("https://www.773grp.com/globalSearch/MC14050BDTR2G/page-1", "MC14050BDTR2G")</f>
        <v>MC14050BDTR2G</v>
      </c>
      <c r="B7465" s="3" t="str">
        <f>HYPERLINK("https://www.773grp.com/manufacturer/onsemi?pageNo=724", "Onsemi")</f>
        <v>Onsemi</v>
      </c>
      <c r="C7465" s="6">
        <v>4497</v>
      </c>
      <c r="D7465" s="7">
        <v>0.9</v>
      </c>
      <c r="E7465" t="s">
        <v>27</v>
      </c>
    </row>
    <row r="7466" spans="1:5" x14ac:dyDescent="0.25">
      <c r="A7466" t="str">
        <f>HYPERLINK("https://www.773grp.com/globalSearch/MC14066BCPG/page-1", "MC14066BCPG")</f>
        <v>MC14066BCPG</v>
      </c>
      <c r="B7466" s="3" t="str">
        <f>HYPERLINK("https://www.773grp.com/manufacturer/onsemi?pageNo=725", "Onsemi")</f>
        <v>Onsemi</v>
      </c>
      <c r="C7466" s="6">
        <v>33273</v>
      </c>
      <c r="D7466" s="7">
        <v>0.9</v>
      </c>
      <c r="E7466" t="s">
        <v>46</v>
      </c>
    </row>
    <row r="7467" spans="1:5" x14ac:dyDescent="0.25">
      <c r="A7467" t="str">
        <f>HYPERLINK("https://www.773grp.com/globalSearch/MC14512BF/page-1", "MC14512BF")</f>
        <v>MC14512BF</v>
      </c>
      <c r="B7467" s="3" t="str">
        <f>HYPERLINK("https://www.773grp.com/manufacturer/onsemi?pageNo=726", "Onsemi")</f>
        <v>Onsemi</v>
      </c>
      <c r="C7467" s="6">
        <v>2050</v>
      </c>
      <c r="D7467" s="7">
        <v>0.9</v>
      </c>
      <c r="E7467" t="s">
        <v>16</v>
      </c>
    </row>
    <row r="7468" spans="1:5" x14ac:dyDescent="0.25">
      <c r="A7468" t="str">
        <f>HYPERLINK("https://www.773grp.com/globalSearch/MC14512BFEL/page-1", "MC14512BFEL")</f>
        <v>MC14512BFEL</v>
      </c>
      <c r="B7468" s="3" t="str">
        <f>HYPERLINK("https://www.773grp.com/manufacturer/onsemi?pageNo=727", "Onsemi")</f>
        <v>Onsemi</v>
      </c>
      <c r="C7468" s="6">
        <v>2000</v>
      </c>
      <c r="D7468" s="7">
        <v>0.9</v>
      </c>
      <c r="E7468" t="s">
        <v>16</v>
      </c>
    </row>
    <row r="7469" spans="1:5" x14ac:dyDescent="0.25">
      <c r="A7469" t="str">
        <f>HYPERLINK("https://www.773grp.com/globalSearch/MC14512BFL1/page-1", "MC14512BFL1")</f>
        <v>MC14512BFL1</v>
      </c>
      <c r="B7469" s="3" t="str">
        <f>HYPERLINK("https://www.773grp.com/manufacturer/onsemi?pageNo=728", "Onsemi")</f>
        <v>Onsemi</v>
      </c>
      <c r="C7469" s="6">
        <v>3000</v>
      </c>
      <c r="D7469" s="7">
        <v>0.9</v>
      </c>
      <c r="E7469" t="s">
        <v>16</v>
      </c>
    </row>
    <row r="7470" spans="1:5" x14ac:dyDescent="0.25">
      <c r="A7470" t="str">
        <f>HYPERLINK("https://www.773grp.com/globalSearch/MC14521BCP/page-1", "MC14521BCP")</f>
        <v>MC14521BCP</v>
      </c>
      <c r="B7470" s="3" t="str">
        <f>HYPERLINK("https://www.773grp.com/manufacturer/onsemi?pageNo=729", "Onsemi")</f>
        <v>Onsemi</v>
      </c>
      <c r="C7470" s="6">
        <v>3142</v>
      </c>
      <c r="D7470" s="7">
        <v>0.9</v>
      </c>
      <c r="E7470" t="s">
        <v>44</v>
      </c>
    </row>
    <row r="7471" spans="1:5" x14ac:dyDescent="0.25">
      <c r="A7471" t="str">
        <f>HYPERLINK("https://www.773grp.com/globalSearch/MC14521BF/page-1", "MC14521BF")</f>
        <v>MC14521BF</v>
      </c>
      <c r="B7471" s="3" t="str">
        <f>HYPERLINK("https://www.773grp.com/manufacturer/onsemi?pageNo=730", "Onsemi")</f>
        <v>Onsemi</v>
      </c>
      <c r="C7471" s="6">
        <v>150</v>
      </c>
      <c r="D7471" s="7">
        <v>0.9</v>
      </c>
      <c r="E7471" t="s">
        <v>44</v>
      </c>
    </row>
    <row r="7472" spans="1:5" x14ac:dyDescent="0.25">
      <c r="A7472" t="str">
        <f>HYPERLINK("https://www.773grp.com/globalSearch/MC14536BCP/page-1", "MC14536BCP")</f>
        <v>MC14536BCP</v>
      </c>
      <c r="B7472" s="3" t="str">
        <f>HYPERLINK("https://www.773grp.com/manufacturer/onsemi?pageNo=731", "Onsemi")</f>
        <v>Onsemi</v>
      </c>
      <c r="C7472" s="6">
        <v>48</v>
      </c>
      <c r="D7472" s="7">
        <v>0.9</v>
      </c>
      <c r="E7472" t="s">
        <v>22</v>
      </c>
    </row>
    <row r="7473" spans="1:5" x14ac:dyDescent="0.25">
      <c r="A7473" t="str">
        <f>HYPERLINK("https://www.773grp.com/globalSearch/MC1488D/page-1", "MC1488D")</f>
        <v>MC1488D</v>
      </c>
      <c r="B7473" s="3" t="str">
        <f>HYPERLINK("https://www.773grp.com/manufacturer/onsemi?pageNo=732", "Onsemi")</f>
        <v>Onsemi</v>
      </c>
      <c r="C7473" s="6">
        <v>149</v>
      </c>
      <c r="D7473" s="7">
        <v>0.9</v>
      </c>
      <c r="E7473" t="s">
        <v>17</v>
      </c>
    </row>
    <row r="7474" spans="1:5" x14ac:dyDescent="0.25">
      <c r="A7474" t="str">
        <f>HYPERLINK("https://www.773grp.com/globalSearch/MC1489DR2/page-1", "MC1489DR2")</f>
        <v>MC1489DR2</v>
      </c>
      <c r="B7474" s="3" t="str">
        <f>HYPERLINK("https://www.773grp.com/manufacturer/onsemi?pageNo=733", "Onsemi")</f>
        <v>Onsemi</v>
      </c>
      <c r="C7474" s="6">
        <v>7500</v>
      </c>
      <c r="D7474" s="7">
        <v>0.9</v>
      </c>
      <c r="E7474" t="s">
        <v>17</v>
      </c>
    </row>
    <row r="7475" spans="1:5" x14ac:dyDescent="0.25">
      <c r="A7475" t="str">
        <f>HYPERLINK("https://www.773grp.com/globalSearch/MC33269DT/page-1", "MC33269DT")</f>
        <v>MC33269DT</v>
      </c>
      <c r="B7475" s="3" t="str">
        <f>HYPERLINK("https://www.773grp.com/manufacturer/onsemi?pageNo=734", "Onsemi")</f>
        <v>Onsemi</v>
      </c>
      <c r="C7475" s="6">
        <v>800</v>
      </c>
      <c r="D7475" s="7">
        <v>0.9</v>
      </c>
      <c r="E7475" t="s">
        <v>21</v>
      </c>
    </row>
    <row r="7476" spans="1:5" x14ac:dyDescent="0.25">
      <c r="A7476" t="str">
        <f>HYPERLINK("https://www.773grp.com/globalSearch/MC33269DTRK-012/page-1", "MC33269DTRK-012")</f>
        <v>MC33269DTRK-012</v>
      </c>
      <c r="B7476" s="3" t="str">
        <f>HYPERLINK("https://www.773grp.com/manufacturer/onsemi?pageNo=735", "Onsemi")</f>
        <v>Onsemi</v>
      </c>
      <c r="C7476" s="6">
        <v>2500</v>
      </c>
      <c r="D7476" s="7">
        <v>0.9</v>
      </c>
      <c r="E7476" t="s">
        <v>15</v>
      </c>
    </row>
    <row r="7477" spans="1:5" x14ac:dyDescent="0.25">
      <c r="A7477" t="str">
        <f>HYPERLINK("https://www.773grp.com/globalSearch/MC33269T-012/page-1", "MC33269T-012")</f>
        <v>MC33269T-012</v>
      </c>
      <c r="B7477" s="3" t="str">
        <f>HYPERLINK("https://www.773grp.com/manufacturer/onsemi?pageNo=736", "Onsemi")</f>
        <v>Onsemi</v>
      </c>
      <c r="C7477" s="6">
        <v>40</v>
      </c>
      <c r="D7477" s="7">
        <v>0.9</v>
      </c>
      <c r="E7477" t="s">
        <v>15</v>
      </c>
    </row>
    <row r="7478" spans="1:5" x14ac:dyDescent="0.25">
      <c r="A7478" t="str">
        <f>HYPERLINK("https://www.773grp.com/globalSearch/MC33275MN-5.0R2/page-1", "MC33275MN-5.0R2")</f>
        <v>MC33275MN-5.0R2</v>
      </c>
      <c r="B7478" s="3" t="str">
        <f>HYPERLINK("https://www.773grp.com/manufacturer/onsemi?pageNo=737", "Onsemi")</f>
        <v>Onsemi</v>
      </c>
      <c r="C7478" s="6">
        <v>12000</v>
      </c>
      <c r="D7478" s="7">
        <v>0.9</v>
      </c>
      <c r="E7478" t="s">
        <v>15</v>
      </c>
    </row>
    <row r="7479" spans="1:5" x14ac:dyDescent="0.25">
      <c r="A7479" t="str">
        <f>HYPERLINK("https://www.773grp.com/globalSearch/MC33375D-2.5R2/page-1", "MC33375D-2.5R2")</f>
        <v>MC33375D-2.5R2</v>
      </c>
      <c r="B7479" s="3" t="str">
        <f>HYPERLINK("https://www.773grp.com/manufacturer/onsemi?pageNo=738", "Onsemi")</f>
        <v>Onsemi</v>
      </c>
      <c r="C7479" s="6">
        <v>2500</v>
      </c>
      <c r="D7479" s="7">
        <v>0.9</v>
      </c>
      <c r="E7479" t="s">
        <v>15</v>
      </c>
    </row>
    <row r="7480" spans="1:5" x14ac:dyDescent="0.25">
      <c r="A7480" t="str">
        <f>HYPERLINK("https://www.773grp.com/globalSearch/MC33375D-3.0/page-1", "MC33375D-3.0")</f>
        <v>MC33375D-3.0</v>
      </c>
      <c r="B7480" s="3" t="str">
        <f>HYPERLINK("https://www.773grp.com/manufacturer/onsemi?pageNo=739", "Onsemi")</f>
        <v>Onsemi</v>
      </c>
      <c r="C7480" s="6">
        <v>1078</v>
      </c>
      <c r="D7480" s="7">
        <v>0.9</v>
      </c>
      <c r="E7480" t="s">
        <v>15</v>
      </c>
    </row>
    <row r="7481" spans="1:5" x14ac:dyDescent="0.25">
      <c r="A7481" t="str">
        <f>HYPERLINK("https://www.773grp.com/globalSearch/MC33375D-3.0R2/page-1", "MC33375D-3.0R2")</f>
        <v>MC33375D-3.0R2</v>
      </c>
      <c r="B7481" s="3" t="str">
        <f>HYPERLINK("https://www.773grp.com/manufacturer/onsemi?pageNo=740", "Onsemi")</f>
        <v>Onsemi</v>
      </c>
      <c r="C7481" s="6">
        <v>2490</v>
      </c>
      <c r="D7481" s="7">
        <v>0.9</v>
      </c>
      <c r="E7481" t="s">
        <v>15</v>
      </c>
    </row>
    <row r="7482" spans="1:5" x14ac:dyDescent="0.25">
      <c r="A7482" t="str">
        <f>HYPERLINK("https://www.773grp.com/globalSearch/MC33375ST-2.5T3/page-1", "MC33375ST-2.5T3")</f>
        <v>MC33375ST-2.5T3</v>
      </c>
      <c r="B7482" s="3" t="str">
        <f>HYPERLINK("https://www.773grp.com/manufacturer/onsemi?pageNo=741", "Onsemi")</f>
        <v>Onsemi</v>
      </c>
      <c r="C7482" s="6">
        <v>99986</v>
      </c>
      <c r="D7482" s="7">
        <v>0.9</v>
      </c>
      <c r="E7482" t="s">
        <v>15</v>
      </c>
    </row>
    <row r="7483" spans="1:5" x14ac:dyDescent="0.25">
      <c r="A7483" t="str">
        <f>HYPERLINK("https://www.773grp.com/globalSearch/MC33375ST-3.0T3/page-1", "MC33375ST-3.0T3")</f>
        <v>MC33375ST-3.0T3</v>
      </c>
      <c r="B7483" s="3" t="str">
        <f>HYPERLINK("https://www.773grp.com/manufacturer/onsemi?pageNo=742", "Onsemi")</f>
        <v>Onsemi</v>
      </c>
      <c r="C7483" s="6">
        <v>3974</v>
      </c>
      <c r="D7483" s="7">
        <v>0.9</v>
      </c>
      <c r="E7483" t="s">
        <v>15</v>
      </c>
    </row>
    <row r="7484" spans="1:5" x14ac:dyDescent="0.25">
      <c r="A7484" t="str">
        <f>HYPERLINK("https://www.773grp.com/globalSearch/MC33375ST-5.0T3/page-1", "MC33375ST-5.0T3")</f>
        <v>MC33375ST-5.0T3</v>
      </c>
      <c r="B7484" s="3" t="str">
        <f>HYPERLINK("https://www.773grp.com/manufacturer/onsemi?pageNo=743", "Onsemi")</f>
        <v>Onsemi</v>
      </c>
      <c r="C7484" s="6">
        <v>1820000</v>
      </c>
      <c r="D7484" s="7">
        <v>0.9</v>
      </c>
      <c r="E7484" t="s">
        <v>15</v>
      </c>
    </row>
    <row r="7485" spans="1:5" x14ac:dyDescent="0.25">
      <c r="A7485" t="str">
        <f>HYPERLINK("https://www.773grp.com/globalSearch/MC33567D-001/page-1", "MC33567D-001")</f>
        <v>MC33567D-001</v>
      </c>
      <c r="B7485" s="3" t="str">
        <f>HYPERLINK("https://www.773grp.com/manufacturer/onsemi?pageNo=744", "Onsemi")</f>
        <v>Onsemi</v>
      </c>
      <c r="C7485" s="6">
        <v>980</v>
      </c>
      <c r="D7485" s="7">
        <v>0.9</v>
      </c>
    </row>
    <row r="7486" spans="1:5" x14ac:dyDescent="0.25">
      <c r="A7486" t="str">
        <f>HYPERLINK("https://www.773grp.com/globalSearch/MC33567D-1R2/page-1", "MC33567D-1R2")</f>
        <v>MC33567D-1R2</v>
      </c>
      <c r="B7486" s="3" t="str">
        <f>HYPERLINK("https://www.773grp.com/manufacturer/onsemi?pageNo=745", "Onsemi")</f>
        <v>Onsemi</v>
      </c>
      <c r="C7486" s="6">
        <v>2500</v>
      </c>
      <c r="D7486" s="7">
        <v>0.9</v>
      </c>
      <c r="E7486" t="s">
        <v>36</v>
      </c>
    </row>
    <row r="7487" spans="1:5" x14ac:dyDescent="0.25">
      <c r="A7487" t="str">
        <f>HYPERLINK("https://www.773grp.com/globalSearch/MC33567D-3R2/page-1", "MC33567D-3R2")</f>
        <v>MC33567D-3R2</v>
      </c>
      <c r="B7487" s="3" t="str">
        <f>HYPERLINK("https://www.773grp.com/manufacturer/onsemi?pageNo=746", "Onsemi")</f>
        <v>Onsemi</v>
      </c>
      <c r="C7487" s="6">
        <v>2356</v>
      </c>
      <c r="D7487" s="7">
        <v>0.9</v>
      </c>
      <c r="E7487" t="s">
        <v>36</v>
      </c>
    </row>
    <row r="7488" spans="1:5" x14ac:dyDescent="0.25">
      <c r="A7488" t="str">
        <f>HYPERLINK("https://www.773grp.com/globalSearch/MC34063BD/page-1", "MC34063BD")</f>
        <v>MC34063BD</v>
      </c>
      <c r="B7488" s="3" t="str">
        <f>HYPERLINK("https://www.773grp.com/manufacturer/onsemi?pageNo=747", "Onsemi")</f>
        <v>Onsemi</v>
      </c>
      <c r="C7488" s="6">
        <v>1274</v>
      </c>
      <c r="D7488" s="7">
        <v>0.9</v>
      </c>
      <c r="E7488" t="s">
        <v>5</v>
      </c>
    </row>
    <row r="7489" spans="1:5" x14ac:dyDescent="0.25">
      <c r="A7489" t="str">
        <f>HYPERLINK("https://www.773grp.com/globalSearch/MC34072VP/page-1", "MC34072VP")</f>
        <v>MC34072VP</v>
      </c>
      <c r="B7489" s="3" t="str">
        <f>HYPERLINK("https://www.773grp.com/manufacturer/onsemi?pageNo=748", "Onsemi")</f>
        <v>Onsemi</v>
      </c>
      <c r="C7489" s="6">
        <v>2029</v>
      </c>
      <c r="D7489" s="7">
        <v>0.9</v>
      </c>
      <c r="E7489" t="s">
        <v>10</v>
      </c>
    </row>
    <row r="7490" spans="1:5" x14ac:dyDescent="0.25">
      <c r="A7490" t="str">
        <f>HYPERLINK("https://www.773grp.com/globalSearch/MC74AC125DG/page-1", "MC74AC125DG")</f>
        <v>MC74AC125DG</v>
      </c>
      <c r="B7490" s="3" t="str">
        <f>HYPERLINK("https://www.773grp.com/manufacturer/onsemi?pageNo=749", "Onsemi")</f>
        <v>Onsemi</v>
      </c>
      <c r="C7490" s="6">
        <v>15455</v>
      </c>
      <c r="D7490" s="7">
        <v>0.9</v>
      </c>
      <c r="E7490" t="s">
        <v>11</v>
      </c>
    </row>
    <row r="7491" spans="1:5" x14ac:dyDescent="0.25">
      <c r="A7491" t="str">
        <f>HYPERLINK("https://www.773grp.com/globalSearch/MC74AC125DR2G/page-1", "MC74AC125DR2G")</f>
        <v>MC74AC125DR2G</v>
      </c>
      <c r="B7491" s="3" t="str">
        <f>HYPERLINK("https://www.773grp.com/manufacturer/onsemi?pageNo=750", "Onsemi")</f>
        <v>Onsemi</v>
      </c>
      <c r="C7491" s="6">
        <v>26569</v>
      </c>
      <c r="D7491" s="7">
        <v>0.9</v>
      </c>
      <c r="E7491" t="s">
        <v>11</v>
      </c>
    </row>
    <row r="7492" spans="1:5" x14ac:dyDescent="0.25">
      <c r="A7492" t="str">
        <f>HYPERLINK("https://www.773grp.com/globalSearch/MC74AC132D/page-1", "MC74AC132D")</f>
        <v>MC74AC132D</v>
      </c>
      <c r="B7492" s="3" t="str">
        <f>HYPERLINK("https://www.773grp.com/manufacturer/onsemi?pageNo=751", "Onsemi")</f>
        <v>Onsemi</v>
      </c>
      <c r="C7492" s="6">
        <v>9475</v>
      </c>
      <c r="D7492" s="7">
        <v>0.9</v>
      </c>
      <c r="E7492" t="s">
        <v>27</v>
      </c>
    </row>
    <row r="7493" spans="1:5" x14ac:dyDescent="0.25">
      <c r="A7493" t="str">
        <f>HYPERLINK("https://www.773grp.com/globalSearch/MC74AC132DR2/page-1", "MC74AC132DR2")</f>
        <v>MC74AC132DR2</v>
      </c>
      <c r="B7493" s="3" t="str">
        <f>HYPERLINK("https://www.773grp.com/manufacturer/onsemi?pageNo=752", "Onsemi")</f>
        <v>Onsemi</v>
      </c>
      <c r="C7493" s="6">
        <v>7500</v>
      </c>
      <c r="D7493" s="7">
        <v>0.9</v>
      </c>
      <c r="E7493" t="s">
        <v>27</v>
      </c>
    </row>
    <row r="7494" spans="1:5" x14ac:dyDescent="0.25">
      <c r="A7494" t="str">
        <f>HYPERLINK("https://www.773grp.com/globalSearch/MC74AC161DG/page-1", "MC74AC161DG")</f>
        <v>MC74AC161DG</v>
      </c>
      <c r="B7494" s="3" t="str">
        <f>HYPERLINK("https://www.773grp.com/manufacturer/onsemi?pageNo=753", "Onsemi")</f>
        <v>Onsemi</v>
      </c>
      <c r="C7494" s="6">
        <v>1842</v>
      </c>
      <c r="D7494" s="7">
        <v>0.9</v>
      </c>
      <c r="E7494" t="s">
        <v>22</v>
      </c>
    </row>
    <row r="7495" spans="1:5" x14ac:dyDescent="0.25">
      <c r="A7495" t="str">
        <f>HYPERLINK("https://www.773grp.com/globalSearch/MC74AC161DR2G/page-1", "MC74AC161DR2G")</f>
        <v>MC74AC161DR2G</v>
      </c>
      <c r="B7495" s="3" t="str">
        <f>HYPERLINK("https://www.773grp.com/manufacturer/onsemi?pageNo=754", "Onsemi")</f>
        <v>Onsemi</v>
      </c>
      <c r="C7495" s="6">
        <v>2500</v>
      </c>
      <c r="D7495" s="7">
        <v>0.9</v>
      </c>
      <c r="E7495" t="s">
        <v>22</v>
      </c>
    </row>
    <row r="7496" spans="1:5" x14ac:dyDescent="0.25">
      <c r="A7496" t="str">
        <f>HYPERLINK("https://www.773grp.com/globalSearch/MC74AC163DR2G/page-1", "MC74AC163DR2G")</f>
        <v>MC74AC163DR2G</v>
      </c>
      <c r="B7496" s="3" t="str">
        <f>HYPERLINK("https://www.773grp.com/manufacturer/onsemi?pageNo=755", "Onsemi")</f>
        <v>Onsemi</v>
      </c>
      <c r="C7496" s="6">
        <v>4784</v>
      </c>
      <c r="D7496" s="7">
        <v>0.9</v>
      </c>
      <c r="E7496" t="s">
        <v>22</v>
      </c>
    </row>
    <row r="7497" spans="1:5" x14ac:dyDescent="0.25">
      <c r="A7497" t="str">
        <f>HYPERLINK("https://www.773grp.com/globalSearch/MC74AC240DTR2G/page-1", "MC74AC240DTR2G")</f>
        <v>MC74AC240DTR2G</v>
      </c>
      <c r="B7497" s="3" t="str">
        <f>HYPERLINK("https://www.773grp.com/manufacturer/onsemi?pageNo=756", "Onsemi")</f>
        <v>Onsemi</v>
      </c>
      <c r="C7497" s="6">
        <v>2410</v>
      </c>
      <c r="D7497" s="7">
        <v>0.9</v>
      </c>
      <c r="E7497" t="s">
        <v>11</v>
      </c>
    </row>
    <row r="7498" spans="1:5" x14ac:dyDescent="0.25">
      <c r="A7498" t="str">
        <f>HYPERLINK("https://www.773grp.com/globalSearch/MC74AC244DTR2G/page-1", "MC74AC244DTR2G")</f>
        <v>MC74AC244DTR2G</v>
      </c>
      <c r="B7498" s="3" t="str">
        <f>HYPERLINK("https://www.773grp.com/manufacturer/onsemi?pageNo=757", "Onsemi")</f>
        <v>Onsemi</v>
      </c>
      <c r="C7498" s="6">
        <v>20992</v>
      </c>
      <c r="D7498" s="7">
        <v>0.9</v>
      </c>
      <c r="E7498" t="s">
        <v>11</v>
      </c>
    </row>
    <row r="7499" spans="1:5" x14ac:dyDescent="0.25">
      <c r="A7499" t="str">
        <f>HYPERLINK("https://www.773grp.com/globalSearch/MC74AC245DTG/page-1", "MC74AC245DTG")</f>
        <v>MC74AC245DTG</v>
      </c>
      <c r="B7499" s="3" t="str">
        <f>HYPERLINK("https://www.773grp.com/manufacturer/onsemi?pageNo=758", "Onsemi")</f>
        <v>Onsemi</v>
      </c>
      <c r="C7499" s="6">
        <v>5325</v>
      </c>
      <c r="D7499" s="7">
        <v>0.9</v>
      </c>
      <c r="E7499" t="s">
        <v>11</v>
      </c>
    </row>
    <row r="7500" spans="1:5" x14ac:dyDescent="0.25">
      <c r="A7500" t="str">
        <f>HYPERLINK("https://www.773grp.com/globalSearch/MC74AC273DTR2G/page-1", "MC74AC273DTR2G")</f>
        <v>MC74AC273DTR2G</v>
      </c>
      <c r="B7500" s="3" t="str">
        <f>HYPERLINK("https://www.773grp.com/manufacturer/onsemi?pageNo=759", "Onsemi")</f>
        <v>Onsemi</v>
      </c>
      <c r="C7500" s="6">
        <v>54970</v>
      </c>
      <c r="D7500" s="7">
        <v>0.9</v>
      </c>
      <c r="E7500" t="s">
        <v>31</v>
      </c>
    </row>
    <row r="7501" spans="1:5" x14ac:dyDescent="0.25">
      <c r="A7501" t="str">
        <f>HYPERLINK("https://www.773grp.com/globalSearch/MC74AC373DTR2G/page-1", "MC74AC373DTR2G")</f>
        <v>MC74AC373DTR2G</v>
      </c>
      <c r="B7501" s="3" t="str">
        <f>HYPERLINK("https://www.773grp.com/manufacturer/onsemi?pageNo=760", "Onsemi")</f>
        <v>Onsemi</v>
      </c>
      <c r="C7501" s="6">
        <v>32500</v>
      </c>
      <c r="D7501" s="7">
        <v>0.9</v>
      </c>
      <c r="E7501" t="s">
        <v>11</v>
      </c>
    </row>
    <row r="7502" spans="1:5" x14ac:dyDescent="0.25">
      <c r="A7502" t="str">
        <f>HYPERLINK("https://www.773grp.com/globalSearch/MC74AC374DTR2G/page-1", "MC74AC374DTR2G")</f>
        <v>MC74AC374DTR2G</v>
      </c>
      <c r="B7502" s="3" t="str">
        <f>HYPERLINK("https://www.773grp.com/manufacturer/onsemi?pageNo=761", "Onsemi")</f>
        <v>Onsemi</v>
      </c>
      <c r="C7502" s="6">
        <v>10000</v>
      </c>
      <c r="D7502" s="7">
        <v>0.9</v>
      </c>
      <c r="E7502" t="s">
        <v>11</v>
      </c>
    </row>
    <row r="7503" spans="1:5" x14ac:dyDescent="0.25">
      <c r="A7503" t="str">
        <f>HYPERLINK("https://www.773grp.com/globalSearch/MC74AC573DTR2G/page-1", "MC74AC573DTR2G")</f>
        <v>MC74AC573DTR2G</v>
      </c>
      <c r="B7503" s="3" t="str">
        <f>HYPERLINK("https://www.773grp.com/manufacturer/onsemi?pageNo=762", "Onsemi")</f>
        <v>Onsemi</v>
      </c>
      <c r="C7503" s="6">
        <v>15000</v>
      </c>
      <c r="D7503" s="7">
        <v>0.9</v>
      </c>
      <c r="E7503" t="s">
        <v>11</v>
      </c>
    </row>
    <row r="7504" spans="1:5" x14ac:dyDescent="0.25">
      <c r="A7504" t="str">
        <f>HYPERLINK("https://www.773grp.com/globalSearch/MC74ACT125DG/page-1", "MC74ACT125DG")</f>
        <v>MC74ACT125DG</v>
      </c>
      <c r="B7504" s="3" t="str">
        <f>HYPERLINK("https://www.773grp.com/manufacturer/onsemi?pageNo=763", "Onsemi")</f>
        <v>Onsemi</v>
      </c>
      <c r="C7504" s="6">
        <v>35</v>
      </c>
      <c r="D7504" s="7">
        <v>0.9</v>
      </c>
      <c r="E7504" t="s">
        <v>11</v>
      </c>
    </row>
    <row r="7505" spans="1:5" x14ac:dyDescent="0.25">
      <c r="A7505" t="str">
        <f>HYPERLINK("https://www.773grp.com/globalSearch/MC74ACT125DR2/page-1", "MC74ACT125DR2")</f>
        <v>MC74ACT125DR2</v>
      </c>
      <c r="B7505" s="3" t="str">
        <f>HYPERLINK("https://www.773grp.com/manufacturer/onsemi?pageNo=764", "Onsemi")</f>
        <v>Onsemi</v>
      </c>
      <c r="C7505" s="6">
        <v>6812</v>
      </c>
      <c r="D7505" s="7">
        <v>0.9</v>
      </c>
    </row>
    <row r="7506" spans="1:5" x14ac:dyDescent="0.25">
      <c r="A7506" t="str">
        <f>HYPERLINK("https://www.773grp.com/globalSearch/MC74ACT125DR2G/page-1", "MC74ACT125DR2G")</f>
        <v>MC74ACT125DR2G</v>
      </c>
      <c r="B7506" s="3" t="str">
        <f>HYPERLINK("https://www.773grp.com/manufacturer/onsemi?pageNo=765", "Onsemi")</f>
        <v>Onsemi</v>
      </c>
      <c r="C7506" s="6">
        <v>30000</v>
      </c>
      <c r="D7506" s="7">
        <v>0.9</v>
      </c>
    </row>
    <row r="7507" spans="1:5" x14ac:dyDescent="0.25">
      <c r="A7507" t="str">
        <f>HYPERLINK("https://www.773grp.com/globalSearch/MC74ACT125DTR2G/page-1", "MC74ACT125DTR2G")</f>
        <v>MC74ACT125DTR2G</v>
      </c>
      <c r="B7507" s="3" t="str">
        <f>HYPERLINK("https://www.773grp.com/manufacturer/onsemi?pageNo=766", "Onsemi")</f>
        <v>Onsemi</v>
      </c>
      <c r="C7507" s="6">
        <v>17500</v>
      </c>
      <c r="D7507" s="7">
        <v>0.9</v>
      </c>
    </row>
    <row r="7508" spans="1:5" x14ac:dyDescent="0.25">
      <c r="A7508" t="str">
        <f>HYPERLINK("https://www.773grp.com/globalSearch/MC74ACT132D/page-1", "MC74ACT132D")</f>
        <v>MC74ACT132D</v>
      </c>
      <c r="B7508" s="3" t="str">
        <f>HYPERLINK("https://www.773grp.com/manufacturer/onsemi?pageNo=767", "Onsemi")</f>
        <v>Onsemi</v>
      </c>
      <c r="C7508" s="6">
        <v>215</v>
      </c>
      <c r="D7508" s="7">
        <v>0.9</v>
      </c>
      <c r="E7508" t="s">
        <v>27</v>
      </c>
    </row>
    <row r="7509" spans="1:5" x14ac:dyDescent="0.25">
      <c r="A7509" t="str">
        <f>HYPERLINK("https://www.773grp.com/globalSearch/MC74ACT132DR2/page-1", "MC74ACT132DR2")</f>
        <v>MC74ACT132DR2</v>
      </c>
      <c r="B7509" s="3" t="str">
        <f>HYPERLINK("https://www.773grp.com/manufacturer/onsemi?pageNo=768", "Onsemi")</f>
        <v>Onsemi</v>
      </c>
      <c r="C7509" s="6">
        <v>2500</v>
      </c>
      <c r="D7509" s="7">
        <v>0.9</v>
      </c>
      <c r="E7509" t="s">
        <v>27</v>
      </c>
    </row>
    <row r="7510" spans="1:5" x14ac:dyDescent="0.25">
      <c r="A7510" t="str">
        <f>HYPERLINK("https://www.773grp.com/globalSearch/MC74ACT161DG/page-1", "MC74ACT161DG")</f>
        <v>MC74ACT161DG</v>
      </c>
      <c r="B7510" s="3" t="str">
        <f>HYPERLINK("https://www.773grp.com/manufacturer/onsemi?pageNo=769", "Onsemi")</f>
        <v>Onsemi</v>
      </c>
      <c r="C7510" s="6">
        <v>7399</v>
      </c>
      <c r="D7510" s="7">
        <v>0.9</v>
      </c>
      <c r="E7510" t="s">
        <v>22</v>
      </c>
    </row>
    <row r="7511" spans="1:5" x14ac:dyDescent="0.25">
      <c r="A7511" t="str">
        <f>HYPERLINK("https://www.773grp.com/globalSearch/MC74ACT161DR2G/page-1", "MC74ACT161DR2G")</f>
        <v>MC74ACT161DR2G</v>
      </c>
      <c r="B7511" s="3" t="str">
        <f>HYPERLINK("https://www.773grp.com/manufacturer/onsemi?pageNo=770", "Onsemi")</f>
        <v>Onsemi</v>
      </c>
      <c r="C7511" s="6">
        <v>15000</v>
      </c>
      <c r="D7511" s="7">
        <v>0.9</v>
      </c>
      <c r="E7511" t="s">
        <v>22</v>
      </c>
    </row>
    <row r="7512" spans="1:5" x14ac:dyDescent="0.25">
      <c r="A7512" t="str">
        <f>HYPERLINK("https://www.773grp.com/globalSearch/MC74ACT163DG/page-1", "MC74ACT163DG")</f>
        <v>MC74ACT163DG</v>
      </c>
      <c r="B7512" s="3" t="str">
        <f>HYPERLINK("https://www.773grp.com/manufacturer/onsemi?pageNo=771", "Onsemi")</f>
        <v>Onsemi</v>
      </c>
      <c r="C7512" s="6">
        <v>11253</v>
      </c>
      <c r="D7512" s="7">
        <v>0.9</v>
      </c>
      <c r="E7512" t="s">
        <v>22</v>
      </c>
    </row>
    <row r="7513" spans="1:5" x14ac:dyDescent="0.25">
      <c r="A7513" t="str">
        <f>HYPERLINK("https://www.773grp.com/globalSearch/MC74ACT163DR2G/page-1", "MC74ACT163DR2G")</f>
        <v>MC74ACT163DR2G</v>
      </c>
      <c r="B7513" s="3" t="str">
        <f>HYPERLINK("https://www.773grp.com/manufacturer/onsemi?pageNo=772", "Onsemi")</f>
        <v>Onsemi</v>
      </c>
      <c r="C7513" s="6">
        <v>35052</v>
      </c>
      <c r="D7513" s="7">
        <v>0.9</v>
      </c>
      <c r="E7513" t="s">
        <v>22</v>
      </c>
    </row>
    <row r="7514" spans="1:5" x14ac:dyDescent="0.25">
      <c r="A7514" t="str">
        <f>HYPERLINK("https://www.773grp.com/globalSearch/MC74ACT240DTR2G/page-1", "MC74ACT240DTR2G")</f>
        <v>MC74ACT240DTR2G</v>
      </c>
      <c r="B7514" s="3" t="str">
        <f>HYPERLINK("https://www.773grp.com/manufacturer/onsemi?pageNo=773", "Onsemi")</f>
        <v>Onsemi</v>
      </c>
      <c r="C7514" s="6">
        <v>2500</v>
      </c>
      <c r="D7514" s="7">
        <v>0.9</v>
      </c>
      <c r="E7514" t="s">
        <v>11</v>
      </c>
    </row>
    <row r="7515" spans="1:5" x14ac:dyDescent="0.25">
      <c r="A7515" t="str">
        <f>HYPERLINK("https://www.773grp.com/globalSearch/MC74ACT244DTR2G/page-1", "MC74ACT244DTR2G")</f>
        <v>MC74ACT244DTR2G</v>
      </c>
      <c r="B7515" s="3" t="str">
        <f>HYPERLINK("https://www.773grp.com/manufacturer/onsemi?pageNo=774", "Onsemi")</f>
        <v>Onsemi</v>
      </c>
      <c r="C7515" s="6">
        <v>14400</v>
      </c>
      <c r="D7515" s="7">
        <v>0.9</v>
      </c>
      <c r="E7515" t="s">
        <v>11</v>
      </c>
    </row>
    <row r="7516" spans="1:5" x14ac:dyDescent="0.25">
      <c r="A7516" t="str">
        <f>HYPERLINK("https://www.773grp.com/globalSearch/MC74ACT245DTG/page-1", "MC74ACT245DTG")</f>
        <v>MC74ACT245DTG</v>
      </c>
      <c r="B7516" s="3" t="str">
        <f>HYPERLINK("https://www.773grp.com/manufacturer/onsemi?pageNo=775", "Onsemi")</f>
        <v>Onsemi</v>
      </c>
      <c r="C7516" s="6">
        <v>5250</v>
      </c>
      <c r="D7516" s="7">
        <v>0.9</v>
      </c>
      <c r="E7516" t="s">
        <v>11</v>
      </c>
    </row>
    <row r="7517" spans="1:5" x14ac:dyDescent="0.25">
      <c r="A7517" t="str">
        <f>HYPERLINK("https://www.773grp.com/globalSearch/MC74ACT245DTR2G/page-1", "MC74ACT245DTR2G")</f>
        <v>MC74ACT245DTR2G</v>
      </c>
      <c r="B7517" s="3" t="str">
        <f>HYPERLINK("https://www.773grp.com/manufacturer/onsemi?pageNo=776", "Onsemi")</f>
        <v>Onsemi</v>
      </c>
      <c r="C7517" s="6">
        <v>62500</v>
      </c>
      <c r="D7517" s="7">
        <v>0.9</v>
      </c>
      <c r="E7517" t="s">
        <v>11</v>
      </c>
    </row>
    <row r="7518" spans="1:5" x14ac:dyDescent="0.25">
      <c r="A7518" t="str">
        <f>HYPERLINK("https://www.773grp.com/globalSearch/MC74ACT245DWR2/page-1", "MC74ACT245DWR2")</f>
        <v>MC74ACT245DWR2</v>
      </c>
      <c r="B7518" s="3" t="str">
        <f>HYPERLINK("https://www.773grp.com/manufacturer/onsemi?pageNo=777", "Onsemi")</f>
        <v>Onsemi</v>
      </c>
      <c r="C7518" s="6">
        <v>7000</v>
      </c>
      <c r="D7518" s="7">
        <v>0.9</v>
      </c>
      <c r="E7518" t="s">
        <v>11</v>
      </c>
    </row>
    <row r="7519" spans="1:5" x14ac:dyDescent="0.25">
      <c r="A7519" t="str">
        <f>HYPERLINK("https://www.773grp.com/globalSearch/MC74ACT273DTR2G/page-1", "MC74ACT273DTR2G")</f>
        <v>MC74ACT273DTR2G</v>
      </c>
      <c r="B7519" s="3" t="str">
        <f>HYPERLINK("https://www.773grp.com/manufacturer/onsemi?pageNo=778", "Onsemi")</f>
        <v>Onsemi</v>
      </c>
      <c r="C7519" s="6">
        <v>50143</v>
      </c>
      <c r="D7519" s="7">
        <v>0.9</v>
      </c>
    </row>
    <row r="7520" spans="1:5" x14ac:dyDescent="0.25">
      <c r="A7520" t="str">
        <f>HYPERLINK("https://www.773grp.com/globalSearch/MC74ACT373DTR2G/page-1", "MC74ACT373DTR2G")</f>
        <v>MC74ACT373DTR2G</v>
      </c>
      <c r="B7520" s="3" t="str">
        <f>HYPERLINK("https://www.773grp.com/manufacturer/onsemi?pageNo=779", "Onsemi")</f>
        <v>Onsemi</v>
      </c>
      <c r="C7520" s="6">
        <v>5000</v>
      </c>
      <c r="D7520" s="7">
        <v>0.9</v>
      </c>
      <c r="E7520" t="s">
        <v>11</v>
      </c>
    </row>
    <row r="7521" spans="1:5" x14ac:dyDescent="0.25">
      <c r="A7521" t="str">
        <f>HYPERLINK("https://www.773grp.com/globalSearch/MC74ACT374DTR2G/page-1", "MC74ACT374DTR2G")</f>
        <v>MC74ACT374DTR2G</v>
      </c>
      <c r="B7521" s="3" t="str">
        <f>HYPERLINK("https://www.773grp.com/manufacturer/onsemi?pageNo=780", "Onsemi")</f>
        <v>Onsemi</v>
      </c>
      <c r="C7521" s="6">
        <v>109990</v>
      </c>
      <c r="D7521" s="7">
        <v>0.9</v>
      </c>
      <c r="E7521" t="s">
        <v>11</v>
      </c>
    </row>
    <row r="7522" spans="1:5" x14ac:dyDescent="0.25">
      <c r="A7522" t="str">
        <f>HYPERLINK("https://www.773grp.com/globalSearch/MC74ACT573DTR2G/page-1", "MC74ACT573DTR2G")</f>
        <v>MC74ACT573DTR2G</v>
      </c>
      <c r="B7522" s="3" t="str">
        <f>HYPERLINK("https://www.773grp.com/manufacturer/onsemi?pageNo=781", "Onsemi")</f>
        <v>Onsemi</v>
      </c>
      <c r="C7522" s="6">
        <v>12500</v>
      </c>
      <c r="D7522" s="7">
        <v>0.9</v>
      </c>
      <c r="E7522" t="s">
        <v>11</v>
      </c>
    </row>
    <row r="7523" spans="1:5" x14ac:dyDescent="0.25">
      <c r="A7523" t="str">
        <f>HYPERLINK("https://www.773grp.com/globalSearch/MC74ACT574DTR2G/page-1", "MC74ACT574DTR2G")</f>
        <v>MC74ACT574DTR2G</v>
      </c>
      <c r="B7523" s="3" t="str">
        <f>HYPERLINK("https://www.773grp.com/manufacturer/onsemi?pageNo=782", "Onsemi")</f>
        <v>Onsemi</v>
      </c>
      <c r="C7523" s="6">
        <v>12500</v>
      </c>
      <c r="D7523" s="7">
        <v>0.9</v>
      </c>
      <c r="E7523" t="s">
        <v>11</v>
      </c>
    </row>
    <row r="7524" spans="1:5" x14ac:dyDescent="0.25">
      <c r="A7524" t="str">
        <f>HYPERLINK("https://www.773grp.com/globalSearch/MC74ACT574MEL/page-1", "MC74ACT574MEL")</f>
        <v>MC74ACT574MEL</v>
      </c>
      <c r="B7524" s="3" t="str">
        <f>HYPERLINK("https://www.773grp.com/manufacturer/onsemi?pageNo=783", "Onsemi")</f>
        <v>Onsemi</v>
      </c>
      <c r="C7524" s="6">
        <v>2000</v>
      </c>
      <c r="D7524" s="7">
        <v>0.9</v>
      </c>
      <c r="E7524" t="s">
        <v>11</v>
      </c>
    </row>
    <row r="7525" spans="1:5" x14ac:dyDescent="0.25">
      <c r="A7525" t="str">
        <f>HYPERLINK("https://www.773grp.com/globalSearch/MC74F132N/page-1", "MC74F132N")</f>
        <v>MC74F132N</v>
      </c>
      <c r="B7525" s="3" t="str">
        <f>HYPERLINK("https://www.773grp.com/manufacturer/onsemi?pageNo=784", "Onsemi")</f>
        <v>Onsemi</v>
      </c>
      <c r="C7525" s="6">
        <v>3124</v>
      </c>
      <c r="D7525" s="7">
        <v>0.9</v>
      </c>
      <c r="E7525" t="s">
        <v>27</v>
      </c>
    </row>
    <row r="7526" spans="1:5" x14ac:dyDescent="0.25">
      <c r="A7526" t="str">
        <f>HYPERLINK("https://www.773grp.com/globalSearch/MC74F240N/page-1", "MC74F240N")</f>
        <v>MC74F240N</v>
      </c>
      <c r="B7526" s="3" t="str">
        <f>HYPERLINK("https://www.773grp.com/manufacturer/onsemi?pageNo=785", "Onsemi")</f>
        <v>Onsemi</v>
      </c>
      <c r="C7526" s="6">
        <v>460</v>
      </c>
      <c r="D7526" s="7">
        <v>0.9</v>
      </c>
      <c r="E7526" t="s">
        <v>11</v>
      </c>
    </row>
    <row r="7527" spans="1:5" x14ac:dyDescent="0.25">
      <c r="A7527" t="str">
        <f>HYPERLINK("https://www.773grp.com/globalSearch/MC74F245M/page-1", "MC74F245M")</f>
        <v>MC74F245M</v>
      </c>
      <c r="B7527" s="3" t="str">
        <f>HYPERLINK("https://www.773grp.com/manufacturer/onsemi?pageNo=786", "Onsemi")</f>
        <v>Onsemi</v>
      </c>
      <c r="C7527" s="6">
        <v>3859</v>
      </c>
      <c r="D7527" s="7">
        <v>0.9</v>
      </c>
    </row>
    <row r="7528" spans="1:5" x14ac:dyDescent="0.25">
      <c r="A7528" t="str">
        <f>HYPERLINK("https://www.773grp.com/globalSearch/MC74F245ML1/page-1", "MC74F245ML1")</f>
        <v>MC74F245ML1</v>
      </c>
      <c r="B7528" s="3" t="str">
        <f>HYPERLINK("https://www.773grp.com/manufacturer/onsemi?pageNo=787", "Onsemi")</f>
        <v>Onsemi</v>
      </c>
      <c r="C7528" s="6">
        <v>1000</v>
      </c>
      <c r="D7528" s="7">
        <v>0.9</v>
      </c>
    </row>
    <row r="7529" spans="1:5" x14ac:dyDescent="0.25">
      <c r="A7529" t="str">
        <f>HYPERLINK("https://www.773grp.com/globalSearch/MC74F283D/page-1", "MC74F283D")</f>
        <v>MC74F283D</v>
      </c>
      <c r="B7529" s="3" t="str">
        <f>HYPERLINK("https://www.773grp.com/manufacturer/onsemi?pageNo=788", "Onsemi")</f>
        <v>Onsemi</v>
      </c>
      <c r="C7529" s="6">
        <v>3138</v>
      </c>
      <c r="D7529" s="7">
        <v>0.9</v>
      </c>
      <c r="E7529" t="s">
        <v>38</v>
      </c>
    </row>
    <row r="7530" spans="1:5" x14ac:dyDescent="0.25">
      <c r="A7530" t="str">
        <f>HYPERLINK("https://www.773grp.com/globalSearch/MC74F283M/page-1", "MC74F283M")</f>
        <v>MC74F283M</v>
      </c>
      <c r="B7530" s="3" t="str">
        <f>HYPERLINK("https://www.773grp.com/manufacturer/onsemi?pageNo=789", "Onsemi")</f>
        <v>Onsemi</v>
      </c>
      <c r="C7530" s="6">
        <v>700</v>
      </c>
      <c r="D7530" s="7">
        <v>0.9</v>
      </c>
    </row>
    <row r="7531" spans="1:5" x14ac:dyDescent="0.25">
      <c r="A7531" t="str">
        <f>HYPERLINK("https://www.773grp.com/globalSearch/MC74F374N/page-1", "MC74F374N")</f>
        <v>MC74F374N</v>
      </c>
      <c r="B7531" s="3" t="str">
        <f>HYPERLINK("https://www.773grp.com/manufacturer/onsemi?pageNo=790", "Onsemi")</f>
        <v>Onsemi</v>
      </c>
      <c r="C7531" s="6">
        <v>5203</v>
      </c>
      <c r="D7531" s="7">
        <v>0.9</v>
      </c>
      <c r="E7531" t="s">
        <v>11</v>
      </c>
    </row>
    <row r="7532" spans="1:5" x14ac:dyDescent="0.25">
      <c r="A7532" t="str">
        <f>HYPERLINK("https://www.773grp.com/globalSearch/MC74F85N/page-1", "MC74F85N")</f>
        <v>MC74F85N</v>
      </c>
      <c r="B7532" s="3" t="str">
        <f>HYPERLINK("https://www.773grp.com/manufacturer/onsemi?pageNo=791", "Onsemi")</f>
        <v>Onsemi</v>
      </c>
      <c r="C7532" s="6">
        <v>1545</v>
      </c>
      <c r="D7532" s="7">
        <v>0.9</v>
      </c>
      <c r="E7532" t="s">
        <v>38</v>
      </c>
    </row>
    <row r="7533" spans="1:5" x14ac:dyDescent="0.25">
      <c r="A7533" t="str">
        <f>HYPERLINK("https://www.773grp.com/globalSearch/MC74F86MR1/page-1", "MC74F86MR1")</f>
        <v>MC74F86MR1</v>
      </c>
      <c r="B7533" s="3" t="str">
        <f>HYPERLINK("https://www.773grp.com/manufacturer/onsemi?pageNo=792", "Onsemi")</f>
        <v>Onsemi</v>
      </c>
      <c r="C7533" s="6">
        <v>1000</v>
      </c>
      <c r="D7533" s="7">
        <v>0.9</v>
      </c>
    </row>
    <row r="7534" spans="1:5" x14ac:dyDescent="0.25">
      <c r="A7534" t="str">
        <f>HYPERLINK("https://www.773grp.com/globalSearch/MC74F86N/page-1", "MC74F86N")</f>
        <v>MC74F86N</v>
      </c>
      <c r="B7534" s="3" t="str">
        <f>HYPERLINK("https://www.773grp.com/manufacturer/onsemi?pageNo=793", "Onsemi")</f>
        <v>Onsemi</v>
      </c>
      <c r="C7534" s="6">
        <v>333</v>
      </c>
      <c r="D7534" s="7">
        <v>0.9</v>
      </c>
      <c r="E7534" t="s">
        <v>27</v>
      </c>
    </row>
    <row r="7535" spans="1:5" x14ac:dyDescent="0.25">
      <c r="A7535" t="str">
        <f>HYPERLINK("https://www.773grp.com/globalSearch/MC74HC00AFELG/page-1", "MC74HC00AFELG")</f>
        <v>MC74HC00AFELG</v>
      </c>
      <c r="B7535" s="3" t="str">
        <f>HYPERLINK("https://www.773grp.com/manufacturer/onsemi?pageNo=794", "Onsemi")</f>
        <v>Onsemi</v>
      </c>
      <c r="C7535" s="6">
        <v>17049</v>
      </c>
      <c r="D7535" s="7">
        <v>0.9</v>
      </c>
      <c r="E7535" t="s">
        <v>27</v>
      </c>
    </row>
    <row r="7536" spans="1:5" x14ac:dyDescent="0.25">
      <c r="A7536" t="str">
        <f>HYPERLINK("https://www.773grp.com/globalSearch/MC74HC00AFG/page-1", "MC74HC00AFG")</f>
        <v>MC74HC00AFG</v>
      </c>
      <c r="B7536" s="3" t="str">
        <f>HYPERLINK("https://www.773grp.com/manufacturer/onsemi?pageNo=795", "Onsemi")</f>
        <v>Onsemi</v>
      </c>
      <c r="C7536" s="6">
        <v>22800</v>
      </c>
      <c r="D7536" s="7">
        <v>0.9</v>
      </c>
      <c r="E7536" t="s">
        <v>27</v>
      </c>
    </row>
    <row r="7537" spans="1:5" x14ac:dyDescent="0.25">
      <c r="A7537" t="str">
        <f>HYPERLINK("https://www.773grp.com/globalSearch/MC74HC03AFELG/page-1", "MC74HC03AFELG")</f>
        <v>MC74HC03AFELG</v>
      </c>
      <c r="B7537" s="3" t="str">
        <f>HYPERLINK("https://www.773grp.com/manufacturer/onsemi?pageNo=796", "Onsemi")</f>
        <v>Onsemi</v>
      </c>
      <c r="C7537" s="6">
        <v>1093</v>
      </c>
      <c r="D7537" s="7">
        <v>0.9</v>
      </c>
    </row>
    <row r="7538" spans="1:5" x14ac:dyDescent="0.25">
      <c r="A7538" t="str">
        <f>HYPERLINK("https://www.773grp.com/globalSearch/MC74HC04AFELG/page-1", "MC74HC04AFELG")</f>
        <v>MC74HC04AFELG</v>
      </c>
      <c r="B7538" s="3" t="str">
        <f>HYPERLINK("https://www.773grp.com/manufacturer/onsemi?pageNo=797", "Onsemi")</f>
        <v>Onsemi</v>
      </c>
      <c r="C7538" s="6">
        <v>60748</v>
      </c>
      <c r="D7538" s="7">
        <v>0.9</v>
      </c>
      <c r="E7538" t="s">
        <v>27</v>
      </c>
    </row>
    <row r="7539" spans="1:5" x14ac:dyDescent="0.25">
      <c r="A7539" t="str">
        <f>HYPERLINK("https://www.773grp.com/globalSearch/MC74HC04AFG/page-1", "MC74HC04AFG")</f>
        <v>MC74HC04AFG</v>
      </c>
      <c r="B7539" s="3" t="str">
        <f>HYPERLINK("https://www.773grp.com/manufacturer/onsemi?pageNo=798", "Onsemi")</f>
        <v>Onsemi</v>
      </c>
      <c r="C7539" s="6">
        <v>16666</v>
      </c>
      <c r="D7539" s="7">
        <v>0.9</v>
      </c>
      <c r="E7539" t="s">
        <v>27</v>
      </c>
    </row>
    <row r="7540" spans="1:5" x14ac:dyDescent="0.25">
      <c r="A7540" t="str">
        <f>HYPERLINK("https://www.773grp.com/globalSearch/MC74HC08AF/page-1", "MC74HC08AF")</f>
        <v>MC74HC08AF</v>
      </c>
      <c r="B7540" s="3" t="str">
        <f>HYPERLINK("https://www.773grp.com/manufacturer/onsemi?pageNo=799", "Onsemi")</f>
        <v>Onsemi</v>
      </c>
      <c r="C7540" s="6">
        <v>350</v>
      </c>
      <c r="D7540" s="7">
        <v>0.9</v>
      </c>
    </row>
    <row r="7541" spans="1:5" x14ac:dyDescent="0.25">
      <c r="A7541" t="str">
        <f>HYPERLINK("https://www.773grp.com/globalSearch/MC74HC08AFELG/page-1", "MC74HC08AFELG")</f>
        <v>MC74HC08AFELG</v>
      </c>
      <c r="B7541" s="3" t="str">
        <f>HYPERLINK("https://www.773grp.com/manufacturer/onsemi?pageNo=800", "Onsemi")</f>
        <v>Onsemi</v>
      </c>
      <c r="C7541" s="6">
        <v>11507</v>
      </c>
      <c r="D7541" s="7">
        <v>0.9</v>
      </c>
      <c r="E7541" t="s">
        <v>27</v>
      </c>
    </row>
    <row r="7542" spans="1:5" x14ac:dyDescent="0.25">
      <c r="A7542" t="str">
        <f>HYPERLINK("https://www.773grp.com/globalSearch/MC74HC112FR2/page-1", "MC74HC112FR2")</f>
        <v>MC74HC112FR2</v>
      </c>
      <c r="B7542" s="3" t="str">
        <f>HYPERLINK("https://www.773grp.com/manufacturer/onsemi?pageNo=801", "Onsemi")</f>
        <v>Onsemi</v>
      </c>
      <c r="C7542" s="6">
        <v>6000</v>
      </c>
      <c r="D7542" s="7">
        <v>0.9</v>
      </c>
    </row>
    <row r="7543" spans="1:5" x14ac:dyDescent="0.25">
      <c r="A7543" t="str">
        <f>HYPERLINK("https://www.773grp.com/globalSearch/MC74HC125ANG/page-1", "MC74HC125ANG")</f>
        <v>MC74HC125ANG</v>
      </c>
      <c r="B7543" s="3" t="str">
        <f>HYPERLINK("https://www.773grp.com/manufacturer/onsemi?pageNo=802", "Onsemi")</f>
        <v>Onsemi</v>
      </c>
      <c r="C7543" s="6">
        <v>51518</v>
      </c>
      <c r="D7543" s="7">
        <v>0.9</v>
      </c>
      <c r="E7543" t="s">
        <v>11</v>
      </c>
    </row>
    <row r="7544" spans="1:5" x14ac:dyDescent="0.25">
      <c r="A7544" t="str">
        <f>HYPERLINK("https://www.773grp.com/globalSearch/MC74HC126ANG/page-1", "MC74HC126ANG")</f>
        <v>MC74HC126ANG</v>
      </c>
      <c r="B7544" s="3" t="str">
        <f>HYPERLINK("https://www.773grp.com/manufacturer/onsemi?pageNo=803", "Onsemi")</f>
        <v>Onsemi</v>
      </c>
      <c r="C7544" s="6">
        <v>20147</v>
      </c>
      <c r="D7544" s="7">
        <v>0.9</v>
      </c>
      <c r="E7544" t="s">
        <v>11</v>
      </c>
    </row>
    <row r="7545" spans="1:5" x14ac:dyDescent="0.25">
      <c r="A7545" t="str">
        <f>HYPERLINK("https://www.773grp.com/globalSearch/MC74HC132ANG/page-1", "MC74HC132ANG")</f>
        <v>MC74HC132ANG</v>
      </c>
      <c r="B7545" s="3" t="str">
        <f>HYPERLINK("https://www.773grp.com/manufacturer/onsemi?pageNo=804", "Onsemi")</f>
        <v>Onsemi</v>
      </c>
      <c r="C7545" s="6">
        <v>2459</v>
      </c>
      <c r="D7545" s="7">
        <v>0.9</v>
      </c>
      <c r="E7545" t="s">
        <v>27</v>
      </c>
    </row>
    <row r="7546" spans="1:5" x14ac:dyDescent="0.25">
      <c r="A7546" t="str">
        <f>HYPERLINK("https://www.773grp.com/globalSearch/MC74HC138ANG/page-1", "MC74HC138ANG")</f>
        <v>MC74HC138ANG</v>
      </c>
      <c r="B7546" s="3" t="str">
        <f>HYPERLINK("https://www.773grp.com/manufacturer/onsemi?pageNo=805", "Onsemi")</f>
        <v>Onsemi</v>
      </c>
      <c r="C7546" s="6">
        <v>6341</v>
      </c>
      <c r="D7546" s="7">
        <v>0.9</v>
      </c>
      <c r="E7546" t="s">
        <v>32</v>
      </c>
    </row>
    <row r="7547" spans="1:5" x14ac:dyDescent="0.25">
      <c r="A7547" t="str">
        <f>HYPERLINK("https://www.773grp.com/globalSearch/MC74HC139AN/page-1", "MC74HC139AN")</f>
        <v>MC74HC139AN</v>
      </c>
      <c r="B7547" s="3" t="str">
        <f>HYPERLINK("https://www.773grp.com/manufacturer/onsemi?pageNo=806", "Onsemi")</f>
        <v>Onsemi</v>
      </c>
      <c r="C7547" s="6">
        <v>39950</v>
      </c>
      <c r="D7547" s="7">
        <v>0.9</v>
      </c>
      <c r="E7547" t="s">
        <v>32</v>
      </c>
    </row>
    <row r="7548" spans="1:5" x14ac:dyDescent="0.25">
      <c r="A7548" t="str">
        <f>HYPERLINK("https://www.773grp.com/globalSearch/MC74HC139ANG/page-1", "MC74HC139ANG")</f>
        <v>MC74HC139ANG</v>
      </c>
      <c r="B7548" s="3" t="str">
        <f>HYPERLINK("https://www.773grp.com/manufacturer/onsemi?pageNo=807", "Onsemi")</f>
        <v>Onsemi</v>
      </c>
      <c r="C7548" s="6">
        <v>21044</v>
      </c>
      <c r="D7548" s="7">
        <v>0.9</v>
      </c>
      <c r="E7548" t="s">
        <v>32</v>
      </c>
    </row>
    <row r="7549" spans="1:5" x14ac:dyDescent="0.25">
      <c r="A7549" t="str">
        <f>HYPERLINK("https://www.773grp.com/globalSearch/MC74HC157AFELG/page-1", "MC74HC157AFELG")</f>
        <v>MC74HC157AFELG</v>
      </c>
      <c r="B7549" s="3" t="str">
        <f>HYPERLINK("https://www.773grp.com/manufacturer/onsemi?pageNo=808", "Onsemi")</f>
        <v>Onsemi</v>
      </c>
      <c r="C7549" s="6">
        <v>29075</v>
      </c>
      <c r="D7549" s="7">
        <v>0.9</v>
      </c>
      <c r="E7549" t="s">
        <v>16</v>
      </c>
    </row>
    <row r="7550" spans="1:5" x14ac:dyDescent="0.25">
      <c r="A7550" t="str">
        <f>HYPERLINK("https://www.773grp.com/globalSearch/MC74HC157ANG/page-1", "MC74HC157ANG")</f>
        <v>MC74HC157ANG</v>
      </c>
      <c r="B7550" s="3" t="str">
        <f>HYPERLINK("https://www.773grp.com/manufacturer/onsemi?pageNo=809", "Onsemi")</f>
        <v>Onsemi</v>
      </c>
      <c r="C7550" s="6">
        <v>22215</v>
      </c>
      <c r="D7550" s="7">
        <v>0.9</v>
      </c>
      <c r="E7550" t="s">
        <v>16</v>
      </c>
    </row>
    <row r="7551" spans="1:5" x14ac:dyDescent="0.25">
      <c r="A7551" t="str">
        <f>HYPERLINK("https://www.773grp.com/globalSearch/MC74HC165AD/page-1", "MC74HC165AD")</f>
        <v>MC74HC165AD</v>
      </c>
      <c r="B7551" s="3" t="str">
        <f>HYPERLINK("https://www.773grp.com/manufacturer/onsemi?pageNo=810", "Onsemi")</f>
        <v>Onsemi</v>
      </c>
      <c r="C7551" s="6">
        <v>4368</v>
      </c>
      <c r="D7551" s="7">
        <v>0.9</v>
      </c>
      <c r="E7551" t="s">
        <v>28</v>
      </c>
    </row>
    <row r="7552" spans="1:5" x14ac:dyDescent="0.25">
      <c r="A7552" t="str">
        <f>HYPERLINK("https://www.773grp.com/globalSearch/MC74HC165D/page-1", "MC74HC165D")</f>
        <v>MC74HC165D</v>
      </c>
      <c r="B7552" s="3" t="str">
        <f>HYPERLINK("https://www.773grp.com/manufacturer/onsemi?pageNo=811", "Onsemi")</f>
        <v>Onsemi</v>
      </c>
      <c r="C7552" s="6">
        <v>883</v>
      </c>
      <c r="D7552" s="7">
        <v>0.9</v>
      </c>
      <c r="E7552" t="s">
        <v>28</v>
      </c>
    </row>
    <row r="7553" spans="1:5" x14ac:dyDescent="0.25">
      <c r="A7553" t="str">
        <f>HYPERLINK("https://www.773grp.com/globalSearch/MC74HC257FR2/page-1", "MC74HC257FR2")</f>
        <v>MC74HC257FR2</v>
      </c>
      <c r="B7553" s="3" t="str">
        <f>HYPERLINK("https://www.773grp.com/manufacturer/onsemi?pageNo=812", "Onsemi")</f>
        <v>Onsemi</v>
      </c>
      <c r="C7553" s="6">
        <v>2000</v>
      </c>
      <c r="D7553" s="7">
        <v>0.9</v>
      </c>
    </row>
    <row r="7554" spans="1:5" x14ac:dyDescent="0.25">
      <c r="A7554" t="str">
        <f>HYPERLINK("https://www.773grp.com/globalSearch/MC74HC280D/page-1", "MC74HC280D")</f>
        <v>MC74HC280D</v>
      </c>
      <c r="B7554" s="3" t="str">
        <f>HYPERLINK("https://www.773grp.com/manufacturer/onsemi?pageNo=813", "Onsemi")</f>
        <v>Onsemi</v>
      </c>
      <c r="C7554" s="6">
        <v>415</v>
      </c>
      <c r="D7554" s="7">
        <v>0.9</v>
      </c>
      <c r="E7554" t="s">
        <v>38</v>
      </c>
    </row>
    <row r="7555" spans="1:5" x14ac:dyDescent="0.25">
      <c r="A7555" t="str">
        <f>HYPERLINK("https://www.773grp.com/globalSearch/MC74HC280F/page-1", "MC74HC280F")</f>
        <v>MC74HC280F</v>
      </c>
      <c r="B7555" s="3" t="str">
        <f>HYPERLINK("https://www.773grp.com/manufacturer/onsemi?pageNo=814", "Onsemi")</f>
        <v>Onsemi</v>
      </c>
      <c r="C7555" s="6">
        <v>700</v>
      </c>
      <c r="D7555" s="7">
        <v>0.9</v>
      </c>
    </row>
    <row r="7556" spans="1:5" x14ac:dyDescent="0.25">
      <c r="A7556" t="str">
        <f>HYPERLINK("https://www.773grp.com/globalSearch/MC74HC280FL1/page-1", "MC74HC280FL1")</f>
        <v>MC74HC280FL1</v>
      </c>
      <c r="B7556" s="3" t="str">
        <f>HYPERLINK("https://www.773grp.com/manufacturer/onsemi?pageNo=815", "Onsemi")</f>
        <v>Onsemi</v>
      </c>
      <c r="C7556" s="6">
        <v>2000</v>
      </c>
      <c r="D7556" s="7">
        <v>0.9</v>
      </c>
    </row>
    <row r="7557" spans="1:5" x14ac:dyDescent="0.25">
      <c r="A7557" t="str">
        <f>HYPERLINK("https://www.773grp.com/globalSearch/MC74HC32AF/page-1", "MC74HC32AF")</f>
        <v>MC74HC32AF</v>
      </c>
      <c r="B7557" s="3" t="str">
        <f>HYPERLINK("https://www.773grp.com/manufacturer/onsemi?pageNo=816", "Onsemi")</f>
        <v>Onsemi</v>
      </c>
      <c r="C7557" s="6">
        <v>2350</v>
      </c>
      <c r="D7557" s="7">
        <v>0.9</v>
      </c>
    </row>
    <row r="7558" spans="1:5" x14ac:dyDescent="0.25">
      <c r="A7558" t="str">
        <f>HYPERLINK("https://www.773grp.com/globalSearch/MC74HC32AFELG/page-1", "MC74HC32AFELG")</f>
        <v>MC74HC32AFELG</v>
      </c>
      <c r="B7558" s="3" t="str">
        <f>HYPERLINK("https://www.773grp.com/manufacturer/onsemi?pageNo=817", "Onsemi")</f>
        <v>Onsemi</v>
      </c>
      <c r="C7558" s="6">
        <v>19966</v>
      </c>
      <c r="D7558" s="7">
        <v>0.9</v>
      </c>
      <c r="E7558" t="s">
        <v>27</v>
      </c>
    </row>
    <row r="7559" spans="1:5" x14ac:dyDescent="0.25">
      <c r="A7559" t="str">
        <f>HYPERLINK("https://www.773grp.com/globalSearch/MC74HC373ADTEL/page-1", "MC74HC373ADTEL")</f>
        <v>MC74HC373ADTEL</v>
      </c>
      <c r="B7559" s="3" t="str">
        <f>HYPERLINK("https://www.773grp.com/manufacturer/onsemi?pageNo=818", "Onsemi")</f>
        <v>Onsemi</v>
      </c>
      <c r="C7559" s="6">
        <v>200000</v>
      </c>
      <c r="D7559" s="7">
        <v>0.9</v>
      </c>
    </row>
    <row r="7560" spans="1:5" x14ac:dyDescent="0.25">
      <c r="A7560" t="str">
        <f>HYPERLINK("https://www.773grp.com/globalSearch/MC74HC377ADWG/page-1", "MC74HC377ADWG")</f>
        <v>MC74HC377ADWG</v>
      </c>
      <c r="B7560" s="3" t="str">
        <f>HYPERLINK("https://www.773grp.com/manufacturer/onsemi?pageNo=819", "Onsemi")</f>
        <v>Onsemi</v>
      </c>
      <c r="C7560" s="6">
        <v>17290</v>
      </c>
      <c r="D7560" s="7">
        <v>0.9</v>
      </c>
      <c r="E7560" t="s">
        <v>31</v>
      </c>
    </row>
    <row r="7561" spans="1:5" x14ac:dyDescent="0.25">
      <c r="A7561" t="str">
        <f>HYPERLINK("https://www.773grp.com/globalSearch/MC74HC377ADWR2G/page-1", "MC74HC377ADWR2G")</f>
        <v>MC74HC377ADWR2G</v>
      </c>
      <c r="B7561" s="3" t="str">
        <f>HYPERLINK("https://www.773grp.com/manufacturer/onsemi?pageNo=820", "Onsemi")</f>
        <v>Onsemi</v>
      </c>
      <c r="C7561" s="6">
        <v>15239</v>
      </c>
      <c r="D7561" s="7">
        <v>0.9</v>
      </c>
      <c r="E7561" t="s">
        <v>31</v>
      </c>
    </row>
    <row r="7562" spans="1:5" x14ac:dyDescent="0.25">
      <c r="A7562" t="str">
        <f>HYPERLINK("https://www.773grp.com/globalSearch/MC74HC390ADG/page-1", "MC74HC390ADG")</f>
        <v>MC74HC390ADG</v>
      </c>
      <c r="B7562" s="3" t="str">
        <f>HYPERLINK("https://www.773grp.com/manufacturer/onsemi?pageNo=821", "Onsemi")</f>
        <v>Onsemi</v>
      </c>
      <c r="C7562" s="6">
        <v>1227</v>
      </c>
      <c r="D7562" s="7">
        <v>0.9</v>
      </c>
      <c r="E7562" t="s">
        <v>22</v>
      </c>
    </row>
    <row r="7563" spans="1:5" x14ac:dyDescent="0.25">
      <c r="A7563" t="str">
        <f>HYPERLINK("https://www.773grp.com/globalSearch/MC74HC390ADR2/page-1", "MC74HC390ADR2")</f>
        <v>MC74HC390ADR2</v>
      </c>
      <c r="B7563" s="3" t="str">
        <f>HYPERLINK("https://www.773grp.com/manufacturer/onsemi?pageNo=822", "Onsemi")</f>
        <v>Onsemi</v>
      </c>
      <c r="C7563" s="6">
        <v>52450</v>
      </c>
      <c r="D7563" s="7">
        <v>0.9</v>
      </c>
      <c r="E7563" t="s">
        <v>22</v>
      </c>
    </row>
    <row r="7564" spans="1:5" x14ac:dyDescent="0.25">
      <c r="A7564" t="str">
        <f>HYPERLINK("https://www.773grp.com/globalSearch/MC74HC390ADR2G/page-1", "MC74HC390ADR2G")</f>
        <v>MC74HC390ADR2G</v>
      </c>
      <c r="B7564" s="3" t="str">
        <f>HYPERLINK("https://www.773grp.com/manufacturer/onsemi?pageNo=823", "Onsemi")</f>
        <v>Onsemi</v>
      </c>
      <c r="C7564" s="6">
        <v>2500</v>
      </c>
      <c r="D7564" s="7">
        <v>0.9</v>
      </c>
      <c r="E7564" t="s">
        <v>22</v>
      </c>
    </row>
    <row r="7565" spans="1:5" x14ac:dyDescent="0.25">
      <c r="A7565" t="str">
        <f>HYPERLINK("https://www.773grp.com/globalSearch/MC74HC390ADTR2G/page-1", "MC74HC390ADTR2G")</f>
        <v>MC74HC390ADTR2G</v>
      </c>
      <c r="B7565" s="3" t="str">
        <f>HYPERLINK("https://www.773grp.com/manufacturer/onsemi?pageNo=824", "Onsemi")</f>
        <v>Onsemi</v>
      </c>
      <c r="C7565" s="6">
        <v>7500</v>
      </c>
      <c r="D7565" s="7">
        <v>0.9</v>
      </c>
      <c r="E7565" t="s">
        <v>22</v>
      </c>
    </row>
    <row r="7566" spans="1:5" x14ac:dyDescent="0.25">
      <c r="A7566" t="str">
        <f>HYPERLINK("https://www.773grp.com/globalSearch/MC74HC393N/page-1", "MC74HC393N")</f>
        <v>MC74HC393N</v>
      </c>
      <c r="B7566" s="3" t="str">
        <f>HYPERLINK("https://www.773grp.com/manufacturer/onsemi?pageNo=825", "Onsemi")</f>
        <v>Onsemi</v>
      </c>
      <c r="C7566" s="6">
        <v>34216</v>
      </c>
      <c r="D7566" s="7">
        <v>0.9</v>
      </c>
      <c r="E7566" t="s">
        <v>22</v>
      </c>
    </row>
    <row r="7567" spans="1:5" x14ac:dyDescent="0.25">
      <c r="A7567" t="str">
        <f>HYPERLINK("https://www.773grp.com/globalSearch/MC74HC4049F/page-1", "MC74HC4049F")</f>
        <v>MC74HC4049F</v>
      </c>
      <c r="B7567" s="3" t="str">
        <f>HYPERLINK("https://www.773grp.com/manufacturer/onsemi?pageNo=826", "Onsemi")</f>
        <v>Onsemi</v>
      </c>
      <c r="C7567" s="6">
        <v>3531</v>
      </c>
      <c r="D7567" s="7">
        <v>0.9</v>
      </c>
    </row>
    <row r="7568" spans="1:5" x14ac:dyDescent="0.25">
      <c r="A7568" t="str">
        <f>HYPERLINK("https://www.773grp.com/globalSearch/MC74HC4049FEL/page-1", "MC74HC4049FEL")</f>
        <v>MC74HC4049FEL</v>
      </c>
      <c r="B7568" s="3" t="str">
        <f>HYPERLINK("https://www.773grp.com/manufacturer/onsemi?pageNo=827", "Onsemi")</f>
        <v>Onsemi</v>
      </c>
      <c r="C7568" s="6">
        <v>8000</v>
      </c>
      <c r="D7568" s="7">
        <v>0.9</v>
      </c>
    </row>
    <row r="7569" spans="1:5" x14ac:dyDescent="0.25">
      <c r="A7569" t="str">
        <f>HYPERLINK("https://www.773grp.com/globalSearch/MC74HC4049FR2/page-1", "MC74HC4049FR2")</f>
        <v>MC74HC4049FR2</v>
      </c>
      <c r="B7569" s="3" t="str">
        <f>HYPERLINK("https://www.773grp.com/manufacturer/onsemi?pageNo=828", "Onsemi")</f>
        <v>Onsemi</v>
      </c>
      <c r="C7569" s="6">
        <v>2000</v>
      </c>
      <c r="D7569" s="7">
        <v>0.9</v>
      </c>
    </row>
    <row r="7570" spans="1:5" x14ac:dyDescent="0.25">
      <c r="A7570" t="str">
        <f>HYPERLINK("https://www.773grp.com/globalSearch/MC74HC4316D/page-1", "MC74HC4316D")</f>
        <v>MC74HC4316D</v>
      </c>
      <c r="B7570" s="3" t="str">
        <f>HYPERLINK("https://www.773grp.com/manufacturer/onsemi?pageNo=829", "Onsemi")</f>
        <v>Onsemi</v>
      </c>
      <c r="C7570" s="6">
        <v>7512</v>
      </c>
      <c r="D7570" s="7">
        <v>0.9</v>
      </c>
      <c r="E7570" t="s">
        <v>46</v>
      </c>
    </row>
    <row r="7571" spans="1:5" x14ac:dyDescent="0.25">
      <c r="A7571" t="str">
        <f>HYPERLINK("https://www.773grp.com/globalSearch/MC74HC4316D/page-1", "MC74HC4316D")</f>
        <v>MC74HC4316D</v>
      </c>
      <c r="B7571" s="3" t="str">
        <f>HYPERLINK("https://www.773grp.com/manufacturer/onsemi?pageNo=830", "Onsemi")</f>
        <v>Onsemi</v>
      </c>
      <c r="C7571" s="6">
        <v>40</v>
      </c>
      <c r="D7571" s="7">
        <v>0.9</v>
      </c>
      <c r="E7571" t="s">
        <v>46</v>
      </c>
    </row>
    <row r="7572" spans="1:5" x14ac:dyDescent="0.25">
      <c r="A7572" t="str">
        <f>HYPERLINK("https://www.773grp.com/globalSearch/MC74HC4851ADWR2/page-1", "MC74HC4851ADWR2")</f>
        <v>MC74HC4851ADWR2</v>
      </c>
      <c r="B7572" s="3" t="str">
        <f>HYPERLINK("https://www.773grp.com/manufacturer/onsemi?pageNo=831", "Onsemi")</f>
        <v>Onsemi</v>
      </c>
      <c r="C7572" s="6">
        <v>2427</v>
      </c>
      <c r="D7572" s="7">
        <v>0.9</v>
      </c>
      <c r="E7572" t="s">
        <v>46</v>
      </c>
    </row>
    <row r="7573" spans="1:5" x14ac:dyDescent="0.25">
      <c r="A7573" t="str">
        <f>HYPERLINK("https://www.773grp.com/globalSearch/MC74HC4851AN/page-1", "MC74HC4851AN")</f>
        <v>MC74HC4851AN</v>
      </c>
      <c r="B7573" s="3" t="str">
        <f>HYPERLINK("https://www.773grp.com/manufacturer/onsemi?pageNo=832", "Onsemi")</f>
        <v>Onsemi</v>
      </c>
      <c r="C7573" s="6">
        <v>3300</v>
      </c>
      <c r="D7573" s="7">
        <v>0.9</v>
      </c>
      <c r="E7573" t="s">
        <v>46</v>
      </c>
    </row>
    <row r="7574" spans="1:5" x14ac:dyDescent="0.25">
      <c r="A7574" t="str">
        <f>HYPERLINK("https://www.773grp.com/globalSearch/MC74HC4852AD/page-1", "MC74HC4852AD")</f>
        <v>MC74HC4852AD</v>
      </c>
      <c r="B7574" s="3" t="str">
        <f>HYPERLINK("https://www.773grp.com/manufacturer/onsemi?pageNo=833", "Onsemi")</f>
        <v>Onsemi</v>
      </c>
      <c r="C7574" s="6">
        <v>15456</v>
      </c>
      <c r="D7574" s="7">
        <v>0.9</v>
      </c>
      <c r="E7574" t="s">
        <v>46</v>
      </c>
    </row>
    <row r="7575" spans="1:5" x14ac:dyDescent="0.25">
      <c r="A7575" t="str">
        <f>HYPERLINK("https://www.773grp.com/globalSearch/MC74HC4852AN/page-1", "MC74HC4852AN")</f>
        <v>MC74HC4852AN</v>
      </c>
      <c r="B7575" s="3" t="str">
        <f>HYPERLINK("https://www.773grp.com/manufacturer/onsemi?pageNo=834", "Onsemi")</f>
        <v>Onsemi</v>
      </c>
      <c r="C7575" s="6">
        <v>1375</v>
      </c>
      <c r="D7575" s="7">
        <v>0.9</v>
      </c>
      <c r="E7575" t="s">
        <v>46</v>
      </c>
    </row>
    <row r="7576" spans="1:5" x14ac:dyDescent="0.25">
      <c r="A7576" t="str">
        <f>HYPERLINK("https://www.773grp.com/globalSearch/MC74HCT138ANG/page-1", "MC74HCT138ANG")</f>
        <v>MC74HCT138ANG</v>
      </c>
      <c r="B7576" s="3" t="str">
        <f>HYPERLINK("https://www.773grp.com/manufacturer/onsemi?pageNo=835", "Onsemi")</f>
        <v>Onsemi</v>
      </c>
      <c r="C7576" s="6">
        <v>12567</v>
      </c>
      <c r="D7576" s="7">
        <v>0.9</v>
      </c>
      <c r="E7576" t="s">
        <v>32</v>
      </c>
    </row>
    <row r="7577" spans="1:5" x14ac:dyDescent="0.25">
      <c r="A7577" t="str">
        <f>HYPERLINK("https://www.773grp.com/globalSearch/MC74HCT163AN/page-1", "MC74HCT163AN")</f>
        <v>MC74HCT163AN</v>
      </c>
      <c r="B7577" s="3" t="str">
        <f>HYPERLINK("https://www.773grp.com/manufacturer/onsemi?pageNo=836", "Onsemi")</f>
        <v>Onsemi</v>
      </c>
      <c r="C7577" s="6">
        <v>325</v>
      </c>
      <c r="D7577" s="7">
        <v>0.9</v>
      </c>
      <c r="E7577" t="s">
        <v>22</v>
      </c>
    </row>
    <row r="7578" spans="1:5" x14ac:dyDescent="0.25">
      <c r="A7578" t="str">
        <f>HYPERLINK("https://www.773grp.com/globalSearch/MC74HCU04AFELG/page-1", "MC74HCU04AFELG")</f>
        <v>MC74HCU04AFELG</v>
      </c>
      <c r="B7578" s="3" t="str">
        <f>HYPERLINK("https://www.773grp.com/manufacturer/onsemi?pageNo=837", "Onsemi")</f>
        <v>Onsemi</v>
      </c>
      <c r="C7578" s="6">
        <v>11686</v>
      </c>
      <c r="D7578" s="7">
        <v>0.9</v>
      </c>
      <c r="E7578" t="s">
        <v>27</v>
      </c>
    </row>
    <row r="7579" spans="1:5" x14ac:dyDescent="0.25">
      <c r="A7579" t="str">
        <f>HYPERLINK("https://www.773grp.com/globalSearch/MC74VHC4066DR2G/page-1", "MC74VHC4066DR2G")</f>
        <v>MC74VHC4066DR2G</v>
      </c>
      <c r="B7579" s="3" t="str">
        <f>HYPERLINK("https://www.773grp.com/manufacturer/onsemi?pageNo=838", "Onsemi")</f>
        <v>Onsemi</v>
      </c>
      <c r="C7579" s="6">
        <v>1381</v>
      </c>
      <c r="D7579" s="7">
        <v>0.9</v>
      </c>
    </row>
    <row r="7580" spans="1:5" x14ac:dyDescent="0.25">
      <c r="A7580" t="str">
        <f>HYPERLINK("https://www.773grp.com/globalSearch/MC74VHC4066DTR2G/page-1", "MC74VHC4066DTR2G")</f>
        <v>MC74VHC4066DTR2G</v>
      </c>
      <c r="B7580" s="3" t="str">
        <f>HYPERLINK("https://www.773grp.com/manufacturer/onsemi?pageNo=839", "Onsemi")</f>
        <v>Onsemi</v>
      </c>
      <c r="C7580" s="6">
        <v>4880</v>
      </c>
      <c r="D7580" s="7">
        <v>0.9</v>
      </c>
      <c r="E7580" t="s">
        <v>46</v>
      </c>
    </row>
    <row r="7581" spans="1:5" x14ac:dyDescent="0.25">
      <c r="A7581" t="str">
        <f>HYPERLINK("https://www.773grp.com/globalSearch/MC74VHCT540ADW/page-1", "MC74VHCT540ADW")</f>
        <v>MC74VHCT540ADW</v>
      </c>
      <c r="B7581" s="3" t="str">
        <f>HYPERLINK("https://www.773grp.com/manufacturer/onsemi?pageNo=840", "Onsemi")</f>
        <v>Onsemi</v>
      </c>
      <c r="C7581" s="6">
        <v>2003</v>
      </c>
      <c r="D7581" s="7">
        <v>0.9</v>
      </c>
      <c r="E7581" t="s">
        <v>11</v>
      </c>
    </row>
    <row r="7582" spans="1:5" x14ac:dyDescent="0.25">
      <c r="A7582" t="str">
        <f>HYPERLINK("https://www.773grp.com/globalSearch/MC7805ACD2TR4/page-1", "MC7805ACD2TR4")</f>
        <v>MC7805ACD2TR4</v>
      </c>
      <c r="B7582" s="3" t="str">
        <f>HYPERLINK("https://www.773grp.com/manufacturer/onsemi?pageNo=841", "Onsemi")</f>
        <v>Onsemi</v>
      </c>
      <c r="C7582" s="6">
        <v>586</v>
      </c>
      <c r="D7582" s="7">
        <v>0.9</v>
      </c>
      <c r="E7582" t="s">
        <v>24</v>
      </c>
    </row>
    <row r="7583" spans="1:5" x14ac:dyDescent="0.25">
      <c r="A7583" t="str">
        <f>HYPERLINK("https://www.773grp.com/globalSearch/MC7806BD2T/page-1", "MC7806BD2T")</f>
        <v>MC7806BD2T</v>
      </c>
      <c r="B7583" s="3" t="str">
        <f>HYPERLINK("https://www.773grp.com/manufacturer/onsemi?pageNo=842", "Onsemi")</f>
        <v>Onsemi</v>
      </c>
      <c r="C7583" s="6">
        <v>500</v>
      </c>
      <c r="D7583" s="7">
        <v>0.9</v>
      </c>
      <c r="E7583" t="s">
        <v>24</v>
      </c>
    </row>
    <row r="7584" spans="1:5" x14ac:dyDescent="0.25">
      <c r="A7584" t="str">
        <f>HYPERLINK("https://www.773grp.com/globalSearch/MC7808BD2TR4/page-1", "MC7808BD2TR4")</f>
        <v>MC7808BD2TR4</v>
      </c>
      <c r="B7584" s="3" t="str">
        <f>HYPERLINK("https://www.773grp.com/manufacturer/onsemi?pageNo=843", "Onsemi")</f>
        <v>Onsemi</v>
      </c>
      <c r="C7584" s="6">
        <v>7861</v>
      </c>
      <c r="D7584" s="7">
        <v>0.9</v>
      </c>
      <c r="E7584" t="s">
        <v>24</v>
      </c>
    </row>
    <row r="7585" spans="1:5" x14ac:dyDescent="0.25">
      <c r="A7585" t="str">
        <f>HYPERLINK("https://www.773grp.com/globalSearch/MC7812ACD2TR4/page-1", "MC7812ACD2TR4")</f>
        <v>MC7812ACD2TR4</v>
      </c>
      <c r="B7585" s="3" t="str">
        <f>HYPERLINK("https://www.773grp.com/manufacturer/onsemi?pageNo=844", "Onsemi")</f>
        <v>Onsemi</v>
      </c>
      <c r="C7585" s="6">
        <v>910</v>
      </c>
      <c r="D7585" s="7">
        <v>0.9</v>
      </c>
      <c r="E7585" t="s">
        <v>24</v>
      </c>
    </row>
    <row r="7586" spans="1:5" x14ac:dyDescent="0.25">
      <c r="A7586" t="str">
        <f>HYPERLINK("https://www.773grp.com/globalSearch/MC7815ACD2T/page-1", "MC7815ACD2T")</f>
        <v>MC7815ACD2T</v>
      </c>
      <c r="B7586" s="3" t="str">
        <f>HYPERLINK("https://www.773grp.com/manufacturer/onsemi?pageNo=845", "Onsemi")</f>
        <v>Onsemi</v>
      </c>
      <c r="C7586" s="6">
        <v>1214</v>
      </c>
      <c r="D7586" s="7">
        <v>0.9</v>
      </c>
      <c r="E7586" t="s">
        <v>24</v>
      </c>
    </row>
    <row r="7587" spans="1:5" x14ac:dyDescent="0.25">
      <c r="A7587" t="str">
        <f>HYPERLINK("https://www.773grp.com/globalSearch/MC7824BD2T/page-1", "MC7824BD2T")</f>
        <v>MC7824BD2T</v>
      </c>
      <c r="B7587" s="3" t="str">
        <f>HYPERLINK("https://www.773grp.com/manufacturer/onsemi?pageNo=846", "Onsemi")</f>
        <v>Onsemi</v>
      </c>
      <c r="C7587" s="6">
        <v>900</v>
      </c>
      <c r="D7587" s="7">
        <v>0.9</v>
      </c>
      <c r="E7587" t="s">
        <v>24</v>
      </c>
    </row>
    <row r="7588" spans="1:5" x14ac:dyDescent="0.25">
      <c r="A7588" t="str">
        <f>HYPERLINK("https://www.773grp.com/globalSearch/MC78L05ABPG/page-1", "MC78L05ABPG")</f>
        <v>MC78L05ABPG</v>
      </c>
      <c r="B7588" s="3" t="str">
        <f>HYPERLINK("https://www.773grp.com/manufacturer/onsemi?pageNo=847", "Onsemi")</f>
        <v>Onsemi</v>
      </c>
      <c r="C7588" s="6">
        <v>94004</v>
      </c>
      <c r="D7588" s="7">
        <v>0.9</v>
      </c>
      <c r="E7588" t="s">
        <v>24</v>
      </c>
    </row>
    <row r="7589" spans="1:5" x14ac:dyDescent="0.25">
      <c r="A7589" t="str">
        <f>HYPERLINK("https://www.773grp.com/globalSearch/MC78L05ABPRAG/page-1", "MC78L05ABPRAG")</f>
        <v>MC78L05ABPRAG</v>
      </c>
      <c r="B7589" s="3" t="str">
        <f>HYPERLINK("https://www.773grp.com/manufacturer/onsemi?pageNo=848", "Onsemi")</f>
        <v>Onsemi</v>
      </c>
      <c r="C7589" s="6">
        <v>223891</v>
      </c>
      <c r="D7589" s="7">
        <v>0.9</v>
      </c>
      <c r="E7589" t="s">
        <v>24</v>
      </c>
    </row>
    <row r="7590" spans="1:5" x14ac:dyDescent="0.25">
      <c r="A7590" t="str">
        <f>HYPERLINK("https://www.773grp.com/globalSearch/MC78L05ABPREG/page-1", "MC78L05ABPREG")</f>
        <v>MC78L05ABPREG</v>
      </c>
      <c r="B7590" s="3" t="str">
        <f>HYPERLINK("https://www.773grp.com/manufacturer/onsemi?pageNo=849", "Onsemi")</f>
        <v>Onsemi</v>
      </c>
      <c r="C7590" s="6">
        <v>4388</v>
      </c>
      <c r="D7590" s="7">
        <v>0.9</v>
      </c>
      <c r="E7590" t="s">
        <v>24</v>
      </c>
    </row>
    <row r="7591" spans="1:5" x14ac:dyDescent="0.25">
      <c r="A7591" t="str">
        <f>HYPERLINK("https://www.773grp.com/globalSearch/MC78L05ABPRMG/page-1", "MC78L05ABPRMG")</f>
        <v>MC78L05ABPRMG</v>
      </c>
      <c r="B7591" s="3" t="str">
        <f>HYPERLINK("https://www.773grp.com/manufacturer/onsemi?pageNo=850", "Onsemi")</f>
        <v>Onsemi</v>
      </c>
      <c r="C7591" s="6">
        <v>24000</v>
      </c>
      <c r="D7591" s="7">
        <v>0.9</v>
      </c>
    </row>
    <row r="7592" spans="1:5" x14ac:dyDescent="0.25">
      <c r="A7592" t="str">
        <f>HYPERLINK("https://www.773grp.com/globalSearch/MC78L05ACDG/page-1", "MC78L05ACDG")</f>
        <v>MC78L05ACDG</v>
      </c>
      <c r="B7592" s="3" t="str">
        <f>HYPERLINK("https://www.773grp.com/manufacturer/onsemi?pageNo=851", "Onsemi")</f>
        <v>Onsemi</v>
      </c>
      <c r="C7592" s="6">
        <v>9305</v>
      </c>
      <c r="D7592" s="7">
        <v>0.9</v>
      </c>
      <c r="E7592" t="s">
        <v>24</v>
      </c>
    </row>
    <row r="7593" spans="1:5" x14ac:dyDescent="0.25">
      <c r="A7593" t="str">
        <f>HYPERLINK("https://www.773grp.com/globalSearch/MC78L05ACDR2G/page-1", "MC78L05ACDR2G")</f>
        <v>MC78L05ACDR2G</v>
      </c>
      <c r="B7593" s="3" t="str">
        <f>HYPERLINK("https://www.773grp.com/manufacturer/onsemi?pageNo=852", "Onsemi")</f>
        <v>Onsemi</v>
      </c>
      <c r="C7593" s="6">
        <v>293581</v>
      </c>
      <c r="D7593" s="7">
        <v>0.9</v>
      </c>
      <c r="E7593" t="s">
        <v>24</v>
      </c>
    </row>
    <row r="7594" spans="1:5" x14ac:dyDescent="0.25">
      <c r="A7594" t="str">
        <f>HYPERLINK("https://www.773grp.com/globalSearch/MC78L05ACDR2GH/page-1", "MC78L05ACDR2GH")</f>
        <v>MC78L05ACDR2GH</v>
      </c>
      <c r="B7594" s="3" t="str">
        <f>HYPERLINK("https://www.773grp.com/manufacturer/onsemi?pageNo=853", "Onsemi")</f>
        <v>Onsemi</v>
      </c>
      <c r="C7594" s="6">
        <v>5000</v>
      </c>
      <c r="D7594" s="7">
        <v>0.9</v>
      </c>
    </row>
    <row r="7595" spans="1:5" x14ac:dyDescent="0.25">
      <c r="A7595" t="str">
        <f>HYPERLINK("https://www.773grp.com/globalSearch/MC78L08ABPG/page-1", "MC78L08ABPG")</f>
        <v>MC78L08ABPG</v>
      </c>
      <c r="B7595" s="3" t="str">
        <f>HYPERLINK("https://www.773grp.com/manufacturer/onsemi?pageNo=854", "Onsemi")</f>
        <v>Onsemi</v>
      </c>
      <c r="C7595" s="6">
        <v>4000</v>
      </c>
      <c r="D7595" s="7">
        <v>0.9</v>
      </c>
    </row>
    <row r="7596" spans="1:5" x14ac:dyDescent="0.25">
      <c r="A7596" t="str">
        <f>HYPERLINK("https://www.773grp.com/globalSearch/MC78L08ABPRAG/page-1", "MC78L08ABPRAG")</f>
        <v>MC78L08ABPRAG</v>
      </c>
      <c r="B7596" s="3" t="str">
        <f>HYPERLINK("https://www.773grp.com/manufacturer/onsemi?pageNo=855", "Onsemi")</f>
        <v>Onsemi</v>
      </c>
      <c r="C7596" s="6">
        <v>44000</v>
      </c>
      <c r="D7596" s="7">
        <v>0.9</v>
      </c>
    </row>
    <row r="7597" spans="1:5" x14ac:dyDescent="0.25">
      <c r="A7597" t="str">
        <f>HYPERLINK("https://www.773grp.com/globalSearch/MC78L08ACDG/page-1", "MC78L08ACDG")</f>
        <v>MC78L08ACDG</v>
      </c>
      <c r="B7597" s="3" t="str">
        <f>HYPERLINK("https://www.773grp.com/manufacturer/onsemi?pageNo=856", "Onsemi")</f>
        <v>Onsemi</v>
      </c>
      <c r="C7597" s="6">
        <v>10094</v>
      </c>
      <c r="D7597" s="7">
        <v>0.9</v>
      </c>
      <c r="E7597" t="s">
        <v>24</v>
      </c>
    </row>
    <row r="7598" spans="1:5" x14ac:dyDescent="0.25">
      <c r="A7598" t="str">
        <f>HYPERLINK("https://www.773grp.com/globalSearch/MC78L08ACDR2G/page-1", "MC78L08ACDR2G")</f>
        <v>MC78L08ACDR2G</v>
      </c>
      <c r="B7598" s="3" t="str">
        <f>HYPERLINK("https://www.773grp.com/manufacturer/onsemi?pageNo=857", "Onsemi")</f>
        <v>Onsemi</v>
      </c>
      <c r="C7598" s="6">
        <v>257400</v>
      </c>
      <c r="D7598" s="7">
        <v>0.9</v>
      </c>
      <c r="E7598" t="s">
        <v>24</v>
      </c>
    </row>
    <row r="7599" spans="1:5" x14ac:dyDescent="0.25">
      <c r="A7599" t="str">
        <f>HYPERLINK("https://www.773grp.com/globalSearch/MC78L09ABPRAG/page-1", "MC78L09ABPRAG")</f>
        <v>MC78L09ABPRAG</v>
      </c>
      <c r="B7599" s="3" t="str">
        <f>HYPERLINK("https://www.773grp.com/manufacturer/onsemi?pageNo=858", "Onsemi")</f>
        <v>Onsemi</v>
      </c>
      <c r="C7599" s="6">
        <v>38863</v>
      </c>
      <c r="D7599" s="7">
        <v>0.9</v>
      </c>
      <c r="E7599" t="s">
        <v>24</v>
      </c>
    </row>
    <row r="7600" spans="1:5" x14ac:dyDescent="0.25">
      <c r="A7600" t="str">
        <f>HYPERLINK("https://www.773grp.com/globalSearch/MC78L09ABPRPG/page-1", "MC78L09ABPRPG")</f>
        <v>MC78L09ABPRPG</v>
      </c>
      <c r="B7600" s="3" t="str">
        <f>HYPERLINK("https://www.773grp.com/manufacturer/onsemi?pageNo=859", "Onsemi")</f>
        <v>Onsemi</v>
      </c>
      <c r="C7600" s="6">
        <v>4000</v>
      </c>
      <c r="D7600" s="7">
        <v>0.9</v>
      </c>
    </row>
    <row r="7601" spans="1:5" x14ac:dyDescent="0.25">
      <c r="A7601" t="str">
        <f>HYPERLINK("https://www.773grp.com/globalSearch/MC78L09ACD/page-1", "MC78L09ACD")</f>
        <v>MC78L09ACD</v>
      </c>
      <c r="B7601" s="3" t="str">
        <f>HYPERLINK("https://www.773grp.com/manufacturer/onsemi?pageNo=860", "Onsemi")</f>
        <v>Onsemi</v>
      </c>
      <c r="C7601" s="6">
        <v>3626</v>
      </c>
      <c r="D7601" s="7">
        <v>0.9</v>
      </c>
      <c r="E7601" t="s">
        <v>24</v>
      </c>
    </row>
    <row r="7602" spans="1:5" x14ac:dyDescent="0.25">
      <c r="A7602" t="str">
        <f>HYPERLINK("https://www.773grp.com/globalSearch/MC78L09ACDG/page-1", "MC78L09ACDG")</f>
        <v>MC78L09ACDG</v>
      </c>
      <c r="B7602" s="3" t="str">
        <f>HYPERLINK("https://www.773grp.com/manufacturer/onsemi?pageNo=861", "Onsemi")</f>
        <v>Onsemi</v>
      </c>
      <c r="C7602" s="6">
        <v>3502</v>
      </c>
      <c r="D7602" s="7">
        <v>0.9</v>
      </c>
      <c r="E7602" t="s">
        <v>24</v>
      </c>
    </row>
    <row r="7603" spans="1:5" x14ac:dyDescent="0.25">
      <c r="A7603" t="str">
        <f>HYPERLINK("https://www.773grp.com/globalSearch/MC78L09ACDR2G/page-1", "MC78L09ACDR2G")</f>
        <v>MC78L09ACDR2G</v>
      </c>
      <c r="B7603" s="3" t="str">
        <f>HYPERLINK("https://www.773grp.com/manufacturer/onsemi?pageNo=862", "Onsemi")</f>
        <v>Onsemi</v>
      </c>
      <c r="C7603" s="6">
        <v>160676</v>
      </c>
      <c r="D7603" s="7">
        <v>0.9</v>
      </c>
      <c r="E7603" t="s">
        <v>24</v>
      </c>
    </row>
    <row r="7604" spans="1:5" x14ac:dyDescent="0.25">
      <c r="A7604" t="str">
        <f>HYPERLINK("https://www.773grp.com/globalSearch/MC78L12ABPG/page-1", "MC78L12ABPG")</f>
        <v>MC78L12ABPG</v>
      </c>
      <c r="B7604" s="3" t="str">
        <f>HYPERLINK("https://www.773grp.com/manufacturer/onsemi?pageNo=863", "Onsemi")</f>
        <v>Onsemi</v>
      </c>
      <c r="C7604" s="6">
        <v>70819</v>
      </c>
      <c r="D7604" s="7">
        <v>0.9</v>
      </c>
      <c r="E7604" t="s">
        <v>24</v>
      </c>
    </row>
    <row r="7605" spans="1:5" x14ac:dyDescent="0.25">
      <c r="A7605" t="str">
        <f>HYPERLINK("https://www.773grp.com/globalSearch/MC78L12ABPRPG/page-1", "MC78L12ABPRPG")</f>
        <v>MC78L12ABPRPG</v>
      </c>
      <c r="B7605" s="3" t="str">
        <f>HYPERLINK("https://www.773grp.com/manufacturer/onsemi?pageNo=864", "Onsemi")</f>
        <v>Onsemi</v>
      </c>
      <c r="C7605" s="6">
        <v>16000</v>
      </c>
      <c r="D7605" s="7">
        <v>0.9</v>
      </c>
      <c r="E7605" t="s">
        <v>24</v>
      </c>
    </row>
    <row r="7606" spans="1:5" x14ac:dyDescent="0.25">
      <c r="A7606" t="str">
        <f>HYPERLINK("https://www.773grp.com/globalSearch/MC78L12ACDC/page-1", "MC78L12ACDC")</f>
        <v>MC78L12ACDC</v>
      </c>
      <c r="B7606" s="3" t="str">
        <f>HYPERLINK("https://www.773grp.com/manufacturer/onsemi?pageNo=865", "Onsemi")</f>
        <v>Onsemi</v>
      </c>
      <c r="C7606" s="6">
        <v>1</v>
      </c>
      <c r="D7606" s="7">
        <v>0.9</v>
      </c>
    </row>
    <row r="7607" spans="1:5" x14ac:dyDescent="0.25">
      <c r="A7607" t="str">
        <f>HYPERLINK("https://www.773grp.com/globalSearch/MC78L12ACDG/page-1", "MC78L12ACDG")</f>
        <v>MC78L12ACDG</v>
      </c>
      <c r="B7607" s="3" t="str">
        <f>HYPERLINK("https://www.773grp.com/manufacturer/onsemi?pageNo=866", "Onsemi")</f>
        <v>Onsemi</v>
      </c>
      <c r="C7607" s="6">
        <v>3816</v>
      </c>
      <c r="D7607" s="7">
        <v>0.9</v>
      </c>
      <c r="E7607" t="s">
        <v>24</v>
      </c>
    </row>
    <row r="7608" spans="1:5" x14ac:dyDescent="0.25">
      <c r="A7608" t="str">
        <f>HYPERLINK("https://www.773grp.com/globalSearch/MC78L12ACDR2G/page-1", "MC78L12ACDR2G")</f>
        <v>MC78L12ACDR2G</v>
      </c>
      <c r="B7608" s="3" t="str">
        <f>HYPERLINK("https://www.773grp.com/manufacturer/onsemi?pageNo=867", "Onsemi")</f>
        <v>Onsemi</v>
      </c>
      <c r="C7608" s="6">
        <v>7211</v>
      </c>
      <c r="D7608" s="7">
        <v>0.9</v>
      </c>
      <c r="E7608" t="s">
        <v>24</v>
      </c>
    </row>
    <row r="7609" spans="1:5" x14ac:dyDescent="0.25">
      <c r="A7609" t="str">
        <f>HYPERLINK("https://www.773grp.com/globalSearch/MC78L15ABPG/page-1", "MC78L15ABPG")</f>
        <v>MC78L15ABPG</v>
      </c>
      <c r="B7609" s="3" t="str">
        <f>HYPERLINK("https://www.773grp.com/manufacturer/onsemi?pageNo=868", "Onsemi")</f>
        <v>Onsemi</v>
      </c>
      <c r="C7609" s="6">
        <v>43473</v>
      </c>
      <c r="D7609" s="7">
        <v>0.9</v>
      </c>
      <c r="E7609" t="s">
        <v>24</v>
      </c>
    </row>
    <row r="7610" spans="1:5" x14ac:dyDescent="0.25">
      <c r="A7610" t="str">
        <f>HYPERLINK("https://www.773grp.com/globalSearch/MC78L15ABPRAG/page-1", "MC78L15ABPRAG")</f>
        <v>MC78L15ABPRAG</v>
      </c>
      <c r="B7610" s="3" t="str">
        <f>HYPERLINK("https://www.773grp.com/manufacturer/onsemi?pageNo=869", "Onsemi")</f>
        <v>Onsemi</v>
      </c>
      <c r="C7610" s="6">
        <v>138000</v>
      </c>
      <c r="D7610" s="7">
        <v>0.9</v>
      </c>
      <c r="E7610" t="s">
        <v>24</v>
      </c>
    </row>
    <row r="7611" spans="1:5" x14ac:dyDescent="0.25">
      <c r="A7611" t="str">
        <f>HYPERLINK("https://www.773grp.com/globalSearch/MC78L15ABPRPG/page-1", "MC78L15ABPRPG")</f>
        <v>MC78L15ABPRPG</v>
      </c>
      <c r="B7611" s="3" t="str">
        <f>HYPERLINK("https://www.773grp.com/manufacturer/onsemi?pageNo=870", "Onsemi")</f>
        <v>Onsemi</v>
      </c>
      <c r="C7611" s="6">
        <v>5071</v>
      </c>
      <c r="D7611" s="7">
        <v>0.9</v>
      </c>
      <c r="E7611" t="s">
        <v>24</v>
      </c>
    </row>
    <row r="7612" spans="1:5" x14ac:dyDescent="0.25">
      <c r="A7612" t="str">
        <f>HYPERLINK("https://www.773grp.com/globalSearch/MC78L15ACDG/page-1", "MC78L15ACDG")</f>
        <v>MC78L15ACDG</v>
      </c>
      <c r="B7612" s="3" t="str">
        <f>HYPERLINK("https://www.773grp.com/manufacturer/onsemi?pageNo=871", "Onsemi")</f>
        <v>Onsemi</v>
      </c>
      <c r="C7612" s="6">
        <v>15990</v>
      </c>
      <c r="D7612" s="7">
        <v>0.9</v>
      </c>
    </row>
    <row r="7613" spans="1:5" x14ac:dyDescent="0.25">
      <c r="A7613" t="str">
        <f>HYPERLINK("https://www.773grp.com/globalSearch/MC78L15ACDR2G/page-1", "MC78L15ACDR2G")</f>
        <v>MC78L15ACDR2G</v>
      </c>
      <c r="B7613" s="3" t="str">
        <f>HYPERLINK("https://www.773grp.com/manufacturer/onsemi?pageNo=872", "Onsemi")</f>
        <v>Onsemi</v>
      </c>
      <c r="C7613" s="6">
        <v>354470</v>
      </c>
      <c r="D7613" s="7">
        <v>0.9</v>
      </c>
      <c r="E7613" t="s">
        <v>24</v>
      </c>
    </row>
    <row r="7614" spans="1:5" x14ac:dyDescent="0.25">
      <c r="A7614" t="str">
        <f>HYPERLINK("https://www.773grp.com/globalSearch/MC78L18ABPG/page-1", "MC78L18ABPG")</f>
        <v>MC78L18ABPG</v>
      </c>
      <c r="B7614" s="3" t="str">
        <f>HYPERLINK("https://www.773grp.com/manufacturer/onsemi?pageNo=873", "Onsemi")</f>
        <v>Onsemi</v>
      </c>
      <c r="C7614" s="6">
        <v>4000</v>
      </c>
      <c r="D7614" s="7">
        <v>0.9</v>
      </c>
    </row>
    <row r="7615" spans="1:5" x14ac:dyDescent="0.25">
      <c r="A7615" t="str">
        <f>HYPERLINK("https://www.773grp.com/globalSearch/MC78L24ABPG/page-1", "MC78L24ABPG")</f>
        <v>MC78L24ABPG</v>
      </c>
      <c r="B7615" s="3" t="str">
        <f>HYPERLINK("https://www.773grp.com/manufacturer/onsemi?pageNo=874", "Onsemi")</f>
        <v>Onsemi</v>
      </c>
      <c r="C7615" s="6">
        <v>10000</v>
      </c>
      <c r="D7615" s="7">
        <v>0.9</v>
      </c>
    </row>
    <row r="7616" spans="1:5" x14ac:dyDescent="0.25">
      <c r="A7616" t="str">
        <f>HYPERLINK("https://www.773grp.com/globalSearch/MC7905ACD2T/page-1", "MC7905ACD2T")</f>
        <v>MC7905ACD2T</v>
      </c>
      <c r="B7616" s="3" t="str">
        <f>HYPERLINK("https://www.773grp.com/manufacturer/onsemi?pageNo=875", "Onsemi")</f>
        <v>Onsemi</v>
      </c>
      <c r="C7616" s="6">
        <v>1200</v>
      </c>
      <c r="D7616" s="7">
        <v>0.9</v>
      </c>
      <c r="E7616" t="s">
        <v>53</v>
      </c>
    </row>
    <row r="7617" spans="1:5" x14ac:dyDescent="0.25">
      <c r="A7617" t="str">
        <f>HYPERLINK("https://www.773grp.com/globalSearch/MC7912BD2T/page-1", "MC7912BD2T")</f>
        <v>MC7912BD2T</v>
      </c>
      <c r="B7617" s="3" t="str">
        <f>HYPERLINK("https://www.773grp.com/manufacturer/onsemi?pageNo=876", "Onsemi")</f>
        <v>Onsemi</v>
      </c>
      <c r="C7617" s="6">
        <v>225</v>
      </c>
      <c r="D7617" s="7">
        <v>0.9</v>
      </c>
      <c r="E7617" t="s">
        <v>53</v>
      </c>
    </row>
    <row r="7618" spans="1:5" x14ac:dyDescent="0.25">
      <c r="A7618" t="str">
        <f>HYPERLINK("https://www.773grp.com/globalSearch/MC79L05ABPG/page-1", "MC79L05ABPG")</f>
        <v>MC79L05ABPG</v>
      </c>
      <c r="B7618" s="3" t="str">
        <f>HYPERLINK("https://www.773grp.com/manufacturer/onsemi?pageNo=877", "Onsemi")</f>
        <v>Onsemi</v>
      </c>
      <c r="C7618" s="6">
        <v>6000</v>
      </c>
      <c r="D7618" s="7">
        <v>0.9</v>
      </c>
      <c r="E7618" t="s">
        <v>53</v>
      </c>
    </row>
    <row r="7619" spans="1:5" x14ac:dyDescent="0.25">
      <c r="A7619" t="str">
        <f>HYPERLINK("https://www.773grp.com/globalSearch/MC79L05ABPRAG/page-1", "MC79L05ABPRAG")</f>
        <v>MC79L05ABPRAG</v>
      </c>
      <c r="B7619" s="3" t="str">
        <f>HYPERLINK("https://www.773grp.com/manufacturer/onsemi?pageNo=878", "Onsemi")</f>
        <v>Onsemi</v>
      </c>
      <c r="C7619" s="6">
        <v>946</v>
      </c>
      <c r="D7619" s="7">
        <v>0.9</v>
      </c>
      <c r="E7619" t="s">
        <v>53</v>
      </c>
    </row>
    <row r="7620" spans="1:5" x14ac:dyDescent="0.25">
      <c r="A7620" t="str">
        <f>HYPERLINK("https://www.773grp.com/globalSearch/MC79L05ACDG/page-1", "MC79L05ACDG")</f>
        <v>MC79L05ACDG</v>
      </c>
      <c r="B7620" s="3" t="str">
        <f>HYPERLINK("https://www.773grp.com/manufacturer/onsemi?pageNo=879", "Onsemi")</f>
        <v>Onsemi</v>
      </c>
      <c r="C7620" s="6">
        <v>20170</v>
      </c>
      <c r="D7620" s="7">
        <v>0.9</v>
      </c>
      <c r="E7620" t="s">
        <v>53</v>
      </c>
    </row>
    <row r="7621" spans="1:5" x14ac:dyDescent="0.25">
      <c r="A7621" t="str">
        <f>HYPERLINK("https://www.773grp.com/globalSearch/MC79L05ACDR2G/page-1", "MC79L05ACDR2G")</f>
        <v>MC79L05ACDR2G</v>
      </c>
      <c r="B7621" s="3" t="str">
        <f>HYPERLINK("https://www.773grp.com/manufacturer/onsemi?pageNo=880", "Onsemi")</f>
        <v>Onsemi</v>
      </c>
      <c r="C7621" s="6">
        <v>180395</v>
      </c>
      <c r="D7621" s="7">
        <v>0.9</v>
      </c>
      <c r="E7621" t="s">
        <v>53</v>
      </c>
    </row>
    <row r="7622" spans="1:5" x14ac:dyDescent="0.25">
      <c r="A7622" t="str">
        <f>HYPERLINK("https://www.773grp.com/globalSearch/MC79L12ABPG/page-1", "MC79L12ABPG")</f>
        <v>MC79L12ABPG</v>
      </c>
      <c r="B7622" s="3" t="str">
        <f>HYPERLINK("https://www.773grp.com/manufacturer/onsemi?pageNo=881", "Onsemi")</f>
        <v>Onsemi</v>
      </c>
      <c r="C7622" s="6">
        <v>19845</v>
      </c>
      <c r="D7622" s="7">
        <v>0.9</v>
      </c>
      <c r="E7622" t="s">
        <v>53</v>
      </c>
    </row>
    <row r="7623" spans="1:5" x14ac:dyDescent="0.25">
      <c r="A7623" t="str">
        <f>HYPERLINK("https://www.773grp.com/globalSearch/MC79L12ACDG/page-1", "MC79L12ACDG")</f>
        <v>MC79L12ACDG</v>
      </c>
      <c r="B7623" s="3" t="str">
        <f>HYPERLINK("https://www.773grp.com/manufacturer/onsemi?pageNo=882", "Onsemi")</f>
        <v>Onsemi</v>
      </c>
      <c r="C7623" s="6">
        <v>21796</v>
      </c>
      <c r="D7623" s="7">
        <v>0.9</v>
      </c>
      <c r="E7623" t="s">
        <v>53</v>
      </c>
    </row>
    <row r="7624" spans="1:5" x14ac:dyDescent="0.25">
      <c r="A7624" t="str">
        <f>HYPERLINK("https://www.773grp.com/globalSearch/MC79L12ACDR2G/page-1", "MC79L12ACDR2G")</f>
        <v>MC79L12ACDR2G</v>
      </c>
      <c r="B7624" s="3" t="str">
        <f>HYPERLINK("https://www.773grp.com/manufacturer/onsemi?pageNo=883", "Onsemi")</f>
        <v>Onsemi</v>
      </c>
      <c r="C7624" s="6">
        <v>5000</v>
      </c>
      <c r="D7624" s="7">
        <v>0.9</v>
      </c>
    </row>
    <row r="7625" spans="1:5" x14ac:dyDescent="0.25">
      <c r="A7625" t="str">
        <f>HYPERLINK("https://www.773grp.com/globalSearch/MC79L15ABPG/page-1", "MC79L15ABPG")</f>
        <v>MC79L15ABPG</v>
      </c>
      <c r="B7625" s="3" t="str">
        <f>HYPERLINK("https://www.773grp.com/manufacturer/onsemi?pageNo=884", "Onsemi")</f>
        <v>Onsemi</v>
      </c>
      <c r="C7625" s="6">
        <v>28000</v>
      </c>
      <c r="D7625" s="7">
        <v>0.9</v>
      </c>
    </row>
    <row r="7626" spans="1:5" x14ac:dyDescent="0.25">
      <c r="A7626" t="str">
        <f>HYPERLINK("https://www.773grp.com/globalSearch/MC79L15ABPRPG/page-1", "MC79L15ABPRPG")</f>
        <v>MC79L15ABPRPG</v>
      </c>
      <c r="B7626" s="3" t="str">
        <f>HYPERLINK("https://www.773grp.com/manufacturer/onsemi?pageNo=885", "Onsemi")</f>
        <v>Onsemi</v>
      </c>
      <c r="C7626" s="6">
        <v>171</v>
      </c>
      <c r="D7626" s="7">
        <v>0.9</v>
      </c>
      <c r="E7626" t="s">
        <v>53</v>
      </c>
    </row>
    <row r="7627" spans="1:5" x14ac:dyDescent="0.25">
      <c r="A7627" t="str">
        <f>HYPERLINK("https://www.773grp.com/globalSearch/MC79L15ACDG/page-1", "MC79L15ACDG")</f>
        <v>MC79L15ACDG</v>
      </c>
      <c r="B7627" s="3" t="str">
        <f>HYPERLINK("https://www.773grp.com/manufacturer/onsemi?pageNo=886", "Onsemi")</f>
        <v>Onsemi</v>
      </c>
      <c r="C7627" s="6">
        <v>19867</v>
      </c>
      <c r="D7627" s="7">
        <v>0.9</v>
      </c>
      <c r="E7627" t="s">
        <v>53</v>
      </c>
    </row>
    <row r="7628" spans="1:5" x14ac:dyDescent="0.25">
      <c r="A7628" t="str">
        <f>HYPERLINK("https://www.773grp.com/globalSearch/MC79L15ACDR2/page-1", "MC79L15ACDR2")</f>
        <v>MC79L15ACDR2</v>
      </c>
      <c r="B7628" s="3" t="str">
        <f>HYPERLINK("https://www.773grp.com/manufacturer/onsemi?pageNo=887", "Onsemi")</f>
        <v>Onsemi</v>
      </c>
      <c r="C7628" s="6">
        <v>12500</v>
      </c>
      <c r="D7628" s="7">
        <v>0.9</v>
      </c>
      <c r="E7628" t="s">
        <v>53</v>
      </c>
    </row>
    <row r="7629" spans="1:5" x14ac:dyDescent="0.25">
      <c r="A7629" t="str">
        <f>HYPERLINK("https://www.773grp.com/globalSearch/MC79L15ACDR2G/page-1", "MC79L15ACDR2G")</f>
        <v>MC79L15ACDR2G</v>
      </c>
      <c r="B7629" s="3" t="str">
        <f>HYPERLINK("https://www.773grp.com/manufacturer/onsemi?pageNo=888", "Onsemi")</f>
        <v>Onsemi</v>
      </c>
      <c r="C7629" s="6">
        <v>17500</v>
      </c>
      <c r="D7629" s="7">
        <v>0.9</v>
      </c>
      <c r="E7629" t="s">
        <v>53</v>
      </c>
    </row>
    <row r="7630" spans="1:5" x14ac:dyDescent="0.25">
      <c r="A7630" t="str">
        <f>HYPERLINK("https://www.773grp.com/globalSearch/MC79L18ABPRPG/page-1", "MC79L18ABPRPG")</f>
        <v>MC79L18ABPRPG</v>
      </c>
      <c r="B7630" s="3" t="str">
        <f>HYPERLINK("https://www.773grp.com/manufacturer/onsemi?pageNo=889", "Onsemi")</f>
        <v>Onsemi</v>
      </c>
      <c r="C7630" s="6">
        <v>2888</v>
      </c>
      <c r="D7630" s="7">
        <v>0.9</v>
      </c>
      <c r="E7630" t="s">
        <v>53</v>
      </c>
    </row>
    <row r="7631" spans="1:5" x14ac:dyDescent="0.25">
      <c r="A7631" t="str">
        <f>HYPERLINK("https://www.773grp.com/globalSearch/MC79L24ABPG/page-1", "MC79L24ABPG")</f>
        <v>MC79L24ABPG</v>
      </c>
      <c r="B7631" s="3" t="str">
        <f>HYPERLINK("https://www.773grp.com/manufacturer/onsemi?pageNo=890", "Onsemi")</f>
        <v>Onsemi</v>
      </c>
      <c r="C7631" s="6">
        <v>5508</v>
      </c>
      <c r="D7631" s="7">
        <v>0.9</v>
      </c>
      <c r="E7631" t="s">
        <v>53</v>
      </c>
    </row>
    <row r="7632" spans="1:5" x14ac:dyDescent="0.25">
      <c r="A7632" t="str">
        <f>HYPERLINK("https://www.773grp.com/globalSearch/MJD112-1G/page-1", "MJD112-1G")</f>
        <v>MJD112-1G</v>
      </c>
      <c r="B7632" s="3" t="str">
        <f>HYPERLINK("https://www.773grp.com/manufacturer/onsemi?pageNo=891", "Onsemi")</f>
        <v>Onsemi</v>
      </c>
      <c r="C7632" s="6">
        <v>231707</v>
      </c>
      <c r="D7632" s="7">
        <v>0.9</v>
      </c>
      <c r="E7632" t="s">
        <v>47</v>
      </c>
    </row>
    <row r="7633" spans="1:5" x14ac:dyDescent="0.25">
      <c r="A7633" t="str">
        <f>HYPERLINK("https://www.773grp.com/globalSearch/MJD112G/page-1", "MJD112G")</f>
        <v>MJD112G</v>
      </c>
      <c r="B7633" s="3" t="str">
        <f>HYPERLINK("https://www.773grp.com/manufacturer/onsemi?pageNo=892", "Onsemi")</f>
        <v>Onsemi</v>
      </c>
      <c r="C7633" s="6">
        <v>88875</v>
      </c>
      <c r="D7633" s="7">
        <v>0.9</v>
      </c>
      <c r="E7633" t="s">
        <v>47</v>
      </c>
    </row>
    <row r="7634" spans="1:5" x14ac:dyDescent="0.25">
      <c r="A7634" t="str">
        <f>HYPERLINK("https://www.773grp.com/globalSearch/MJD112RLG/page-1", "MJD112RLG")</f>
        <v>MJD112RLG</v>
      </c>
      <c r="B7634" s="3" t="str">
        <f>HYPERLINK("https://www.773grp.com/manufacturer/onsemi?pageNo=893", "Onsemi")</f>
        <v>Onsemi</v>
      </c>
      <c r="C7634" s="6">
        <v>18669</v>
      </c>
      <c r="D7634" s="7">
        <v>0.9</v>
      </c>
      <c r="E7634" t="s">
        <v>47</v>
      </c>
    </row>
    <row r="7635" spans="1:5" x14ac:dyDescent="0.25">
      <c r="A7635" t="str">
        <f>HYPERLINK("https://www.773grp.com/globalSearch/MJD112T4G/page-1", "MJD112T4G")</f>
        <v>MJD112T4G</v>
      </c>
      <c r="B7635" s="3" t="str">
        <f>HYPERLINK("https://www.773grp.com/manufacturer/onsemi?pageNo=894", "Onsemi")</f>
        <v>Onsemi</v>
      </c>
      <c r="C7635" s="6">
        <v>123598</v>
      </c>
      <c r="D7635" s="7">
        <v>0.9</v>
      </c>
      <c r="E7635" t="s">
        <v>47</v>
      </c>
    </row>
    <row r="7636" spans="1:5" x14ac:dyDescent="0.25">
      <c r="A7636" t="str">
        <f>HYPERLINK("https://www.773grp.com/globalSearch/MJD117T4G/page-1", "MJD117T4G")</f>
        <v>MJD117T4G</v>
      </c>
      <c r="B7636" s="3" t="str">
        <f>HYPERLINK("https://www.773grp.com/manufacturer/onsemi?pageNo=895", "Onsemi")</f>
        <v>Onsemi</v>
      </c>
      <c r="C7636" s="6">
        <v>5000</v>
      </c>
      <c r="D7636" s="7">
        <v>0.9</v>
      </c>
      <c r="E7636" t="s">
        <v>47</v>
      </c>
    </row>
    <row r="7637" spans="1:5" x14ac:dyDescent="0.25">
      <c r="A7637" t="str">
        <f>HYPERLINK("https://www.773grp.com/globalSearch/MJD122G/page-1", "MJD122G")</f>
        <v>MJD122G</v>
      </c>
      <c r="B7637" s="3" t="str">
        <f>HYPERLINK("https://www.773grp.com/manufacturer/onsemi?pageNo=896", "Onsemi")</f>
        <v>Onsemi</v>
      </c>
      <c r="C7637" s="6">
        <v>10175</v>
      </c>
      <c r="D7637" s="7">
        <v>0.9</v>
      </c>
      <c r="E7637" t="s">
        <v>47</v>
      </c>
    </row>
    <row r="7638" spans="1:5" x14ac:dyDescent="0.25">
      <c r="A7638" t="str">
        <f>HYPERLINK("https://www.773grp.com/globalSearch/MJD122T4/page-1", "MJD122T4")</f>
        <v>MJD122T4</v>
      </c>
      <c r="B7638" s="3" t="str">
        <f>HYPERLINK("https://www.773grp.com/manufacturer/onsemi?pageNo=897", "Onsemi")</f>
        <v>Onsemi</v>
      </c>
      <c r="C7638" s="6">
        <v>2500</v>
      </c>
      <c r="D7638" s="7">
        <v>0.9</v>
      </c>
    </row>
    <row r="7639" spans="1:5" x14ac:dyDescent="0.25">
      <c r="A7639" t="str">
        <f>HYPERLINK("https://www.773grp.com/globalSearch/MJD127/page-1", "MJD127")</f>
        <v>MJD127</v>
      </c>
      <c r="B7639" s="3" t="str">
        <f>HYPERLINK("https://www.773grp.com/manufacturer/onsemi?pageNo=898", "Onsemi")</f>
        <v>Onsemi</v>
      </c>
      <c r="C7639" s="6">
        <v>1150</v>
      </c>
      <c r="D7639" s="7">
        <v>0.9</v>
      </c>
      <c r="E7639" t="s">
        <v>47</v>
      </c>
    </row>
    <row r="7640" spans="1:5" x14ac:dyDescent="0.25">
      <c r="A7640" t="str">
        <f>HYPERLINK("https://www.773grp.com/globalSearch/MJD127G/page-1", "MJD127G")</f>
        <v>MJD127G</v>
      </c>
      <c r="B7640" s="3" t="str">
        <f>HYPERLINK("https://www.773grp.com/manufacturer/onsemi?pageNo=899", "Onsemi")</f>
        <v>Onsemi</v>
      </c>
      <c r="C7640" s="6">
        <v>8775</v>
      </c>
      <c r="D7640" s="7">
        <v>0.9</v>
      </c>
      <c r="E7640" t="s">
        <v>47</v>
      </c>
    </row>
    <row r="7641" spans="1:5" x14ac:dyDescent="0.25">
      <c r="A7641" t="str">
        <f>HYPERLINK("https://www.773grp.com/globalSearch/MJD127T4G/page-1", "MJD127T4G")</f>
        <v>MJD127T4G</v>
      </c>
      <c r="B7641" s="3" t="str">
        <f>HYPERLINK("https://www.773grp.com/manufacturer/onsemi?pageNo=900", "Onsemi")</f>
        <v>Onsemi</v>
      </c>
      <c r="C7641" s="6">
        <v>62500</v>
      </c>
      <c r="D7641" s="7">
        <v>0.9</v>
      </c>
      <c r="E7641" t="s">
        <v>47</v>
      </c>
    </row>
    <row r="7642" spans="1:5" x14ac:dyDescent="0.25">
      <c r="A7642" t="str">
        <f>HYPERLINK("https://www.773grp.com/globalSearch/MJD210G/page-1", "MJD210G")</f>
        <v>MJD210G</v>
      </c>
      <c r="B7642" s="3" t="str">
        <f>HYPERLINK("https://www.773grp.com/manufacturer/onsemi?pageNo=901", "Onsemi")</f>
        <v>Onsemi</v>
      </c>
      <c r="C7642" s="6">
        <v>2750</v>
      </c>
      <c r="D7642" s="7">
        <v>0.9</v>
      </c>
    </row>
    <row r="7643" spans="1:5" x14ac:dyDescent="0.25">
      <c r="A7643" t="str">
        <f>HYPERLINK("https://www.773grp.com/globalSearch/MJD210T4G/page-1", "MJD210T4G")</f>
        <v>MJD210T4G</v>
      </c>
      <c r="B7643" s="3" t="str">
        <f>HYPERLINK("https://www.773grp.com/manufacturer/onsemi?pageNo=902", "Onsemi")</f>
        <v>Onsemi</v>
      </c>
      <c r="C7643" s="6">
        <v>7500</v>
      </c>
      <c r="D7643" s="7">
        <v>0.9</v>
      </c>
      <c r="E7643" t="s">
        <v>47</v>
      </c>
    </row>
    <row r="7644" spans="1:5" x14ac:dyDescent="0.25">
      <c r="A7644" t="str">
        <f>HYPERLINK("https://www.773grp.com/globalSearch/MJD32RLG/page-1", "MJD32RLG")</f>
        <v>MJD32RLG</v>
      </c>
      <c r="B7644" s="3" t="str">
        <f>HYPERLINK("https://www.773grp.com/manufacturer/onsemi?pageNo=903", "Onsemi")</f>
        <v>Onsemi</v>
      </c>
      <c r="C7644" s="6">
        <v>27000</v>
      </c>
      <c r="D7644" s="7">
        <v>0.9</v>
      </c>
      <c r="E7644" t="s">
        <v>47</v>
      </c>
    </row>
    <row r="7645" spans="1:5" x14ac:dyDescent="0.25">
      <c r="A7645" t="str">
        <f>HYPERLINK("https://www.773grp.com/globalSearch/MJD340G/page-1", "MJD340G")</f>
        <v>MJD340G</v>
      </c>
      <c r="B7645" s="3" t="str">
        <f>HYPERLINK("https://www.773grp.com/manufacturer/onsemi?pageNo=904", "Onsemi")</f>
        <v>Onsemi</v>
      </c>
      <c r="C7645" s="6">
        <v>7050</v>
      </c>
      <c r="D7645" s="7">
        <v>0.9</v>
      </c>
    </row>
    <row r="7646" spans="1:5" x14ac:dyDescent="0.25">
      <c r="A7646" t="str">
        <f>HYPERLINK("https://www.773grp.com/globalSearch/MJD340T4/page-1", "MJD340T4")</f>
        <v>MJD340T4</v>
      </c>
      <c r="B7646" s="3" t="str">
        <f>HYPERLINK("https://www.773grp.com/manufacturer/onsemi?pageNo=905", "Onsemi")</f>
        <v>Onsemi</v>
      </c>
      <c r="C7646" s="6">
        <v>7500</v>
      </c>
      <c r="D7646" s="7">
        <v>0.9</v>
      </c>
      <c r="E7646" t="s">
        <v>47</v>
      </c>
    </row>
    <row r="7647" spans="1:5" x14ac:dyDescent="0.25">
      <c r="A7647" t="str">
        <f>HYPERLINK("https://www.773grp.com/globalSearch/MJD44H11T4/page-1", "MJD44H11T4")</f>
        <v>MJD44H11T4</v>
      </c>
      <c r="B7647" s="3" t="str">
        <f>HYPERLINK("https://www.773grp.com/manufacturer/onsemi?pageNo=906", "Onsemi")</f>
        <v>Onsemi</v>
      </c>
      <c r="C7647" s="6">
        <v>17924</v>
      </c>
      <c r="D7647" s="7">
        <v>0.9</v>
      </c>
      <c r="E7647" t="s">
        <v>47</v>
      </c>
    </row>
    <row r="7648" spans="1:5" x14ac:dyDescent="0.25">
      <c r="A7648" t="str">
        <f>HYPERLINK("https://www.773grp.com/globalSearch/MJE15028/page-1", "MJE15028")</f>
        <v>MJE15028</v>
      </c>
      <c r="B7648" s="3" t="str">
        <f>HYPERLINK("https://www.773grp.com/manufacturer/onsemi?pageNo=907", "Onsemi")</f>
        <v>Onsemi</v>
      </c>
      <c r="C7648" s="6">
        <v>565</v>
      </c>
      <c r="D7648" s="7">
        <v>0.9</v>
      </c>
      <c r="E7648" t="s">
        <v>47</v>
      </c>
    </row>
    <row r="7649" spans="1:5" x14ac:dyDescent="0.25">
      <c r="A7649" t="str">
        <f>HYPERLINK("https://www.773grp.com/globalSearch/MJE3439G/page-1", "MJE3439G")</f>
        <v>MJE3439G</v>
      </c>
      <c r="B7649" s="3" t="str">
        <f>HYPERLINK("https://www.773grp.com/manufacturer/onsemi?pageNo=908", "Onsemi")</f>
        <v>Onsemi</v>
      </c>
      <c r="C7649" s="6">
        <v>13500</v>
      </c>
      <c r="D7649" s="7">
        <v>0.9</v>
      </c>
      <c r="E7649" t="s">
        <v>47</v>
      </c>
    </row>
    <row r="7650" spans="1:5" x14ac:dyDescent="0.25">
      <c r="A7650" t="str">
        <f>HYPERLINK("https://www.773grp.com/globalSearch/MMT10B230T3G/page-1", "MMT10B230T3G")</f>
        <v>MMT10B230T3G</v>
      </c>
      <c r="B7650" s="3" t="str">
        <f>HYPERLINK("https://www.773grp.com/manufacturer/onsemi?pageNo=909", "Onsemi")</f>
        <v>Onsemi</v>
      </c>
      <c r="C7650" s="6">
        <v>31935</v>
      </c>
      <c r="D7650" s="7">
        <v>0.9</v>
      </c>
      <c r="E7650" t="s">
        <v>88</v>
      </c>
    </row>
    <row r="7651" spans="1:5" x14ac:dyDescent="0.25">
      <c r="A7651" t="str">
        <f>HYPERLINK("https://www.773grp.com/globalSearch/MMT10B310T3G/page-1", "MMT10B310T3G")</f>
        <v>MMT10B310T3G</v>
      </c>
      <c r="B7651" s="3" t="str">
        <f>HYPERLINK("https://www.773grp.com/manufacturer/onsemi?pageNo=910", "Onsemi")</f>
        <v>Onsemi</v>
      </c>
      <c r="C7651" s="6">
        <v>6260</v>
      </c>
      <c r="D7651" s="7">
        <v>0.9</v>
      </c>
      <c r="E7651" t="s">
        <v>88</v>
      </c>
    </row>
    <row r="7652" spans="1:5" x14ac:dyDescent="0.25">
      <c r="A7652" t="str">
        <f>HYPERLINK("https://www.773grp.com/globalSearch/MMT10B350T3G/page-1", "MMT10B350T3G")</f>
        <v>MMT10B350T3G</v>
      </c>
      <c r="B7652" s="3" t="str">
        <f>HYPERLINK("https://www.773grp.com/manufacturer/onsemi?pageNo=911", "Onsemi")</f>
        <v>Onsemi</v>
      </c>
      <c r="C7652" s="6">
        <v>9778</v>
      </c>
      <c r="D7652" s="7">
        <v>0.9</v>
      </c>
      <c r="E7652" t="s">
        <v>88</v>
      </c>
    </row>
    <row r="7653" spans="1:5" x14ac:dyDescent="0.25">
      <c r="A7653" t="str">
        <f>HYPERLINK("https://www.773grp.com/globalSearch/MR750/page-1", "MR750")</f>
        <v>MR750</v>
      </c>
      <c r="B7653" s="3" t="str">
        <f>HYPERLINK("https://www.773grp.com/manufacturer/onsemi?pageNo=912", "Onsemi")</f>
        <v>Onsemi</v>
      </c>
      <c r="C7653" s="6">
        <v>1</v>
      </c>
      <c r="D7653" s="7">
        <v>0.9</v>
      </c>
      <c r="E7653" t="s">
        <v>82</v>
      </c>
    </row>
    <row r="7654" spans="1:5" x14ac:dyDescent="0.25">
      <c r="A7654" t="str">
        <f>HYPERLINK("https://www.773grp.com/globalSearch/MR750G/page-1", "MR750G")</f>
        <v>MR750G</v>
      </c>
      <c r="B7654" s="3" t="str">
        <f>HYPERLINK("https://www.773grp.com/manufacturer/onsemi?pageNo=913", "Onsemi")</f>
        <v>Onsemi</v>
      </c>
      <c r="C7654" s="6">
        <v>25</v>
      </c>
      <c r="D7654" s="7">
        <v>0.9</v>
      </c>
      <c r="E7654" t="s">
        <v>82</v>
      </c>
    </row>
    <row r="7655" spans="1:5" x14ac:dyDescent="0.25">
      <c r="A7655" t="str">
        <f>HYPERLINK("https://www.773grp.com/globalSearch/MTD6N20E/page-1", "MTD6N20E")</f>
        <v>MTD6N20E</v>
      </c>
      <c r="B7655" s="3" t="str">
        <f>HYPERLINK("https://www.773grp.com/manufacturer/onsemi?pageNo=914", "Onsemi")</f>
        <v>Onsemi</v>
      </c>
      <c r="C7655" s="6">
        <v>10153</v>
      </c>
      <c r="D7655" s="7">
        <v>0.9</v>
      </c>
      <c r="E7655" t="s">
        <v>84</v>
      </c>
    </row>
    <row r="7656" spans="1:5" x14ac:dyDescent="0.25">
      <c r="A7656" t="str">
        <f>HYPERLINK("https://www.773grp.com/globalSearch/MTD6N20E1/page-1", "MTD6N20E1")</f>
        <v>MTD6N20E1</v>
      </c>
      <c r="B7656" s="3" t="str">
        <f>HYPERLINK("https://www.773grp.com/manufacturer/onsemi?pageNo=915", "Onsemi")</f>
        <v>Onsemi</v>
      </c>
      <c r="C7656" s="6">
        <v>48950</v>
      </c>
      <c r="D7656" s="7">
        <v>0.9</v>
      </c>
      <c r="E7656" t="s">
        <v>84</v>
      </c>
    </row>
    <row r="7657" spans="1:5" x14ac:dyDescent="0.25">
      <c r="A7657" t="str">
        <f>HYPERLINK("https://www.773grp.com/globalSearch/MTP1N50E/page-1", "MTP1N50E")</f>
        <v>MTP1N50E</v>
      </c>
      <c r="B7657" s="3" t="str">
        <f>HYPERLINK("https://www.773grp.com/manufacturer/onsemi?pageNo=916", "Onsemi")</f>
        <v>Onsemi</v>
      </c>
      <c r="C7657" s="6">
        <v>2149</v>
      </c>
      <c r="D7657" s="7">
        <v>0.9</v>
      </c>
      <c r="E7657" t="s">
        <v>84</v>
      </c>
    </row>
    <row r="7658" spans="1:5" x14ac:dyDescent="0.25">
      <c r="A7658" t="str">
        <f>HYPERLINK("https://www.773grp.com/globalSearch/MZP4729ARLG/page-1", "MZP4729ARLG")</f>
        <v>MZP4729ARLG</v>
      </c>
      <c r="B7658" s="3" t="str">
        <f>HYPERLINK("https://www.773grp.com/manufacturer/onsemi?pageNo=917", "Onsemi")</f>
        <v>Onsemi</v>
      </c>
      <c r="C7658" s="6">
        <v>17790</v>
      </c>
      <c r="D7658" s="7">
        <v>0.9</v>
      </c>
      <c r="E7658" t="s">
        <v>77</v>
      </c>
    </row>
    <row r="7659" spans="1:5" x14ac:dyDescent="0.25">
      <c r="A7659" t="str">
        <f>HYPERLINK("https://www.773grp.com/globalSearch/MZP4735ARLG/page-1", "MZP4735ARLG")</f>
        <v>MZP4735ARLG</v>
      </c>
      <c r="B7659" s="3" t="str">
        <f>HYPERLINK("https://www.773grp.com/manufacturer/onsemi?pageNo=918", "Onsemi")</f>
        <v>Onsemi</v>
      </c>
      <c r="C7659" s="6">
        <v>21644</v>
      </c>
      <c r="D7659" s="7">
        <v>0.9</v>
      </c>
      <c r="E7659" t="s">
        <v>77</v>
      </c>
    </row>
    <row r="7660" spans="1:5" x14ac:dyDescent="0.25">
      <c r="A7660" t="str">
        <f>HYPERLINK("https://www.773grp.com/globalSearch/MZP4749ARLG/page-1", "MZP4749ARLG")</f>
        <v>MZP4749ARLG</v>
      </c>
      <c r="B7660" s="3" t="str">
        <f>HYPERLINK("https://www.773grp.com/manufacturer/onsemi?pageNo=919", "Onsemi")</f>
        <v>Onsemi</v>
      </c>
      <c r="C7660" s="6">
        <v>54000</v>
      </c>
      <c r="D7660" s="7">
        <v>0.9</v>
      </c>
      <c r="E7660" t="s">
        <v>77</v>
      </c>
    </row>
    <row r="7661" spans="1:5" x14ac:dyDescent="0.25">
      <c r="A7661" t="str">
        <f>HYPERLINK("https://www.773grp.com/globalSearch/MZP4749ATAG/page-1", "MZP4749ATAG")</f>
        <v>MZP4749ATAG</v>
      </c>
      <c r="B7661" s="3" t="str">
        <f>HYPERLINK("https://www.773grp.com/manufacturer/onsemi?pageNo=920", "Onsemi")</f>
        <v>Onsemi</v>
      </c>
      <c r="C7661" s="6">
        <v>14190</v>
      </c>
      <c r="D7661" s="7">
        <v>0.9</v>
      </c>
      <c r="E7661" t="s">
        <v>77</v>
      </c>
    </row>
    <row r="7662" spans="1:5" x14ac:dyDescent="0.25">
      <c r="A7662" t="str">
        <f>HYPERLINK("https://www.773grp.com/globalSearch/NCP1200P40/page-1", "NCP1200P40")</f>
        <v>NCP1200P40</v>
      </c>
      <c r="B7662" s="3" t="str">
        <f>HYPERLINK("https://www.773grp.com/manufacturer/onsemi?pageNo=921", "Onsemi")</f>
        <v>Onsemi</v>
      </c>
      <c r="C7662" s="6">
        <v>143445</v>
      </c>
      <c r="D7662" s="7">
        <v>0.9</v>
      </c>
      <c r="E7662" t="s">
        <v>5</v>
      </c>
    </row>
    <row r="7663" spans="1:5" x14ac:dyDescent="0.25">
      <c r="A7663" t="str">
        <f>HYPERLINK("https://www.773grp.com/globalSearch/NCP1200P60/page-1", "NCP1200P60")</f>
        <v>NCP1200P60</v>
      </c>
      <c r="B7663" s="3" t="str">
        <f>HYPERLINK("https://www.773grp.com/manufacturer/onsemi?pageNo=922", "Onsemi")</f>
        <v>Onsemi</v>
      </c>
      <c r="C7663" s="6">
        <v>256668</v>
      </c>
      <c r="D7663" s="7">
        <v>0.9</v>
      </c>
      <c r="E7663" t="s">
        <v>5</v>
      </c>
    </row>
    <row r="7664" spans="1:5" x14ac:dyDescent="0.25">
      <c r="A7664" t="str">
        <f>HYPERLINK("https://www.773grp.com/globalSearch/NCP1201P100/page-1", "NCP1201P100")</f>
        <v>NCP1201P100</v>
      </c>
      <c r="B7664" s="3" t="str">
        <f>HYPERLINK("https://www.773grp.com/manufacturer/onsemi?pageNo=923", "Onsemi")</f>
        <v>Onsemi</v>
      </c>
      <c r="C7664" s="6">
        <v>2990</v>
      </c>
      <c r="D7664" s="7">
        <v>0.9</v>
      </c>
      <c r="E7664" t="s">
        <v>5</v>
      </c>
    </row>
    <row r="7665" spans="1:5" x14ac:dyDescent="0.25">
      <c r="A7665" t="str">
        <f>HYPERLINK("https://www.773grp.com/globalSearch/NCP1201P60/page-1", "NCP1201P60")</f>
        <v>NCP1201P60</v>
      </c>
      <c r="B7665" s="3" t="str">
        <f>HYPERLINK("https://www.773grp.com/manufacturer/onsemi?pageNo=924", "Onsemi")</f>
        <v>Onsemi</v>
      </c>
      <c r="C7665" s="6">
        <v>4990</v>
      </c>
      <c r="D7665" s="7">
        <v>0.9</v>
      </c>
      <c r="E7665" t="s">
        <v>5</v>
      </c>
    </row>
    <row r="7666" spans="1:5" x14ac:dyDescent="0.25">
      <c r="A7666" t="str">
        <f>HYPERLINK("https://www.773grp.com/globalSearch/NCP1203P100/page-1", "NCP1203P100")</f>
        <v>NCP1203P100</v>
      </c>
      <c r="B7666" s="3" t="str">
        <f>HYPERLINK("https://www.773grp.com/manufacturer/onsemi?pageNo=925", "Onsemi")</f>
        <v>Onsemi</v>
      </c>
      <c r="C7666" s="6">
        <v>2170</v>
      </c>
      <c r="D7666" s="7">
        <v>0.9</v>
      </c>
      <c r="E7666" t="s">
        <v>5</v>
      </c>
    </row>
    <row r="7667" spans="1:5" x14ac:dyDescent="0.25">
      <c r="A7667" t="str">
        <f>HYPERLINK("https://www.773grp.com/globalSearch/NCP1203P40/page-1", "NCP1203P40")</f>
        <v>NCP1203P40</v>
      </c>
      <c r="B7667" s="3" t="str">
        <f>HYPERLINK("https://www.773grp.com/manufacturer/onsemi?pageNo=926", "Onsemi")</f>
        <v>Onsemi</v>
      </c>
      <c r="C7667" s="6">
        <v>7000</v>
      </c>
      <c r="D7667" s="7">
        <v>0.9</v>
      </c>
      <c r="E7667" t="s">
        <v>5</v>
      </c>
    </row>
    <row r="7668" spans="1:5" x14ac:dyDescent="0.25">
      <c r="A7668" t="str">
        <f>HYPERLINK("https://www.773grp.com/globalSearch/NCP1203P60/page-1", "NCP1203P60")</f>
        <v>NCP1203P60</v>
      </c>
      <c r="B7668" s="3" t="str">
        <f>HYPERLINK("https://www.773grp.com/manufacturer/onsemi?pageNo=927", "Onsemi")</f>
        <v>Onsemi</v>
      </c>
      <c r="C7668" s="6">
        <v>15</v>
      </c>
      <c r="D7668" s="7">
        <v>0.9</v>
      </c>
      <c r="E7668" t="s">
        <v>5</v>
      </c>
    </row>
    <row r="7669" spans="1:5" x14ac:dyDescent="0.25">
      <c r="A7669" t="str">
        <f>HYPERLINK("https://www.773grp.com/globalSearch/NCP1402SN19T1/page-1", "NCP1402SN19T1")</f>
        <v>NCP1402SN19T1</v>
      </c>
      <c r="B7669" s="3" t="str">
        <f>HYPERLINK("https://www.773grp.com/manufacturer/onsemi?pageNo=928", "Onsemi")</f>
        <v>Onsemi</v>
      </c>
      <c r="C7669" s="6">
        <v>5900</v>
      </c>
      <c r="D7669" s="7">
        <v>0.9</v>
      </c>
      <c r="E7669" t="s">
        <v>5</v>
      </c>
    </row>
    <row r="7670" spans="1:5" x14ac:dyDescent="0.25">
      <c r="A7670" t="str">
        <f>HYPERLINK("https://www.773grp.com/globalSearch/NCP1402SN40T1/page-1", "NCP1402SN40T1")</f>
        <v>NCP1402SN40T1</v>
      </c>
      <c r="B7670" s="3" t="str">
        <f>HYPERLINK("https://www.773grp.com/manufacturer/onsemi?pageNo=929", "Onsemi")</f>
        <v>Onsemi</v>
      </c>
      <c r="C7670" s="6">
        <v>69000</v>
      </c>
      <c r="D7670" s="7">
        <v>0.9</v>
      </c>
      <c r="E7670" t="s">
        <v>5</v>
      </c>
    </row>
    <row r="7671" spans="1:5" x14ac:dyDescent="0.25">
      <c r="A7671" t="str">
        <f>HYPERLINK("https://www.773grp.com/globalSearch/NCP3335DMR2330G/page-1", "NCP3335DMR2330G")</f>
        <v>NCP3335DMR2330G</v>
      </c>
      <c r="B7671" s="3" t="str">
        <f>HYPERLINK("https://www.773grp.com/manufacturer/onsemi?pageNo=930", "Onsemi")</f>
        <v>Onsemi</v>
      </c>
      <c r="C7671" s="6">
        <v>9000</v>
      </c>
      <c r="D7671" s="7">
        <v>0.9</v>
      </c>
      <c r="E7671" t="s">
        <v>15</v>
      </c>
    </row>
    <row r="7672" spans="1:5" x14ac:dyDescent="0.25">
      <c r="A7672" t="str">
        <f>HYPERLINK("https://www.773grp.com/globalSearch/NCP3418APDR2/page-1", "NCP3418APDR2")</f>
        <v>NCP3418APDR2</v>
      </c>
      <c r="B7672" s="3" t="str">
        <f>HYPERLINK("https://www.773grp.com/manufacturer/onsemi?pageNo=931", "Onsemi")</f>
        <v>Onsemi</v>
      </c>
      <c r="C7672" s="6">
        <v>2500</v>
      </c>
      <c r="D7672" s="7">
        <v>0.9</v>
      </c>
      <c r="E7672" t="s">
        <v>12</v>
      </c>
    </row>
    <row r="7673" spans="1:5" x14ac:dyDescent="0.25">
      <c r="A7673" t="str">
        <f>HYPERLINK("https://www.773grp.com/globalSearch/NCP345SNT1/page-1", "NCP345SNT1")</f>
        <v>NCP345SNT1</v>
      </c>
      <c r="B7673" s="3" t="str">
        <f>HYPERLINK("https://www.773grp.com/manufacturer/onsemi?pageNo=932", "Onsemi")</f>
        <v>Onsemi</v>
      </c>
      <c r="C7673" s="6">
        <v>260</v>
      </c>
      <c r="D7673" s="7">
        <v>0.9</v>
      </c>
      <c r="E7673" t="s">
        <v>26</v>
      </c>
    </row>
    <row r="7674" spans="1:5" x14ac:dyDescent="0.25">
      <c r="A7674" t="str">
        <f>HYPERLINK("https://www.773grp.com/globalSearch/NCP4300AD/page-1", "NCP4300AD")</f>
        <v>NCP4300AD</v>
      </c>
      <c r="B7674" s="3" t="str">
        <f>HYPERLINK("https://www.773grp.com/manufacturer/onsemi?pageNo=933", "Onsemi")</f>
        <v>Onsemi</v>
      </c>
      <c r="C7674" s="6">
        <v>96</v>
      </c>
      <c r="D7674" s="7">
        <v>0.9</v>
      </c>
      <c r="E7674" t="s">
        <v>10</v>
      </c>
    </row>
    <row r="7675" spans="1:5" x14ac:dyDescent="0.25">
      <c r="A7675" t="str">
        <f>HYPERLINK("https://www.773grp.com/globalSearch/NCP4300ADR2/page-1", "NCP4300ADR2")</f>
        <v>NCP4300ADR2</v>
      </c>
      <c r="B7675" s="3" t="str">
        <f>HYPERLINK("https://www.773grp.com/manufacturer/onsemi?pageNo=934", "Onsemi")</f>
        <v>Onsemi</v>
      </c>
      <c r="C7675" s="6">
        <v>7530</v>
      </c>
      <c r="D7675" s="7">
        <v>0.9</v>
      </c>
      <c r="E7675" t="s">
        <v>10</v>
      </c>
    </row>
    <row r="7676" spans="1:5" x14ac:dyDescent="0.25">
      <c r="A7676" t="str">
        <f>HYPERLINK("https://www.773grp.com/globalSearch/NCP502SN28T1G/page-1", "NCP502SN28T1G")</f>
        <v>NCP502SN28T1G</v>
      </c>
      <c r="B7676" s="3" t="str">
        <f>HYPERLINK("https://www.773grp.com/manufacturer/onsemi?pageNo=935", "Onsemi")</f>
        <v>Onsemi</v>
      </c>
      <c r="C7676" s="6">
        <v>14938</v>
      </c>
      <c r="D7676" s="7">
        <v>0.9</v>
      </c>
      <c r="E7676" t="s">
        <v>15</v>
      </c>
    </row>
    <row r="7677" spans="1:5" x14ac:dyDescent="0.25">
      <c r="A7677" t="str">
        <f>HYPERLINK("https://www.773grp.com/globalSearch/NCP502SN29T1G/page-1", "NCP502SN29T1G")</f>
        <v>NCP502SN29T1G</v>
      </c>
      <c r="B7677" s="3" t="str">
        <f>HYPERLINK("https://www.773grp.com/manufacturer/onsemi?pageNo=936", "Onsemi")</f>
        <v>Onsemi</v>
      </c>
      <c r="C7677" s="6">
        <v>318000</v>
      </c>
      <c r="D7677" s="7">
        <v>0.9</v>
      </c>
      <c r="E7677" t="s">
        <v>15</v>
      </c>
    </row>
    <row r="7678" spans="1:5" x14ac:dyDescent="0.25">
      <c r="A7678" t="str">
        <f>HYPERLINK("https://www.773grp.com/globalSearch/NCP502SN30T1G/page-1", "NCP502SN30T1G")</f>
        <v>NCP502SN30T1G</v>
      </c>
      <c r="B7678" s="3" t="str">
        <f>HYPERLINK("https://www.773grp.com/manufacturer/onsemi?pageNo=937", "Onsemi")</f>
        <v>Onsemi</v>
      </c>
      <c r="C7678" s="6">
        <v>790</v>
      </c>
      <c r="D7678" s="7">
        <v>0.9</v>
      </c>
      <c r="E7678" t="s">
        <v>15</v>
      </c>
    </row>
    <row r="7679" spans="1:5" x14ac:dyDescent="0.25">
      <c r="A7679" t="str">
        <f>HYPERLINK("https://www.773grp.com/globalSearch/NCP502SN31T1G/page-1", "NCP502SN31T1G")</f>
        <v>NCP502SN31T1G</v>
      </c>
      <c r="B7679" s="3" t="str">
        <f>HYPERLINK("https://www.773grp.com/manufacturer/onsemi?pageNo=938", "Onsemi")</f>
        <v>Onsemi</v>
      </c>
      <c r="C7679" s="6">
        <v>11995</v>
      </c>
      <c r="D7679" s="7">
        <v>0.9</v>
      </c>
      <c r="E7679" t="s">
        <v>15</v>
      </c>
    </row>
    <row r="7680" spans="1:5" x14ac:dyDescent="0.25">
      <c r="A7680" t="str">
        <f>HYPERLINK("https://www.773grp.com/globalSearch/NCP502SN33T1G/page-1", "NCP502SN33T1G")</f>
        <v>NCP502SN33T1G</v>
      </c>
      <c r="B7680" s="3" t="str">
        <f>HYPERLINK("https://www.773grp.com/manufacturer/onsemi?pageNo=939", "Onsemi")</f>
        <v>Onsemi</v>
      </c>
      <c r="C7680" s="6">
        <v>3000</v>
      </c>
      <c r="D7680" s="7">
        <v>0.9</v>
      </c>
      <c r="E7680" t="s">
        <v>15</v>
      </c>
    </row>
    <row r="7681" spans="1:5" x14ac:dyDescent="0.25">
      <c r="A7681" t="str">
        <f>HYPERLINK("https://www.773grp.com/globalSearch/NCP502SN34T1G/page-1", "NCP502SN34T1G")</f>
        <v>NCP502SN34T1G</v>
      </c>
      <c r="B7681" s="3" t="str">
        <f>HYPERLINK("https://www.773grp.com/manufacturer/onsemi?pageNo=940", "Onsemi")</f>
        <v>Onsemi</v>
      </c>
      <c r="C7681" s="6">
        <v>11985</v>
      </c>
      <c r="D7681" s="7">
        <v>0.9</v>
      </c>
      <c r="E7681" t="s">
        <v>15</v>
      </c>
    </row>
    <row r="7682" spans="1:5" x14ac:dyDescent="0.25">
      <c r="A7682" t="str">
        <f>HYPERLINK("https://www.773grp.com/globalSearch/NCP502SN35T1G/page-1", "NCP502SN35T1G")</f>
        <v>NCP502SN35T1G</v>
      </c>
      <c r="B7682" s="3" t="str">
        <f>HYPERLINK("https://www.773grp.com/manufacturer/onsemi?pageNo=941", "Onsemi")</f>
        <v>Onsemi</v>
      </c>
      <c r="C7682" s="6">
        <v>9000</v>
      </c>
      <c r="D7682" s="7">
        <v>0.9</v>
      </c>
      <c r="E7682" t="s">
        <v>15</v>
      </c>
    </row>
    <row r="7683" spans="1:5" x14ac:dyDescent="0.25">
      <c r="A7683" t="str">
        <f>HYPERLINK("https://www.773grp.com/globalSearch/NCP502SN36T1G/page-1", "NCP502SN36T1G")</f>
        <v>NCP502SN36T1G</v>
      </c>
      <c r="B7683" s="3" t="str">
        <f>HYPERLINK("https://www.773grp.com/manufacturer/onsemi?pageNo=942", "Onsemi")</f>
        <v>Onsemi</v>
      </c>
      <c r="C7683" s="6">
        <v>57000</v>
      </c>
      <c r="D7683" s="7">
        <v>0.9</v>
      </c>
      <c r="E7683" t="s">
        <v>15</v>
      </c>
    </row>
    <row r="7684" spans="1:5" x14ac:dyDescent="0.25">
      <c r="A7684" t="str">
        <f>HYPERLINK("https://www.773grp.com/globalSearch/NCP502SN50T1G/page-1", "NCP502SN50T1G")</f>
        <v>NCP502SN50T1G</v>
      </c>
      <c r="B7684" s="3" t="str">
        <f>HYPERLINK("https://www.773grp.com/manufacturer/onsemi?pageNo=943", "Onsemi")</f>
        <v>Onsemi</v>
      </c>
      <c r="C7684" s="6">
        <v>3000</v>
      </c>
      <c r="D7684" s="7">
        <v>0.9</v>
      </c>
    </row>
    <row r="7685" spans="1:5" x14ac:dyDescent="0.25">
      <c r="A7685" t="str">
        <f>HYPERLINK("https://www.773grp.com/globalSearch/NCP553SQ15T1G/page-1", "NCP553SQ15T1G")</f>
        <v>NCP553SQ15T1G</v>
      </c>
      <c r="B7685" s="3" t="str">
        <f>HYPERLINK("https://www.773grp.com/manufacturer/onsemi?pageNo=944", "Onsemi")</f>
        <v>Onsemi</v>
      </c>
      <c r="C7685" s="6">
        <v>1000</v>
      </c>
      <c r="D7685" s="7">
        <v>0.9</v>
      </c>
      <c r="E7685" t="s">
        <v>15</v>
      </c>
    </row>
    <row r="7686" spans="1:5" x14ac:dyDescent="0.25">
      <c r="A7686" t="str">
        <f>HYPERLINK("https://www.773grp.com/globalSearch/NCP553SQ25T1G/page-1", "NCP553SQ25T1G")</f>
        <v>NCP553SQ25T1G</v>
      </c>
      <c r="B7686" s="3" t="str">
        <f>HYPERLINK("https://www.773grp.com/manufacturer/onsemi?pageNo=945", "Onsemi")</f>
        <v>Onsemi</v>
      </c>
      <c r="C7686" s="6">
        <v>20994</v>
      </c>
      <c r="D7686" s="7">
        <v>0.9</v>
      </c>
      <c r="E7686" t="s">
        <v>15</v>
      </c>
    </row>
    <row r="7687" spans="1:5" x14ac:dyDescent="0.25">
      <c r="A7687" t="str">
        <f>HYPERLINK("https://www.773grp.com/globalSearch/NCP553SQ27T1G/page-1", "NCP553SQ27T1G")</f>
        <v>NCP553SQ27T1G</v>
      </c>
      <c r="B7687" s="3" t="str">
        <f>HYPERLINK("https://www.773grp.com/manufacturer/onsemi?pageNo=946", "Onsemi")</f>
        <v>Onsemi</v>
      </c>
      <c r="C7687" s="6">
        <v>12000</v>
      </c>
      <c r="D7687" s="7">
        <v>0.9</v>
      </c>
      <c r="E7687" t="s">
        <v>15</v>
      </c>
    </row>
    <row r="7688" spans="1:5" x14ac:dyDescent="0.25">
      <c r="A7688" t="str">
        <f>HYPERLINK("https://www.773grp.com/globalSearch/NCP553SQ30T1/page-1", "NCP553SQ30T1")</f>
        <v>NCP553SQ30T1</v>
      </c>
      <c r="B7688" s="3" t="str">
        <f>HYPERLINK("https://www.773grp.com/manufacturer/onsemi?pageNo=947", "Onsemi")</f>
        <v>Onsemi</v>
      </c>
      <c r="C7688" s="6">
        <v>1480</v>
      </c>
      <c r="D7688" s="7">
        <v>0.9</v>
      </c>
      <c r="E7688" t="s">
        <v>15</v>
      </c>
    </row>
    <row r="7689" spans="1:5" x14ac:dyDescent="0.25">
      <c r="A7689" t="str">
        <f>HYPERLINK("https://www.773grp.com/globalSearch/NCP553SQ33T1G/page-1", "NCP553SQ33T1G")</f>
        <v>NCP553SQ33T1G</v>
      </c>
      <c r="B7689" s="3" t="str">
        <f>HYPERLINK("https://www.773grp.com/manufacturer/onsemi?pageNo=948", "Onsemi")</f>
        <v>Onsemi</v>
      </c>
      <c r="C7689" s="6">
        <v>39000</v>
      </c>
      <c r="D7689" s="7">
        <v>0.9</v>
      </c>
      <c r="E7689" t="s">
        <v>15</v>
      </c>
    </row>
    <row r="7690" spans="1:5" x14ac:dyDescent="0.25">
      <c r="A7690" t="str">
        <f>HYPERLINK("https://www.773grp.com/globalSearch/NCP553SQ50T1G/page-1", "NCP553SQ50T1G")</f>
        <v>NCP553SQ50T1G</v>
      </c>
      <c r="B7690" s="3" t="str">
        <f>HYPERLINK("https://www.773grp.com/manufacturer/onsemi?pageNo=949", "Onsemi")</f>
        <v>Onsemi</v>
      </c>
      <c r="C7690" s="6">
        <v>35674</v>
      </c>
      <c r="D7690" s="7">
        <v>0.9</v>
      </c>
      <c r="E7690" t="s">
        <v>15</v>
      </c>
    </row>
    <row r="7691" spans="1:5" x14ac:dyDescent="0.25">
      <c r="A7691" t="str">
        <f>HYPERLINK("https://www.773grp.com/globalSearch/NCP562SQ15T1G/page-1", "NCP562SQ15T1G")</f>
        <v>NCP562SQ15T1G</v>
      </c>
      <c r="B7691" s="3" t="str">
        <f>HYPERLINK("https://www.773grp.com/manufacturer/onsemi?pageNo=950", "Onsemi")</f>
        <v>Onsemi</v>
      </c>
      <c r="C7691" s="6">
        <v>80500</v>
      </c>
      <c r="D7691" s="7">
        <v>0.9</v>
      </c>
      <c r="E7691" t="s">
        <v>15</v>
      </c>
    </row>
    <row r="7692" spans="1:5" x14ac:dyDescent="0.25">
      <c r="A7692" t="str">
        <f>HYPERLINK("https://www.773grp.com/globalSearch/NCP562SQ18T1G/page-1", "NCP562SQ18T1G")</f>
        <v>NCP562SQ18T1G</v>
      </c>
      <c r="B7692" s="3" t="str">
        <f>HYPERLINK("https://www.773grp.com/manufacturer/onsemi?pageNo=951", "Onsemi")</f>
        <v>Onsemi</v>
      </c>
      <c r="C7692" s="6">
        <v>653000</v>
      </c>
      <c r="D7692" s="7">
        <v>0.9</v>
      </c>
      <c r="E7692" t="s">
        <v>15</v>
      </c>
    </row>
    <row r="7693" spans="1:5" x14ac:dyDescent="0.25">
      <c r="A7693" t="str">
        <f>HYPERLINK("https://www.773grp.com/globalSearch/NCP562SQ21T1G/page-1", "NCP562SQ21T1G")</f>
        <v>NCP562SQ21T1G</v>
      </c>
      <c r="B7693" s="3" t="str">
        <f>HYPERLINK("https://www.773grp.com/manufacturer/onsemi?pageNo=952", "Onsemi")</f>
        <v>Onsemi</v>
      </c>
      <c r="C7693" s="6">
        <v>6000</v>
      </c>
      <c r="D7693" s="7">
        <v>0.9</v>
      </c>
      <c r="E7693" t="s">
        <v>15</v>
      </c>
    </row>
    <row r="7694" spans="1:5" x14ac:dyDescent="0.25">
      <c r="A7694" t="str">
        <f>HYPERLINK("https://www.773grp.com/globalSearch/NCP562SQ27T1G/page-1", "NCP562SQ27T1G")</f>
        <v>NCP562SQ27T1G</v>
      </c>
      <c r="B7694" s="3" t="str">
        <f>HYPERLINK("https://www.773grp.com/manufacturer/onsemi?pageNo=953", "Onsemi")</f>
        <v>Onsemi</v>
      </c>
      <c r="C7694" s="6">
        <v>18000</v>
      </c>
      <c r="D7694" s="7">
        <v>0.9</v>
      </c>
      <c r="E7694" t="s">
        <v>15</v>
      </c>
    </row>
    <row r="7695" spans="1:5" x14ac:dyDescent="0.25">
      <c r="A7695" t="str">
        <f>HYPERLINK("https://www.773grp.com/globalSearch/NCP562SQ28T1G/page-1", "NCP562SQ28T1G")</f>
        <v>NCP562SQ28T1G</v>
      </c>
      <c r="B7695" s="3" t="str">
        <f>HYPERLINK("https://www.773grp.com/manufacturer/onsemi?pageNo=954", "Onsemi")</f>
        <v>Onsemi</v>
      </c>
      <c r="C7695" s="6">
        <v>689700</v>
      </c>
      <c r="D7695" s="7">
        <v>0.9</v>
      </c>
      <c r="E7695" t="s">
        <v>15</v>
      </c>
    </row>
    <row r="7696" spans="1:5" x14ac:dyDescent="0.25">
      <c r="A7696" t="str">
        <f>HYPERLINK("https://www.773grp.com/globalSearch/NCP562SQ30T1G/page-1", "NCP562SQ30T1G")</f>
        <v>NCP562SQ30T1G</v>
      </c>
      <c r="B7696" s="3" t="str">
        <f>HYPERLINK("https://www.773grp.com/manufacturer/onsemi?pageNo=955", "Onsemi")</f>
        <v>Onsemi</v>
      </c>
      <c r="C7696" s="6">
        <v>30000</v>
      </c>
      <c r="D7696" s="7">
        <v>0.9</v>
      </c>
      <c r="E7696" t="s">
        <v>15</v>
      </c>
    </row>
    <row r="7697" spans="1:5" x14ac:dyDescent="0.25">
      <c r="A7697" t="str">
        <f>HYPERLINK("https://www.773grp.com/globalSearch/NCP562SQ33T1G/page-1", "NCP562SQ33T1G")</f>
        <v>NCP562SQ33T1G</v>
      </c>
      <c r="B7697" s="3" t="str">
        <f>HYPERLINK("https://www.773grp.com/manufacturer/onsemi?pageNo=956", "Onsemi")</f>
        <v>Onsemi</v>
      </c>
      <c r="C7697" s="6">
        <v>11674</v>
      </c>
      <c r="D7697" s="7">
        <v>0.9</v>
      </c>
      <c r="E7697" t="s">
        <v>15</v>
      </c>
    </row>
    <row r="7698" spans="1:5" x14ac:dyDescent="0.25">
      <c r="A7698" t="str">
        <f>HYPERLINK("https://www.773grp.com/globalSearch/NCP562SQ35T1G/page-1", "NCP562SQ35T1G")</f>
        <v>NCP562SQ35T1G</v>
      </c>
      <c r="B7698" s="3" t="str">
        <f>HYPERLINK("https://www.773grp.com/manufacturer/onsemi?pageNo=957", "Onsemi")</f>
        <v>Onsemi</v>
      </c>
      <c r="C7698" s="6">
        <v>15375</v>
      </c>
      <c r="D7698" s="7">
        <v>0.9</v>
      </c>
    </row>
    <row r="7699" spans="1:5" x14ac:dyDescent="0.25">
      <c r="A7699" t="str">
        <f>HYPERLINK("https://www.773grp.com/globalSearch/NCP562SQ50T1G/page-1", "NCP562SQ50T1G")</f>
        <v>NCP562SQ50T1G</v>
      </c>
      <c r="B7699" s="3" t="str">
        <f>HYPERLINK("https://www.773grp.com/manufacturer/onsemi?pageNo=958", "Onsemi")</f>
        <v>Onsemi</v>
      </c>
      <c r="C7699" s="6">
        <v>23990</v>
      </c>
      <c r="D7699" s="7">
        <v>0.9</v>
      </c>
      <c r="E7699" t="s">
        <v>15</v>
      </c>
    </row>
    <row r="7700" spans="1:5" x14ac:dyDescent="0.25">
      <c r="A7700" t="str">
        <f>HYPERLINK("https://www.773grp.com/globalSearch/NCP563SQ18T1G/page-1", "NCP563SQ18T1G")</f>
        <v>NCP563SQ18T1G</v>
      </c>
      <c r="B7700" s="3" t="str">
        <f>HYPERLINK("https://www.773grp.com/manufacturer/onsemi?pageNo=959", "Onsemi")</f>
        <v>Onsemi</v>
      </c>
      <c r="C7700" s="6">
        <v>185835</v>
      </c>
      <c r="D7700" s="7">
        <v>0.9</v>
      </c>
      <c r="E7700" t="s">
        <v>15</v>
      </c>
    </row>
    <row r="7701" spans="1:5" x14ac:dyDescent="0.25">
      <c r="A7701" t="str">
        <f>HYPERLINK("https://www.773grp.com/globalSearch/NCP563SQ25T1G/page-1", "NCP563SQ25T1G")</f>
        <v>NCP563SQ25T1G</v>
      </c>
      <c r="B7701" s="3" t="str">
        <f>HYPERLINK("https://www.773grp.com/manufacturer/onsemi?pageNo=960", "Onsemi")</f>
        <v>Onsemi</v>
      </c>
      <c r="C7701" s="6">
        <v>241618</v>
      </c>
      <c r="D7701" s="7">
        <v>0.9</v>
      </c>
      <c r="E7701" t="s">
        <v>15</v>
      </c>
    </row>
    <row r="7702" spans="1:5" x14ac:dyDescent="0.25">
      <c r="A7702" t="str">
        <f>HYPERLINK("https://www.773grp.com/globalSearch/NCP563SQ27T1G/page-1", "NCP563SQ27T1G")</f>
        <v>NCP563SQ27T1G</v>
      </c>
      <c r="B7702" s="3" t="str">
        <f>HYPERLINK("https://www.773grp.com/manufacturer/onsemi?pageNo=961", "Onsemi")</f>
        <v>Onsemi</v>
      </c>
      <c r="C7702" s="6">
        <v>29500</v>
      </c>
      <c r="D7702" s="7">
        <v>0.9</v>
      </c>
      <c r="E7702" t="s">
        <v>15</v>
      </c>
    </row>
    <row r="7703" spans="1:5" x14ac:dyDescent="0.25">
      <c r="A7703" t="str">
        <f>HYPERLINK("https://www.773grp.com/globalSearch/NCP563SQ30T1G/page-1", "NCP563SQ30T1G")</f>
        <v>NCP563SQ30T1G</v>
      </c>
      <c r="B7703" s="3" t="str">
        <f>HYPERLINK("https://www.773grp.com/manufacturer/onsemi?pageNo=962", "Onsemi")</f>
        <v>Onsemi</v>
      </c>
      <c r="C7703" s="6">
        <v>3000</v>
      </c>
      <c r="D7703" s="7">
        <v>0.9</v>
      </c>
    </row>
    <row r="7704" spans="1:5" x14ac:dyDescent="0.25">
      <c r="A7704" t="str">
        <f>HYPERLINK("https://www.773grp.com/globalSearch/NCP563SQ50T1G/page-1", "NCP563SQ50T1G")</f>
        <v>NCP563SQ50T1G</v>
      </c>
      <c r="B7704" s="3" t="str">
        <f>HYPERLINK("https://www.773grp.com/manufacturer/onsemi?pageNo=963", "Onsemi")</f>
        <v>Onsemi</v>
      </c>
      <c r="C7704" s="6">
        <v>30000</v>
      </c>
      <c r="D7704" s="7">
        <v>0.9</v>
      </c>
      <c r="E7704" t="s">
        <v>15</v>
      </c>
    </row>
    <row r="7705" spans="1:5" x14ac:dyDescent="0.25">
      <c r="A7705" t="str">
        <f>HYPERLINK("https://www.773grp.com/globalSearch/NCP663SQ15T1G/page-1", "NCP663SQ15T1G")</f>
        <v>NCP663SQ15T1G</v>
      </c>
      <c r="B7705" s="3" t="str">
        <f>HYPERLINK("https://www.773grp.com/manufacturer/onsemi?pageNo=964", "Onsemi")</f>
        <v>Onsemi</v>
      </c>
      <c r="C7705" s="6">
        <v>8260</v>
      </c>
      <c r="D7705" s="7">
        <v>0.9</v>
      </c>
      <c r="E7705" t="s">
        <v>15</v>
      </c>
    </row>
    <row r="7706" spans="1:5" x14ac:dyDescent="0.25">
      <c r="A7706" t="str">
        <f>HYPERLINK("https://www.773grp.com/globalSearch/NCP663SQ18T1G/page-1", "NCP663SQ18T1G")</f>
        <v>NCP663SQ18T1G</v>
      </c>
      <c r="B7706" s="3" t="str">
        <f>HYPERLINK("https://www.773grp.com/manufacturer/onsemi?pageNo=965", "Onsemi")</f>
        <v>Onsemi</v>
      </c>
      <c r="C7706" s="6">
        <v>29554</v>
      </c>
      <c r="D7706" s="7">
        <v>0.9</v>
      </c>
      <c r="E7706" t="s">
        <v>15</v>
      </c>
    </row>
    <row r="7707" spans="1:5" x14ac:dyDescent="0.25">
      <c r="A7707" t="str">
        <f>HYPERLINK("https://www.773grp.com/globalSearch/NCP663SQ25T1G/page-1", "NCP663SQ25T1G")</f>
        <v>NCP663SQ25T1G</v>
      </c>
      <c r="B7707" s="3" t="str">
        <f>HYPERLINK("https://www.773grp.com/manufacturer/onsemi?pageNo=966", "Onsemi")</f>
        <v>Onsemi</v>
      </c>
      <c r="C7707" s="6">
        <v>26825</v>
      </c>
      <c r="D7707" s="7">
        <v>0.9</v>
      </c>
      <c r="E7707" t="s">
        <v>15</v>
      </c>
    </row>
    <row r="7708" spans="1:5" x14ac:dyDescent="0.25">
      <c r="A7708" t="str">
        <f>HYPERLINK("https://www.773grp.com/globalSearch/NCP663SQ27T1G/page-1", "NCP663SQ27T1G")</f>
        <v>NCP663SQ27T1G</v>
      </c>
      <c r="B7708" s="3" t="str">
        <f>HYPERLINK("https://www.773grp.com/manufacturer/onsemi?pageNo=967", "Onsemi")</f>
        <v>Onsemi</v>
      </c>
      <c r="C7708" s="6">
        <v>20357</v>
      </c>
      <c r="D7708" s="7">
        <v>0.9</v>
      </c>
      <c r="E7708" t="s">
        <v>15</v>
      </c>
    </row>
    <row r="7709" spans="1:5" x14ac:dyDescent="0.25">
      <c r="A7709" t="str">
        <f>HYPERLINK("https://www.773grp.com/globalSearch/NCP663SQ28T1G/page-1", "NCP663SQ28T1G")</f>
        <v>NCP663SQ28T1G</v>
      </c>
      <c r="B7709" s="3" t="str">
        <f>HYPERLINK("https://www.773grp.com/manufacturer/onsemi?pageNo=968", "Onsemi")</f>
        <v>Onsemi</v>
      </c>
      <c r="C7709" s="6">
        <v>53900</v>
      </c>
      <c r="D7709" s="7">
        <v>0.9</v>
      </c>
      <c r="E7709" t="s">
        <v>15</v>
      </c>
    </row>
    <row r="7710" spans="1:5" x14ac:dyDescent="0.25">
      <c r="A7710" t="str">
        <f>HYPERLINK("https://www.773grp.com/globalSearch/NCP663SQ30T1G/page-1", "NCP663SQ30T1G")</f>
        <v>NCP663SQ30T1G</v>
      </c>
      <c r="B7710" s="3" t="str">
        <f>HYPERLINK("https://www.773grp.com/manufacturer/onsemi?pageNo=969", "Onsemi")</f>
        <v>Onsemi</v>
      </c>
      <c r="C7710" s="6">
        <v>38946</v>
      </c>
      <c r="D7710" s="7">
        <v>0.9</v>
      </c>
      <c r="E7710" t="s">
        <v>15</v>
      </c>
    </row>
    <row r="7711" spans="1:5" x14ac:dyDescent="0.25">
      <c r="A7711" t="str">
        <f>HYPERLINK("https://www.773grp.com/globalSearch/NCP663SQ33T1G/page-1", "NCP663SQ33T1G")</f>
        <v>NCP663SQ33T1G</v>
      </c>
      <c r="B7711" s="3" t="str">
        <f>HYPERLINK("https://www.773grp.com/manufacturer/onsemi?pageNo=970", "Onsemi")</f>
        <v>Onsemi</v>
      </c>
      <c r="C7711" s="6">
        <v>17830</v>
      </c>
      <c r="D7711" s="7">
        <v>0.9</v>
      </c>
      <c r="E7711" t="s">
        <v>15</v>
      </c>
    </row>
    <row r="7712" spans="1:5" x14ac:dyDescent="0.25">
      <c r="A7712" t="str">
        <f>HYPERLINK("https://www.773grp.com/globalSearch/NCP663SQ50T1G/page-1", "NCP663SQ50T1G")</f>
        <v>NCP663SQ50T1G</v>
      </c>
      <c r="B7712" s="3" t="str">
        <f>HYPERLINK("https://www.773grp.com/manufacturer/onsemi?pageNo=971", "Onsemi")</f>
        <v>Onsemi</v>
      </c>
      <c r="C7712" s="6">
        <v>20625</v>
      </c>
      <c r="D7712" s="7">
        <v>0.9</v>
      </c>
      <c r="E7712" t="s">
        <v>15</v>
      </c>
    </row>
    <row r="7713" spans="1:5" x14ac:dyDescent="0.25">
      <c r="A7713" t="str">
        <f>HYPERLINK("https://www.773grp.com/globalSearch/NCS2200SN1T1/page-1", "NCS2200SN1T1")</f>
        <v>NCS2200SN1T1</v>
      </c>
      <c r="B7713" s="3" t="str">
        <f>HYPERLINK("https://www.773grp.com/manufacturer/onsemi?pageNo=972", "Onsemi")</f>
        <v>Onsemi</v>
      </c>
      <c r="C7713" s="6">
        <v>25</v>
      </c>
      <c r="D7713" s="7">
        <v>0.9</v>
      </c>
      <c r="E7713" t="s">
        <v>6</v>
      </c>
    </row>
    <row r="7714" spans="1:5" x14ac:dyDescent="0.25">
      <c r="A7714" t="str">
        <f>HYPERLINK("https://www.773grp.com/globalSearch/NCT75DR2G/page-1", "NCT75DR2G")</f>
        <v>NCT75DR2G</v>
      </c>
      <c r="B7714" s="3" t="str">
        <f>HYPERLINK("https://www.773grp.com/manufacturer/onsemi?pageNo=973", "Onsemi")</f>
        <v>Onsemi</v>
      </c>
      <c r="C7714" s="6">
        <v>90000</v>
      </c>
      <c r="D7714" s="7">
        <v>0.9</v>
      </c>
    </row>
    <row r="7715" spans="1:5" x14ac:dyDescent="0.25">
      <c r="A7715" t="str">
        <f>HYPERLINK("https://www.773grp.com/globalSearch/NCV2902DTBR2G/page-1", "NCV2902DTBR2G")</f>
        <v>NCV2902DTBR2G</v>
      </c>
      <c r="B7715" s="3" t="str">
        <f>HYPERLINK("https://www.773grp.com/manufacturer/onsemi?pageNo=974", "Onsemi")</f>
        <v>Onsemi</v>
      </c>
      <c r="C7715" s="6">
        <v>8059</v>
      </c>
      <c r="D7715" s="7">
        <v>0.9</v>
      </c>
    </row>
    <row r="7716" spans="1:5" x14ac:dyDescent="0.25">
      <c r="A7716" t="str">
        <f>HYPERLINK("https://www.773grp.com/globalSearch/NCV2951ACD-3.3R2/page-1", "NCV2951ACD-3.3R2")</f>
        <v>NCV2951ACD-3.3R2</v>
      </c>
      <c r="B7716" s="3" t="str">
        <f>HYPERLINK("https://www.773grp.com/manufacturer/onsemi?pageNo=975", "Onsemi")</f>
        <v>Onsemi</v>
      </c>
      <c r="C7716" s="6">
        <v>1</v>
      </c>
      <c r="D7716" s="7">
        <v>0.9</v>
      </c>
      <c r="E7716" t="s">
        <v>15</v>
      </c>
    </row>
    <row r="7717" spans="1:5" x14ac:dyDescent="0.25">
      <c r="A7717" t="str">
        <f>HYPERLINK("https://www.773grp.com/globalSearch/NCV2951ACDR2/page-1", "NCV2951ACDR2")</f>
        <v>NCV2951ACDR2</v>
      </c>
      <c r="B7717" s="3" t="str">
        <f>HYPERLINK("https://www.773grp.com/manufacturer/onsemi?pageNo=976", "Onsemi")</f>
        <v>Onsemi</v>
      </c>
      <c r="C7717" s="6">
        <v>3555</v>
      </c>
      <c r="D7717" s="7">
        <v>0.9</v>
      </c>
      <c r="E7717" t="s">
        <v>23</v>
      </c>
    </row>
    <row r="7718" spans="1:5" x14ac:dyDescent="0.25">
      <c r="A7718" t="str">
        <f>HYPERLINK("https://www.773grp.com/globalSearch/NCV2951CDR2/page-1", "NCV2951CDR2")</f>
        <v>NCV2951CDR2</v>
      </c>
      <c r="B7718" s="3" t="str">
        <f>HYPERLINK("https://www.773grp.com/manufacturer/onsemi?pageNo=977", "Onsemi")</f>
        <v>Onsemi</v>
      </c>
      <c r="C7718" s="6">
        <v>4915</v>
      </c>
      <c r="D7718" s="7">
        <v>0.9</v>
      </c>
      <c r="E7718" t="s">
        <v>23</v>
      </c>
    </row>
    <row r="7719" spans="1:5" x14ac:dyDescent="0.25">
      <c r="A7719" t="str">
        <f>HYPERLINK("https://www.773grp.com/globalSearch/NCV78L05ABPREG/page-1", "NCV78L05ABPREG")</f>
        <v>NCV78L05ABPREG</v>
      </c>
      <c r="B7719" s="3" t="str">
        <f>HYPERLINK("https://www.773grp.com/manufacturer/onsemi?pageNo=978", "Onsemi")</f>
        <v>Onsemi</v>
      </c>
      <c r="C7719" s="6">
        <v>1186</v>
      </c>
      <c r="D7719" s="7">
        <v>0.9</v>
      </c>
      <c r="E7719" t="s">
        <v>24</v>
      </c>
    </row>
    <row r="7720" spans="1:5" x14ac:dyDescent="0.25">
      <c r="A7720" t="str">
        <f>HYPERLINK("https://www.773grp.com/globalSearch/NJV2N6109G/page-1", "NJV2N6109G")</f>
        <v>NJV2N6109G</v>
      </c>
      <c r="B7720" s="3" t="str">
        <f>HYPERLINK("https://www.773grp.com/manufacturer/onsemi?pageNo=979", "Onsemi")</f>
        <v>Onsemi</v>
      </c>
      <c r="C7720" s="6">
        <v>8122</v>
      </c>
      <c r="D7720" s="7">
        <v>0.9</v>
      </c>
    </row>
    <row r="7721" spans="1:5" x14ac:dyDescent="0.25">
      <c r="A7721" t="str">
        <f>HYPERLINK("https://www.773grp.com/globalSearch/NJVMJD44H11T4/page-1", "NJVMJD44H11T4")</f>
        <v>NJVMJD44H11T4</v>
      </c>
      <c r="B7721" s="3" t="str">
        <f>HYPERLINK("https://www.773grp.com/manufacturer/onsemi?pageNo=980", "Onsemi")</f>
        <v>Onsemi</v>
      </c>
      <c r="C7721" s="6">
        <v>6029</v>
      </c>
      <c r="D7721" s="7">
        <v>0.9</v>
      </c>
    </row>
    <row r="7722" spans="1:5" x14ac:dyDescent="0.25">
      <c r="A7722" t="str">
        <f>HYPERLINK("https://www.773grp.com/globalSearch/NL37WZ04USG/page-1", "NL37WZ04USG")</f>
        <v>NL37WZ04USG</v>
      </c>
      <c r="B7722" s="3" t="str">
        <f>HYPERLINK("https://www.773grp.com/manufacturer/onsemi?pageNo=981", "Onsemi")</f>
        <v>Onsemi</v>
      </c>
      <c r="C7722" s="6">
        <v>4888</v>
      </c>
      <c r="D7722" s="7">
        <v>0.9</v>
      </c>
      <c r="E7722" t="s">
        <v>27</v>
      </c>
    </row>
    <row r="7723" spans="1:5" x14ac:dyDescent="0.25">
      <c r="A7723" t="str">
        <f>HYPERLINK("https://www.773grp.com/globalSearch/NL37WZ06USG/page-1", "NL37WZ06USG")</f>
        <v>NL37WZ06USG</v>
      </c>
      <c r="B7723" s="3" t="str">
        <f>HYPERLINK("https://www.773grp.com/manufacturer/onsemi?pageNo=982", "Onsemi")</f>
        <v>Onsemi</v>
      </c>
      <c r="C7723" s="6">
        <v>89284</v>
      </c>
      <c r="D7723" s="7">
        <v>0.9</v>
      </c>
      <c r="E7723" t="s">
        <v>27</v>
      </c>
    </row>
    <row r="7724" spans="1:5" x14ac:dyDescent="0.25">
      <c r="A7724" t="str">
        <f>HYPERLINK("https://www.773grp.com/globalSearch/NL37WZ07USG/page-1", "NL37WZ07USG")</f>
        <v>NL37WZ07USG</v>
      </c>
      <c r="B7724" s="3" t="str">
        <f>HYPERLINK("https://www.773grp.com/manufacturer/onsemi?pageNo=983", "Onsemi")</f>
        <v>Onsemi</v>
      </c>
      <c r="C7724" s="6">
        <v>12190</v>
      </c>
      <c r="D7724" s="7">
        <v>0.9</v>
      </c>
      <c r="E7724" t="s">
        <v>27</v>
      </c>
    </row>
    <row r="7725" spans="1:5" x14ac:dyDescent="0.25">
      <c r="A7725" t="str">
        <f>HYPERLINK("https://www.773grp.com/globalSearch/NL37WZ14USG/page-1", "NL37WZ14USG")</f>
        <v>NL37WZ14USG</v>
      </c>
      <c r="B7725" s="3" t="str">
        <f>HYPERLINK("https://www.773grp.com/manufacturer/onsemi?pageNo=984", "Onsemi")</f>
        <v>Onsemi</v>
      </c>
      <c r="C7725" s="6">
        <v>461865</v>
      </c>
      <c r="D7725" s="7">
        <v>0.9</v>
      </c>
      <c r="E7725" t="s">
        <v>27</v>
      </c>
    </row>
    <row r="7726" spans="1:5" x14ac:dyDescent="0.25">
      <c r="A7726" t="str">
        <f>HYPERLINK("https://www.773grp.com/globalSearch/NL37WZ16USG/page-1", "NL37WZ16USG")</f>
        <v>NL37WZ16USG</v>
      </c>
      <c r="B7726" s="3" t="str">
        <f>HYPERLINK("https://www.773grp.com/manufacturer/onsemi?pageNo=985", "Onsemi")</f>
        <v>Onsemi</v>
      </c>
      <c r="C7726" s="6">
        <v>46143</v>
      </c>
      <c r="D7726" s="7">
        <v>0.9</v>
      </c>
      <c r="E7726" t="s">
        <v>27</v>
      </c>
    </row>
    <row r="7727" spans="1:5" x14ac:dyDescent="0.25">
      <c r="A7727" t="str">
        <f>HYPERLINK("https://www.773grp.com/globalSearch/NL37WZ17USG/page-1", "NL37WZ17USG")</f>
        <v>NL37WZ17USG</v>
      </c>
      <c r="B7727" s="3" t="str">
        <f>HYPERLINK("https://www.773grp.com/manufacturer/onsemi?pageNo=986", "Onsemi")</f>
        <v>Onsemi</v>
      </c>
      <c r="C7727" s="6">
        <v>89475</v>
      </c>
      <c r="D7727" s="7">
        <v>0.9</v>
      </c>
      <c r="E7727" t="s">
        <v>27</v>
      </c>
    </row>
    <row r="7728" spans="1:5" x14ac:dyDescent="0.25">
      <c r="A7728" t="str">
        <f>HYPERLINK("https://www.773grp.com/globalSearch/NLU3G14MUTAG/page-1", "NLU3G14MUTAG")</f>
        <v>NLU3G14MUTAG</v>
      </c>
      <c r="B7728" s="3" t="str">
        <f>HYPERLINK("https://www.773grp.com/manufacturer/onsemi?pageNo=987", "Onsemi")</f>
        <v>Onsemi</v>
      </c>
      <c r="C7728" s="6">
        <v>144965</v>
      </c>
      <c r="D7728" s="7">
        <v>0.9</v>
      </c>
      <c r="E7728" t="s">
        <v>27</v>
      </c>
    </row>
    <row r="7729" spans="1:5" x14ac:dyDescent="0.25">
      <c r="A7729" t="str">
        <f>HYPERLINK("https://www.773grp.com/globalSearch/NLU3G16MUTAG/page-1", "NLU3G16MUTAG")</f>
        <v>NLU3G16MUTAG</v>
      </c>
      <c r="B7729" s="3" t="str">
        <f>HYPERLINK("https://www.773grp.com/manufacturer/onsemi?pageNo=988", "Onsemi")</f>
        <v>Onsemi</v>
      </c>
      <c r="C7729" s="6">
        <v>197450</v>
      </c>
      <c r="D7729" s="7">
        <v>0.9</v>
      </c>
      <c r="E7729" t="s">
        <v>27</v>
      </c>
    </row>
    <row r="7730" spans="1:5" x14ac:dyDescent="0.25">
      <c r="A7730" t="str">
        <f>HYPERLINK("https://www.773grp.com/globalSearch/NLU3G17MUTAG/page-1", "NLU3G17MUTAG")</f>
        <v>NLU3G17MUTAG</v>
      </c>
      <c r="B7730" s="3" t="str">
        <f>HYPERLINK("https://www.773grp.com/manufacturer/onsemi?pageNo=989", "Onsemi")</f>
        <v>Onsemi</v>
      </c>
      <c r="C7730" s="6">
        <v>207000</v>
      </c>
      <c r="D7730" s="7">
        <v>0.9</v>
      </c>
      <c r="E7730" t="s">
        <v>27</v>
      </c>
    </row>
    <row r="7731" spans="1:5" x14ac:dyDescent="0.25">
      <c r="A7731" t="str">
        <f>HYPERLINK("https://www.773grp.com/globalSearch/NLV14024BDG/page-1", "NLV14024BDG")</f>
        <v>NLV14024BDG</v>
      </c>
      <c r="B7731" s="3" t="str">
        <f>HYPERLINK("https://www.773grp.com/manufacturer/onsemi?pageNo=990", "Onsemi")</f>
        <v>Onsemi</v>
      </c>
      <c r="C7731" s="6">
        <v>38</v>
      </c>
      <c r="D7731" s="7">
        <v>0.9</v>
      </c>
    </row>
    <row r="7732" spans="1:5" x14ac:dyDescent="0.25">
      <c r="A7732" t="str">
        <f>HYPERLINK("https://www.773grp.com/globalSearch/NLV14024BDR2G/page-1", "NLV14024BDR2G")</f>
        <v>NLV14024BDR2G</v>
      </c>
      <c r="B7732" s="3" t="str">
        <f>HYPERLINK("https://www.773grp.com/manufacturer/onsemi?pageNo=991", "Onsemi")</f>
        <v>Onsemi</v>
      </c>
      <c r="C7732" s="6">
        <v>7500</v>
      </c>
      <c r="D7732" s="7">
        <v>0.9</v>
      </c>
    </row>
    <row r="7733" spans="1:5" x14ac:dyDescent="0.25">
      <c r="A7733" t="str">
        <f>HYPERLINK("https://www.773grp.com/globalSearch/NLV14106BDG/page-1", "NLV14106BDG")</f>
        <v>NLV14106BDG</v>
      </c>
      <c r="B7733" s="3" t="str">
        <f>HYPERLINK("https://www.773grp.com/manufacturer/onsemi?pageNo=992", "Onsemi")</f>
        <v>Onsemi</v>
      </c>
      <c r="C7733" s="6">
        <v>45</v>
      </c>
      <c r="D7733" s="7">
        <v>0.9</v>
      </c>
    </row>
    <row r="7734" spans="1:5" x14ac:dyDescent="0.25">
      <c r="A7734" t="str">
        <f>HYPERLINK("https://www.773grp.com/globalSearch/NLV14106BDR2G/page-1", "NLV14106BDR2G")</f>
        <v>NLV14106BDR2G</v>
      </c>
      <c r="B7734" s="3" t="str">
        <f>HYPERLINK("https://www.773grp.com/manufacturer/onsemi?pageNo=993", "Onsemi")</f>
        <v>Onsemi</v>
      </c>
      <c r="C7734" s="6">
        <v>1835</v>
      </c>
      <c r="D7734" s="7">
        <v>0.9</v>
      </c>
    </row>
    <row r="7735" spans="1:5" x14ac:dyDescent="0.25">
      <c r="A7735" t="str">
        <f>HYPERLINK("https://www.773grp.com/globalSearch/NLV14584BDG/page-1", "NLV14584BDG")</f>
        <v>NLV14584BDG</v>
      </c>
      <c r="B7735" s="3" t="str">
        <f>HYPERLINK("https://www.773grp.com/manufacturer/onsemi?pageNo=994", "Onsemi")</f>
        <v>Onsemi</v>
      </c>
      <c r="C7735" s="6">
        <v>20</v>
      </c>
      <c r="D7735" s="7">
        <v>0.9</v>
      </c>
    </row>
    <row r="7736" spans="1:5" x14ac:dyDescent="0.25">
      <c r="A7736" t="str">
        <f>HYPERLINK("https://www.773grp.com/globalSearch/NLV14584BDR2G/page-1", "NLV14584BDR2G")</f>
        <v>NLV14584BDR2G</v>
      </c>
      <c r="B7736" s="3" t="str">
        <f>HYPERLINK("https://www.773grp.com/manufacturer/onsemi?pageNo=995", "Onsemi")</f>
        <v>Onsemi</v>
      </c>
      <c r="C7736" s="6">
        <v>101570</v>
      </c>
      <c r="D7736" s="7">
        <v>0.9</v>
      </c>
    </row>
    <row r="7737" spans="1:5" x14ac:dyDescent="0.25">
      <c r="A7737" t="str">
        <f>HYPERLINK("https://www.773grp.com/globalSearch/NLV14584BDTR2G/page-1", "NLV14584BDTR2G")</f>
        <v>NLV14584BDTR2G</v>
      </c>
      <c r="B7737" s="3" t="str">
        <f>HYPERLINK("https://www.773grp.com/manufacturer/onsemi?pageNo=996", "Onsemi")</f>
        <v>Onsemi</v>
      </c>
      <c r="C7737" s="6">
        <v>35000</v>
      </c>
      <c r="D7737" s="7">
        <v>0.9</v>
      </c>
    </row>
    <row r="7738" spans="1:5" x14ac:dyDescent="0.25">
      <c r="A7738" t="str">
        <f>HYPERLINK("https://www.773grp.com/globalSearch/NP1500SCT3G/page-1", "NP1500SCT3G")</f>
        <v>NP1500SCT3G</v>
      </c>
      <c r="B7738" s="3" t="str">
        <f>HYPERLINK("https://www.773grp.com/manufacturer/onsemi?pageNo=997", "Onsemi")</f>
        <v>Onsemi</v>
      </c>
      <c r="C7738" s="6">
        <v>2500</v>
      </c>
      <c r="D7738" s="7">
        <v>0.9</v>
      </c>
    </row>
    <row r="7739" spans="1:5" x14ac:dyDescent="0.25">
      <c r="A7739" t="str">
        <f>HYPERLINK("https://www.773grp.com/globalSearch/NSB13ANT3G/page-1", "NSB13ANT3G")</f>
        <v>NSB13ANT3G</v>
      </c>
      <c r="B7739" s="3" t="str">
        <f>HYPERLINK("https://www.773grp.com/manufacturer/onsemi?pageNo=998", "Onsemi")</f>
        <v>Onsemi</v>
      </c>
      <c r="C7739" s="6">
        <v>5000</v>
      </c>
      <c r="D7739" s="7">
        <v>0.9</v>
      </c>
      <c r="E7739" t="s">
        <v>75</v>
      </c>
    </row>
    <row r="7740" spans="1:5" x14ac:dyDescent="0.25">
      <c r="A7740" t="str">
        <f>HYPERLINK("https://www.773grp.com/globalSearch/NSS60200LT1G/page-1", "NSS60200LT1G")</f>
        <v>NSS60200LT1G</v>
      </c>
      <c r="B7740" s="3" t="str">
        <f>HYPERLINK("https://www.773grp.com/manufacturer/onsemi?pageNo=999", "Onsemi")</f>
        <v>Onsemi</v>
      </c>
      <c r="C7740" s="6">
        <v>3000</v>
      </c>
      <c r="D7740" s="7">
        <v>0.9</v>
      </c>
    </row>
    <row r="7741" spans="1:5" x14ac:dyDescent="0.25">
      <c r="A7741" t="str">
        <f>HYPERLINK("https://www.773grp.com/globalSearch/NSS60201LT1G/page-1", "NSS60201LT1G")</f>
        <v>NSS60201LT1G</v>
      </c>
      <c r="B7741" s="3" t="str">
        <f>HYPERLINK("https://www.773grp.com/manufacturer/onsemi?pageNo=1000", "Onsemi")</f>
        <v>Onsemi</v>
      </c>
      <c r="C7741" s="6">
        <v>3000</v>
      </c>
      <c r="D7741" s="7">
        <v>0.9</v>
      </c>
    </row>
    <row r="7742" spans="1:5" x14ac:dyDescent="0.25">
      <c r="A7742" t="str">
        <f>HYPERLINK("https://www.773grp.com/globalSearch/NST30010MXV6T1G/page-1", "NST30010MXV6T1G")</f>
        <v>NST30010MXV6T1G</v>
      </c>
      <c r="B7742" s="3" t="str">
        <f>HYPERLINK("https://www.773grp.com/manufacturer/onsemi?pageNo=1001", "Onsemi")</f>
        <v>Onsemi</v>
      </c>
      <c r="C7742" s="6">
        <v>23339</v>
      </c>
      <c r="D7742" s="7">
        <v>0.9</v>
      </c>
    </row>
    <row r="7743" spans="1:5" x14ac:dyDescent="0.25">
      <c r="A7743" t="str">
        <f>HYPERLINK("https://www.773grp.com/globalSearch/NSV40301MZ4T1G/page-1", "NSV40301MZ4T1G")</f>
        <v>NSV40301MZ4T1G</v>
      </c>
      <c r="B7743" s="3" t="str">
        <f>HYPERLINK("https://www.773grp.com/manufacturer/onsemi?pageNo=1002", "Onsemi")</f>
        <v>Onsemi</v>
      </c>
      <c r="C7743" s="6">
        <v>1000</v>
      </c>
      <c r="D7743" s="7">
        <v>0.9</v>
      </c>
    </row>
    <row r="7744" spans="1:5" x14ac:dyDescent="0.25">
      <c r="A7744" t="str">
        <f>HYPERLINK("https://www.773grp.com/globalSearch/NTB18N06T4/page-1", "NTB18N06T4")</f>
        <v>NTB18N06T4</v>
      </c>
      <c r="B7744" s="3" t="str">
        <f>HYPERLINK("https://www.773grp.com/manufacturer/onsemi?pageNo=1003", "Onsemi")</f>
        <v>Onsemi</v>
      </c>
      <c r="C7744" s="6">
        <v>18686</v>
      </c>
      <c r="D7744" s="7">
        <v>0.9</v>
      </c>
      <c r="E7744" t="s">
        <v>84</v>
      </c>
    </row>
    <row r="7745" spans="1:5" x14ac:dyDescent="0.25">
      <c r="A7745" t="str">
        <f>HYPERLINK("https://www.773grp.com/globalSearch/NTB23N03RT4G/page-1", "NTB23N03RT4G")</f>
        <v>NTB23N03RT4G</v>
      </c>
      <c r="B7745" s="3" t="str">
        <f>HYPERLINK("https://www.773grp.com/manufacturer/onsemi?pageNo=1004", "Onsemi")</f>
        <v>Onsemi</v>
      </c>
      <c r="C7745" s="6">
        <v>14294</v>
      </c>
      <c r="D7745" s="7">
        <v>0.9</v>
      </c>
      <c r="E7745" t="s">
        <v>84</v>
      </c>
    </row>
    <row r="7746" spans="1:5" x14ac:dyDescent="0.25">
      <c r="A7746" t="str">
        <f>HYPERLINK("https://www.773grp.com/globalSearch/NTB75N03R/page-1", "NTB75N03R")</f>
        <v>NTB75N03R</v>
      </c>
      <c r="B7746" s="3" t="str">
        <f>HYPERLINK("https://www.773grp.com/manufacturer/onsemi?pageNo=1005", "Onsemi")</f>
        <v>Onsemi</v>
      </c>
      <c r="C7746" s="6">
        <v>1050</v>
      </c>
      <c r="D7746" s="7">
        <v>0.9</v>
      </c>
      <c r="E7746" t="s">
        <v>84</v>
      </c>
    </row>
    <row r="7747" spans="1:5" x14ac:dyDescent="0.25">
      <c r="A7747" t="str">
        <f>HYPERLINK("https://www.773grp.com/globalSearch/NTD3055AV1/page-1", "NTD3055AV1")</f>
        <v>NTD3055AV1</v>
      </c>
      <c r="B7747" s="3" t="str">
        <f>HYPERLINK("https://www.773grp.com/manufacturer/onsemi?pageNo=1006", "Onsemi")</f>
        <v>Onsemi</v>
      </c>
      <c r="C7747" s="6">
        <v>2625</v>
      </c>
      <c r="D7747" s="7">
        <v>0.9</v>
      </c>
    </row>
    <row r="7748" spans="1:5" x14ac:dyDescent="0.25">
      <c r="A7748" t="str">
        <f>HYPERLINK("https://www.773grp.com/globalSearch/NTD3055AVL1/page-1", "NTD3055AVL1")</f>
        <v>NTD3055AVL1</v>
      </c>
      <c r="B7748" s="3" t="str">
        <f>HYPERLINK("https://www.773grp.com/manufacturer/onsemi?pageNo=1007", "Onsemi")</f>
        <v>Onsemi</v>
      </c>
      <c r="C7748" s="6">
        <v>150</v>
      </c>
      <c r="D7748" s="7">
        <v>0.9</v>
      </c>
    </row>
    <row r="7749" spans="1:5" x14ac:dyDescent="0.25">
      <c r="A7749" t="str">
        <f>HYPERLINK("https://www.773grp.com/globalSearch/NTD3055AVT4/page-1", "NTD3055AVT4")</f>
        <v>NTD3055AVT4</v>
      </c>
      <c r="B7749" s="3" t="str">
        <f>HYPERLINK("https://www.773grp.com/manufacturer/onsemi?pageNo=1008", "Onsemi")</f>
        <v>Onsemi</v>
      </c>
      <c r="C7749" s="6">
        <v>5000</v>
      </c>
      <c r="D7749" s="7">
        <v>0.9</v>
      </c>
    </row>
    <row r="7750" spans="1:5" x14ac:dyDescent="0.25">
      <c r="A7750" t="str">
        <f>HYPERLINK("https://www.773grp.com/globalSearch/NTD4809NHT4G/page-1", "NTD4809NHT4G")</f>
        <v>NTD4809NHT4G</v>
      </c>
      <c r="B7750" s="3" t="str">
        <f>HYPERLINK("https://www.773grp.com/manufacturer/onsemi?pageNo=1009", "Onsemi")</f>
        <v>Onsemi</v>
      </c>
      <c r="C7750" s="6">
        <v>166475</v>
      </c>
      <c r="D7750" s="7">
        <v>0.9</v>
      </c>
      <c r="E7750" t="s">
        <v>84</v>
      </c>
    </row>
    <row r="7751" spans="1:5" x14ac:dyDescent="0.25">
      <c r="A7751" t="str">
        <f>HYPERLINK("https://www.773grp.com/globalSearch/NTD4856NT4G/page-1", "NTD4856NT4G")</f>
        <v>NTD4856NT4G</v>
      </c>
      <c r="B7751" s="3" t="str">
        <f>HYPERLINK("https://www.773grp.com/manufacturer/onsemi?pageNo=1010", "Onsemi")</f>
        <v>Onsemi</v>
      </c>
      <c r="C7751" s="6">
        <v>2812</v>
      </c>
      <c r="D7751" s="7">
        <v>0.9</v>
      </c>
    </row>
    <row r="7752" spans="1:5" x14ac:dyDescent="0.25">
      <c r="A7752" t="str">
        <f>HYPERLINK("https://www.773grp.com/globalSearch/NTD4858N-1G/page-1", "NTD4858N-1G")</f>
        <v>NTD4858N-1G</v>
      </c>
      <c r="B7752" s="3" t="str">
        <f>HYPERLINK("https://www.773grp.com/manufacturer/onsemi?pageNo=1011", "Onsemi")</f>
        <v>Onsemi</v>
      </c>
      <c r="C7752" s="6">
        <v>4875</v>
      </c>
      <c r="D7752" s="7">
        <v>0.9</v>
      </c>
      <c r="E7752" t="s">
        <v>84</v>
      </c>
    </row>
    <row r="7753" spans="1:5" x14ac:dyDescent="0.25">
      <c r="A7753" t="str">
        <f>HYPERLINK("https://www.773grp.com/globalSearch/NTD4858NT4G/page-1", "NTD4858NT4G")</f>
        <v>NTD4858NT4G</v>
      </c>
      <c r="B7753" s="3" t="str">
        <f>HYPERLINK("https://www.773grp.com/manufacturer/onsemi?pageNo=1012", "Onsemi")</f>
        <v>Onsemi</v>
      </c>
      <c r="C7753" s="6">
        <v>8552</v>
      </c>
      <c r="D7753" s="7">
        <v>0.9</v>
      </c>
      <c r="E7753" t="s">
        <v>84</v>
      </c>
    </row>
    <row r="7754" spans="1:5" x14ac:dyDescent="0.25">
      <c r="A7754" t="str">
        <f>HYPERLINK("https://www.773grp.com/globalSearch/NTD5407NT4G/page-1", "NTD5407NT4G")</f>
        <v>NTD5407NT4G</v>
      </c>
      <c r="B7754" s="3" t="str">
        <f>HYPERLINK("https://www.773grp.com/manufacturer/onsemi?pageNo=1013", "Onsemi")</f>
        <v>Onsemi</v>
      </c>
      <c r="C7754" s="6">
        <v>2500</v>
      </c>
      <c r="D7754" s="7">
        <v>0.9</v>
      </c>
      <c r="E7754" t="s">
        <v>84</v>
      </c>
    </row>
    <row r="7755" spans="1:5" x14ac:dyDescent="0.25">
      <c r="A7755" t="str">
        <f>HYPERLINK("https://www.773grp.com/globalSearch/NTHD3102CT1G/page-1", "NTHD3102CT1G")</f>
        <v>NTHD3102CT1G</v>
      </c>
      <c r="B7755" s="3" t="str">
        <f>HYPERLINK("https://www.773grp.com/manufacturer/onsemi?pageNo=1014", "Onsemi")</f>
        <v>Onsemi</v>
      </c>
      <c r="C7755" s="6">
        <v>13385</v>
      </c>
      <c r="D7755" s="7">
        <v>0.9</v>
      </c>
      <c r="E7755" t="s">
        <v>84</v>
      </c>
    </row>
    <row r="7756" spans="1:5" x14ac:dyDescent="0.25">
      <c r="A7756" t="str">
        <f>HYPERLINK("https://www.773grp.com/globalSearch/NTHD5904NT1G/page-1", "NTHD5904NT1G")</f>
        <v>NTHD5904NT1G</v>
      </c>
      <c r="B7756" s="3" t="str">
        <f>HYPERLINK("https://www.773grp.com/manufacturer/onsemi?pageNo=1015", "Onsemi")</f>
        <v>Onsemi</v>
      </c>
      <c r="C7756" s="6">
        <v>5663</v>
      </c>
      <c r="D7756" s="7">
        <v>0.9</v>
      </c>
      <c r="E7756" t="s">
        <v>85</v>
      </c>
    </row>
    <row r="7757" spans="1:5" x14ac:dyDescent="0.25">
      <c r="A7757" t="str">
        <f>HYPERLINK("https://www.773grp.com/globalSearch/NTMD6P02R2/page-1", "NTMD6P02R2")</f>
        <v>NTMD6P02R2</v>
      </c>
      <c r="B7757" s="3" t="str">
        <f>HYPERLINK("https://www.773grp.com/manufacturer/onsemi?pageNo=1016", "Onsemi")</f>
        <v>Onsemi</v>
      </c>
      <c r="C7757" s="6">
        <v>85</v>
      </c>
      <c r="D7757" s="7">
        <v>0.9</v>
      </c>
      <c r="E7757" t="s">
        <v>85</v>
      </c>
    </row>
    <row r="7758" spans="1:5" x14ac:dyDescent="0.25">
      <c r="A7758" t="str">
        <f>HYPERLINK("https://www.773grp.com/globalSearch/NTMFS4708NT1G/page-1", "NTMFS4708NT1G")</f>
        <v>NTMFS4708NT1G</v>
      </c>
      <c r="B7758" s="3" t="str">
        <f>HYPERLINK("https://www.773grp.com/manufacturer/onsemi?pageNo=1017", "Onsemi")</f>
        <v>Onsemi</v>
      </c>
      <c r="C7758" s="6">
        <v>64433</v>
      </c>
      <c r="D7758" s="7">
        <v>0.9</v>
      </c>
      <c r="E7758" t="s">
        <v>85</v>
      </c>
    </row>
    <row r="7759" spans="1:5" x14ac:dyDescent="0.25">
      <c r="A7759" t="str">
        <f>HYPERLINK("https://www.773grp.com/globalSearch/NTMFS4708NT3G/page-1", "NTMFS4708NT3G")</f>
        <v>NTMFS4708NT3G</v>
      </c>
      <c r="B7759" s="3" t="str">
        <f>HYPERLINK("https://www.773grp.com/manufacturer/onsemi?pageNo=1018", "Onsemi")</f>
        <v>Onsemi</v>
      </c>
      <c r="C7759" s="6">
        <v>5000</v>
      </c>
      <c r="D7759" s="7">
        <v>0.9</v>
      </c>
      <c r="E7759" t="s">
        <v>85</v>
      </c>
    </row>
    <row r="7760" spans="1:5" x14ac:dyDescent="0.25">
      <c r="A7760" t="str">
        <f>HYPERLINK("https://www.773grp.com/globalSearch/NTMFS4925NT1G/page-1", "NTMFS4925NT1G")</f>
        <v>NTMFS4925NT1G</v>
      </c>
      <c r="B7760" s="3" t="str">
        <f>HYPERLINK("https://www.773grp.com/manufacturer/onsemi?pageNo=1019", "Onsemi")</f>
        <v>Onsemi</v>
      </c>
      <c r="C7760" s="6">
        <v>4500</v>
      </c>
      <c r="D7760" s="7">
        <v>0.9</v>
      </c>
    </row>
    <row r="7761" spans="1:5" x14ac:dyDescent="0.25">
      <c r="A7761" t="str">
        <f>HYPERLINK("https://www.773grp.com/globalSearch/NTMFS4941NT1G/page-1", "NTMFS4941NT1G")</f>
        <v>NTMFS4941NT1G</v>
      </c>
      <c r="B7761" s="3" t="str">
        <f>HYPERLINK("https://www.773grp.com/manufacturer/onsemi?pageNo=1020", "Onsemi")</f>
        <v>Onsemi</v>
      </c>
      <c r="C7761" s="6">
        <v>179890</v>
      </c>
      <c r="D7761" s="7">
        <v>0.9</v>
      </c>
      <c r="E7761" t="s">
        <v>84</v>
      </c>
    </row>
    <row r="7762" spans="1:5" x14ac:dyDescent="0.25">
      <c r="A7762" t="str">
        <f>HYPERLINK("https://www.773grp.com/globalSearch/NTMS4705NR2G/page-1", "NTMS4705NR2G")</f>
        <v>NTMS4705NR2G</v>
      </c>
      <c r="B7762" s="3" t="str">
        <f>HYPERLINK("https://www.773grp.com/manufacturer/onsemi?pageNo=1021", "Onsemi")</f>
        <v>Onsemi</v>
      </c>
      <c r="C7762" s="6">
        <v>21419</v>
      </c>
      <c r="D7762" s="7">
        <v>0.9</v>
      </c>
      <c r="E7762" t="s">
        <v>85</v>
      </c>
    </row>
    <row r="7763" spans="1:5" x14ac:dyDescent="0.25">
      <c r="A7763" t="str">
        <f>HYPERLINK("https://www.773grp.com/globalSearch/NTUD3171PZT5G/page-1", "NTUD3171PZT5G")</f>
        <v>NTUD3171PZT5G</v>
      </c>
      <c r="B7763" s="3" t="str">
        <f>HYPERLINK("https://www.773grp.com/manufacturer/onsemi?pageNo=1022", "Onsemi")</f>
        <v>Onsemi</v>
      </c>
      <c r="C7763" s="6">
        <v>39750</v>
      </c>
      <c r="D7763" s="7">
        <v>0.9</v>
      </c>
      <c r="E7763" t="s">
        <v>85</v>
      </c>
    </row>
    <row r="7764" spans="1:5" x14ac:dyDescent="0.25">
      <c r="A7764" t="str">
        <f>HYPERLINK("https://www.773grp.com/globalSearch/NUF2114MNT1G/page-1", "NUF2114MNT1G")</f>
        <v>NUF2114MNT1G</v>
      </c>
      <c r="B7764" s="3" t="str">
        <f>HYPERLINK("https://www.773grp.com/manufacturer/onsemi?pageNo=1023", "Onsemi")</f>
        <v>Onsemi</v>
      </c>
      <c r="C7764" s="6">
        <v>280196</v>
      </c>
      <c r="D7764" s="7">
        <v>0.9</v>
      </c>
      <c r="E7764" t="s">
        <v>79</v>
      </c>
    </row>
    <row r="7765" spans="1:5" x14ac:dyDescent="0.25">
      <c r="A7765" t="str">
        <f>HYPERLINK("https://www.773grp.com/globalSearch/NUF2116MNT1G/page-1", "NUF2116MNT1G")</f>
        <v>NUF2116MNT1G</v>
      </c>
      <c r="B7765" s="3" t="str">
        <f>HYPERLINK("https://www.773grp.com/manufacturer/onsemi?pageNo=1024", "Onsemi")</f>
        <v>Onsemi</v>
      </c>
      <c r="C7765" s="6">
        <v>59490</v>
      </c>
      <c r="D7765" s="7">
        <v>0.9</v>
      </c>
      <c r="E7765" t="s">
        <v>79</v>
      </c>
    </row>
    <row r="7766" spans="1:5" x14ac:dyDescent="0.25">
      <c r="A7766" t="str">
        <f>HYPERLINK("https://www.773grp.com/globalSearch/NUF6400MNTBG/page-1", "NUF6400MNTBG")</f>
        <v>NUF6400MNTBG</v>
      </c>
      <c r="B7766" s="3" t="str">
        <f>HYPERLINK("https://www.773grp.com/manufacturer/onsemi?pageNo=1025", "Onsemi")</f>
        <v>Onsemi</v>
      </c>
      <c r="C7766" s="6">
        <v>927000</v>
      </c>
      <c r="D7766" s="7">
        <v>0.9</v>
      </c>
      <c r="E7766" t="s">
        <v>79</v>
      </c>
    </row>
    <row r="7767" spans="1:5" x14ac:dyDescent="0.25">
      <c r="A7767" t="str">
        <f>HYPERLINK("https://www.773grp.com/globalSearch/NUF6410MNT1G/page-1", "NUF6410MNT1G")</f>
        <v>NUF6410MNT1G</v>
      </c>
      <c r="B7767" s="3" t="str">
        <f>HYPERLINK("https://www.773grp.com/manufacturer/onsemi?pageNo=1026", "Onsemi")</f>
        <v>Onsemi</v>
      </c>
      <c r="C7767" s="6">
        <v>728087</v>
      </c>
      <c r="D7767" s="7">
        <v>0.9</v>
      </c>
      <c r="E7767" t="s">
        <v>79</v>
      </c>
    </row>
    <row r="7768" spans="1:5" x14ac:dyDescent="0.25">
      <c r="A7768" t="str">
        <f>HYPERLINK("https://www.773grp.com/globalSearch/NUS1204MNT1G/page-1", "NUS1204MNT1G")</f>
        <v>NUS1204MNT1G</v>
      </c>
      <c r="B7768" s="3" t="str">
        <f>HYPERLINK("https://www.773grp.com/manufacturer/onsemi?pageNo=1027", "Onsemi")</f>
        <v>Onsemi</v>
      </c>
      <c r="C7768" s="6">
        <v>18000</v>
      </c>
      <c r="D7768" s="7">
        <v>0.9</v>
      </c>
      <c r="E7768" t="s">
        <v>26</v>
      </c>
    </row>
    <row r="7769" spans="1:5" x14ac:dyDescent="0.25">
      <c r="A7769" t="str">
        <f>HYPERLINK("https://www.773grp.com/globalSearch/NUS2401SNT1G/page-1", "NUS2401SNT1G")</f>
        <v>NUS2401SNT1G</v>
      </c>
      <c r="B7769" s="3" t="str">
        <f>HYPERLINK("https://www.773grp.com/manufacturer/onsemi?pageNo=1028", "Onsemi")</f>
        <v>Onsemi</v>
      </c>
      <c r="C7769" s="6">
        <v>1314000</v>
      </c>
      <c r="D7769" s="7">
        <v>0.9</v>
      </c>
      <c r="E7769" t="s">
        <v>57</v>
      </c>
    </row>
    <row r="7770" spans="1:5" x14ac:dyDescent="0.25">
      <c r="A7770" t="str">
        <f>HYPERLINK("https://www.773grp.com/globalSearch/P6KE24ARL/page-1", "P6KE24ARL")</f>
        <v>P6KE24ARL</v>
      </c>
      <c r="B7770" s="3" t="str">
        <f>HYPERLINK("https://www.773grp.com/manufacturer/onsemi?pageNo=1029", "Onsemi")</f>
        <v>Onsemi</v>
      </c>
      <c r="C7770" s="6">
        <v>4000</v>
      </c>
      <c r="D7770" s="7">
        <v>0.9</v>
      </c>
      <c r="E7770" t="s">
        <v>75</v>
      </c>
    </row>
    <row r="7771" spans="1:5" x14ac:dyDescent="0.25">
      <c r="A7771" t="str">
        <f>HYPERLINK("https://www.773grp.com/globalSearch/P6SMB12AT3G/page-1", "P6SMB12AT3G")</f>
        <v>P6SMB12AT3G</v>
      </c>
      <c r="B7771" s="3" t="str">
        <f>HYPERLINK("https://www.773grp.com/manufacturer/onsemi?pageNo=1030", "Onsemi")</f>
        <v>Onsemi</v>
      </c>
      <c r="C7771" s="6">
        <v>77500</v>
      </c>
      <c r="D7771" s="7">
        <v>0.9</v>
      </c>
      <c r="E7771" t="s">
        <v>75</v>
      </c>
    </row>
    <row r="7772" spans="1:5" x14ac:dyDescent="0.25">
      <c r="A7772" t="str">
        <f>HYPERLINK("https://www.773grp.com/globalSearch/P6SMB160AT3/page-1", "P6SMB160AT3")</f>
        <v>P6SMB160AT3</v>
      </c>
      <c r="B7772" s="3" t="str">
        <f>HYPERLINK("https://www.773grp.com/manufacturer/onsemi?pageNo=1031", "Onsemi")</f>
        <v>Onsemi</v>
      </c>
      <c r="C7772" s="6">
        <v>2500</v>
      </c>
      <c r="D7772" s="7">
        <v>0.9</v>
      </c>
      <c r="E7772" t="s">
        <v>75</v>
      </c>
    </row>
    <row r="7773" spans="1:5" x14ac:dyDescent="0.25">
      <c r="A7773" t="str">
        <f>HYPERLINK("https://www.773grp.com/globalSearch/P6SMB16AT3G/page-1", "P6SMB16AT3G")</f>
        <v>P6SMB16AT3G</v>
      </c>
      <c r="B7773" s="3" t="str">
        <f>HYPERLINK("https://www.773grp.com/manufacturer/onsemi?pageNo=1032", "Onsemi")</f>
        <v>Onsemi</v>
      </c>
      <c r="C7773" s="6">
        <v>2500</v>
      </c>
      <c r="D7773" s="7">
        <v>0.9</v>
      </c>
    </row>
    <row r="7774" spans="1:5" x14ac:dyDescent="0.25">
      <c r="A7774" t="str">
        <f>HYPERLINK("https://www.773grp.com/globalSearch/P6SMB24AT3G/page-1", "P6SMB24AT3G")</f>
        <v>P6SMB24AT3G</v>
      </c>
      <c r="B7774" s="3" t="str">
        <f>HYPERLINK("https://www.773grp.com/manufacturer/onsemi?pageNo=1033", "Onsemi")</f>
        <v>Onsemi</v>
      </c>
      <c r="C7774" s="6">
        <v>172500</v>
      </c>
      <c r="D7774" s="7">
        <v>0.9</v>
      </c>
      <c r="E7774" t="s">
        <v>75</v>
      </c>
    </row>
    <row r="7775" spans="1:5" x14ac:dyDescent="0.25">
      <c r="A7775" t="str">
        <f>HYPERLINK("https://www.773grp.com/globalSearch/P6SMB47AT3G/page-1", "P6SMB47AT3G")</f>
        <v>P6SMB47AT3G</v>
      </c>
      <c r="B7775" s="3" t="str">
        <f>HYPERLINK("https://www.773grp.com/manufacturer/onsemi?pageNo=1034", "Onsemi")</f>
        <v>Onsemi</v>
      </c>
      <c r="C7775" s="6">
        <v>14411</v>
      </c>
      <c r="D7775" s="7">
        <v>0.9</v>
      </c>
      <c r="E7775" t="s">
        <v>75</v>
      </c>
    </row>
    <row r="7776" spans="1:5" x14ac:dyDescent="0.25">
      <c r="A7776" t="str">
        <f>HYPERLINK("https://www.773grp.com/globalSearch/P6SMB56AT3G/page-1", "P6SMB56AT3G")</f>
        <v>P6SMB56AT3G</v>
      </c>
      <c r="B7776" s="3" t="str">
        <f>HYPERLINK("https://www.773grp.com/manufacturer/onsemi?pageNo=1035", "Onsemi")</f>
        <v>Onsemi</v>
      </c>
      <c r="C7776" s="6">
        <v>12500</v>
      </c>
      <c r="D7776" s="7">
        <v>0.9</v>
      </c>
      <c r="E7776" t="s">
        <v>75</v>
      </c>
    </row>
    <row r="7777" spans="1:5" x14ac:dyDescent="0.25">
      <c r="A7777" t="str">
        <f>HYPERLINK("https://www.773grp.com/globalSearch/P6SMB62AT3G/page-1", "P6SMB62AT3G")</f>
        <v>P6SMB62AT3G</v>
      </c>
      <c r="B7777" s="3" t="str">
        <f>HYPERLINK("https://www.773grp.com/manufacturer/onsemi?pageNo=1036", "Onsemi")</f>
        <v>Onsemi</v>
      </c>
      <c r="C7777" s="6">
        <v>6708</v>
      </c>
      <c r="D7777" s="7">
        <v>0.9</v>
      </c>
      <c r="E7777" t="s">
        <v>75</v>
      </c>
    </row>
    <row r="7778" spans="1:5" x14ac:dyDescent="0.25">
      <c r="A7778" t="str">
        <f>HYPERLINK("https://www.773grp.com/globalSearch/P6SMB7.5AT3G/page-1", "P6SMB7.5AT3G")</f>
        <v>P6SMB7.5AT3G</v>
      </c>
      <c r="B7778" s="3" t="str">
        <f>HYPERLINK("https://www.773grp.com/manufacturer/onsemi?pageNo=1037", "Onsemi")</f>
        <v>Onsemi</v>
      </c>
      <c r="C7778" s="6">
        <v>17500</v>
      </c>
      <c r="D7778" s="7">
        <v>0.9</v>
      </c>
      <c r="E7778" t="s">
        <v>75</v>
      </c>
    </row>
    <row r="7779" spans="1:5" x14ac:dyDescent="0.25">
      <c r="A7779" t="str">
        <f>HYPERLINK("https://www.773grp.com/globalSearch/P6SMB75AT3G/page-1", "P6SMB75AT3G")</f>
        <v>P6SMB75AT3G</v>
      </c>
      <c r="B7779" s="3" t="str">
        <f>HYPERLINK("https://www.773grp.com/manufacturer/onsemi?pageNo=1038", "Onsemi")</f>
        <v>Onsemi</v>
      </c>
      <c r="C7779" s="6">
        <v>65000</v>
      </c>
      <c r="D7779" s="7">
        <v>0.9</v>
      </c>
      <c r="E7779" t="s">
        <v>75</v>
      </c>
    </row>
    <row r="7780" spans="1:5" x14ac:dyDescent="0.25">
      <c r="A7780" t="str">
        <f>HYPERLINK("https://www.773grp.com/globalSearch/P6SMB8.2AT3G/page-1", "P6SMB8.2AT3G")</f>
        <v>P6SMB8.2AT3G</v>
      </c>
      <c r="B7780" s="3" t="str">
        <f>HYPERLINK("https://www.773grp.com/manufacturer/onsemi?pageNo=1039", "Onsemi")</f>
        <v>Onsemi</v>
      </c>
      <c r="C7780" s="6">
        <v>19775</v>
      </c>
      <c r="D7780" s="7">
        <v>0.9</v>
      </c>
      <c r="E7780" t="s">
        <v>75</v>
      </c>
    </row>
    <row r="7781" spans="1:5" x14ac:dyDescent="0.25">
      <c r="A7781" t="str">
        <f>HYPERLINK("https://www.773grp.com/globalSearch/P6SMB91AT3/page-1", "P6SMB91AT3")</f>
        <v>P6SMB91AT3</v>
      </c>
      <c r="B7781" s="3" t="str">
        <f>HYPERLINK("https://www.773grp.com/manufacturer/onsemi?pageNo=1040", "Onsemi")</f>
        <v>Onsemi</v>
      </c>
      <c r="C7781" s="6">
        <v>2500</v>
      </c>
      <c r="D7781" s="7">
        <v>0.9</v>
      </c>
      <c r="E7781" t="s">
        <v>75</v>
      </c>
    </row>
    <row r="7782" spans="1:5" x14ac:dyDescent="0.25">
      <c r="A7782" t="str">
        <f>HYPERLINK("https://www.773grp.com/globalSearch/PZT2222AT1G/page-1", "PZT2222AT1G")</f>
        <v>PZT2222AT1G</v>
      </c>
      <c r="B7782" s="3" t="str">
        <f>HYPERLINK("https://www.773grp.com/manufacturer/onsemi?pageNo=1041", "Onsemi")</f>
        <v>Onsemi</v>
      </c>
      <c r="C7782" s="6">
        <v>108105</v>
      </c>
      <c r="D7782" s="7">
        <v>0.9</v>
      </c>
      <c r="E7782" t="s">
        <v>57</v>
      </c>
    </row>
    <row r="7783" spans="1:5" x14ac:dyDescent="0.25">
      <c r="A7783" t="str">
        <f>HYPERLINK("https://www.773grp.com/globalSearch/SA14512BDR2/page-1", "SA14512BDR2")</f>
        <v>SA14512BDR2</v>
      </c>
      <c r="B7783" s="3" t="str">
        <f>HYPERLINK("https://www.773grp.com/manufacturer/onsemi?pageNo=1042", "Onsemi")</f>
        <v>Onsemi</v>
      </c>
      <c r="C7783" s="6">
        <v>15000</v>
      </c>
      <c r="D7783" s="7">
        <v>0.9</v>
      </c>
    </row>
    <row r="7784" spans="1:5" x14ac:dyDescent="0.25">
      <c r="A7784" t="str">
        <f>HYPERLINK("https://www.773grp.com/globalSearch/SBS818-TL-E/page-1", "SBS818-TL-E")</f>
        <v>SBS818-TL-E</v>
      </c>
      <c r="B7784" s="3" t="str">
        <f>HYPERLINK("https://www.773grp.com/manufacturer/onsemi?pageNo=1043", "Onsemi")</f>
        <v>Onsemi</v>
      </c>
      <c r="C7784" s="6">
        <v>3000</v>
      </c>
      <c r="D7784" s="7">
        <v>0.9</v>
      </c>
    </row>
    <row r="7785" spans="1:5" x14ac:dyDescent="0.25">
      <c r="A7785" t="str">
        <f>HYPERLINK("https://www.773grp.com/globalSearch/SMBJ12AONT3/page-1", "SMBJ12AONT3")</f>
        <v>SMBJ12AONT3</v>
      </c>
      <c r="B7785" s="3" t="str">
        <f>HYPERLINK("https://www.773grp.com/manufacturer/onsemi?pageNo=1044", "Onsemi")</f>
        <v>Onsemi</v>
      </c>
      <c r="C7785" s="6">
        <v>12475</v>
      </c>
      <c r="D7785" s="7">
        <v>0.9</v>
      </c>
      <c r="E7785" t="s">
        <v>75</v>
      </c>
    </row>
    <row r="7786" spans="1:5" x14ac:dyDescent="0.25">
      <c r="A7786" t="str">
        <f>HYPERLINK("https://www.773grp.com/globalSearch/SMBJ12AONT3G/page-1", "SMBJ12AONT3G")</f>
        <v>SMBJ12AONT3G</v>
      </c>
      <c r="B7786" s="3" t="str">
        <f>HYPERLINK("https://www.773grp.com/manufacturer/onsemi?pageNo=1045", "Onsemi")</f>
        <v>Onsemi</v>
      </c>
      <c r="C7786" s="6">
        <v>8731</v>
      </c>
      <c r="D7786" s="7">
        <v>0.9</v>
      </c>
      <c r="E7786" t="s">
        <v>75</v>
      </c>
    </row>
    <row r="7787" spans="1:5" x14ac:dyDescent="0.25">
      <c r="A7787" t="str">
        <f>HYPERLINK("https://www.773grp.com/globalSearch/SN74LS123M/page-1", "SN74LS123M")</f>
        <v>SN74LS123M</v>
      </c>
      <c r="B7787" s="3" t="str">
        <f>HYPERLINK("https://www.773grp.com/manufacturer/onsemi?pageNo=1046", "Onsemi")</f>
        <v>Onsemi</v>
      </c>
      <c r="C7787" s="6">
        <v>2490</v>
      </c>
      <c r="D7787" s="7">
        <v>0.9</v>
      </c>
      <c r="E7787" t="s">
        <v>44</v>
      </c>
    </row>
    <row r="7788" spans="1:5" x14ac:dyDescent="0.25">
      <c r="A7788" t="str">
        <f>HYPERLINK("https://www.773grp.com/globalSearch/SN74LS240DW/page-1", "SN74LS240DW")</f>
        <v>SN74LS240DW</v>
      </c>
      <c r="B7788" s="3" t="str">
        <f>HYPERLINK("https://www.773grp.com/manufacturer/onsemi?pageNo=1047", "Onsemi")</f>
        <v>Onsemi</v>
      </c>
      <c r="C7788" s="6">
        <v>1431</v>
      </c>
      <c r="D7788" s="7">
        <v>0.9</v>
      </c>
      <c r="E7788" t="s">
        <v>11</v>
      </c>
    </row>
    <row r="7789" spans="1:5" x14ac:dyDescent="0.25">
      <c r="A7789" t="str">
        <f>HYPERLINK("https://www.773grp.com/globalSearch/SN74LS240DWR2/page-1", "SN74LS240DWR2")</f>
        <v>SN74LS240DWR2</v>
      </c>
      <c r="B7789" s="3" t="str">
        <f>HYPERLINK("https://www.773grp.com/manufacturer/onsemi?pageNo=1048", "Onsemi")</f>
        <v>Onsemi</v>
      </c>
      <c r="C7789" s="6">
        <v>19000</v>
      </c>
      <c r="D7789" s="7">
        <v>0.9</v>
      </c>
      <c r="E7789" t="s">
        <v>11</v>
      </c>
    </row>
    <row r="7790" spans="1:5" x14ac:dyDescent="0.25">
      <c r="A7790" t="str">
        <f>HYPERLINK("https://www.773grp.com/globalSearch/SN74LS240H/page-1", "SN74LS240H")</f>
        <v>SN74LS240H</v>
      </c>
      <c r="B7790" s="3" t="str">
        <f>HYPERLINK("https://www.773grp.com/manufacturer/onsemi?pageNo=1049", "Onsemi")</f>
        <v>Onsemi</v>
      </c>
      <c r="C7790" s="6">
        <v>1440</v>
      </c>
      <c r="D7790" s="7">
        <v>0.9</v>
      </c>
    </row>
    <row r="7791" spans="1:5" x14ac:dyDescent="0.25">
      <c r="A7791" t="str">
        <f>HYPERLINK("https://www.773grp.com/globalSearch/SN74LS240M/page-1", "SN74LS240M")</f>
        <v>SN74LS240M</v>
      </c>
      <c r="B7791" s="3" t="str">
        <f>HYPERLINK("https://www.773grp.com/manufacturer/onsemi?pageNo=1050", "Onsemi")</f>
        <v>Onsemi</v>
      </c>
      <c r="C7791" s="6">
        <v>3200</v>
      </c>
      <c r="D7791" s="7">
        <v>0.9</v>
      </c>
      <c r="E7791" t="s">
        <v>11</v>
      </c>
    </row>
    <row r="7792" spans="1:5" x14ac:dyDescent="0.25">
      <c r="A7792" t="str">
        <f>HYPERLINK("https://www.773grp.com/globalSearch/SN74LS240ML1/page-1", "SN74LS240ML1")</f>
        <v>SN74LS240ML1</v>
      </c>
      <c r="B7792" s="3" t="str">
        <f>HYPERLINK("https://www.773grp.com/manufacturer/onsemi?pageNo=1051", "Onsemi")</f>
        <v>Onsemi</v>
      </c>
      <c r="C7792" s="6">
        <v>43000</v>
      </c>
      <c r="D7792" s="7">
        <v>0.9</v>
      </c>
    </row>
    <row r="7793" spans="1:5" x14ac:dyDescent="0.25">
      <c r="A7793" t="str">
        <f>HYPERLINK("https://www.773grp.com/globalSearch/SN74LS240MR1/page-1", "SN74LS240MR1")</f>
        <v>SN74LS240MR1</v>
      </c>
      <c r="B7793" s="3" t="str">
        <f>HYPERLINK("https://www.773grp.com/manufacturer/onsemi?pageNo=1052", "Onsemi")</f>
        <v>Onsemi</v>
      </c>
      <c r="C7793" s="6">
        <v>2000</v>
      </c>
      <c r="D7793" s="7">
        <v>0.9</v>
      </c>
      <c r="E7793" t="s">
        <v>11</v>
      </c>
    </row>
    <row r="7794" spans="1:5" x14ac:dyDescent="0.25">
      <c r="A7794" t="str">
        <f>HYPERLINK("https://www.773grp.com/globalSearch/SN74LS244DW/page-1", "SN74LS244DW")</f>
        <v>SN74LS244DW</v>
      </c>
      <c r="B7794" s="3" t="str">
        <f>HYPERLINK("https://www.773grp.com/manufacturer/onsemi?pageNo=1053", "Onsemi")</f>
        <v>Onsemi</v>
      </c>
      <c r="C7794" s="6">
        <v>6155</v>
      </c>
      <c r="D7794" s="7">
        <v>0.9</v>
      </c>
      <c r="E7794" t="s">
        <v>11</v>
      </c>
    </row>
    <row r="7795" spans="1:5" x14ac:dyDescent="0.25">
      <c r="A7795" t="str">
        <f>HYPERLINK("https://www.773grp.com/globalSearch/SN74LS244ML1/page-1", "SN74LS244ML1")</f>
        <v>SN74LS244ML1</v>
      </c>
      <c r="B7795" s="3" t="str">
        <f>HYPERLINK("https://www.773grp.com/manufacturer/onsemi?pageNo=1054", "Onsemi")</f>
        <v>Onsemi</v>
      </c>
      <c r="C7795" s="6">
        <v>55000</v>
      </c>
      <c r="D7795" s="7">
        <v>0.9</v>
      </c>
    </row>
    <row r="7796" spans="1:5" x14ac:dyDescent="0.25">
      <c r="A7796" t="str">
        <f>HYPERLINK("https://www.773grp.com/globalSearch/SN74LS245ML1/page-1", "SN74LS245ML1")</f>
        <v>SN74LS245ML1</v>
      </c>
      <c r="B7796" s="3" t="str">
        <f>HYPERLINK("https://www.773grp.com/manufacturer/onsemi?pageNo=1055", "Onsemi")</f>
        <v>Onsemi</v>
      </c>
      <c r="C7796" s="6">
        <v>38000</v>
      </c>
      <c r="D7796" s="7">
        <v>0.9</v>
      </c>
    </row>
    <row r="7797" spans="1:5" x14ac:dyDescent="0.25">
      <c r="A7797" t="str">
        <f>HYPERLINK("https://www.773grp.com/globalSearch/SN74LS245MR1/page-1", "SN74LS245MR1")</f>
        <v>SN74LS245MR1</v>
      </c>
      <c r="B7797" s="3" t="str">
        <f>HYPERLINK("https://www.773grp.com/manufacturer/onsemi?pageNo=1056", "Onsemi")</f>
        <v>Onsemi</v>
      </c>
      <c r="C7797" s="6">
        <v>7000</v>
      </c>
      <c r="D7797" s="7">
        <v>0.9</v>
      </c>
      <c r="E7797" t="s">
        <v>11</v>
      </c>
    </row>
    <row r="7798" spans="1:5" x14ac:dyDescent="0.25">
      <c r="A7798" t="str">
        <f>HYPERLINK("https://www.773grp.com/globalSearch/SN74LS273H/page-1", "SN74LS273H")</f>
        <v>SN74LS273H</v>
      </c>
      <c r="B7798" s="3" t="str">
        <f>HYPERLINK("https://www.773grp.com/manufacturer/onsemi?pageNo=1057", "Onsemi")</f>
        <v>Onsemi</v>
      </c>
      <c r="C7798" s="6">
        <v>10544</v>
      </c>
      <c r="D7798" s="7">
        <v>0.9</v>
      </c>
    </row>
    <row r="7799" spans="1:5" x14ac:dyDescent="0.25">
      <c r="A7799" t="str">
        <f>HYPERLINK("https://www.773grp.com/globalSearch/SN74LS273MR1/page-1", "SN74LS273MR1")</f>
        <v>SN74LS273MR1</v>
      </c>
      <c r="B7799" s="3" t="str">
        <f>HYPERLINK("https://www.773grp.com/manufacturer/onsemi?pageNo=1058", "Onsemi")</f>
        <v>Onsemi</v>
      </c>
      <c r="C7799" s="6">
        <v>3000</v>
      </c>
      <c r="D7799" s="7">
        <v>0.9</v>
      </c>
      <c r="E7799" t="s">
        <v>31</v>
      </c>
    </row>
    <row r="7800" spans="1:5" x14ac:dyDescent="0.25">
      <c r="A7800" t="str">
        <f>HYPERLINK("https://www.773grp.com/globalSearch/SN74LS279D/page-1", "SN74LS279D")</f>
        <v>SN74LS279D</v>
      </c>
      <c r="B7800" s="3" t="str">
        <f>HYPERLINK("https://www.773grp.com/manufacturer/onsemi?pageNo=1059", "Onsemi")</f>
        <v>Onsemi</v>
      </c>
      <c r="C7800" s="6">
        <v>4916</v>
      </c>
      <c r="D7800" s="7">
        <v>0.9</v>
      </c>
      <c r="E7800" t="s">
        <v>31</v>
      </c>
    </row>
    <row r="7801" spans="1:5" x14ac:dyDescent="0.25">
      <c r="A7801" t="str">
        <f>HYPERLINK("https://www.773grp.com/globalSearch/SN74LS279DR2/page-1", "SN74LS279DR2")</f>
        <v>SN74LS279DR2</v>
      </c>
      <c r="B7801" s="3" t="str">
        <f>HYPERLINK("https://www.773grp.com/manufacturer/onsemi?pageNo=1060", "Onsemi")</f>
        <v>Onsemi</v>
      </c>
      <c r="C7801" s="6">
        <v>2500</v>
      </c>
      <c r="D7801" s="7">
        <v>0.9</v>
      </c>
      <c r="E7801" t="s">
        <v>31</v>
      </c>
    </row>
    <row r="7802" spans="1:5" x14ac:dyDescent="0.25">
      <c r="A7802" t="str">
        <f>HYPERLINK("https://www.773grp.com/globalSearch/SN74LS280N/page-1", "SN74LS280N")</f>
        <v>SN74LS280N</v>
      </c>
      <c r="B7802" s="3" t="str">
        <f>HYPERLINK("https://www.773grp.com/manufacturer/onsemi?pageNo=1061", "Onsemi")</f>
        <v>Onsemi</v>
      </c>
      <c r="C7802" s="6">
        <v>550</v>
      </c>
      <c r="D7802" s="7">
        <v>0.9</v>
      </c>
      <c r="E7802" t="s">
        <v>38</v>
      </c>
    </row>
    <row r="7803" spans="1:5" x14ac:dyDescent="0.25">
      <c r="A7803" t="str">
        <f>HYPERLINK("https://www.773grp.com/globalSearch/SN74LS373ML1/page-1", "SN74LS373ML1")</f>
        <v>SN74LS373ML1</v>
      </c>
      <c r="B7803" s="3" t="str">
        <f>HYPERLINK("https://www.773grp.com/manufacturer/onsemi?pageNo=1062", "Onsemi")</f>
        <v>Onsemi</v>
      </c>
      <c r="C7803" s="6">
        <v>3000</v>
      </c>
      <c r="D7803" s="7">
        <v>0.9</v>
      </c>
    </row>
    <row r="7804" spans="1:5" x14ac:dyDescent="0.25">
      <c r="A7804" t="str">
        <f>HYPERLINK("https://www.773grp.com/globalSearch/SN74LS374H/page-1", "SN74LS374H")</f>
        <v>SN74LS374H</v>
      </c>
      <c r="B7804" s="3" t="str">
        <f>HYPERLINK("https://www.773grp.com/manufacturer/onsemi?pageNo=1063", "Onsemi")</f>
        <v>Onsemi</v>
      </c>
      <c r="C7804" s="6">
        <v>1080</v>
      </c>
      <c r="D7804" s="7">
        <v>0.9</v>
      </c>
    </row>
    <row r="7805" spans="1:5" x14ac:dyDescent="0.25">
      <c r="A7805" t="str">
        <f>HYPERLINK("https://www.773grp.com/globalSearch/SN74LS374MC1/page-1", "SN74LS374MC1")</f>
        <v>SN74LS374MC1</v>
      </c>
      <c r="B7805" s="3" t="str">
        <f>HYPERLINK("https://www.773grp.com/manufacturer/onsemi?pageNo=1064", "Onsemi")</f>
        <v>Onsemi</v>
      </c>
      <c r="C7805" s="6">
        <v>13000</v>
      </c>
      <c r="D7805" s="7">
        <v>0.9</v>
      </c>
    </row>
    <row r="7806" spans="1:5" x14ac:dyDescent="0.25">
      <c r="A7806" t="str">
        <f>HYPERLINK("https://www.773grp.com/globalSearch/SN74LS375N/page-1", "SN74LS375N")</f>
        <v>SN74LS375N</v>
      </c>
      <c r="B7806" s="3" t="str">
        <f>HYPERLINK("https://www.773grp.com/manufacturer/onsemi?pageNo=1065", "Onsemi")</f>
        <v>Onsemi</v>
      </c>
      <c r="C7806" s="6">
        <v>5279</v>
      </c>
      <c r="D7806" s="7">
        <v>0.9</v>
      </c>
      <c r="E7806" t="s">
        <v>31</v>
      </c>
    </row>
    <row r="7807" spans="1:5" x14ac:dyDescent="0.25">
      <c r="A7807" t="str">
        <f>HYPERLINK("https://www.773grp.com/globalSearch/SN74LS390N/page-1", "SN74LS390N")</f>
        <v>SN74LS390N</v>
      </c>
      <c r="B7807" s="3" t="str">
        <f>HYPERLINK("https://www.773grp.com/manufacturer/onsemi?pageNo=1066", "Onsemi")</f>
        <v>Onsemi</v>
      </c>
      <c r="C7807" s="6">
        <v>42</v>
      </c>
      <c r="D7807" s="7">
        <v>0.9</v>
      </c>
      <c r="E7807" t="s">
        <v>22</v>
      </c>
    </row>
    <row r="7808" spans="1:5" x14ac:dyDescent="0.25">
      <c r="A7808" t="str">
        <f>HYPERLINK("https://www.773grp.com/globalSearch/SN74LS92D/page-1", "SN74LS92D")</f>
        <v>SN74LS92D</v>
      </c>
      <c r="B7808" s="3" t="str">
        <f>HYPERLINK("https://www.773grp.com/manufacturer/onsemi?pageNo=1067", "Onsemi")</f>
        <v>Onsemi</v>
      </c>
      <c r="C7808" s="6">
        <v>6561</v>
      </c>
      <c r="D7808" s="7">
        <v>0.9</v>
      </c>
      <c r="E7808" t="s">
        <v>22</v>
      </c>
    </row>
    <row r="7809" spans="1:5" x14ac:dyDescent="0.25">
      <c r="A7809" t="str">
        <f>HYPERLINK("https://www.773grp.com/globalSearch/SN74LS92DR2/page-1", "SN74LS92DR2")</f>
        <v>SN74LS92DR2</v>
      </c>
      <c r="B7809" s="3" t="str">
        <f>HYPERLINK("https://www.773grp.com/manufacturer/onsemi?pageNo=1068", "Onsemi")</f>
        <v>Onsemi</v>
      </c>
      <c r="C7809" s="6">
        <v>15000</v>
      </c>
      <c r="D7809" s="7">
        <v>0.9</v>
      </c>
      <c r="E7809" t="s">
        <v>22</v>
      </c>
    </row>
    <row r="7810" spans="1:5" x14ac:dyDescent="0.25">
      <c r="A7810" t="str">
        <f>HYPERLINK("https://www.773grp.com/globalSearch/SN74LS92ML1/page-1", "SN74LS92ML1")</f>
        <v>SN74LS92ML1</v>
      </c>
      <c r="B7810" s="3" t="str">
        <f>HYPERLINK("https://www.773grp.com/manufacturer/onsemi?pageNo=1069", "Onsemi")</f>
        <v>Onsemi</v>
      </c>
      <c r="C7810" s="6">
        <v>5550</v>
      </c>
      <c r="D7810" s="7">
        <v>0.9</v>
      </c>
    </row>
    <row r="7811" spans="1:5" x14ac:dyDescent="0.25">
      <c r="A7811" t="str">
        <f>HYPERLINK("https://www.773grp.com/globalSearch/SN74LS92N/page-1", "SN74LS92N")</f>
        <v>SN74LS92N</v>
      </c>
      <c r="B7811" s="3" t="str">
        <f>HYPERLINK("https://www.773grp.com/manufacturer/onsemi?pageNo=1070", "Onsemi")</f>
        <v>Onsemi</v>
      </c>
      <c r="C7811" s="6">
        <v>75</v>
      </c>
      <c r="D7811" s="7">
        <v>0.9</v>
      </c>
      <c r="E7811" t="s">
        <v>22</v>
      </c>
    </row>
    <row r="7812" spans="1:5" x14ac:dyDescent="0.25">
      <c r="A7812" t="str">
        <f>HYPERLINK("https://www.773grp.com/globalSearch/SZ1SMA5936BT3/page-1", "SZ1SMA5936BT3")</f>
        <v>SZ1SMA5936BT3</v>
      </c>
      <c r="B7812" s="3" t="str">
        <f>HYPERLINK("https://www.773grp.com/manufacturer/onsemi?pageNo=1071", "Onsemi")</f>
        <v>Onsemi</v>
      </c>
      <c r="C7812" s="6">
        <v>80000</v>
      </c>
      <c r="D7812" s="7">
        <v>0.9</v>
      </c>
    </row>
    <row r="7813" spans="1:5" x14ac:dyDescent="0.25">
      <c r="A7813" t="str">
        <f>HYPERLINK("https://www.773grp.com/globalSearch/SZ1SMB5928BT3/page-1", "SZ1SMB5928BT3")</f>
        <v>SZ1SMB5928BT3</v>
      </c>
      <c r="B7813" s="3" t="str">
        <f>HYPERLINK("https://www.773grp.com/manufacturer/onsemi?pageNo=1072", "Onsemi")</f>
        <v>Onsemi</v>
      </c>
      <c r="C7813" s="6">
        <v>55000</v>
      </c>
      <c r="D7813" s="7">
        <v>0.9</v>
      </c>
    </row>
    <row r="7814" spans="1:5" x14ac:dyDescent="0.25">
      <c r="A7814" t="str">
        <f>HYPERLINK("https://www.773grp.com/globalSearch/SZ1SMB5929BT3G/page-1", "SZ1SMB5929BT3G")</f>
        <v>SZ1SMB5929BT3G</v>
      </c>
      <c r="B7814" s="3" t="str">
        <f>HYPERLINK("https://www.773grp.com/manufacturer/onsemi?pageNo=1073", "Onsemi")</f>
        <v>Onsemi</v>
      </c>
      <c r="C7814" s="6">
        <v>15000</v>
      </c>
      <c r="D7814" s="7">
        <v>0.9</v>
      </c>
    </row>
    <row r="7815" spans="1:5" x14ac:dyDescent="0.25">
      <c r="A7815" t="str">
        <f>HYPERLINK("https://www.773grp.com/globalSearch/SZ1SMB5930BT3/page-1", "SZ1SMB5930BT3")</f>
        <v>SZ1SMB5930BT3</v>
      </c>
      <c r="B7815" s="3" t="str">
        <f>HYPERLINK("https://www.773grp.com/manufacturer/onsemi?pageNo=1074", "Onsemi")</f>
        <v>Onsemi</v>
      </c>
      <c r="C7815" s="6">
        <v>5000</v>
      </c>
      <c r="D7815" s="7">
        <v>0.9</v>
      </c>
    </row>
    <row r="7816" spans="1:5" x14ac:dyDescent="0.25">
      <c r="A7816" t="str">
        <f>HYPERLINK("https://www.773grp.com/globalSearch/SZ1SMB5930BT3G/page-1", "SZ1SMB5930BT3G")</f>
        <v>SZ1SMB5930BT3G</v>
      </c>
      <c r="B7816" s="3" t="str">
        <f>HYPERLINK("https://www.773grp.com/manufacturer/onsemi?pageNo=1075", "Onsemi")</f>
        <v>Onsemi</v>
      </c>
      <c r="C7816" s="6">
        <v>12500</v>
      </c>
      <c r="D7816" s="7">
        <v>0.9</v>
      </c>
    </row>
    <row r="7817" spans="1:5" x14ac:dyDescent="0.25">
      <c r="A7817" t="str">
        <f>HYPERLINK("https://www.773grp.com/globalSearch/SZ1SMB5933BT3G/page-1", "SZ1SMB5933BT3G")</f>
        <v>SZ1SMB5933BT3G</v>
      </c>
      <c r="B7817" s="3" t="str">
        <f>HYPERLINK("https://www.773grp.com/manufacturer/onsemi?pageNo=1076", "Onsemi")</f>
        <v>Onsemi</v>
      </c>
      <c r="C7817" s="6">
        <v>2500</v>
      </c>
      <c r="D7817" s="7">
        <v>0.9</v>
      </c>
    </row>
    <row r="7818" spans="1:5" x14ac:dyDescent="0.25">
      <c r="A7818" t="str">
        <f>HYPERLINK("https://www.773grp.com/globalSearch/SZ1SMB5935BT3/page-1", "SZ1SMB5935BT3")</f>
        <v>SZ1SMB5935BT3</v>
      </c>
      <c r="B7818" s="3" t="str">
        <f>HYPERLINK("https://www.773grp.com/manufacturer/onsemi?pageNo=1077", "Onsemi")</f>
        <v>Onsemi</v>
      </c>
      <c r="C7818" s="6">
        <v>5000</v>
      </c>
      <c r="D7818" s="7">
        <v>0.9</v>
      </c>
    </row>
    <row r="7819" spans="1:5" x14ac:dyDescent="0.25">
      <c r="A7819" t="str">
        <f>HYPERLINK("https://www.773grp.com/globalSearch/SZ1SMB5937BT3G/page-1", "SZ1SMB5937BT3G")</f>
        <v>SZ1SMB5937BT3G</v>
      </c>
      <c r="B7819" s="3" t="str">
        <f>HYPERLINK("https://www.773grp.com/manufacturer/onsemi?pageNo=1078", "Onsemi")</f>
        <v>Onsemi</v>
      </c>
      <c r="C7819" s="6">
        <v>2500</v>
      </c>
      <c r="D7819" s="7">
        <v>0.9</v>
      </c>
    </row>
    <row r="7820" spans="1:5" x14ac:dyDescent="0.25">
      <c r="A7820" t="str">
        <f>HYPERLINK("https://www.773grp.com/globalSearch/SZ1SMB5938BT3/page-1", "SZ1SMB5938BT3")</f>
        <v>SZ1SMB5938BT3</v>
      </c>
      <c r="B7820" s="3" t="str">
        <f>HYPERLINK("https://www.773grp.com/manufacturer/onsemi?pageNo=1079", "Onsemi")</f>
        <v>Onsemi</v>
      </c>
      <c r="C7820" s="6">
        <v>5000</v>
      </c>
      <c r="D7820" s="7">
        <v>0.9</v>
      </c>
    </row>
    <row r="7821" spans="1:5" x14ac:dyDescent="0.25">
      <c r="A7821" t="str">
        <f>HYPERLINK("https://www.773grp.com/globalSearch/SZ1SMB5939BT3/page-1", "SZ1SMB5939BT3")</f>
        <v>SZ1SMB5939BT3</v>
      </c>
      <c r="B7821" s="3" t="str">
        <f>HYPERLINK("https://www.773grp.com/manufacturer/onsemi?pageNo=1080", "Onsemi")</f>
        <v>Onsemi</v>
      </c>
      <c r="C7821" s="6">
        <v>5000</v>
      </c>
      <c r="D7821" s="7">
        <v>0.9</v>
      </c>
    </row>
    <row r="7822" spans="1:5" x14ac:dyDescent="0.25">
      <c r="A7822" t="str">
        <f>HYPERLINK("https://www.773grp.com/globalSearch/SZ1SMB5941BT3/page-1", "SZ1SMB5941BT3")</f>
        <v>SZ1SMB5941BT3</v>
      </c>
      <c r="B7822" s="3" t="str">
        <f>HYPERLINK("https://www.773grp.com/manufacturer/onsemi?pageNo=1081", "Onsemi")</f>
        <v>Onsemi</v>
      </c>
      <c r="C7822" s="6">
        <v>10000</v>
      </c>
      <c r="D7822" s="7">
        <v>0.9</v>
      </c>
    </row>
    <row r="7823" spans="1:5" x14ac:dyDescent="0.25">
      <c r="A7823" t="str">
        <f>HYPERLINK("https://www.773grp.com/globalSearch/SZ2446T3G/page-1", "SZ2446T3G")</f>
        <v>SZ2446T3G</v>
      </c>
      <c r="B7823" s="3" t="str">
        <f>HYPERLINK("https://www.773grp.com/manufacturer/onsemi?pageNo=1082", "Onsemi")</f>
        <v>Onsemi</v>
      </c>
      <c r="C7823" s="6">
        <v>10000</v>
      </c>
      <c r="D7823" s="7">
        <v>0.9</v>
      </c>
    </row>
    <row r="7824" spans="1:5" x14ac:dyDescent="0.25">
      <c r="A7824" t="str">
        <f>HYPERLINK("https://www.773grp.com/globalSearch/TE02572T4/page-1", "TE02572T4")</f>
        <v>TE02572T4</v>
      </c>
      <c r="B7824" s="3" t="str">
        <f>HYPERLINK("https://www.773grp.com/manufacturer/onsemi?pageNo=1083", "Onsemi")</f>
        <v>Onsemi</v>
      </c>
      <c r="C7824" s="6">
        <v>2500</v>
      </c>
      <c r="D7824" s="7">
        <v>0.9</v>
      </c>
    </row>
    <row r="7825" spans="1:5" x14ac:dyDescent="0.25">
      <c r="A7825" t="str">
        <f>HYPERLINK("https://www.773grp.com/globalSearch/TIP105G/page-1", "TIP105G")</f>
        <v>TIP105G</v>
      </c>
      <c r="B7825" s="3" t="str">
        <f>HYPERLINK("https://www.773grp.com/manufacturer/onsemi?pageNo=1084", "Onsemi")</f>
        <v>Onsemi</v>
      </c>
      <c r="C7825" s="6">
        <v>2512</v>
      </c>
      <c r="D7825" s="7">
        <v>0.9</v>
      </c>
      <c r="E7825" t="s">
        <v>47</v>
      </c>
    </row>
    <row r="7826" spans="1:5" x14ac:dyDescent="0.25">
      <c r="A7826" t="str">
        <f>HYPERLINK("https://www.773grp.com/globalSearch/TIP41A/page-1", "TIP41A")</f>
        <v>TIP41A</v>
      </c>
      <c r="B7826" s="3" t="str">
        <f>HYPERLINK("https://www.773grp.com/manufacturer/onsemi?pageNo=1085", "Onsemi")</f>
        <v>Onsemi</v>
      </c>
      <c r="C7826" s="6">
        <v>3241</v>
      </c>
      <c r="D7826" s="7">
        <v>0.9</v>
      </c>
      <c r="E7826" t="s">
        <v>47</v>
      </c>
    </row>
    <row r="7827" spans="1:5" x14ac:dyDescent="0.25">
      <c r="A7827" t="str">
        <f>HYPERLINK("https://www.773grp.com/globalSearch/TIP41B/page-1", "TIP41B")</f>
        <v>TIP41B</v>
      </c>
      <c r="B7827" s="3" t="str">
        <f>HYPERLINK("https://www.773grp.com/manufacturer/onsemi?pageNo=1086", "Onsemi")</f>
        <v>Onsemi</v>
      </c>
      <c r="C7827" s="6">
        <v>1900</v>
      </c>
      <c r="D7827" s="7">
        <v>0.9</v>
      </c>
      <c r="E7827" t="s">
        <v>47</v>
      </c>
    </row>
    <row r="7828" spans="1:5" x14ac:dyDescent="0.25">
      <c r="A7828" t="str">
        <f>HYPERLINK("https://www.773grp.com/globalSearch/TIP41G/page-1", "TIP41G")</f>
        <v>TIP41G</v>
      </c>
      <c r="B7828" s="3" t="str">
        <f>HYPERLINK("https://www.773grp.com/manufacturer/onsemi?pageNo=1087", "Onsemi")</f>
        <v>Onsemi</v>
      </c>
      <c r="C7828" s="6">
        <v>1597</v>
      </c>
      <c r="D7828" s="7">
        <v>0.9</v>
      </c>
      <c r="E7828" t="s">
        <v>47</v>
      </c>
    </row>
    <row r="7829" spans="1:5" x14ac:dyDescent="0.25">
      <c r="A7829" t="str">
        <f>HYPERLINK("https://www.773grp.com/globalSearch/TIP42B/page-1", "TIP42B")</f>
        <v>TIP42B</v>
      </c>
      <c r="B7829" s="3" t="str">
        <f>HYPERLINK("https://www.773grp.com/manufacturer/onsemi?pageNo=1088", "Onsemi")</f>
        <v>Onsemi</v>
      </c>
      <c r="C7829" s="6">
        <v>13450</v>
      </c>
      <c r="D7829" s="7">
        <v>0.9</v>
      </c>
      <c r="E7829" t="s">
        <v>47</v>
      </c>
    </row>
    <row r="7830" spans="1:5" x14ac:dyDescent="0.25">
      <c r="A7830" t="str">
        <f>HYPERLINK("https://www.773grp.com/globalSearch/TIP42C/page-1", "TIP42C")</f>
        <v>TIP42C</v>
      </c>
      <c r="B7830" s="3" t="str">
        <f>HYPERLINK("https://www.773grp.com/manufacturer/onsemi?pageNo=1089", "Onsemi")</f>
        <v>Onsemi</v>
      </c>
      <c r="C7830" s="6">
        <v>8795</v>
      </c>
      <c r="D7830" s="7">
        <v>0.9</v>
      </c>
      <c r="E7830" t="s">
        <v>47</v>
      </c>
    </row>
    <row r="7831" spans="1:5" x14ac:dyDescent="0.25">
      <c r="A7831" t="str">
        <f>HYPERLINK("https://www.773grp.com/globalSearch/TIP48/page-1", "TIP48")</f>
        <v>TIP48</v>
      </c>
      <c r="B7831" s="3" t="str">
        <f>HYPERLINK("https://www.773grp.com/manufacturer/onsemi?pageNo=1090", "Onsemi")</f>
        <v>Onsemi</v>
      </c>
      <c r="C7831" s="6">
        <v>400</v>
      </c>
      <c r="D7831" s="7">
        <v>0.9</v>
      </c>
      <c r="E7831" t="s">
        <v>47</v>
      </c>
    </row>
    <row r="7832" spans="1:5" x14ac:dyDescent="0.25">
      <c r="A7832" t="str">
        <f>HYPERLINK("https://www.773grp.com/globalSearch/TIP50/page-1", "TIP50")</f>
        <v>TIP50</v>
      </c>
      <c r="B7832" s="3" t="str">
        <f>HYPERLINK("https://www.773grp.com/manufacturer/onsemi?pageNo=1091", "Onsemi")</f>
        <v>Onsemi</v>
      </c>
      <c r="C7832" s="6">
        <v>10826</v>
      </c>
      <c r="D7832" s="7">
        <v>0.9</v>
      </c>
      <c r="E7832" t="s">
        <v>47</v>
      </c>
    </row>
    <row r="7833" spans="1:5" x14ac:dyDescent="0.25">
      <c r="A7833" t="str">
        <f>HYPERLINK("https://www.773grp.com/globalSearch/TL072CDR2/page-1", "TL072CDR2")</f>
        <v>TL072CDR2</v>
      </c>
      <c r="B7833" s="3" t="str">
        <f>HYPERLINK("https://www.773grp.com/manufacturer/onsemi?pageNo=1092", "Onsemi")</f>
        <v>Onsemi</v>
      </c>
      <c r="C7833" s="6">
        <v>2500</v>
      </c>
      <c r="D7833" s="7">
        <v>0.9</v>
      </c>
      <c r="E7833" t="s">
        <v>10</v>
      </c>
    </row>
    <row r="7834" spans="1:5" x14ac:dyDescent="0.25">
      <c r="A7834" t="str">
        <f>HYPERLINK("https://www.773grp.com/globalSearch/TL431BVP/page-1", "TL431BVP")</f>
        <v>TL431BVP</v>
      </c>
      <c r="B7834" s="3" t="str">
        <f>HYPERLINK("https://www.773grp.com/manufacturer/onsemi?pageNo=1093", "Onsemi")</f>
        <v>Onsemi</v>
      </c>
      <c r="C7834" s="6">
        <v>1000</v>
      </c>
      <c r="D7834" s="7">
        <v>0.9</v>
      </c>
      <c r="E7834" t="s">
        <v>13</v>
      </c>
    </row>
    <row r="7835" spans="1:5" x14ac:dyDescent="0.25">
      <c r="A7835" t="str">
        <f>HYPERLINK("https://www.773grp.com/globalSearch/TLV431ALP/page-1", "TLV431ALP")</f>
        <v>TLV431ALP</v>
      </c>
      <c r="B7835" s="3" t="str">
        <f>HYPERLINK("https://www.773grp.com/manufacturer/onsemi?pageNo=1094", "Onsemi")</f>
        <v>Onsemi</v>
      </c>
      <c r="C7835" s="6">
        <v>3065</v>
      </c>
      <c r="D7835" s="7">
        <v>0.9</v>
      </c>
      <c r="E7835" t="s">
        <v>13</v>
      </c>
    </row>
    <row r="7836" spans="1:5" x14ac:dyDescent="0.25">
      <c r="A7836" t="str">
        <f>HYPERLINK("https://www.773grp.com/globalSearch/TLV431ALPRE/page-1", "TLV431ALPRE")</f>
        <v>TLV431ALPRE</v>
      </c>
      <c r="B7836" s="3" t="str">
        <f>HYPERLINK("https://www.773grp.com/manufacturer/onsemi?pageNo=1095", "Onsemi")</f>
        <v>Onsemi</v>
      </c>
      <c r="C7836" s="6">
        <v>12000</v>
      </c>
      <c r="D7836" s="7">
        <v>0.9</v>
      </c>
      <c r="E7836" t="s">
        <v>13</v>
      </c>
    </row>
    <row r="7837" spans="1:5" x14ac:dyDescent="0.25">
      <c r="A7837" t="str">
        <f>HYPERLINK("https://www.773grp.com/globalSearch/TLV431ALPRP/page-1", "TLV431ALPRP")</f>
        <v>TLV431ALPRP</v>
      </c>
      <c r="B7837" s="3" t="str">
        <f>HYPERLINK("https://www.773grp.com/manufacturer/onsemi?pageNo=1096", "Onsemi")</f>
        <v>Onsemi</v>
      </c>
      <c r="C7837" s="6">
        <v>22000</v>
      </c>
      <c r="D7837" s="7">
        <v>0.9</v>
      </c>
      <c r="E7837" t="s">
        <v>13</v>
      </c>
    </row>
    <row r="7838" spans="1:5" x14ac:dyDescent="0.25">
      <c r="A7838" t="str">
        <f>HYPERLINK("https://www.773grp.com/globalSearch/TLV431BLP/page-1", "TLV431BLP")</f>
        <v>TLV431BLP</v>
      </c>
      <c r="B7838" s="3" t="str">
        <f>HYPERLINK("https://www.773grp.com/manufacturer/onsemi?pageNo=1097", "Onsemi")</f>
        <v>Onsemi</v>
      </c>
      <c r="C7838" s="6">
        <v>9502</v>
      </c>
      <c r="D7838" s="7">
        <v>0.9</v>
      </c>
      <c r="E7838" t="s">
        <v>13</v>
      </c>
    </row>
    <row r="7839" spans="1:5" x14ac:dyDescent="0.25">
      <c r="A7839" t="str">
        <f>HYPERLINK("https://www.773grp.com/globalSearch/TLV431BLPRA/page-1", "TLV431BLPRA")</f>
        <v>TLV431BLPRA</v>
      </c>
      <c r="B7839" s="3" t="str">
        <f>HYPERLINK("https://www.773grp.com/manufacturer/onsemi?pageNo=1098", "Onsemi")</f>
        <v>Onsemi</v>
      </c>
      <c r="C7839" s="6">
        <v>3952</v>
      </c>
      <c r="D7839" s="7">
        <v>0.9</v>
      </c>
      <c r="E7839" t="s">
        <v>13</v>
      </c>
    </row>
    <row r="7840" spans="1:5" x14ac:dyDescent="0.25">
      <c r="A7840" t="str">
        <f>HYPERLINK("https://www.773grp.com/globalSearch/1.5KE130A/page-1", "1.5KE130A")</f>
        <v>1.5KE130A</v>
      </c>
      <c r="B7840" s="3" t="str">
        <f>HYPERLINK("https://www.773grp.com/manufacturer/onsemi?pageNo=1099", "Onsemi")</f>
        <v>Onsemi</v>
      </c>
      <c r="C7840" s="6">
        <v>500</v>
      </c>
      <c r="D7840" s="7">
        <v>0.95</v>
      </c>
      <c r="E7840" t="s">
        <v>75</v>
      </c>
    </row>
    <row r="7841" spans="1:5" x14ac:dyDescent="0.25">
      <c r="A7841" t="str">
        <f>HYPERLINK("https://www.773grp.com/globalSearch/1.5KE130ARL4/page-1", "1.5KE130ARL4")</f>
        <v>1.5KE130ARL4</v>
      </c>
      <c r="B7841" s="3" t="str">
        <f>HYPERLINK("https://www.773grp.com/manufacturer/onsemi?pageNo=1100", "Onsemi")</f>
        <v>Onsemi</v>
      </c>
      <c r="C7841" s="6">
        <v>14500</v>
      </c>
      <c r="D7841" s="7">
        <v>0.95</v>
      </c>
      <c r="E7841" t="s">
        <v>75</v>
      </c>
    </row>
    <row r="7842" spans="1:5" x14ac:dyDescent="0.25">
      <c r="A7842" t="str">
        <f>HYPERLINK("https://www.773grp.com/globalSearch/1.5KE150AG/page-1", "1.5KE150AG")</f>
        <v>1.5KE150AG</v>
      </c>
      <c r="B7842" s="3" t="str">
        <f>HYPERLINK("https://www.773grp.com/manufacturer/onsemi?pageNo=1101", "Onsemi")</f>
        <v>Onsemi</v>
      </c>
      <c r="C7842" s="6">
        <v>500</v>
      </c>
      <c r="D7842" s="7">
        <v>0.95</v>
      </c>
      <c r="E7842" t="s">
        <v>75</v>
      </c>
    </row>
    <row r="7843" spans="1:5" x14ac:dyDescent="0.25">
      <c r="A7843" t="str">
        <f>HYPERLINK("https://www.773grp.com/globalSearch/1.5KE180AG/page-1", "1.5KE180AG")</f>
        <v>1.5KE180AG</v>
      </c>
      <c r="B7843" s="3" t="str">
        <f>HYPERLINK("https://www.773grp.com/manufacturer/onsemi?pageNo=1102", "Onsemi")</f>
        <v>Onsemi</v>
      </c>
      <c r="C7843" s="6">
        <v>1500</v>
      </c>
      <c r="D7843" s="7">
        <v>0.95</v>
      </c>
      <c r="E7843" t="s">
        <v>75</v>
      </c>
    </row>
    <row r="7844" spans="1:5" x14ac:dyDescent="0.25">
      <c r="A7844" t="str">
        <f>HYPERLINK("https://www.773grp.com/globalSearch/1.5KE180ARL4G/page-1", "1.5KE180ARL4G")</f>
        <v>1.5KE180ARL4G</v>
      </c>
      <c r="B7844" s="3" t="str">
        <f>HYPERLINK("https://www.773grp.com/manufacturer/onsemi?pageNo=1103", "Onsemi")</f>
        <v>Onsemi</v>
      </c>
      <c r="C7844" s="6">
        <v>1500</v>
      </c>
      <c r="D7844" s="7">
        <v>0.95</v>
      </c>
      <c r="E7844" t="s">
        <v>75</v>
      </c>
    </row>
    <row r="7845" spans="1:5" x14ac:dyDescent="0.25">
      <c r="A7845" t="str">
        <f>HYPERLINK("https://www.773grp.com/globalSearch/1.5KE200ARL4G/page-1", "1.5KE200ARL4G")</f>
        <v>1.5KE200ARL4G</v>
      </c>
      <c r="B7845" s="3" t="str">
        <f>HYPERLINK("https://www.773grp.com/manufacturer/onsemi?pageNo=1104", "Onsemi")</f>
        <v>Onsemi</v>
      </c>
      <c r="C7845" s="6">
        <v>6000</v>
      </c>
      <c r="D7845" s="7">
        <v>0.95</v>
      </c>
      <c r="E7845" t="s">
        <v>75</v>
      </c>
    </row>
    <row r="7846" spans="1:5" x14ac:dyDescent="0.25">
      <c r="A7846" t="str">
        <f>HYPERLINK("https://www.773grp.com/globalSearch/1N5917BRLG/page-1", "1N5917BRLG")</f>
        <v>1N5917BRLG</v>
      </c>
      <c r="B7846" s="3" t="str">
        <f>HYPERLINK("https://www.773grp.com/manufacturer/onsemi?pageNo=1105", "Onsemi")</f>
        <v>Onsemi</v>
      </c>
      <c r="C7846" s="6">
        <v>30827</v>
      </c>
      <c r="D7846" s="7">
        <v>0.95</v>
      </c>
      <c r="E7846" t="s">
        <v>77</v>
      </c>
    </row>
    <row r="7847" spans="1:5" x14ac:dyDescent="0.25">
      <c r="A7847" t="str">
        <f>HYPERLINK("https://www.773grp.com/globalSearch/1N5919BG/page-1", "1N5919BG")</f>
        <v>1N5919BG</v>
      </c>
      <c r="B7847" s="3" t="str">
        <f>HYPERLINK("https://www.773grp.com/manufacturer/onsemi?pageNo=1106", "Onsemi")</f>
        <v>Onsemi</v>
      </c>
      <c r="C7847" s="6">
        <v>32938</v>
      </c>
      <c r="D7847" s="7">
        <v>0.95</v>
      </c>
      <c r="E7847" t="s">
        <v>77</v>
      </c>
    </row>
    <row r="7848" spans="1:5" x14ac:dyDescent="0.25">
      <c r="A7848" t="str">
        <f>HYPERLINK("https://www.773grp.com/globalSearch/1N5919BRLG/page-1", "1N5919BRLG")</f>
        <v>1N5919BRLG</v>
      </c>
      <c r="B7848" s="3" t="str">
        <f>HYPERLINK("https://www.773grp.com/manufacturer/onsemi?pageNo=1107", "Onsemi")</f>
        <v>Onsemi</v>
      </c>
      <c r="C7848" s="6">
        <v>16927</v>
      </c>
      <c r="D7848" s="7">
        <v>0.95</v>
      </c>
      <c r="E7848" t="s">
        <v>77</v>
      </c>
    </row>
    <row r="7849" spans="1:5" x14ac:dyDescent="0.25">
      <c r="A7849" t="str">
        <f>HYPERLINK("https://www.773grp.com/globalSearch/1N5920BG/page-1", "1N5920BG")</f>
        <v>1N5920BG</v>
      </c>
      <c r="B7849" s="3" t="str">
        <f>HYPERLINK("https://www.773grp.com/manufacturer/onsemi?pageNo=1108", "Onsemi")</f>
        <v>Onsemi</v>
      </c>
      <c r="C7849" s="6">
        <v>537</v>
      </c>
      <c r="D7849" s="7">
        <v>0.95</v>
      </c>
      <c r="E7849" t="s">
        <v>77</v>
      </c>
    </row>
    <row r="7850" spans="1:5" x14ac:dyDescent="0.25">
      <c r="A7850" t="str">
        <f>HYPERLINK("https://www.773grp.com/globalSearch/1N5920BRLG/page-1", "1N5920BRLG")</f>
        <v>1N5920BRLG</v>
      </c>
      <c r="B7850" s="3" t="str">
        <f>HYPERLINK("https://www.773grp.com/manufacturer/onsemi?pageNo=1109", "Onsemi")</f>
        <v>Onsemi</v>
      </c>
      <c r="C7850" s="6">
        <v>18000</v>
      </c>
      <c r="D7850" s="7">
        <v>0.95</v>
      </c>
    </row>
    <row r="7851" spans="1:5" x14ac:dyDescent="0.25">
      <c r="A7851" t="str">
        <f>HYPERLINK("https://www.773grp.com/globalSearch/1N5921BRLG/page-1", "1N5921BRLG")</f>
        <v>1N5921BRLG</v>
      </c>
      <c r="B7851" s="3" t="str">
        <f>HYPERLINK("https://www.773grp.com/manufacturer/onsemi?pageNo=1110", "Onsemi")</f>
        <v>Onsemi</v>
      </c>
      <c r="C7851" s="6">
        <v>159461</v>
      </c>
      <c r="D7851" s="7">
        <v>0.95</v>
      </c>
      <c r="E7851" t="s">
        <v>77</v>
      </c>
    </row>
    <row r="7852" spans="1:5" x14ac:dyDescent="0.25">
      <c r="A7852" t="str">
        <f>HYPERLINK("https://www.773grp.com/globalSearch/1N5923BRLG/page-1", "1N5923BRLG")</f>
        <v>1N5923BRLG</v>
      </c>
      <c r="B7852" s="3" t="str">
        <f>HYPERLINK("https://www.773grp.com/manufacturer/onsemi?pageNo=1111", "Onsemi")</f>
        <v>Onsemi</v>
      </c>
      <c r="C7852" s="6">
        <v>192402</v>
      </c>
      <c r="D7852" s="7">
        <v>0.95</v>
      </c>
      <c r="E7852" t="s">
        <v>77</v>
      </c>
    </row>
    <row r="7853" spans="1:5" x14ac:dyDescent="0.25">
      <c r="A7853" t="str">
        <f>HYPERLINK("https://www.773grp.com/globalSearch/1N5925BRLG/page-1", "1N5925BRLG")</f>
        <v>1N5925BRLG</v>
      </c>
      <c r="B7853" s="3" t="str">
        <f>HYPERLINK("https://www.773grp.com/manufacturer/onsemi?pageNo=1112", "Onsemi")</f>
        <v>Onsemi</v>
      </c>
      <c r="C7853" s="6">
        <v>18000</v>
      </c>
      <c r="D7853" s="7">
        <v>0.95</v>
      </c>
      <c r="E7853" t="s">
        <v>77</v>
      </c>
    </row>
    <row r="7854" spans="1:5" x14ac:dyDescent="0.25">
      <c r="A7854" t="str">
        <f>HYPERLINK("https://www.773grp.com/globalSearch/1N5927BG/page-1", "1N5927BG")</f>
        <v>1N5927BG</v>
      </c>
      <c r="B7854" s="3" t="str">
        <f>HYPERLINK("https://www.773grp.com/manufacturer/onsemi?pageNo=1113", "Onsemi")</f>
        <v>Onsemi</v>
      </c>
      <c r="C7854" s="6">
        <v>8316</v>
      </c>
      <c r="D7854" s="7">
        <v>0.95</v>
      </c>
      <c r="E7854" t="s">
        <v>77</v>
      </c>
    </row>
    <row r="7855" spans="1:5" x14ac:dyDescent="0.25">
      <c r="A7855" t="str">
        <f>HYPERLINK("https://www.773grp.com/globalSearch/1N5927BRLG/page-1", "1N5927BRLG")</f>
        <v>1N5927BRLG</v>
      </c>
      <c r="B7855" s="3" t="str">
        <f>HYPERLINK("https://www.773grp.com/manufacturer/onsemi?pageNo=1114", "Onsemi")</f>
        <v>Onsemi</v>
      </c>
      <c r="C7855" s="6">
        <v>4210</v>
      </c>
      <c r="D7855" s="7">
        <v>0.95</v>
      </c>
      <c r="E7855" t="s">
        <v>77</v>
      </c>
    </row>
    <row r="7856" spans="1:5" x14ac:dyDescent="0.25">
      <c r="A7856" t="str">
        <f>HYPERLINK("https://www.773grp.com/globalSearch/1N5929BG/page-1", "1N5929BG")</f>
        <v>1N5929BG</v>
      </c>
      <c r="B7856" s="3" t="str">
        <f>HYPERLINK("https://www.773grp.com/manufacturer/onsemi?pageNo=1115", "Onsemi")</f>
        <v>Onsemi</v>
      </c>
      <c r="C7856" s="6">
        <v>19556</v>
      </c>
      <c r="D7856" s="7">
        <v>0.95</v>
      </c>
      <c r="E7856" t="s">
        <v>77</v>
      </c>
    </row>
    <row r="7857" spans="1:5" x14ac:dyDescent="0.25">
      <c r="A7857" t="str">
        <f>HYPERLINK("https://www.773grp.com/globalSearch/1N5929BRLG/page-1", "1N5929BRLG")</f>
        <v>1N5929BRLG</v>
      </c>
      <c r="B7857" s="3" t="str">
        <f>HYPERLINK("https://www.773grp.com/manufacturer/onsemi?pageNo=1116", "Onsemi")</f>
        <v>Onsemi</v>
      </c>
      <c r="C7857" s="6">
        <v>30950</v>
      </c>
      <c r="D7857" s="7">
        <v>0.95</v>
      </c>
      <c r="E7857" t="s">
        <v>77</v>
      </c>
    </row>
    <row r="7858" spans="1:5" x14ac:dyDescent="0.25">
      <c r="A7858" t="str">
        <f>HYPERLINK("https://www.773grp.com/globalSearch/1N5931BRLG/page-1", "1N5931BRLG")</f>
        <v>1N5931BRLG</v>
      </c>
      <c r="B7858" s="3" t="str">
        <f>HYPERLINK("https://www.773grp.com/manufacturer/onsemi?pageNo=1117", "Onsemi")</f>
        <v>Onsemi</v>
      </c>
      <c r="C7858" s="6">
        <v>45495</v>
      </c>
      <c r="D7858" s="7">
        <v>0.95</v>
      </c>
    </row>
    <row r="7859" spans="1:5" x14ac:dyDescent="0.25">
      <c r="A7859" t="str">
        <f>HYPERLINK("https://www.773grp.com/globalSearch/1N5934BG/page-1", "1N5934BG")</f>
        <v>1N5934BG</v>
      </c>
      <c r="B7859" s="3" t="str">
        <f>HYPERLINK("https://www.773grp.com/manufacturer/onsemi?pageNo=1118", "Onsemi")</f>
        <v>Onsemi</v>
      </c>
      <c r="C7859" s="6">
        <v>8512</v>
      </c>
      <c r="D7859" s="7">
        <v>0.95</v>
      </c>
      <c r="E7859" t="s">
        <v>77</v>
      </c>
    </row>
    <row r="7860" spans="1:5" x14ac:dyDescent="0.25">
      <c r="A7860" t="str">
        <f>HYPERLINK("https://www.773grp.com/globalSearch/1N5934BRLG/page-1", "1N5934BRLG")</f>
        <v>1N5934BRLG</v>
      </c>
      <c r="B7860" s="3" t="str">
        <f>HYPERLINK("https://www.773grp.com/manufacturer/onsemi?pageNo=1119", "Onsemi")</f>
        <v>Onsemi</v>
      </c>
      <c r="C7860" s="6">
        <v>97088</v>
      </c>
      <c r="D7860" s="7">
        <v>0.95</v>
      </c>
      <c r="E7860" t="s">
        <v>77</v>
      </c>
    </row>
    <row r="7861" spans="1:5" x14ac:dyDescent="0.25">
      <c r="A7861" t="str">
        <f>HYPERLINK("https://www.773grp.com/globalSearch/1N5937BG/page-1", "1N5937BG")</f>
        <v>1N5937BG</v>
      </c>
      <c r="B7861" s="3" t="str">
        <f>HYPERLINK("https://www.773grp.com/manufacturer/onsemi?pageNo=1120", "Onsemi")</f>
        <v>Onsemi</v>
      </c>
      <c r="C7861" s="6">
        <v>600</v>
      </c>
      <c r="D7861" s="7">
        <v>0.95</v>
      </c>
      <c r="E7861" t="s">
        <v>77</v>
      </c>
    </row>
    <row r="7862" spans="1:5" x14ac:dyDescent="0.25">
      <c r="A7862" t="str">
        <f>HYPERLINK("https://www.773grp.com/globalSearch/1N5937BRLG/page-1", "1N5937BRLG")</f>
        <v>1N5937BRLG</v>
      </c>
      <c r="B7862" s="3" t="str">
        <f>HYPERLINK("https://www.773grp.com/manufacturer/onsemi?pageNo=1121", "Onsemi")</f>
        <v>Onsemi</v>
      </c>
      <c r="C7862" s="6">
        <v>8899</v>
      </c>
      <c r="D7862" s="7">
        <v>0.95</v>
      </c>
    </row>
    <row r="7863" spans="1:5" x14ac:dyDescent="0.25">
      <c r="A7863" t="str">
        <f>HYPERLINK("https://www.773grp.com/globalSearch/1N5938BRLG/page-1", "1N5938BRLG")</f>
        <v>1N5938BRLG</v>
      </c>
      <c r="B7863" s="3" t="str">
        <f>HYPERLINK("https://www.773grp.com/manufacturer/onsemi?pageNo=1122", "Onsemi")</f>
        <v>Onsemi</v>
      </c>
      <c r="C7863" s="6">
        <v>4958</v>
      </c>
      <c r="D7863" s="7">
        <v>0.95</v>
      </c>
      <c r="E7863" t="s">
        <v>77</v>
      </c>
    </row>
    <row r="7864" spans="1:5" x14ac:dyDescent="0.25">
      <c r="A7864" t="str">
        <f>HYPERLINK("https://www.773grp.com/globalSearch/1N5942BRLG/page-1", "1N5942BRLG")</f>
        <v>1N5942BRLG</v>
      </c>
      <c r="B7864" s="3" t="str">
        <f>HYPERLINK("https://www.773grp.com/manufacturer/onsemi?pageNo=1123", "Onsemi")</f>
        <v>Onsemi</v>
      </c>
      <c r="C7864" s="6">
        <v>107041</v>
      </c>
      <c r="D7864" s="7">
        <v>0.95</v>
      </c>
      <c r="E7864" t="s">
        <v>77</v>
      </c>
    </row>
    <row r="7865" spans="1:5" x14ac:dyDescent="0.25">
      <c r="A7865" t="str">
        <f>HYPERLINK("https://www.773grp.com/globalSearch/1N5946BRLG/page-1", "1N5946BRLG")</f>
        <v>1N5946BRLG</v>
      </c>
      <c r="B7865" s="3" t="str">
        <f>HYPERLINK("https://www.773grp.com/manufacturer/onsemi?pageNo=1124", "Onsemi")</f>
        <v>Onsemi</v>
      </c>
      <c r="C7865" s="6">
        <v>30000</v>
      </c>
      <c r="D7865" s="7">
        <v>0.95</v>
      </c>
      <c r="E7865" t="s">
        <v>77</v>
      </c>
    </row>
    <row r="7866" spans="1:5" x14ac:dyDescent="0.25">
      <c r="A7866" t="str">
        <f>HYPERLINK("https://www.773grp.com/globalSearch/1N5948BRLG/page-1", "1N5948BRLG")</f>
        <v>1N5948BRLG</v>
      </c>
      <c r="B7866" s="3" t="str">
        <f>HYPERLINK("https://www.773grp.com/manufacturer/onsemi?pageNo=1125", "Onsemi")</f>
        <v>Onsemi</v>
      </c>
      <c r="C7866" s="6">
        <v>15944</v>
      </c>
      <c r="D7866" s="7">
        <v>0.95</v>
      </c>
      <c r="E7866" t="s">
        <v>77</v>
      </c>
    </row>
    <row r="7867" spans="1:5" x14ac:dyDescent="0.25">
      <c r="A7867" t="str">
        <f>HYPERLINK("https://www.773grp.com/globalSearch/1N5953BG/page-1", "1N5953BG")</f>
        <v>1N5953BG</v>
      </c>
      <c r="B7867" s="3" t="str">
        <f>HYPERLINK("https://www.773grp.com/manufacturer/onsemi?pageNo=1126", "Onsemi")</f>
        <v>Onsemi</v>
      </c>
      <c r="C7867" s="6">
        <v>13864</v>
      </c>
      <c r="D7867" s="7">
        <v>0.95</v>
      </c>
      <c r="E7867" t="s">
        <v>77</v>
      </c>
    </row>
    <row r="7868" spans="1:5" x14ac:dyDescent="0.25">
      <c r="A7868" t="str">
        <f>HYPERLINK("https://www.773grp.com/globalSearch/1N5953BRLG/page-1", "1N5953BRLG")</f>
        <v>1N5953BRLG</v>
      </c>
      <c r="B7868" s="3" t="str">
        <f>HYPERLINK("https://www.773grp.com/manufacturer/onsemi?pageNo=1127", "Onsemi")</f>
        <v>Onsemi</v>
      </c>
      <c r="C7868" s="6">
        <v>39472</v>
      </c>
      <c r="D7868" s="7">
        <v>0.95</v>
      </c>
      <c r="E7868" t="s">
        <v>77</v>
      </c>
    </row>
    <row r="7869" spans="1:5" x14ac:dyDescent="0.25">
      <c r="A7869" t="str">
        <f>HYPERLINK("https://www.773grp.com/globalSearch/1N5955BRLG/page-1", "1N5955BRLG")</f>
        <v>1N5955BRLG</v>
      </c>
      <c r="B7869" s="3" t="str">
        <f>HYPERLINK("https://www.773grp.com/manufacturer/onsemi?pageNo=1128", "Onsemi")</f>
        <v>Onsemi</v>
      </c>
      <c r="C7869" s="6">
        <v>53979</v>
      </c>
      <c r="D7869" s="7">
        <v>0.95</v>
      </c>
      <c r="E7869" t="s">
        <v>77</v>
      </c>
    </row>
    <row r="7870" spans="1:5" x14ac:dyDescent="0.25">
      <c r="A7870" t="str">
        <f>HYPERLINK("https://www.773grp.com/globalSearch/1N5956BRLG/page-1", "1N5956BRLG")</f>
        <v>1N5956BRLG</v>
      </c>
      <c r="B7870" s="3" t="str">
        <f>HYPERLINK("https://www.773grp.com/manufacturer/onsemi?pageNo=1129", "Onsemi")</f>
        <v>Onsemi</v>
      </c>
      <c r="C7870" s="6">
        <v>759632</v>
      </c>
      <c r="D7870" s="7">
        <v>0.95</v>
      </c>
      <c r="E7870" t="s">
        <v>77</v>
      </c>
    </row>
    <row r="7871" spans="1:5" x14ac:dyDescent="0.25">
      <c r="A7871" t="str">
        <f>HYPERLINK("https://www.773grp.com/globalSearch/1N6300A/page-1", "1N6300A")</f>
        <v>1N6300A</v>
      </c>
      <c r="B7871" s="3" t="str">
        <f>HYPERLINK("https://www.773grp.com/manufacturer/onsemi?pageNo=1130", "Onsemi")</f>
        <v>Onsemi</v>
      </c>
      <c r="C7871" s="6">
        <v>36</v>
      </c>
      <c r="D7871" s="7">
        <v>0.95</v>
      </c>
      <c r="E7871" t="s">
        <v>75</v>
      </c>
    </row>
    <row r="7872" spans="1:5" x14ac:dyDescent="0.25">
      <c r="A7872" t="str">
        <f>HYPERLINK("https://www.773grp.com/globalSearch/1N6303ARL4G/page-1", "1N6303ARL4G")</f>
        <v>1N6303ARL4G</v>
      </c>
      <c r="B7872" s="3" t="str">
        <f>HYPERLINK("https://www.773grp.com/manufacturer/onsemi?pageNo=1131", "Onsemi")</f>
        <v>Onsemi</v>
      </c>
      <c r="C7872" s="6">
        <v>10500</v>
      </c>
      <c r="D7872" s="7">
        <v>0.95</v>
      </c>
      <c r="E7872" t="s">
        <v>75</v>
      </c>
    </row>
    <row r="7873" spans="1:5" x14ac:dyDescent="0.25">
      <c r="A7873" t="str">
        <f>HYPERLINK("https://www.773grp.com/globalSearch/2N6387/page-1", "2N6387")</f>
        <v>2N6387</v>
      </c>
      <c r="B7873" s="3" t="str">
        <f>HYPERLINK("https://www.773grp.com/manufacturer/onsemi?pageNo=1132", "Onsemi")</f>
        <v>Onsemi</v>
      </c>
      <c r="C7873" s="6">
        <v>2572</v>
      </c>
      <c r="D7873" s="7">
        <v>0.95</v>
      </c>
      <c r="E7873" t="s">
        <v>47</v>
      </c>
    </row>
    <row r="7874" spans="1:5" x14ac:dyDescent="0.25">
      <c r="A7874" t="str">
        <f>HYPERLINK("https://www.773grp.com/globalSearch/2N6491/page-1", "2N6491")</f>
        <v>2N6491</v>
      </c>
      <c r="B7874" s="3" t="str">
        <f>HYPERLINK("https://www.773grp.com/manufacturer/onsemi?pageNo=1133", "Onsemi")</f>
        <v>Onsemi</v>
      </c>
      <c r="C7874" s="6">
        <v>24866</v>
      </c>
      <c r="D7874" s="7">
        <v>0.95</v>
      </c>
      <c r="E7874" t="s">
        <v>47</v>
      </c>
    </row>
    <row r="7875" spans="1:5" x14ac:dyDescent="0.25">
      <c r="A7875" t="str">
        <f>HYPERLINK("https://www.773grp.com/globalSearch/2SC4489S-AN/page-1", "2SC4489S-AN")</f>
        <v>2SC4489S-AN</v>
      </c>
      <c r="B7875" s="3" t="str">
        <f>HYPERLINK("https://www.773grp.com/manufacturer/onsemi?pageNo=1134", "Onsemi")</f>
        <v>Onsemi</v>
      </c>
      <c r="C7875" s="6">
        <v>9300</v>
      </c>
      <c r="D7875" s="7">
        <v>0.95</v>
      </c>
    </row>
    <row r="7876" spans="1:5" x14ac:dyDescent="0.25">
      <c r="A7876" t="str">
        <f>HYPERLINK("https://www.773grp.com/globalSearch/3EZ13D5RLG/page-1", "3EZ13D5RLG")</f>
        <v>3EZ13D5RLG</v>
      </c>
      <c r="B7876" s="3" t="str">
        <f>HYPERLINK("https://www.773grp.com/manufacturer/onsemi?pageNo=1135", "Onsemi")</f>
        <v>Onsemi</v>
      </c>
      <c r="C7876" s="6">
        <v>51000</v>
      </c>
      <c r="D7876" s="7">
        <v>0.95</v>
      </c>
    </row>
    <row r="7877" spans="1:5" x14ac:dyDescent="0.25">
      <c r="A7877" t="str">
        <f>HYPERLINK("https://www.773grp.com/globalSearch/3EZ16D5RLG/page-1", "3EZ16D5RLG")</f>
        <v>3EZ16D5RLG</v>
      </c>
      <c r="B7877" s="3" t="str">
        <f>HYPERLINK("https://www.773grp.com/manufacturer/onsemi?pageNo=1136", "Onsemi")</f>
        <v>Onsemi</v>
      </c>
      <c r="C7877" s="6">
        <v>6000</v>
      </c>
      <c r="D7877" s="7">
        <v>0.95</v>
      </c>
    </row>
    <row r="7878" spans="1:5" x14ac:dyDescent="0.25">
      <c r="A7878" t="str">
        <f>HYPERLINK("https://www.773grp.com/globalSearch/3EZ18D5RLG/page-1", "3EZ18D5RLG")</f>
        <v>3EZ18D5RLG</v>
      </c>
      <c r="B7878" s="3" t="str">
        <f>HYPERLINK("https://www.773grp.com/manufacturer/onsemi?pageNo=1137", "Onsemi")</f>
        <v>Onsemi</v>
      </c>
      <c r="C7878" s="6">
        <v>832</v>
      </c>
      <c r="D7878" s="7">
        <v>0.95</v>
      </c>
      <c r="E7878" t="s">
        <v>77</v>
      </c>
    </row>
    <row r="7879" spans="1:5" x14ac:dyDescent="0.25">
      <c r="A7879" t="str">
        <f>HYPERLINK("https://www.773grp.com/globalSearch/3EZ6.2D5RLG/page-1", "3EZ6.2D5RLG")</f>
        <v>3EZ6.2D5RLG</v>
      </c>
      <c r="B7879" s="3" t="str">
        <f>HYPERLINK("https://www.773grp.com/manufacturer/onsemi?pageNo=1138", "Onsemi")</f>
        <v>Onsemi</v>
      </c>
      <c r="C7879" s="6">
        <v>8698</v>
      </c>
      <c r="D7879" s="7">
        <v>0.95</v>
      </c>
      <c r="E7879" t="s">
        <v>77</v>
      </c>
    </row>
    <row r="7880" spans="1:5" x14ac:dyDescent="0.25">
      <c r="A7880" t="str">
        <f>HYPERLINK("https://www.773grp.com/globalSearch/BCP53-10T1/page-1", "BCP53-10T1")</f>
        <v>BCP53-10T1</v>
      </c>
      <c r="B7880" s="3" t="str">
        <f>HYPERLINK("https://www.773grp.com/manufacturer/onsemi?pageNo=1139", "Onsemi")</f>
        <v>Onsemi</v>
      </c>
      <c r="C7880" s="6">
        <v>46000</v>
      </c>
      <c r="D7880" s="7">
        <v>0.95</v>
      </c>
      <c r="E7880" t="s">
        <v>47</v>
      </c>
    </row>
    <row r="7881" spans="1:5" x14ac:dyDescent="0.25">
      <c r="A7881" t="str">
        <f>HYPERLINK("https://www.773grp.com/globalSearch/BCP53-16T3/page-1", "BCP53-16T3")</f>
        <v>BCP53-16T3</v>
      </c>
      <c r="B7881" s="3" t="str">
        <f>HYPERLINK("https://www.773grp.com/manufacturer/onsemi?pageNo=1140", "Onsemi")</f>
        <v>Onsemi</v>
      </c>
      <c r="C7881" s="6">
        <v>52000</v>
      </c>
      <c r="D7881" s="7">
        <v>0.95</v>
      </c>
      <c r="E7881" t="s">
        <v>47</v>
      </c>
    </row>
    <row r="7882" spans="1:5" x14ac:dyDescent="0.25">
      <c r="A7882" t="str">
        <f>HYPERLINK("https://www.773grp.com/globalSearch/BCP53T1/page-1", "BCP53T1")</f>
        <v>BCP53T1</v>
      </c>
      <c r="B7882" s="3" t="str">
        <f>HYPERLINK("https://www.773grp.com/manufacturer/onsemi?pageNo=1141", "Onsemi")</f>
        <v>Onsemi</v>
      </c>
      <c r="C7882" s="6">
        <v>97000</v>
      </c>
      <c r="D7882" s="7">
        <v>0.95</v>
      </c>
    </row>
    <row r="7883" spans="1:5" x14ac:dyDescent="0.25">
      <c r="A7883" t="str">
        <f>HYPERLINK("https://www.773grp.com/globalSearch/BCP56T1/page-1", "BCP56T1")</f>
        <v>BCP56T1</v>
      </c>
      <c r="B7883" s="3" t="str">
        <f>HYPERLINK("https://www.773grp.com/manufacturer/onsemi?pageNo=1142", "Onsemi")</f>
        <v>Onsemi</v>
      </c>
      <c r="C7883" s="6">
        <v>25000</v>
      </c>
      <c r="D7883" s="7">
        <v>0.95</v>
      </c>
    </row>
    <row r="7884" spans="1:5" x14ac:dyDescent="0.25">
      <c r="A7884" t="str">
        <f>HYPERLINK("https://www.773grp.com/globalSearch/BCP68T1G/page-1", "BCP68T1G")</f>
        <v>BCP68T1G</v>
      </c>
      <c r="B7884" s="3" t="str">
        <f>HYPERLINK("https://www.773grp.com/manufacturer/onsemi?pageNo=1143", "Onsemi")</f>
        <v>Onsemi</v>
      </c>
      <c r="C7884" s="6">
        <v>804466</v>
      </c>
      <c r="D7884" s="7">
        <v>0.95</v>
      </c>
      <c r="E7884" t="s">
        <v>47</v>
      </c>
    </row>
    <row r="7885" spans="1:5" x14ac:dyDescent="0.25">
      <c r="A7885" t="str">
        <f>HYPERLINK("https://www.773grp.com/globalSearch/BD135G/page-1", "BD135G")</f>
        <v>BD135G</v>
      </c>
      <c r="B7885" s="3" t="str">
        <f>HYPERLINK("https://www.773grp.com/manufacturer/onsemi?pageNo=1144", "Onsemi")</f>
        <v>Onsemi</v>
      </c>
      <c r="C7885" s="6">
        <v>59500</v>
      </c>
      <c r="D7885" s="7">
        <v>0.95</v>
      </c>
      <c r="E7885" t="s">
        <v>47</v>
      </c>
    </row>
    <row r="7886" spans="1:5" x14ac:dyDescent="0.25">
      <c r="A7886" t="str">
        <f>HYPERLINK("https://www.773grp.com/globalSearch/BD136G/page-1", "BD136G")</f>
        <v>BD136G</v>
      </c>
      <c r="B7886" s="3" t="str">
        <f>HYPERLINK("https://www.773grp.com/manufacturer/onsemi?pageNo=1145", "Onsemi")</f>
        <v>Onsemi</v>
      </c>
      <c r="C7886" s="6">
        <v>2352</v>
      </c>
      <c r="D7886" s="7">
        <v>0.95</v>
      </c>
      <c r="E7886" t="s">
        <v>47</v>
      </c>
    </row>
    <row r="7887" spans="1:5" x14ac:dyDescent="0.25">
      <c r="A7887" t="str">
        <f>HYPERLINK("https://www.773grp.com/globalSearch/BD137G/page-1", "BD137G")</f>
        <v>BD137G</v>
      </c>
      <c r="B7887" s="3" t="str">
        <f>HYPERLINK("https://www.773grp.com/manufacturer/onsemi?pageNo=1146", "Onsemi")</f>
        <v>Onsemi</v>
      </c>
      <c r="C7887" s="6">
        <v>477</v>
      </c>
      <c r="D7887" s="7">
        <v>0.95</v>
      </c>
      <c r="E7887" t="s">
        <v>47</v>
      </c>
    </row>
    <row r="7888" spans="1:5" x14ac:dyDescent="0.25">
      <c r="A7888" t="str">
        <f>HYPERLINK("https://www.773grp.com/globalSearch/BD138G/page-1", "BD138G")</f>
        <v>BD138G</v>
      </c>
      <c r="B7888" s="3" t="str">
        <f>HYPERLINK("https://www.773grp.com/manufacturer/onsemi?pageNo=1147", "Onsemi")</f>
        <v>Onsemi</v>
      </c>
      <c r="C7888" s="6">
        <v>3000</v>
      </c>
      <c r="D7888" s="7">
        <v>0.95</v>
      </c>
      <c r="E7888" t="s">
        <v>47</v>
      </c>
    </row>
    <row r="7889" spans="1:5" x14ac:dyDescent="0.25">
      <c r="A7889" t="str">
        <f>HYPERLINK("https://www.773grp.com/globalSearch/BD139G/page-1", "BD139G")</f>
        <v>BD139G</v>
      </c>
      <c r="B7889" s="3" t="str">
        <f>HYPERLINK("https://www.773grp.com/manufacturer/onsemi?pageNo=1148", "Onsemi")</f>
        <v>Onsemi</v>
      </c>
      <c r="C7889" s="6">
        <v>6500</v>
      </c>
      <c r="D7889" s="7">
        <v>0.95</v>
      </c>
      <c r="E7889" t="s">
        <v>47</v>
      </c>
    </row>
    <row r="7890" spans="1:5" x14ac:dyDescent="0.25">
      <c r="A7890" t="str">
        <f>HYPERLINK("https://www.773grp.com/globalSearch/BD140G/page-1", "BD140G")</f>
        <v>BD140G</v>
      </c>
      <c r="B7890" s="3" t="str">
        <f>HYPERLINK("https://www.773grp.com/manufacturer/onsemi?pageNo=1149", "Onsemi")</f>
        <v>Onsemi</v>
      </c>
      <c r="C7890" s="6">
        <v>6000</v>
      </c>
      <c r="D7890" s="7">
        <v>0.95</v>
      </c>
      <c r="E7890" t="s">
        <v>47</v>
      </c>
    </row>
    <row r="7891" spans="1:5" x14ac:dyDescent="0.25">
      <c r="A7891" t="str">
        <f>HYPERLINK("https://www.773grp.com/globalSearch/BD787G/page-1", "BD787G")</f>
        <v>BD787G</v>
      </c>
      <c r="B7891" s="3" t="str">
        <f>HYPERLINK("https://www.773grp.com/manufacturer/onsemi?pageNo=1150", "Onsemi")</f>
        <v>Onsemi</v>
      </c>
      <c r="C7891" s="6">
        <v>901</v>
      </c>
      <c r="D7891" s="7">
        <v>0.95</v>
      </c>
    </row>
    <row r="7892" spans="1:5" x14ac:dyDescent="0.25">
      <c r="A7892" t="str">
        <f>HYPERLINK("https://www.773grp.com/globalSearch/BD788G/page-1", "BD788G")</f>
        <v>BD788G</v>
      </c>
      <c r="B7892" s="3" t="str">
        <f>HYPERLINK("https://www.773grp.com/manufacturer/onsemi?pageNo=1151", "Onsemi")</f>
        <v>Onsemi</v>
      </c>
      <c r="C7892" s="6">
        <v>1000</v>
      </c>
      <c r="D7892" s="7">
        <v>0.95</v>
      </c>
      <c r="E7892" t="s">
        <v>47</v>
      </c>
    </row>
    <row r="7893" spans="1:5" x14ac:dyDescent="0.25">
      <c r="A7893" t="str">
        <f>HYPERLINK("https://www.773grp.com/globalSearch/BD810/page-1", "BD810")</f>
        <v>BD810</v>
      </c>
      <c r="B7893" s="3" t="str">
        <f>HYPERLINK("https://www.773grp.com/manufacturer/onsemi?pageNo=1152", "Onsemi")</f>
        <v>Onsemi</v>
      </c>
      <c r="C7893" s="6">
        <v>1927</v>
      </c>
      <c r="D7893" s="7">
        <v>0.95</v>
      </c>
      <c r="E7893" t="s">
        <v>47</v>
      </c>
    </row>
    <row r="7894" spans="1:5" x14ac:dyDescent="0.25">
      <c r="A7894" t="str">
        <f>HYPERLINK("https://www.773grp.com/globalSearch/CAT24C02ZE-GT3A/page-1", "CAT24C02ZE-GT3A")</f>
        <v>CAT24C02ZE-GT3A</v>
      </c>
      <c r="B7894" s="3" t="str">
        <f>HYPERLINK("https://www.773grp.com/manufacturer/onsemi?pageNo=1153", "Onsemi")</f>
        <v>Onsemi</v>
      </c>
      <c r="C7894" s="6">
        <v>32761</v>
      </c>
      <c r="D7894" s="7">
        <v>0.95</v>
      </c>
      <c r="E7894" t="s">
        <v>52</v>
      </c>
    </row>
    <row r="7895" spans="1:5" x14ac:dyDescent="0.25">
      <c r="A7895" t="str">
        <f>HYPERLINK("https://www.773grp.com/globalSearch/CAT24C03VP2I-GT3/page-1", "CAT24C03VP2I-GT3")</f>
        <v>CAT24C03VP2I-GT3</v>
      </c>
      <c r="B7895" s="3" t="str">
        <f>HYPERLINK("https://www.773grp.com/manufacturer/onsemi?pageNo=1154", "Onsemi")</f>
        <v>Onsemi</v>
      </c>
      <c r="C7895" s="6">
        <v>21000</v>
      </c>
      <c r="D7895" s="7">
        <v>0.95</v>
      </c>
      <c r="E7895" t="s">
        <v>52</v>
      </c>
    </row>
    <row r="7896" spans="1:5" x14ac:dyDescent="0.25">
      <c r="A7896" t="str">
        <f>HYPERLINK("https://www.773grp.com/globalSearch/CAT24C64WI-GT3/page-1", "CAT24C64WI-GT3")</f>
        <v>CAT24C64WI-GT3</v>
      </c>
      <c r="B7896" s="3" t="str">
        <f>HYPERLINK("https://www.773grp.com/manufacturer/onsemi?pageNo=1155", "Onsemi")</f>
        <v>Onsemi</v>
      </c>
      <c r="C7896" s="6">
        <v>261000</v>
      </c>
      <c r="D7896" s="7">
        <v>0.95</v>
      </c>
    </row>
    <row r="7897" spans="1:5" x14ac:dyDescent="0.25">
      <c r="A7897" t="str">
        <f>HYPERLINK("https://www.773grp.com/globalSearch/CAT24C64YI-GT3/page-1", "CAT24C64YI-GT3")</f>
        <v>CAT24C64YI-GT3</v>
      </c>
      <c r="B7897" s="3" t="str">
        <f>HYPERLINK("https://www.773grp.com/manufacturer/onsemi?pageNo=1156", "Onsemi")</f>
        <v>Onsemi</v>
      </c>
      <c r="C7897" s="6">
        <v>1086010</v>
      </c>
      <c r="D7897" s="7">
        <v>0.95</v>
      </c>
    </row>
    <row r="7898" spans="1:5" x14ac:dyDescent="0.25">
      <c r="A7898" t="str">
        <f>HYPERLINK("https://www.773grp.com/globalSearch/CAT25010LI-G/page-1", "CAT25010LI-G")</f>
        <v>CAT25010LI-G</v>
      </c>
      <c r="B7898" s="3" t="str">
        <f>HYPERLINK("https://www.773grp.com/manufacturer/onsemi?pageNo=1157", "Onsemi")</f>
        <v>Onsemi</v>
      </c>
      <c r="C7898" s="6">
        <v>1650</v>
      </c>
      <c r="D7898" s="7">
        <v>0.95</v>
      </c>
      <c r="E7898" t="s">
        <v>52</v>
      </c>
    </row>
    <row r="7899" spans="1:5" x14ac:dyDescent="0.25">
      <c r="A7899" t="str">
        <f>HYPERLINK("https://www.773grp.com/globalSearch/CAT25010VE-G/page-1", "CAT25010VE-G")</f>
        <v>CAT25010VE-G</v>
      </c>
      <c r="B7899" s="3" t="str">
        <f>HYPERLINK("https://www.773grp.com/manufacturer/onsemi?pageNo=1158", "Onsemi")</f>
        <v>Onsemi</v>
      </c>
      <c r="C7899" s="6">
        <v>1100</v>
      </c>
      <c r="D7899" s="7">
        <v>0.95</v>
      </c>
    </row>
    <row r="7900" spans="1:5" x14ac:dyDescent="0.25">
      <c r="A7900" t="str">
        <f>HYPERLINK("https://www.773grp.com/globalSearch/CAT25010VE-GT3/page-1", "CAT25010VE-GT3")</f>
        <v>CAT25010VE-GT3</v>
      </c>
      <c r="B7900" s="3" t="str">
        <f>HYPERLINK("https://www.773grp.com/manufacturer/onsemi?pageNo=1159", "Onsemi")</f>
        <v>Onsemi</v>
      </c>
      <c r="C7900" s="6">
        <v>15000</v>
      </c>
      <c r="D7900" s="7">
        <v>0.95</v>
      </c>
      <c r="E7900" t="s">
        <v>52</v>
      </c>
    </row>
    <row r="7901" spans="1:5" x14ac:dyDescent="0.25">
      <c r="A7901" t="str">
        <f>HYPERLINK("https://www.773grp.com/globalSearch/CAT25080LI-G/page-1", "CAT25080LI-G")</f>
        <v>CAT25080LI-G</v>
      </c>
      <c r="B7901" s="3" t="str">
        <f>HYPERLINK("https://www.773grp.com/manufacturer/onsemi?pageNo=1160", "Onsemi")</f>
        <v>Onsemi</v>
      </c>
      <c r="C7901" s="6">
        <v>12800</v>
      </c>
      <c r="D7901" s="7">
        <v>0.95</v>
      </c>
      <c r="E7901" t="s">
        <v>52</v>
      </c>
    </row>
    <row r="7902" spans="1:5" x14ac:dyDescent="0.25">
      <c r="A7902" t="str">
        <f>HYPERLINK("https://www.773grp.com/globalSearch/CAT25080YI-G/page-1", "CAT25080YI-G")</f>
        <v>CAT25080YI-G</v>
      </c>
      <c r="B7902" s="3" t="str">
        <f>HYPERLINK("https://www.773grp.com/manufacturer/onsemi?pageNo=1161", "Onsemi")</f>
        <v>Onsemi</v>
      </c>
      <c r="C7902" s="6">
        <v>5900</v>
      </c>
      <c r="D7902" s="7">
        <v>0.95</v>
      </c>
    </row>
    <row r="7903" spans="1:5" x14ac:dyDescent="0.25">
      <c r="A7903" t="str">
        <f>HYPERLINK("https://www.773grp.com/globalSearch/CAT34C02YI-G/page-1", "CAT34C02YI-G")</f>
        <v>CAT34C02YI-G</v>
      </c>
      <c r="B7903" s="3" t="str">
        <f>HYPERLINK("https://www.773grp.com/manufacturer/onsemi?pageNo=1162", "Onsemi")</f>
        <v>Onsemi</v>
      </c>
      <c r="C7903" s="6">
        <v>36100</v>
      </c>
      <c r="D7903" s="7">
        <v>0.95</v>
      </c>
    </row>
    <row r="7904" spans="1:5" x14ac:dyDescent="0.25">
      <c r="A7904" t="str">
        <f>HYPERLINK("https://www.773grp.com/globalSearch/CAT34C02YI-GT5/page-1", "CAT34C02YI-GT5")</f>
        <v>CAT34C02YI-GT5</v>
      </c>
      <c r="B7904" s="3" t="str">
        <f>HYPERLINK("https://www.773grp.com/manufacturer/onsemi?pageNo=1163", "Onsemi")</f>
        <v>Onsemi</v>
      </c>
      <c r="C7904" s="6">
        <v>15000</v>
      </c>
      <c r="D7904" s="7">
        <v>0.95</v>
      </c>
      <c r="E7904" t="s">
        <v>52</v>
      </c>
    </row>
    <row r="7905" spans="1:5" x14ac:dyDescent="0.25">
      <c r="A7905" t="str">
        <f>HYPERLINK("https://www.773grp.com/globalSearch/CAT34C02YI-GT5/page-1", "CAT34C02YI-GT5")</f>
        <v>CAT34C02YI-GT5</v>
      </c>
      <c r="B7905" s="3" t="str">
        <f>HYPERLINK("https://www.773grp.com/manufacturer/onsemi?pageNo=1164", "Onsemi")</f>
        <v>Onsemi</v>
      </c>
      <c r="C7905" s="6">
        <v>140000</v>
      </c>
      <c r="D7905" s="7">
        <v>0.95</v>
      </c>
      <c r="E7905" t="s">
        <v>52</v>
      </c>
    </row>
    <row r="7906" spans="1:5" x14ac:dyDescent="0.25">
      <c r="A7906" t="str">
        <f>HYPERLINK("https://www.773grp.com/globalSearch/CAT810LSDI-GT3/page-1", "CAT810LSDI-GT3")</f>
        <v>CAT810LSDI-GT3</v>
      </c>
      <c r="B7906" s="3" t="str">
        <f>HYPERLINK("https://www.773grp.com/manufacturer/onsemi?pageNo=1165", "Onsemi")</f>
        <v>Onsemi</v>
      </c>
      <c r="C7906" s="6">
        <v>3000</v>
      </c>
      <c r="D7906" s="7">
        <v>0.95</v>
      </c>
    </row>
    <row r="7907" spans="1:5" x14ac:dyDescent="0.25">
      <c r="A7907" t="str">
        <f>HYPERLINK("https://www.773grp.com/globalSearch/CAT810LTBI-GT3/page-1", "CAT810LTBI-GT3")</f>
        <v>CAT810LTBI-GT3</v>
      </c>
      <c r="B7907" s="3" t="str">
        <f>HYPERLINK("https://www.773grp.com/manufacturer/onsemi?pageNo=1166", "Onsemi")</f>
        <v>Onsemi</v>
      </c>
      <c r="C7907" s="6">
        <v>3000</v>
      </c>
      <c r="D7907" s="7">
        <v>0.95</v>
      </c>
      <c r="E7907" t="s">
        <v>26</v>
      </c>
    </row>
    <row r="7908" spans="1:5" x14ac:dyDescent="0.25">
      <c r="A7908" t="str">
        <f>HYPERLINK("https://www.773grp.com/globalSearch/CAT810MSDI-GT3/page-1", "CAT810MSDI-GT3")</f>
        <v>CAT810MSDI-GT3</v>
      </c>
      <c r="B7908" s="3" t="str">
        <f>HYPERLINK("https://www.773grp.com/manufacturer/onsemi?pageNo=1167", "Onsemi")</f>
        <v>Onsemi</v>
      </c>
      <c r="C7908" s="6">
        <v>27000</v>
      </c>
      <c r="D7908" s="7">
        <v>0.95</v>
      </c>
    </row>
    <row r="7909" spans="1:5" x14ac:dyDescent="0.25">
      <c r="A7909" t="str">
        <f>HYPERLINK("https://www.773grp.com/globalSearch/CAT810RSDI-GT3/page-1", "CAT810RSDI-GT3")</f>
        <v>CAT810RSDI-GT3</v>
      </c>
      <c r="B7909" s="3" t="str">
        <f>HYPERLINK("https://www.773grp.com/manufacturer/onsemi?pageNo=1168", "Onsemi")</f>
        <v>Onsemi</v>
      </c>
      <c r="C7909" s="6">
        <v>21000</v>
      </c>
      <c r="D7909" s="7">
        <v>0.95</v>
      </c>
    </row>
    <row r="7910" spans="1:5" x14ac:dyDescent="0.25">
      <c r="A7910" t="str">
        <f>HYPERLINK("https://www.773grp.com/globalSearch/CAT810ZSDI-GT3/page-1", "CAT810ZSDI-GT3")</f>
        <v>CAT810ZSDI-GT3</v>
      </c>
      <c r="B7910" s="3" t="str">
        <f>HYPERLINK("https://www.773grp.com/manufacturer/onsemi?pageNo=1169", "Onsemi")</f>
        <v>Onsemi</v>
      </c>
      <c r="C7910" s="6">
        <v>36000</v>
      </c>
      <c r="D7910" s="7">
        <v>0.95</v>
      </c>
      <c r="E7910" t="s">
        <v>26</v>
      </c>
    </row>
    <row r="7911" spans="1:5" x14ac:dyDescent="0.25">
      <c r="A7911" t="str">
        <f>HYPERLINK("https://www.773grp.com/globalSearch/CAT8801MSD-GT3/page-1", "CAT8801MSD-GT3")</f>
        <v>CAT8801MSD-GT3</v>
      </c>
      <c r="B7911" s="3" t="str">
        <f>HYPERLINK("https://www.773grp.com/manufacturer/onsemi?pageNo=1170", "Onsemi")</f>
        <v>Onsemi</v>
      </c>
      <c r="C7911" s="6">
        <v>15000</v>
      </c>
      <c r="D7911" s="7">
        <v>0.95</v>
      </c>
    </row>
    <row r="7912" spans="1:5" x14ac:dyDescent="0.25">
      <c r="A7912" t="str">
        <f>HYPERLINK("https://www.773grp.com/globalSearch/CAT8801RTB-GT3/page-1", "CAT8801RTB-GT3")</f>
        <v>CAT8801RTB-GT3</v>
      </c>
      <c r="B7912" s="3" t="str">
        <f>HYPERLINK("https://www.773grp.com/manufacturer/onsemi?pageNo=1171", "Onsemi")</f>
        <v>Onsemi</v>
      </c>
      <c r="C7912" s="6">
        <v>3000</v>
      </c>
      <c r="D7912" s="7">
        <v>0.95</v>
      </c>
      <c r="E7912" t="s">
        <v>26</v>
      </c>
    </row>
    <row r="7913" spans="1:5" x14ac:dyDescent="0.25">
      <c r="A7913" t="str">
        <f>HYPERLINK("https://www.773grp.com/globalSearch/CAT8801STB-GT3/page-1", "CAT8801STB-GT3")</f>
        <v>CAT8801STB-GT3</v>
      </c>
      <c r="B7913" s="3" t="str">
        <f>HYPERLINK("https://www.773grp.com/manufacturer/onsemi?pageNo=1172", "Onsemi")</f>
        <v>Onsemi</v>
      </c>
      <c r="C7913" s="6">
        <v>3000</v>
      </c>
      <c r="D7913" s="7">
        <v>0.95</v>
      </c>
      <c r="E7913" t="s">
        <v>26</v>
      </c>
    </row>
    <row r="7914" spans="1:5" x14ac:dyDescent="0.25">
      <c r="A7914" t="str">
        <f>HYPERLINK("https://www.773grp.com/globalSearch/CAT8801YSD-GT3/page-1", "CAT8801YSD-GT3")</f>
        <v>CAT8801YSD-GT3</v>
      </c>
      <c r="B7914" s="3" t="str">
        <f>HYPERLINK("https://www.773grp.com/manufacturer/onsemi?pageNo=1173", "Onsemi")</f>
        <v>Onsemi</v>
      </c>
      <c r="C7914" s="6">
        <v>18000</v>
      </c>
      <c r="D7914" s="7">
        <v>0.95</v>
      </c>
    </row>
    <row r="7915" spans="1:5" x14ac:dyDescent="0.25">
      <c r="A7915" t="str">
        <f>HYPERLINK("https://www.773grp.com/globalSearch/CAT8801YTB-GT3/page-1", "CAT8801YTB-GT3")</f>
        <v>CAT8801YTB-GT3</v>
      </c>
      <c r="B7915" s="3" t="str">
        <f>HYPERLINK("https://www.773grp.com/manufacturer/onsemi?pageNo=1174", "Onsemi")</f>
        <v>Onsemi</v>
      </c>
      <c r="C7915" s="6">
        <v>3000</v>
      </c>
      <c r="D7915" s="7">
        <v>0.95</v>
      </c>
    </row>
    <row r="7916" spans="1:5" x14ac:dyDescent="0.25">
      <c r="A7916" t="str">
        <f>HYPERLINK("https://www.773grp.com/globalSearch/CAT93C46RLI-G/page-1", "CAT93C46RLI-G")</f>
        <v>CAT93C46RLI-G</v>
      </c>
      <c r="B7916" s="3" t="str">
        <f>HYPERLINK("https://www.773grp.com/manufacturer/onsemi?pageNo=1175", "Onsemi")</f>
        <v>Onsemi</v>
      </c>
      <c r="C7916" s="6">
        <v>36950</v>
      </c>
      <c r="D7916" s="7">
        <v>0.95</v>
      </c>
      <c r="E7916" t="s">
        <v>52</v>
      </c>
    </row>
    <row r="7917" spans="1:5" x14ac:dyDescent="0.25">
      <c r="A7917" t="str">
        <f>HYPERLINK("https://www.773grp.com/globalSearch/CAT93C66VI-G/page-1", "CAT93C66VI-G")</f>
        <v>CAT93C66VI-G</v>
      </c>
      <c r="B7917" s="3" t="str">
        <f>HYPERLINK("https://www.773grp.com/manufacturer/onsemi?pageNo=1176", "Onsemi")</f>
        <v>Onsemi</v>
      </c>
      <c r="C7917" s="6">
        <v>3721</v>
      </c>
      <c r="D7917" s="7">
        <v>0.95</v>
      </c>
    </row>
    <row r="7918" spans="1:5" x14ac:dyDescent="0.25">
      <c r="A7918" t="str">
        <f>HYPERLINK("https://www.773grp.com/globalSearch/CM1418-02CP/page-1", "CM1418-02CP")</f>
        <v>CM1418-02CP</v>
      </c>
      <c r="B7918" s="3" t="str">
        <f>HYPERLINK("https://www.773grp.com/manufacturer/onsemi?pageNo=1177", "Onsemi")</f>
        <v>Onsemi</v>
      </c>
      <c r="C7918" s="6">
        <v>45500</v>
      </c>
      <c r="D7918" s="7">
        <v>0.95</v>
      </c>
      <c r="E7918" t="s">
        <v>79</v>
      </c>
    </row>
    <row r="7919" spans="1:5" x14ac:dyDescent="0.25">
      <c r="A7919" t="str">
        <f>HYPERLINK("https://www.773grp.com/globalSearch/CM1419-02CP/page-1", "CM1419-02CP")</f>
        <v>CM1419-02CP</v>
      </c>
      <c r="B7919" s="3" t="str">
        <f>HYPERLINK("https://www.773grp.com/manufacturer/onsemi?pageNo=1178", "Onsemi")</f>
        <v>Onsemi</v>
      </c>
      <c r="C7919" s="6">
        <v>280000</v>
      </c>
      <c r="D7919" s="7">
        <v>0.95</v>
      </c>
      <c r="E7919" t="s">
        <v>79</v>
      </c>
    </row>
    <row r="7920" spans="1:5" x14ac:dyDescent="0.25">
      <c r="A7920" t="str">
        <f>HYPERLINK("https://www.773grp.com/globalSearch/CM1426-08CP/page-1", "CM1426-08CP")</f>
        <v>CM1426-08CP</v>
      </c>
      <c r="B7920" s="3" t="str">
        <f>HYPERLINK("https://www.773grp.com/manufacturer/onsemi?pageNo=1179", "Onsemi")</f>
        <v>Onsemi</v>
      </c>
      <c r="C7920" s="6">
        <v>105000</v>
      </c>
      <c r="D7920" s="7">
        <v>0.95</v>
      </c>
      <c r="E7920" t="s">
        <v>79</v>
      </c>
    </row>
    <row r="7921" spans="1:5" x14ac:dyDescent="0.25">
      <c r="A7921" t="str">
        <f>HYPERLINK("https://www.773grp.com/globalSearch/CM1431-04DE/page-1", "CM1431-04DE")</f>
        <v>CM1431-04DE</v>
      </c>
      <c r="B7921" s="3" t="str">
        <f>HYPERLINK("https://www.773grp.com/manufacturer/onsemi?pageNo=1180", "Onsemi")</f>
        <v>Onsemi</v>
      </c>
      <c r="C7921" s="6">
        <v>317500</v>
      </c>
      <c r="D7921" s="7">
        <v>0.95</v>
      </c>
      <c r="E7921" t="s">
        <v>79</v>
      </c>
    </row>
    <row r="7922" spans="1:5" x14ac:dyDescent="0.25">
      <c r="A7922" t="str">
        <f>HYPERLINK("https://www.773grp.com/globalSearch/CM1431-08DE/page-1", "CM1431-08DE")</f>
        <v>CM1431-08DE</v>
      </c>
      <c r="B7922" s="3" t="str">
        <f>HYPERLINK("https://www.773grp.com/manufacturer/onsemi?pageNo=1181", "Onsemi")</f>
        <v>Onsemi</v>
      </c>
      <c r="C7922" s="6">
        <v>351000</v>
      </c>
      <c r="D7922" s="7">
        <v>0.95</v>
      </c>
      <c r="E7922" t="s">
        <v>79</v>
      </c>
    </row>
    <row r="7923" spans="1:5" x14ac:dyDescent="0.25">
      <c r="A7923" t="str">
        <f>HYPERLINK("https://www.773grp.com/globalSearch/CM1442-08CP/page-1", "CM1442-08CP")</f>
        <v>CM1442-08CP</v>
      </c>
      <c r="B7923" s="3" t="str">
        <f>HYPERLINK("https://www.773grp.com/manufacturer/onsemi?pageNo=1182", "Onsemi")</f>
        <v>Onsemi</v>
      </c>
      <c r="C7923" s="6">
        <v>313140</v>
      </c>
      <c r="D7923" s="7">
        <v>0.95</v>
      </c>
      <c r="E7923" t="s">
        <v>79</v>
      </c>
    </row>
    <row r="7924" spans="1:5" x14ac:dyDescent="0.25">
      <c r="A7924" t="str">
        <f>HYPERLINK("https://www.773grp.com/globalSearch/CM1443-08CP/page-1", "CM1443-08CP")</f>
        <v>CM1443-08CP</v>
      </c>
      <c r="B7924" s="3" t="str">
        <f>HYPERLINK("https://www.773grp.com/manufacturer/onsemi?pageNo=1183", "Onsemi")</f>
        <v>Onsemi</v>
      </c>
      <c r="C7924" s="6">
        <v>24500</v>
      </c>
      <c r="D7924" s="7">
        <v>0.95</v>
      </c>
      <c r="E7924" t="s">
        <v>79</v>
      </c>
    </row>
    <row r="7925" spans="1:5" x14ac:dyDescent="0.25">
      <c r="A7925" t="str">
        <f>HYPERLINK("https://www.773grp.com/globalSearch/CM1690-08DE/page-1", "CM1690-08DE")</f>
        <v>CM1690-08DE</v>
      </c>
      <c r="B7925" s="3" t="str">
        <f>HYPERLINK("https://www.773grp.com/manufacturer/onsemi?pageNo=1184", "Onsemi")</f>
        <v>Onsemi</v>
      </c>
      <c r="C7925" s="6">
        <v>551970</v>
      </c>
      <c r="D7925" s="7">
        <v>0.95</v>
      </c>
      <c r="E7925" t="s">
        <v>79</v>
      </c>
    </row>
    <row r="7926" spans="1:5" x14ac:dyDescent="0.25">
      <c r="A7926" t="str">
        <f>HYPERLINK("https://www.773grp.com/globalSearch/CM1693-08DE/page-1", "CM1693-08DE")</f>
        <v>CM1693-08DE</v>
      </c>
      <c r="B7926" s="3" t="str">
        <f>HYPERLINK("https://www.773grp.com/manufacturer/onsemi?pageNo=1185", "Onsemi")</f>
        <v>Onsemi</v>
      </c>
      <c r="C7926" s="6">
        <v>27000</v>
      </c>
      <c r="D7926" s="7">
        <v>0.95</v>
      </c>
    </row>
    <row r="7927" spans="1:5" x14ac:dyDescent="0.25">
      <c r="A7927" t="str">
        <f>HYPERLINK("https://www.773grp.com/globalSearch/D45C12/page-1", "D45C12")</f>
        <v>D45C12</v>
      </c>
      <c r="B7927" s="3" t="str">
        <f>HYPERLINK("https://www.773grp.com/manufacturer/onsemi?pageNo=1186", "Onsemi")</f>
        <v>Onsemi</v>
      </c>
      <c r="C7927" s="6">
        <v>4600</v>
      </c>
      <c r="D7927" s="7">
        <v>0.95</v>
      </c>
      <c r="E7927" t="s">
        <v>47</v>
      </c>
    </row>
    <row r="7928" spans="1:5" x14ac:dyDescent="0.25">
      <c r="A7928" t="str">
        <f>HYPERLINK("https://www.773grp.com/globalSearch/ESD7L5.0DT5G/page-1", "ESD7L5.0DT5G")</f>
        <v>ESD7L5.0DT5G</v>
      </c>
      <c r="B7928" s="3" t="str">
        <f>HYPERLINK("https://www.773grp.com/manufacturer/onsemi?pageNo=1187", "Onsemi")</f>
        <v>Onsemi</v>
      </c>
      <c r="C7928" s="6">
        <v>318694</v>
      </c>
      <c r="D7928" s="7">
        <v>0.95</v>
      </c>
      <c r="E7928" t="s">
        <v>75</v>
      </c>
    </row>
    <row r="7929" spans="1:5" x14ac:dyDescent="0.25">
      <c r="A7929" t="str">
        <f>HYPERLINK("https://www.773grp.com/globalSearch/J112G/page-1", "J112G")</f>
        <v>J112G</v>
      </c>
      <c r="B7929" s="3" t="str">
        <f>HYPERLINK("https://www.773grp.com/manufacturer/onsemi?pageNo=1188", "Onsemi")</f>
        <v>Onsemi</v>
      </c>
      <c r="C7929" s="6">
        <v>2012</v>
      </c>
      <c r="D7929" s="7">
        <v>0.95</v>
      </c>
      <c r="E7929" t="s">
        <v>85</v>
      </c>
    </row>
    <row r="7930" spans="1:5" x14ac:dyDescent="0.25">
      <c r="A7930" t="str">
        <f>HYPERLINK("https://www.773grp.com/globalSearch/J112RLRAG/page-1", "J112RLRAG")</f>
        <v>J112RLRAG</v>
      </c>
      <c r="B7930" s="3" t="str">
        <f>HYPERLINK("https://www.773grp.com/manufacturer/onsemi?pageNo=1189", "Onsemi")</f>
        <v>Onsemi</v>
      </c>
      <c r="C7930" s="6">
        <v>8000</v>
      </c>
      <c r="D7930" s="7">
        <v>0.95</v>
      </c>
    </row>
    <row r="7931" spans="1:5" x14ac:dyDescent="0.25">
      <c r="A7931" t="str">
        <f>HYPERLINK("https://www.773grp.com/globalSearch/J310G/page-1", "J310G")</f>
        <v>J310G</v>
      </c>
      <c r="B7931" s="3" t="str">
        <f>HYPERLINK("https://www.773grp.com/manufacturer/onsemi?pageNo=1190", "Onsemi")</f>
        <v>Onsemi</v>
      </c>
      <c r="C7931" s="6">
        <v>20000</v>
      </c>
      <c r="D7931" s="7">
        <v>0.95</v>
      </c>
      <c r="E7931" t="s">
        <v>83</v>
      </c>
    </row>
    <row r="7932" spans="1:5" x14ac:dyDescent="0.25">
      <c r="A7932" t="str">
        <f>HYPERLINK("https://www.773grp.com/globalSearch/LF411CD/page-1", "LF411CD")</f>
        <v>LF411CD</v>
      </c>
      <c r="B7932" s="3" t="str">
        <f>HYPERLINK("https://www.773grp.com/manufacturer/onsemi?pageNo=1191", "Onsemi")</f>
        <v>Onsemi</v>
      </c>
      <c r="C7932" s="6">
        <v>41</v>
      </c>
      <c r="D7932" s="7">
        <v>0.95</v>
      </c>
      <c r="E7932" t="s">
        <v>10</v>
      </c>
    </row>
    <row r="7933" spans="1:5" x14ac:dyDescent="0.25">
      <c r="A7933" t="str">
        <f>HYPERLINK("https://www.773grp.com/globalSearch/LM239DTBR2G/page-1", "LM239DTBR2G")</f>
        <v>LM239DTBR2G</v>
      </c>
      <c r="B7933" s="3" t="str">
        <f>HYPERLINK("https://www.773grp.com/manufacturer/onsemi?pageNo=1192", "Onsemi")</f>
        <v>Onsemi</v>
      </c>
      <c r="C7933" s="6">
        <v>44950</v>
      </c>
      <c r="D7933" s="7">
        <v>0.95</v>
      </c>
      <c r="E7933" t="s">
        <v>6</v>
      </c>
    </row>
    <row r="7934" spans="1:5" x14ac:dyDescent="0.25">
      <c r="A7934" t="str">
        <f>HYPERLINK("https://www.773grp.com/globalSearch/LM2901VDG/page-1", "LM2901VDG")</f>
        <v>LM2901VDG</v>
      </c>
      <c r="B7934" s="3" t="str">
        <f>HYPERLINK("https://www.773grp.com/manufacturer/onsemi?pageNo=1193", "Onsemi")</f>
        <v>Onsemi</v>
      </c>
      <c r="C7934" s="6">
        <v>5040</v>
      </c>
      <c r="D7934" s="7">
        <v>0.95</v>
      </c>
      <c r="E7934" t="s">
        <v>6</v>
      </c>
    </row>
    <row r="7935" spans="1:5" x14ac:dyDescent="0.25">
      <c r="A7935" t="str">
        <f>HYPERLINK("https://www.773grp.com/globalSearch/LM2901VDR2G/page-1", "LM2901VDR2G")</f>
        <v>LM2901VDR2G</v>
      </c>
      <c r="B7935" s="3" t="str">
        <f>HYPERLINK("https://www.773grp.com/manufacturer/onsemi?pageNo=1194", "Onsemi")</f>
        <v>Onsemi</v>
      </c>
      <c r="C7935" s="6">
        <v>21202</v>
      </c>
      <c r="D7935" s="7">
        <v>0.95</v>
      </c>
    </row>
    <row r="7936" spans="1:5" x14ac:dyDescent="0.25">
      <c r="A7936" t="str">
        <f>HYPERLINK("https://www.773grp.com/globalSearch/LM2902VDG/page-1", "LM2902VDG")</f>
        <v>LM2902VDG</v>
      </c>
      <c r="B7936" s="3" t="str">
        <f>HYPERLINK("https://www.773grp.com/manufacturer/onsemi?pageNo=1195", "Onsemi")</f>
        <v>Onsemi</v>
      </c>
      <c r="C7936" s="6">
        <v>9955</v>
      </c>
      <c r="D7936" s="7">
        <v>0.95</v>
      </c>
    </row>
    <row r="7937" spans="1:5" x14ac:dyDescent="0.25">
      <c r="A7937" t="str">
        <f>HYPERLINK("https://www.773grp.com/globalSearch/LM2902VDR2G/page-1", "LM2902VDR2G")</f>
        <v>LM2902VDR2G</v>
      </c>
      <c r="B7937" s="3" t="str">
        <f>HYPERLINK("https://www.773grp.com/manufacturer/onsemi?pageNo=1196", "Onsemi")</f>
        <v>Onsemi</v>
      </c>
      <c r="C7937" s="6">
        <v>48874</v>
      </c>
      <c r="D7937" s="7">
        <v>0.95</v>
      </c>
      <c r="E7937" t="s">
        <v>10</v>
      </c>
    </row>
    <row r="7938" spans="1:5" x14ac:dyDescent="0.25">
      <c r="A7938" t="str">
        <f>HYPERLINK("https://www.773grp.com/globalSearch/LM324ADG/page-1", "LM324ADG")</f>
        <v>LM324ADG</v>
      </c>
      <c r="B7938" s="3" t="str">
        <f>HYPERLINK("https://www.773grp.com/manufacturer/onsemi?pageNo=1197", "Onsemi")</f>
        <v>Onsemi</v>
      </c>
      <c r="C7938" s="6">
        <v>12215</v>
      </c>
      <c r="D7938" s="7">
        <v>0.95</v>
      </c>
      <c r="E7938" t="s">
        <v>10</v>
      </c>
    </row>
    <row r="7939" spans="1:5" x14ac:dyDescent="0.25">
      <c r="A7939" t="str">
        <f>HYPERLINK("https://www.773grp.com/globalSearch/LM324ADR2/page-1", "LM324ADR2")</f>
        <v>LM324ADR2</v>
      </c>
      <c r="B7939" s="3" t="str">
        <f>HYPERLINK("https://www.773grp.com/manufacturer/onsemi?pageNo=1198", "Onsemi")</f>
        <v>Onsemi</v>
      </c>
      <c r="C7939" s="6">
        <v>5289</v>
      </c>
      <c r="D7939" s="7">
        <v>0.95</v>
      </c>
    </row>
    <row r="7940" spans="1:5" x14ac:dyDescent="0.25">
      <c r="A7940" t="str">
        <f>HYPERLINK("https://www.773grp.com/globalSearch/LM324ADR2G/page-1", "LM324ADR2G")</f>
        <v>LM324ADR2G</v>
      </c>
      <c r="B7940" s="3" t="str">
        <f>HYPERLINK("https://www.773grp.com/manufacturer/onsemi?pageNo=1199", "Onsemi")</f>
        <v>Onsemi</v>
      </c>
      <c r="C7940" s="6">
        <v>107400</v>
      </c>
      <c r="D7940" s="7">
        <v>0.95</v>
      </c>
      <c r="E7940" t="s">
        <v>10</v>
      </c>
    </row>
    <row r="7941" spans="1:5" x14ac:dyDescent="0.25">
      <c r="A7941" t="str">
        <f>HYPERLINK("https://www.773grp.com/globalSearch/LM324ANG/page-1", "LM324ANG")</f>
        <v>LM324ANG</v>
      </c>
      <c r="B7941" s="3" t="str">
        <f>HYPERLINK("https://www.773grp.com/manufacturer/onsemi?pageNo=1200", "Onsemi")</f>
        <v>Onsemi</v>
      </c>
      <c r="C7941" s="6">
        <v>79623</v>
      </c>
      <c r="D7941" s="7">
        <v>0.95</v>
      </c>
      <c r="E7941" t="s">
        <v>10</v>
      </c>
    </row>
    <row r="7942" spans="1:5" x14ac:dyDescent="0.25">
      <c r="A7942" t="str">
        <f>HYPERLINK("https://www.773grp.com/globalSearch/LM348D/page-1", "LM348D")</f>
        <v>LM348D</v>
      </c>
      <c r="B7942" s="3" t="str">
        <f>HYPERLINK("https://www.773grp.com/manufacturer/onsemi?pageNo=1201", "Onsemi")</f>
        <v>Onsemi</v>
      </c>
      <c r="C7942" s="6">
        <v>25002</v>
      </c>
      <c r="D7942" s="7">
        <v>0.95</v>
      </c>
      <c r="E7942" t="s">
        <v>10</v>
      </c>
    </row>
    <row r="7943" spans="1:5" x14ac:dyDescent="0.25">
      <c r="A7943" t="str">
        <f>HYPERLINK("https://www.773grp.com/globalSearch/LM348DR2/page-1", "LM348DR2")</f>
        <v>LM348DR2</v>
      </c>
      <c r="B7943" s="3" t="str">
        <f>HYPERLINK("https://www.773grp.com/manufacturer/onsemi?pageNo=1202", "Onsemi")</f>
        <v>Onsemi</v>
      </c>
      <c r="C7943" s="6">
        <v>17500</v>
      </c>
      <c r="D7943" s="7">
        <v>0.95</v>
      </c>
      <c r="E7943" t="s">
        <v>10</v>
      </c>
    </row>
    <row r="7944" spans="1:5" x14ac:dyDescent="0.25">
      <c r="A7944" t="str">
        <f>HYPERLINK("https://www.773grp.com/globalSearch/LM385Z-2.5RA/page-1", "LM385Z-2.5RA")</f>
        <v>LM385Z-2.5RA</v>
      </c>
      <c r="B7944" s="3" t="str">
        <f>HYPERLINK("https://www.773grp.com/manufacturer/onsemi?pageNo=1203", "Onsemi")</f>
        <v>Onsemi</v>
      </c>
      <c r="C7944" s="6">
        <v>236</v>
      </c>
      <c r="D7944" s="7">
        <v>0.95</v>
      </c>
      <c r="E7944" t="s">
        <v>13</v>
      </c>
    </row>
    <row r="7945" spans="1:5" x14ac:dyDescent="0.25">
      <c r="A7945" t="str">
        <f>HYPERLINK("https://www.773grp.com/globalSearch/MAX708RCUA-T/page-1", "MAX708RCUA-T")</f>
        <v>MAX708RCUA-T</v>
      </c>
      <c r="B7945" s="3" t="str">
        <f>HYPERLINK("https://www.773grp.com/manufacturer/onsemi?pageNo=1204", "Onsemi")</f>
        <v>Onsemi</v>
      </c>
      <c r="C7945" s="6">
        <v>30629</v>
      </c>
      <c r="D7945" s="7">
        <v>0.95</v>
      </c>
      <c r="E7945" t="s">
        <v>26</v>
      </c>
    </row>
    <row r="7946" spans="1:5" x14ac:dyDescent="0.25">
      <c r="A7946" t="str">
        <f>HYPERLINK("https://www.773grp.com/globalSearch/MAX803SQ293D1T1G/page-1", "MAX803SQ293D1T1G")</f>
        <v>MAX803SQ293D1T1G</v>
      </c>
      <c r="B7946" s="3" t="str">
        <f>HYPERLINK("https://www.773grp.com/manufacturer/onsemi?pageNo=1205", "Onsemi")</f>
        <v>Onsemi</v>
      </c>
      <c r="C7946" s="6">
        <v>24000</v>
      </c>
      <c r="D7946" s="7">
        <v>0.95</v>
      </c>
    </row>
    <row r="7947" spans="1:5" x14ac:dyDescent="0.25">
      <c r="A7947" t="str">
        <f>HYPERLINK("https://www.773grp.com/globalSearch/MAX803SQ308D2T1G/page-1", "MAX803SQ308D2T1G")</f>
        <v>MAX803SQ308D2T1G</v>
      </c>
      <c r="B7947" s="3" t="str">
        <f>HYPERLINK("https://www.773grp.com/manufacturer/onsemi?pageNo=1206", "Onsemi")</f>
        <v>Onsemi</v>
      </c>
      <c r="C7947" s="6">
        <v>3000</v>
      </c>
      <c r="D7947" s="7">
        <v>0.95</v>
      </c>
    </row>
    <row r="7948" spans="1:5" x14ac:dyDescent="0.25">
      <c r="A7948" t="str">
        <f>HYPERLINK("https://www.773grp.com/globalSearch/MAX803SQ308T1G/page-1", "MAX803SQ308T1G")</f>
        <v>MAX803SQ308T1G</v>
      </c>
      <c r="B7948" s="3" t="str">
        <f>HYPERLINK("https://www.773grp.com/manufacturer/onsemi?pageNo=1207", "Onsemi")</f>
        <v>Onsemi</v>
      </c>
      <c r="C7948" s="6">
        <v>100</v>
      </c>
      <c r="D7948" s="7">
        <v>0.95</v>
      </c>
      <c r="E7948" t="s">
        <v>26</v>
      </c>
    </row>
    <row r="7949" spans="1:5" x14ac:dyDescent="0.25">
      <c r="A7949" t="str">
        <f>HYPERLINK("https://www.773grp.com/globalSearch/MAX803SQ463T1G/page-1", "MAX803SQ463T1G")</f>
        <v>MAX803SQ463T1G</v>
      </c>
      <c r="B7949" s="3" t="str">
        <f>HYPERLINK("https://www.773grp.com/manufacturer/onsemi?pageNo=1208", "Onsemi")</f>
        <v>Onsemi</v>
      </c>
      <c r="C7949" s="6">
        <v>6000</v>
      </c>
      <c r="D7949" s="7">
        <v>0.95</v>
      </c>
    </row>
    <row r="7950" spans="1:5" x14ac:dyDescent="0.25">
      <c r="A7950" t="str">
        <f>HYPERLINK("https://www.773grp.com/globalSearch/MAX809LTRG/page-1", "MAX809LTRG")</f>
        <v>MAX809LTRG</v>
      </c>
      <c r="B7950" s="3" t="str">
        <f>HYPERLINK("https://www.773grp.com/manufacturer/onsemi?pageNo=1209", "Onsemi")</f>
        <v>Onsemi</v>
      </c>
      <c r="C7950" s="6">
        <v>3000</v>
      </c>
      <c r="D7950" s="7">
        <v>0.95</v>
      </c>
    </row>
    <row r="7951" spans="1:5" x14ac:dyDescent="0.25">
      <c r="A7951" t="str">
        <f>HYPERLINK("https://www.773grp.com/globalSearch/MAX809RTRG/page-1", "MAX809RTRG")</f>
        <v>MAX809RTRG</v>
      </c>
      <c r="B7951" s="3" t="str">
        <f>HYPERLINK("https://www.773grp.com/manufacturer/onsemi?pageNo=1210", "Onsemi")</f>
        <v>Onsemi</v>
      </c>
      <c r="C7951" s="6">
        <v>50605</v>
      </c>
      <c r="D7951" s="7">
        <v>0.95</v>
      </c>
      <c r="E7951" t="s">
        <v>26</v>
      </c>
    </row>
    <row r="7952" spans="1:5" x14ac:dyDescent="0.25">
      <c r="A7952" t="str">
        <f>HYPERLINK("https://www.773grp.com/globalSearch/MAX809SN160T1G/page-1", "MAX809SN160T1G")</f>
        <v>MAX809SN160T1G</v>
      </c>
      <c r="B7952" s="3" t="str">
        <f>HYPERLINK("https://www.773grp.com/manufacturer/onsemi?pageNo=1211", "Onsemi")</f>
        <v>Onsemi</v>
      </c>
      <c r="C7952" s="6">
        <v>36000</v>
      </c>
      <c r="D7952" s="7">
        <v>0.95</v>
      </c>
      <c r="E7952" t="s">
        <v>26</v>
      </c>
    </row>
    <row r="7953" spans="1:5" x14ac:dyDescent="0.25">
      <c r="A7953" t="str">
        <f>HYPERLINK("https://www.773grp.com/globalSearch/MAX809SN232T1G/page-1", "MAX809SN232T1G")</f>
        <v>MAX809SN232T1G</v>
      </c>
      <c r="B7953" s="3" t="str">
        <f>HYPERLINK("https://www.773grp.com/manufacturer/onsemi?pageNo=1212", "Onsemi")</f>
        <v>Onsemi</v>
      </c>
      <c r="C7953" s="6">
        <v>45000</v>
      </c>
      <c r="D7953" s="7">
        <v>0.95</v>
      </c>
    </row>
    <row r="7954" spans="1:5" x14ac:dyDescent="0.25">
      <c r="A7954" t="str">
        <f>HYPERLINK("https://www.773grp.com/globalSearch/MAX809SQ232T1G/page-1", "MAX809SQ232T1G")</f>
        <v>MAX809SQ232T1G</v>
      </c>
      <c r="B7954" s="3" t="str">
        <f>HYPERLINK("https://www.773grp.com/manufacturer/onsemi?pageNo=1213", "Onsemi")</f>
        <v>Onsemi</v>
      </c>
      <c r="C7954" s="6">
        <v>2750</v>
      </c>
      <c r="D7954" s="7">
        <v>0.95</v>
      </c>
    </row>
    <row r="7955" spans="1:5" x14ac:dyDescent="0.25">
      <c r="A7955" t="str">
        <f>HYPERLINK("https://www.773grp.com/globalSearch/MAX809SQ293D1T1G/page-1", "MAX809SQ293D1T1G")</f>
        <v>MAX809SQ293D1T1G</v>
      </c>
      <c r="B7955" s="3" t="str">
        <f>HYPERLINK("https://www.773grp.com/manufacturer/onsemi?pageNo=1214", "Onsemi")</f>
        <v>Onsemi</v>
      </c>
      <c r="C7955" s="6">
        <v>9000</v>
      </c>
      <c r="D7955" s="7">
        <v>0.95</v>
      </c>
    </row>
    <row r="7956" spans="1:5" x14ac:dyDescent="0.25">
      <c r="A7956" t="str">
        <f>HYPERLINK("https://www.773grp.com/globalSearch/MAX809STRG/page-1", "MAX809STRG")</f>
        <v>MAX809STRG</v>
      </c>
      <c r="B7956" s="3" t="str">
        <f>HYPERLINK("https://www.773grp.com/manufacturer/onsemi?pageNo=1215", "Onsemi")</f>
        <v>Onsemi</v>
      </c>
      <c r="C7956" s="6">
        <v>2078</v>
      </c>
      <c r="D7956" s="7">
        <v>0.95</v>
      </c>
      <c r="E7956" t="s">
        <v>26</v>
      </c>
    </row>
    <row r="7957" spans="1:5" x14ac:dyDescent="0.25">
      <c r="A7957" t="str">
        <f>HYPERLINK("https://www.773grp.com/globalSearch/MAX810LTRG/page-1", "MAX810LTRG")</f>
        <v>MAX810LTRG</v>
      </c>
      <c r="B7957" s="3" t="str">
        <f>HYPERLINK("https://www.773grp.com/manufacturer/onsemi?pageNo=1216", "Onsemi")</f>
        <v>Onsemi</v>
      </c>
      <c r="C7957" s="6">
        <v>103790</v>
      </c>
      <c r="D7957" s="7">
        <v>0.95</v>
      </c>
      <c r="E7957" t="s">
        <v>26</v>
      </c>
    </row>
    <row r="7958" spans="1:5" x14ac:dyDescent="0.25">
      <c r="A7958" t="str">
        <f>HYPERLINK("https://www.773grp.com/globalSearch/MAX810MTRG/page-1", "MAX810MTRG")</f>
        <v>MAX810MTRG</v>
      </c>
      <c r="B7958" s="3" t="str">
        <f>HYPERLINK("https://www.773grp.com/manufacturer/onsemi?pageNo=1217", "Onsemi")</f>
        <v>Onsemi</v>
      </c>
      <c r="C7958" s="6">
        <v>30000</v>
      </c>
      <c r="D7958" s="7">
        <v>0.95</v>
      </c>
      <c r="E7958" t="s">
        <v>26</v>
      </c>
    </row>
    <row r="7959" spans="1:5" x14ac:dyDescent="0.25">
      <c r="A7959" t="str">
        <f>HYPERLINK("https://www.773grp.com/globalSearch/MC14014BDR2/page-1", "MC14014BDR2")</f>
        <v>MC14014BDR2</v>
      </c>
      <c r="B7959" s="3" t="str">
        <f>HYPERLINK("https://www.773grp.com/manufacturer/onsemi?pageNo=1218", "Onsemi")</f>
        <v>Onsemi</v>
      </c>
      <c r="C7959" s="6">
        <v>1603</v>
      </c>
      <c r="D7959" s="7">
        <v>0.95</v>
      </c>
      <c r="E7959" t="s">
        <v>28</v>
      </c>
    </row>
    <row r="7960" spans="1:5" x14ac:dyDescent="0.25">
      <c r="A7960" t="str">
        <f>HYPERLINK("https://www.773grp.com/globalSearch/MC14014BFL1/page-1", "MC14014BFL1")</f>
        <v>MC14014BFL1</v>
      </c>
      <c r="B7960" s="3" t="str">
        <f>HYPERLINK("https://www.773grp.com/manufacturer/onsemi?pageNo=1219", "Onsemi")</f>
        <v>Onsemi</v>
      </c>
      <c r="C7960" s="6">
        <v>21000</v>
      </c>
      <c r="D7960" s="7">
        <v>0.95</v>
      </c>
    </row>
    <row r="7961" spans="1:5" x14ac:dyDescent="0.25">
      <c r="A7961" t="str">
        <f>HYPERLINK("https://www.773grp.com/globalSearch/MC14014BFL2/page-1", "MC14014BFL2")</f>
        <v>MC14014BFL2</v>
      </c>
      <c r="B7961" s="3" t="str">
        <f>HYPERLINK("https://www.773grp.com/manufacturer/onsemi?pageNo=1220", "Onsemi")</f>
        <v>Onsemi</v>
      </c>
      <c r="C7961" s="6">
        <v>2000</v>
      </c>
      <c r="D7961" s="7">
        <v>0.95</v>
      </c>
    </row>
    <row r="7962" spans="1:5" x14ac:dyDescent="0.25">
      <c r="A7962" t="str">
        <f>HYPERLINK("https://www.773grp.com/globalSearch/MC14015BFL1/page-1", "MC14015BFL1")</f>
        <v>MC14015BFL1</v>
      </c>
      <c r="B7962" s="3" t="str">
        <f>HYPERLINK("https://www.773grp.com/manufacturer/onsemi?pageNo=1221", "Onsemi")</f>
        <v>Onsemi</v>
      </c>
      <c r="C7962" s="6">
        <v>1000</v>
      </c>
      <c r="D7962" s="7">
        <v>0.95</v>
      </c>
    </row>
    <row r="7963" spans="1:5" x14ac:dyDescent="0.25">
      <c r="A7963" t="str">
        <f>HYPERLINK("https://www.773grp.com/globalSearch/MC14015BFR1/page-1", "MC14015BFR1")</f>
        <v>MC14015BFR1</v>
      </c>
      <c r="B7963" s="3" t="str">
        <f>HYPERLINK("https://www.773grp.com/manufacturer/onsemi?pageNo=1222", "Onsemi")</f>
        <v>Onsemi</v>
      </c>
      <c r="C7963" s="6">
        <v>2000</v>
      </c>
      <c r="D7963" s="7">
        <v>0.95</v>
      </c>
    </row>
    <row r="7964" spans="1:5" x14ac:dyDescent="0.25">
      <c r="A7964" t="str">
        <f>HYPERLINK("https://www.773grp.com/globalSearch/MC14016BCP/page-1", "MC14016BCP")</f>
        <v>MC14016BCP</v>
      </c>
      <c r="B7964" s="3" t="str">
        <f>HYPERLINK("https://www.773grp.com/manufacturer/onsemi?pageNo=1223", "Onsemi")</f>
        <v>Onsemi</v>
      </c>
      <c r="C7964" s="6">
        <v>1153</v>
      </c>
      <c r="D7964" s="7">
        <v>0.95</v>
      </c>
      <c r="E7964" t="s">
        <v>46</v>
      </c>
    </row>
    <row r="7965" spans="1:5" x14ac:dyDescent="0.25">
      <c r="A7965" t="str">
        <f>HYPERLINK("https://www.773grp.com/globalSearch/MC14016BCPG/page-1", "MC14016BCPG")</f>
        <v>MC14016BCPG</v>
      </c>
      <c r="B7965" s="3" t="str">
        <f>HYPERLINK("https://www.773grp.com/manufacturer/onsemi?pageNo=1224", "Onsemi")</f>
        <v>Onsemi</v>
      </c>
      <c r="C7965" s="6">
        <v>6070</v>
      </c>
      <c r="D7965" s="7">
        <v>0.95</v>
      </c>
      <c r="E7965" t="s">
        <v>46</v>
      </c>
    </row>
    <row r="7966" spans="1:5" x14ac:dyDescent="0.25">
      <c r="A7966" t="str">
        <f>HYPERLINK("https://www.773grp.com/globalSearch/MC14016BFELG/page-1", "MC14016BFELG")</f>
        <v>MC14016BFELG</v>
      </c>
      <c r="B7966" s="3" t="str">
        <f>HYPERLINK("https://www.773grp.com/manufacturer/onsemi?pageNo=1225", "Onsemi")</f>
        <v>Onsemi</v>
      </c>
      <c r="C7966" s="6">
        <v>800</v>
      </c>
      <c r="D7966" s="7">
        <v>0.95</v>
      </c>
      <c r="E7966" t="s">
        <v>46</v>
      </c>
    </row>
    <row r="7967" spans="1:5" x14ac:dyDescent="0.25">
      <c r="A7967" t="str">
        <f>HYPERLINK("https://www.773grp.com/globalSearch/MC14018BF/page-1", "MC14018BF")</f>
        <v>MC14018BF</v>
      </c>
      <c r="B7967" s="3" t="str">
        <f>HYPERLINK("https://www.773grp.com/manufacturer/onsemi?pageNo=1226", "Onsemi")</f>
        <v>Onsemi</v>
      </c>
      <c r="C7967" s="6">
        <v>900</v>
      </c>
      <c r="D7967" s="7">
        <v>0.95</v>
      </c>
      <c r="E7967" t="s">
        <v>22</v>
      </c>
    </row>
    <row r="7968" spans="1:5" x14ac:dyDescent="0.25">
      <c r="A7968" t="str">
        <f>HYPERLINK("https://www.773grp.com/globalSearch/MC14018BFEL/page-1", "MC14018BFEL")</f>
        <v>MC14018BFEL</v>
      </c>
      <c r="B7968" s="3" t="str">
        <f>HYPERLINK("https://www.773grp.com/manufacturer/onsemi?pageNo=1227", "Onsemi")</f>
        <v>Onsemi</v>
      </c>
      <c r="C7968" s="6">
        <v>2000</v>
      </c>
      <c r="D7968" s="7">
        <v>0.95</v>
      </c>
      <c r="E7968" t="s">
        <v>22</v>
      </c>
    </row>
    <row r="7969" spans="1:5" x14ac:dyDescent="0.25">
      <c r="A7969" t="str">
        <f>HYPERLINK("https://www.773grp.com/globalSearch/MC14020BFL2/page-1", "MC14020BFL2")</f>
        <v>MC14020BFL2</v>
      </c>
      <c r="B7969" s="3" t="str">
        <f>HYPERLINK("https://www.773grp.com/manufacturer/onsemi?pageNo=1228", "Onsemi")</f>
        <v>Onsemi</v>
      </c>
      <c r="C7969" s="6">
        <v>2000</v>
      </c>
      <c r="D7969" s="7">
        <v>0.95</v>
      </c>
      <c r="E7969" t="s">
        <v>22</v>
      </c>
    </row>
    <row r="7970" spans="1:5" x14ac:dyDescent="0.25">
      <c r="A7970" t="str">
        <f>HYPERLINK("https://www.773grp.com/globalSearch/MC14020BFR1/page-1", "MC14020BFR1")</f>
        <v>MC14020BFR1</v>
      </c>
      <c r="B7970" s="3" t="str">
        <f>HYPERLINK("https://www.773grp.com/manufacturer/onsemi?pageNo=1229", "Onsemi")</f>
        <v>Onsemi</v>
      </c>
      <c r="C7970" s="6">
        <v>1000</v>
      </c>
      <c r="D7970" s="7">
        <v>0.95</v>
      </c>
      <c r="E7970" t="s">
        <v>22</v>
      </c>
    </row>
    <row r="7971" spans="1:5" x14ac:dyDescent="0.25">
      <c r="A7971" t="str">
        <f>HYPERLINK("https://www.773grp.com/globalSearch/MC14022BF/page-1", "MC14022BF")</f>
        <v>MC14022BF</v>
      </c>
      <c r="B7971" s="3" t="str">
        <f>HYPERLINK("https://www.773grp.com/manufacturer/onsemi?pageNo=1230", "Onsemi")</f>
        <v>Onsemi</v>
      </c>
      <c r="C7971" s="6">
        <v>800</v>
      </c>
      <c r="D7971" s="7">
        <v>0.95</v>
      </c>
    </row>
    <row r="7972" spans="1:5" x14ac:dyDescent="0.25">
      <c r="A7972" t="str">
        <f>HYPERLINK("https://www.773grp.com/globalSearch/MC14024BFELG/page-1", "MC14024BFELG")</f>
        <v>MC14024BFELG</v>
      </c>
      <c r="B7972" s="3" t="str">
        <f>HYPERLINK("https://www.773grp.com/manufacturer/onsemi?pageNo=1231", "Onsemi")</f>
        <v>Onsemi</v>
      </c>
      <c r="C7972" s="6">
        <v>18186</v>
      </c>
      <c r="D7972" s="7">
        <v>0.95</v>
      </c>
      <c r="E7972" t="s">
        <v>22</v>
      </c>
    </row>
    <row r="7973" spans="1:5" x14ac:dyDescent="0.25">
      <c r="A7973" t="str">
        <f>HYPERLINK("https://www.773grp.com/globalSearch/MC14027BCPG/page-1", "MC14027BCPG")</f>
        <v>MC14027BCPG</v>
      </c>
      <c r="B7973" s="3" t="str">
        <f>HYPERLINK("https://www.773grp.com/manufacturer/onsemi?pageNo=1232", "Onsemi")</f>
        <v>Onsemi</v>
      </c>
      <c r="C7973" s="6">
        <v>22</v>
      </c>
      <c r="D7973" s="7">
        <v>0.95</v>
      </c>
      <c r="E7973" t="s">
        <v>31</v>
      </c>
    </row>
    <row r="7974" spans="1:5" x14ac:dyDescent="0.25">
      <c r="A7974" t="str">
        <f>HYPERLINK("https://www.773grp.com/globalSearch/MC14028BF/page-1", "MC14028BF")</f>
        <v>MC14028BF</v>
      </c>
      <c r="B7974" s="3" t="str">
        <f>HYPERLINK("https://www.773grp.com/manufacturer/onsemi?pageNo=1233", "Onsemi")</f>
        <v>Onsemi</v>
      </c>
      <c r="C7974" s="6">
        <v>2200</v>
      </c>
      <c r="D7974" s="7">
        <v>0.95</v>
      </c>
      <c r="E7974" t="s">
        <v>32</v>
      </c>
    </row>
    <row r="7975" spans="1:5" x14ac:dyDescent="0.25">
      <c r="A7975" t="str">
        <f>HYPERLINK("https://www.773grp.com/globalSearch/MC14028BFL2/page-1", "MC14028BFL2")</f>
        <v>MC14028BFL2</v>
      </c>
      <c r="B7975" s="3" t="str">
        <f>HYPERLINK("https://www.773grp.com/manufacturer/onsemi?pageNo=1234", "Onsemi")</f>
        <v>Onsemi</v>
      </c>
      <c r="C7975" s="6">
        <v>4000</v>
      </c>
      <c r="D7975" s="7">
        <v>0.95</v>
      </c>
    </row>
    <row r="7976" spans="1:5" x14ac:dyDescent="0.25">
      <c r="A7976" t="str">
        <f>HYPERLINK("https://www.773grp.com/globalSearch/MC14046BFL1/page-1", "MC14046BFL1")</f>
        <v>MC14046BFL1</v>
      </c>
      <c r="B7976" s="3" t="str">
        <f>HYPERLINK("https://www.773grp.com/manufacturer/onsemi?pageNo=1235", "Onsemi")</f>
        <v>Onsemi</v>
      </c>
      <c r="C7976" s="6">
        <v>33870</v>
      </c>
      <c r="D7976" s="7">
        <v>0.95</v>
      </c>
      <c r="E7976" t="s">
        <v>34</v>
      </c>
    </row>
    <row r="7977" spans="1:5" x14ac:dyDescent="0.25">
      <c r="A7977" t="str">
        <f>HYPERLINK("https://www.773grp.com/globalSearch/MC14046BFR1/page-1", "MC14046BFR1")</f>
        <v>MC14046BFR1</v>
      </c>
      <c r="B7977" s="3" t="str">
        <f>HYPERLINK("https://www.773grp.com/manufacturer/onsemi?pageNo=1236", "Onsemi")</f>
        <v>Onsemi</v>
      </c>
      <c r="C7977" s="6">
        <v>1000</v>
      </c>
      <c r="D7977" s="7">
        <v>0.95</v>
      </c>
      <c r="E7977" t="s">
        <v>34</v>
      </c>
    </row>
    <row r="7978" spans="1:5" x14ac:dyDescent="0.25">
      <c r="A7978" t="str">
        <f>HYPERLINK("https://www.773grp.com/globalSearch/MC14046BFR2/page-1", "MC14046BFR2")</f>
        <v>MC14046BFR2</v>
      </c>
      <c r="B7978" s="3" t="str">
        <f>HYPERLINK("https://www.773grp.com/manufacturer/onsemi?pageNo=1237", "Onsemi")</f>
        <v>Onsemi</v>
      </c>
      <c r="C7978" s="6">
        <v>4000</v>
      </c>
      <c r="D7978" s="7">
        <v>0.95</v>
      </c>
      <c r="E7978" t="s">
        <v>34</v>
      </c>
    </row>
    <row r="7979" spans="1:5" x14ac:dyDescent="0.25">
      <c r="A7979" t="str">
        <f>HYPERLINK("https://www.773grp.com/globalSearch/MC14049BFELG/page-1", "MC14049BFELG")</f>
        <v>MC14049BFELG</v>
      </c>
      <c r="B7979" s="3" t="str">
        <f>HYPERLINK("https://www.773grp.com/manufacturer/onsemi?pageNo=1238", "Onsemi")</f>
        <v>Onsemi</v>
      </c>
      <c r="C7979" s="6">
        <v>8802</v>
      </c>
      <c r="D7979" s="7">
        <v>0.95</v>
      </c>
      <c r="E7979" t="s">
        <v>27</v>
      </c>
    </row>
    <row r="7980" spans="1:5" x14ac:dyDescent="0.25">
      <c r="A7980" t="str">
        <f>HYPERLINK("https://www.773grp.com/globalSearch/MC14049UBCP/page-1", "MC14049UBCP")</f>
        <v>MC14049UBCP</v>
      </c>
      <c r="B7980" s="3" t="str">
        <f>HYPERLINK("https://www.773grp.com/manufacturer/onsemi?pageNo=1239", "Onsemi")</f>
        <v>Onsemi</v>
      </c>
      <c r="C7980" s="6">
        <v>18146</v>
      </c>
      <c r="D7980" s="7">
        <v>0.95</v>
      </c>
      <c r="E7980" t="s">
        <v>27</v>
      </c>
    </row>
    <row r="7981" spans="1:5" x14ac:dyDescent="0.25">
      <c r="A7981" t="str">
        <f>HYPERLINK("https://www.773grp.com/globalSearch/MC14049UBCPG/page-1", "MC14049UBCPG")</f>
        <v>MC14049UBCPG</v>
      </c>
      <c r="B7981" s="3" t="str">
        <f>HYPERLINK("https://www.773grp.com/manufacturer/onsemi?pageNo=1240", "Onsemi")</f>
        <v>Onsemi</v>
      </c>
      <c r="C7981" s="6">
        <v>181151</v>
      </c>
      <c r="D7981" s="7">
        <v>0.95</v>
      </c>
      <c r="E7981" t="s">
        <v>27</v>
      </c>
    </row>
    <row r="7982" spans="1:5" x14ac:dyDescent="0.25">
      <c r="A7982" t="str">
        <f>HYPERLINK("https://www.773grp.com/globalSearch/MC14049UBFEL/page-1", "MC14049UBFEL")</f>
        <v>MC14049UBFEL</v>
      </c>
      <c r="B7982" s="3" t="str">
        <f>HYPERLINK("https://www.773grp.com/manufacturer/onsemi?pageNo=1241", "Onsemi")</f>
        <v>Onsemi</v>
      </c>
      <c r="C7982" s="6">
        <v>308</v>
      </c>
      <c r="D7982" s="7">
        <v>0.95</v>
      </c>
      <c r="E7982" t="s">
        <v>27</v>
      </c>
    </row>
    <row r="7983" spans="1:5" x14ac:dyDescent="0.25">
      <c r="A7983" t="str">
        <f>HYPERLINK("https://www.773grp.com/globalSearch/MC14050BCPG/page-1", "MC14050BCPG")</f>
        <v>MC14050BCPG</v>
      </c>
      <c r="B7983" s="3" t="str">
        <f>HYPERLINK("https://www.773grp.com/manufacturer/onsemi?pageNo=1242", "Onsemi")</f>
        <v>Onsemi</v>
      </c>
      <c r="C7983" s="6">
        <v>1053</v>
      </c>
      <c r="D7983" s="7">
        <v>0.95</v>
      </c>
      <c r="E7983" t="s">
        <v>27</v>
      </c>
    </row>
    <row r="7984" spans="1:5" x14ac:dyDescent="0.25">
      <c r="A7984" t="str">
        <f>HYPERLINK("https://www.773grp.com/globalSearch/MC14050BF/page-1", "MC14050BF")</f>
        <v>MC14050BF</v>
      </c>
      <c r="B7984" s="3" t="str">
        <f>HYPERLINK("https://www.773grp.com/manufacturer/onsemi?pageNo=1243", "Onsemi")</f>
        <v>Onsemi</v>
      </c>
      <c r="C7984" s="6">
        <v>4100</v>
      </c>
      <c r="D7984" s="7">
        <v>0.95</v>
      </c>
      <c r="E7984" t="s">
        <v>27</v>
      </c>
    </row>
    <row r="7985" spans="1:5" x14ac:dyDescent="0.25">
      <c r="A7985" t="str">
        <f>HYPERLINK("https://www.773grp.com/globalSearch/MC14076BCPG/page-1", "MC14076BCPG")</f>
        <v>MC14076BCPG</v>
      </c>
      <c r="B7985" s="3" t="str">
        <f>HYPERLINK("https://www.773grp.com/manufacturer/onsemi?pageNo=1244", "Onsemi")</f>
        <v>Onsemi</v>
      </c>
      <c r="C7985" s="6">
        <v>10301</v>
      </c>
      <c r="D7985" s="7">
        <v>0.95</v>
      </c>
      <c r="E7985" t="s">
        <v>31</v>
      </c>
    </row>
    <row r="7986" spans="1:5" x14ac:dyDescent="0.25">
      <c r="A7986" t="str">
        <f>HYPERLINK("https://www.773grp.com/globalSearch/MC14106BCP/page-1", "MC14106BCP")</f>
        <v>MC14106BCP</v>
      </c>
      <c r="B7986" s="3" t="str">
        <f>HYPERLINK("https://www.773grp.com/manufacturer/onsemi?pageNo=1245", "Onsemi")</f>
        <v>Onsemi</v>
      </c>
      <c r="C7986" s="6">
        <v>1936</v>
      </c>
      <c r="D7986" s="7">
        <v>0.95</v>
      </c>
      <c r="E7986" t="s">
        <v>27</v>
      </c>
    </row>
    <row r="7987" spans="1:5" x14ac:dyDescent="0.25">
      <c r="A7987" t="str">
        <f>HYPERLINK("https://www.773grp.com/globalSearch/MC14174BCP/page-1", "MC14174BCP")</f>
        <v>MC14174BCP</v>
      </c>
      <c r="B7987" s="3" t="str">
        <f>HYPERLINK("https://www.773grp.com/manufacturer/onsemi?pageNo=1246", "Onsemi")</f>
        <v>Onsemi</v>
      </c>
      <c r="C7987" s="6">
        <v>436</v>
      </c>
      <c r="D7987" s="7">
        <v>0.95</v>
      </c>
      <c r="E7987" t="s">
        <v>31</v>
      </c>
    </row>
    <row r="7988" spans="1:5" x14ac:dyDescent="0.25">
      <c r="A7988" t="str">
        <f>HYPERLINK("https://www.773grp.com/globalSearch/MC14174BCPG/page-1", "MC14174BCPG")</f>
        <v>MC14174BCPG</v>
      </c>
      <c r="B7988" s="3" t="str">
        <f>HYPERLINK("https://www.773grp.com/manufacturer/onsemi?pageNo=1247", "Onsemi")</f>
        <v>Onsemi</v>
      </c>
      <c r="C7988" s="6">
        <v>12225</v>
      </c>
      <c r="D7988" s="7">
        <v>0.95</v>
      </c>
      <c r="E7988" t="s">
        <v>31</v>
      </c>
    </row>
    <row r="7989" spans="1:5" x14ac:dyDescent="0.25">
      <c r="A7989" t="str">
        <f>HYPERLINK("https://www.773grp.com/globalSearch/MC1436CD/page-1", "MC1436CD")</f>
        <v>MC1436CD</v>
      </c>
      <c r="B7989" s="3" t="str">
        <f>HYPERLINK("https://www.773grp.com/manufacturer/onsemi?pageNo=1248", "Onsemi")</f>
        <v>Onsemi</v>
      </c>
      <c r="C7989" s="6">
        <v>1697</v>
      </c>
      <c r="D7989" s="7">
        <v>0.95</v>
      </c>
      <c r="E7989" t="s">
        <v>10</v>
      </c>
    </row>
    <row r="7990" spans="1:5" x14ac:dyDescent="0.25">
      <c r="A7990" t="str">
        <f>HYPERLINK("https://www.773grp.com/globalSearch/MC1436CDR2/page-1", "MC1436CDR2")</f>
        <v>MC1436CDR2</v>
      </c>
      <c r="B7990" s="3" t="str">
        <f>HYPERLINK("https://www.773grp.com/manufacturer/onsemi?pageNo=1249", "Onsemi")</f>
        <v>Onsemi</v>
      </c>
      <c r="C7990" s="6">
        <v>50000</v>
      </c>
      <c r="D7990" s="7">
        <v>0.95</v>
      </c>
      <c r="E7990" t="s">
        <v>10</v>
      </c>
    </row>
    <row r="7991" spans="1:5" x14ac:dyDescent="0.25">
      <c r="A7991" t="str">
        <f>HYPERLINK("https://www.773grp.com/globalSearch/MC1436DR2/page-1", "MC1436DR2")</f>
        <v>MC1436DR2</v>
      </c>
      <c r="B7991" s="3" t="str">
        <f>HYPERLINK("https://www.773grp.com/manufacturer/onsemi?pageNo=1250", "Onsemi")</f>
        <v>Onsemi</v>
      </c>
      <c r="C7991" s="6">
        <v>2500</v>
      </c>
      <c r="D7991" s="7">
        <v>0.95</v>
      </c>
      <c r="E7991" t="s">
        <v>10</v>
      </c>
    </row>
    <row r="7992" spans="1:5" x14ac:dyDescent="0.25">
      <c r="A7992" t="str">
        <f>HYPERLINK("https://www.773grp.com/globalSearch/MC14503BF/page-1", "MC14503BF")</f>
        <v>MC14503BF</v>
      </c>
      <c r="B7992" s="3" t="str">
        <f>HYPERLINK("https://www.773grp.com/manufacturer/onsemi?pageNo=1251", "Onsemi")</f>
        <v>Onsemi</v>
      </c>
      <c r="C7992" s="6">
        <v>480</v>
      </c>
      <c r="D7992" s="7">
        <v>0.95</v>
      </c>
      <c r="E7992" t="s">
        <v>11</v>
      </c>
    </row>
    <row r="7993" spans="1:5" x14ac:dyDescent="0.25">
      <c r="A7993" t="str">
        <f>HYPERLINK("https://www.773grp.com/globalSearch/MC14512BD/page-1", "MC14512BD")</f>
        <v>MC14512BD</v>
      </c>
      <c r="B7993" s="3" t="str">
        <f>HYPERLINK("https://www.773grp.com/manufacturer/onsemi?pageNo=1252", "Onsemi")</f>
        <v>Onsemi</v>
      </c>
      <c r="C7993" s="6">
        <v>2194</v>
      </c>
      <c r="D7993" s="7">
        <v>0.95</v>
      </c>
      <c r="E7993" t="s">
        <v>16</v>
      </c>
    </row>
    <row r="7994" spans="1:5" x14ac:dyDescent="0.25">
      <c r="A7994" t="str">
        <f>HYPERLINK("https://www.773grp.com/globalSearch/MC14512BDG/page-1", "MC14512BDG")</f>
        <v>MC14512BDG</v>
      </c>
      <c r="B7994" s="3" t="str">
        <f>HYPERLINK("https://www.773grp.com/manufacturer/onsemi?pageNo=1253", "Onsemi")</f>
        <v>Onsemi</v>
      </c>
      <c r="C7994" s="6">
        <v>4796</v>
      </c>
      <c r="D7994" s="7">
        <v>0.95</v>
      </c>
      <c r="E7994" t="s">
        <v>16</v>
      </c>
    </row>
    <row r="7995" spans="1:5" x14ac:dyDescent="0.25">
      <c r="A7995" t="str">
        <f>HYPERLINK("https://www.773grp.com/globalSearch/MC14512BDR2/page-1", "MC14512BDR2")</f>
        <v>MC14512BDR2</v>
      </c>
      <c r="B7995" s="3" t="str">
        <f>HYPERLINK("https://www.773grp.com/manufacturer/onsemi?pageNo=1254", "Onsemi")</f>
        <v>Onsemi</v>
      </c>
      <c r="C7995" s="6">
        <v>17500</v>
      </c>
      <c r="D7995" s="7">
        <v>0.95</v>
      </c>
      <c r="E7995" t="s">
        <v>16</v>
      </c>
    </row>
    <row r="7996" spans="1:5" x14ac:dyDescent="0.25">
      <c r="A7996" t="str">
        <f>HYPERLINK("https://www.773grp.com/globalSearch/MC14512BDR2G/page-1", "MC14512BDR2G")</f>
        <v>MC14512BDR2G</v>
      </c>
      <c r="B7996" s="3" t="str">
        <f>HYPERLINK("https://www.773grp.com/manufacturer/onsemi?pageNo=1255", "Onsemi")</f>
        <v>Onsemi</v>
      </c>
      <c r="C7996" s="6">
        <v>8796</v>
      </c>
      <c r="D7996" s="7">
        <v>0.95</v>
      </c>
      <c r="E7996" t="s">
        <v>16</v>
      </c>
    </row>
    <row r="7997" spans="1:5" x14ac:dyDescent="0.25">
      <c r="A7997" t="str">
        <f>HYPERLINK("https://www.773grp.com/globalSearch/MC14518BFR2/page-1", "MC14518BFR2")</f>
        <v>MC14518BFR2</v>
      </c>
      <c r="B7997" s="3" t="str">
        <f>HYPERLINK("https://www.773grp.com/manufacturer/onsemi?pageNo=1256", "Onsemi")</f>
        <v>Onsemi</v>
      </c>
      <c r="C7997" s="6">
        <v>4771</v>
      </c>
      <c r="D7997" s="7">
        <v>0.95</v>
      </c>
      <c r="E7997" t="s">
        <v>22</v>
      </c>
    </row>
    <row r="7998" spans="1:5" x14ac:dyDescent="0.25">
      <c r="A7998" t="str">
        <f>HYPERLINK("https://www.773grp.com/globalSearch/MC14519BD/page-1", "MC14519BD")</f>
        <v>MC14519BD</v>
      </c>
      <c r="B7998" s="3" t="str">
        <f>HYPERLINK("https://www.773grp.com/manufacturer/onsemi?pageNo=1257", "Onsemi")</f>
        <v>Onsemi</v>
      </c>
      <c r="C7998" s="6">
        <v>2640</v>
      </c>
      <c r="D7998" s="7">
        <v>0.95</v>
      </c>
      <c r="E7998" t="s">
        <v>27</v>
      </c>
    </row>
    <row r="7999" spans="1:5" x14ac:dyDescent="0.25">
      <c r="A7999" t="str">
        <f>HYPERLINK("https://www.773grp.com/globalSearch/MC14541BFG/page-1", "MC14541BFG")</f>
        <v>MC14541BFG</v>
      </c>
      <c r="B7999" s="3" t="str">
        <f>HYPERLINK("https://www.773grp.com/manufacturer/onsemi?pageNo=1258", "Onsemi")</f>
        <v>Onsemi</v>
      </c>
      <c r="C7999" s="6">
        <v>30</v>
      </c>
      <c r="D7999" s="7">
        <v>0.95</v>
      </c>
      <c r="E7999" t="s">
        <v>67</v>
      </c>
    </row>
    <row r="8000" spans="1:5" x14ac:dyDescent="0.25">
      <c r="A8000" t="str">
        <f>HYPERLINK("https://www.773grp.com/globalSearch/MC14584BDG/page-1", "MC14584BDG")</f>
        <v>MC14584BDG</v>
      </c>
      <c r="B8000" s="3" t="str">
        <f>HYPERLINK("https://www.773grp.com/manufacturer/onsemi?pageNo=1259", "Onsemi")</f>
        <v>Onsemi</v>
      </c>
      <c r="C8000" s="6">
        <v>44705</v>
      </c>
      <c r="D8000" s="7">
        <v>0.95</v>
      </c>
    </row>
    <row r="8001" spans="1:5" x14ac:dyDescent="0.25">
      <c r="A8001" t="str">
        <f>HYPERLINK("https://www.773grp.com/globalSearch/MC14584BDR2G/page-1", "MC14584BDR2G")</f>
        <v>MC14584BDR2G</v>
      </c>
      <c r="B8001" s="3" t="str">
        <f>HYPERLINK("https://www.773grp.com/manufacturer/onsemi?pageNo=1260", "Onsemi")</f>
        <v>Onsemi</v>
      </c>
      <c r="C8001" s="6">
        <v>542938</v>
      </c>
      <c r="D8001" s="7">
        <v>0.95</v>
      </c>
      <c r="E8001" t="s">
        <v>27</v>
      </c>
    </row>
    <row r="8002" spans="1:5" x14ac:dyDescent="0.25">
      <c r="A8002" t="str">
        <f>HYPERLINK("https://www.773grp.com/globalSearch/MC14584BDTR2G/page-1", "MC14584BDTR2G")</f>
        <v>MC14584BDTR2G</v>
      </c>
      <c r="B8002" s="3" t="str">
        <f>HYPERLINK("https://www.773grp.com/manufacturer/onsemi?pageNo=1261", "Onsemi")</f>
        <v>Onsemi</v>
      </c>
      <c r="C8002" s="6">
        <v>2500</v>
      </c>
      <c r="D8002" s="7">
        <v>0.95</v>
      </c>
    </row>
    <row r="8003" spans="1:5" x14ac:dyDescent="0.25">
      <c r="A8003" t="str">
        <f>HYPERLINK("https://www.773grp.com/globalSearch/MC14584BF/page-1", "MC14584BF")</f>
        <v>MC14584BF</v>
      </c>
      <c r="B8003" s="3" t="str">
        <f>HYPERLINK("https://www.773grp.com/manufacturer/onsemi?pageNo=1262", "Onsemi")</f>
        <v>Onsemi</v>
      </c>
      <c r="C8003" s="6">
        <v>300</v>
      </c>
      <c r="D8003" s="7">
        <v>0.95</v>
      </c>
      <c r="E8003" t="s">
        <v>27</v>
      </c>
    </row>
    <row r="8004" spans="1:5" x14ac:dyDescent="0.25">
      <c r="A8004" t="str">
        <f>HYPERLINK("https://www.773grp.com/globalSearch/MC33078D/page-1", "MC33078D")</f>
        <v>MC33078D</v>
      </c>
      <c r="B8004" s="3" t="str">
        <f>HYPERLINK("https://www.773grp.com/manufacturer/onsemi?pageNo=1263", "Onsemi")</f>
        <v>Onsemi</v>
      </c>
      <c r="C8004" s="6">
        <v>19746</v>
      </c>
      <c r="D8004" s="7">
        <v>0.95</v>
      </c>
      <c r="E8004" t="s">
        <v>10</v>
      </c>
    </row>
    <row r="8005" spans="1:5" x14ac:dyDescent="0.25">
      <c r="A8005" t="str">
        <f>HYPERLINK("https://www.773grp.com/globalSearch/MC33078DR2/page-1", "MC33078DR2")</f>
        <v>MC33078DR2</v>
      </c>
      <c r="B8005" s="3" t="str">
        <f>HYPERLINK("https://www.773grp.com/manufacturer/onsemi?pageNo=1264", "Onsemi")</f>
        <v>Onsemi</v>
      </c>
      <c r="C8005" s="6">
        <v>3516</v>
      </c>
      <c r="D8005" s="7">
        <v>0.95</v>
      </c>
      <c r="E8005" t="s">
        <v>10</v>
      </c>
    </row>
    <row r="8006" spans="1:5" x14ac:dyDescent="0.25">
      <c r="A8006" t="str">
        <f>HYPERLINK("https://www.773grp.com/globalSearch/MC33164D-003/page-1", "MC33164D-003")</f>
        <v>MC33164D-003</v>
      </c>
      <c r="B8006" s="3" t="str">
        <f>HYPERLINK("https://www.773grp.com/manufacturer/onsemi?pageNo=1265", "Onsemi")</f>
        <v>Onsemi</v>
      </c>
      <c r="C8006" s="6">
        <v>8790</v>
      </c>
      <c r="D8006" s="7">
        <v>0.95</v>
      </c>
    </row>
    <row r="8007" spans="1:5" x14ac:dyDescent="0.25">
      <c r="A8007" t="str">
        <f>HYPERLINK("https://www.773grp.com/globalSearch/MC33164P-003/page-1", "MC33164P-003")</f>
        <v>MC33164P-003</v>
      </c>
      <c r="B8007" s="3" t="str">
        <f>HYPERLINK("https://www.773grp.com/manufacturer/onsemi?pageNo=1266", "Onsemi")</f>
        <v>Onsemi</v>
      </c>
      <c r="C8007" s="6">
        <v>3906</v>
      </c>
      <c r="D8007" s="7">
        <v>0.95</v>
      </c>
    </row>
    <row r="8008" spans="1:5" x14ac:dyDescent="0.25">
      <c r="A8008" t="str">
        <f>HYPERLINK("https://www.773grp.com/globalSearch/MC33164P-005/page-1", "MC33164P-005")</f>
        <v>MC33164P-005</v>
      </c>
      <c r="B8008" s="3" t="str">
        <f>HYPERLINK("https://www.773grp.com/manufacturer/onsemi?pageNo=1267", "Onsemi")</f>
        <v>Onsemi</v>
      </c>
      <c r="C8008" s="6">
        <v>11753</v>
      </c>
      <c r="D8008" s="7">
        <v>0.95</v>
      </c>
    </row>
    <row r="8009" spans="1:5" x14ac:dyDescent="0.25">
      <c r="A8009" t="str">
        <f>HYPERLINK("https://www.773grp.com/globalSearch/MC33164P-3RP/page-1", "MC33164P-3RP")</f>
        <v>MC33164P-3RP</v>
      </c>
      <c r="B8009" s="3" t="str">
        <f>HYPERLINK("https://www.773grp.com/manufacturer/onsemi?pageNo=1268", "Onsemi")</f>
        <v>Onsemi</v>
      </c>
      <c r="C8009" s="6">
        <v>12000</v>
      </c>
      <c r="D8009" s="7">
        <v>0.95</v>
      </c>
      <c r="E8009" t="s">
        <v>26</v>
      </c>
    </row>
    <row r="8010" spans="1:5" x14ac:dyDescent="0.25">
      <c r="A8010" t="str">
        <f>HYPERLINK("https://www.773grp.com/globalSearch/MC33164P-5RP/page-1", "MC33164P-5RP")</f>
        <v>MC33164P-5RP</v>
      </c>
      <c r="B8010" s="3" t="str">
        <f>HYPERLINK("https://www.773grp.com/manufacturer/onsemi?pageNo=1269", "Onsemi")</f>
        <v>Onsemi</v>
      </c>
      <c r="C8010" s="6">
        <v>4000</v>
      </c>
      <c r="D8010" s="7">
        <v>0.95</v>
      </c>
      <c r="E8010" t="s">
        <v>26</v>
      </c>
    </row>
    <row r="8011" spans="1:5" x14ac:dyDescent="0.25">
      <c r="A8011" t="str">
        <f>HYPERLINK("https://www.773grp.com/globalSearch/MC33567D-002/page-1", "MC33567D-002")</f>
        <v>MC33567D-002</v>
      </c>
      <c r="B8011" s="3" t="str">
        <f>HYPERLINK("https://www.773grp.com/manufacturer/onsemi?pageNo=1270", "Onsemi")</f>
        <v>Onsemi</v>
      </c>
      <c r="C8011" s="6">
        <v>1862</v>
      </c>
      <c r="D8011" s="7">
        <v>0.95</v>
      </c>
    </row>
    <row r="8012" spans="1:5" x14ac:dyDescent="0.25">
      <c r="A8012" t="str">
        <f>HYPERLINK("https://www.773grp.com/globalSearch/MC34164D-003/page-1", "MC34164D-003")</f>
        <v>MC34164D-003</v>
      </c>
      <c r="B8012" s="3" t="str">
        <f>HYPERLINK("https://www.773grp.com/manufacturer/onsemi?pageNo=1271", "Onsemi")</f>
        <v>Onsemi</v>
      </c>
      <c r="C8012" s="6">
        <v>3738</v>
      </c>
      <c r="D8012" s="7">
        <v>0.95</v>
      </c>
    </row>
    <row r="8013" spans="1:5" x14ac:dyDescent="0.25">
      <c r="A8013" t="str">
        <f>HYPERLINK("https://www.773grp.com/globalSearch/MC34164D-005/page-1", "MC34164D-005")</f>
        <v>MC34164D-005</v>
      </c>
      <c r="B8013" s="3" t="str">
        <f>HYPERLINK("https://www.773grp.com/manufacturer/onsemi?pageNo=1272", "Onsemi")</f>
        <v>Onsemi</v>
      </c>
      <c r="C8013" s="6">
        <v>52</v>
      </c>
      <c r="D8013" s="7">
        <v>0.95</v>
      </c>
    </row>
    <row r="8014" spans="1:5" x14ac:dyDescent="0.25">
      <c r="A8014" t="str">
        <f>HYPERLINK("https://www.773grp.com/globalSearch/MC34164P-003/page-1", "MC34164P-003")</f>
        <v>MC34164P-003</v>
      </c>
      <c r="B8014" s="3" t="str">
        <f>HYPERLINK("https://www.773grp.com/manufacturer/onsemi?pageNo=1273", "Onsemi")</f>
        <v>Onsemi</v>
      </c>
      <c r="C8014" s="6">
        <v>1744</v>
      </c>
      <c r="D8014" s="7">
        <v>0.95</v>
      </c>
    </row>
    <row r="8015" spans="1:5" x14ac:dyDescent="0.25">
      <c r="A8015" t="str">
        <f>HYPERLINK("https://www.773grp.com/globalSearch/MC34164P-005/page-1", "MC34164P-005")</f>
        <v>MC34164P-005</v>
      </c>
      <c r="B8015" s="3" t="str">
        <f>HYPERLINK("https://www.773grp.com/manufacturer/onsemi?pageNo=1274", "Onsemi")</f>
        <v>Onsemi</v>
      </c>
      <c r="C8015" s="6">
        <v>10116</v>
      </c>
      <c r="D8015" s="7">
        <v>0.95</v>
      </c>
    </row>
    <row r="8016" spans="1:5" x14ac:dyDescent="0.25">
      <c r="A8016" t="str">
        <f>HYPERLINK("https://www.773grp.com/globalSearch/MC4558CD/page-1", "MC4558CD")</f>
        <v>MC4558CD</v>
      </c>
      <c r="B8016" s="3" t="str">
        <f>HYPERLINK("https://www.773grp.com/manufacturer/onsemi?pageNo=1275", "Onsemi")</f>
        <v>Onsemi</v>
      </c>
      <c r="C8016" s="6">
        <v>3660</v>
      </c>
      <c r="D8016" s="7">
        <v>0.95</v>
      </c>
      <c r="E8016" t="s">
        <v>10</v>
      </c>
    </row>
    <row r="8017" spans="1:5" x14ac:dyDescent="0.25">
      <c r="A8017" t="str">
        <f>HYPERLINK("https://www.773grp.com/globalSearch/MC4558CP1/page-1", "MC4558CP1")</f>
        <v>MC4558CP1</v>
      </c>
      <c r="B8017" s="3" t="str">
        <f>HYPERLINK("https://www.773grp.com/manufacturer/onsemi?pageNo=1276", "Onsemi")</f>
        <v>Onsemi</v>
      </c>
      <c r="C8017" s="6">
        <v>5</v>
      </c>
      <c r="D8017" s="7">
        <v>0.95</v>
      </c>
      <c r="E8017" t="s">
        <v>10</v>
      </c>
    </row>
    <row r="8018" spans="1:5" x14ac:dyDescent="0.25">
      <c r="A8018" t="str">
        <f>HYPERLINK("https://www.773grp.com/globalSearch/MC74AC00NG/page-1", "MC74AC00NG")</f>
        <v>MC74AC00NG</v>
      </c>
      <c r="B8018" s="3" t="str">
        <f>HYPERLINK("https://www.773grp.com/manufacturer/onsemi?pageNo=1277", "Onsemi")</f>
        <v>Onsemi</v>
      </c>
      <c r="C8018" s="6">
        <v>2661</v>
      </c>
      <c r="D8018" s="7">
        <v>0.95</v>
      </c>
      <c r="E8018" t="s">
        <v>27</v>
      </c>
    </row>
    <row r="8019" spans="1:5" x14ac:dyDescent="0.25">
      <c r="A8019" t="str">
        <f>HYPERLINK("https://www.773grp.com/globalSearch/MC74AC02NG/page-1", "MC74AC02NG")</f>
        <v>MC74AC02NG</v>
      </c>
      <c r="B8019" s="3" t="str">
        <f>HYPERLINK("https://www.773grp.com/manufacturer/onsemi?pageNo=1278", "Onsemi")</f>
        <v>Onsemi</v>
      </c>
      <c r="C8019" s="6">
        <v>9250</v>
      </c>
      <c r="D8019" s="7">
        <v>0.95</v>
      </c>
      <c r="E8019" t="s">
        <v>27</v>
      </c>
    </row>
    <row r="8020" spans="1:5" x14ac:dyDescent="0.25">
      <c r="A8020" t="str">
        <f>HYPERLINK("https://www.773grp.com/globalSearch/MC74AC04NG/page-1", "MC74AC04NG")</f>
        <v>MC74AC04NG</v>
      </c>
      <c r="B8020" s="3" t="str">
        <f>HYPERLINK("https://www.773grp.com/manufacturer/onsemi?pageNo=1279", "Onsemi")</f>
        <v>Onsemi</v>
      </c>
      <c r="C8020" s="6">
        <v>120</v>
      </c>
      <c r="D8020" s="7">
        <v>0.95</v>
      </c>
      <c r="E8020" t="s">
        <v>27</v>
      </c>
    </row>
    <row r="8021" spans="1:5" x14ac:dyDescent="0.25">
      <c r="A8021" t="str">
        <f>HYPERLINK("https://www.773grp.com/globalSearch/MC74AC05NG/page-1", "MC74AC05NG")</f>
        <v>MC74AC05NG</v>
      </c>
      <c r="B8021" s="3" t="str">
        <f>HYPERLINK("https://www.773grp.com/manufacturer/onsemi?pageNo=1280", "Onsemi")</f>
        <v>Onsemi</v>
      </c>
      <c r="C8021" s="6">
        <v>4000</v>
      </c>
      <c r="D8021" s="7">
        <v>0.95</v>
      </c>
      <c r="E8021" t="s">
        <v>27</v>
      </c>
    </row>
    <row r="8022" spans="1:5" x14ac:dyDescent="0.25">
      <c r="A8022" t="str">
        <f>HYPERLINK("https://www.773grp.com/globalSearch/MC74AC08NG/page-1", "MC74AC08NG")</f>
        <v>MC74AC08NG</v>
      </c>
      <c r="B8022" s="3" t="str">
        <f>HYPERLINK("https://www.773grp.com/manufacturer/onsemi?pageNo=1281", "Onsemi")</f>
        <v>Onsemi</v>
      </c>
      <c r="C8022" s="6">
        <v>8730</v>
      </c>
      <c r="D8022" s="7">
        <v>0.95</v>
      </c>
      <c r="E8022" t="s">
        <v>27</v>
      </c>
    </row>
    <row r="8023" spans="1:5" x14ac:dyDescent="0.25">
      <c r="A8023" t="str">
        <f>HYPERLINK("https://www.773grp.com/globalSearch/MC74AC10NG/page-1", "MC74AC10NG")</f>
        <v>MC74AC10NG</v>
      </c>
      <c r="B8023" s="3" t="str">
        <f>HYPERLINK("https://www.773grp.com/manufacturer/onsemi?pageNo=1282", "Onsemi")</f>
        <v>Onsemi</v>
      </c>
      <c r="C8023" s="6">
        <v>12975</v>
      </c>
      <c r="D8023" s="7">
        <v>0.95</v>
      </c>
      <c r="E8023" t="s">
        <v>27</v>
      </c>
    </row>
    <row r="8024" spans="1:5" x14ac:dyDescent="0.25">
      <c r="A8024" t="str">
        <f>HYPERLINK("https://www.773grp.com/globalSearch/MC74AC11NG/page-1", "MC74AC11NG")</f>
        <v>MC74AC11NG</v>
      </c>
      <c r="B8024" s="3" t="str">
        <f>HYPERLINK("https://www.773grp.com/manufacturer/onsemi?pageNo=1283", "Onsemi")</f>
        <v>Onsemi</v>
      </c>
      <c r="C8024" s="6">
        <v>6845</v>
      </c>
      <c r="D8024" s="7">
        <v>0.95</v>
      </c>
      <c r="E8024" t="s">
        <v>27</v>
      </c>
    </row>
    <row r="8025" spans="1:5" x14ac:dyDescent="0.25">
      <c r="A8025" t="str">
        <f>HYPERLINK("https://www.773grp.com/globalSearch/MC74AC125NG/page-1", "MC74AC125NG")</f>
        <v>MC74AC125NG</v>
      </c>
      <c r="B8025" s="3" t="str">
        <f>HYPERLINK("https://www.773grp.com/manufacturer/onsemi?pageNo=1284", "Onsemi")</f>
        <v>Onsemi</v>
      </c>
      <c r="C8025" s="6">
        <v>7135</v>
      </c>
      <c r="D8025" s="7">
        <v>0.95</v>
      </c>
      <c r="E8025" t="s">
        <v>11</v>
      </c>
    </row>
    <row r="8026" spans="1:5" x14ac:dyDescent="0.25">
      <c r="A8026" t="str">
        <f>HYPERLINK("https://www.773grp.com/globalSearch/MC74AC14NG/page-1", "MC74AC14NG")</f>
        <v>MC74AC14NG</v>
      </c>
      <c r="B8026" s="3" t="str">
        <f>HYPERLINK("https://www.773grp.com/manufacturer/onsemi?pageNo=1285", "Onsemi")</f>
        <v>Onsemi</v>
      </c>
      <c r="C8026" s="6">
        <v>9156</v>
      </c>
      <c r="D8026" s="7">
        <v>0.95</v>
      </c>
      <c r="E8026" t="s">
        <v>27</v>
      </c>
    </row>
    <row r="8027" spans="1:5" x14ac:dyDescent="0.25">
      <c r="A8027" t="str">
        <f>HYPERLINK("https://www.773grp.com/globalSearch/MC74AC174N/page-1", "MC74AC174N")</f>
        <v>MC74AC174N</v>
      </c>
      <c r="B8027" s="3" t="str">
        <f>HYPERLINK("https://www.773grp.com/manufacturer/onsemi?pageNo=1286", "Onsemi")</f>
        <v>Onsemi</v>
      </c>
      <c r="C8027" s="6">
        <v>2975</v>
      </c>
      <c r="D8027" s="7">
        <v>0.95</v>
      </c>
      <c r="E8027" t="s">
        <v>31</v>
      </c>
    </row>
    <row r="8028" spans="1:5" x14ac:dyDescent="0.25">
      <c r="A8028" t="str">
        <f>HYPERLINK("https://www.773grp.com/globalSearch/MC74AC20NG/page-1", "MC74AC20NG")</f>
        <v>MC74AC20NG</v>
      </c>
      <c r="B8028" s="3" t="str">
        <f>HYPERLINK("https://www.773grp.com/manufacturer/onsemi?pageNo=1287", "Onsemi")</f>
        <v>Onsemi</v>
      </c>
      <c r="C8028" s="6">
        <v>23440</v>
      </c>
      <c r="D8028" s="7">
        <v>0.95</v>
      </c>
      <c r="E8028" t="s">
        <v>27</v>
      </c>
    </row>
    <row r="8029" spans="1:5" x14ac:dyDescent="0.25">
      <c r="A8029" t="str">
        <f>HYPERLINK("https://www.773grp.com/globalSearch/MC74AC540M/page-1", "MC74AC540M")</f>
        <v>MC74AC540M</v>
      </c>
      <c r="B8029" s="3" t="str">
        <f>HYPERLINK("https://www.773grp.com/manufacturer/onsemi?pageNo=1288", "Onsemi")</f>
        <v>Onsemi</v>
      </c>
      <c r="C8029" s="6">
        <v>14671</v>
      </c>
      <c r="D8029" s="7">
        <v>0.95</v>
      </c>
      <c r="E8029" t="s">
        <v>11</v>
      </c>
    </row>
    <row r="8030" spans="1:5" x14ac:dyDescent="0.25">
      <c r="A8030" t="str">
        <f>HYPERLINK("https://www.773grp.com/globalSearch/MC74AC541MR1/page-1", "MC74AC541MR1")</f>
        <v>MC74AC541MR1</v>
      </c>
      <c r="B8030" s="3" t="str">
        <f>HYPERLINK("https://www.773grp.com/manufacturer/onsemi?pageNo=1289", "Onsemi")</f>
        <v>Onsemi</v>
      </c>
      <c r="C8030" s="6">
        <v>12000</v>
      </c>
      <c r="D8030" s="7">
        <v>0.95</v>
      </c>
      <c r="E8030" t="s">
        <v>11</v>
      </c>
    </row>
    <row r="8031" spans="1:5" x14ac:dyDescent="0.25">
      <c r="A8031" t="str">
        <f>HYPERLINK("https://www.773grp.com/globalSearch/MC74ACT00NG/page-1", "MC74ACT00NG")</f>
        <v>MC74ACT00NG</v>
      </c>
      <c r="B8031" s="3" t="str">
        <f>HYPERLINK("https://www.773grp.com/manufacturer/onsemi?pageNo=1290", "Onsemi")</f>
        <v>Onsemi</v>
      </c>
      <c r="C8031" s="6">
        <v>5950</v>
      </c>
      <c r="D8031" s="7">
        <v>0.95</v>
      </c>
      <c r="E8031" t="s">
        <v>27</v>
      </c>
    </row>
    <row r="8032" spans="1:5" x14ac:dyDescent="0.25">
      <c r="A8032" t="str">
        <f>HYPERLINK("https://www.773grp.com/globalSearch/MC74ACT02NG/page-1", "MC74ACT02NG")</f>
        <v>MC74ACT02NG</v>
      </c>
      <c r="B8032" s="3" t="str">
        <f>HYPERLINK("https://www.773grp.com/manufacturer/onsemi?pageNo=1291", "Onsemi")</f>
        <v>Onsemi</v>
      </c>
      <c r="C8032" s="6">
        <v>3625</v>
      </c>
      <c r="D8032" s="7">
        <v>0.95</v>
      </c>
      <c r="E8032" t="s">
        <v>27</v>
      </c>
    </row>
    <row r="8033" spans="1:5" x14ac:dyDescent="0.25">
      <c r="A8033" t="str">
        <f>HYPERLINK("https://www.773grp.com/globalSearch/MC74ACT04NG/page-1", "MC74ACT04NG")</f>
        <v>MC74ACT04NG</v>
      </c>
      <c r="B8033" s="3" t="str">
        <f>HYPERLINK("https://www.773grp.com/manufacturer/onsemi?pageNo=1292", "Onsemi")</f>
        <v>Onsemi</v>
      </c>
      <c r="C8033" s="6">
        <v>11775</v>
      </c>
      <c r="D8033" s="7">
        <v>0.95</v>
      </c>
      <c r="E8033" t="s">
        <v>27</v>
      </c>
    </row>
    <row r="8034" spans="1:5" x14ac:dyDescent="0.25">
      <c r="A8034" t="str">
        <f>HYPERLINK("https://www.773grp.com/globalSearch/MC74ACT05NG/page-1", "MC74ACT05NG")</f>
        <v>MC74ACT05NG</v>
      </c>
      <c r="B8034" s="3" t="str">
        <f>HYPERLINK("https://www.773grp.com/manufacturer/onsemi?pageNo=1293", "Onsemi")</f>
        <v>Onsemi</v>
      </c>
      <c r="C8034" s="6">
        <v>5900</v>
      </c>
      <c r="D8034" s="7">
        <v>0.95</v>
      </c>
      <c r="E8034" t="s">
        <v>27</v>
      </c>
    </row>
    <row r="8035" spans="1:5" x14ac:dyDescent="0.25">
      <c r="A8035" t="str">
        <f>HYPERLINK("https://www.773grp.com/globalSearch/MC74ACT08NG/page-1", "MC74ACT08NG")</f>
        <v>MC74ACT08NG</v>
      </c>
      <c r="B8035" s="3" t="str">
        <f>HYPERLINK("https://www.773grp.com/manufacturer/onsemi?pageNo=1294", "Onsemi")</f>
        <v>Onsemi</v>
      </c>
      <c r="C8035" s="6">
        <v>41486</v>
      </c>
      <c r="D8035" s="7">
        <v>0.95</v>
      </c>
      <c r="E8035" t="s">
        <v>27</v>
      </c>
    </row>
    <row r="8036" spans="1:5" x14ac:dyDescent="0.25">
      <c r="A8036" t="str">
        <f>HYPERLINK("https://www.773grp.com/globalSearch/MC74ACT109N/page-1", "MC74ACT109N")</f>
        <v>MC74ACT109N</v>
      </c>
      <c r="B8036" s="3" t="str">
        <f>HYPERLINK("https://www.773grp.com/manufacturer/onsemi?pageNo=1295", "Onsemi")</f>
        <v>Onsemi</v>
      </c>
      <c r="C8036" s="6">
        <v>1771</v>
      </c>
      <c r="D8036" s="7">
        <v>0.95</v>
      </c>
      <c r="E8036" t="s">
        <v>31</v>
      </c>
    </row>
    <row r="8037" spans="1:5" x14ac:dyDescent="0.25">
      <c r="A8037" t="str">
        <f>HYPERLINK("https://www.773grp.com/globalSearch/MC74ACT10NG/page-1", "MC74ACT10NG")</f>
        <v>MC74ACT10NG</v>
      </c>
      <c r="B8037" s="3" t="str">
        <f>HYPERLINK("https://www.773grp.com/manufacturer/onsemi?pageNo=1296", "Onsemi")</f>
        <v>Onsemi</v>
      </c>
      <c r="C8037" s="6">
        <v>20190</v>
      </c>
      <c r="D8037" s="7">
        <v>0.95</v>
      </c>
      <c r="E8037" t="s">
        <v>27</v>
      </c>
    </row>
    <row r="8038" spans="1:5" x14ac:dyDescent="0.25">
      <c r="A8038" t="str">
        <f>HYPERLINK("https://www.773grp.com/globalSearch/MC74ACT11NG/page-1", "MC74ACT11NG")</f>
        <v>MC74ACT11NG</v>
      </c>
      <c r="B8038" s="3" t="str">
        <f>HYPERLINK("https://www.773grp.com/manufacturer/onsemi?pageNo=1297", "Onsemi")</f>
        <v>Onsemi</v>
      </c>
      <c r="C8038" s="6">
        <v>8025</v>
      </c>
      <c r="D8038" s="7">
        <v>0.95</v>
      </c>
      <c r="E8038" t="s">
        <v>27</v>
      </c>
    </row>
    <row r="8039" spans="1:5" x14ac:dyDescent="0.25">
      <c r="A8039" t="str">
        <f>HYPERLINK("https://www.773grp.com/globalSearch/MC74ACT125NG/page-1", "MC74ACT125NG")</f>
        <v>MC74ACT125NG</v>
      </c>
      <c r="B8039" s="3" t="str">
        <f>HYPERLINK("https://www.773grp.com/manufacturer/onsemi?pageNo=1298", "Onsemi")</f>
        <v>Onsemi</v>
      </c>
      <c r="C8039" s="6">
        <v>4075</v>
      </c>
      <c r="D8039" s="7">
        <v>0.95</v>
      </c>
      <c r="E8039" t="s">
        <v>11</v>
      </c>
    </row>
    <row r="8040" spans="1:5" x14ac:dyDescent="0.25">
      <c r="A8040" t="str">
        <f>HYPERLINK("https://www.773grp.com/globalSearch/MC74ACT132N/page-1", "MC74ACT132N")</f>
        <v>MC74ACT132N</v>
      </c>
      <c r="B8040" s="3" t="str">
        <f>HYPERLINK("https://www.773grp.com/manufacturer/onsemi?pageNo=1299", "Onsemi")</f>
        <v>Onsemi</v>
      </c>
      <c r="C8040" s="6">
        <v>9850</v>
      </c>
      <c r="D8040" s="7">
        <v>0.95</v>
      </c>
      <c r="E8040" t="s">
        <v>27</v>
      </c>
    </row>
    <row r="8041" spans="1:5" x14ac:dyDescent="0.25">
      <c r="A8041" t="str">
        <f>HYPERLINK("https://www.773grp.com/globalSearch/MC74ACT139MEL/page-1", "MC74ACT139MEL")</f>
        <v>MC74ACT139MEL</v>
      </c>
      <c r="B8041" s="3" t="str">
        <f>HYPERLINK("https://www.773grp.com/manufacturer/onsemi?pageNo=1300", "Onsemi")</f>
        <v>Onsemi</v>
      </c>
      <c r="C8041" s="6">
        <v>18000</v>
      </c>
      <c r="D8041" s="7">
        <v>0.95</v>
      </c>
      <c r="E8041" t="s">
        <v>32</v>
      </c>
    </row>
    <row r="8042" spans="1:5" x14ac:dyDescent="0.25">
      <c r="A8042" t="str">
        <f>HYPERLINK("https://www.773grp.com/globalSearch/MC74ACT14NG/page-1", "MC74ACT14NG")</f>
        <v>MC74ACT14NG</v>
      </c>
      <c r="B8042" s="3" t="str">
        <f>HYPERLINK("https://www.773grp.com/manufacturer/onsemi?pageNo=1301", "Onsemi")</f>
        <v>Onsemi</v>
      </c>
      <c r="C8042" s="6">
        <v>8430</v>
      </c>
      <c r="D8042" s="7">
        <v>0.95</v>
      </c>
      <c r="E8042" t="s">
        <v>27</v>
      </c>
    </row>
    <row r="8043" spans="1:5" x14ac:dyDescent="0.25">
      <c r="A8043" t="str">
        <f>HYPERLINK("https://www.773grp.com/globalSearch/MC74ACT161M/page-1", "MC74ACT161M")</f>
        <v>MC74ACT161M</v>
      </c>
      <c r="B8043" s="3" t="str">
        <f>HYPERLINK("https://www.773grp.com/manufacturer/onsemi?pageNo=1302", "Onsemi")</f>
        <v>Onsemi</v>
      </c>
      <c r="C8043" s="6">
        <v>3550</v>
      </c>
      <c r="D8043" s="7">
        <v>0.95</v>
      </c>
      <c r="E8043" t="s">
        <v>22</v>
      </c>
    </row>
    <row r="8044" spans="1:5" x14ac:dyDescent="0.25">
      <c r="A8044" t="str">
        <f>HYPERLINK("https://www.773grp.com/globalSearch/MC74ACT161ML1/page-1", "MC74ACT161ML1")</f>
        <v>MC74ACT161ML1</v>
      </c>
      <c r="B8044" s="3" t="str">
        <f>HYPERLINK("https://www.773grp.com/manufacturer/onsemi?pageNo=1303", "Onsemi")</f>
        <v>Onsemi</v>
      </c>
      <c r="C8044" s="6">
        <v>12000</v>
      </c>
      <c r="D8044" s="7">
        <v>0.95</v>
      </c>
    </row>
    <row r="8045" spans="1:5" x14ac:dyDescent="0.25">
      <c r="A8045" t="str">
        <f>HYPERLINK("https://www.773grp.com/globalSearch/MC74ACT163M/page-1", "MC74ACT163M")</f>
        <v>MC74ACT163M</v>
      </c>
      <c r="B8045" s="3" t="str">
        <f>HYPERLINK("https://www.773grp.com/manufacturer/onsemi?pageNo=1304", "Onsemi")</f>
        <v>Onsemi</v>
      </c>
      <c r="C8045" s="6">
        <v>1450</v>
      </c>
      <c r="D8045" s="7">
        <v>0.95</v>
      </c>
      <c r="E8045" t="s">
        <v>22</v>
      </c>
    </row>
    <row r="8046" spans="1:5" x14ac:dyDescent="0.25">
      <c r="A8046" t="str">
        <f>HYPERLINK("https://www.773grp.com/globalSearch/MC74ACT174N/page-1", "MC74ACT174N")</f>
        <v>MC74ACT174N</v>
      </c>
      <c r="B8046" s="3" t="str">
        <f>HYPERLINK("https://www.773grp.com/manufacturer/onsemi?pageNo=1305", "Onsemi")</f>
        <v>Onsemi</v>
      </c>
      <c r="C8046" s="6">
        <v>755</v>
      </c>
      <c r="D8046" s="7">
        <v>0.95</v>
      </c>
      <c r="E8046" t="s">
        <v>31</v>
      </c>
    </row>
    <row r="8047" spans="1:5" x14ac:dyDescent="0.25">
      <c r="A8047" t="str">
        <f>HYPERLINK("https://www.773grp.com/globalSearch/MC74ACT20NG/page-1", "MC74ACT20NG")</f>
        <v>MC74ACT20NG</v>
      </c>
      <c r="B8047" s="3" t="str">
        <f>HYPERLINK("https://www.773grp.com/manufacturer/onsemi?pageNo=1306", "Onsemi")</f>
        <v>Onsemi</v>
      </c>
      <c r="C8047" s="6">
        <v>30893</v>
      </c>
      <c r="D8047" s="7">
        <v>0.95</v>
      </c>
      <c r="E8047" t="s">
        <v>27</v>
      </c>
    </row>
    <row r="8048" spans="1:5" x14ac:dyDescent="0.25">
      <c r="A8048" t="str">
        <f>HYPERLINK("https://www.773grp.com/globalSearch/MC74ACT540DT/page-1", "MC74ACT540DT")</f>
        <v>MC74ACT540DT</v>
      </c>
      <c r="B8048" s="3" t="str">
        <f>HYPERLINK("https://www.773grp.com/manufacturer/onsemi?pageNo=1307", "Onsemi")</f>
        <v>Onsemi</v>
      </c>
      <c r="C8048" s="6">
        <v>1607</v>
      </c>
      <c r="D8048" s="7">
        <v>0.95</v>
      </c>
      <c r="E8048" t="s">
        <v>11</v>
      </c>
    </row>
    <row r="8049" spans="1:5" x14ac:dyDescent="0.25">
      <c r="A8049" t="str">
        <f>HYPERLINK("https://www.773grp.com/globalSearch/MC74ACT540DT/page-1", "MC74ACT540DT")</f>
        <v>MC74ACT540DT</v>
      </c>
      <c r="B8049" s="3" t="str">
        <f>HYPERLINK("https://www.773grp.com/manufacturer/onsemi?pageNo=1308", "Onsemi")</f>
        <v>Onsemi</v>
      </c>
      <c r="C8049" s="6">
        <v>8125</v>
      </c>
      <c r="D8049" s="7">
        <v>0.95</v>
      </c>
      <c r="E8049" t="s">
        <v>11</v>
      </c>
    </row>
    <row r="8050" spans="1:5" x14ac:dyDescent="0.25">
      <c r="A8050" t="str">
        <f>HYPERLINK("https://www.773grp.com/globalSearch/MC74ACT540M/page-1", "MC74ACT540M")</f>
        <v>MC74ACT540M</v>
      </c>
      <c r="B8050" s="3" t="str">
        <f>HYPERLINK("https://www.773grp.com/manufacturer/onsemi?pageNo=1309", "Onsemi")</f>
        <v>Onsemi</v>
      </c>
      <c r="C8050" s="6">
        <v>7830</v>
      </c>
      <c r="D8050" s="7">
        <v>0.95</v>
      </c>
      <c r="E8050" t="s">
        <v>11</v>
      </c>
    </row>
    <row r="8051" spans="1:5" x14ac:dyDescent="0.25">
      <c r="A8051" t="str">
        <f>HYPERLINK("https://www.773grp.com/globalSearch/MC74ACT540ML1/page-1", "MC74ACT540ML1")</f>
        <v>MC74ACT540ML1</v>
      </c>
      <c r="B8051" s="3" t="str">
        <f>HYPERLINK("https://www.773grp.com/manufacturer/onsemi?pageNo=1310", "Onsemi")</f>
        <v>Onsemi</v>
      </c>
      <c r="C8051" s="6">
        <v>4000</v>
      </c>
      <c r="D8051" s="7">
        <v>0.95</v>
      </c>
    </row>
    <row r="8052" spans="1:5" x14ac:dyDescent="0.25">
      <c r="A8052" t="str">
        <f>HYPERLINK("https://www.773grp.com/globalSearch/MC74ACT541ML1/page-1", "MC74ACT541ML1")</f>
        <v>MC74ACT541ML1</v>
      </c>
      <c r="B8052" s="3" t="str">
        <f>HYPERLINK("https://www.773grp.com/manufacturer/onsemi?pageNo=1311", "Onsemi")</f>
        <v>Onsemi</v>
      </c>
      <c r="C8052" s="6">
        <v>3000</v>
      </c>
      <c r="D8052" s="7">
        <v>0.95</v>
      </c>
    </row>
    <row r="8053" spans="1:5" x14ac:dyDescent="0.25">
      <c r="A8053" t="str">
        <f>HYPERLINK("https://www.773grp.com/globalSearch/MC74F109D/page-1", "MC74F109D")</f>
        <v>MC74F109D</v>
      </c>
      <c r="B8053" s="3" t="str">
        <f>HYPERLINK("https://www.773grp.com/manufacturer/onsemi?pageNo=1312", "Onsemi")</f>
        <v>Onsemi</v>
      </c>
      <c r="C8053" s="6">
        <v>7192</v>
      </c>
      <c r="D8053" s="7">
        <v>0.95</v>
      </c>
      <c r="E8053" t="s">
        <v>31</v>
      </c>
    </row>
    <row r="8054" spans="1:5" x14ac:dyDescent="0.25">
      <c r="A8054" t="str">
        <f>HYPERLINK("https://www.773grp.com/globalSearch/MC74F109N/page-1", "MC74F109N")</f>
        <v>MC74F109N</v>
      </c>
      <c r="B8054" s="3" t="str">
        <f>HYPERLINK("https://www.773grp.com/manufacturer/onsemi?pageNo=1313", "Onsemi")</f>
        <v>Onsemi</v>
      </c>
      <c r="C8054" s="6">
        <v>107471</v>
      </c>
      <c r="D8054" s="7">
        <v>0.95</v>
      </c>
      <c r="E8054" t="s">
        <v>31</v>
      </c>
    </row>
    <row r="8055" spans="1:5" x14ac:dyDescent="0.25">
      <c r="A8055" t="str">
        <f>HYPERLINK("https://www.773grp.com/globalSearch/MC74F151D/page-1", "MC74F151D")</f>
        <v>MC74F151D</v>
      </c>
      <c r="B8055" s="3" t="str">
        <f>HYPERLINK("https://www.773grp.com/manufacturer/onsemi?pageNo=1314", "Onsemi")</f>
        <v>Onsemi</v>
      </c>
      <c r="C8055" s="6">
        <v>10848</v>
      </c>
      <c r="D8055" s="7">
        <v>0.95</v>
      </c>
      <c r="E8055" t="s">
        <v>16</v>
      </c>
    </row>
    <row r="8056" spans="1:5" x14ac:dyDescent="0.25">
      <c r="A8056" t="str">
        <f>HYPERLINK("https://www.773grp.com/globalSearch/MC74F151N/page-1", "MC74F151N")</f>
        <v>MC74F151N</v>
      </c>
      <c r="B8056" s="3" t="str">
        <f>HYPERLINK("https://www.773grp.com/manufacturer/onsemi?pageNo=1315", "Onsemi")</f>
        <v>Onsemi</v>
      </c>
      <c r="C8056" s="6">
        <v>210</v>
      </c>
      <c r="D8056" s="7">
        <v>0.95</v>
      </c>
      <c r="E8056" t="s">
        <v>16</v>
      </c>
    </row>
    <row r="8057" spans="1:5" x14ac:dyDescent="0.25">
      <c r="A8057" t="str">
        <f>HYPERLINK("https://www.773grp.com/globalSearch/MC74F153DR2/page-1", "MC74F153DR2")</f>
        <v>MC74F153DR2</v>
      </c>
      <c r="B8057" s="3" t="str">
        <f>HYPERLINK("https://www.773grp.com/manufacturer/onsemi?pageNo=1316", "Onsemi")</f>
        <v>Onsemi</v>
      </c>
      <c r="C8057" s="6">
        <v>12500</v>
      </c>
      <c r="D8057" s="7">
        <v>0.95</v>
      </c>
      <c r="E8057" t="s">
        <v>16</v>
      </c>
    </row>
    <row r="8058" spans="1:5" x14ac:dyDescent="0.25">
      <c r="A8058" t="str">
        <f>HYPERLINK("https://www.773grp.com/globalSearch/MC74F153M/page-1", "MC74F153M")</f>
        <v>MC74F153M</v>
      </c>
      <c r="B8058" s="3" t="str">
        <f>HYPERLINK("https://www.773grp.com/manufacturer/onsemi?pageNo=1317", "Onsemi")</f>
        <v>Onsemi</v>
      </c>
      <c r="C8058" s="6">
        <v>1800</v>
      </c>
      <c r="D8058" s="7">
        <v>0.95</v>
      </c>
    </row>
    <row r="8059" spans="1:5" x14ac:dyDescent="0.25">
      <c r="A8059" t="str">
        <f>HYPERLINK("https://www.773grp.com/globalSearch/MC74F153MEL/page-1", "MC74F153MEL")</f>
        <v>MC74F153MEL</v>
      </c>
      <c r="B8059" s="3" t="str">
        <f>HYPERLINK("https://www.773grp.com/manufacturer/onsemi?pageNo=1318", "Onsemi")</f>
        <v>Onsemi</v>
      </c>
      <c r="C8059" s="6">
        <v>10000</v>
      </c>
      <c r="D8059" s="7">
        <v>0.95</v>
      </c>
    </row>
    <row r="8060" spans="1:5" x14ac:dyDescent="0.25">
      <c r="A8060" t="str">
        <f>HYPERLINK("https://www.773grp.com/globalSearch/MC74F153ML1/page-1", "MC74F153ML1")</f>
        <v>MC74F153ML1</v>
      </c>
      <c r="B8060" s="3" t="str">
        <f>HYPERLINK("https://www.773grp.com/manufacturer/onsemi?pageNo=1319", "Onsemi")</f>
        <v>Onsemi</v>
      </c>
      <c r="C8060" s="6">
        <v>4000</v>
      </c>
      <c r="D8060" s="7">
        <v>0.95</v>
      </c>
    </row>
    <row r="8061" spans="1:5" x14ac:dyDescent="0.25">
      <c r="A8061" t="str">
        <f>HYPERLINK("https://www.773grp.com/globalSearch/MC74F153MR1/page-1", "MC74F153MR1")</f>
        <v>MC74F153MR1</v>
      </c>
      <c r="B8061" s="3" t="str">
        <f>HYPERLINK("https://www.773grp.com/manufacturer/onsemi?pageNo=1320", "Onsemi")</f>
        <v>Onsemi</v>
      </c>
      <c r="C8061" s="6">
        <v>4000</v>
      </c>
      <c r="D8061" s="7">
        <v>0.95</v>
      </c>
    </row>
    <row r="8062" spans="1:5" x14ac:dyDescent="0.25">
      <c r="A8062" t="str">
        <f>HYPERLINK("https://www.773grp.com/globalSearch/MC74F153N/page-1", "MC74F153N")</f>
        <v>MC74F153N</v>
      </c>
      <c r="B8062" s="3" t="str">
        <f>HYPERLINK("https://www.773grp.com/manufacturer/onsemi?pageNo=1321", "Onsemi")</f>
        <v>Onsemi</v>
      </c>
      <c r="C8062" s="6">
        <v>7975</v>
      </c>
      <c r="D8062" s="7">
        <v>0.95</v>
      </c>
      <c r="E8062" t="s">
        <v>16</v>
      </c>
    </row>
    <row r="8063" spans="1:5" x14ac:dyDescent="0.25">
      <c r="A8063" t="str">
        <f>HYPERLINK("https://www.773grp.com/globalSearch/MC74F158AD/page-1", "MC74F158AD")</f>
        <v>MC74F158AD</v>
      </c>
      <c r="B8063" s="3" t="str">
        <f>HYPERLINK("https://www.773grp.com/manufacturer/onsemi?pageNo=1322", "Onsemi")</f>
        <v>Onsemi</v>
      </c>
      <c r="C8063" s="6">
        <v>8108</v>
      </c>
      <c r="D8063" s="7">
        <v>0.95</v>
      </c>
      <c r="E8063" t="s">
        <v>16</v>
      </c>
    </row>
    <row r="8064" spans="1:5" x14ac:dyDescent="0.25">
      <c r="A8064" t="str">
        <f>HYPERLINK("https://www.773grp.com/globalSearch/MC74F158ADR2/page-1", "MC74F158ADR2")</f>
        <v>MC74F158ADR2</v>
      </c>
      <c r="B8064" s="3" t="str">
        <f>HYPERLINK("https://www.773grp.com/manufacturer/onsemi?pageNo=1323", "Onsemi")</f>
        <v>Onsemi</v>
      </c>
      <c r="C8064" s="6">
        <v>2500</v>
      </c>
      <c r="D8064" s="7">
        <v>0.95</v>
      </c>
      <c r="E8064" t="s">
        <v>16</v>
      </c>
    </row>
    <row r="8065" spans="1:5" x14ac:dyDescent="0.25">
      <c r="A8065" t="str">
        <f>HYPERLINK("https://www.773grp.com/globalSearch/MC74F158AM/page-1", "MC74F158AM")</f>
        <v>MC74F158AM</v>
      </c>
      <c r="B8065" s="3" t="str">
        <f>HYPERLINK("https://www.773grp.com/manufacturer/onsemi?pageNo=1324", "Onsemi")</f>
        <v>Onsemi</v>
      </c>
      <c r="C8065" s="6">
        <v>514</v>
      </c>
      <c r="D8065" s="7">
        <v>0.95</v>
      </c>
    </row>
    <row r="8066" spans="1:5" x14ac:dyDescent="0.25">
      <c r="A8066" t="str">
        <f>HYPERLINK("https://www.773grp.com/globalSearch/MC74F158AMEL/page-1", "MC74F158AMEL")</f>
        <v>MC74F158AMEL</v>
      </c>
      <c r="B8066" s="3" t="str">
        <f>HYPERLINK("https://www.773grp.com/manufacturer/onsemi?pageNo=1325", "Onsemi")</f>
        <v>Onsemi</v>
      </c>
      <c r="C8066" s="6">
        <v>2000</v>
      </c>
      <c r="D8066" s="7">
        <v>0.95</v>
      </c>
    </row>
    <row r="8067" spans="1:5" x14ac:dyDescent="0.25">
      <c r="A8067" t="str">
        <f>HYPERLINK("https://www.773grp.com/globalSearch/MC74F158AN/page-1", "MC74F158AN")</f>
        <v>MC74F158AN</v>
      </c>
      <c r="B8067" s="3" t="str">
        <f>HYPERLINK("https://www.773grp.com/manufacturer/onsemi?pageNo=1326", "Onsemi")</f>
        <v>Onsemi</v>
      </c>
      <c r="C8067" s="6">
        <v>4269</v>
      </c>
      <c r="D8067" s="7">
        <v>0.95</v>
      </c>
      <c r="E8067" t="s">
        <v>16</v>
      </c>
    </row>
    <row r="8068" spans="1:5" x14ac:dyDescent="0.25">
      <c r="A8068" t="str">
        <f>HYPERLINK("https://www.773grp.com/globalSearch/MC74F161AD/page-1", "MC74F161AD")</f>
        <v>MC74F161AD</v>
      </c>
      <c r="B8068" s="3" t="str">
        <f>HYPERLINK("https://www.773grp.com/manufacturer/onsemi?pageNo=1327", "Onsemi")</f>
        <v>Onsemi</v>
      </c>
      <c r="C8068" s="6">
        <v>36</v>
      </c>
      <c r="D8068" s="7">
        <v>0.95</v>
      </c>
      <c r="E8068" t="s">
        <v>22</v>
      </c>
    </row>
    <row r="8069" spans="1:5" x14ac:dyDescent="0.25">
      <c r="A8069" t="str">
        <f>HYPERLINK("https://www.773grp.com/globalSearch/MC74F161ADR2/page-1", "MC74F161ADR2")</f>
        <v>MC74F161ADR2</v>
      </c>
      <c r="B8069" s="3" t="str">
        <f>HYPERLINK("https://www.773grp.com/manufacturer/onsemi?pageNo=1328", "Onsemi")</f>
        <v>Onsemi</v>
      </c>
      <c r="C8069" s="6">
        <v>2500</v>
      </c>
      <c r="D8069" s="7">
        <v>0.95</v>
      </c>
      <c r="E8069" t="s">
        <v>22</v>
      </c>
    </row>
    <row r="8070" spans="1:5" x14ac:dyDescent="0.25">
      <c r="A8070" t="str">
        <f>HYPERLINK("https://www.773grp.com/globalSearch/MC74F161AM/page-1", "MC74F161AM")</f>
        <v>MC74F161AM</v>
      </c>
      <c r="B8070" s="3" t="str">
        <f>HYPERLINK("https://www.773grp.com/manufacturer/onsemi?pageNo=1329", "Onsemi")</f>
        <v>Onsemi</v>
      </c>
      <c r="C8070" s="6">
        <v>3072</v>
      </c>
      <c r="D8070" s="7">
        <v>0.95</v>
      </c>
    </row>
    <row r="8071" spans="1:5" x14ac:dyDescent="0.25">
      <c r="A8071" t="str">
        <f>HYPERLINK("https://www.773grp.com/globalSearch/MC74F161AML/page-1", "MC74F161AML")</f>
        <v>MC74F161AML</v>
      </c>
      <c r="B8071" s="3" t="str">
        <f>HYPERLINK("https://www.773grp.com/manufacturer/onsemi?pageNo=1330", "Onsemi")</f>
        <v>Onsemi</v>
      </c>
      <c r="C8071" s="6">
        <v>2000</v>
      </c>
      <c r="D8071" s="7">
        <v>0.95</v>
      </c>
    </row>
    <row r="8072" spans="1:5" x14ac:dyDescent="0.25">
      <c r="A8072" t="str">
        <f>HYPERLINK("https://www.773grp.com/globalSearch/MC74F163AD/page-1", "MC74F163AD")</f>
        <v>MC74F163AD</v>
      </c>
      <c r="B8072" s="3" t="str">
        <f>HYPERLINK("https://www.773grp.com/manufacturer/onsemi?pageNo=1331", "Onsemi")</f>
        <v>Onsemi</v>
      </c>
      <c r="C8072" s="6">
        <v>6338</v>
      </c>
      <c r="D8072" s="7">
        <v>0.95</v>
      </c>
      <c r="E8072" t="s">
        <v>22</v>
      </c>
    </row>
    <row r="8073" spans="1:5" x14ac:dyDescent="0.25">
      <c r="A8073" t="str">
        <f>HYPERLINK("https://www.773grp.com/globalSearch/MC74F163AML1/page-1", "MC74F163AML1")</f>
        <v>MC74F163AML1</v>
      </c>
      <c r="B8073" s="3" t="str">
        <f>HYPERLINK("https://www.773grp.com/manufacturer/onsemi?pageNo=1332", "Onsemi")</f>
        <v>Onsemi</v>
      </c>
      <c r="C8073" s="6">
        <v>6000</v>
      </c>
      <c r="D8073" s="7">
        <v>0.95</v>
      </c>
    </row>
    <row r="8074" spans="1:5" x14ac:dyDescent="0.25">
      <c r="A8074" t="str">
        <f>HYPERLINK("https://www.773grp.com/globalSearch/MC74F163AN/page-1", "MC74F163AN")</f>
        <v>MC74F163AN</v>
      </c>
      <c r="B8074" s="3" t="str">
        <f>HYPERLINK("https://www.773grp.com/manufacturer/onsemi?pageNo=1333", "Onsemi")</f>
        <v>Onsemi</v>
      </c>
      <c r="C8074" s="6">
        <v>576</v>
      </c>
      <c r="D8074" s="7">
        <v>0.95</v>
      </c>
      <c r="E8074" t="s">
        <v>22</v>
      </c>
    </row>
    <row r="8075" spans="1:5" x14ac:dyDescent="0.25">
      <c r="A8075" t="str">
        <f>HYPERLINK("https://www.773grp.com/globalSearch/MC74F164D/page-1", "MC74F164D")</f>
        <v>MC74F164D</v>
      </c>
      <c r="B8075" s="3" t="str">
        <f>HYPERLINK("https://www.773grp.com/manufacturer/onsemi?pageNo=1334", "Onsemi")</f>
        <v>Onsemi</v>
      </c>
      <c r="C8075" s="6">
        <v>5025</v>
      </c>
      <c r="D8075" s="7">
        <v>0.95</v>
      </c>
      <c r="E8075" t="s">
        <v>28</v>
      </c>
    </row>
    <row r="8076" spans="1:5" x14ac:dyDescent="0.25">
      <c r="A8076" t="str">
        <f>HYPERLINK("https://www.773grp.com/globalSearch/MC74F164M/page-1", "MC74F164M")</f>
        <v>MC74F164M</v>
      </c>
      <c r="B8076" s="3" t="str">
        <f>HYPERLINK("https://www.773grp.com/manufacturer/onsemi?pageNo=1335", "Onsemi")</f>
        <v>Onsemi</v>
      </c>
      <c r="C8076" s="6">
        <v>50</v>
      </c>
      <c r="D8076" s="7">
        <v>0.95</v>
      </c>
    </row>
    <row r="8077" spans="1:5" x14ac:dyDescent="0.25">
      <c r="A8077" t="str">
        <f>HYPERLINK("https://www.773grp.com/globalSearch/MC74F164ML1/page-1", "MC74F164ML1")</f>
        <v>MC74F164ML1</v>
      </c>
      <c r="B8077" s="3" t="str">
        <f>HYPERLINK("https://www.773grp.com/manufacturer/onsemi?pageNo=1336", "Onsemi")</f>
        <v>Onsemi</v>
      </c>
      <c r="C8077" s="6">
        <v>2000</v>
      </c>
      <c r="D8077" s="7">
        <v>0.95</v>
      </c>
    </row>
    <row r="8078" spans="1:5" x14ac:dyDescent="0.25">
      <c r="A8078" t="str">
        <f>HYPERLINK("https://www.773grp.com/globalSearch/MC74F280D/page-1", "MC74F280D")</f>
        <v>MC74F280D</v>
      </c>
      <c r="B8078" s="3" t="str">
        <f>HYPERLINK("https://www.773grp.com/manufacturer/onsemi?pageNo=1337", "Onsemi")</f>
        <v>Onsemi</v>
      </c>
      <c r="C8078" s="6">
        <v>4014</v>
      </c>
      <c r="D8078" s="7">
        <v>0.95</v>
      </c>
      <c r="E8078" t="s">
        <v>38</v>
      </c>
    </row>
    <row r="8079" spans="1:5" x14ac:dyDescent="0.25">
      <c r="A8079" t="str">
        <f>HYPERLINK("https://www.773grp.com/globalSearch/MC74F280DR2/page-1", "MC74F280DR2")</f>
        <v>MC74F280DR2</v>
      </c>
      <c r="B8079" s="3" t="str">
        <f>HYPERLINK("https://www.773grp.com/manufacturer/onsemi?pageNo=1338", "Onsemi")</f>
        <v>Onsemi</v>
      </c>
      <c r="C8079" s="6">
        <v>5000</v>
      </c>
      <c r="D8079" s="7">
        <v>0.95</v>
      </c>
      <c r="E8079" t="s">
        <v>38</v>
      </c>
    </row>
    <row r="8080" spans="1:5" x14ac:dyDescent="0.25">
      <c r="A8080" t="str">
        <f>HYPERLINK("https://www.773grp.com/globalSearch/MC74F283N/page-1", "MC74F283N")</f>
        <v>MC74F283N</v>
      </c>
      <c r="B8080" s="3" t="str">
        <f>HYPERLINK("https://www.773grp.com/manufacturer/onsemi?pageNo=1339", "Onsemi")</f>
        <v>Onsemi</v>
      </c>
      <c r="C8080" s="6">
        <v>1025</v>
      </c>
      <c r="D8080" s="7">
        <v>0.95</v>
      </c>
      <c r="E8080" t="s">
        <v>38</v>
      </c>
    </row>
    <row r="8081" spans="1:5" x14ac:dyDescent="0.25">
      <c r="A8081" t="str">
        <f>HYPERLINK("https://www.773grp.com/globalSearch/MC74HC04AD/page-1", "MC74HC04AD")</f>
        <v>MC74HC04AD</v>
      </c>
      <c r="B8081" s="3" t="str">
        <f>HYPERLINK("https://www.773grp.com/manufacturer/onsemi?pageNo=1340", "Onsemi")</f>
        <v>Onsemi</v>
      </c>
      <c r="C8081" s="6">
        <v>43689</v>
      </c>
      <c r="D8081" s="7">
        <v>0.95</v>
      </c>
      <c r="E8081" t="s">
        <v>27</v>
      </c>
    </row>
    <row r="8082" spans="1:5" x14ac:dyDescent="0.25">
      <c r="A8082" t="str">
        <f>HYPERLINK("https://www.773grp.com/globalSearch/MC74HC125AFELG/page-1", "MC74HC125AFELG")</f>
        <v>MC74HC125AFELG</v>
      </c>
      <c r="B8082" s="3" t="str">
        <f>HYPERLINK("https://www.773grp.com/manufacturer/onsemi?pageNo=1341", "Onsemi")</f>
        <v>Onsemi</v>
      </c>
      <c r="C8082" s="6">
        <v>7666</v>
      </c>
      <c r="D8082" s="7">
        <v>0.95</v>
      </c>
      <c r="E8082" t="s">
        <v>11</v>
      </c>
    </row>
    <row r="8083" spans="1:5" x14ac:dyDescent="0.25">
      <c r="A8083" t="str">
        <f>HYPERLINK("https://www.773grp.com/globalSearch/MC74HC125AFG/page-1", "MC74HC125AFG")</f>
        <v>MC74HC125AFG</v>
      </c>
      <c r="B8083" s="3" t="str">
        <f>HYPERLINK("https://www.773grp.com/manufacturer/onsemi?pageNo=1342", "Onsemi")</f>
        <v>Onsemi</v>
      </c>
      <c r="C8083" s="6">
        <v>20870</v>
      </c>
      <c r="D8083" s="7">
        <v>0.95</v>
      </c>
      <c r="E8083" t="s">
        <v>11</v>
      </c>
    </row>
    <row r="8084" spans="1:5" x14ac:dyDescent="0.25">
      <c r="A8084" t="str">
        <f>HYPERLINK("https://www.773grp.com/globalSearch/MC74HC126AFELG/page-1", "MC74HC126AFELG")</f>
        <v>MC74HC126AFELG</v>
      </c>
      <c r="B8084" s="3" t="str">
        <f>HYPERLINK("https://www.773grp.com/manufacturer/onsemi?pageNo=1343", "Onsemi")</f>
        <v>Onsemi</v>
      </c>
      <c r="C8084" s="6">
        <v>2022</v>
      </c>
      <c r="D8084" s="7">
        <v>0.95</v>
      </c>
      <c r="E8084" t="s">
        <v>11</v>
      </c>
    </row>
    <row r="8085" spans="1:5" x14ac:dyDescent="0.25">
      <c r="A8085" t="str">
        <f>HYPERLINK("https://www.773grp.com/globalSearch/MC74HC132AFELG/page-1", "MC74HC132AFELG")</f>
        <v>MC74HC132AFELG</v>
      </c>
      <c r="B8085" s="3" t="str">
        <f>HYPERLINK("https://www.773grp.com/manufacturer/onsemi?pageNo=1344", "Onsemi")</f>
        <v>Onsemi</v>
      </c>
      <c r="C8085" s="6">
        <v>10464</v>
      </c>
      <c r="D8085" s="7">
        <v>0.95</v>
      </c>
      <c r="E8085" t="s">
        <v>27</v>
      </c>
    </row>
    <row r="8086" spans="1:5" x14ac:dyDescent="0.25">
      <c r="A8086" t="str">
        <f>HYPERLINK("https://www.773grp.com/globalSearch/MC74HC138AFG/page-1", "MC74HC138AFG")</f>
        <v>MC74HC138AFG</v>
      </c>
      <c r="B8086" s="3" t="str">
        <f>HYPERLINK("https://www.773grp.com/manufacturer/onsemi?pageNo=1345", "Onsemi")</f>
        <v>Onsemi</v>
      </c>
      <c r="C8086" s="6">
        <v>19754</v>
      </c>
      <c r="D8086" s="7">
        <v>0.95</v>
      </c>
      <c r="E8086" t="s">
        <v>32</v>
      </c>
    </row>
    <row r="8087" spans="1:5" x14ac:dyDescent="0.25">
      <c r="A8087" t="str">
        <f>HYPERLINK("https://www.773grp.com/globalSearch/MC74HC14AN/page-1", "MC74HC14AN")</f>
        <v>MC74HC14AN</v>
      </c>
      <c r="B8087" s="3" t="str">
        <f>HYPERLINK("https://www.773grp.com/manufacturer/onsemi?pageNo=1346", "Onsemi")</f>
        <v>Onsemi</v>
      </c>
      <c r="C8087" s="6">
        <v>22384</v>
      </c>
      <c r="D8087" s="7">
        <v>0.95</v>
      </c>
      <c r="E8087" t="s">
        <v>27</v>
      </c>
    </row>
    <row r="8088" spans="1:5" x14ac:dyDescent="0.25">
      <c r="A8088" t="str">
        <f>HYPERLINK("https://www.773grp.com/globalSearch/MC74HC14ANG/page-1", "MC74HC14ANG")</f>
        <v>MC74HC14ANG</v>
      </c>
      <c r="B8088" s="3" t="str">
        <f>HYPERLINK("https://www.773grp.com/manufacturer/onsemi?pageNo=1347", "Onsemi")</f>
        <v>Onsemi</v>
      </c>
      <c r="C8088" s="6">
        <v>4452</v>
      </c>
      <c r="D8088" s="7">
        <v>0.95</v>
      </c>
      <c r="E8088" t="s">
        <v>27</v>
      </c>
    </row>
    <row r="8089" spans="1:5" x14ac:dyDescent="0.25">
      <c r="A8089" t="str">
        <f>HYPERLINK("https://www.773grp.com/globalSearch/MC74HC164ANG/page-1", "MC74HC164ANG")</f>
        <v>MC74HC164ANG</v>
      </c>
      <c r="B8089" s="3" t="str">
        <f>HYPERLINK("https://www.773grp.com/manufacturer/onsemi?pageNo=1348", "Onsemi")</f>
        <v>Onsemi</v>
      </c>
      <c r="C8089" s="6">
        <v>57522</v>
      </c>
      <c r="D8089" s="7">
        <v>0.95</v>
      </c>
      <c r="E8089" t="s">
        <v>28</v>
      </c>
    </row>
    <row r="8090" spans="1:5" x14ac:dyDescent="0.25">
      <c r="A8090" t="str">
        <f>HYPERLINK("https://www.773grp.com/globalSearch/MC74HC165ANG/page-1", "MC74HC165ANG")</f>
        <v>MC74HC165ANG</v>
      </c>
      <c r="B8090" s="3" t="str">
        <f>HYPERLINK("https://www.773grp.com/manufacturer/onsemi?pageNo=1", "Onsemi")</f>
        <v>Onsemi</v>
      </c>
      <c r="C8090" s="6">
        <v>3578</v>
      </c>
      <c r="D8090" s="7">
        <v>0.95</v>
      </c>
      <c r="E8090" t="s">
        <v>28</v>
      </c>
    </row>
    <row r="8091" spans="1:5" x14ac:dyDescent="0.25">
      <c r="A8091" t="str">
        <f>HYPERLINK("https://www.773grp.com/globalSearch/MC74HC174ANG/page-1", "MC74HC174ANG")</f>
        <v>MC74HC174ANG</v>
      </c>
      <c r="B8091" s="3" t="str">
        <f>HYPERLINK("https://www.773grp.com/manufacturer/onsemi?pageNo=2", "Onsemi")</f>
        <v>Onsemi</v>
      </c>
      <c r="C8091" s="6">
        <v>47227</v>
      </c>
      <c r="D8091" s="7">
        <v>0.95</v>
      </c>
      <c r="E8091" t="s">
        <v>31</v>
      </c>
    </row>
    <row r="8092" spans="1:5" x14ac:dyDescent="0.25">
      <c r="A8092" t="str">
        <f>HYPERLINK("https://www.773grp.com/globalSearch/MC74HC175ANG/page-1", "MC74HC175ANG")</f>
        <v>MC74HC175ANG</v>
      </c>
      <c r="B8092" s="3" t="str">
        <f>HYPERLINK("https://www.773grp.com/manufacturer/onsemi?pageNo=3", "Onsemi")</f>
        <v>Onsemi</v>
      </c>
      <c r="C8092" s="6">
        <v>22559</v>
      </c>
      <c r="D8092" s="7">
        <v>0.95</v>
      </c>
      <c r="E8092" t="s">
        <v>31</v>
      </c>
    </row>
    <row r="8093" spans="1:5" x14ac:dyDescent="0.25">
      <c r="A8093" t="str">
        <f>HYPERLINK("https://www.773grp.com/globalSearch/MC74HC377ADTG/page-1", "MC74HC377ADTG")</f>
        <v>MC74HC377ADTG</v>
      </c>
      <c r="B8093" s="3" t="str">
        <f>HYPERLINK("https://www.773grp.com/manufacturer/onsemi?pageNo=4", "Onsemi")</f>
        <v>Onsemi</v>
      </c>
      <c r="C8093" s="6">
        <v>900</v>
      </c>
      <c r="D8093" s="7">
        <v>0.95</v>
      </c>
    </row>
    <row r="8094" spans="1:5" x14ac:dyDescent="0.25">
      <c r="A8094" t="str">
        <f>HYPERLINK("https://www.773grp.com/globalSearch/MC74HC377ADTR2G/page-1", "MC74HC377ADTR2G")</f>
        <v>MC74HC377ADTR2G</v>
      </c>
      <c r="B8094" s="3" t="str">
        <f>HYPERLINK("https://www.773grp.com/manufacturer/onsemi?pageNo=5", "Onsemi")</f>
        <v>Onsemi</v>
      </c>
      <c r="C8094" s="6">
        <v>10000</v>
      </c>
      <c r="D8094" s="7">
        <v>0.95</v>
      </c>
    </row>
    <row r="8095" spans="1:5" x14ac:dyDescent="0.25">
      <c r="A8095" t="str">
        <f>HYPERLINK("https://www.773grp.com/globalSearch/MC74HC390ANG/page-1", "MC74HC390ANG")</f>
        <v>MC74HC390ANG</v>
      </c>
      <c r="B8095" s="3" t="str">
        <f>HYPERLINK("https://www.773grp.com/manufacturer/onsemi?pageNo=6", "Onsemi")</f>
        <v>Onsemi</v>
      </c>
      <c r="C8095" s="6">
        <v>12969</v>
      </c>
      <c r="D8095" s="7">
        <v>0.95</v>
      </c>
      <c r="E8095" t="s">
        <v>22</v>
      </c>
    </row>
    <row r="8096" spans="1:5" x14ac:dyDescent="0.25">
      <c r="A8096" t="str">
        <f>HYPERLINK("https://www.773grp.com/globalSearch/MC74HC4020ANG/page-1", "MC74HC4020ANG")</f>
        <v>MC74HC4020ANG</v>
      </c>
      <c r="B8096" s="3" t="str">
        <f>HYPERLINK("https://www.773grp.com/manufacturer/onsemi?pageNo=7", "Onsemi")</f>
        <v>Onsemi</v>
      </c>
      <c r="C8096" s="6">
        <v>4081</v>
      </c>
      <c r="D8096" s="7">
        <v>0.95</v>
      </c>
      <c r="E8096" t="s">
        <v>22</v>
      </c>
    </row>
    <row r="8097" spans="1:5" x14ac:dyDescent="0.25">
      <c r="A8097" t="str">
        <f>HYPERLINK("https://www.773grp.com/globalSearch/MC74HC4024N/page-1", "MC74HC4024N")</f>
        <v>MC74HC4024N</v>
      </c>
      <c r="B8097" s="3" t="str">
        <f>HYPERLINK("https://www.773grp.com/manufacturer/onsemi?pageNo=8", "Onsemi")</f>
        <v>Onsemi</v>
      </c>
      <c r="C8097" s="6">
        <v>5</v>
      </c>
      <c r="D8097" s="7">
        <v>0.95</v>
      </c>
      <c r="E8097" t="s">
        <v>22</v>
      </c>
    </row>
    <row r="8098" spans="1:5" x14ac:dyDescent="0.25">
      <c r="A8098" t="str">
        <f>HYPERLINK("https://www.773grp.com/globalSearch/MC74HC4040ANG/page-1", "MC74HC4040ANG")</f>
        <v>MC74HC4040ANG</v>
      </c>
      <c r="B8098" s="3" t="str">
        <f>HYPERLINK("https://www.773grp.com/manufacturer/onsemi?pageNo=9", "Onsemi")</f>
        <v>Onsemi</v>
      </c>
      <c r="C8098" s="6">
        <v>6925</v>
      </c>
      <c r="D8098" s="7">
        <v>0.95</v>
      </c>
      <c r="E8098" t="s">
        <v>22</v>
      </c>
    </row>
    <row r="8099" spans="1:5" x14ac:dyDescent="0.25">
      <c r="A8099" t="str">
        <f>HYPERLINK("https://www.773grp.com/globalSearch/MC74HC4046AD/page-1", "MC74HC4046AD")</f>
        <v>MC74HC4046AD</v>
      </c>
      <c r="B8099" s="3" t="str">
        <f>HYPERLINK("https://www.773grp.com/manufacturer/onsemi?pageNo=10", "Onsemi")</f>
        <v>Onsemi</v>
      </c>
      <c r="C8099" s="6">
        <v>1592</v>
      </c>
      <c r="D8099" s="7">
        <v>0.95</v>
      </c>
      <c r="E8099" t="s">
        <v>34</v>
      </c>
    </row>
    <row r="8100" spans="1:5" x14ac:dyDescent="0.25">
      <c r="A8100" t="str">
        <f>HYPERLINK("https://www.773grp.com/globalSearch/MC74HC4046ADG/page-1", "MC74HC4046ADG")</f>
        <v>MC74HC4046ADG</v>
      </c>
      <c r="B8100" s="3" t="str">
        <f>HYPERLINK("https://www.773grp.com/manufacturer/onsemi?pageNo=11", "Onsemi")</f>
        <v>Onsemi</v>
      </c>
      <c r="C8100" s="6">
        <v>48</v>
      </c>
      <c r="D8100" s="7">
        <v>0.95</v>
      </c>
      <c r="E8100" t="s">
        <v>34</v>
      </c>
    </row>
    <row r="8101" spans="1:5" x14ac:dyDescent="0.25">
      <c r="A8101" t="str">
        <f>HYPERLINK("https://www.773grp.com/globalSearch/MC74HC4046ADR2/page-1", "MC74HC4046ADR2")</f>
        <v>MC74HC4046ADR2</v>
      </c>
      <c r="B8101" s="3" t="str">
        <f>HYPERLINK("https://www.773grp.com/manufacturer/onsemi?pageNo=12", "Onsemi")</f>
        <v>Onsemi</v>
      </c>
      <c r="C8101" s="6">
        <v>1807</v>
      </c>
      <c r="D8101" s="7">
        <v>0.95</v>
      </c>
      <c r="E8101" t="s">
        <v>34</v>
      </c>
    </row>
    <row r="8102" spans="1:5" x14ac:dyDescent="0.25">
      <c r="A8102" t="str">
        <f>HYPERLINK("https://www.773grp.com/globalSearch/MC74HC4046ADR2G/page-1", "MC74HC4046ADR2G")</f>
        <v>MC74HC4046ADR2G</v>
      </c>
      <c r="B8102" s="3" t="str">
        <f>HYPERLINK("https://www.773grp.com/manufacturer/onsemi?pageNo=13", "Onsemi")</f>
        <v>Onsemi</v>
      </c>
      <c r="C8102" s="6">
        <v>25410</v>
      </c>
      <c r="D8102" s="7">
        <v>0.95</v>
      </c>
      <c r="E8102" t="s">
        <v>34</v>
      </c>
    </row>
    <row r="8103" spans="1:5" x14ac:dyDescent="0.25">
      <c r="A8103" t="str">
        <f>HYPERLINK("https://www.773grp.com/globalSearch/MC74HC4051FL1/page-1", "MC74HC4051FL1")</f>
        <v>MC74HC4051FL1</v>
      </c>
      <c r="B8103" s="3" t="str">
        <f>HYPERLINK("https://www.773grp.com/manufacturer/onsemi?pageNo=14", "Onsemi")</f>
        <v>Onsemi</v>
      </c>
      <c r="C8103" s="6">
        <v>4000</v>
      </c>
      <c r="D8103" s="7">
        <v>0.95</v>
      </c>
    </row>
    <row r="8104" spans="1:5" x14ac:dyDescent="0.25">
      <c r="A8104" t="str">
        <f>HYPERLINK("https://www.773grp.com/globalSearch/MC74HC4051FL2/page-1", "MC74HC4051FL2")</f>
        <v>MC74HC4051FL2</v>
      </c>
      <c r="B8104" s="3" t="str">
        <f>HYPERLINK("https://www.773grp.com/manufacturer/onsemi?pageNo=15", "Onsemi")</f>
        <v>Onsemi</v>
      </c>
      <c r="C8104" s="6">
        <v>2000</v>
      </c>
      <c r="D8104" s="7">
        <v>0.95</v>
      </c>
    </row>
    <row r="8105" spans="1:5" x14ac:dyDescent="0.25">
      <c r="A8105" t="str">
        <f>HYPERLINK("https://www.773grp.com/globalSearch/MC74HC4051FR2/page-1", "MC74HC4051FR2")</f>
        <v>MC74HC4051FR2</v>
      </c>
      <c r="B8105" s="3" t="str">
        <f>HYPERLINK("https://www.773grp.com/manufacturer/onsemi?pageNo=16", "Onsemi")</f>
        <v>Onsemi</v>
      </c>
      <c r="C8105" s="6">
        <v>6000</v>
      </c>
      <c r="D8105" s="7">
        <v>0.95</v>
      </c>
    </row>
    <row r="8106" spans="1:5" x14ac:dyDescent="0.25">
      <c r="A8106" t="str">
        <f>HYPERLINK("https://www.773grp.com/globalSearch/MC74HC4052FR1/page-1", "MC74HC4052FR1")</f>
        <v>MC74HC4052FR1</v>
      </c>
      <c r="B8106" s="3" t="str">
        <f>HYPERLINK("https://www.773grp.com/manufacturer/onsemi?pageNo=17", "Onsemi")</f>
        <v>Onsemi</v>
      </c>
      <c r="C8106" s="6">
        <v>14000</v>
      </c>
      <c r="D8106" s="7">
        <v>0.95</v>
      </c>
    </row>
    <row r="8107" spans="1:5" x14ac:dyDescent="0.25">
      <c r="A8107" t="str">
        <f>HYPERLINK("https://www.773grp.com/globalSearch/MC74HC4053AFL1/page-1", "MC74HC4053AFL1")</f>
        <v>MC74HC4053AFL1</v>
      </c>
      <c r="B8107" s="3" t="str">
        <f>HYPERLINK("https://www.773grp.com/manufacturer/onsemi?pageNo=18", "Onsemi")</f>
        <v>Onsemi</v>
      </c>
      <c r="C8107" s="6">
        <v>8000</v>
      </c>
      <c r="D8107" s="7">
        <v>0.95</v>
      </c>
    </row>
    <row r="8108" spans="1:5" x14ac:dyDescent="0.25">
      <c r="A8108" t="str">
        <f>HYPERLINK("https://www.773grp.com/globalSearch/MC74HC4060ANG/page-1", "MC74HC4060ANG")</f>
        <v>MC74HC4060ANG</v>
      </c>
      <c r="B8108" s="3" t="str">
        <f>HYPERLINK("https://www.773grp.com/manufacturer/onsemi?pageNo=19", "Onsemi")</f>
        <v>Onsemi</v>
      </c>
      <c r="C8108" s="6">
        <v>12559</v>
      </c>
      <c r="D8108" s="7">
        <v>0.95</v>
      </c>
      <c r="E8108" t="s">
        <v>22</v>
      </c>
    </row>
    <row r="8109" spans="1:5" x14ac:dyDescent="0.25">
      <c r="A8109" t="str">
        <f>HYPERLINK("https://www.773grp.com/globalSearch/MC74HC4066ANG/page-1", "MC74HC4066ANG")</f>
        <v>MC74HC4066ANG</v>
      </c>
      <c r="B8109" s="3" t="str">
        <f>HYPERLINK("https://www.773grp.com/manufacturer/onsemi?pageNo=20", "Onsemi")</f>
        <v>Onsemi</v>
      </c>
      <c r="C8109" s="6">
        <v>13920</v>
      </c>
      <c r="D8109" s="7">
        <v>0.95</v>
      </c>
      <c r="E8109" t="s">
        <v>46</v>
      </c>
    </row>
    <row r="8110" spans="1:5" x14ac:dyDescent="0.25">
      <c r="A8110" t="str">
        <f>HYPERLINK("https://www.773grp.com/globalSearch/MC74HC42D/page-1", "MC74HC42D")</f>
        <v>MC74HC42D</v>
      </c>
      <c r="B8110" s="3" t="str">
        <f>HYPERLINK("https://www.773grp.com/manufacturer/onsemi?pageNo=21", "Onsemi")</f>
        <v>Onsemi</v>
      </c>
      <c r="C8110" s="6">
        <v>44</v>
      </c>
      <c r="D8110" s="7">
        <v>0.95</v>
      </c>
      <c r="E8110" t="s">
        <v>32</v>
      </c>
    </row>
    <row r="8111" spans="1:5" x14ac:dyDescent="0.25">
      <c r="A8111" t="str">
        <f>HYPERLINK("https://www.773grp.com/globalSearch/MC74HC42F/page-1", "MC74HC42F")</f>
        <v>MC74HC42F</v>
      </c>
      <c r="B8111" s="3" t="str">
        <f>HYPERLINK("https://www.773grp.com/manufacturer/onsemi?pageNo=22", "Onsemi")</f>
        <v>Onsemi</v>
      </c>
      <c r="C8111" s="6">
        <v>750</v>
      </c>
      <c r="D8111" s="7">
        <v>0.95</v>
      </c>
    </row>
    <row r="8112" spans="1:5" x14ac:dyDescent="0.25">
      <c r="A8112" t="str">
        <f>HYPERLINK("https://www.773grp.com/globalSearch/MC74HC42FR1/page-1", "MC74HC42FR1")</f>
        <v>MC74HC42FR1</v>
      </c>
      <c r="B8112" s="3" t="str">
        <f>HYPERLINK("https://www.773grp.com/manufacturer/onsemi?pageNo=23", "Onsemi")</f>
        <v>Onsemi</v>
      </c>
      <c r="C8112" s="6">
        <v>2000</v>
      </c>
      <c r="D8112" s="7">
        <v>0.95</v>
      </c>
    </row>
    <row r="8113" spans="1:5" x14ac:dyDescent="0.25">
      <c r="A8113" t="str">
        <f>HYPERLINK("https://www.773grp.com/globalSearch/MC74HC4316ANG/page-1", "MC74HC4316ANG")</f>
        <v>MC74HC4316ANG</v>
      </c>
      <c r="B8113" s="3" t="str">
        <f>HYPERLINK("https://www.773grp.com/manufacturer/onsemi?pageNo=24", "Onsemi")</f>
        <v>Onsemi</v>
      </c>
      <c r="C8113" s="6">
        <v>5509</v>
      </c>
      <c r="D8113" s="7">
        <v>0.95</v>
      </c>
      <c r="E8113" t="s">
        <v>46</v>
      </c>
    </row>
    <row r="8114" spans="1:5" x14ac:dyDescent="0.25">
      <c r="A8114" t="str">
        <f>HYPERLINK("https://www.773grp.com/globalSearch/MC74HC4316F/page-1", "MC74HC4316F")</f>
        <v>MC74HC4316F</v>
      </c>
      <c r="B8114" s="3" t="str">
        <f>HYPERLINK("https://www.773grp.com/manufacturer/onsemi?pageNo=25", "Onsemi")</f>
        <v>Onsemi</v>
      </c>
      <c r="C8114" s="6">
        <v>1143</v>
      </c>
      <c r="D8114" s="7">
        <v>0.95</v>
      </c>
    </row>
    <row r="8115" spans="1:5" x14ac:dyDescent="0.25">
      <c r="A8115" t="str">
        <f>HYPERLINK("https://www.773grp.com/globalSearch/MC74HC4316FEL/page-1", "MC74HC4316FEL")</f>
        <v>MC74HC4316FEL</v>
      </c>
      <c r="B8115" s="3" t="str">
        <f>HYPERLINK("https://www.773grp.com/manufacturer/onsemi?pageNo=26", "Onsemi")</f>
        <v>Onsemi</v>
      </c>
      <c r="C8115" s="6">
        <v>28000</v>
      </c>
      <c r="D8115" s="7">
        <v>0.95</v>
      </c>
    </row>
    <row r="8116" spans="1:5" x14ac:dyDescent="0.25">
      <c r="A8116" t="str">
        <f>HYPERLINK("https://www.773grp.com/globalSearch/MC74HC540AFL1/page-1", "MC74HC540AFL1")</f>
        <v>MC74HC540AFL1</v>
      </c>
      <c r="B8116" s="3" t="str">
        <f>HYPERLINK("https://www.773grp.com/manufacturer/onsemi?pageNo=27", "Onsemi")</f>
        <v>Onsemi</v>
      </c>
      <c r="C8116" s="6">
        <v>1000</v>
      </c>
      <c r="D8116" s="7">
        <v>0.95</v>
      </c>
    </row>
    <row r="8117" spans="1:5" x14ac:dyDescent="0.25">
      <c r="A8117" t="str">
        <f>HYPERLINK("https://www.773grp.com/globalSearch/MC74HC541AFL1/page-1", "MC74HC541AFL1")</f>
        <v>MC74HC541AFL1</v>
      </c>
      <c r="B8117" s="3" t="str">
        <f>HYPERLINK("https://www.773grp.com/manufacturer/onsemi?pageNo=28", "Onsemi")</f>
        <v>Onsemi</v>
      </c>
      <c r="C8117" s="6">
        <v>6000</v>
      </c>
      <c r="D8117" s="7">
        <v>0.95</v>
      </c>
    </row>
    <row r="8118" spans="1:5" x14ac:dyDescent="0.25">
      <c r="A8118" t="str">
        <f>HYPERLINK("https://www.773grp.com/globalSearch/MC74HC541AFR1/page-1", "MC74HC541AFR1")</f>
        <v>MC74HC541AFR1</v>
      </c>
      <c r="B8118" s="3" t="str">
        <f>HYPERLINK("https://www.773grp.com/manufacturer/onsemi?pageNo=29", "Onsemi")</f>
        <v>Onsemi</v>
      </c>
      <c r="C8118" s="6">
        <v>8000</v>
      </c>
      <c r="D8118" s="7">
        <v>0.95</v>
      </c>
    </row>
    <row r="8119" spans="1:5" x14ac:dyDescent="0.25">
      <c r="A8119" t="str">
        <f>HYPERLINK("https://www.773grp.com/globalSearch/MC74HC58N/page-1", "MC74HC58N")</f>
        <v>MC74HC58N</v>
      </c>
      <c r="B8119" s="3" t="str">
        <f>HYPERLINK("https://www.773grp.com/manufacturer/onsemi?pageNo=30", "Onsemi")</f>
        <v>Onsemi</v>
      </c>
      <c r="C8119" s="6">
        <v>11841</v>
      </c>
      <c r="D8119" s="7">
        <v>0.95</v>
      </c>
      <c r="E8119" t="s">
        <v>27</v>
      </c>
    </row>
    <row r="8120" spans="1:5" x14ac:dyDescent="0.25">
      <c r="A8120" t="str">
        <f>HYPERLINK("https://www.773grp.com/globalSearch/MC74HC595AFL1/page-1", "MC74HC595AFL1")</f>
        <v>MC74HC595AFL1</v>
      </c>
      <c r="B8120" s="3" t="str">
        <f>HYPERLINK("https://www.773grp.com/manufacturer/onsemi?pageNo=31", "Onsemi")</f>
        <v>Onsemi</v>
      </c>
      <c r="C8120" s="6">
        <v>10950</v>
      </c>
      <c r="D8120" s="7">
        <v>0.95</v>
      </c>
    </row>
    <row r="8121" spans="1:5" x14ac:dyDescent="0.25">
      <c r="A8121" t="str">
        <f>HYPERLINK("https://www.773grp.com/globalSearch/MC74HC595AFL2/page-1", "MC74HC595AFL2")</f>
        <v>MC74HC595AFL2</v>
      </c>
      <c r="B8121" s="3" t="str">
        <f>HYPERLINK("https://www.773grp.com/manufacturer/onsemi?pageNo=32", "Onsemi")</f>
        <v>Onsemi</v>
      </c>
      <c r="C8121" s="6">
        <v>8000</v>
      </c>
      <c r="D8121" s="7">
        <v>0.95</v>
      </c>
    </row>
    <row r="8122" spans="1:5" x14ac:dyDescent="0.25">
      <c r="A8122" t="str">
        <f>HYPERLINK("https://www.773grp.com/globalSearch/MC74HC595AFR1/page-1", "MC74HC595AFR1")</f>
        <v>MC74HC595AFR1</v>
      </c>
      <c r="B8122" s="3" t="str">
        <f>HYPERLINK("https://www.773grp.com/manufacturer/onsemi?pageNo=33", "Onsemi")</f>
        <v>Onsemi</v>
      </c>
      <c r="C8122" s="6">
        <v>1000</v>
      </c>
      <c r="D8122" s="7">
        <v>0.95</v>
      </c>
    </row>
    <row r="8123" spans="1:5" x14ac:dyDescent="0.25">
      <c r="A8123" t="str">
        <f>HYPERLINK("https://www.773grp.com/globalSearch/MC74HC74AFEL/page-1", "MC74HC74AFEL")</f>
        <v>MC74HC74AFEL</v>
      </c>
      <c r="B8123" s="3" t="str">
        <f>HYPERLINK("https://www.773grp.com/manufacturer/onsemi?pageNo=34", "Onsemi")</f>
        <v>Onsemi</v>
      </c>
      <c r="C8123" s="6">
        <v>2323</v>
      </c>
      <c r="D8123" s="7">
        <v>0.95</v>
      </c>
      <c r="E8123" t="s">
        <v>31</v>
      </c>
    </row>
    <row r="8124" spans="1:5" x14ac:dyDescent="0.25">
      <c r="A8124" t="str">
        <f>HYPERLINK("https://www.773grp.com/globalSearch/MC74HC74AN/page-1", "MC74HC74AN")</f>
        <v>MC74HC74AN</v>
      </c>
      <c r="B8124" s="3" t="str">
        <f>HYPERLINK("https://www.773grp.com/manufacturer/onsemi?pageNo=35", "Onsemi")</f>
        <v>Onsemi</v>
      </c>
      <c r="C8124" s="6">
        <v>35275</v>
      </c>
      <c r="D8124" s="7">
        <v>0.95</v>
      </c>
      <c r="E8124" t="s">
        <v>31</v>
      </c>
    </row>
    <row r="8125" spans="1:5" x14ac:dyDescent="0.25">
      <c r="A8125" t="str">
        <f>HYPERLINK("https://www.773grp.com/globalSearch/MC74HC74ANG/page-1", "MC74HC74ANG")</f>
        <v>MC74HC74ANG</v>
      </c>
      <c r="B8125" s="3" t="str">
        <f>HYPERLINK("https://www.773grp.com/manufacturer/onsemi?pageNo=36", "Onsemi")</f>
        <v>Onsemi</v>
      </c>
      <c r="C8125" s="6">
        <v>4795</v>
      </c>
      <c r="D8125" s="7">
        <v>0.95</v>
      </c>
      <c r="E8125" t="s">
        <v>31</v>
      </c>
    </row>
    <row r="8126" spans="1:5" x14ac:dyDescent="0.25">
      <c r="A8126" t="str">
        <f>HYPERLINK("https://www.773grp.com/globalSearch/MC74HCT14ANG/page-1", "MC74HCT14ANG")</f>
        <v>MC74HCT14ANG</v>
      </c>
      <c r="B8126" s="3" t="str">
        <f>HYPERLINK("https://www.773grp.com/manufacturer/onsemi?pageNo=37", "Onsemi")</f>
        <v>Onsemi</v>
      </c>
      <c r="C8126" s="6">
        <v>17579</v>
      </c>
      <c r="D8126" s="7">
        <v>0.95</v>
      </c>
      <c r="E8126" t="s">
        <v>27</v>
      </c>
    </row>
    <row r="8127" spans="1:5" x14ac:dyDescent="0.25">
      <c r="A8127" t="str">
        <f>HYPERLINK("https://www.773grp.com/globalSearch/MC74HCT161ADR2/page-1", "MC74HCT161ADR2")</f>
        <v>MC74HCT161ADR2</v>
      </c>
      <c r="B8127" s="3" t="str">
        <f>HYPERLINK("https://www.773grp.com/manufacturer/onsemi?pageNo=38", "Onsemi")</f>
        <v>Onsemi</v>
      </c>
      <c r="C8127" s="6">
        <v>1920</v>
      </c>
      <c r="D8127" s="7">
        <v>0.95</v>
      </c>
      <c r="E8127" t="s">
        <v>22</v>
      </c>
    </row>
    <row r="8128" spans="1:5" x14ac:dyDescent="0.25">
      <c r="A8128" t="str">
        <f>HYPERLINK("https://www.773grp.com/globalSearch/MC74HCT163AD/page-1", "MC74HCT163AD")</f>
        <v>MC74HCT163AD</v>
      </c>
      <c r="B8128" s="3" t="str">
        <f>HYPERLINK("https://www.773grp.com/manufacturer/onsemi?pageNo=39", "Onsemi")</f>
        <v>Onsemi</v>
      </c>
      <c r="C8128" s="6">
        <v>2969</v>
      </c>
      <c r="D8128" s="7">
        <v>0.95</v>
      </c>
      <c r="E8128" t="s">
        <v>22</v>
      </c>
    </row>
    <row r="8129" spans="1:5" x14ac:dyDescent="0.25">
      <c r="A8129" t="str">
        <f>HYPERLINK("https://www.773grp.com/globalSearch/MC74HCT163ADR2/page-1", "MC74HCT163ADR2")</f>
        <v>MC74HCT163ADR2</v>
      </c>
      <c r="B8129" s="3" t="str">
        <f>HYPERLINK("https://www.773grp.com/manufacturer/onsemi?pageNo=40", "Onsemi")</f>
        <v>Onsemi</v>
      </c>
      <c r="C8129" s="6">
        <v>10000</v>
      </c>
      <c r="D8129" s="7">
        <v>0.95</v>
      </c>
      <c r="E8129" t="s">
        <v>22</v>
      </c>
    </row>
    <row r="8130" spans="1:5" x14ac:dyDescent="0.25">
      <c r="A8130" t="str">
        <f>HYPERLINK("https://www.773grp.com/globalSearch/MC74HCT244AFEL/page-1", "MC74HCT244AFEL")</f>
        <v>MC74HCT244AFEL</v>
      </c>
      <c r="B8130" s="3" t="str">
        <f>HYPERLINK("https://www.773grp.com/manufacturer/onsemi?pageNo=41", "Onsemi")</f>
        <v>Onsemi</v>
      </c>
      <c r="C8130" s="6">
        <v>2000</v>
      </c>
      <c r="D8130" s="7">
        <v>0.95</v>
      </c>
      <c r="E8130" t="s">
        <v>11</v>
      </c>
    </row>
    <row r="8131" spans="1:5" x14ac:dyDescent="0.25">
      <c r="A8131" t="str">
        <f>HYPERLINK("https://www.773grp.com/globalSearch/MC74HCT74ANG/page-1", "MC74HCT74ANG")</f>
        <v>MC74HCT74ANG</v>
      </c>
      <c r="B8131" s="3" t="str">
        <f>HYPERLINK("https://www.773grp.com/manufacturer/onsemi?pageNo=42", "Onsemi")</f>
        <v>Onsemi</v>
      </c>
      <c r="C8131" s="6">
        <v>176092</v>
      </c>
      <c r="D8131" s="7">
        <v>0.95</v>
      </c>
      <c r="E8131" t="s">
        <v>31</v>
      </c>
    </row>
    <row r="8132" spans="1:5" x14ac:dyDescent="0.25">
      <c r="A8132" t="str">
        <f>HYPERLINK("https://www.773grp.com/globalSearch/MC74LCX00MELG/page-1", "MC74LCX00MELG")</f>
        <v>MC74LCX00MELG</v>
      </c>
      <c r="B8132" s="3" t="str">
        <f>HYPERLINK("https://www.773grp.com/manufacturer/onsemi?pageNo=43", "Onsemi")</f>
        <v>Onsemi</v>
      </c>
      <c r="C8132" s="6">
        <v>18000</v>
      </c>
      <c r="D8132" s="7">
        <v>0.95</v>
      </c>
      <c r="E8132" t="s">
        <v>27</v>
      </c>
    </row>
    <row r="8133" spans="1:5" x14ac:dyDescent="0.25">
      <c r="A8133" t="str">
        <f>HYPERLINK("https://www.773grp.com/globalSearch/MC74LCX04MELG/page-1", "MC74LCX04MELG")</f>
        <v>MC74LCX04MELG</v>
      </c>
      <c r="B8133" s="3" t="str">
        <f>HYPERLINK("https://www.773grp.com/manufacturer/onsemi?pageNo=44", "Onsemi")</f>
        <v>Onsemi</v>
      </c>
      <c r="C8133" s="6">
        <v>48210</v>
      </c>
      <c r="D8133" s="7">
        <v>0.95</v>
      </c>
      <c r="E8133" t="s">
        <v>27</v>
      </c>
    </row>
    <row r="8134" spans="1:5" x14ac:dyDescent="0.25">
      <c r="A8134" t="str">
        <f>HYPERLINK("https://www.773grp.com/globalSearch/MC74LCX07MELG/page-1", "MC74LCX07MELG")</f>
        <v>MC74LCX07MELG</v>
      </c>
      <c r="B8134" s="3" t="str">
        <f>HYPERLINK("https://www.773grp.com/manufacturer/onsemi?pageNo=45", "Onsemi")</f>
        <v>Onsemi</v>
      </c>
      <c r="C8134" s="6">
        <v>56510</v>
      </c>
      <c r="D8134" s="7">
        <v>0.95</v>
      </c>
      <c r="E8134" t="s">
        <v>27</v>
      </c>
    </row>
    <row r="8135" spans="1:5" x14ac:dyDescent="0.25">
      <c r="A8135" t="str">
        <f>HYPERLINK("https://www.773grp.com/globalSearch/MC74LCX07MG/page-1", "MC74LCX07MG")</f>
        <v>MC74LCX07MG</v>
      </c>
      <c r="B8135" s="3" t="str">
        <f>HYPERLINK("https://www.773grp.com/manufacturer/onsemi?pageNo=46", "Onsemi")</f>
        <v>Onsemi</v>
      </c>
      <c r="C8135" s="6">
        <v>27900</v>
      </c>
      <c r="D8135" s="7">
        <v>0.95</v>
      </c>
      <c r="E8135" t="s">
        <v>27</v>
      </c>
    </row>
    <row r="8136" spans="1:5" x14ac:dyDescent="0.25">
      <c r="A8136" t="str">
        <f>HYPERLINK("https://www.773grp.com/globalSearch/MC74LCX08MELG/page-1", "MC74LCX08MELG")</f>
        <v>MC74LCX08MELG</v>
      </c>
      <c r="B8136" s="3" t="str">
        <f>HYPERLINK("https://www.773grp.com/manufacturer/onsemi?pageNo=47", "Onsemi")</f>
        <v>Onsemi</v>
      </c>
      <c r="C8136" s="6">
        <v>18500</v>
      </c>
      <c r="D8136" s="7">
        <v>0.95</v>
      </c>
      <c r="E8136" t="s">
        <v>27</v>
      </c>
    </row>
    <row r="8137" spans="1:5" x14ac:dyDescent="0.25">
      <c r="A8137" t="str">
        <f>HYPERLINK("https://www.773grp.com/globalSearch/MC74LCX125DG/page-1", "MC74LCX125DG")</f>
        <v>MC74LCX125DG</v>
      </c>
      <c r="B8137" s="3" t="str">
        <f>HYPERLINK("https://www.773grp.com/manufacturer/onsemi?pageNo=48", "Onsemi")</f>
        <v>Onsemi</v>
      </c>
      <c r="C8137" s="6">
        <v>17874</v>
      </c>
      <c r="D8137" s="7">
        <v>0.95</v>
      </c>
      <c r="E8137" t="s">
        <v>11</v>
      </c>
    </row>
    <row r="8138" spans="1:5" x14ac:dyDescent="0.25">
      <c r="A8138" t="str">
        <f>HYPERLINK("https://www.773grp.com/globalSearch/MC74LCX125DR2G/page-1", "MC74LCX125DR2G")</f>
        <v>MC74LCX125DR2G</v>
      </c>
      <c r="B8138" s="3" t="str">
        <f>HYPERLINK("https://www.773grp.com/manufacturer/onsemi?pageNo=49", "Onsemi")</f>
        <v>Onsemi</v>
      </c>
      <c r="C8138" s="6">
        <v>58635</v>
      </c>
      <c r="D8138" s="7">
        <v>0.95</v>
      </c>
      <c r="E8138" t="s">
        <v>11</v>
      </c>
    </row>
    <row r="8139" spans="1:5" x14ac:dyDescent="0.25">
      <c r="A8139" t="str">
        <f>HYPERLINK("https://www.773grp.com/globalSearch/MC74LCX125DTG/page-1", "MC74LCX125DTG")</f>
        <v>MC74LCX125DTG</v>
      </c>
      <c r="B8139" s="3" t="str">
        <f>HYPERLINK("https://www.773grp.com/manufacturer/onsemi?pageNo=50", "Onsemi")</f>
        <v>Onsemi</v>
      </c>
      <c r="C8139" s="6">
        <v>11751</v>
      </c>
      <c r="D8139" s="7">
        <v>0.95</v>
      </c>
      <c r="E8139" t="s">
        <v>11</v>
      </c>
    </row>
    <row r="8140" spans="1:5" x14ac:dyDescent="0.25">
      <c r="A8140" t="str">
        <f>HYPERLINK("https://www.773grp.com/globalSearch/MC74LCX125DTR2G/page-1", "MC74LCX125DTR2G")</f>
        <v>MC74LCX125DTR2G</v>
      </c>
      <c r="B8140" s="3" t="str">
        <f>HYPERLINK("https://www.773grp.com/manufacturer/onsemi?pageNo=51", "Onsemi")</f>
        <v>Onsemi</v>
      </c>
      <c r="C8140" s="6">
        <v>7308</v>
      </c>
      <c r="D8140" s="7">
        <v>0.95</v>
      </c>
      <c r="E8140" t="s">
        <v>11</v>
      </c>
    </row>
    <row r="8141" spans="1:5" x14ac:dyDescent="0.25">
      <c r="A8141" t="str">
        <f>HYPERLINK("https://www.773grp.com/globalSearch/MC74LCX138DR2/page-1", "MC74LCX138DR2")</f>
        <v>MC74LCX138DR2</v>
      </c>
      <c r="B8141" s="3" t="str">
        <f>HYPERLINK("https://www.773grp.com/manufacturer/onsemi?pageNo=52", "Onsemi")</f>
        <v>Onsemi</v>
      </c>
      <c r="C8141" s="6">
        <v>468</v>
      </c>
      <c r="D8141" s="7">
        <v>0.95</v>
      </c>
      <c r="E8141" t="s">
        <v>32</v>
      </c>
    </row>
    <row r="8142" spans="1:5" x14ac:dyDescent="0.25">
      <c r="A8142" t="str">
        <f>HYPERLINK("https://www.773grp.com/globalSearch/MC74LCX138DR2G/page-1", "MC74LCX138DR2G")</f>
        <v>MC74LCX138DR2G</v>
      </c>
      <c r="B8142" s="3" t="str">
        <f>HYPERLINK("https://www.773grp.com/manufacturer/onsemi?pageNo=53", "Onsemi")</f>
        <v>Onsemi</v>
      </c>
      <c r="C8142" s="6">
        <v>11807</v>
      </c>
      <c r="D8142" s="7">
        <v>0.95</v>
      </c>
      <c r="E8142" t="s">
        <v>32</v>
      </c>
    </row>
    <row r="8143" spans="1:5" x14ac:dyDescent="0.25">
      <c r="A8143" t="str">
        <f>HYPERLINK("https://www.773grp.com/globalSearch/MC74LCX138DTG/page-1", "MC74LCX138DTG")</f>
        <v>MC74LCX138DTG</v>
      </c>
      <c r="B8143" s="3" t="str">
        <f>HYPERLINK("https://www.773grp.com/manufacturer/onsemi?pageNo=54", "Onsemi")</f>
        <v>Onsemi</v>
      </c>
      <c r="C8143" s="6">
        <v>14744</v>
      </c>
      <c r="D8143" s="7">
        <v>0.95</v>
      </c>
      <c r="E8143" t="s">
        <v>32</v>
      </c>
    </row>
    <row r="8144" spans="1:5" x14ac:dyDescent="0.25">
      <c r="A8144" t="str">
        <f>HYPERLINK("https://www.773grp.com/globalSearch/MC74LCX138DTR2G/page-1", "MC74LCX138DTR2G")</f>
        <v>MC74LCX138DTR2G</v>
      </c>
      <c r="B8144" s="3" t="str">
        <f>HYPERLINK("https://www.773grp.com/manufacturer/onsemi?pageNo=55", "Onsemi")</f>
        <v>Onsemi</v>
      </c>
      <c r="C8144" s="6">
        <v>43708</v>
      </c>
      <c r="D8144" s="7">
        <v>0.95</v>
      </c>
      <c r="E8144" t="s">
        <v>32</v>
      </c>
    </row>
    <row r="8145" spans="1:5" x14ac:dyDescent="0.25">
      <c r="A8145" t="str">
        <f>HYPERLINK("https://www.773grp.com/globalSearch/MC74LCX139DR2G/page-1", "MC74LCX139DR2G")</f>
        <v>MC74LCX139DR2G</v>
      </c>
      <c r="B8145" s="3" t="str">
        <f>HYPERLINK("https://www.773grp.com/manufacturer/onsemi?pageNo=56", "Onsemi")</f>
        <v>Onsemi</v>
      </c>
      <c r="C8145" s="6">
        <v>14530</v>
      </c>
      <c r="D8145" s="7">
        <v>0.95</v>
      </c>
      <c r="E8145" t="s">
        <v>32</v>
      </c>
    </row>
    <row r="8146" spans="1:5" x14ac:dyDescent="0.25">
      <c r="A8146" t="str">
        <f>HYPERLINK("https://www.773grp.com/globalSearch/MC74LCX139DTG/page-1", "MC74LCX139DTG")</f>
        <v>MC74LCX139DTG</v>
      </c>
      <c r="B8146" s="3" t="str">
        <f>HYPERLINK("https://www.773grp.com/manufacturer/onsemi?pageNo=57", "Onsemi")</f>
        <v>Onsemi</v>
      </c>
      <c r="C8146" s="6">
        <v>3072</v>
      </c>
      <c r="D8146" s="7">
        <v>0.95</v>
      </c>
      <c r="E8146" t="s">
        <v>32</v>
      </c>
    </row>
    <row r="8147" spans="1:5" x14ac:dyDescent="0.25">
      <c r="A8147" t="str">
        <f>HYPERLINK("https://www.773grp.com/globalSearch/MC74LCX139DTR2G/page-1", "MC74LCX139DTR2G")</f>
        <v>MC74LCX139DTR2G</v>
      </c>
      <c r="B8147" s="3" t="str">
        <f>HYPERLINK("https://www.773grp.com/manufacturer/onsemi?pageNo=58", "Onsemi")</f>
        <v>Onsemi</v>
      </c>
      <c r="C8147" s="6">
        <v>5000</v>
      </c>
      <c r="D8147" s="7">
        <v>0.95</v>
      </c>
      <c r="E8147" t="s">
        <v>32</v>
      </c>
    </row>
    <row r="8148" spans="1:5" x14ac:dyDescent="0.25">
      <c r="A8148" t="str">
        <f>HYPERLINK("https://www.773grp.com/globalSearch/MC74LCX14MELG/page-1", "MC74LCX14MELG")</f>
        <v>MC74LCX14MELG</v>
      </c>
      <c r="B8148" s="3" t="str">
        <f>HYPERLINK("https://www.773grp.com/manufacturer/onsemi?pageNo=59", "Onsemi")</f>
        <v>Onsemi</v>
      </c>
      <c r="C8148" s="6">
        <v>28000</v>
      </c>
      <c r="D8148" s="7">
        <v>0.95</v>
      </c>
      <c r="E8148" t="s">
        <v>27</v>
      </c>
    </row>
    <row r="8149" spans="1:5" x14ac:dyDescent="0.25">
      <c r="A8149" t="str">
        <f>HYPERLINK("https://www.773grp.com/globalSearch/MC74LCX14MG/page-1", "MC74LCX14MG")</f>
        <v>MC74LCX14MG</v>
      </c>
      <c r="B8149" s="3" t="str">
        <f>HYPERLINK("https://www.773grp.com/manufacturer/onsemi?pageNo=60", "Onsemi")</f>
        <v>Onsemi</v>
      </c>
      <c r="C8149" s="6">
        <v>350</v>
      </c>
      <c r="D8149" s="7">
        <v>0.95</v>
      </c>
      <c r="E8149" t="s">
        <v>27</v>
      </c>
    </row>
    <row r="8150" spans="1:5" x14ac:dyDescent="0.25">
      <c r="A8150" t="str">
        <f>HYPERLINK("https://www.773grp.com/globalSearch/MC74LCX157DR2G/page-1", "MC74LCX157DR2G")</f>
        <v>MC74LCX157DR2G</v>
      </c>
      <c r="B8150" s="3" t="str">
        <f>HYPERLINK("https://www.773grp.com/manufacturer/onsemi?pageNo=61", "Onsemi")</f>
        <v>Onsemi</v>
      </c>
      <c r="C8150" s="6">
        <v>28495</v>
      </c>
      <c r="D8150" s="7">
        <v>0.95</v>
      </c>
      <c r="E8150" t="s">
        <v>16</v>
      </c>
    </row>
    <row r="8151" spans="1:5" x14ac:dyDescent="0.25">
      <c r="A8151" t="str">
        <f>HYPERLINK("https://www.773grp.com/globalSearch/MC74LCX157DTG/page-1", "MC74LCX157DTG")</f>
        <v>MC74LCX157DTG</v>
      </c>
      <c r="B8151" s="3" t="str">
        <f>HYPERLINK("https://www.773grp.com/manufacturer/onsemi?pageNo=62", "Onsemi")</f>
        <v>Onsemi</v>
      </c>
      <c r="C8151" s="6">
        <v>47108</v>
      </c>
      <c r="D8151" s="7">
        <v>0.95</v>
      </c>
      <c r="E8151" t="s">
        <v>16</v>
      </c>
    </row>
    <row r="8152" spans="1:5" x14ac:dyDescent="0.25">
      <c r="A8152" t="str">
        <f>HYPERLINK("https://www.773grp.com/globalSearch/MC74LCX157DTR2/page-1", "MC74LCX157DTR2")</f>
        <v>MC74LCX157DTR2</v>
      </c>
      <c r="B8152" s="3" t="str">
        <f>HYPERLINK("https://www.773grp.com/manufacturer/onsemi?pageNo=63", "Onsemi")</f>
        <v>Onsemi</v>
      </c>
      <c r="C8152" s="6">
        <v>40000</v>
      </c>
      <c r="D8152" s="7">
        <v>0.95</v>
      </c>
      <c r="E8152" t="s">
        <v>16</v>
      </c>
    </row>
    <row r="8153" spans="1:5" x14ac:dyDescent="0.25">
      <c r="A8153" t="str">
        <f>HYPERLINK("https://www.773grp.com/globalSearch/MC74LCX157DTR2G/page-1", "MC74LCX157DTR2G")</f>
        <v>MC74LCX157DTR2G</v>
      </c>
      <c r="B8153" s="3" t="str">
        <f>HYPERLINK("https://www.773grp.com/manufacturer/onsemi?pageNo=64", "Onsemi")</f>
        <v>Onsemi</v>
      </c>
      <c r="C8153" s="6">
        <v>345598</v>
      </c>
      <c r="D8153" s="7">
        <v>0.95</v>
      </c>
      <c r="E8153" t="s">
        <v>16</v>
      </c>
    </row>
    <row r="8154" spans="1:5" x14ac:dyDescent="0.25">
      <c r="A8154" t="str">
        <f>HYPERLINK("https://www.773grp.com/globalSearch/MC74LCX158DG/page-1", "MC74LCX158DG")</f>
        <v>MC74LCX158DG</v>
      </c>
      <c r="B8154" s="3" t="str">
        <f>HYPERLINK("https://www.773grp.com/manufacturer/onsemi?pageNo=65", "Onsemi")</f>
        <v>Onsemi</v>
      </c>
      <c r="C8154" s="6">
        <v>19984</v>
      </c>
      <c r="D8154" s="7">
        <v>0.95</v>
      </c>
      <c r="E8154" t="s">
        <v>16</v>
      </c>
    </row>
    <row r="8155" spans="1:5" x14ac:dyDescent="0.25">
      <c r="A8155" t="str">
        <f>HYPERLINK("https://www.773grp.com/globalSearch/MC74LCX158DTG/page-1", "MC74LCX158DTG")</f>
        <v>MC74LCX158DTG</v>
      </c>
      <c r="B8155" s="3" t="str">
        <f>HYPERLINK("https://www.773grp.com/manufacturer/onsemi?pageNo=66", "Onsemi")</f>
        <v>Onsemi</v>
      </c>
      <c r="C8155" s="6">
        <v>1016</v>
      </c>
      <c r="D8155" s="7">
        <v>0.95</v>
      </c>
      <c r="E8155" t="s">
        <v>16</v>
      </c>
    </row>
    <row r="8156" spans="1:5" x14ac:dyDescent="0.25">
      <c r="A8156" t="str">
        <f>HYPERLINK("https://www.773grp.com/globalSearch/MC74LCX240M/page-1", "MC74LCX240M")</f>
        <v>MC74LCX240M</v>
      </c>
      <c r="B8156" s="3" t="str">
        <f>HYPERLINK("https://www.773grp.com/manufacturer/onsemi?pageNo=67", "Onsemi")</f>
        <v>Onsemi</v>
      </c>
      <c r="C8156" s="6">
        <v>7680</v>
      </c>
      <c r="D8156" s="7">
        <v>0.95</v>
      </c>
      <c r="E8156" t="s">
        <v>11</v>
      </c>
    </row>
    <row r="8157" spans="1:5" x14ac:dyDescent="0.25">
      <c r="A8157" t="str">
        <f>HYPERLINK("https://www.773grp.com/globalSearch/MC74LCX240SD/page-1", "MC74LCX240SD")</f>
        <v>MC74LCX240SD</v>
      </c>
      <c r="B8157" s="3" t="str">
        <f>HYPERLINK("https://www.773grp.com/manufacturer/onsemi?pageNo=68", "Onsemi")</f>
        <v>Onsemi</v>
      </c>
      <c r="C8157" s="6">
        <v>270</v>
      </c>
      <c r="D8157" s="7">
        <v>0.95</v>
      </c>
      <c r="E8157" t="s">
        <v>11</v>
      </c>
    </row>
    <row r="8158" spans="1:5" x14ac:dyDescent="0.25">
      <c r="A8158" t="str">
        <f>HYPERLINK("https://www.773grp.com/globalSearch/MC74LCX244DTEL/page-1", "MC74LCX244DTEL")</f>
        <v>MC74LCX244DTEL</v>
      </c>
      <c r="B8158" s="3" t="str">
        <f>HYPERLINK("https://www.773grp.com/manufacturer/onsemi?pageNo=69", "Onsemi")</f>
        <v>Onsemi</v>
      </c>
      <c r="C8158" s="6">
        <v>12000</v>
      </c>
      <c r="D8158" s="7">
        <v>0.95</v>
      </c>
      <c r="E8158" t="s">
        <v>11</v>
      </c>
    </row>
    <row r="8159" spans="1:5" x14ac:dyDescent="0.25">
      <c r="A8159" t="str">
        <f>HYPERLINK("https://www.773grp.com/globalSearch/MC74LCX257DR2G/page-1", "MC74LCX257DR2G")</f>
        <v>MC74LCX257DR2G</v>
      </c>
      <c r="B8159" s="3" t="str">
        <f>HYPERLINK("https://www.773grp.com/manufacturer/onsemi?pageNo=70", "Onsemi")</f>
        <v>Onsemi</v>
      </c>
      <c r="C8159" s="6">
        <v>288965</v>
      </c>
      <c r="D8159" s="7">
        <v>0.95</v>
      </c>
      <c r="E8159" t="s">
        <v>16</v>
      </c>
    </row>
    <row r="8160" spans="1:5" x14ac:dyDescent="0.25">
      <c r="A8160" t="str">
        <f>HYPERLINK("https://www.773grp.com/globalSearch/MC74LCX257DTG/page-1", "MC74LCX257DTG")</f>
        <v>MC74LCX257DTG</v>
      </c>
      <c r="B8160" s="3" t="str">
        <f>HYPERLINK("https://www.773grp.com/manufacturer/onsemi?pageNo=71", "Onsemi")</f>
        <v>Onsemi</v>
      </c>
      <c r="C8160" s="6">
        <v>18254</v>
      </c>
      <c r="D8160" s="7">
        <v>0.95</v>
      </c>
      <c r="E8160" t="s">
        <v>16</v>
      </c>
    </row>
    <row r="8161" spans="1:5" x14ac:dyDescent="0.25">
      <c r="A8161" t="str">
        <f>HYPERLINK("https://www.773grp.com/globalSearch/MC74LCX257DTR2/page-1", "MC74LCX257DTR2")</f>
        <v>MC74LCX257DTR2</v>
      </c>
      <c r="B8161" s="3" t="str">
        <f>HYPERLINK("https://www.773grp.com/manufacturer/onsemi?pageNo=72", "Onsemi")</f>
        <v>Onsemi</v>
      </c>
      <c r="C8161" s="6">
        <v>2500</v>
      </c>
      <c r="D8161" s="7">
        <v>0.95</v>
      </c>
      <c r="E8161" t="s">
        <v>16</v>
      </c>
    </row>
    <row r="8162" spans="1:5" x14ac:dyDescent="0.25">
      <c r="A8162" t="str">
        <f>HYPERLINK("https://www.773grp.com/globalSearch/MC74LCX257DTR2G/page-1", "MC74LCX257DTR2G")</f>
        <v>MC74LCX257DTR2G</v>
      </c>
      <c r="B8162" s="3" t="str">
        <f>HYPERLINK("https://www.773grp.com/manufacturer/onsemi?pageNo=73", "Onsemi")</f>
        <v>Onsemi</v>
      </c>
      <c r="C8162" s="6">
        <v>49078</v>
      </c>
      <c r="D8162" s="7">
        <v>0.95</v>
      </c>
      <c r="E8162" t="s">
        <v>16</v>
      </c>
    </row>
    <row r="8163" spans="1:5" x14ac:dyDescent="0.25">
      <c r="A8163" t="str">
        <f>HYPERLINK("https://www.773grp.com/globalSearch/MC74LCX32MELG/page-1", "MC74LCX32MELG")</f>
        <v>MC74LCX32MELG</v>
      </c>
      <c r="B8163" s="3" t="str">
        <f>HYPERLINK("https://www.773grp.com/manufacturer/onsemi?pageNo=74", "Onsemi")</f>
        <v>Onsemi</v>
      </c>
      <c r="C8163" s="6">
        <v>22000</v>
      </c>
      <c r="D8163" s="7">
        <v>0.95</v>
      </c>
      <c r="E8163" t="s">
        <v>27</v>
      </c>
    </row>
    <row r="8164" spans="1:5" x14ac:dyDescent="0.25">
      <c r="A8164" t="str">
        <f>HYPERLINK("https://www.773grp.com/globalSearch/MC74LCX374M/page-1", "MC74LCX374M")</f>
        <v>MC74LCX374M</v>
      </c>
      <c r="B8164" s="3" t="str">
        <f>HYPERLINK("https://www.773grp.com/manufacturer/onsemi?pageNo=75", "Onsemi")</f>
        <v>Onsemi</v>
      </c>
      <c r="C8164" s="6">
        <v>4850</v>
      </c>
      <c r="D8164" s="7">
        <v>0.95</v>
      </c>
      <c r="E8164" t="s">
        <v>11</v>
      </c>
    </row>
    <row r="8165" spans="1:5" x14ac:dyDescent="0.25">
      <c r="A8165" t="str">
        <f>HYPERLINK("https://www.773grp.com/globalSearch/MC74LCX540DW/page-1", "MC74LCX540DW")</f>
        <v>MC74LCX540DW</v>
      </c>
      <c r="B8165" s="3" t="str">
        <f>HYPERLINK("https://www.773grp.com/manufacturer/onsemi?pageNo=76", "Onsemi")</f>
        <v>Onsemi</v>
      </c>
      <c r="C8165" s="6">
        <v>2624</v>
      </c>
      <c r="D8165" s="7">
        <v>0.95</v>
      </c>
      <c r="E8165" t="s">
        <v>11</v>
      </c>
    </row>
    <row r="8166" spans="1:5" x14ac:dyDescent="0.25">
      <c r="A8166" t="str">
        <f>HYPERLINK("https://www.773grp.com/globalSearch/MC74LCX574M/page-1", "MC74LCX574M")</f>
        <v>MC74LCX574M</v>
      </c>
      <c r="B8166" s="3" t="str">
        <f>HYPERLINK("https://www.773grp.com/manufacturer/onsemi?pageNo=77", "Onsemi")</f>
        <v>Onsemi</v>
      </c>
      <c r="C8166" s="6">
        <v>3320</v>
      </c>
      <c r="D8166" s="7">
        <v>0.95</v>
      </c>
      <c r="E8166" t="s">
        <v>11</v>
      </c>
    </row>
    <row r="8167" spans="1:5" x14ac:dyDescent="0.25">
      <c r="A8167" t="str">
        <f>HYPERLINK("https://www.773grp.com/globalSearch/MC74LCX74MELG/page-1", "MC74LCX74MELG")</f>
        <v>MC74LCX74MELG</v>
      </c>
      <c r="B8167" s="3" t="str">
        <f>HYPERLINK("https://www.773grp.com/manufacturer/onsemi?pageNo=78", "Onsemi")</f>
        <v>Onsemi</v>
      </c>
      <c r="C8167" s="6">
        <v>35063</v>
      </c>
      <c r="D8167" s="7">
        <v>0.95</v>
      </c>
      <c r="E8167" t="s">
        <v>31</v>
      </c>
    </row>
    <row r="8168" spans="1:5" x14ac:dyDescent="0.25">
      <c r="A8168" t="str">
        <f>HYPERLINK("https://www.773grp.com/globalSearch/MC74LVX14MG/page-1", "MC74LVX14MG")</f>
        <v>MC74LVX14MG</v>
      </c>
      <c r="B8168" s="3" t="str">
        <f>HYPERLINK("https://www.773grp.com/manufacturer/onsemi?pageNo=79", "Onsemi")</f>
        <v>Onsemi</v>
      </c>
      <c r="C8168" s="6">
        <v>51814</v>
      </c>
      <c r="D8168" s="7">
        <v>0.95</v>
      </c>
      <c r="E8168" t="s">
        <v>27</v>
      </c>
    </row>
    <row r="8169" spans="1:5" x14ac:dyDescent="0.25">
      <c r="A8169" t="str">
        <f>HYPERLINK("https://www.773grp.com/globalSearch/MC74LVX86MG/page-1", "MC74LVX86MG")</f>
        <v>MC74LVX86MG</v>
      </c>
      <c r="B8169" s="3" t="str">
        <f>HYPERLINK("https://www.773grp.com/manufacturer/onsemi?pageNo=80", "Onsemi")</f>
        <v>Onsemi</v>
      </c>
      <c r="C8169" s="6">
        <v>28940</v>
      </c>
      <c r="D8169" s="7">
        <v>0.95</v>
      </c>
      <c r="E8169" t="s">
        <v>27</v>
      </c>
    </row>
    <row r="8170" spans="1:5" x14ac:dyDescent="0.25">
      <c r="A8170" t="str">
        <f>HYPERLINK("https://www.773grp.com/globalSearch/MC74VHC00MELG/page-1", "MC74VHC00MELG")</f>
        <v>MC74VHC00MELG</v>
      </c>
      <c r="B8170" s="3" t="str">
        <f>HYPERLINK("https://www.773grp.com/manufacturer/onsemi?pageNo=81", "Onsemi")</f>
        <v>Onsemi</v>
      </c>
      <c r="C8170" s="6">
        <v>111000</v>
      </c>
      <c r="D8170" s="7">
        <v>0.95</v>
      </c>
      <c r="E8170" t="s">
        <v>27</v>
      </c>
    </row>
    <row r="8171" spans="1:5" x14ac:dyDescent="0.25">
      <c r="A8171" t="str">
        <f>HYPERLINK("https://www.773grp.com/globalSearch/MC74VHC04MELG/page-1", "MC74VHC04MELG")</f>
        <v>MC74VHC04MELG</v>
      </c>
      <c r="B8171" s="3" t="str">
        <f>HYPERLINK("https://www.773grp.com/manufacturer/onsemi?pageNo=82", "Onsemi")</f>
        <v>Onsemi</v>
      </c>
      <c r="C8171" s="6">
        <v>12082</v>
      </c>
      <c r="D8171" s="7">
        <v>0.95</v>
      </c>
      <c r="E8171" t="s">
        <v>27</v>
      </c>
    </row>
    <row r="8172" spans="1:5" x14ac:dyDescent="0.25">
      <c r="A8172" t="str">
        <f>HYPERLINK("https://www.773grp.com/globalSearch/MC74VHC08MELG/page-1", "MC74VHC08MELG")</f>
        <v>MC74VHC08MELG</v>
      </c>
      <c r="B8172" s="3" t="str">
        <f>HYPERLINK("https://www.773grp.com/manufacturer/onsemi?pageNo=83", "Onsemi")</f>
        <v>Onsemi</v>
      </c>
      <c r="C8172" s="6">
        <v>49883</v>
      </c>
      <c r="D8172" s="7">
        <v>0.95</v>
      </c>
      <c r="E8172" t="s">
        <v>27</v>
      </c>
    </row>
    <row r="8173" spans="1:5" x14ac:dyDescent="0.25">
      <c r="A8173" t="str">
        <f>HYPERLINK("https://www.773grp.com/globalSearch/MC74VHC32MELG/page-1", "MC74VHC32MELG")</f>
        <v>MC74VHC32MELG</v>
      </c>
      <c r="B8173" s="3" t="str">
        <f>HYPERLINK("https://www.773grp.com/manufacturer/onsemi?pageNo=84", "Onsemi")</f>
        <v>Onsemi</v>
      </c>
      <c r="C8173" s="6">
        <v>28000</v>
      </c>
      <c r="D8173" s="7">
        <v>0.95</v>
      </c>
      <c r="E8173" t="s">
        <v>27</v>
      </c>
    </row>
    <row r="8174" spans="1:5" x14ac:dyDescent="0.25">
      <c r="A8174" t="str">
        <f>HYPERLINK("https://www.773grp.com/globalSearch/MC74VHC4051DR2G/page-1", "MC74VHC4051DR2G")</f>
        <v>MC74VHC4051DR2G</v>
      </c>
      <c r="B8174" s="3" t="str">
        <f>HYPERLINK("https://www.773grp.com/manufacturer/onsemi?pageNo=85", "Onsemi")</f>
        <v>Onsemi</v>
      </c>
      <c r="C8174" s="6">
        <v>2392</v>
      </c>
      <c r="D8174" s="7">
        <v>0.95</v>
      </c>
      <c r="E8174" t="s">
        <v>46</v>
      </c>
    </row>
    <row r="8175" spans="1:5" x14ac:dyDescent="0.25">
      <c r="A8175" t="str">
        <f>HYPERLINK("https://www.773grp.com/globalSearch/MC74VHC4052DR2G/page-1", "MC74VHC4052DR2G")</f>
        <v>MC74VHC4052DR2G</v>
      </c>
      <c r="B8175" s="3" t="str">
        <f>HYPERLINK("https://www.773grp.com/manufacturer/onsemi?pageNo=86", "Onsemi")</f>
        <v>Onsemi</v>
      </c>
      <c r="C8175" s="6">
        <v>11410</v>
      </c>
      <c r="D8175" s="7">
        <v>0.95</v>
      </c>
      <c r="E8175" t="s">
        <v>46</v>
      </c>
    </row>
    <row r="8176" spans="1:5" x14ac:dyDescent="0.25">
      <c r="A8176" t="str">
        <f>HYPERLINK("https://www.773grp.com/globalSearch/MC74VHC4052DTR2G/page-1", "MC74VHC4052DTR2G")</f>
        <v>MC74VHC4052DTR2G</v>
      </c>
      <c r="B8176" s="3" t="str">
        <f>HYPERLINK("https://www.773grp.com/manufacturer/onsemi?pageNo=87", "Onsemi")</f>
        <v>Onsemi</v>
      </c>
      <c r="C8176" s="6">
        <v>44317</v>
      </c>
      <c r="D8176" s="7">
        <v>0.95</v>
      </c>
      <c r="E8176" t="s">
        <v>46</v>
      </c>
    </row>
    <row r="8177" spans="1:5" x14ac:dyDescent="0.25">
      <c r="A8177" t="str">
        <f>HYPERLINK("https://www.773grp.com/globalSearch/MC74VHC4053DR2G/page-1", "MC74VHC4053DR2G")</f>
        <v>MC74VHC4053DR2G</v>
      </c>
      <c r="B8177" s="3" t="str">
        <f>HYPERLINK("https://www.773grp.com/manufacturer/onsemi?pageNo=88", "Onsemi")</f>
        <v>Onsemi</v>
      </c>
      <c r="C8177" s="6">
        <v>6319</v>
      </c>
      <c r="D8177" s="7">
        <v>0.95</v>
      </c>
      <c r="E8177" t="s">
        <v>46</v>
      </c>
    </row>
    <row r="8178" spans="1:5" x14ac:dyDescent="0.25">
      <c r="A8178" t="str">
        <f>HYPERLINK("https://www.773grp.com/globalSearch/MC74VHC4053DTR2G/page-1", "MC74VHC4053DTR2G")</f>
        <v>MC74VHC4053DTR2G</v>
      </c>
      <c r="B8178" s="3" t="str">
        <f>HYPERLINK("https://www.773grp.com/manufacturer/onsemi?pageNo=89", "Onsemi")</f>
        <v>Onsemi</v>
      </c>
      <c r="C8178" s="6">
        <v>7264</v>
      </c>
      <c r="D8178" s="7">
        <v>0.95</v>
      </c>
    </row>
    <row r="8179" spans="1:5" x14ac:dyDescent="0.25">
      <c r="A8179" t="str">
        <f>HYPERLINK("https://www.773grp.com/globalSearch/MC74VHC4316DG/page-1", "MC74VHC4316DG")</f>
        <v>MC74VHC4316DG</v>
      </c>
      <c r="B8179" s="3" t="str">
        <f>HYPERLINK("https://www.773grp.com/manufacturer/onsemi?pageNo=90", "Onsemi")</f>
        <v>Onsemi</v>
      </c>
      <c r="C8179" s="6">
        <v>4896</v>
      </c>
      <c r="D8179" s="7">
        <v>0.95</v>
      </c>
    </row>
    <row r="8180" spans="1:5" x14ac:dyDescent="0.25">
      <c r="A8180" t="str">
        <f>HYPERLINK("https://www.773grp.com/globalSearch/MC74VHC4316DR2G/page-1", "MC74VHC4316DR2G")</f>
        <v>MC74VHC4316DR2G</v>
      </c>
      <c r="B8180" s="3" t="str">
        <f>HYPERLINK("https://www.773grp.com/manufacturer/onsemi?pageNo=91", "Onsemi")</f>
        <v>Onsemi</v>
      </c>
      <c r="C8180" s="6">
        <v>6866</v>
      </c>
      <c r="D8180" s="7">
        <v>0.95</v>
      </c>
      <c r="E8180" t="s">
        <v>46</v>
      </c>
    </row>
    <row r="8181" spans="1:5" x14ac:dyDescent="0.25">
      <c r="A8181" t="str">
        <f>HYPERLINK("https://www.773grp.com/globalSearch/MC74VHC74MELG/page-1", "MC74VHC74MELG")</f>
        <v>MC74VHC74MELG</v>
      </c>
      <c r="B8181" s="3" t="str">
        <f>HYPERLINK("https://www.773grp.com/manufacturer/onsemi?pageNo=92", "Onsemi")</f>
        <v>Onsemi</v>
      </c>
      <c r="C8181" s="6">
        <v>86762</v>
      </c>
      <c r="D8181" s="7">
        <v>0.95</v>
      </c>
      <c r="E8181" t="s">
        <v>31</v>
      </c>
    </row>
    <row r="8182" spans="1:5" x14ac:dyDescent="0.25">
      <c r="A8182" t="str">
        <f>HYPERLINK("https://www.773grp.com/globalSearch/MC74VHC86MELG/page-1", "MC74VHC86MELG")</f>
        <v>MC74VHC86MELG</v>
      </c>
      <c r="B8182" s="3" t="str">
        <f>HYPERLINK("https://www.773grp.com/manufacturer/onsemi?pageNo=93", "Onsemi")</f>
        <v>Onsemi</v>
      </c>
      <c r="C8182" s="6">
        <v>36724</v>
      </c>
      <c r="D8182" s="7">
        <v>0.95</v>
      </c>
      <c r="E8182" t="s">
        <v>27</v>
      </c>
    </row>
    <row r="8183" spans="1:5" x14ac:dyDescent="0.25">
      <c r="A8183" t="str">
        <f>HYPERLINK("https://www.773grp.com/globalSearch/MC74VHCT04AMELG/page-1", "MC74VHCT04AMELG")</f>
        <v>MC74VHCT04AMELG</v>
      </c>
      <c r="B8183" s="3" t="str">
        <f>HYPERLINK("https://www.773grp.com/manufacturer/onsemi?pageNo=94", "Onsemi")</f>
        <v>Onsemi</v>
      </c>
      <c r="C8183" s="6">
        <v>24000</v>
      </c>
      <c r="D8183" s="7">
        <v>0.95</v>
      </c>
      <c r="E8183" t="s">
        <v>27</v>
      </c>
    </row>
    <row r="8184" spans="1:5" x14ac:dyDescent="0.25">
      <c r="A8184" t="str">
        <f>HYPERLINK("https://www.773grp.com/globalSearch/MC74VHCT08AMELG/page-1", "MC74VHCT08AMELG")</f>
        <v>MC74VHCT08AMELG</v>
      </c>
      <c r="B8184" s="3" t="str">
        <f>HYPERLINK("https://www.773grp.com/manufacturer/onsemi?pageNo=95", "Onsemi")</f>
        <v>Onsemi</v>
      </c>
      <c r="C8184" s="6">
        <v>24000</v>
      </c>
      <c r="D8184" s="7">
        <v>0.95</v>
      </c>
      <c r="E8184" t="s">
        <v>27</v>
      </c>
    </row>
    <row r="8185" spans="1:5" x14ac:dyDescent="0.25">
      <c r="A8185" t="str">
        <f>HYPERLINK("https://www.773grp.com/globalSearch/MC74VHCT14AMG/page-1", "MC74VHCT14AMG")</f>
        <v>MC74VHCT14AMG</v>
      </c>
      <c r="B8185" s="3" t="str">
        <f>HYPERLINK("https://www.773grp.com/manufacturer/onsemi?pageNo=96", "Onsemi")</f>
        <v>Onsemi</v>
      </c>
      <c r="C8185" s="6">
        <v>42800</v>
      </c>
      <c r="D8185" s="7">
        <v>0.95</v>
      </c>
      <c r="E8185" t="s">
        <v>27</v>
      </c>
    </row>
    <row r="8186" spans="1:5" x14ac:dyDescent="0.25">
      <c r="A8186" t="str">
        <f>HYPERLINK("https://www.773grp.com/globalSearch/MC74VHCT86AMG/page-1", "MC74VHCT86AMG")</f>
        <v>MC74VHCT86AMG</v>
      </c>
      <c r="B8186" s="3" t="str">
        <f>HYPERLINK("https://www.773grp.com/manufacturer/onsemi?pageNo=97", "Onsemi")</f>
        <v>Onsemi</v>
      </c>
      <c r="C8186" s="6">
        <v>28990</v>
      </c>
      <c r="D8186" s="7">
        <v>0.95</v>
      </c>
      <c r="E8186" t="s">
        <v>27</v>
      </c>
    </row>
    <row r="8187" spans="1:5" x14ac:dyDescent="0.25">
      <c r="A8187" t="str">
        <f>HYPERLINK("https://www.773grp.com/globalSearch/MC74VHCU04MELG/page-1", "MC74VHCU04MELG")</f>
        <v>MC74VHCU04MELG</v>
      </c>
      <c r="B8187" s="3" t="str">
        <f>HYPERLINK("https://www.773grp.com/manufacturer/onsemi?pageNo=98", "Onsemi")</f>
        <v>Onsemi</v>
      </c>
      <c r="C8187" s="6">
        <v>14000</v>
      </c>
      <c r="D8187" s="7">
        <v>0.95</v>
      </c>
      <c r="E8187" t="s">
        <v>27</v>
      </c>
    </row>
    <row r="8188" spans="1:5" x14ac:dyDescent="0.25">
      <c r="A8188" t="str">
        <f>HYPERLINK("https://www.773grp.com/globalSearch/MC7805CDT/page-1", "MC7805CDT")</f>
        <v>MC7805CDT</v>
      </c>
      <c r="B8188" s="3" t="str">
        <f>HYPERLINK("https://www.773grp.com/manufacturer/onsemi?pageNo=99", "Onsemi")</f>
        <v>Onsemi</v>
      </c>
      <c r="C8188" s="6">
        <v>5775</v>
      </c>
      <c r="D8188" s="7">
        <v>0.95</v>
      </c>
      <c r="E8188" t="s">
        <v>24</v>
      </c>
    </row>
    <row r="8189" spans="1:5" x14ac:dyDescent="0.25">
      <c r="A8189" t="str">
        <f>HYPERLINK("https://www.773grp.com/globalSearch/MC7805CDTRK/page-1", "MC7805CDTRK")</f>
        <v>MC7805CDTRK</v>
      </c>
      <c r="B8189" s="3" t="str">
        <f>HYPERLINK("https://www.773grp.com/manufacturer/onsemi?pageNo=100", "Onsemi")</f>
        <v>Onsemi</v>
      </c>
      <c r="C8189" s="6">
        <v>12330</v>
      </c>
      <c r="D8189" s="7">
        <v>0.95</v>
      </c>
      <c r="E8189" t="s">
        <v>24</v>
      </c>
    </row>
    <row r="8190" spans="1:5" x14ac:dyDescent="0.25">
      <c r="A8190" t="str">
        <f>HYPERLINK("https://www.773grp.com/globalSearch/MC78L05ABDG/page-1", "MC78L05ABDG")</f>
        <v>MC78L05ABDG</v>
      </c>
      <c r="B8190" s="3" t="str">
        <f>HYPERLINK("https://www.773grp.com/manufacturer/onsemi?pageNo=101", "Onsemi")</f>
        <v>Onsemi</v>
      </c>
      <c r="C8190" s="6">
        <v>4018</v>
      </c>
      <c r="D8190" s="7">
        <v>0.95</v>
      </c>
    </row>
    <row r="8191" spans="1:5" x14ac:dyDescent="0.25">
      <c r="A8191" t="str">
        <f>HYPERLINK("https://www.773grp.com/globalSearch/MC78L05ABDR2/page-1", "MC78L05ABDR2")</f>
        <v>MC78L05ABDR2</v>
      </c>
      <c r="B8191" s="3" t="str">
        <f>HYPERLINK("https://www.773grp.com/manufacturer/onsemi?pageNo=102", "Onsemi")</f>
        <v>Onsemi</v>
      </c>
      <c r="C8191" s="6">
        <v>304</v>
      </c>
      <c r="D8191" s="7">
        <v>0.95</v>
      </c>
      <c r="E8191" t="s">
        <v>24</v>
      </c>
    </row>
    <row r="8192" spans="1:5" x14ac:dyDescent="0.25">
      <c r="A8192" t="str">
        <f>HYPERLINK("https://www.773grp.com/globalSearch/MC78L05ABDR2G/page-1", "MC78L05ABDR2G")</f>
        <v>MC78L05ABDR2G</v>
      </c>
      <c r="B8192" s="3" t="str">
        <f>HYPERLINK("https://www.773grp.com/manufacturer/onsemi?pageNo=103", "Onsemi")</f>
        <v>Onsemi</v>
      </c>
      <c r="C8192" s="6">
        <v>99157</v>
      </c>
      <c r="D8192" s="7">
        <v>0.95</v>
      </c>
      <c r="E8192" t="s">
        <v>24</v>
      </c>
    </row>
    <row r="8193" spans="1:5" x14ac:dyDescent="0.25">
      <c r="A8193" t="str">
        <f>HYPERLINK("https://www.773grp.com/globalSearch/MC78L05ACDR2/page-1", "MC78L05ACDR2")</f>
        <v>MC78L05ACDR2</v>
      </c>
      <c r="B8193" s="3" t="str">
        <f>HYPERLINK("https://www.773grp.com/manufacturer/onsemi?pageNo=104", "Onsemi")</f>
        <v>Onsemi</v>
      </c>
      <c r="C8193" s="6">
        <v>615</v>
      </c>
      <c r="D8193" s="7">
        <v>0.95</v>
      </c>
      <c r="E8193" t="s">
        <v>24</v>
      </c>
    </row>
    <row r="8194" spans="1:5" x14ac:dyDescent="0.25">
      <c r="A8194" t="str">
        <f>HYPERLINK("https://www.773grp.com/globalSearch/MC78L08ABDG/page-1", "MC78L08ABDG")</f>
        <v>MC78L08ABDG</v>
      </c>
      <c r="B8194" s="3" t="str">
        <f>HYPERLINK("https://www.773grp.com/manufacturer/onsemi?pageNo=105", "Onsemi")</f>
        <v>Onsemi</v>
      </c>
      <c r="C8194" s="6">
        <v>52364</v>
      </c>
      <c r="D8194" s="7">
        <v>0.95</v>
      </c>
      <c r="E8194" t="s">
        <v>24</v>
      </c>
    </row>
    <row r="8195" spans="1:5" x14ac:dyDescent="0.25">
      <c r="A8195" t="str">
        <f>HYPERLINK("https://www.773grp.com/globalSearch/MC78L09ABD/page-1", "MC78L09ABD")</f>
        <v>MC78L09ABD</v>
      </c>
      <c r="B8195" s="3" t="str">
        <f>HYPERLINK("https://www.773grp.com/manufacturer/onsemi?pageNo=106", "Onsemi")</f>
        <v>Onsemi</v>
      </c>
      <c r="C8195" s="6">
        <v>12</v>
      </c>
      <c r="D8195" s="7">
        <v>0.95</v>
      </c>
      <c r="E8195" t="s">
        <v>24</v>
      </c>
    </row>
    <row r="8196" spans="1:5" x14ac:dyDescent="0.25">
      <c r="A8196" t="str">
        <f>HYPERLINK("https://www.773grp.com/globalSearch/MC78L09ABDG/page-1", "MC78L09ABDG")</f>
        <v>MC78L09ABDG</v>
      </c>
      <c r="B8196" s="3" t="str">
        <f>HYPERLINK("https://www.773grp.com/manufacturer/onsemi?pageNo=107", "Onsemi")</f>
        <v>Onsemi</v>
      </c>
      <c r="C8196" s="6">
        <v>5390</v>
      </c>
      <c r="D8196" s="7">
        <v>0.95</v>
      </c>
    </row>
    <row r="8197" spans="1:5" x14ac:dyDescent="0.25">
      <c r="A8197" t="str">
        <f>HYPERLINK("https://www.773grp.com/globalSearch/MC78L09ABDR2G/page-1", "MC78L09ABDR2G")</f>
        <v>MC78L09ABDR2G</v>
      </c>
      <c r="B8197" s="3" t="str">
        <f>HYPERLINK("https://www.773grp.com/manufacturer/onsemi?pageNo=108", "Onsemi")</f>
        <v>Onsemi</v>
      </c>
      <c r="C8197" s="6">
        <v>8282</v>
      </c>
      <c r="D8197" s="7">
        <v>0.95</v>
      </c>
      <c r="E8197" t="s">
        <v>24</v>
      </c>
    </row>
    <row r="8198" spans="1:5" x14ac:dyDescent="0.25">
      <c r="A8198" t="str">
        <f>HYPERLINK("https://www.773grp.com/globalSearch/MC78L12ABDG/page-1", "MC78L12ABDG")</f>
        <v>MC78L12ABDG</v>
      </c>
      <c r="B8198" s="3" t="str">
        <f>HYPERLINK("https://www.773grp.com/manufacturer/onsemi?pageNo=109", "Onsemi")</f>
        <v>Onsemi</v>
      </c>
      <c r="C8198" s="6">
        <v>16172</v>
      </c>
      <c r="D8198" s="7">
        <v>0.95</v>
      </c>
      <c r="E8198" t="s">
        <v>24</v>
      </c>
    </row>
    <row r="8199" spans="1:5" x14ac:dyDescent="0.25">
      <c r="A8199" t="str">
        <f>HYPERLINK("https://www.773grp.com/globalSearch/MC78L12ABDR2/page-1", "MC78L12ABDR2")</f>
        <v>MC78L12ABDR2</v>
      </c>
      <c r="B8199" s="3" t="str">
        <f>HYPERLINK("https://www.773grp.com/manufacturer/onsemi?pageNo=110", "Onsemi")</f>
        <v>Onsemi</v>
      </c>
      <c r="C8199" s="6">
        <v>17122</v>
      </c>
      <c r="D8199" s="7">
        <v>0.95</v>
      </c>
      <c r="E8199" t="s">
        <v>24</v>
      </c>
    </row>
    <row r="8200" spans="1:5" x14ac:dyDescent="0.25">
      <c r="A8200" t="str">
        <f>HYPERLINK("https://www.773grp.com/globalSearch/MC78L12ABDR2G/page-1", "MC78L12ABDR2G")</f>
        <v>MC78L12ABDR2G</v>
      </c>
      <c r="B8200" s="3" t="str">
        <f>HYPERLINK("https://www.773grp.com/manufacturer/onsemi?pageNo=111", "Onsemi")</f>
        <v>Onsemi</v>
      </c>
      <c r="C8200" s="6">
        <v>11577</v>
      </c>
      <c r="D8200" s="7">
        <v>0.95</v>
      </c>
      <c r="E8200" t="s">
        <v>24</v>
      </c>
    </row>
    <row r="8201" spans="1:5" x14ac:dyDescent="0.25">
      <c r="A8201" t="str">
        <f>HYPERLINK("https://www.773grp.com/globalSearch/MC78L15ABDG/page-1", "MC78L15ABDG")</f>
        <v>MC78L15ABDG</v>
      </c>
      <c r="B8201" s="3" t="str">
        <f>HYPERLINK("https://www.773grp.com/manufacturer/onsemi?pageNo=112", "Onsemi")</f>
        <v>Onsemi</v>
      </c>
      <c r="C8201" s="6">
        <v>6468</v>
      </c>
      <c r="D8201" s="7">
        <v>0.95</v>
      </c>
      <c r="E8201" t="s">
        <v>24</v>
      </c>
    </row>
    <row r="8202" spans="1:5" x14ac:dyDescent="0.25">
      <c r="A8202" t="str">
        <f>HYPERLINK("https://www.773grp.com/globalSearch/MC78L15ABDR2/page-1", "MC78L15ABDR2")</f>
        <v>MC78L15ABDR2</v>
      </c>
      <c r="B8202" s="3" t="str">
        <f>HYPERLINK("https://www.773grp.com/manufacturer/onsemi?pageNo=113", "Onsemi")</f>
        <v>Onsemi</v>
      </c>
      <c r="C8202" s="6">
        <v>10000</v>
      </c>
      <c r="D8202" s="7">
        <v>0.95</v>
      </c>
      <c r="E8202" t="s">
        <v>24</v>
      </c>
    </row>
    <row r="8203" spans="1:5" x14ac:dyDescent="0.25">
      <c r="A8203" t="str">
        <f>HYPERLINK("https://www.773grp.com/globalSearch/MC78L15ABDR2G/page-1", "MC78L15ABDR2G")</f>
        <v>MC78L15ABDR2G</v>
      </c>
      <c r="B8203" s="3" t="str">
        <f>HYPERLINK("https://www.773grp.com/manufacturer/onsemi?pageNo=114", "Onsemi")</f>
        <v>Onsemi</v>
      </c>
      <c r="C8203" s="6">
        <v>13963</v>
      </c>
      <c r="D8203" s="7">
        <v>0.95</v>
      </c>
    </row>
    <row r="8204" spans="1:5" x14ac:dyDescent="0.25">
      <c r="A8204" t="str">
        <f>HYPERLINK("https://www.773grp.com/globalSearch/MC79L05ABDG/page-1", "MC79L05ABDG")</f>
        <v>MC79L05ABDG</v>
      </c>
      <c r="B8204" s="3" t="str">
        <f>HYPERLINK("https://www.773grp.com/manufacturer/onsemi?pageNo=115", "Onsemi")</f>
        <v>Onsemi</v>
      </c>
      <c r="C8204" s="6">
        <v>11446</v>
      </c>
      <c r="D8204" s="7">
        <v>0.95</v>
      </c>
    </row>
    <row r="8205" spans="1:5" x14ac:dyDescent="0.25">
      <c r="A8205" t="str">
        <f>HYPERLINK("https://www.773grp.com/globalSearch/MC79L05ABDR2G/page-1", "MC79L05ABDR2G")</f>
        <v>MC79L05ABDR2G</v>
      </c>
      <c r="B8205" s="3" t="str">
        <f>HYPERLINK("https://www.773grp.com/manufacturer/onsemi?pageNo=116", "Onsemi")</f>
        <v>Onsemi</v>
      </c>
      <c r="C8205" s="6">
        <v>22500</v>
      </c>
      <c r="D8205" s="7">
        <v>0.95</v>
      </c>
      <c r="E8205" t="s">
        <v>53</v>
      </c>
    </row>
    <row r="8206" spans="1:5" x14ac:dyDescent="0.25">
      <c r="A8206" t="str">
        <f>HYPERLINK("https://www.773grp.com/globalSearch/MC79L12ABDG/page-1", "MC79L12ABDG")</f>
        <v>MC79L12ABDG</v>
      </c>
      <c r="B8206" s="3" t="str">
        <f>HYPERLINK("https://www.773grp.com/manufacturer/onsemi?pageNo=117", "Onsemi")</f>
        <v>Onsemi</v>
      </c>
      <c r="C8206" s="6">
        <v>4727</v>
      </c>
      <c r="D8206" s="7">
        <v>0.95</v>
      </c>
      <c r="E8206" t="s">
        <v>53</v>
      </c>
    </row>
    <row r="8207" spans="1:5" x14ac:dyDescent="0.25">
      <c r="A8207" t="str">
        <f>HYPERLINK("https://www.773grp.com/globalSearch/MC79L12ABDR2G/page-1", "MC79L12ABDR2G")</f>
        <v>MC79L12ABDR2G</v>
      </c>
      <c r="B8207" s="3" t="str">
        <f>HYPERLINK("https://www.773grp.com/manufacturer/onsemi?pageNo=118", "Onsemi")</f>
        <v>Onsemi</v>
      </c>
      <c r="C8207" s="6">
        <v>125574</v>
      </c>
      <c r="D8207" s="7">
        <v>0.95</v>
      </c>
      <c r="E8207" t="s">
        <v>53</v>
      </c>
    </row>
    <row r="8208" spans="1:5" x14ac:dyDescent="0.25">
      <c r="A8208" t="str">
        <f>HYPERLINK("https://www.773grp.com/globalSearch/MC79L15ABDG/page-1", "MC79L15ABDG")</f>
        <v>MC79L15ABDG</v>
      </c>
      <c r="B8208" s="3" t="str">
        <f>HYPERLINK("https://www.773grp.com/manufacturer/onsemi?pageNo=119", "Onsemi")</f>
        <v>Onsemi</v>
      </c>
      <c r="C8208" s="6">
        <v>1758</v>
      </c>
      <c r="D8208" s="7">
        <v>0.95</v>
      </c>
    </row>
    <row r="8209" spans="1:5" x14ac:dyDescent="0.25">
      <c r="A8209" t="str">
        <f>HYPERLINK("https://www.773grp.com/globalSearch/MC79L15ABDR2G/page-1", "MC79L15ABDR2G")</f>
        <v>MC79L15ABDR2G</v>
      </c>
      <c r="B8209" s="3" t="str">
        <f>HYPERLINK("https://www.773grp.com/manufacturer/onsemi?pageNo=120", "Onsemi")</f>
        <v>Onsemi</v>
      </c>
      <c r="C8209" s="6">
        <v>10000</v>
      </c>
      <c r="D8209" s="7">
        <v>0.95</v>
      </c>
      <c r="E8209" t="s">
        <v>53</v>
      </c>
    </row>
    <row r="8210" spans="1:5" x14ac:dyDescent="0.25">
      <c r="A8210" t="str">
        <f>HYPERLINK("https://www.773grp.com/globalSearch/MCAC174N/page-1", "MCAC174N")</f>
        <v>MCAC174N</v>
      </c>
      <c r="B8210" s="3" t="str">
        <f>HYPERLINK("https://www.773grp.com/manufacturer/onsemi?pageNo=121", "Onsemi")</f>
        <v>Onsemi</v>
      </c>
      <c r="C8210" s="6">
        <v>10</v>
      </c>
      <c r="D8210" s="7">
        <v>0.95</v>
      </c>
    </row>
    <row r="8211" spans="1:5" x14ac:dyDescent="0.25">
      <c r="A8211" t="str">
        <f>HYPERLINK("https://www.773grp.com/globalSearch/MCH4020-TL-E/page-1", "MCH4020-TL-E")</f>
        <v>MCH4020-TL-E</v>
      </c>
      <c r="B8211" s="3" t="str">
        <f>HYPERLINK("https://www.773grp.com/manufacturer/onsemi?pageNo=122", "Onsemi")</f>
        <v>Onsemi</v>
      </c>
      <c r="C8211" s="6">
        <v>3000</v>
      </c>
      <c r="D8211" s="7">
        <v>0.95</v>
      </c>
    </row>
    <row r="8212" spans="1:5" x14ac:dyDescent="0.25">
      <c r="A8212" t="str">
        <f>HYPERLINK("https://www.773grp.com/globalSearch/MCR12N/page-1", "MCR12N")</f>
        <v>MCR12N</v>
      </c>
      <c r="B8212" s="3" t="str">
        <f>HYPERLINK("https://www.773grp.com/manufacturer/onsemi?pageNo=123", "Onsemi")</f>
        <v>Onsemi</v>
      </c>
      <c r="C8212" s="6">
        <v>13672</v>
      </c>
      <c r="D8212" s="7">
        <v>0.95</v>
      </c>
      <c r="E8212" t="s">
        <v>76</v>
      </c>
    </row>
    <row r="8213" spans="1:5" x14ac:dyDescent="0.25">
      <c r="A8213" t="str">
        <f>HYPERLINK("https://www.773grp.com/globalSearch/MCR8N/page-1", "MCR8N")</f>
        <v>MCR8N</v>
      </c>
      <c r="B8213" s="3" t="str">
        <f>HYPERLINK("https://www.773grp.com/manufacturer/onsemi?pageNo=124", "Onsemi")</f>
        <v>Onsemi</v>
      </c>
      <c r="C8213" s="6">
        <v>1190</v>
      </c>
      <c r="D8213" s="7">
        <v>0.95</v>
      </c>
      <c r="E8213" t="s">
        <v>76</v>
      </c>
    </row>
    <row r="8214" spans="1:5" x14ac:dyDescent="0.25">
      <c r="A8214" t="str">
        <f>HYPERLINK("https://www.773grp.com/globalSearch/MJE170G/page-1", "MJE170G")</f>
        <v>MJE170G</v>
      </c>
      <c r="B8214" s="3" t="str">
        <f>HYPERLINK("https://www.773grp.com/manufacturer/onsemi?pageNo=125", "Onsemi")</f>
        <v>Onsemi</v>
      </c>
      <c r="C8214" s="6">
        <v>5242</v>
      </c>
      <c r="D8214" s="7">
        <v>0.95</v>
      </c>
      <c r="E8214" t="s">
        <v>47</v>
      </c>
    </row>
    <row r="8215" spans="1:5" x14ac:dyDescent="0.25">
      <c r="A8215" t="str">
        <f>HYPERLINK("https://www.773grp.com/globalSearch/MJE171G/page-1", "MJE171G")</f>
        <v>MJE171G</v>
      </c>
      <c r="B8215" s="3" t="str">
        <f>HYPERLINK("https://www.773grp.com/manufacturer/onsemi?pageNo=126", "Onsemi")</f>
        <v>Onsemi</v>
      </c>
      <c r="C8215" s="6">
        <v>1000</v>
      </c>
      <c r="D8215" s="7">
        <v>0.95</v>
      </c>
      <c r="E8215" t="s">
        <v>47</v>
      </c>
    </row>
    <row r="8216" spans="1:5" x14ac:dyDescent="0.25">
      <c r="A8216" t="str">
        <f>HYPERLINK("https://www.773grp.com/globalSearch/MJE172G/page-1", "MJE172G")</f>
        <v>MJE172G</v>
      </c>
      <c r="B8216" s="3" t="str">
        <f>HYPERLINK("https://www.773grp.com/manufacturer/onsemi?pageNo=127", "Onsemi")</f>
        <v>Onsemi</v>
      </c>
      <c r="C8216" s="6">
        <v>24109</v>
      </c>
      <c r="D8216" s="7">
        <v>0.95</v>
      </c>
      <c r="E8216" t="s">
        <v>47</v>
      </c>
    </row>
    <row r="8217" spans="1:5" x14ac:dyDescent="0.25">
      <c r="A8217" t="str">
        <f>HYPERLINK("https://www.773grp.com/globalSearch/MJE180G/page-1", "MJE180G")</f>
        <v>MJE180G</v>
      </c>
      <c r="B8217" s="3" t="str">
        <f>HYPERLINK("https://www.773grp.com/manufacturer/onsemi?pageNo=128", "Onsemi")</f>
        <v>Onsemi</v>
      </c>
      <c r="C8217" s="6">
        <v>45854</v>
      </c>
      <c r="D8217" s="7">
        <v>0.95</v>
      </c>
      <c r="E8217" t="s">
        <v>47</v>
      </c>
    </row>
    <row r="8218" spans="1:5" x14ac:dyDescent="0.25">
      <c r="A8218" t="str">
        <f>HYPERLINK("https://www.773grp.com/globalSearch/MJE181G/page-1", "MJE181G")</f>
        <v>MJE181G</v>
      </c>
      <c r="B8218" s="3" t="str">
        <f>HYPERLINK("https://www.773grp.com/manufacturer/onsemi?pageNo=129", "Onsemi")</f>
        <v>Onsemi</v>
      </c>
      <c r="C8218" s="6">
        <v>1627</v>
      </c>
      <c r="D8218" s="7">
        <v>0.95</v>
      </c>
      <c r="E8218" t="s">
        <v>47</v>
      </c>
    </row>
    <row r="8219" spans="1:5" x14ac:dyDescent="0.25">
      <c r="A8219" t="str">
        <f>HYPERLINK("https://www.773grp.com/globalSearch/MJE182/page-1", "MJE182")</f>
        <v>MJE182</v>
      </c>
      <c r="B8219" s="3" t="str">
        <f>HYPERLINK("https://www.773grp.com/manufacturer/onsemi?pageNo=130", "Onsemi")</f>
        <v>Onsemi</v>
      </c>
      <c r="C8219" s="6">
        <v>24612</v>
      </c>
      <c r="D8219" s="7">
        <v>0.95</v>
      </c>
      <c r="E8219" t="s">
        <v>47</v>
      </c>
    </row>
    <row r="8220" spans="1:5" x14ac:dyDescent="0.25">
      <c r="A8220" t="str">
        <f>HYPERLINK("https://www.773grp.com/globalSearch/MJE182G/page-1", "MJE182G")</f>
        <v>MJE182G</v>
      </c>
      <c r="B8220" s="3" t="str">
        <f>HYPERLINK("https://www.773grp.com/manufacturer/onsemi?pageNo=131", "Onsemi")</f>
        <v>Onsemi</v>
      </c>
      <c r="C8220" s="6">
        <v>67436</v>
      </c>
      <c r="D8220" s="7">
        <v>0.95</v>
      </c>
      <c r="E8220" t="s">
        <v>47</v>
      </c>
    </row>
    <row r="8221" spans="1:5" x14ac:dyDescent="0.25">
      <c r="A8221" t="str">
        <f>HYPERLINK("https://www.773grp.com/globalSearch/MJE200G/page-1", "MJE200G")</f>
        <v>MJE200G</v>
      </c>
      <c r="B8221" s="3" t="str">
        <f>HYPERLINK("https://www.773grp.com/manufacturer/onsemi?pageNo=132", "Onsemi")</f>
        <v>Onsemi</v>
      </c>
      <c r="C8221" s="6">
        <v>171037</v>
      </c>
      <c r="D8221" s="7">
        <v>0.95</v>
      </c>
      <c r="E8221" t="s">
        <v>47</v>
      </c>
    </row>
    <row r="8222" spans="1:5" x14ac:dyDescent="0.25">
      <c r="A8222" t="str">
        <f>HYPERLINK("https://www.773grp.com/globalSearch/MJE210G/page-1", "MJE210G")</f>
        <v>MJE210G</v>
      </c>
      <c r="B8222" s="3" t="str">
        <f>HYPERLINK("https://www.773grp.com/manufacturer/onsemi?pageNo=133", "Onsemi")</f>
        <v>Onsemi</v>
      </c>
      <c r="C8222" s="6">
        <v>21511</v>
      </c>
      <c r="D8222" s="7">
        <v>0.95</v>
      </c>
      <c r="E8222" t="s">
        <v>47</v>
      </c>
    </row>
    <row r="8223" spans="1:5" x14ac:dyDescent="0.25">
      <c r="A8223" t="str">
        <f>HYPERLINK("https://www.773grp.com/globalSearch/MJE210TG/page-1", "MJE210TG")</f>
        <v>MJE210TG</v>
      </c>
      <c r="B8223" s="3" t="str">
        <f>HYPERLINK("https://www.773grp.com/manufacturer/onsemi?pageNo=134", "Onsemi")</f>
        <v>Onsemi</v>
      </c>
      <c r="C8223" s="6">
        <v>10150</v>
      </c>
      <c r="D8223" s="7">
        <v>0.95</v>
      </c>
      <c r="E8223" t="s">
        <v>47</v>
      </c>
    </row>
    <row r="8224" spans="1:5" x14ac:dyDescent="0.25">
      <c r="A8224" t="str">
        <f>HYPERLINK("https://www.773grp.com/globalSearch/MJE253G/page-1", "MJE253G")</f>
        <v>MJE253G</v>
      </c>
      <c r="B8224" s="3" t="str">
        <f>HYPERLINK("https://www.773grp.com/manufacturer/onsemi?pageNo=135", "Onsemi")</f>
        <v>Onsemi</v>
      </c>
      <c r="C8224" s="6">
        <v>84923</v>
      </c>
      <c r="D8224" s="7">
        <v>0.95</v>
      </c>
      <c r="E8224" t="s">
        <v>47</v>
      </c>
    </row>
    <row r="8225" spans="1:5" x14ac:dyDescent="0.25">
      <c r="A8225" t="str">
        <f>HYPERLINK("https://www.773grp.com/globalSearch/MJE2955T/page-1", "MJE2955T")</f>
        <v>MJE2955T</v>
      </c>
      <c r="B8225" s="3" t="str">
        <f>HYPERLINK("https://www.773grp.com/manufacturer/onsemi?pageNo=136", "Onsemi")</f>
        <v>Onsemi</v>
      </c>
      <c r="C8225" s="6">
        <v>5287</v>
      </c>
      <c r="D8225" s="7">
        <v>0.95</v>
      </c>
      <c r="E8225" t="s">
        <v>47</v>
      </c>
    </row>
    <row r="8226" spans="1:5" x14ac:dyDescent="0.25">
      <c r="A8226" t="str">
        <f>HYPERLINK("https://www.773grp.com/globalSearch/MKP3V240RL/page-1", "MKP3V240RL")</f>
        <v>MKP3V240RL</v>
      </c>
      <c r="B8226" s="3" t="str">
        <f>HYPERLINK("https://www.773grp.com/manufacturer/onsemi?pageNo=137", "Onsemi")</f>
        <v>Onsemi</v>
      </c>
      <c r="C8226" s="6">
        <v>133500</v>
      </c>
      <c r="D8226" s="7">
        <v>0.95</v>
      </c>
      <c r="E8226" t="s">
        <v>90</v>
      </c>
    </row>
    <row r="8227" spans="1:5" x14ac:dyDescent="0.25">
      <c r="A8227" t="str">
        <f>HYPERLINK("https://www.773grp.com/globalSearch/MMBV105GLT1/page-1", "MMBV105GLT1")</f>
        <v>MMBV105GLT1</v>
      </c>
      <c r="B8227" s="3" t="str">
        <f>HYPERLINK("https://www.773grp.com/manufacturer/onsemi?pageNo=138", "Onsemi")</f>
        <v>Onsemi</v>
      </c>
      <c r="C8227" s="6">
        <v>39000</v>
      </c>
      <c r="D8227" s="7">
        <v>0.95</v>
      </c>
      <c r="E8227" t="s">
        <v>80</v>
      </c>
    </row>
    <row r="8228" spans="1:5" x14ac:dyDescent="0.25">
      <c r="A8228" t="str">
        <f>HYPERLINK("https://www.773grp.com/globalSearch/MMBV105GLT1G/page-1", "MMBV105GLT1G")</f>
        <v>MMBV105GLT1G</v>
      </c>
      <c r="B8228" s="3" t="str">
        <f>HYPERLINK("https://www.773grp.com/manufacturer/onsemi?pageNo=139", "Onsemi")</f>
        <v>Onsemi</v>
      </c>
      <c r="C8228" s="6">
        <v>235067</v>
      </c>
      <c r="D8228" s="7">
        <v>0.95</v>
      </c>
      <c r="E8228" t="s">
        <v>80</v>
      </c>
    </row>
    <row r="8229" spans="1:5" x14ac:dyDescent="0.25">
      <c r="A8229" t="str">
        <f>HYPERLINK("https://www.773grp.com/globalSearch/MMBV3102LT1G/page-1", "MMBV3102LT1G")</f>
        <v>MMBV3102LT1G</v>
      </c>
      <c r="B8229" s="3" t="str">
        <f>HYPERLINK("https://www.773grp.com/manufacturer/onsemi?pageNo=140", "Onsemi")</f>
        <v>Onsemi</v>
      </c>
      <c r="C8229" s="6">
        <v>10</v>
      </c>
      <c r="D8229" s="7">
        <v>0.95</v>
      </c>
      <c r="E8229" t="s">
        <v>80</v>
      </c>
    </row>
    <row r="8230" spans="1:5" x14ac:dyDescent="0.25">
      <c r="A8230" t="str">
        <f>HYPERLINK("https://www.773grp.com/globalSearch/MMFT2N02ELT1/page-1", "MMFT2N02ELT1")</f>
        <v>MMFT2N02ELT1</v>
      </c>
      <c r="B8230" s="3" t="str">
        <f>HYPERLINK("https://www.773grp.com/manufacturer/onsemi?pageNo=141", "Onsemi")</f>
        <v>Onsemi</v>
      </c>
      <c r="C8230" s="6">
        <v>880</v>
      </c>
      <c r="D8230" s="7">
        <v>0.95</v>
      </c>
      <c r="E8230" t="s">
        <v>85</v>
      </c>
    </row>
    <row r="8231" spans="1:5" x14ac:dyDescent="0.25">
      <c r="A8231" t="str">
        <f>HYPERLINK("https://www.773grp.com/globalSearch/MMFT3055ET1/page-1", "MMFT3055ET1")</f>
        <v>MMFT3055ET1</v>
      </c>
      <c r="B8231" s="3" t="str">
        <f>HYPERLINK("https://www.773grp.com/manufacturer/onsemi?pageNo=142", "Onsemi")</f>
        <v>Onsemi</v>
      </c>
      <c r="C8231" s="6">
        <v>102282</v>
      </c>
      <c r="D8231" s="7">
        <v>0.95</v>
      </c>
      <c r="E8231" t="s">
        <v>85</v>
      </c>
    </row>
    <row r="8232" spans="1:5" x14ac:dyDescent="0.25">
      <c r="A8232" t="str">
        <f>HYPERLINK("https://www.773grp.com/globalSearch/MMT08B350T3/page-1", "MMT08B350T3")</f>
        <v>MMT08B350T3</v>
      </c>
      <c r="B8232" s="3" t="str">
        <f>HYPERLINK("https://www.773grp.com/manufacturer/onsemi?pageNo=143", "Onsemi")</f>
        <v>Onsemi</v>
      </c>
      <c r="C8232" s="6">
        <v>25000</v>
      </c>
      <c r="D8232" s="7">
        <v>0.95</v>
      </c>
      <c r="E8232" t="s">
        <v>88</v>
      </c>
    </row>
    <row r="8233" spans="1:5" x14ac:dyDescent="0.25">
      <c r="A8233" t="str">
        <f>HYPERLINK("https://www.773grp.com/globalSearch/MR751/page-1", "MR751")</f>
        <v>MR751</v>
      </c>
      <c r="B8233" s="3" t="str">
        <f>HYPERLINK("https://www.773grp.com/manufacturer/onsemi?pageNo=144", "Onsemi")</f>
        <v>Onsemi</v>
      </c>
      <c r="C8233" s="6">
        <v>3</v>
      </c>
      <c r="D8233" s="7">
        <v>0.95</v>
      </c>
      <c r="E8233" t="s">
        <v>82</v>
      </c>
    </row>
    <row r="8234" spans="1:5" x14ac:dyDescent="0.25">
      <c r="A8234" t="str">
        <f>HYPERLINK("https://www.773grp.com/globalSearch/MTD15N06V1/page-1", "MTD15N06V1")</f>
        <v>MTD15N06V1</v>
      </c>
      <c r="B8234" s="3" t="str">
        <f>HYPERLINK("https://www.773grp.com/manufacturer/onsemi?pageNo=145", "Onsemi")</f>
        <v>Onsemi</v>
      </c>
      <c r="C8234" s="6">
        <v>1</v>
      </c>
      <c r="D8234" s="7">
        <v>0.95</v>
      </c>
      <c r="E8234" t="s">
        <v>84</v>
      </c>
    </row>
    <row r="8235" spans="1:5" x14ac:dyDescent="0.25">
      <c r="A8235" t="str">
        <f>HYPERLINK("https://www.773grp.com/globalSearch/MTD15N06VL1/page-1", "MTD15N06VL1")</f>
        <v>MTD15N06VL1</v>
      </c>
      <c r="B8235" s="3" t="str">
        <f>HYPERLINK("https://www.773grp.com/manufacturer/onsemi?pageNo=146", "Onsemi")</f>
        <v>Onsemi</v>
      </c>
      <c r="C8235" s="6">
        <v>498</v>
      </c>
      <c r="D8235" s="7">
        <v>0.95</v>
      </c>
      <c r="E8235" t="s">
        <v>84</v>
      </c>
    </row>
    <row r="8236" spans="1:5" x14ac:dyDescent="0.25">
      <c r="A8236" t="str">
        <f>HYPERLINK("https://www.773grp.com/globalSearch/MTD4N20E1/page-1", "MTD4N20E1")</f>
        <v>MTD4N20E1</v>
      </c>
      <c r="B8236" s="3" t="str">
        <f>HYPERLINK("https://www.773grp.com/manufacturer/onsemi?pageNo=147", "Onsemi")</f>
        <v>Onsemi</v>
      </c>
      <c r="C8236" s="6">
        <v>4535</v>
      </c>
      <c r="D8236" s="7">
        <v>0.95</v>
      </c>
      <c r="E8236" t="s">
        <v>84</v>
      </c>
    </row>
    <row r="8237" spans="1:5" x14ac:dyDescent="0.25">
      <c r="A8237" t="str">
        <f>HYPERLINK("https://www.773grp.com/globalSearch/MTD9N10E1/page-1", "MTD9N10E1")</f>
        <v>MTD9N10E1</v>
      </c>
      <c r="B8237" s="3" t="str">
        <f>HYPERLINK("https://www.773grp.com/manufacturer/onsemi?pageNo=148", "Onsemi")</f>
        <v>Onsemi</v>
      </c>
      <c r="C8237" s="6">
        <v>526</v>
      </c>
      <c r="D8237" s="7">
        <v>0.95</v>
      </c>
      <c r="E8237" t="s">
        <v>84</v>
      </c>
    </row>
    <row r="8238" spans="1:5" x14ac:dyDescent="0.25">
      <c r="A8238" t="str">
        <f>HYPERLINK("https://www.773grp.com/globalSearch/MTSF3N03HDR2/page-1", "MTSF3N03HDR2")</f>
        <v>MTSF3N03HDR2</v>
      </c>
      <c r="B8238" s="3" t="str">
        <f>HYPERLINK("https://www.773grp.com/manufacturer/onsemi?pageNo=149", "Onsemi")</f>
        <v>Onsemi</v>
      </c>
      <c r="C8238" s="6">
        <v>13750</v>
      </c>
      <c r="D8238" s="7">
        <v>0.95</v>
      </c>
      <c r="E8238" t="s">
        <v>85</v>
      </c>
    </row>
    <row r="8239" spans="1:5" x14ac:dyDescent="0.25">
      <c r="A8239" t="str">
        <f>HYPERLINK("https://www.773grp.com/globalSearch/MUR1100EG/page-1", "MUR1100EG")</f>
        <v>MUR1100EG</v>
      </c>
      <c r="B8239" s="3" t="str">
        <f>HYPERLINK("https://www.773grp.com/manufacturer/onsemi?pageNo=150", "Onsemi")</f>
        <v>Onsemi</v>
      </c>
      <c r="C8239" s="6">
        <v>4728</v>
      </c>
      <c r="D8239" s="7">
        <v>0.95</v>
      </c>
      <c r="E8239" t="s">
        <v>73</v>
      </c>
    </row>
    <row r="8240" spans="1:5" x14ac:dyDescent="0.25">
      <c r="A8240" t="str">
        <f>HYPERLINK("https://www.773grp.com/globalSearch/MUR1100ERLG/page-1", "MUR1100ERLG")</f>
        <v>MUR1100ERLG</v>
      </c>
      <c r="B8240" s="3" t="str">
        <f>HYPERLINK("https://www.773grp.com/manufacturer/onsemi?pageNo=151", "Onsemi")</f>
        <v>Onsemi</v>
      </c>
      <c r="C8240" s="6">
        <v>654012</v>
      </c>
      <c r="D8240" s="7">
        <v>0.95</v>
      </c>
      <c r="E8240" t="s">
        <v>73</v>
      </c>
    </row>
    <row r="8241" spans="1:5" x14ac:dyDescent="0.25">
      <c r="A8241" t="str">
        <f>HYPERLINK("https://www.773grp.com/globalSearch/MUR180EG/page-1", "MUR180EG")</f>
        <v>MUR180EG</v>
      </c>
      <c r="B8241" s="3" t="str">
        <f>HYPERLINK("https://www.773grp.com/manufacturer/onsemi?pageNo=152", "Onsemi")</f>
        <v>Onsemi</v>
      </c>
      <c r="C8241" s="6">
        <v>12800</v>
      </c>
      <c r="D8241" s="7">
        <v>0.95</v>
      </c>
      <c r="E8241" t="s">
        <v>73</v>
      </c>
    </row>
    <row r="8242" spans="1:5" x14ac:dyDescent="0.25">
      <c r="A8242" t="str">
        <f>HYPERLINK("https://www.773grp.com/globalSearch/MUR180ERLG/page-1", "MUR180ERLG")</f>
        <v>MUR180ERLG</v>
      </c>
      <c r="B8242" s="3" t="str">
        <f>HYPERLINK("https://www.773grp.com/manufacturer/onsemi?pageNo=153", "Onsemi")</f>
        <v>Onsemi</v>
      </c>
      <c r="C8242" s="6">
        <v>115800</v>
      </c>
      <c r="D8242" s="7">
        <v>0.95</v>
      </c>
      <c r="E8242" t="s">
        <v>73</v>
      </c>
    </row>
    <row r="8243" spans="1:5" x14ac:dyDescent="0.25">
      <c r="A8243" t="str">
        <f>HYPERLINK("https://www.773grp.com/globalSearch/MUR405G/page-1", "MUR405G")</f>
        <v>MUR405G</v>
      </c>
      <c r="B8243" s="3" t="str">
        <f>HYPERLINK("https://www.773grp.com/manufacturer/onsemi?pageNo=154", "Onsemi")</f>
        <v>Onsemi</v>
      </c>
      <c r="C8243" s="6">
        <v>29088</v>
      </c>
      <c r="D8243" s="7">
        <v>0.95</v>
      </c>
      <c r="E8243" t="s">
        <v>82</v>
      </c>
    </row>
    <row r="8244" spans="1:5" x14ac:dyDescent="0.25">
      <c r="A8244" t="str">
        <f>HYPERLINK("https://www.773grp.com/globalSearch/MUR410G/page-1", "MUR410G")</f>
        <v>MUR410G</v>
      </c>
      <c r="B8244" s="3" t="str">
        <f>HYPERLINK("https://www.773grp.com/manufacturer/onsemi?pageNo=155", "Onsemi")</f>
        <v>Onsemi</v>
      </c>
      <c r="C8244" s="6">
        <v>132833</v>
      </c>
      <c r="D8244" s="7">
        <v>0.95</v>
      </c>
      <c r="E8244" t="s">
        <v>82</v>
      </c>
    </row>
    <row r="8245" spans="1:5" x14ac:dyDescent="0.25">
      <c r="A8245" t="str">
        <f>HYPERLINK("https://www.773grp.com/globalSearch/MUR410RLG/page-1", "MUR410RLG")</f>
        <v>MUR410RLG</v>
      </c>
      <c r="B8245" s="3" t="str">
        <f>HYPERLINK("https://www.773grp.com/manufacturer/onsemi?pageNo=156", "Onsemi")</f>
        <v>Onsemi</v>
      </c>
      <c r="C8245" s="6">
        <v>6000</v>
      </c>
      <c r="D8245" s="7">
        <v>0.95</v>
      </c>
    </row>
    <row r="8246" spans="1:5" x14ac:dyDescent="0.25">
      <c r="A8246" t="str">
        <f>HYPERLINK("https://www.773grp.com/globalSearch/MUR415G/page-1", "MUR415G")</f>
        <v>MUR415G</v>
      </c>
      <c r="B8246" s="3" t="str">
        <f>HYPERLINK("https://www.773grp.com/manufacturer/onsemi?pageNo=157", "Onsemi")</f>
        <v>Onsemi</v>
      </c>
      <c r="C8246" s="6">
        <v>32000</v>
      </c>
      <c r="D8246" s="7">
        <v>0.95</v>
      </c>
      <c r="E8246" t="s">
        <v>82</v>
      </c>
    </row>
    <row r="8247" spans="1:5" x14ac:dyDescent="0.25">
      <c r="A8247" t="str">
        <f>HYPERLINK("https://www.773grp.com/globalSearch/MUR415RLG/page-1", "MUR415RLG")</f>
        <v>MUR415RLG</v>
      </c>
      <c r="B8247" s="3" t="str">
        <f>HYPERLINK("https://www.773grp.com/manufacturer/onsemi?pageNo=158", "Onsemi")</f>
        <v>Onsemi</v>
      </c>
      <c r="C8247" s="6">
        <v>67450</v>
      </c>
      <c r="D8247" s="7">
        <v>0.95</v>
      </c>
      <c r="E8247" t="s">
        <v>82</v>
      </c>
    </row>
    <row r="8248" spans="1:5" x14ac:dyDescent="0.25">
      <c r="A8248" t="str">
        <f>HYPERLINK("https://www.773grp.com/globalSearch/MUR420/page-1", "MUR420")</f>
        <v>MUR420</v>
      </c>
      <c r="B8248" s="3" t="str">
        <f>HYPERLINK("https://www.773grp.com/manufacturer/onsemi?pageNo=159", "Onsemi")</f>
        <v>Onsemi</v>
      </c>
      <c r="C8248" s="6">
        <v>1000</v>
      </c>
      <c r="D8248" s="7">
        <v>0.95</v>
      </c>
      <c r="E8248" t="s">
        <v>82</v>
      </c>
    </row>
    <row r="8249" spans="1:5" x14ac:dyDescent="0.25">
      <c r="A8249" t="str">
        <f>HYPERLINK("https://www.773grp.com/globalSearch/MUR420G/page-1", "MUR420G")</f>
        <v>MUR420G</v>
      </c>
      <c r="B8249" s="3" t="str">
        <f>HYPERLINK("https://www.773grp.com/manufacturer/onsemi?pageNo=160", "Onsemi")</f>
        <v>Onsemi</v>
      </c>
      <c r="C8249" s="6">
        <v>193102</v>
      </c>
      <c r="D8249" s="7">
        <v>0.95</v>
      </c>
      <c r="E8249" t="s">
        <v>82</v>
      </c>
    </row>
    <row r="8250" spans="1:5" x14ac:dyDescent="0.25">
      <c r="A8250" t="str">
        <f>HYPERLINK("https://www.773grp.com/globalSearch/MUR420RL/page-1", "MUR420RL")</f>
        <v>MUR420RL</v>
      </c>
      <c r="B8250" s="3" t="str">
        <f>HYPERLINK("https://www.773grp.com/manufacturer/onsemi?pageNo=161", "Onsemi")</f>
        <v>Onsemi</v>
      </c>
      <c r="C8250" s="6">
        <v>2702</v>
      </c>
      <c r="D8250" s="7">
        <v>0.95</v>
      </c>
      <c r="E8250" t="s">
        <v>82</v>
      </c>
    </row>
    <row r="8251" spans="1:5" x14ac:dyDescent="0.25">
      <c r="A8251" t="str">
        <f>HYPERLINK("https://www.773grp.com/globalSearch/MUR420RLG/page-1", "MUR420RLG")</f>
        <v>MUR420RLG</v>
      </c>
      <c r="B8251" s="3" t="str">
        <f>HYPERLINK("https://www.773grp.com/manufacturer/onsemi?pageNo=162", "Onsemi")</f>
        <v>Onsemi</v>
      </c>
      <c r="C8251" s="6">
        <v>218779</v>
      </c>
      <c r="D8251" s="7">
        <v>0.95</v>
      </c>
      <c r="E8251" t="s">
        <v>82</v>
      </c>
    </row>
    <row r="8252" spans="1:5" x14ac:dyDescent="0.25">
      <c r="A8252" t="str">
        <f>HYPERLINK("https://www.773grp.com/globalSearch/NCP2820FCT1G/page-1", "NCP2820FCT1G")</f>
        <v>NCP2820FCT1G</v>
      </c>
      <c r="B8252" s="3" t="str">
        <f>HYPERLINK("https://www.773grp.com/manufacturer/onsemi?pageNo=163", "Onsemi")</f>
        <v>Onsemi</v>
      </c>
      <c r="C8252" s="6">
        <v>2377984</v>
      </c>
      <c r="D8252" s="7">
        <v>0.95</v>
      </c>
      <c r="E8252" t="s">
        <v>14</v>
      </c>
    </row>
    <row r="8253" spans="1:5" x14ac:dyDescent="0.25">
      <c r="A8253" t="str">
        <f>HYPERLINK("https://www.773grp.com/globalSearch/NCP2820FCT2G/page-1", "NCP2820FCT2G")</f>
        <v>NCP2820FCT2G</v>
      </c>
      <c r="B8253" s="3" t="str">
        <f>HYPERLINK("https://www.773grp.com/manufacturer/onsemi?pageNo=164", "Onsemi")</f>
        <v>Onsemi</v>
      </c>
      <c r="C8253" s="6">
        <v>1001266</v>
      </c>
      <c r="D8253" s="7">
        <v>0.95</v>
      </c>
      <c r="E8253" t="s">
        <v>14</v>
      </c>
    </row>
    <row r="8254" spans="1:5" x14ac:dyDescent="0.25">
      <c r="A8254" t="str">
        <f>HYPERLINK("https://www.773grp.com/globalSearch/NCP2890DMR2G/page-1", "NCP2890DMR2G")</f>
        <v>NCP2890DMR2G</v>
      </c>
      <c r="B8254" s="3" t="str">
        <f>HYPERLINK("https://www.773grp.com/manufacturer/onsemi?pageNo=165", "Onsemi")</f>
        <v>Onsemi</v>
      </c>
      <c r="C8254" s="6">
        <v>99000</v>
      </c>
      <c r="D8254" s="7">
        <v>0.95</v>
      </c>
      <c r="E8254" t="s">
        <v>14</v>
      </c>
    </row>
    <row r="8255" spans="1:5" x14ac:dyDescent="0.25">
      <c r="A8255" t="str">
        <f>HYPERLINK("https://www.773grp.com/globalSearch/NCP300LSN185T1G/page-1", "NCP300LSN185T1G")</f>
        <v>NCP300LSN185T1G</v>
      </c>
      <c r="B8255" s="3" t="str">
        <f>HYPERLINK("https://www.773grp.com/manufacturer/onsemi?pageNo=166", "Onsemi")</f>
        <v>Onsemi</v>
      </c>
      <c r="C8255" s="6">
        <v>200</v>
      </c>
      <c r="D8255" s="7">
        <v>0.95</v>
      </c>
      <c r="E8255" t="s">
        <v>26</v>
      </c>
    </row>
    <row r="8256" spans="1:5" x14ac:dyDescent="0.25">
      <c r="A8256" t="str">
        <f>HYPERLINK("https://www.773grp.com/globalSearch/NCP300LSN20T1G/page-1", "NCP300LSN20T1G")</f>
        <v>NCP300LSN20T1G</v>
      </c>
      <c r="B8256" s="3" t="str">
        <f>HYPERLINK("https://www.773grp.com/manufacturer/onsemi?pageNo=167", "Onsemi")</f>
        <v>Onsemi</v>
      </c>
      <c r="C8256" s="6">
        <v>888</v>
      </c>
      <c r="D8256" s="7">
        <v>0.95</v>
      </c>
      <c r="E8256" t="s">
        <v>26</v>
      </c>
    </row>
    <row r="8257" spans="1:5" x14ac:dyDescent="0.25">
      <c r="A8257" t="str">
        <f>HYPERLINK("https://www.773grp.com/globalSearch/NCP300LSN30T1G/page-1", "NCP300LSN30T1G")</f>
        <v>NCP300LSN30T1G</v>
      </c>
      <c r="B8257" s="3" t="str">
        <f>HYPERLINK("https://www.773grp.com/manufacturer/onsemi?pageNo=168", "Onsemi")</f>
        <v>Onsemi</v>
      </c>
      <c r="C8257" s="6">
        <v>75776</v>
      </c>
      <c r="D8257" s="7">
        <v>0.95</v>
      </c>
      <c r="E8257" t="s">
        <v>26</v>
      </c>
    </row>
    <row r="8258" spans="1:5" x14ac:dyDescent="0.25">
      <c r="A8258" t="str">
        <f>HYPERLINK("https://www.773grp.com/globalSearch/NCP300LSN44T1G/page-1", "NCP300LSN44T1G")</f>
        <v>NCP300LSN44T1G</v>
      </c>
      <c r="B8258" s="3" t="str">
        <f>HYPERLINK("https://www.773grp.com/manufacturer/onsemi?pageNo=169", "Onsemi")</f>
        <v>Onsemi</v>
      </c>
      <c r="C8258" s="6">
        <v>24156</v>
      </c>
      <c r="D8258" s="7">
        <v>0.95</v>
      </c>
      <c r="E8258" t="s">
        <v>26</v>
      </c>
    </row>
    <row r="8259" spans="1:5" x14ac:dyDescent="0.25">
      <c r="A8259" t="str">
        <f>HYPERLINK("https://www.773grp.com/globalSearch/NCP301LSN20T1G/page-1", "NCP301LSN20T1G")</f>
        <v>NCP301LSN20T1G</v>
      </c>
      <c r="B8259" s="3" t="str">
        <f>HYPERLINK("https://www.773grp.com/manufacturer/onsemi?pageNo=170", "Onsemi")</f>
        <v>Onsemi</v>
      </c>
      <c r="C8259" s="6">
        <v>33065</v>
      </c>
      <c r="D8259" s="7">
        <v>0.95</v>
      </c>
    </row>
    <row r="8260" spans="1:5" x14ac:dyDescent="0.25">
      <c r="A8260" t="str">
        <f>HYPERLINK("https://www.773grp.com/globalSearch/NCP301LSN25T1G/page-1", "NCP301LSN25T1G")</f>
        <v>NCP301LSN25T1G</v>
      </c>
      <c r="B8260" s="3" t="str">
        <f>HYPERLINK("https://www.773grp.com/manufacturer/onsemi?pageNo=171", "Onsemi")</f>
        <v>Onsemi</v>
      </c>
      <c r="C8260" s="6">
        <v>26660</v>
      </c>
      <c r="D8260" s="7">
        <v>0.95</v>
      </c>
      <c r="E8260" t="s">
        <v>26</v>
      </c>
    </row>
    <row r="8261" spans="1:5" x14ac:dyDescent="0.25">
      <c r="A8261" t="str">
        <f>HYPERLINK("https://www.773grp.com/globalSearch/NCP301LSN27T1G/page-1", "NCP301LSN27T1G")</f>
        <v>NCP301LSN27T1G</v>
      </c>
      <c r="B8261" s="3" t="str">
        <f>HYPERLINK("https://www.773grp.com/manufacturer/onsemi?pageNo=172", "Onsemi")</f>
        <v>Onsemi</v>
      </c>
      <c r="C8261" s="6">
        <v>153000</v>
      </c>
      <c r="D8261" s="7">
        <v>0.95</v>
      </c>
      <c r="E8261" t="s">
        <v>26</v>
      </c>
    </row>
    <row r="8262" spans="1:5" x14ac:dyDescent="0.25">
      <c r="A8262" t="str">
        <f>HYPERLINK("https://www.773grp.com/globalSearch/NCP301LSN28T1G/page-1", "NCP301LSN28T1G")</f>
        <v>NCP301LSN28T1G</v>
      </c>
      <c r="B8262" s="3" t="str">
        <f>HYPERLINK("https://www.773grp.com/manufacturer/onsemi?pageNo=173", "Onsemi")</f>
        <v>Onsemi</v>
      </c>
      <c r="C8262" s="6">
        <v>8390</v>
      </c>
      <c r="D8262" s="7">
        <v>0.95</v>
      </c>
      <c r="E8262" t="s">
        <v>26</v>
      </c>
    </row>
    <row r="8263" spans="1:5" x14ac:dyDescent="0.25">
      <c r="A8263" t="str">
        <f>HYPERLINK("https://www.773grp.com/globalSearch/NCP301LSN40T1G/page-1", "NCP301LSN40T1G")</f>
        <v>NCP301LSN40T1G</v>
      </c>
      <c r="B8263" s="3" t="str">
        <f>HYPERLINK("https://www.773grp.com/manufacturer/onsemi?pageNo=174", "Onsemi")</f>
        <v>Onsemi</v>
      </c>
      <c r="C8263" s="6">
        <v>2830</v>
      </c>
      <c r="D8263" s="7">
        <v>0.95</v>
      </c>
      <c r="E8263" t="s">
        <v>26</v>
      </c>
    </row>
    <row r="8264" spans="1:5" x14ac:dyDescent="0.25">
      <c r="A8264" t="str">
        <f>HYPERLINK("https://www.773grp.com/globalSearch/NCP301LSN45T1G/page-1", "NCP301LSN45T1G")</f>
        <v>NCP301LSN45T1G</v>
      </c>
      <c r="B8264" s="3" t="str">
        <f>HYPERLINK("https://www.773grp.com/manufacturer/onsemi?pageNo=175", "Onsemi")</f>
        <v>Onsemi</v>
      </c>
      <c r="C8264" s="6">
        <v>180865</v>
      </c>
      <c r="D8264" s="7">
        <v>0.95</v>
      </c>
      <c r="E8264" t="s">
        <v>26</v>
      </c>
    </row>
    <row r="8265" spans="1:5" x14ac:dyDescent="0.25">
      <c r="A8265" t="str">
        <f>HYPERLINK("https://www.773grp.com/globalSearch/NCP302LSN27T1G/page-1", "NCP302LSN27T1G")</f>
        <v>NCP302LSN27T1G</v>
      </c>
      <c r="B8265" s="3" t="str">
        <f>HYPERLINK("https://www.773grp.com/manufacturer/onsemi?pageNo=176", "Onsemi")</f>
        <v>Onsemi</v>
      </c>
      <c r="C8265" s="6">
        <v>3000</v>
      </c>
      <c r="D8265" s="7">
        <v>0.95</v>
      </c>
    </row>
    <row r="8266" spans="1:5" x14ac:dyDescent="0.25">
      <c r="A8266" t="str">
        <f>HYPERLINK("https://www.773grp.com/globalSearch/NCP302LSN30T1G/page-1", "NCP302LSN30T1G")</f>
        <v>NCP302LSN30T1G</v>
      </c>
      <c r="B8266" s="3" t="str">
        <f>HYPERLINK("https://www.773grp.com/manufacturer/onsemi?pageNo=177", "Onsemi")</f>
        <v>Onsemi</v>
      </c>
      <c r="C8266" s="6">
        <v>32900</v>
      </c>
      <c r="D8266" s="7">
        <v>0.95</v>
      </c>
    </row>
    <row r="8267" spans="1:5" x14ac:dyDescent="0.25">
      <c r="A8267" t="str">
        <f>HYPERLINK("https://www.773grp.com/globalSearch/NCP302LSN45T1G/page-1", "NCP302LSN45T1G")</f>
        <v>NCP302LSN45T1G</v>
      </c>
      <c r="B8267" s="3" t="str">
        <f>HYPERLINK("https://www.773grp.com/manufacturer/onsemi?pageNo=178", "Onsemi")</f>
        <v>Onsemi</v>
      </c>
      <c r="C8267" s="6">
        <v>7631</v>
      </c>
      <c r="D8267" s="7">
        <v>0.95</v>
      </c>
      <c r="E8267" t="s">
        <v>26</v>
      </c>
    </row>
    <row r="8268" spans="1:5" x14ac:dyDescent="0.25">
      <c r="A8268" t="str">
        <f>HYPERLINK("https://www.773grp.com/globalSearch/NCP303LSN09T1G/page-1", "NCP303LSN09T1G")</f>
        <v>NCP303LSN09T1G</v>
      </c>
      <c r="B8268" s="3" t="str">
        <f>HYPERLINK("https://www.773grp.com/manufacturer/onsemi?pageNo=179", "Onsemi")</f>
        <v>Onsemi</v>
      </c>
      <c r="C8268" s="6">
        <v>16778</v>
      </c>
      <c r="D8268" s="7">
        <v>0.95</v>
      </c>
      <c r="E8268" t="s">
        <v>26</v>
      </c>
    </row>
    <row r="8269" spans="1:5" x14ac:dyDescent="0.25">
      <c r="A8269" t="str">
        <f>HYPERLINK("https://www.773grp.com/globalSearch/NCP303LSN20T1G/page-1", "NCP303LSN20T1G")</f>
        <v>NCP303LSN20T1G</v>
      </c>
      <c r="B8269" s="3" t="str">
        <f>HYPERLINK("https://www.773grp.com/manufacturer/onsemi?pageNo=180", "Onsemi")</f>
        <v>Onsemi</v>
      </c>
      <c r="C8269" s="6">
        <v>51400</v>
      </c>
      <c r="D8269" s="7">
        <v>0.95</v>
      </c>
      <c r="E8269" t="s">
        <v>26</v>
      </c>
    </row>
    <row r="8270" spans="1:5" x14ac:dyDescent="0.25">
      <c r="A8270" t="str">
        <f>HYPERLINK("https://www.773grp.com/globalSearch/NCP303LSN22T1G/page-1", "NCP303LSN22T1G")</f>
        <v>NCP303LSN22T1G</v>
      </c>
      <c r="B8270" s="3" t="str">
        <f>HYPERLINK("https://www.773grp.com/manufacturer/onsemi?pageNo=181", "Onsemi")</f>
        <v>Onsemi</v>
      </c>
      <c r="C8270" s="6">
        <v>11236</v>
      </c>
      <c r="D8270" s="7">
        <v>0.95</v>
      </c>
      <c r="E8270" t="s">
        <v>26</v>
      </c>
    </row>
    <row r="8271" spans="1:5" x14ac:dyDescent="0.25">
      <c r="A8271" t="str">
        <f>HYPERLINK("https://www.773grp.com/globalSearch/NCP303LSN27T1G/page-1", "NCP303LSN27T1G")</f>
        <v>NCP303LSN27T1G</v>
      </c>
      <c r="B8271" s="3" t="str">
        <f>HYPERLINK("https://www.773grp.com/manufacturer/onsemi?pageNo=182", "Onsemi")</f>
        <v>Onsemi</v>
      </c>
      <c r="C8271" s="6">
        <v>3000</v>
      </c>
      <c r="D8271" s="7">
        <v>0.95</v>
      </c>
      <c r="E8271" t="s">
        <v>26</v>
      </c>
    </row>
    <row r="8272" spans="1:5" x14ac:dyDescent="0.25">
      <c r="A8272" t="str">
        <f>HYPERLINK("https://www.773grp.com/globalSearch/NCP303LSN28T1G/page-1", "NCP303LSN28T1G")</f>
        <v>NCP303LSN28T1G</v>
      </c>
      <c r="B8272" s="3" t="str">
        <f>HYPERLINK("https://www.773grp.com/manufacturer/onsemi?pageNo=183", "Onsemi")</f>
        <v>Onsemi</v>
      </c>
      <c r="C8272" s="6">
        <v>19107</v>
      </c>
      <c r="D8272" s="7">
        <v>0.95</v>
      </c>
      <c r="E8272" t="s">
        <v>26</v>
      </c>
    </row>
    <row r="8273" spans="1:5" x14ac:dyDescent="0.25">
      <c r="A8273" t="str">
        <f>HYPERLINK("https://www.773grp.com/globalSearch/NCP303LSN30T1G/page-1", "NCP303LSN30T1G")</f>
        <v>NCP303LSN30T1G</v>
      </c>
      <c r="B8273" s="3" t="str">
        <f>HYPERLINK("https://www.773grp.com/manufacturer/onsemi?pageNo=184", "Onsemi")</f>
        <v>Onsemi</v>
      </c>
      <c r="C8273" s="6">
        <v>3000</v>
      </c>
      <c r="D8273" s="7">
        <v>0.95</v>
      </c>
    </row>
    <row r="8274" spans="1:5" x14ac:dyDescent="0.25">
      <c r="A8274" t="str">
        <f>HYPERLINK("https://www.773grp.com/globalSearch/NCP303LSN30T1GH/page-1", "NCP303LSN30T1GH")</f>
        <v>NCP303LSN30T1GH</v>
      </c>
      <c r="B8274" s="3" t="str">
        <f>HYPERLINK("https://www.773grp.com/manufacturer/onsemi?pageNo=185", "Onsemi")</f>
        <v>Onsemi</v>
      </c>
      <c r="C8274" s="6">
        <v>33000</v>
      </c>
      <c r="D8274" s="7">
        <v>0.95</v>
      </c>
    </row>
    <row r="8275" spans="1:5" x14ac:dyDescent="0.25">
      <c r="A8275" t="str">
        <f>HYPERLINK("https://www.773grp.com/globalSearch/NCP303LSN36T1G/page-1", "NCP303LSN36T1G")</f>
        <v>NCP303LSN36T1G</v>
      </c>
      <c r="B8275" s="3" t="str">
        <f>HYPERLINK("https://www.773grp.com/manufacturer/onsemi?pageNo=186", "Onsemi")</f>
        <v>Onsemi</v>
      </c>
      <c r="C8275" s="6">
        <v>6000</v>
      </c>
      <c r="D8275" s="7">
        <v>0.95</v>
      </c>
      <c r="E8275" t="s">
        <v>26</v>
      </c>
    </row>
    <row r="8276" spans="1:5" x14ac:dyDescent="0.25">
      <c r="A8276" t="str">
        <f>HYPERLINK("https://www.773grp.com/globalSearch/NCP303LSN44T1G/page-1", "NCP303LSN44T1G")</f>
        <v>NCP303LSN44T1G</v>
      </c>
      <c r="B8276" s="3" t="str">
        <f>HYPERLINK("https://www.773grp.com/manufacturer/onsemi?pageNo=187", "Onsemi")</f>
        <v>Onsemi</v>
      </c>
      <c r="C8276" s="6">
        <v>9915</v>
      </c>
      <c r="D8276" s="7">
        <v>0.95</v>
      </c>
      <c r="E8276" t="s">
        <v>26</v>
      </c>
    </row>
    <row r="8277" spans="1:5" x14ac:dyDescent="0.25">
      <c r="A8277" t="str">
        <f>HYPERLINK("https://www.773grp.com/globalSearch/NCP304HSQ45T1G/page-1", "NCP304HSQ45T1G")</f>
        <v>NCP304HSQ45T1G</v>
      </c>
      <c r="B8277" s="3" t="str">
        <f>HYPERLINK("https://www.773grp.com/manufacturer/onsemi?pageNo=188", "Onsemi")</f>
        <v>Onsemi</v>
      </c>
      <c r="C8277" s="6">
        <v>53656</v>
      </c>
      <c r="D8277" s="7">
        <v>0.95</v>
      </c>
      <c r="E8277" t="s">
        <v>26</v>
      </c>
    </row>
    <row r="8278" spans="1:5" x14ac:dyDescent="0.25">
      <c r="A8278" t="str">
        <f>HYPERLINK("https://www.773grp.com/globalSearch/NCP305LSQ30T1G/page-1", "NCP305LSQ30T1G")</f>
        <v>NCP305LSQ30T1G</v>
      </c>
      <c r="B8278" s="3" t="str">
        <f>HYPERLINK("https://www.773grp.com/manufacturer/onsemi?pageNo=189", "Onsemi")</f>
        <v>Onsemi</v>
      </c>
      <c r="C8278" s="6">
        <v>114000</v>
      </c>
      <c r="D8278" s="7">
        <v>0.95</v>
      </c>
      <c r="E8278" t="s">
        <v>26</v>
      </c>
    </row>
    <row r="8279" spans="1:5" x14ac:dyDescent="0.25">
      <c r="A8279" t="str">
        <f>HYPERLINK("https://www.773grp.com/globalSearch/NCP3418D/page-1", "NCP3418D")</f>
        <v>NCP3418D</v>
      </c>
      <c r="B8279" s="3" t="str">
        <f>HYPERLINK("https://www.773grp.com/manufacturer/onsemi?pageNo=190", "Onsemi")</f>
        <v>Onsemi</v>
      </c>
      <c r="C8279" s="6">
        <v>5782</v>
      </c>
      <c r="D8279" s="7">
        <v>0.95</v>
      </c>
      <c r="E8279" t="s">
        <v>12</v>
      </c>
    </row>
    <row r="8280" spans="1:5" x14ac:dyDescent="0.25">
      <c r="A8280" t="str">
        <f>HYPERLINK("https://www.773grp.com/globalSearch/NCP3418DR2/page-1", "NCP3418DR2")</f>
        <v>NCP3418DR2</v>
      </c>
      <c r="B8280" s="3" t="str">
        <f>HYPERLINK("https://www.773grp.com/manufacturer/onsemi?pageNo=191", "Onsemi")</f>
        <v>Onsemi</v>
      </c>
      <c r="C8280" s="6">
        <v>32500</v>
      </c>
      <c r="D8280" s="7">
        <v>0.95</v>
      </c>
      <c r="E8280" t="s">
        <v>12</v>
      </c>
    </row>
    <row r="8281" spans="1:5" x14ac:dyDescent="0.25">
      <c r="A8281" t="str">
        <f>HYPERLINK("https://www.773grp.com/globalSearch/NCP3418PDR2/page-1", "NCP3418PDR2")</f>
        <v>NCP3418PDR2</v>
      </c>
      <c r="B8281" s="3" t="str">
        <f>HYPERLINK("https://www.773grp.com/manufacturer/onsemi?pageNo=192", "Onsemi")</f>
        <v>Onsemi</v>
      </c>
      <c r="C8281" s="6">
        <v>7500</v>
      </c>
      <c r="D8281" s="7">
        <v>0.95</v>
      </c>
      <c r="E8281" t="s">
        <v>12</v>
      </c>
    </row>
    <row r="8282" spans="1:5" x14ac:dyDescent="0.25">
      <c r="A8282" t="str">
        <f>HYPERLINK("https://www.773grp.com/globalSearch/NCP360SNAET1G/page-1", "NCP360SNAET1G")</f>
        <v>NCP360SNAET1G</v>
      </c>
      <c r="B8282" s="3" t="str">
        <f>HYPERLINK("https://www.773grp.com/manufacturer/onsemi?pageNo=193", "Onsemi")</f>
        <v>Onsemi</v>
      </c>
      <c r="C8282" s="6">
        <v>234981</v>
      </c>
      <c r="D8282" s="7">
        <v>0.95</v>
      </c>
      <c r="E8282" t="s">
        <v>8</v>
      </c>
    </row>
    <row r="8283" spans="1:5" x14ac:dyDescent="0.25">
      <c r="A8283" t="str">
        <f>HYPERLINK("https://www.773grp.com/globalSearch/NCP360SNAFT1G/page-1", "NCP360SNAFT1G")</f>
        <v>NCP360SNAFT1G</v>
      </c>
      <c r="B8283" s="3" t="str">
        <f>HYPERLINK("https://www.773grp.com/manufacturer/onsemi?pageNo=194", "Onsemi")</f>
        <v>Onsemi</v>
      </c>
      <c r="C8283" s="6">
        <v>5878</v>
      </c>
      <c r="D8283" s="7">
        <v>0.95</v>
      </c>
    </row>
    <row r="8284" spans="1:5" x14ac:dyDescent="0.25">
      <c r="A8284" t="str">
        <f>HYPERLINK("https://www.773grp.com/globalSearch/NCP360SNAIT1G/page-1", "NCP360SNAIT1G")</f>
        <v>NCP360SNAIT1G</v>
      </c>
      <c r="B8284" s="3" t="str">
        <f>HYPERLINK("https://www.773grp.com/manufacturer/onsemi?pageNo=195", "Onsemi")</f>
        <v>Onsemi</v>
      </c>
      <c r="C8284" s="6">
        <v>12000</v>
      </c>
      <c r="D8284" s="7">
        <v>0.95</v>
      </c>
      <c r="E8284" t="s">
        <v>8</v>
      </c>
    </row>
    <row r="8285" spans="1:5" x14ac:dyDescent="0.25">
      <c r="A8285" t="str">
        <f>HYPERLINK("https://www.773grp.com/globalSearch/NCP360SNT1G/page-1", "NCP360SNT1G")</f>
        <v>NCP360SNT1G</v>
      </c>
      <c r="B8285" s="3" t="str">
        <f>HYPERLINK("https://www.773grp.com/manufacturer/onsemi?pageNo=196", "Onsemi")</f>
        <v>Onsemi</v>
      </c>
      <c r="C8285" s="6">
        <v>134000</v>
      </c>
      <c r="D8285" s="7">
        <v>0.95</v>
      </c>
      <c r="E8285" t="s">
        <v>8</v>
      </c>
    </row>
    <row r="8286" spans="1:5" x14ac:dyDescent="0.25">
      <c r="A8286" t="str">
        <f>HYPERLINK("https://www.773grp.com/globalSearch/NCP380LSN05AAT1G/page-1", "NCP380LSN05AAT1G")</f>
        <v>NCP380LSN05AAT1G</v>
      </c>
      <c r="B8286" s="3" t="str">
        <f>HYPERLINK("https://www.773grp.com/manufacturer/onsemi?pageNo=197", "Onsemi")</f>
        <v>Onsemi</v>
      </c>
      <c r="C8286" s="6">
        <v>3000</v>
      </c>
      <c r="D8286" s="7">
        <v>0.95</v>
      </c>
    </row>
    <row r="8287" spans="1:5" x14ac:dyDescent="0.25">
      <c r="A8287" t="str">
        <f>HYPERLINK("https://www.773grp.com/globalSearch/NCP500SN185T1G/page-1", "NCP500SN185T1G")</f>
        <v>NCP500SN185T1G</v>
      </c>
      <c r="B8287" s="3" t="str">
        <f>HYPERLINK("https://www.773grp.com/manufacturer/onsemi?pageNo=198", "Onsemi")</f>
        <v>Onsemi</v>
      </c>
      <c r="C8287" s="6">
        <v>6000</v>
      </c>
      <c r="D8287" s="7">
        <v>0.95</v>
      </c>
      <c r="E8287" t="s">
        <v>15</v>
      </c>
    </row>
    <row r="8288" spans="1:5" x14ac:dyDescent="0.25">
      <c r="A8288" t="str">
        <f>HYPERLINK("https://www.773grp.com/globalSearch/NCP500SN18T1G/page-1", "NCP500SN18T1G")</f>
        <v>NCP500SN18T1G</v>
      </c>
      <c r="B8288" s="3" t="str">
        <f>HYPERLINK("https://www.773grp.com/manufacturer/onsemi?pageNo=199", "Onsemi")</f>
        <v>Onsemi</v>
      </c>
      <c r="C8288" s="6">
        <v>12617</v>
      </c>
      <c r="D8288" s="7">
        <v>0.95</v>
      </c>
      <c r="E8288" t="s">
        <v>15</v>
      </c>
    </row>
    <row r="8289" spans="1:5" x14ac:dyDescent="0.25">
      <c r="A8289" t="str">
        <f>HYPERLINK("https://www.773grp.com/globalSearch/NCP500SN25T1G/page-1", "NCP500SN25T1G")</f>
        <v>NCP500SN25T1G</v>
      </c>
      <c r="B8289" s="3" t="str">
        <f>HYPERLINK("https://www.773grp.com/manufacturer/onsemi?pageNo=200", "Onsemi")</f>
        <v>Onsemi</v>
      </c>
      <c r="C8289" s="6">
        <v>157843</v>
      </c>
      <c r="D8289" s="7">
        <v>0.95</v>
      </c>
      <c r="E8289" t="s">
        <v>15</v>
      </c>
    </row>
    <row r="8290" spans="1:5" x14ac:dyDescent="0.25">
      <c r="A8290" t="str">
        <f>HYPERLINK("https://www.773grp.com/globalSearch/NCP500SN26T1G/page-1", "NCP500SN26T1G")</f>
        <v>NCP500SN26T1G</v>
      </c>
      <c r="B8290" s="3" t="str">
        <f>HYPERLINK("https://www.773grp.com/manufacturer/onsemi?pageNo=201", "Onsemi")</f>
        <v>Onsemi</v>
      </c>
      <c r="C8290" s="6">
        <v>9000</v>
      </c>
      <c r="D8290" s="7">
        <v>0.95</v>
      </c>
    </row>
    <row r="8291" spans="1:5" x14ac:dyDescent="0.25">
      <c r="A8291" t="str">
        <f>HYPERLINK("https://www.773grp.com/globalSearch/NCP500SN27T1G/page-1", "NCP500SN27T1G")</f>
        <v>NCP500SN27T1G</v>
      </c>
      <c r="B8291" s="3" t="str">
        <f>HYPERLINK("https://www.773grp.com/manufacturer/onsemi?pageNo=202", "Onsemi")</f>
        <v>Onsemi</v>
      </c>
      <c r="C8291" s="6">
        <v>3000</v>
      </c>
      <c r="D8291" s="7">
        <v>0.95</v>
      </c>
      <c r="E8291" t="s">
        <v>15</v>
      </c>
    </row>
    <row r="8292" spans="1:5" x14ac:dyDescent="0.25">
      <c r="A8292" t="str">
        <f>HYPERLINK("https://www.773grp.com/globalSearch/NCP500SN28T1G/page-1", "NCP500SN28T1G")</f>
        <v>NCP500SN28T1G</v>
      </c>
      <c r="B8292" s="3" t="str">
        <f>HYPERLINK("https://www.773grp.com/manufacturer/onsemi?pageNo=203", "Onsemi")</f>
        <v>Onsemi</v>
      </c>
      <c r="C8292" s="6">
        <v>5850</v>
      </c>
      <c r="D8292" s="7">
        <v>0.95</v>
      </c>
      <c r="E8292" t="s">
        <v>15</v>
      </c>
    </row>
    <row r="8293" spans="1:5" x14ac:dyDescent="0.25">
      <c r="A8293" t="str">
        <f>HYPERLINK("https://www.773grp.com/globalSearch/NCP500SN30T1G/page-1", "NCP500SN30T1G")</f>
        <v>NCP500SN30T1G</v>
      </c>
      <c r="B8293" s="3" t="str">
        <f>HYPERLINK("https://www.773grp.com/manufacturer/onsemi?pageNo=204", "Onsemi")</f>
        <v>Onsemi</v>
      </c>
      <c r="C8293" s="6">
        <v>816</v>
      </c>
      <c r="D8293" s="7">
        <v>0.95</v>
      </c>
      <c r="E8293" t="s">
        <v>15</v>
      </c>
    </row>
    <row r="8294" spans="1:5" x14ac:dyDescent="0.25">
      <c r="A8294" t="str">
        <f>HYPERLINK("https://www.773grp.com/globalSearch/NCP511SN15T1G/page-1", "NCP511SN15T1G")</f>
        <v>NCP511SN15T1G</v>
      </c>
      <c r="B8294" s="3" t="str">
        <f>HYPERLINK("https://www.773grp.com/manufacturer/onsemi?pageNo=205", "Onsemi")</f>
        <v>Onsemi</v>
      </c>
      <c r="C8294" s="6">
        <v>15080</v>
      </c>
      <c r="D8294" s="7">
        <v>0.95</v>
      </c>
      <c r="E8294" t="s">
        <v>15</v>
      </c>
    </row>
    <row r="8295" spans="1:5" x14ac:dyDescent="0.25">
      <c r="A8295" t="str">
        <f>HYPERLINK("https://www.773grp.com/globalSearch/NCP511SN18T1G/page-1", "NCP511SN18T1G")</f>
        <v>NCP511SN18T1G</v>
      </c>
      <c r="B8295" s="3" t="str">
        <f>HYPERLINK("https://www.773grp.com/manufacturer/onsemi?pageNo=206", "Onsemi")</f>
        <v>Onsemi</v>
      </c>
      <c r="C8295" s="6">
        <v>602960</v>
      </c>
      <c r="D8295" s="7">
        <v>0.95</v>
      </c>
      <c r="E8295" t="s">
        <v>15</v>
      </c>
    </row>
    <row r="8296" spans="1:5" x14ac:dyDescent="0.25">
      <c r="A8296" t="str">
        <f>HYPERLINK("https://www.773grp.com/globalSearch/NCP511SN25T1G/page-1", "NCP511SN25T1G")</f>
        <v>NCP511SN25T1G</v>
      </c>
      <c r="B8296" s="3" t="str">
        <f>HYPERLINK("https://www.773grp.com/manufacturer/onsemi?pageNo=207", "Onsemi")</f>
        <v>Onsemi</v>
      </c>
      <c r="C8296" s="6">
        <v>458455</v>
      </c>
      <c r="D8296" s="7">
        <v>0.95</v>
      </c>
      <c r="E8296" t="s">
        <v>15</v>
      </c>
    </row>
    <row r="8297" spans="1:5" x14ac:dyDescent="0.25">
      <c r="A8297" t="str">
        <f>HYPERLINK("https://www.773grp.com/globalSearch/NCP511SN27T1G/page-1", "NCP511SN27T1G")</f>
        <v>NCP511SN27T1G</v>
      </c>
      <c r="B8297" s="3" t="str">
        <f>HYPERLINK("https://www.773grp.com/manufacturer/onsemi?pageNo=208", "Onsemi")</f>
        <v>Onsemi</v>
      </c>
      <c r="C8297" s="6">
        <v>15000</v>
      </c>
      <c r="D8297" s="7">
        <v>0.95</v>
      </c>
      <c r="E8297" t="s">
        <v>15</v>
      </c>
    </row>
    <row r="8298" spans="1:5" x14ac:dyDescent="0.25">
      <c r="A8298" t="str">
        <f>HYPERLINK("https://www.773grp.com/globalSearch/NCP511SN28T1G/page-1", "NCP511SN28T1G")</f>
        <v>NCP511SN28T1G</v>
      </c>
      <c r="B8298" s="3" t="str">
        <f>HYPERLINK("https://www.773grp.com/manufacturer/onsemi?pageNo=209", "Onsemi")</f>
        <v>Onsemi</v>
      </c>
      <c r="C8298" s="6">
        <v>78000</v>
      </c>
      <c r="D8298" s="7">
        <v>0.95</v>
      </c>
      <c r="E8298" t="s">
        <v>15</v>
      </c>
    </row>
    <row r="8299" spans="1:5" x14ac:dyDescent="0.25">
      <c r="A8299" t="str">
        <f>HYPERLINK("https://www.773grp.com/globalSearch/NCP511SN30T1G/page-1", "NCP511SN30T1G")</f>
        <v>NCP511SN30T1G</v>
      </c>
      <c r="B8299" s="3" t="str">
        <f>HYPERLINK("https://www.773grp.com/manufacturer/onsemi?pageNo=210", "Onsemi")</f>
        <v>Onsemi</v>
      </c>
      <c r="C8299" s="6">
        <v>282700</v>
      </c>
      <c r="D8299" s="7">
        <v>0.95</v>
      </c>
      <c r="E8299" t="s">
        <v>15</v>
      </c>
    </row>
    <row r="8300" spans="1:5" x14ac:dyDescent="0.25">
      <c r="A8300" t="str">
        <f>HYPERLINK("https://www.773grp.com/globalSearch/NCP511SN33T1G/page-1", "NCP511SN33T1G")</f>
        <v>NCP511SN33T1G</v>
      </c>
      <c r="B8300" s="3" t="str">
        <f>HYPERLINK("https://www.773grp.com/manufacturer/onsemi?pageNo=211", "Onsemi")</f>
        <v>Onsemi</v>
      </c>
      <c r="C8300" s="6">
        <v>597789</v>
      </c>
      <c r="D8300" s="7">
        <v>0.95</v>
      </c>
      <c r="E8300" t="s">
        <v>15</v>
      </c>
    </row>
    <row r="8301" spans="1:5" x14ac:dyDescent="0.25">
      <c r="A8301" t="str">
        <f>HYPERLINK("https://www.773grp.com/globalSearch/NCP551SN15T1G/page-1", "NCP551SN15T1G")</f>
        <v>NCP551SN15T1G</v>
      </c>
      <c r="B8301" s="3" t="str">
        <f>HYPERLINK("https://www.773grp.com/manufacturer/onsemi?pageNo=212", "Onsemi")</f>
        <v>Onsemi</v>
      </c>
      <c r="C8301" s="6">
        <v>4472</v>
      </c>
      <c r="D8301" s="7">
        <v>0.95</v>
      </c>
      <c r="E8301" t="s">
        <v>15</v>
      </c>
    </row>
    <row r="8302" spans="1:5" x14ac:dyDescent="0.25">
      <c r="A8302" t="str">
        <f>HYPERLINK("https://www.773grp.com/globalSearch/NCP551SN18T1/page-1", "NCP551SN18T1")</f>
        <v>NCP551SN18T1</v>
      </c>
      <c r="B8302" s="3" t="str">
        <f>HYPERLINK("https://www.773grp.com/manufacturer/onsemi?pageNo=213", "Onsemi")</f>
        <v>Onsemi</v>
      </c>
      <c r="C8302" s="6">
        <v>3000</v>
      </c>
      <c r="D8302" s="7">
        <v>0.95</v>
      </c>
      <c r="E8302" t="s">
        <v>15</v>
      </c>
    </row>
    <row r="8303" spans="1:5" x14ac:dyDescent="0.25">
      <c r="A8303" t="str">
        <f>HYPERLINK("https://www.773grp.com/globalSearch/NCP551SN18T1G/page-1", "NCP551SN18T1G")</f>
        <v>NCP551SN18T1G</v>
      </c>
      <c r="B8303" s="3" t="str">
        <f>HYPERLINK("https://www.773grp.com/manufacturer/onsemi?pageNo=214", "Onsemi")</f>
        <v>Onsemi</v>
      </c>
      <c r="C8303" s="6">
        <v>3000</v>
      </c>
      <c r="D8303" s="7">
        <v>0.95</v>
      </c>
    </row>
    <row r="8304" spans="1:5" x14ac:dyDescent="0.25">
      <c r="A8304" t="str">
        <f>HYPERLINK("https://www.773grp.com/globalSearch/NCP551SN25T1G/page-1", "NCP551SN25T1G")</f>
        <v>NCP551SN25T1G</v>
      </c>
      <c r="B8304" s="3" t="str">
        <f>HYPERLINK("https://www.773grp.com/manufacturer/onsemi?pageNo=215", "Onsemi")</f>
        <v>Onsemi</v>
      </c>
      <c r="C8304" s="6">
        <v>26850</v>
      </c>
      <c r="D8304" s="7">
        <v>0.95</v>
      </c>
      <c r="E8304" t="s">
        <v>15</v>
      </c>
    </row>
    <row r="8305" spans="1:5" x14ac:dyDescent="0.25">
      <c r="A8305" t="str">
        <f>HYPERLINK("https://www.773grp.com/globalSearch/NCP551SN30T1G/page-1", "NCP551SN30T1G")</f>
        <v>NCP551SN30T1G</v>
      </c>
      <c r="B8305" s="3" t="str">
        <f>HYPERLINK("https://www.773grp.com/manufacturer/onsemi?pageNo=216", "Onsemi")</f>
        <v>Onsemi</v>
      </c>
      <c r="C8305" s="6">
        <v>3000</v>
      </c>
      <c r="D8305" s="7">
        <v>0.95</v>
      </c>
    </row>
    <row r="8306" spans="1:5" x14ac:dyDescent="0.25">
      <c r="A8306" t="str">
        <f>HYPERLINK("https://www.773grp.com/globalSearch/NCP551SN31T1G/page-1", "NCP551SN31T1G")</f>
        <v>NCP551SN31T1G</v>
      </c>
      <c r="B8306" s="3" t="str">
        <f>HYPERLINK("https://www.773grp.com/manufacturer/onsemi?pageNo=217", "Onsemi")</f>
        <v>Onsemi</v>
      </c>
      <c r="C8306" s="6">
        <v>3000</v>
      </c>
      <c r="D8306" s="7">
        <v>0.95</v>
      </c>
      <c r="E8306" t="s">
        <v>15</v>
      </c>
    </row>
    <row r="8307" spans="1:5" x14ac:dyDescent="0.25">
      <c r="A8307" t="str">
        <f>HYPERLINK("https://www.773grp.com/globalSearch/NCP561SN15T1G/page-1", "NCP561SN15T1G")</f>
        <v>NCP561SN15T1G</v>
      </c>
      <c r="B8307" s="3" t="str">
        <f>HYPERLINK("https://www.773grp.com/manufacturer/onsemi?pageNo=218", "Onsemi")</f>
        <v>Onsemi</v>
      </c>
      <c r="C8307" s="6">
        <v>3000</v>
      </c>
      <c r="D8307" s="7">
        <v>0.95</v>
      </c>
      <c r="E8307" t="s">
        <v>15</v>
      </c>
    </row>
    <row r="8308" spans="1:5" x14ac:dyDescent="0.25">
      <c r="A8308" t="str">
        <f>HYPERLINK("https://www.773grp.com/globalSearch/NCP561SN18T1G/page-1", "NCP561SN18T1G")</f>
        <v>NCP561SN18T1G</v>
      </c>
      <c r="B8308" s="3" t="str">
        <f>HYPERLINK("https://www.773grp.com/manufacturer/onsemi?pageNo=219", "Onsemi")</f>
        <v>Onsemi</v>
      </c>
      <c r="C8308" s="6">
        <v>126000</v>
      </c>
      <c r="D8308" s="7">
        <v>0.95</v>
      </c>
      <c r="E8308" t="s">
        <v>15</v>
      </c>
    </row>
    <row r="8309" spans="1:5" x14ac:dyDescent="0.25">
      <c r="A8309" t="str">
        <f>HYPERLINK("https://www.773grp.com/globalSearch/NCP561SN25T1G/page-1", "NCP561SN25T1G")</f>
        <v>NCP561SN25T1G</v>
      </c>
      <c r="B8309" s="3" t="str">
        <f>HYPERLINK("https://www.773grp.com/manufacturer/onsemi?pageNo=220", "Onsemi")</f>
        <v>Onsemi</v>
      </c>
      <c r="C8309" s="6">
        <v>147000</v>
      </c>
      <c r="D8309" s="7">
        <v>0.95</v>
      </c>
      <c r="E8309" t="s">
        <v>15</v>
      </c>
    </row>
    <row r="8310" spans="1:5" x14ac:dyDescent="0.25">
      <c r="A8310" t="str">
        <f>HYPERLINK("https://www.773grp.com/globalSearch/NCP561SN28T1G/page-1", "NCP561SN28T1G")</f>
        <v>NCP561SN28T1G</v>
      </c>
      <c r="B8310" s="3" t="str">
        <f>HYPERLINK("https://www.773grp.com/manufacturer/onsemi?pageNo=221", "Onsemi")</f>
        <v>Onsemi</v>
      </c>
      <c r="C8310" s="6">
        <v>15000</v>
      </c>
      <c r="D8310" s="7">
        <v>0.95</v>
      </c>
      <c r="E8310" t="s">
        <v>15</v>
      </c>
    </row>
    <row r="8311" spans="1:5" x14ac:dyDescent="0.25">
      <c r="A8311" t="str">
        <f>HYPERLINK("https://www.773grp.com/globalSearch/NCP561SN30T1G/page-1", "NCP561SN30T1G")</f>
        <v>NCP561SN30T1G</v>
      </c>
      <c r="B8311" s="3" t="str">
        <f>HYPERLINK("https://www.773grp.com/manufacturer/onsemi?pageNo=222", "Onsemi")</f>
        <v>Onsemi</v>
      </c>
      <c r="C8311" s="6">
        <v>3000</v>
      </c>
      <c r="D8311" s="7">
        <v>0.95</v>
      </c>
      <c r="E8311" t="s">
        <v>15</v>
      </c>
    </row>
    <row r="8312" spans="1:5" x14ac:dyDescent="0.25">
      <c r="A8312" t="str">
        <f>HYPERLINK("https://www.773grp.com/globalSearch/NCP580SQ33T1G/page-1", "NCP580SQ33T1G")</f>
        <v>NCP580SQ33T1G</v>
      </c>
      <c r="B8312" s="3" t="str">
        <f>HYPERLINK("https://www.773grp.com/manufacturer/onsemi?pageNo=223", "Onsemi")</f>
        <v>Onsemi</v>
      </c>
      <c r="C8312" s="6">
        <v>10050</v>
      </c>
      <c r="D8312" s="7">
        <v>0.95</v>
      </c>
      <c r="E8312" t="s">
        <v>15</v>
      </c>
    </row>
    <row r="8313" spans="1:5" x14ac:dyDescent="0.25">
      <c r="A8313" t="str">
        <f>HYPERLINK("https://www.773grp.com/globalSearch/NCP600SN130T1G/page-1", "NCP600SN130T1G")</f>
        <v>NCP600SN130T1G</v>
      </c>
      <c r="B8313" s="3" t="str">
        <f>HYPERLINK("https://www.773grp.com/manufacturer/onsemi?pageNo=224", "Onsemi")</f>
        <v>Onsemi</v>
      </c>
      <c r="C8313" s="6">
        <v>8510</v>
      </c>
      <c r="D8313" s="7">
        <v>0.95</v>
      </c>
      <c r="E8313" t="s">
        <v>15</v>
      </c>
    </row>
    <row r="8314" spans="1:5" x14ac:dyDescent="0.25">
      <c r="A8314" t="str">
        <f>HYPERLINK("https://www.773grp.com/globalSearch/NCP600SN150T1G/page-1", "NCP600SN150T1G")</f>
        <v>NCP600SN150T1G</v>
      </c>
      <c r="B8314" s="3" t="str">
        <f>HYPERLINK("https://www.773grp.com/manufacturer/onsemi?pageNo=225", "Onsemi")</f>
        <v>Onsemi</v>
      </c>
      <c r="C8314" s="6">
        <v>264000</v>
      </c>
      <c r="D8314" s="7">
        <v>0.95</v>
      </c>
      <c r="E8314" t="s">
        <v>15</v>
      </c>
    </row>
    <row r="8315" spans="1:5" x14ac:dyDescent="0.25">
      <c r="A8315" t="str">
        <f>HYPERLINK("https://www.773grp.com/globalSearch/NCP600SN180T1G/page-1", "NCP600SN180T1G")</f>
        <v>NCP600SN180T1G</v>
      </c>
      <c r="B8315" s="3" t="str">
        <f>HYPERLINK("https://www.773grp.com/manufacturer/onsemi?pageNo=226", "Onsemi")</f>
        <v>Onsemi</v>
      </c>
      <c r="C8315" s="6">
        <v>15000</v>
      </c>
      <c r="D8315" s="7">
        <v>0.95</v>
      </c>
      <c r="E8315" t="s">
        <v>15</v>
      </c>
    </row>
    <row r="8316" spans="1:5" x14ac:dyDescent="0.25">
      <c r="A8316" t="str">
        <f>HYPERLINK("https://www.773grp.com/globalSearch/NCP600SN250T1G/page-1", "NCP600SN250T1G")</f>
        <v>NCP600SN250T1G</v>
      </c>
      <c r="B8316" s="3" t="str">
        <f>HYPERLINK("https://www.773grp.com/manufacturer/onsemi?pageNo=227", "Onsemi")</f>
        <v>Onsemi</v>
      </c>
      <c r="C8316" s="6">
        <v>3000</v>
      </c>
      <c r="D8316" s="7">
        <v>0.95</v>
      </c>
      <c r="E8316" t="s">
        <v>15</v>
      </c>
    </row>
    <row r="8317" spans="1:5" x14ac:dyDescent="0.25">
      <c r="A8317" t="str">
        <f>HYPERLINK("https://www.773grp.com/globalSearch/NCP600SN280T1G/page-1", "NCP600SN280T1G")</f>
        <v>NCP600SN280T1G</v>
      </c>
      <c r="B8317" s="3" t="str">
        <f>HYPERLINK("https://www.773grp.com/manufacturer/onsemi?pageNo=228", "Onsemi")</f>
        <v>Onsemi</v>
      </c>
      <c r="C8317" s="6">
        <v>6000</v>
      </c>
      <c r="D8317" s="7">
        <v>0.95</v>
      </c>
      <c r="E8317" t="s">
        <v>15</v>
      </c>
    </row>
    <row r="8318" spans="1:5" x14ac:dyDescent="0.25">
      <c r="A8318" t="str">
        <f>HYPERLINK("https://www.773grp.com/globalSearch/NCP600SN300T1G/page-1", "NCP600SN300T1G")</f>
        <v>NCP600SN300T1G</v>
      </c>
      <c r="B8318" s="3" t="str">
        <f>HYPERLINK("https://www.773grp.com/manufacturer/onsemi?pageNo=229", "Onsemi")</f>
        <v>Onsemi</v>
      </c>
      <c r="C8318" s="6">
        <v>11500</v>
      </c>
      <c r="D8318" s="7">
        <v>0.95</v>
      </c>
      <c r="E8318" t="s">
        <v>15</v>
      </c>
    </row>
    <row r="8319" spans="1:5" x14ac:dyDescent="0.25">
      <c r="A8319" t="str">
        <f>HYPERLINK("https://www.773grp.com/globalSearch/NCP600SN330T1G/page-1", "NCP600SN330T1G")</f>
        <v>NCP600SN330T1G</v>
      </c>
      <c r="B8319" s="3" t="str">
        <f>HYPERLINK("https://www.773grp.com/manufacturer/onsemi?pageNo=230", "Onsemi")</f>
        <v>Onsemi</v>
      </c>
      <c r="C8319" s="6">
        <v>3000</v>
      </c>
      <c r="D8319" s="7">
        <v>0.95</v>
      </c>
      <c r="E8319" t="s">
        <v>15</v>
      </c>
    </row>
    <row r="8320" spans="1:5" x14ac:dyDescent="0.25">
      <c r="A8320" t="str">
        <f>HYPERLINK("https://www.773grp.com/globalSearch/NCP600SN350T1G/page-1", "NCP600SN350T1G")</f>
        <v>NCP600SN350T1G</v>
      </c>
      <c r="B8320" s="3" t="str">
        <f>HYPERLINK("https://www.773grp.com/manufacturer/onsemi?pageNo=231", "Onsemi")</f>
        <v>Onsemi</v>
      </c>
      <c r="C8320" s="6">
        <v>14847</v>
      </c>
      <c r="D8320" s="7">
        <v>0.95</v>
      </c>
      <c r="E8320" t="s">
        <v>15</v>
      </c>
    </row>
    <row r="8321" spans="1:5" x14ac:dyDescent="0.25">
      <c r="A8321" t="str">
        <f>HYPERLINK("https://www.773grp.com/globalSearch/NCP600SN500T1G/page-1", "NCP600SN500T1G")</f>
        <v>NCP600SN500T1G</v>
      </c>
      <c r="B8321" s="3" t="str">
        <f>HYPERLINK("https://www.773grp.com/manufacturer/onsemi?pageNo=232", "Onsemi")</f>
        <v>Onsemi</v>
      </c>
      <c r="C8321" s="6">
        <v>15000</v>
      </c>
      <c r="D8321" s="7">
        <v>0.95</v>
      </c>
      <c r="E8321" t="s">
        <v>15</v>
      </c>
    </row>
    <row r="8322" spans="1:5" x14ac:dyDescent="0.25">
      <c r="A8322" t="str">
        <f>HYPERLINK("https://www.773grp.com/globalSearch/NCP600SNADJT1G/page-1", "NCP600SNADJT1G")</f>
        <v>NCP600SNADJT1G</v>
      </c>
      <c r="B8322" s="3" t="str">
        <f>HYPERLINK("https://www.773grp.com/manufacturer/onsemi?pageNo=233", "Onsemi")</f>
        <v>Onsemi</v>
      </c>
      <c r="C8322" s="6">
        <v>65567</v>
      </c>
      <c r="D8322" s="7">
        <v>0.95</v>
      </c>
      <c r="E8322" t="s">
        <v>21</v>
      </c>
    </row>
    <row r="8323" spans="1:5" x14ac:dyDescent="0.25">
      <c r="A8323" t="str">
        <f>HYPERLINK("https://www.773grp.com/globalSearch/NCP662SQ15T1G/page-1", "NCP662SQ15T1G")</f>
        <v>NCP662SQ15T1G</v>
      </c>
      <c r="B8323" s="3" t="str">
        <f>HYPERLINK("https://www.773grp.com/manufacturer/onsemi?pageNo=234", "Onsemi")</f>
        <v>Onsemi</v>
      </c>
      <c r="C8323" s="6">
        <v>20892</v>
      </c>
      <c r="D8323" s="7">
        <v>0.95</v>
      </c>
      <c r="E8323" t="s">
        <v>15</v>
      </c>
    </row>
    <row r="8324" spans="1:5" x14ac:dyDescent="0.25">
      <c r="A8324" t="str">
        <f>HYPERLINK("https://www.773grp.com/globalSearch/NCP662SQ18T1G/page-1", "NCP662SQ18T1G")</f>
        <v>NCP662SQ18T1G</v>
      </c>
      <c r="B8324" s="3" t="str">
        <f>HYPERLINK("https://www.773grp.com/manufacturer/onsemi?pageNo=235", "Onsemi")</f>
        <v>Onsemi</v>
      </c>
      <c r="C8324" s="6">
        <v>14926</v>
      </c>
      <c r="D8324" s="7">
        <v>0.95</v>
      </c>
      <c r="E8324" t="s">
        <v>15</v>
      </c>
    </row>
    <row r="8325" spans="1:5" x14ac:dyDescent="0.25">
      <c r="A8325" t="str">
        <f>HYPERLINK("https://www.773grp.com/globalSearch/NCP662SQ25T1G/page-1", "NCP662SQ25T1G")</f>
        <v>NCP662SQ25T1G</v>
      </c>
      <c r="B8325" s="3" t="str">
        <f>HYPERLINK("https://www.773grp.com/manufacturer/onsemi?pageNo=236", "Onsemi")</f>
        <v>Onsemi</v>
      </c>
      <c r="C8325" s="6">
        <v>17950</v>
      </c>
      <c r="D8325" s="7">
        <v>0.95</v>
      </c>
      <c r="E8325" t="s">
        <v>15</v>
      </c>
    </row>
    <row r="8326" spans="1:5" x14ac:dyDescent="0.25">
      <c r="A8326" t="str">
        <f>HYPERLINK("https://www.773grp.com/globalSearch/NCP662SQ27T1G/page-1", "NCP662SQ27T1G")</f>
        <v>NCP662SQ27T1G</v>
      </c>
      <c r="B8326" s="3" t="str">
        <f>HYPERLINK("https://www.773grp.com/manufacturer/onsemi?pageNo=237", "Onsemi")</f>
        <v>Onsemi</v>
      </c>
      <c r="C8326" s="6">
        <v>17900</v>
      </c>
      <c r="D8326" s="7">
        <v>0.95</v>
      </c>
      <c r="E8326" t="s">
        <v>15</v>
      </c>
    </row>
    <row r="8327" spans="1:5" x14ac:dyDescent="0.25">
      <c r="A8327" t="str">
        <f>HYPERLINK("https://www.773grp.com/globalSearch/NCP662SQ30T1G/page-1", "NCP662SQ30T1G")</f>
        <v>NCP662SQ30T1G</v>
      </c>
      <c r="B8327" s="3" t="str">
        <f>HYPERLINK("https://www.773grp.com/manufacturer/onsemi?pageNo=238", "Onsemi")</f>
        <v>Onsemi</v>
      </c>
      <c r="C8327" s="6">
        <v>9000</v>
      </c>
      <c r="D8327" s="7">
        <v>0.95</v>
      </c>
      <c r="E8327" t="s">
        <v>15</v>
      </c>
    </row>
    <row r="8328" spans="1:5" x14ac:dyDescent="0.25">
      <c r="A8328" t="str">
        <f>HYPERLINK("https://www.773grp.com/globalSearch/NCP662SQ33T1G/page-1", "NCP662SQ33T1G")</f>
        <v>NCP662SQ33T1G</v>
      </c>
      <c r="B8328" s="3" t="str">
        <f>HYPERLINK("https://www.773grp.com/manufacturer/onsemi?pageNo=239", "Onsemi")</f>
        <v>Onsemi</v>
      </c>
      <c r="C8328" s="6">
        <v>20973</v>
      </c>
      <c r="D8328" s="7">
        <v>0.95</v>
      </c>
      <c r="E8328" t="s">
        <v>15</v>
      </c>
    </row>
    <row r="8329" spans="1:5" x14ac:dyDescent="0.25">
      <c r="A8329" t="str">
        <f>HYPERLINK("https://www.773grp.com/globalSearch/NCP662SQ50T1G/page-1", "NCP662SQ50T1G")</f>
        <v>NCP662SQ50T1G</v>
      </c>
      <c r="B8329" s="3" t="str">
        <f>HYPERLINK("https://www.773grp.com/manufacturer/onsemi?pageNo=240", "Onsemi")</f>
        <v>Onsemi</v>
      </c>
      <c r="C8329" s="6">
        <v>41965</v>
      </c>
      <c r="D8329" s="7">
        <v>0.95</v>
      </c>
      <c r="E8329" t="s">
        <v>15</v>
      </c>
    </row>
    <row r="8330" spans="1:5" x14ac:dyDescent="0.25">
      <c r="A8330" t="str">
        <f>HYPERLINK("https://www.773grp.com/globalSearch/NCP802SAN1T1/page-1", "NCP802SAN1T1")</f>
        <v>NCP802SAN1T1</v>
      </c>
      <c r="B8330" s="3" t="str">
        <f>HYPERLINK("https://www.773grp.com/manufacturer/onsemi?pageNo=241", "Onsemi")</f>
        <v>Onsemi</v>
      </c>
      <c r="C8330" s="6">
        <v>10187</v>
      </c>
      <c r="D8330" s="7">
        <v>0.95</v>
      </c>
      <c r="E8330" t="s">
        <v>26</v>
      </c>
    </row>
    <row r="8331" spans="1:5" x14ac:dyDescent="0.25">
      <c r="A8331" t="str">
        <f>HYPERLINK("https://www.773grp.com/globalSearch/NCP803SN232T1G/page-1", "NCP803SN232T1G")</f>
        <v>NCP803SN232T1G</v>
      </c>
      <c r="B8331" s="3" t="str">
        <f>HYPERLINK("https://www.773grp.com/manufacturer/onsemi?pageNo=242", "Onsemi")</f>
        <v>Onsemi</v>
      </c>
      <c r="C8331" s="6">
        <v>54036</v>
      </c>
      <c r="D8331" s="7">
        <v>0.95</v>
      </c>
      <c r="E8331" t="s">
        <v>26</v>
      </c>
    </row>
    <row r="8332" spans="1:5" x14ac:dyDescent="0.25">
      <c r="A8332" t="str">
        <f>HYPERLINK("https://www.773grp.com/globalSearch/NCP803SN263T1G/page-1", "NCP803SN263T1G")</f>
        <v>NCP803SN263T1G</v>
      </c>
      <c r="B8332" s="3" t="str">
        <f>HYPERLINK("https://www.773grp.com/manufacturer/onsemi?pageNo=243", "Onsemi")</f>
        <v>Onsemi</v>
      </c>
      <c r="C8332" s="6">
        <v>8900</v>
      </c>
      <c r="D8332" s="7">
        <v>0.95</v>
      </c>
      <c r="E8332" t="s">
        <v>26</v>
      </c>
    </row>
    <row r="8333" spans="1:5" x14ac:dyDescent="0.25">
      <c r="A8333" t="str">
        <f>HYPERLINK("https://www.773grp.com/globalSearch/NCP803SN438T1G/page-1", "NCP803SN438T1G")</f>
        <v>NCP803SN438T1G</v>
      </c>
      <c r="B8333" s="3" t="str">
        <f>HYPERLINK("https://www.773grp.com/manufacturer/onsemi?pageNo=244", "Onsemi")</f>
        <v>Onsemi</v>
      </c>
      <c r="C8333" s="6">
        <v>21000</v>
      </c>
      <c r="D8333" s="7">
        <v>0.95</v>
      </c>
    </row>
    <row r="8334" spans="1:5" x14ac:dyDescent="0.25">
      <c r="A8334" t="str">
        <f>HYPERLINK("https://www.773grp.com/globalSearch/NCS2202SN2T1/page-1", "NCS2202SN2T1")</f>
        <v>NCS2202SN2T1</v>
      </c>
      <c r="B8334" s="3" t="str">
        <f>HYPERLINK("https://www.773grp.com/manufacturer/onsemi?pageNo=245", "Onsemi")</f>
        <v>Onsemi</v>
      </c>
      <c r="C8334" s="6">
        <v>373</v>
      </c>
      <c r="D8334" s="7">
        <v>0.95</v>
      </c>
      <c r="E8334" t="s">
        <v>6</v>
      </c>
    </row>
    <row r="8335" spans="1:5" x14ac:dyDescent="0.25">
      <c r="A8335" t="str">
        <f>HYPERLINK("https://www.773grp.com/globalSearch/NCS2563DG/page-1", "NCS2563DG")</f>
        <v>NCS2563DG</v>
      </c>
      <c r="B8335" s="3" t="str">
        <f>HYPERLINK("https://www.773grp.com/manufacturer/onsemi?pageNo=246", "Onsemi")</f>
        <v>Onsemi</v>
      </c>
      <c r="C8335" s="6">
        <v>31518</v>
      </c>
      <c r="D8335" s="7">
        <v>0.95</v>
      </c>
      <c r="E8335" t="s">
        <v>14</v>
      </c>
    </row>
    <row r="8336" spans="1:5" x14ac:dyDescent="0.25">
      <c r="A8336" t="str">
        <f>HYPERLINK("https://www.773grp.com/globalSearch/NCS2563DR2G/page-1", "NCS2563DR2G")</f>
        <v>NCS2563DR2G</v>
      </c>
      <c r="B8336" s="3" t="str">
        <f>HYPERLINK("https://www.773grp.com/manufacturer/onsemi?pageNo=247", "Onsemi")</f>
        <v>Onsemi</v>
      </c>
      <c r="C8336" s="6">
        <v>319800</v>
      </c>
      <c r="D8336" s="7">
        <v>0.95</v>
      </c>
      <c r="E8336" t="s">
        <v>14</v>
      </c>
    </row>
    <row r="8337" spans="1:5" x14ac:dyDescent="0.25">
      <c r="A8337" t="str">
        <f>HYPERLINK("https://www.773grp.com/globalSearch/NCS2632DTBR2G/page-1", "NCS2632DTBR2G")</f>
        <v>NCS2632DTBR2G</v>
      </c>
      <c r="B8337" s="3" t="str">
        <f>HYPERLINK("https://www.773grp.com/manufacturer/onsemi?pageNo=248", "Onsemi")</f>
        <v>Onsemi</v>
      </c>
      <c r="C8337" s="6">
        <v>2500</v>
      </c>
      <c r="D8337" s="7">
        <v>0.95</v>
      </c>
    </row>
    <row r="8338" spans="1:5" x14ac:dyDescent="0.25">
      <c r="A8338" t="str">
        <f>HYPERLINK("https://www.773grp.com/globalSearch/NCV1413BDR2G/page-1", "NCV1413BDR2G")</f>
        <v>NCV1413BDR2G</v>
      </c>
      <c r="B8338" s="3" t="str">
        <f>HYPERLINK("https://www.773grp.com/manufacturer/onsemi?pageNo=249", "Onsemi")</f>
        <v>Onsemi</v>
      </c>
      <c r="C8338" s="6">
        <v>67809</v>
      </c>
      <c r="D8338" s="7">
        <v>0.95</v>
      </c>
      <c r="E8338" t="s">
        <v>47</v>
      </c>
    </row>
    <row r="8339" spans="1:5" x14ac:dyDescent="0.25">
      <c r="A8339" t="str">
        <f>HYPERLINK("https://www.773grp.com/globalSearch/NCV2002SN1T1/page-1", "NCV2002SN1T1")</f>
        <v>NCV2002SN1T1</v>
      </c>
      <c r="B8339" s="3" t="str">
        <f>HYPERLINK("https://www.773grp.com/manufacturer/onsemi?pageNo=250", "Onsemi")</f>
        <v>Onsemi</v>
      </c>
      <c r="C8339" s="6">
        <v>356</v>
      </c>
      <c r="D8339" s="7">
        <v>0.95</v>
      </c>
      <c r="E8339" t="s">
        <v>10</v>
      </c>
    </row>
    <row r="8340" spans="1:5" x14ac:dyDescent="0.25">
      <c r="A8340" t="str">
        <f>HYPERLINK("https://www.773grp.com/globalSearch/NCV2002SN2T1/page-1", "NCV2002SN2T1")</f>
        <v>NCV2002SN2T1</v>
      </c>
      <c r="B8340" s="3" t="str">
        <f>HYPERLINK("https://www.773grp.com/manufacturer/onsemi?pageNo=251", "Onsemi")</f>
        <v>Onsemi</v>
      </c>
      <c r="C8340" s="6">
        <v>2928</v>
      </c>
      <c r="D8340" s="7">
        <v>0.95</v>
      </c>
      <c r="E8340" t="s">
        <v>10</v>
      </c>
    </row>
    <row r="8341" spans="1:5" x14ac:dyDescent="0.25">
      <c r="A8341" t="str">
        <f>HYPERLINK("https://www.773grp.com/globalSearch/NE556D/page-1", "NE556D")</f>
        <v>NE556D</v>
      </c>
      <c r="B8341" s="3" t="str">
        <f>HYPERLINK("https://www.773grp.com/manufacturer/onsemi?pageNo=252", "Onsemi")</f>
        <v>Onsemi</v>
      </c>
      <c r="C8341" s="6">
        <v>382</v>
      </c>
      <c r="D8341" s="7">
        <v>0.95</v>
      </c>
      <c r="E8341" t="s">
        <v>25</v>
      </c>
    </row>
    <row r="8342" spans="1:5" x14ac:dyDescent="0.25">
      <c r="A8342" t="str">
        <f>HYPERLINK("https://www.773grp.com/globalSearch/NJD1718T4G/page-1", "NJD1718T4G")</f>
        <v>NJD1718T4G</v>
      </c>
      <c r="B8342" s="3" t="str">
        <f>HYPERLINK("https://www.773grp.com/manufacturer/onsemi?pageNo=253", "Onsemi")</f>
        <v>Onsemi</v>
      </c>
      <c r="C8342" s="6">
        <v>236761</v>
      </c>
      <c r="D8342" s="7">
        <v>0.95</v>
      </c>
      <c r="E8342" t="s">
        <v>47</v>
      </c>
    </row>
    <row r="8343" spans="1:5" x14ac:dyDescent="0.25">
      <c r="A8343" t="str">
        <f>HYPERLINK("https://www.773grp.com/globalSearch/NJVMJD122T4G/page-1", "NJVMJD122T4G")</f>
        <v>NJVMJD122T4G</v>
      </c>
      <c r="B8343" s="3" t="str">
        <f>HYPERLINK("https://www.773grp.com/manufacturer/onsemi?pageNo=254", "Onsemi")</f>
        <v>Onsemi</v>
      </c>
      <c r="C8343" s="6">
        <v>2500</v>
      </c>
      <c r="D8343" s="7">
        <v>0.95</v>
      </c>
    </row>
    <row r="8344" spans="1:5" x14ac:dyDescent="0.25">
      <c r="A8344" t="str">
        <f>HYPERLINK("https://www.773grp.com/globalSearch/NLAS2066USG/page-1", "NLAS2066USG")</f>
        <v>NLAS2066USG</v>
      </c>
      <c r="B8344" s="3" t="str">
        <f>HYPERLINK("https://www.773grp.com/manufacturer/onsemi?pageNo=255", "Onsemi")</f>
        <v>Onsemi</v>
      </c>
      <c r="C8344" s="6">
        <v>150799</v>
      </c>
      <c r="D8344" s="7">
        <v>0.95</v>
      </c>
      <c r="E8344" t="s">
        <v>46</v>
      </c>
    </row>
    <row r="8345" spans="1:5" x14ac:dyDescent="0.25">
      <c r="A8345" t="str">
        <f>HYPERLINK("https://www.773grp.com/globalSearch/NLAS2066UST3G/page-1", "NLAS2066UST3G")</f>
        <v>NLAS2066UST3G</v>
      </c>
      <c r="B8345" s="3" t="str">
        <f>HYPERLINK("https://www.773grp.com/manufacturer/onsemi?pageNo=256", "Onsemi")</f>
        <v>Onsemi</v>
      </c>
      <c r="C8345" s="6">
        <v>620000</v>
      </c>
      <c r="D8345" s="7">
        <v>0.95</v>
      </c>
      <c r="E8345" t="s">
        <v>46</v>
      </c>
    </row>
    <row r="8346" spans="1:5" x14ac:dyDescent="0.25">
      <c r="A8346" t="str">
        <f>HYPERLINK("https://www.773grp.com/globalSearch/NLAS5157MUTCG/page-1", "NLAS5157MUTCG")</f>
        <v>NLAS5157MUTCG</v>
      </c>
      <c r="B8346" s="3" t="str">
        <f>HYPERLINK("https://www.773grp.com/manufacturer/onsemi?pageNo=257", "Onsemi")</f>
        <v>Onsemi</v>
      </c>
      <c r="C8346" s="6">
        <v>134545</v>
      </c>
      <c r="D8346" s="7">
        <v>0.95</v>
      </c>
      <c r="E8346" t="s">
        <v>46</v>
      </c>
    </row>
    <row r="8347" spans="1:5" x14ac:dyDescent="0.25">
      <c r="A8347" t="str">
        <f>HYPERLINK("https://www.773grp.com/globalSearch/NLV14021BDR2/page-1", "NLV14021BDR2")</f>
        <v>NLV14021BDR2</v>
      </c>
      <c r="B8347" s="3" t="str">
        <f>HYPERLINK("https://www.773grp.com/manufacturer/onsemi?pageNo=258", "Onsemi")</f>
        <v>Onsemi</v>
      </c>
      <c r="C8347" s="6">
        <v>195148</v>
      </c>
      <c r="D8347" s="7">
        <v>0.95</v>
      </c>
    </row>
    <row r="8348" spans="1:5" x14ac:dyDescent="0.25">
      <c r="A8348" t="str">
        <f>HYPERLINK("https://www.773grp.com/globalSearch/NLV14049BDR2G/page-1", "NLV14049BDR2G")</f>
        <v>NLV14049BDR2G</v>
      </c>
      <c r="B8348" s="3" t="str">
        <f>HYPERLINK("https://www.773grp.com/manufacturer/onsemi?pageNo=259", "Onsemi")</f>
        <v>Onsemi</v>
      </c>
      <c r="C8348" s="6">
        <v>1520</v>
      </c>
      <c r="D8348" s="7">
        <v>0.95</v>
      </c>
    </row>
    <row r="8349" spans="1:5" x14ac:dyDescent="0.25">
      <c r="A8349" t="str">
        <f>HYPERLINK("https://www.773grp.com/globalSearch/NLV14049UBDR2G/page-1", "NLV14049UBDR2G")</f>
        <v>NLV14049UBDR2G</v>
      </c>
      <c r="B8349" s="3" t="str">
        <f>HYPERLINK("https://www.773grp.com/manufacturer/onsemi?pageNo=260", "Onsemi")</f>
        <v>Onsemi</v>
      </c>
      <c r="C8349" s="6">
        <v>35000</v>
      </c>
      <c r="D8349" s="7">
        <v>0.95</v>
      </c>
    </row>
    <row r="8350" spans="1:5" x14ac:dyDescent="0.25">
      <c r="A8350" t="str">
        <f>HYPERLINK("https://www.773grp.com/globalSearch/NLV14050BDG/page-1", "NLV14050BDG")</f>
        <v>NLV14050BDG</v>
      </c>
      <c r="B8350" s="3" t="str">
        <f>HYPERLINK("https://www.773grp.com/manufacturer/onsemi?pageNo=261", "Onsemi")</f>
        <v>Onsemi</v>
      </c>
      <c r="C8350" s="6">
        <v>35</v>
      </c>
      <c r="D8350" s="7">
        <v>0.95</v>
      </c>
    </row>
    <row r="8351" spans="1:5" x14ac:dyDescent="0.25">
      <c r="A8351" t="str">
        <f>HYPERLINK("https://www.773grp.com/globalSearch/NLV14050BDR2G/page-1", "NLV14050BDR2G")</f>
        <v>NLV14050BDR2G</v>
      </c>
      <c r="B8351" s="3" t="str">
        <f>HYPERLINK("https://www.773grp.com/manufacturer/onsemi?pageNo=262", "Onsemi")</f>
        <v>Onsemi</v>
      </c>
      <c r="C8351" s="6">
        <v>1430</v>
      </c>
      <c r="D8351" s="7">
        <v>0.95</v>
      </c>
    </row>
    <row r="8352" spans="1:5" x14ac:dyDescent="0.25">
      <c r="A8352" t="str">
        <f>HYPERLINK("https://www.773grp.com/globalSearch/NLV14541BDG/page-1", "NLV14541BDG")</f>
        <v>NLV14541BDG</v>
      </c>
      <c r="B8352" s="3" t="str">
        <f>HYPERLINK("https://www.773grp.com/manufacturer/onsemi?pageNo=263", "Onsemi")</f>
        <v>Onsemi</v>
      </c>
      <c r="C8352" s="6">
        <v>50</v>
      </c>
      <c r="D8352" s="7">
        <v>0.95</v>
      </c>
    </row>
    <row r="8353" spans="1:5" x14ac:dyDescent="0.25">
      <c r="A8353" t="str">
        <f>HYPERLINK("https://www.773grp.com/globalSearch/NLV14541BDR2G/page-1", "NLV14541BDR2G")</f>
        <v>NLV14541BDR2G</v>
      </c>
      <c r="B8353" s="3" t="str">
        <f>HYPERLINK("https://www.773grp.com/manufacturer/onsemi?pageNo=264", "Onsemi")</f>
        <v>Onsemi</v>
      </c>
      <c r="C8353" s="6">
        <v>1785</v>
      </c>
      <c r="D8353" s="7">
        <v>0.95</v>
      </c>
    </row>
    <row r="8354" spans="1:5" x14ac:dyDescent="0.25">
      <c r="A8354" t="str">
        <f>HYPERLINK("https://www.773grp.com/globalSearch/NLVAC157DR2G/page-1", "NLVAC157DR2G")</f>
        <v>NLVAC157DR2G</v>
      </c>
      <c r="B8354" s="3" t="str">
        <f>HYPERLINK("https://www.773grp.com/manufacturer/onsemi?pageNo=265", "Onsemi")</f>
        <v>Onsemi</v>
      </c>
      <c r="C8354" s="6">
        <v>7500</v>
      </c>
      <c r="D8354" s="7">
        <v>0.95</v>
      </c>
    </row>
    <row r="8355" spans="1:5" x14ac:dyDescent="0.25">
      <c r="A8355" t="str">
        <f>HYPERLINK("https://www.773grp.com/globalSearch/NP1800SBMCT3G/page-1", "NP1800SBMCT3G")</f>
        <v>NP1800SBMCT3G</v>
      </c>
      <c r="B8355" s="3" t="str">
        <f>HYPERLINK("https://www.773grp.com/manufacturer/onsemi?pageNo=266", "Onsemi")</f>
        <v>Onsemi</v>
      </c>
      <c r="C8355" s="6">
        <v>2250</v>
      </c>
      <c r="D8355" s="7">
        <v>0.95</v>
      </c>
    </row>
    <row r="8356" spans="1:5" x14ac:dyDescent="0.25">
      <c r="A8356" t="str">
        <f>HYPERLINK("https://www.773grp.com/globalSearch/NP2300SBMCT3G/page-1", "NP2300SBMCT3G")</f>
        <v>NP2300SBMCT3G</v>
      </c>
      <c r="B8356" s="3" t="str">
        <f>HYPERLINK("https://www.773grp.com/manufacturer/onsemi?pageNo=267", "Onsemi")</f>
        <v>Onsemi</v>
      </c>
      <c r="C8356" s="6">
        <v>2270</v>
      </c>
      <c r="D8356" s="7">
        <v>0.95</v>
      </c>
    </row>
    <row r="8357" spans="1:5" x14ac:dyDescent="0.25">
      <c r="A8357" t="str">
        <f>HYPERLINK("https://www.773grp.com/globalSearch/NSRM30CM3T5G/page-1", "NSRM30CM3T5G")</f>
        <v>NSRM30CM3T5G</v>
      </c>
      <c r="B8357" s="3" t="str">
        <f>HYPERLINK("https://www.773grp.com/manufacturer/onsemi?pageNo=268", "Onsemi")</f>
        <v>Onsemi</v>
      </c>
      <c r="C8357" s="6">
        <v>56000</v>
      </c>
      <c r="D8357" s="7">
        <v>0.95</v>
      </c>
    </row>
    <row r="8358" spans="1:5" x14ac:dyDescent="0.25">
      <c r="A8358" t="str">
        <f>HYPERLINK("https://www.773grp.com/globalSearch/NSS12601CF8T1G/page-1", "NSS12601CF8T1G")</f>
        <v>NSS12601CF8T1G</v>
      </c>
      <c r="B8358" s="3" t="str">
        <f>HYPERLINK("https://www.773grp.com/manufacturer/onsemi?pageNo=269", "Onsemi")</f>
        <v>Onsemi</v>
      </c>
      <c r="C8358" s="6">
        <v>63440</v>
      </c>
      <c r="D8358" s="7">
        <v>0.95</v>
      </c>
      <c r="E8358" t="s">
        <v>57</v>
      </c>
    </row>
    <row r="8359" spans="1:5" x14ac:dyDescent="0.25">
      <c r="A8359" t="str">
        <f>HYPERLINK("https://www.773grp.com/globalSearch/NSS40300DDR2/page-1", "NSS40300DDR2")</f>
        <v>NSS40300DDR2</v>
      </c>
      <c r="B8359" s="3" t="str">
        <f>HYPERLINK("https://www.773grp.com/manufacturer/onsemi?pageNo=270", "Onsemi")</f>
        <v>Onsemi</v>
      </c>
      <c r="C8359" s="6">
        <v>5000</v>
      </c>
      <c r="D8359" s="7">
        <v>0.95</v>
      </c>
    </row>
    <row r="8360" spans="1:5" x14ac:dyDescent="0.25">
      <c r="A8360" t="str">
        <f>HYPERLINK("https://www.773grp.com/globalSearch/NSS40601CF8T1G/page-1", "NSS40601CF8T1G")</f>
        <v>NSS40601CF8T1G</v>
      </c>
      <c r="B8360" s="3" t="str">
        <f>HYPERLINK("https://www.773grp.com/manufacturer/onsemi?pageNo=271", "Onsemi")</f>
        <v>Onsemi</v>
      </c>
      <c r="C8360" s="6">
        <v>163838</v>
      </c>
      <c r="D8360" s="7">
        <v>0.95</v>
      </c>
      <c r="E8360" t="s">
        <v>57</v>
      </c>
    </row>
    <row r="8361" spans="1:5" x14ac:dyDescent="0.25">
      <c r="A8361" t="str">
        <f>HYPERLINK("https://www.773grp.com/globalSearch/NSVBCP69T1G/page-1", "NSVBCP69T1G")</f>
        <v>NSVBCP69T1G</v>
      </c>
      <c r="B8361" s="3" t="str">
        <f>HYPERLINK("https://www.773grp.com/manufacturer/onsemi?pageNo=272", "Onsemi")</f>
        <v>Onsemi</v>
      </c>
      <c r="C8361" s="6">
        <v>2000</v>
      </c>
      <c r="D8361" s="7">
        <v>0.95</v>
      </c>
    </row>
    <row r="8362" spans="1:5" x14ac:dyDescent="0.25">
      <c r="A8362" t="str">
        <f>HYPERLINK("https://www.773grp.com/globalSearch/NTB75N03RG/page-1", "NTB75N03RG")</f>
        <v>NTB75N03RG</v>
      </c>
      <c r="B8362" s="3" t="str">
        <f>HYPERLINK("https://www.773grp.com/manufacturer/onsemi?pageNo=273", "Onsemi")</f>
        <v>Onsemi</v>
      </c>
      <c r="C8362" s="6">
        <v>969</v>
      </c>
      <c r="D8362" s="7">
        <v>0.95</v>
      </c>
      <c r="E8362" t="s">
        <v>84</v>
      </c>
    </row>
    <row r="8363" spans="1:5" x14ac:dyDescent="0.25">
      <c r="A8363" t="str">
        <f>HYPERLINK("https://www.773grp.com/globalSearch/NTD110N02R/page-1", "NTD110N02R")</f>
        <v>NTD110N02R</v>
      </c>
      <c r="B8363" s="3" t="str">
        <f>HYPERLINK("https://www.773grp.com/manufacturer/onsemi?pageNo=274", "Onsemi")</f>
        <v>Onsemi</v>
      </c>
      <c r="C8363" s="6">
        <v>807</v>
      </c>
      <c r="D8363" s="7">
        <v>0.95</v>
      </c>
      <c r="E8363" t="s">
        <v>84</v>
      </c>
    </row>
    <row r="8364" spans="1:5" x14ac:dyDescent="0.25">
      <c r="A8364" t="str">
        <f>HYPERLINK("https://www.773grp.com/globalSearch/NTD3808N-1G/page-1", "NTD3808N-1G")</f>
        <v>NTD3808N-1G</v>
      </c>
      <c r="B8364" s="3" t="str">
        <f>HYPERLINK("https://www.773grp.com/manufacturer/onsemi?pageNo=275", "Onsemi")</f>
        <v>Onsemi</v>
      </c>
      <c r="C8364" s="6">
        <v>7275</v>
      </c>
      <c r="D8364" s="7">
        <v>0.95</v>
      </c>
      <c r="E8364" t="s">
        <v>84</v>
      </c>
    </row>
    <row r="8365" spans="1:5" x14ac:dyDescent="0.25">
      <c r="A8365" t="str">
        <f>HYPERLINK("https://www.773grp.com/globalSearch/NTD78N03-1G/page-1", "NTD78N03-1G")</f>
        <v>NTD78N03-1G</v>
      </c>
      <c r="B8365" s="3" t="str">
        <f>HYPERLINK("https://www.773grp.com/manufacturer/onsemi?pageNo=276", "Onsemi")</f>
        <v>Onsemi</v>
      </c>
      <c r="C8365" s="6">
        <v>7090</v>
      </c>
      <c r="D8365" s="7">
        <v>0.95</v>
      </c>
      <c r="E8365" t="s">
        <v>84</v>
      </c>
    </row>
    <row r="8366" spans="1:5" x14ac:dyDescent="0.25">
      <c r="A8366" t="str">
        <f>HYPERLINK("https://www.773grp.com/globalSearch/NTD78N03-35G/page-1", "NTD78N03-35G")</f>
        <v>NTD78N03-35G</v>
      </c>
      <c r="B8366" s="3" t="str">
        <f>HYPERLINK("https://www.773grp.com/manufacturer/onsemi?pageNo=277", "Onsemi")</f>
        <v>Onsemi</v>
      </c>
      <c r="C8366" s="6">
        <v>834556</v>
      </c>
      <c r="D8366" s="7">
        <v>0.95</v>
      </c>
      <c r="E8366" t="s">
        <v>84</v>
      </c>
    </row>
    <row r="8367" spans="1:5" x14ac:dyDescent="0.25">
      <c r="A8367" t="str">
        <f>HYPERLINK("https://www.773grp.com/globalSearch/NTD78N03T4G/page-1", "NTD78N03T4G")</f>
        <v>NTD78N03T4G</v>
      </c>
      <c r="B8367" s="3" t="str">
        <f>HYPERLINK("https://www.773grp.com/manufacturer/onsemi?pageNo=278", "Onsemi")</f>
        <v>Onsemi</v>
      </c>
      <c r="C8367" s="6">
        <v>268899</v>
      </c>
      <c r="D8367" s="7">
        <v>0.95</v>
      </c>
      <c r="E8367" t="s">
        <v>84</v>
      </c>
    </row>
    <row r="8368" spans="1:5" x14ac:dyDescent="0.25">
      <c r="A8368" t="str">
        <f>HYPERLINK("https://www.773grp.com/globalSearch/NTD95N02R-1G/page-1", "NTD95N02R-1G")</f>
        <v>NTD95N02R-1G</v>
      </c>
      <c r="B8368" s="3" t="str">
        <f>HYPERLINK("https://www.773grp.com/manufacturer/onsemi?pageNo=279", "Onsemi")</f>
        <v>Onsemi</v>
      </c>
      <c r="C8368" s="6">
        <v>1875</v>
      </c>
      <c r="D8368" s="7">
        <v>0.95</v>
      </c>
    </row>
    <row r="8369" spans="1:5" x14ac:dyDescent="0.25">
      <c r="A8369" t="str">
        <f>HYPERLINK("https://www.773grp.com/globalSearch/NTGD3149CT1G/page-1", "NTGD3149CT1G")</f>
        <v>NTGD3149CT1G</v>
      </c>
      <c r="B8369" s="3" t="str">
        <f>HYPERLINK("https://www.773grp.com/manufacturer/onsemi?pageNo=280", "Onsemi")</f>
        <v>Onsemi</v>
      </c>
      <c r="C8369" s="6">
        <v>9000</v>
      </c>
      <c r="D8369" s="7">
        <v>0.95</v>
      </c>
      <c r="E8369" t="s">
        <v>85</v>
      </c>
    </row>
    <row r="8370" spans="1:5" x14ac:dyDescent="0.25">
      <c r="A8370" t="str">
        <f>HYPERLINK("https://www.773grp.com/globalSearch/NTGS3136PT1G/page-1", "NTGS3136PT1G")</f>
        <v>NTGS3136PT1G</v>
      </c>
      <c r="B8370" s="3" t="str">
        <f>HYPERLINK("https://www.773grp.com/manufacturer/onsemi?pageNo=281", "Onsemi")</f>
        <v>Onsemi</v>
      </c>
      <c r="C8370" s="6">
        <v>1999</v>
      </c>
      <c r="D8370" s="7">
        <v>0.95</v>
      </c>
      <c r="E8370" t="s">
        <v>85</v>
      </c>
    </row>
    <row r="8371" spans="1:5" x14ac:dyDescent="0.25">
      <c r="A8371" t="str">
        <f>HYPERLINK("https://www.773grp.com/globalSearch/NTGS4141NT1/page-1", "NTGS4141NT1")</f>
        <v>NTGS4141NT1</v>
      </c>
      <c r="B8371" s="3" t="str">
        <f>HYPERLINK("https://www.773grp.com/manufacturer/onsemi?pageNo=282", "Onsemi")</f>
        <v>Onsemi</v>
      </c>
      <c r="C8371" s="6">
        <v>3000</v>
      </c>
      <c r="D8371" s="7">
        <v>0.95</v>
      </c>
      <c r="E8371" t="s">
        <v>85</v>
      </c>
    </row>
    <row r="8372" spans="1:5" x14ac:dyDescent="0.25">
      <c r="A8372" t="str">
        <f>HYPERLINK("https://www.773grp.com/globalSearch/NTLJD2104PTAG/page-1", "NTLJD2104PTAG")</f>
        <v>NTLJD2104PTAG</v>
      </c>
      <c r="B8372" s="3" t="str">
        <f>HYPERLINK("https://www.773grp.com/manufacturer/onsemi?pageNo=283", "Onsemi")</f>
        <v>Onsemi</v>
      </c>
      <c r="C8372" s="6">
        <v>18000</v>
      </c>
      <c r="D8372" s="7">
        <v>0.95</v>
      </c>
      <c r="E8372" t="s">
        <v>85</v>
      </c>
    </row>
    <row r="8373" spans="1:5" x14ac:dyDescent="0.25">
      <c r="A8373" t="str">
        <f>HYPERLINK("https://www.773grp.com/globalSearch/NTLJD2104PTBG/page-1", "NTLJD2104PTBG")</f>
        <v>NTLJD2104PTBG</v>
      </c>
      <c r="B8373" s="3" t="str">
        <f>HYPERLINK("https://www.773grp.com/manufacturer/onsemi?pageNo=284", "Onsemi")</f>
        <v>Onsemi</v>
      </c>
      <c r="C8373" s="6">
        <v>12000</v>
      </c>
      <c r="D8373" s="7">
        <v>0.95</v>
      </c>
      <c r="E8373" t="s">
        <v>85</v>
      </c>
    </row>
    <row r="8374" spans="1:5" x14ac:dyDescent="0.25">
      <c r="A8374" t="str">
        <f>HYPERLINK("https://www.773grp.com/globalSearch/NTLUS3A40PZTAG/page-1", "NTLUS3A40PZTAG")</f>
        <v>NTLUS3A40PZTAG</v>
      </c>
      <c r="B8374" s="3" t="str">
        <f>HYPERLINK("https://www.773grp.com/manufacturer/onsemi?pageNo=285", "Onsemi")</f>
        <v>Onsemi</v>
      </c>
      <c r="C8374" s="6">
        <v>135865</v>
      </c>
      <c r="D8374" s="7">
        <v>0.95</v>
      </c>
      <c r="E8374" t="s">
        <v>85</v>
      </c>
    </row>
    <row r="8375" spans="1:5" x14ac:dyDescent="0.25">
      <c r="A8375" t="str">
        <f>HYPERLINK("https://www.773grp.com/globalSearch/NTLUS3A40PZTBG/page-1", "NTLUS3A40PZTBG")</f>
        <v>NTLUS3A40PZTBG</v>
      </c>
      <c r="B8375" s="3" t="str">
        <f>HYPERLINK("https://www.773grp.com/manufacturer/onsemi?pageNo=286", "Onsemi")</f>
        <v>Onsemi</v>
      </c>
      <c r="C8375" s="6">
        <v>3000</v>
      </c>
      <c r="D8375" s="7">
        <v>0.95</v>
      </c>
      <c r="E8375" t="s">
        <v>85</v>
      </c>
    </row>
    <row r="8376" spans="1:5" x14ac:dyDescent="0.25">
      <c r="A8376" t="str">
        <f>HYPERLINK("https://www.773grp.com/globalSearch/NTMD6N02R2G/page-1", "NTMD6N02R2G")</f>
        <v>NTMD6N02R2G</v>
      </c>
      <c r="B8376" s="3" t="str">
        <f>HYPERLINK("https://www.773grp.com/manufacturer/onsemi?pageNo=287", "Onsemi")</f>
        <v>Onsemi</v>
      </c>
      <c r="C8376" s="6">
        <v>64937</v>
      </c>
      <c r="D8376" s="7">
        <v>0.95</v>
      </c>
      <c r="E8376" t="s">
        <v>84</v>
      </c>
    </row>
    <row r="8377" spans="1:5" x14ac:dyDescent="0.25">
      <c r="A8377" t="str">
        <f>HYPERLINK("https://www.773grp.com/globalSearch/NTMFS4821NT1G/page-1", "NTMFS4821NT1G")</f>
        <v>NTMFS4821NT1G</v>
      </c>
      <c r="B8377" s="3" t="str">
        <f>HYPERLINK("https://www.773grp.com/manufacturer/onsemi?pageNo=288", "Onsemi")</f>
        <v>Onsemi</v>
      </c>
      <c r="C8377" s="6">
        <v>80509</v>
      </c>
      <c r="D8377" s="7">
        <v>0.95</v>
      </c>
      <c r="E8377" t="s">
        <v>85</v>
      </c>
    </row>
    <row r="8378" spans="1:5" x14ac:dyDescent="0.25">
      <c r="A8378" t="str">
        <f>HYPERLINK("https://www.773grp.com/globalSearch/NTMS4801NR2G/page-1", "NTMS4801NR2G")</f>
        <v>NTMS4801NR2G</v>
      </c>
      <c r="B8378" s="3" t="str">
        <f>HYPERLINK("https://www.773grp.com/manufacturer/onsemi?pageNo=289", "Onsemi")</f>
        <v>Onsemi</v>
      </c>
      <c r="C8378" s="6">
        <v>309081</v>
      </c>
      <c r="D8378" s="7">
        <v>0.95</v>
      </c>
      <c r="E8378" t="s">
        <v>85</v>
      </c>
    </row>
    <row r="8379" spans="1:5" x14ac:dyDescent="0.25">
      <c r="A8379" t="str">
        <f>HYPERLINK("https://www.773grp.com/globalSearch/NTMS4873NFR2G/page-1", "NTMS4873NFR2G")</f>
        <v>NTMS4873NFR2G</v>
      </c>
      <c r="B8379" s="3" t="str">
        <f>HYPERLINK("https://www.773grp.com/manufacturer/onsemi?pageNo=290", "Onsemi")</f>
        <v>Onsemi</v>
      </c>
      <c r="C8379" s="6">
        <v>50235</v>
      </c>
      <c r="D8379" s="7">
        <v>0.95</v>
      </c>
    </row>
    <row r="8380" spans="1:5" x14ac:dyDescent="0.25">
      <c r="A8380" t="str">
        <f>HYPERLINK("https://www.773grp.com/globalSearch/NTMS4N01R2G/page-1", "NTMS4N01R2G")</f>
        <v>NTMS4N01R2G</v>
      </c>
      <c r="B8380" s="3" t="str">
        <f>HYPERLINK("https://www.773grp.com/manufacturer/onsemi?pageNo=291", "Onsemi")</f>
        <v>Onsemi</v>
      </c>
      <c r="C8380" s="6">
        <v>4168</v>
      </c>
      <c r="D8380" s="7">
        <v>0.95</v>
      </c>
      <c r="E8380" t="s">
        <v>85</v>
      </c>
    </row>
    <row r="8381" spans="1:5" x14ac:dyDescent="0.25">
      <c r="A8381" t="str">
        <f>HYPERLINK("https://www.773grp.com/globalSearch/NTMS5P02R2G/page-1", "NTMS5P02R2G")</f>
        <v>NTMS5P02R2G</v>
      </c>
      <c r="B8381" s="3" t="str">
        <f>HYPERLINK("https://www.773grp.com/manufacturer/onsemi?pageNo=292", "Onsemi")</f>
        <v>Onsemi</v>
      </c>
      <c r="C8381" s="6">
        <v>217500</v>
      </c>
      <c r="D8381" s="7">
        <v>0.95</v>
      </c>
    </row>
    <row r="8382" spans="1:5" x14ac:dyDescent="0.25">
      <c r="A8382" t="str">
        <f>HYPERLINK("https://www.773grp.com/globalSearch/NTTFS4821NTAG/page-1", "NTTFS4821NTAG")</f>
        <v>NTTFS4821NTAG</v>
      </c>
      <c r="B8382" s="3" t="str">
        <f>HYPERLINK("https://www.773grp.com/manufacturer/onsemi?pageNo=293", "Onsemi")</f>
        <v>Onsemi</v>
      </c>
      <c r="C8382" s="6">
        <v>347</v>
      </c>
      <c r="D8382" s="7">
        <v>0.95</v>
      </c>
      <c r="E8382" t="s">
        <v>84</v>
      </c>
    </row>
    <row r="8383" spans="1:5" x14ac:dyDescent="0.25">
      <c r="A8383" t="str">
        <f>HYPERLINK("https://www.773grp.com/globalSearch/NTTFS4823NTAG/page-1", "NTTFS4823NTAG")</f>
        <v>NTTFS4823NTAG</v>
      </c>
      <c r="B8383" s="3" t="str">
        <f>HYPERLINK("https://www.773grp.com/manufacturer/onsemi?pageNo=294", "Onsemi")</f>
        <v>Onsemi</v>
      </c>
      <c r="C8383" s="6">
        <v>371262</v>
      </c>
      <c r="D8383" s="7">
        <v>0.95</v>
      </c>
      <c r="E8383" t="s">
        <v>84</v>
      </c>
    </row>
    <row r="8384" spans="1:5" x14ac:dyDescent="0.25">
      <c r="A8384" t="str">
        <f>HYPERLINK("https://www.773grp.com/globalSearch/NTTFS4823NTWG/page-1", "NTTFS4823NTWG")</f>
        <v>NTTFS4823NTWG</v>
      </c>
      <c r="B8384" s="3" t="str">
        <f>HYPERLINK("https://www.773grp.com/manufacturer/onsemi?pageNo=295", "Onsemi")</f>
        <v>Onsemi</v>
      </c>
      <c r="C8384" s="6">
        <v>39942</v>
      </c>
      <c r="D8384" s="7">
        <v>0.95</v>
      </c>
      <c r="E8384" t="s">
        <v>84</v>
      </c>
    </row>
    <row r="8385" spans="1:5" x14ac:dyDescent="0.25">
      <c r="A8385" t="str">
        <f>HYPERLINK("https://www.773grp.com/globalSearch/NTTFS4929NTAG/page-1", "NTTFS4929NTAG")</f>
        <v>NTTFS4929NTAG</v>
      </c>
      <c r="B8385" s="3" t="str">
        <f>HYPERLINK("https://www.773grp.com/manufacturer/onsemi?pageNo=296", "Onsemi")</f>
        <v>Onsemi</v>
      </c>
      <c r="C8385" s="6">
        <v>135000</v>
      </c>
      <c r="D8385" s="7">
        <v>0.95</v>
      </c>
    </row>
    <row r="8386" spans="1:5" x14ac:dyDescent="0.25">
      <c r="A8386" t="str">
        <f>HYPERLINK("https://www.773grp.com/globalSearch/NTTFSC4821NTAG/page-1", "NTTFSC4821NTAG")</f>
        <v>NTTFSC4821NTAG</v>
      </c>
      <c r="B8386" s="3" t="str">
        <f>HYPERLINK("https://www.773grp.com/manufacturer/onsemi?pageNo=297", "Onsemi")</f>
        <v>Onsemi</v>
      </c>
      <c r="C8386" s="6">
        <v>6000</v>
      </c>
      <c r="D8386" s="7">
        <v>0.95</v>
      </c>
    </row>
    <row r="8387" spans="1:5" x14ac:dyDescent="0.25">
      <c r="A8387" t="str">
        <f>HYPERLINK("https://www.773grp.com/globalSearch/NTTFSC4823NTAG/page-1", "NTTFSC4823NTAG")</f>
        <v>NTTFSC4823NTAG</v>
      </c>
      <c r="B8387" s="3" t="str">
        <f>HYPERLINK("https://www.773grp.com/manufacturer/onsemi?pageNo=298", "Onsemi")</f>
        <v>Onsemi</v>
      </c>
      <c r="C8387" s="6">
        <v>24000</v>
      </c>
      <c r="D8387" s="7">
        <v>0.95</v>
      </c>
    </row>
    <row r="8388" spans="1:5" x14ac:dyDescent="0.25">
      <c r="A8388" t="str">
        <f>HYPERLINK("https://www.773grp.com/globalSearch/PCA9306USG/page-1", "PCA9306USG")</f>
        <v>PCA9306USG</v>
      </c>
      <c r="B8388" s="3" t="str">
        <f>HYPERLINK("https://www.773grp.com/manufacturer/onsemi?pageNo=299", "Onsemi")</f>
        <v>Onsemi</v>
      </c>
      <c r="C8388" s="6">
        <v>48000</v>
      </c>
      <c r="D8388" s="7">
        <v>0.95</v>
      </c>
    </row>
    <row r="8389" spans="1:5" x14ac:dyDescent="0.25">
      <c r="A8389" t="str">
        <f>HYPERLINK("https://www.773grp.com/globalSearch/PZT2222AT1H/page-1", "PZT2222AT1H")</f>
        <v>PZT2222AT1H</v>
      </c>
      <c r="B8389" s="3" t="str">
        <f>HYPERLINK("https://www.773grp.com/manufacturer/onsemi?pageNo=300", "Onsemi")</f>
        <v>Onsemi</v>
      </c>
      <c r="C8389" s="6">
        <v>47000</v>
      </c>
      <c r="D8389" s="7">
        <v>0.95</v>
      </c>
    </row>
    <row r="8390" spans="1:5" x14ac:dyDescent="0.25">
      <c r="A8390" t="str">
        <f>HYPERLINK("https://www.773grp.com/globalSearch/PZT2222AT3G/page-1", "PZT2222AT3G")</f>
        <v>PZT2222AT3G</v>
      </c>
      <c r="B8390" s="3" t="str">
        <f>HYPERLINK("https://www.773grp.com/manufacturer/onsemi?pageNo=301", "Onsemi")</f>
        <v>Onsemi</v>
      </c>
      <c r="C8390" s="6">
        <v>4000</v>
      </c>
      <c r="D8390" s="7">
        <v>0.95</v>
      </c>
    </row>
    <row r="8391" spans="1:5" x14ac:dyDescent="0.25">
      <c r="A8391" t="str">
        <f>HYPERLINK("https://www.773grp.com/globalSearch/PZT2907AT1/page-1", "PZT2907AT1")</f>
        <v>PZT2907AT1</v>
      </c>
      <c r="B8391" s="3" t="str">
        <f>HYPERLINK("https://www.773grp.com/manufacturer/onsemi?pageNo=302", "Onsemi")</f>
        <v>Onsemi</v>
      </c>
      <c r="C8391" s="6">
        <v>56000</v>
      </c>
      <c r="D8391" s="7">
        <v>0.95</v>
      </c>
    </row>
    <row r="8392" spans="1:5" x14ac:dyDescent="0.25">
      <c r="A8392" t="str">
        <f>HYPERLINK("https://www.773grp.com/globalSearch/PZTA42T1/page-1", "PZTA42T1")</f>
        <v>PZTA42T1</v>
      </c>
      <c r="B8392" s="3" t="str">
        <f>HYPERLINK("https://www.773grp.com/manufacturer/onsemi?pageNo=303", "Onsemi")</f>
        <v>Onsemi</v>
      </c>
      <c r="C8392" s="6">
        <v>42000</v>
      </c>
      <c r="D8392" s="7">
        <v>0.95</v>
      </c>
      <c r="E8392" t="s">
        <v>57</v>
      </c>
    </row>
    <row r="8393" spans="1:5" x14ac:dyDescent="0.25">
      <c r="A8393" t="str">
        <f>HYPERLINK("https://www.773grp.com/globalSearch/SA14093BCP/page-1", "SA14093BCP")</f>
        <v>SA14093BCP</v>
      </c>
      <c r="B8393" s="3" t="str">
        <f>HYPERLINK("https://www.773grp.com/manufacturer/onsemi?pageNo=304", "Onsemi")</f>
        <v>Onsemi</v>
      </c>
      <c r="C8393" s="6">
        <v>11000</v>
      </c>
      <c r="D8393" s="7">
        <v>0.95</v>
      </c>
    </row>
    <row r="8394" spans="1:5" x14ac:dyDescent="0.25">
      <c r="A8394" t="str">
        <f>HYPERLINK("https://www.773grp.com/globalSearch/SA14504BDR2/page-1", "SA14504BDR2")</f>
        <v>SA14504BDR2</v>
      </c>
      <c r="B8394" s="3" t="str">
        <f>HYPERLINK("https://www.773grp.com/manufacturer/onsemi?pageNo=305", "Onsemi")</f>
        <v>Onsemi</v>
      </c>
      <c r="C8394" s="6">
        <v>30000</v>
      </c>
      <c r="D8394" s="7">
        <v>0.95</v>
      </c>
    </row>
    <row r="8395" spans="1:5" x14ac:dyDescent="0.25">
      <c r="A8395" t="str">
        <f>HYPERLINK("https://www.773grp.com/globalSearch/SC258DR2G/page-1", "SC258DR2G")</f>
        <v>SC258DR2G</v>
      </c>
      <c r="B8395" s="3" t="str">
        <f>HYPERLINK("https://www.773grp.com/manufacturer/onsemi?pageNo=306", "Onsemi")</f>
        <v>Onsemi</v>
      </c>
      <c r="C8395" s="6">
        <v>6431</v>
      </c>
      <c r="D8395" s="7">
        <v>0.95</v>
      </c>
    </row>
    <row r="8396" spans="1:5" x14ac:dyDescent="0.25">
      <c r="A8396" t="str">
        <f>HYPERLINK("https://www.773grp.com/globalSearch/SJE3016/page-1", "SJE3016")</f>
        <v>SJE3016</v>
      </c>
      <c r="B8396" s="3" t="str">
        <f>HYPERLINK("https://www.773grp.com/manufacturer/onsemi?pageNo=307", "Onsemi")</f>
        <v>Onsemi</v>
      </c>
      <c r="C8396" s="6">
        <v>45150</v>
      </c>
      <c r="D8396" s="7">
        <v>0.95</v>
      </c>
    </row>
    <row r="8397" spans="1:5" x14ac:dyDescent="0.25">
      <c r="A8397" t="str">
        <f>HYPERLINK("https://www.773grp.com/globalSearch/SJE5918/page-1", "SJE5918")</f>
        <v>SJE5918</v>
      </c>
      <c r="B8397" s="3" t="str">
        <f>HYPERLINK("https://www.773grp.com/manufacturer/onsemi?pageNo=308", "Onsemi")</f>
        <v>Onsemi</v>
      </c>
      <c r="C8397" s="6">
        <v>4300</v>
      </c>
      <c r="D8397" s="7">
        <v>0.95</v>
      </c>
    </row>
    <row r="8398" spans="1:5" x14ac:dyDescent="0.25">
      <c r="A8398" t="str">
        <f>HYPERLINK("https://www.773grp.com/globalSearch/SN74LS145M/page-1", "SN74LS145M")</f>
        <v>SN74LS145M</v>
      </c>
      <c r="B8398" s="3" t="str">
        <f>HYPERLINK("https://www.773grp.com/manufacturer/onsemi?pageNo=309", "Onsemi")</f>
        <v>Onsemi</v>
      </c>
      <c r="C8398" s="6">
        <v>1199</v>
      </c>
      <c r="D8398" s="7">
        <v>0.95</v>
      </c>
      <c r="E8398" t="s">
        <v>32</v>
      </c>
    </row>
    <row r="8399" spans="1:5" x14ac:dyDescent="0.25">
      <c r="A8399" t="str">
        <f>HYPERLINK("https://www.773grp.com/globalSearch/SN74LS145MEL/page-1", "SN74LS145MEL")</f>
        <v>SN74LS145MEL</v>
      </c>
      <c r="B8399" s="3" t="str">
        <f>HYPERLINK("https://www.773grp.com/manufacturer/onsemi?pageNo=310", "Onsemi")</f>
        <v>Onsemi</v>
      </c>
      <c r="C8399" s="6">
        <v>2000</v>
      </c>
      <c r="D8399" s="7">
        <v>0.95</v>
      </c>
      <c r="E8399" t="s">
        <v>32</v>
      </c>
    </row>
    <row r="8400" spans="1:5" x14ac:dyDescent="0.25">
      <c r="A8400" t="str">
        <f>HYPERLINK("https://www.773grp.com/globalSearch/SN74LS165D/page-1", "SN74LS165D")</f>
        <v>SN74LS165D</v>
      </c>
      <c r="B8400" s="3" t="str">
        <f>HYPERLINK("https://www.773grp.com/manufacturer/onsemi?pageNo=311", "Onsemi")</f>
        <v>Onsemi</v>
      </c>
      <c r="C8400" s="6">
        <v>4608</v>
      </c>
      <c r="D8400" s="7">
        <v>0.95</v>
      </c>
      <c r="E8400" t="s">
        <v>28</v>
      </c>
    </row>
    <row r="8401" spans="1:5" x14ac:dyDescent="0.25">
      <c r="A8401" t="str">
        <f>HYPERLINK("https://www.773grp.com/globalSearch/SN74LS165MEL/page-1", "SN74LS165MEL")</f>
        <v>SN74LS165MEL</v>
      </c>
      <c r="B8401" s="3" t="str">
        <f>HYPERLINK("https://www.773grp.com/manufacturer/onsemi?pageNo=312", "Onsemi")</f>
        <v>Onsemi</v>
      </c>
      <c r="C8401" s="6">
        <v>2000</v>
      </c>
      <c r="D8401" s="7">
        <v>0.95</v>
      </c>
      <c r="E8401" t="s">
        <v>28</v>
      </c>
    </row>
    <row r="8402" spans="1:5" x14ac:dyDescent="0.25">
      <c r="A8402" t="str">
        <f>HYPERLINK("https://www.773grp.com/globalSearch/SN74LS166D/page-1", "SN74LS166D")</f>
        <v>SN74LS166D</v>
      </c>
      <c r="B8402" s="3" t="str">
        <f>HYPERLINK("https://www.773grp.com/manufacturer/onsemi?pageNo=313", "Onsemi")</f>
        <v>Onsemi</v>
      </c>
      <c r="C8402" s="6">
        <v>524</v>
      </c>
      <c r="D8402" s="7">
        <v>0.95</v>
      </c>
      <c r="E8402" t="s">
        <v>28</v>
      </c>
    </row>
    <row r="8403" spans="1:5" x14ac:dyDescent="0.25">
      <c r="A8403" t="str">
        <f>HYPERLINK("https://www.773grp.com/globalSearch/SN74LS195ADR2/page-1", "SN74LS195ADR2")</f>
        <v>SN74LS195ADR2</v>
      </c>
      <c r="B8403" s="3" t="str">
        <f>HYPERLINK("https://www.773grp.com/manufacturer/onsemi?pageNo=314", "Onsemi")</f>
        <v>Onsemi</v>
      </c>
      <c r="C8403" s="6">
        <v>2500</v>
      </c>
      <c r="D8403" s="7">
        <v>0.95</v>
      </c>
      <c r="E8403" t="s">
        <v>28</v>
      </c>
    </row>
    <row r="8404" spans="1:5" x14ac:dyDescent="0.25">
      <c r="A8404" t="str">
        <f>HYPERLINK("https://www.773grp.com/globalSearch/SN74LS221N/page-1", "SN74LS221N")</f>
        <v>SN74LS221N</v>
      </c>
      <c r="B8404" s="3" t="str">
        <f>HYPERLINK("https://www.773grp.com/manufacturer/onsemi?pageNo=315", "Onsemi")</f>
        <v>Onsemi</v>
      </c>
      <c r="C8404" s="6">
        <v>710</v>
      </c>
      <c r="D8404" s="7">
        <v>0.95</v>
      </c>
      <c r="E8404" t="s">
        <v>44</v>
      </c>
    </row>
    <row r="8405" spans="1:5" x14ac:dyDescent="0.25">
      <c r="A8405" t="str">
        <f>HYPERLINK("https://www.773grp.com/globalSearch/SN74LS241M/page-1", "SN74LS241M")</f>
        <v>SN74LS241M</v>
      </c>
      <c r="B8405" s="3" t="str">
        <f>HYPERLINK("https://www.773grp.com/manufacturer/onsemi?pageNo=316", "Onsemi")</f>
        <v>Onsemi</v>
      </c>
      <c r="C8405" s="6">
        <v>520</v>
      </c>
      <c r="D8405" s="7">
        <v>0.95</v>
      </c>
    </row>
    <row r="8406" spans="1:5" x14ac:dyDescent="0.25">
      <c r="A8406" t="str">
        <f>HYPERLINK("https://www.773grp.com/globalSearch/SN74LS241ML1/page-1", "SN74LS241ML1")</f>
        <v>SN74LS241ML1</v>
      </c>
      <c r="B8406" s="3" t="str">
        <f>HYPERLINK("https://www.773grp.com/manufacturer/onsemi?pageNo=317", "Onsemi")</f>
        <v>Onsemi</v>
      </c>
      <c r="C8406" s="6">
        <v>2000</v>
      </c>
      <c r="D8406" s="7">
        <v>0.95</v>
      </c>
    </row>
    <row r="8407" spans="1:5" x14ac:dyDescent="0.25">
      <c r="A8407" t="str">
        <f>HYPERLINK("https://www.773grp.com/globalSearch/SN74LS241N/page-1", "SN74LS241N")</f>
        <v>SN74LS241N</v>
      </c>
      <c r="B8407" s="3" t="str">
        <f>HYPERLINK("https://www.773grp.com/manufacturer/onsemi?pageNo=318", "Onsemi")</f>
        <v>Onsemi</v>
      </c>
      <c r="C8407" s="6">
        <v>130</v>
      </c>
      <c r="D8407" s="7">
        <v>0.95</v>
      </c>
      <c r="E8407" t="s">
        <v>11</v>
      </c>
    </row>
    <row r="8408" spans="1:5" x14ac:dyDescent="0.25">
      <c r="A8408" t="str">
        <f>HYPERLINK("https://www.773grp.com/globalSearch/SN74LS244N/page-1", "SN74LS244N")</f>
        <v>SN74LS244N</v>
      </c>
      <c r="B8408" s="3" t="str">
        <f>HYPERLINK("https://www.773grp.com/manufacturer/onsemi?pageNo=319", "Onsemi")</f>
        <v>Onsemi</v>
      </c>
      <c r="C8408" s="6">
        <v>3487</v>
      </c>
      <c r="D8408" s="7">
        <v>0.95</v>
      </c>
      <c r="E8408" t="s">
        <v>11</v>
      </c>
    </row>
    <row r="8409" spans="1:5" x14ac:dyDescent="0.25">
      <c r="A8409" t="str">
        <f>HYPERLINK("https://www.773grp.com/globalSearch/SN74LS259D/page-1", "SN74LS259D")</f>
        <v>SN74LS259D</v>
      </c>
      <c r="B8409" s="3" t="str">
        <f>HYPERLINK("https://www.773grp.com/manufacturer/onsemi?pageNo=320", "Onsemi")</f>
        <v>Onsemi</v>
      </c>
      <c r="C8409" s="6">
        <v>272</v>
      </c>
      <c r="D8409" s="7">
        <v>0.95</v>
      </c>
      <c r="E8409" t="s">
        <v>31</v>
      </c>
    </row>
    <row r="8410" spans="1:5" x14ac:dyDescent="0.25">
      <c r="A8410" t="str">
        <f>HYPERLINK("https://www.773grp.com/globalSearch/SN74LS283N/page-1", "SN74LS283N")</f>
        <v>SN74LS283N</v>
      </c>
      <c r="B8410" s="3" t="str">
        <f>HYPERLINK("https://www.773grp.com/manufacturer/onsemi?pageNo=321", "Onsemi")</f>
        <v>Onsemi</v>
      </c>
      <c r="C8410" s="6">
        <v>425</v>
      </c>
      <c r="D8410" s="7">
        <v>0.95</v>
      </c>
      <c r="E8410" t="s">
        <v>38</v>
      </c>
    </row>
    <row r="8411" spans="1:5" x14ac:dyDescent="0.25">
      <c r="A8411" t="str">
        <f>HYPERLINK("https://www.773grp.com/globalSearch/SN74LS377DW/page-1", "SN74LS377DW")</f>
        <v>SN74LS377DW</v>
      </c>
      <c r="B8411" s="3" t="str">
        <f>HYPERLINK("https://www.773grp.com/manufacturer/onsemi?pageNo=322", "Onsemi")</f>
        <v>Onsemi</v>
      </c>
      <c r="C8411" s="6">
        <v>74228</v>
      </c>
      <c r="D8411" s="7">
        <v>0.95</v>
      </c>
      <c r="E8411" t="s">
        <v>31</v>
      </c>
    </row>
    <row r="8412" spans="1:5" x14ac:dyDescent="0.25">
      <c r="A8412" t="str">
        <f>HYPERLINK("https://www.773grp.com/globalSearch/SN74LS377DWR2/page-1", "SN74LS377DWR2")</f>
        <v>SN74LS377DWR2</v>
      </c>
      <c r="B8412" s="3" t="str">
        <f>HYPERLINK("https://www.773grp.com/manufacturer/onsemi?pageNo=323", "Onsemi")</f>
        <v>Onsemi</v>
      </c>
      <c r="C8412" s="6">
        <v>576000</v>
      </c>
      <c r="D8412" s="7">
        <v>0.95</v>
      </c>
      <c r="E8412" t="s">
        <v>31</v>
      </c>
    </row>
    <row r="8413" spans="1:5" x14ac:dyDescent="0.25">
      <c r="A8413" t="str">
        <f>HYPERLINK("https://www.773grp.com/globalSearch/SN74LS393D/page-1", "SN74LS393D")</f>
        <v>SN74LS393D</v>
      </c>
      <c r="B8413" s="3" t="str">
        <f>HYPERLINK("https://www.773grp.com/manufacturer/onsemi?pageNo=324", "Onsemi")</f>
        <v>Onsemi</v>
      </c>
      <c r="C8413" s="6">
        <v>5505</v>
      </c>
      <c r="D8413" s="7">
        <v>0.95</v>
      </c>
      <c r="E8413" t="s">
        <v>22</v>
      </c>
    </row>
    <row r="8414" spans="1:5" x14ac:dyDescent="0.25">
      <c r="A8414" t="str">
        <f>HYPERLINK("https://www.773grp.com/globalSearch/SN74LS540H/page-1", "SN74LS540H")</f>
        <v>SN74LS540H</v>
      </c>
      <c r="B8414" s="3" t="str">
        <f>HYPERLINK("https://www.773grp.com/manufacturer/onsemi?pageNo=325", "Onsemi")</f>
        <v>Onsemi</v>
      </c>
      <c r="C8414" s="6">
        <v>1080</v>
      </c>
      <c r="D8414" s="7">
        <v>0.95</v>
      </c>
    </row>
    <row r="8415" spans="1:5" x14ac:dyDescent="0.25">
      <c r="A8415" t="str">
        <f>HYPERLINK("https://www.773grp.com/globalSearch/SN74LS541N/page-1", "SN74LS541N")</f>
        <v>SN74LS541N</v>
      </c>
      <c r="B8415" s="3" t="str">
        <f>HYPERLINK("https://www.773grp.com/manufacturer/onsemi?pageNo=326", "Onsemi")</f>
        <v>Onsemi</v>
      </c>
      <c r="C8415" s="6">
        <v>14</v>
      </c>
      <c r="D8415" s="7">
        <v>0.95</v>
      </c>
      <c r="E8415" t="s">
        <v>11</v>
      </c>
    </row>
    <row r="8416" spans="1:5" x14ac:dyDescent="0.25">
      <c r="A8416" t="str">
        <f>HYPERLINK("https://www.773grp.com/globalSearch/SSVPZTA92T1/page-1", "SSVPZTA92T1")</f>
        <v>SSVPZTA92T1</v>
      </c>
      <c r="B8416" s="3" t="str">
        <f>HYPERLINK("https://www.773grp.com/manufacturer/onsemi?pageNo=327", "Onsemi")</f>
        <v>Onsemi</v>
      </c>
      <c r="C8416" s="6">
        <v>49000</v>
      </c>
      <c r="D8416" s="7">
        <v>0.95</v>
      </c>
    </row>
    <row r="8417" spans="1:5" x14ac:dyDescent="0.25">
      <c r="A8417" t="str">
        <f>HYPERLINK("https://www.773grp.com/globalSearch/SSVPZTA92T1G/page-1", "SSVPZTA92T1G")</f>
        <v>SSVPZTA92T1G</v>
      </c>
      <c r="B8417" s="3" t="str">
        <f>HYPERLINK("https://www.773grp.com/manufacturer/onsemi?pageNo=328", "Onsemi")</f>
        <v>Onsemi</v>
      </c>
      <c r="C8417" s="6">
        <v>94000</v>
      </c>
      <c r="D8417" s="7">
        <v>0.95</v>
      </c>
    </row>
    <row r="8418" spans="1:5" x14ac:dyDescent="0.25">
      <c r="A8418" t="str">
        <f>HYPERLINK("https://www.773grp.com/globalSearch/STD1059-001/page-1", "STD1059-001")</f>
        <v>STD1059-001</v>
      </c>
      <c r="B8418" s="3" t="str">
        <f>HYPERLINK("https://www.773grp.com/manufacturer/onsemi?pageNo=329", "Onsemi")</f>
        <v>Onsemi</v>
      </c>
      <c r="C8418" s="6">
        <v>15825</v>
      </c>
      <c r="D8418" s="7">
        <v>0.95</v>
      </c>
    </row>
    <row r="8419" spans="1:5" x14ac:dyDescent="0.25">
      <c r="A8419" t="str">
        <f>HYPERLINK("https://www.773grp.com/globalSearch/STD5P06VT4/page-1", "STD5P06VT4")</f>
        <v>STD5P06VT4</v>
      </c>
      <c r="B8419" s="3" t="str">
        <f>HYPERLINK("https://www.773grp.com/manufacturer/onsemi?pageNo=330", "Onsemi")</f>
        <v>Onsemi</v>
      </c>
      <c r="C8419" s="6">
        <v>52500</v>
      </c>
      <c r="D8419" s="7">
        <v>0.95</v>
      </c>
    </row>
    <row r="8420" spans="1:5" x14ac:dyDescent="0.25">
      <c r="A8420" t="str">
        <f>HYPERLINK("https://www.773grp.com/globalSearch/SUR722LFG/page-1", "SUR722LFG")</f>
        <v>SUR722LFG</v>
      </c>
      <c r="B8420" s="3" t="str">
        <f>HYPERLINK("https://www.773grp.com/manufacturer/onsemi?pageNo=331", "Onsemi")</f>
        <v>Onsemi</v>
      </c>
      <c r="C8420" s="6">
        <v>202000</v>
      </c>
      <c r="D8420" s="7">
        <v>0.95</v>
      </c>
    </row>
    <row r="8421" spans="1:5" x14ac:dyDescent="0.25">
      <c r="A8421" t="str">
        <f>HYPERLINK("https://www.773grp.com/globalSearch/SZ1SMA5928BT3G/page-1", "SZ1SMA5928BT3G")</f>
        <v>SZ1SMA5928BT3G</v>
      </c>
      <c r="B8421" s="3" t="str">
        <f>HYPERLINK("https://www.773grp.com/manufacturer/onsemi?pageNo=332", "Onsemi")</f>
        <v>Onsemi</v>
      </c>
      <c r="C8421" s="6">
        <v>25000</v>
      </c>
      <c r="D8421" s="7">
        <v>0.95</v>
      </c>
    </row>
    <row r="8422" spans="1:5" x14ac:dyDescent="0.25">
      <c r="A8422" t="str">
        <f>HYPERLINK("https://www.773grp.com/globalSearch/SZ1SMA5929BT3G/page-1", "SZ1SMA5929BT3G")</f>
        <v>SZ1SMA5929BT3G</v>
      </c>
      <c r="B8422" s="3" t="str">
        <f>HYPERLINK("https://www.773grp.com/manufacturer/onsemi?pageNo=333", "Onsemi")</f>
        <v>Onsemi</v>
      </c>
      <c r="C8422" s="6">
        <v>5000</v>
      </c>
      <c r="D8422" s="7">
        <v>0.95</v>
      </c>
    </row>
    <row r="8423" spans="1:5" x14ac:dyDescent="0.25">
      <c r="A8423" t="str">
        <f>HYPERLINK("https://www.773grp.com/globalSearch/TE02561/page-1", "TE02561")</f>
        <v>TE02561</v>
      </c>
      <c r="B8423" s="3" t="str">
        <f>HYPERLINK("https://www.773grp.com/manufacturer/onsemi?pageNo=334", "Onsemi")</f>
        <v>Onsemi</v>
      </c>
      <c r="C8423" s="6">
        <v>15700</v>
      </c>
      <c r="D8423" s="7">
        <v>0.95</v>
      </c>
    </row>
    <row r="8424" spans="1:5" x14ac:dyDescent="0.25">
      <c r="A8424" t="str">
        <f>HYPERLINK("https://www.773grp.com/globalSearch/TL071CD/page-1", "TL071CD")</f>
        <v>TL071CD</v>
      </c>
      <c r="B8424" s="3" t="str">
        <f>HYPERLINK("https://www.773grp.com/manufacturer/onsemi?pageNo=335", "Onsemi")</f>
        <v>Onsemi</v>
      </c>
      <c r="C8424" s="6">
        <v>294</v>
      </c>
      <c r="D8424" s="7">
        <v>0.95</v>
      </c>
      <c r="E8424" t="s">
        <v>10</v>
      </c>
    </row>
    <row r="8425" spans="1:5" x14ac:dyDescent="0.25">
      <c r="A8425" t="str">
        <f>HYPERLINK("https://www.773grp.com/globalSearch/TL072CD/page-1", "TL072CD")</f>
        <v>TL072CD</v>
      </c>
      <c r="B8425" s="3" t="str">
        <f>HYPERLINK("https://www.773grp.com/manufacturer/onsemi?pageNo=336", "Onsemi")</f>
        <v>Onsemi</v>
      </c>
      <c r="C8425" s="6">
        <v>5232</v>
      </c>
      <c r="D8425" s="7">
        <v>0.95</v>
      </c>
      <c r="E8425" t="s">
        <v>10</v>
      </c>
    </row>
    <row r="8426" spans="1:5" x14ac:dyDescent="0.25">
      <c r="A8426" t="str">
        <f>HYPERLINK("https://www.773grp.com/globalSearch/TL431BVDR2G/page-1", "TL431BVDR2G")</f>
        <v>TL431BVDR2G</v>
      </c>
      <c r="B8426" s="3" t="str">
        <f>HYPERLINK("https://www.773grp.com/manufacturer/onsemi?pageNo=337", "Onsemi")</f>
        <v>Onsemi</v>
      </c>
      <c r="C8426" s="6">
        <v>42500</v>
      </c>
      <c r="D8426" s="7">
        <v>0.95</v>
      </c>
      <c r="E8426" t="s">
        <v>13</v>
      </c>
    </row>
    <row r="8427" spans="1:5" x14ac:dyDescent="0.25">
      <c r="A8427" t="str">
        <f>HYPERLINK("https://www.773grp.com/globalSearch/TL431BVLPG/page-1", "TL431BVLPG")</f>
        <v>TL431BVLPG</v>
      </c>
      <c r="B8427" s="3" t="str">
        <f>HYPERLINK("https://www.773grp.com/manufacturer/onsemi?pageNo=338", "Onsemi")</f>
        <v>Onsemi</v>
      </c>
      <c r="C8427" s="6">
        <v>14000</v>
      </c>
      <c r="D8427" s="7">
        <v>0.95</v>
      </c>
    </row>
    <row r="8428" spans="1:5" x14ac:dyDescent="0.25">
      <c r="A8428" t="str">
        <f>HYPERLINK("https://www.773grp.com/globalSearch/TL431BVLPRAG/page-1", "TL431BVLPRAG")</f>
        <v>TL431BVLPRAG</v>
      </c>
      <c r="B8428" s="3" t="str">
        <f>HYPERLINK("https://www.773grp.com/manufacturer/onsemi?pageNo=339", "Onsemi")</f>
        <v>Onsemi</v>
      </c>
      <c r="C8428" s="6">
        <v>100000</v>
      </c>
      <c r="D8428" s="7">
        <v>0.95</v>
      </c>
    </row>
    <row r="8429" spans="1:5" x14ac:dyDescent="0.25">
      <c r="A8429" t="str">
        <f>HYPERLINK("https://www.773grp.com/globalSearch/TL494CD/page-1", "TL494CD")</f>
        <v>TL494CD</v>
      </c>
      <c r="B8429" s="3" t="str">
        <f>HYPERLINK("https://www.773grp.com/manufacturer/onsemi?pageNo=340", "Onsemi")</f>
        <v>Onsemi</v>
      </c>
      <c r="C8429" s="6">
        <v>1459</v>
      </c>
      <c r="D8429" s="7">
        <v>0.95</v>
      </c>
      <c r="E8429" t="s">
        <v>5</v>
      </c>
    </row>
    <row r="8430" spans="1:5" x14ac:dyDescent="0.25">
      <c r="A8430" t="str">
        <f>HYPERLINK("https://www.773grp.com/globalSearch/TLV431ASNT1/page-1", "TLV431ASNT1")</f>
        <v>TLV431ASNT1</v>
      </c>
      <c r="B8430" s="3" t="str">
        <f>HYPERLINK("https://www.773grp.com/manufacturer/onsemi?pageNo=341", "Onsemi")</f>
        <v>Onsemi</v>
      </c>
      <c r="C8430" s="6">
        <v>187770</v>
      </c>
      <c r="D8430" s="7">
        <v>0.95</v>
      </c>
      <c r="E8430" t="s">
        <v>13</v>
      </c>
    </row>
    <row r="8431" spans="1:5" x14ac:dyDescent="0.25">
      <c r="A8431" t="str">
        <f>HYPERLINK("https://www.773grp.com/globalSearch/UC3842AN2/page-1", "UC3842AN2")</f>
        <v>UC3842AN2</v>
      </c>
      <c r="B8431" s="3" t="str">
        <f>HYPERLINK("https://www.773grp.com/manufacturer/onsemi?pageNo=342", "Onsemi")</f>
        <v>Onsemi</v>
      </c>
      <c r="C8431" s="6">
        <v>820</v>
      </c>
      <c r="D8431" s="7">
        <v>0.95</v>
      </c>
      <c r="E8431" t="s">
        <v>5</v>
      </c>
    </row>
    <row r="8432" spans="1:5" x14ac:dyDescent="0.25">
      <c r="A8432" t="str">
        <f>HYPERLINK("https://www.773grp.com/globalSearch/UC3842AN2G/page-1", "UC3842AN2G")</f>
        <v>UC3842AN2G</v>
      </c>
      <c r="B8432" s="3" t="str">
        <f>HYPERLINK("https://www.773grp.com/manufacturer/onsemi?pageNo=343", "Onsemi")</f>
        <v>Onsemi</v>
      </c>
      <c r="C8432" s="6">
        <v>600</v>
      </c>
      <c r="D8432" s="7">
        <v>0.95</v>
      </c>
      <c r="E8432" t="s">
        <v>5</v>
      </c>
    </row>
    <row r="8433" spans="1:5" x14ac:dyDescent="0.25">
      <c r="A8433" t="str">
        <f>HYPERLINK("https://www.773grp.com/globalSearch/UC3842BD/page-1", "UC3842BD")</f>
        <v>UC3842BD</v>
      </c>
      <c r="B8433" s="3" t="str">
        <f>HYPERLINK("https://www.773grp.com/manufacturer/onsemi?pageNo=344", "Onsemi")</f>
        <v>Onsemi</v>
      </c>
      <c r="C8433" s="6">
        <v>3826</v>
      </c>
      <c r="D8433" s="7">
        <v>0.95</v>
      </c>
      <c r="E8433" t="s">
        <v>5</v>
      </c>
    </row>
    <row r="8434" spans="1:5" x14ac:dyDescent="0.25">
      <c r="A8434" t="str">
        <f>HYPERLINK("https://www.773grp.com/globalSearch/UC3842BD1/page-1", "UC3842BD1")</f>
        <v>UC3842BD1</v>
      </c>
      <c r="B8434" s="3" t="str">
        <f>HYPERLINK("https://www.773grp.com/manufacturer/onsemi?pageNo=345", "Onsemi")</f>
        <v>Onsemi</v>
      </c>
      <c r="C8434" s="6">
        <v>37142</v>
      </c>
      <c r="D8434" s="7">
        <v>0.95</v>
      </c>
      <c r="E8434" t="s">
        <v>5</v>
      </c>
    </row>
    <row r="8435" spans="1:5" x14ac:dyDescent="0.25">
      <c r="A8435" t="str">
        <f>HYPERLINK("https://www.773grp.com/globalSearch/UC3842BD1R2/page-1", "UC3842BD1R2")</f>
        <v>UC3842BD1R2</v>
      </c>
      <c r="B8435" s="3" t="str">
        <f>HYPERLINK("https://www.773grp.com/manufacturer/onsemi?pageNo=346", "Onsemi")</f>
        <v>Onsemi</v>
      </c>
      <c r="C8435" s="6">
        <v>357500</v>
      </c>
      <c r="D8435" s="7">
        <v>0.95</v>
      </c>
      <c r="E8435" t="s">
        <v>5</v>
      </c>
    </row>
    <row r="8436" spans="1:5" x14ac:dyDescent="0.25">
      <c r="A8436" t="str">
        <f>HYPERLINK("https://www.773grp.com/globalSearch/UC3842BDR2/page-1", "UC3842BDR2")</f>
        <v>UC3842BDR2</v>
      </c>
      <c r="B8436" s="3" t="str">
        <f>HYPERLINK("https://www.773grp.com/manufacturer/onsemi?pageNo=347", "Onsemi")</f>
        <v>Onsemi</v>
      </c>
      <c r="C8436" s="6">
        <v>20000</v>
      </c>
      <c r="D8436" s="7">
        <v>0.95</v>
      </c>
      <c r="E8436" t="s">
        <v>5</v>
      </c>
    </row>
    <row r="8437" spans="1:5" x14ac:dyDescent="0.25">
      <c r="A8437" t="str">
        <f>HYPERLINK("https://www.773grp.com/globalSearch/UC3842BN/page-1", "UC3842BN")</f>
        <v>UC3842BN</v>
      </c>
      <c r="B8437" s="3" t="str">
        <f>HYPERLINK("https://www.773grp.com/manufacturer/onsemi?pageNo=348", "Onsemi")</f>
        <v>Onsemi</v>
      </c>
      <c r="C8437" s="6">
        <v>4249</v>
      </c>
      <c r="D8437" s="7">
        <v>0.95</v>
      </c>
      <c r="E8437" t="s">
        <v>5</v>
      </c>
    </row>
    <row r="8438" spans="1:5" x14ac:dyDescent="0.25">
      <c r="A8438" t="str">
        <f>HYPERLINK("https://www.773grp.com/globalSearch/UC3843AD1R2/page-1", "UC3843AD1R2")</f>
        <v>UC3843AD1R2</v>
      </c>
      <c r="B8438" s="3" t="str">
        <f>HYPERLINK("https://www.773grp.com/manufacturer/onsemi?pageNo=349", "Onsemi")</f>
        <v>Onsemi</v>
      </c>
      <c r="C8438" s="6">
        <v>2200</v>
      </c>
      <c r="D8438" s="7">
        <v>0.95</v>
      </c>
      <c r="E8438" t="s">
        <v>5</v>
      </c>
    </row>
    <row r="8439" spans="1:5" x14ac:dyDescent="0.25">
      <c r="A8439" t="str">
        <f>HYPERLINK("https://www.773grp.com/globalSearch/UC3843AN2/page-1", "UC3843AN2")</f>
        <v>UC3843AN2</v>
      </c>
      <c r="B8439" s="3" t="str">
        <f>HYPERLINK("https://www.773grp.com/manufacturer/onsemi?pageNo=350", "Onsemi")</f>
        <v>Onsemi</v>
      </c>
      <c r="C8439" s="6">
        <v>50</v>
      </c>
      <c r="D8439" s="7">
        <v>0.95</v>
      </c>
      <c r="E8439" t="s">
        <v>5</v>
      </c>
    </row>
    <row r="8440" spans="1:5" x14ac:dyDescent="0.25">
      <c r="A8440" t="str">
        <f>HYPERLINK("https://www.773grp.com/globalSearch/UC3843BD1/page-1", "UC3843BD1")</f>
        <v>UC3843BD1</v>
      </c>
      <c r="B8440" s="3" t="str">
        <f>HYPERLINK("https://www.773grp.com/manufacturer/onsemi?pageNo=351", "Onsemi")</f>
        <v>Onsemi</v>
      </c>
      <c r="C8440" s="6">
        <v>308</v>
      </c>
      <c r="D8440" s="7">
        <v>0.95</v>
      </c>
      <c r="E8440" t="s">
        <v>5</v>
      </c>
    </row>
    <row r="8441" spans="1:5" x14ac:dyDescent="0.25">
      <c r="A8441" t="str">
        <f>HYPERLINK("https://www.773grp.com/globalSearch/UC3843BD1R2/page-1", "UC3843BD1R2")</f>
        <v>UC3843BD1R2</v>
      </c>
      <c r="B8441" s="3" t="str">
        <f>HYPERLINK("https://www.773grp.com/manufacturer/onsemi?pageNo=352", "Onsemi")</f>
        <v>Onsemi</v>
      </c>
      <c r="C8441" s="6">
        <v>4985</v>
      </c>
      <c r="D8441" s="7">
        <v>0.95</v>
      </c>
      <c r="E8441" t="s">
        <v>5</v>
      </c>
    </row>
    <row r="8442" spans="1:5" x14ac:dyDescent="0.25">
      <c r="A8442" t="str">
        <f>HYPERLINK("https://www.773grp.com/globalSearch/UC3843BN/page-1", "UC3843BN")</f>
        <v>UC3843BN</v>
      </c>
      <c r="B8442" s="3" t="str">
        <f>HYPERLINK("https://www.773grp.com/manufacturer/onsemi?pageNo=353", "Onsemi")</f>
        <v>Onsemi</v>
      </c>
      <c r="C8442" s="6">
        <v>39787</v>
      </c>
      <c r="D8442" s="7">
        <v>0.95</v>
      </c>
      <c r="E8442" t="s">
        <v>5</v>
      </c>
    </row>
    <row r="8443" spans="1:5" x14ac:dyDescent="0.25">
      <c r="A8443" t="str">
        <f>HYPERLINK("https://www.773grp.com/globalSearch/UC3844BN/page-1", "UC3844BN")</f>
        <v>UC3844BN</v>
      </c>
      <c r="B8443" s="3" t="str">
        <f>HYPERLINK("https://www.773grp.com/manufacturer/onsemi?pageNo=354", "Onsemi")</f>
        <v>Onsemi</v>
      </c>
      <c r="C8443" s="6">
        <v>15272</v>
      </c>
      <c r="D8443" s="7">
        <v>0.95</v>
      </c>
      <c r="E8443" t="s">
        <v>5</v>
      </c>
    </row>
    <row r="8444" spans="1:5" x14ac:dyDescent="0.25">
      <c r="A8444" t="str">
        <f>HYPERLINK("https://www.773grp.com/globalSearch/UC3845BN/page-1", "UC3845BN")</f>
        <v>UC3845BN</v>
      </c>
      <c r="B8444" s="3" t="str">
        <f>HYPERLINK("https://www.773grp.com/manufacturer/onsemi?pageNo=355", "Onsemi")</f>
        <v>Onsemi</v>
      </c>
      <c r="C8444" s="6">
        <v>3400</v>
      </c>
      <c r="D8444" s="7">
        <v>0.95</v>
      </c>
      <c r="E8444" t="s">
        <v>5</v>
      </c>
    </row>
    <row r="8445" spans="1:5" x14ac:dyDescent="0.25">
      <c r="A8445" t="str">
        <f>HYPERLINK("https://www.773grp.com/globalSearch/UC3845N/page-1", "UC3845N")</f>
        <v>UC3845N</v>
      </c>
      <c r="B8445" s="3" t="str">
        <f>HYPERLINK("https://www.773grp.com/manufacturer/onsemi?pageNo=356", "Onsemi")</f>
        <v>Onsemi</v>
      </c>
      <c r="C8445" s="6">
        <v>11</v>
      </c>
      <c r="D8445" s="7">
        <v>0.95</v>
      </c>
      <c r="E8445" t="s">
        <v>5</v>
      </c>
    </row>
    <row r="8446" spans="1:5" x14ac:dyDescent="0.25">
      <c r="A8446" t="str">
        <f>HYPERLINK("https://www.773grp.com/globalSearch/UC3845NG/page-1", "UC3845NG")</f>
        <v>UC3845NG</v>
      </c>
      <c r="B8446" s="3" t="str">
        <f>HYPERLINK("https://www.773grp.com/manufacturer/onsemi?pageNo=357", "Onsemi")</f>
        <v>Onsemi</v>
      </c>
      <c r="C8446" s="6">
        <v>130</v>
      </c>
      <c r="D8446" s="7">
        <v>0.95</v>
      </c>
      <c r="E8446" t="s">
        <v>5</v>
      </c>
    </row>
    <row r="8447" spans="1:5" x14ac:dyDescent="0.25">
      <c r="A8447" t="str">
        <f>HYPERLINK("https://www.773grp.com/globalSearch/1SMA10CAT3G/page-1", "1SMA10CAT3G")</f>
        <v>1SMA10CAT3G</v>
      </c>
      <c r="B8447" s="3" t="str">
        <f>HYPERLINK("https://www.773grp.com/manufacturer/onsemi?pageNo=358", "Onsemi")</f>
        <v>Onsemi</v>
      </c>
      <c r="C8447" s="6">
        <v>4170</v>
      </c>
      <c r="D8447" s="7">
        <v>1</v>
      </c>
      <c r="E8447" t="s">
        <v>75</v>
      </c>
    </row>
    <row r="8448" spans="1:5" x14ac:dyDescent="0.25">
      <c r="A8448" t="str">
        <f>HYPERLINK("https://www.773grp.com/globalSearch/1SMA13CAT3G/page-1", "1SMA13CAT3G")</f>
        <v>1SMA13CAT3G</v>
      </c>
      <c r="B8448" s="3" t="str">
        <f>HYPERLINK("https://www.773grp.com/manufacturer/onsemi?pageNo=359", "Onsemi")</f>
        <v>Onsemi</v>
      </c>
      <c r="C8448" s="6">
        <v>5000</v>
      </c>
      <c r="D8448" s="7">
        <v>1</v>
      </c>
    </row>
    <row r="8449" spans="1:5" x14ac:dyDescent="0.25">
      <c r="A8449" t="str">
        <f>HYPERLINK("https://www.773grp.com/globalSearch/1SMA15CAT3G/page-1", "1SMA15CAT3G")</f>
        <v>1SMA15CAT3G</v>
      </c>
      <c r="B8449" s="3" t="str">
        <f>HYPERLINK("https://www.773grp.com/manufacturer/onsemi?pageNo=360", "Onsemi")</f>
        <v>Onsemi</v>
      </c>
      <c r="C8449" s="6">
        <v>9800</v>
      </c>
      <c r="D8449" s="7">
        <v>1</v>
      </c>
      <c r="E8449" t="s">
        <v>75</v>
      </c>
    </row>
    <row r="8450" spans="1:5" x14ac:dyDescent="0.25">
      <c r="A8450" t="str">
        <f>HYPERLINK("https://www.773grp.com/globalSearch/1SMA16CAT3G/page-1", "1SMA16CAT3G")</f>
        <v>1SMA16CAT3G</v>
      </c>
      <c r="B8450" s="3" t="str">
        <f>HYPERLINK("https://www.773grp.com/manufacturer/onsemi?pageNo=361", "Onsemi")</f>
        <v>Onsemi</v>
      </c>
      <c r="C8450" s="6">
        <v>115000</v>
      </c>
      <c r="D8450" s="7">
        <v>1</v>
      </c>
      <c r="E8450" t="s">
        <v>75</v>
      </c>
    </row>
    <row r="8451" spans="1:5" x14ac:dyDescent="0.25">
      <c r="A8451" t="str">
        <f>HYPERLINK("https://www.773grp.com/globalSearch/1SMA18CAT3G/page-1", "1SMA18CAT3G")</f>
        <v>1SMA18CAT3G</v>
      </c>
      <c r="B8451" s="3" t="str">
        <f>HYPERLINK("https://www.773grp.com/manufacturer/onsemi?pageNo=362", "Onsemi")</f>
        <v>Onsemi</v>
      </c>
      <c r="C8451" s="6">
        <v>89500</v>
      </c>
      <c r="D8451" s="7">
        <v>1</v>
      </c>
      <c r="E8451" t="s">
        <v>75</v>
      </c>
    </row>
    <row r="8452" spans="1:5" x14ac:dyDescent="0.25">
      <c r="A8452" t="str">
        <f>HYPERLINK("https://www.773grp.com/globalSearch/1SMA24CAT3G/page-1", "1SMA24CAT3G")</f>
        <v>1SMA24CAT3G</v>
      </c>
      <c r="B8452" s="3" t="str">
        <f>HYPERLINK("https://www.773grp.com/manufacturer/onsemi?pageNo=363", "Onsemi")</f>
        <v>Onsemi</v>
      </c>
      <c r="C8452" s="6">
        <v>113850</v>
      </c>
      <c r="D8452" s="7">
        <v>1</v>
      </c>
      <c r="E8452" t="s">
        <v>75</v>
      </c>
    </row>
    <row r="8453" spans="1:5" x14ac:dyDescent="0.25">
      <c r="A8453" t="str">
        <f>HYPERLINK("https://www.773grp.com/globalSearch/1SMA30CAT3G/page-1", "1SMA30CAT3G")</f>
        <v>1SMA30CAT3G</v>
      </c>
      <c r="B8453" s="3" t="str">
        <f>HYPERLINK("https://www.773grp.com/manufacturer/onsemi?pageNo=364", "Onsemi")</f>
        <v>Onsemi</v>
      </c>
      <c r="C8453" s="6">
        <v>25000</v>
      </c>
      <c r="D8453" s="7">
        <v>1</v>
      </c>
    </row>
    <row r="8454" spans="1:5" x14ac:dyDescent="0.25">
      <c r="A8454" t="str">
        <f>HYPERLINK("https://www.773grp.com/globalSearch/1SMA33CAT3G/page-1", "1SMA33CAT3G")</f>
        <v>1SMA33CAT3G</v>
      </c>
      <c r="B8454" s="3" t="str">
        <f>HYPERLINK("https://www.773grp.com/manufacturer/onsemi?pageNo=365", "Onsemi")</f>
        <v>Onsemi</v>
      </c>
      <c r="C8454" s="6">
        <v>43294</v>
      </c>
      <c r="D8454" s="7">
        <v>1</v>
      </c>
    </row>
    <row r="8455" spans="1:5" x14ac:dyDescent="0.25">
      <c r="A8455" t="str">
        <f>HYPERLINK("https://www.773grp.com/globalSearch/1SMA48CAT3G/page-1", "1SMA48CAT3G")</f>
        <v>1SMA48CAT3G</v>
      </c>
      <c r="B8455" s="3" t="str">
        <f>HYPERLINK("https://www.773grp.com/manufacturer/onsemi?pageNo=366", "Onsemi")</f>
        <v>Onsemi</v>
      </c>
      <c r="C8455" s="6">
        <v>13363</v>
      </c>
      <c r="D8455" s="7">
        <v>1</v>
      </c>
    </row>
    <row r="8456" spans="1:5" x14ac:dyDescent="0.25">
      <c r="A8456" t="str">
        <f>HYPERLINK("https://www.773grp.com/globalSearch/1SMA58CAT3G/page-1", "1SMA58CAT3G")</f>
        <v>1SMA58CAT3G</v>
      </c>
      <c r="B8456" s="3" t="str">
        <f>HYPERLINK("https://www.773grp.com/manufacturer/onsemi?pageNo=367", "Onsemi")</f>
        <v>Onsemi</v>
      </c>
      <c r="C8456" s="6">
        <v>5000</v>
      </c>
      <c r="D8456" s="7">
        <v>1</v>
      </c>
      <c r="E8456" t="s">
        <v>75</v>
      </c>
    </row>
    <row r="8457" spans="1:5" x14ac:dyDescent="0.25">
      <c r="A8457" t="str">
        <f>HYPERLINK("https://www.773grp.com/globalSearch/1SMB130AT3/page-1", "1SMB130AT3")</f>
        <v>1SMB130AT3</v>
      </c>
      <c r="B8457" s="3" t="str">
        <f>HYPERLINK("https://www.773grp.com/manufacturer/onsemi?pageNo=368", "Onsemi")</f>
        <v>Onsemi</v>
      </c>
      <c r="C8457" s="6">
        <v>5000</v>
      </c>
      <c r="D8457" s="7">
        <v>1</v>
      </c>
      <c r="E8457" t="s">
        <v>75</v>
      </c>
    </row>
    <row r="8458" spans="1:5" x14ac:dyDescent="0.25">
      <c r="A8458" t="str">
        <f>HYPERLINK("https://www.773grp.com/globalSearch/2N5195/page-1", "2N5195")</f>
        <v>2N5195</v>
      </c>
      <c r="B8458" s="3" t="str">
        <f>HYPERLINK("https://www.773grp.com/manufacturer/onsemi?pageNo=369", "Onsemi")</f>
        <v>Onsemi</v>
      </c>
      <c r="C8458" s="6">
        <v>2472</v>
      </c>
      <c r="D8458" s="7">
        <v>1</v>
      </c>
      <c r="E8458" t="s">
        <v>47</v>
      </c>
    </row>
    <row r="8459" spans="1:5" x14ac:dyDescent="0.25">
      <c r="A8459" t="str">
        <f>HYPERLINK("https://www.773grp.com/globalSearch/2N6038/page-1", "2N6038")</f>
        <v>2N6038</v>
      </c>
      <c r="B8459" s="3" t="str">
        <f>HYPERLINK("https://www.773grp.com/manufacturer/onsemi?pageNo=370", "Onsemi")</f>
        <v>Onsemi</v>
      </c>
      <c r="C8459" s="6">
        <v>2000</v>
      </c>
      <c r="D8459" s="7">
        <v>1</v>
      </c>
      <c r="E8459" t="s">
        <v>47</v>
      </c>
    </row>
    <row r="8460" spans="1:5" x14ac:dyDescent="0.25">
      <c r="A8460" t="str">
        <f>HYPERLINK("https://www.773grp.com/globalSearch/2SB1201S-E/page-1", "2SB1201S-E")</f>
        <v>2SB1201S-E</v>
      </c>
      <c r="B8460" s="3" t="str">
        <f>HYPERLINK("https://www.773grp.com/manufacturer/onsemi?pageNo=371", "Onsemi")</f>
        <v>Onsemi</v>
      </c>
      <c r="C8460" s="6">
        <v>500</v>
      </c>
      <c r="D8460" s="7">
        <v>1</v>
      </c>
    </row>
    <row r="8461" spans="1:5" x14ac:dyDescent="0.25">
      <c r="A8461" t="str">
        <f>HYPERLINK("https://www.773grp.com/globalSearch/BF720T1G/page-1", "BF720T1G")</f>
        <v>BF720T1G</v>
      </c>
      <c r="B8461" s="3" t="str">
        <f>HYPERLINK("https://www.773grp.com/manufacturer/onsemi?pageNo=372", "Onsemi")</f>
        <v>Onsemi</v>
      </c>
      <c r="C8461" s="6">
        <v>11000</v>
      </c>
      <c r="D8461" s="7">
        <v>1</v>
      </c>
      <c r="E8461" t="s">
        <v>47</v>
      </c>
    </row>
    <row r="8462" spans="1:5" x14ac:dyDescent="0.25">
      <c r="A8462" t="str">
        <f>HYPERLINK("https://www.773grp.com/globalSearch/CAT24C02LI/page-1", "CAT24C02LI")</f>
        <v>CAT24C02LI</v>
      </c>
      <c r="B8462" s="3" t="str">
        <f>HYPERLINK("https://www.773grp.com/manufacturer/onsemi?pageNo=373", "Onsemi")</f>
        <v>Onsemi</v>
      </c>
      <c r="C8462" s="6">
        <v>33900</v>
      </c>
      <c r="D8462" s="7">
        <v>1</v>
      </c>
      <c r="E8462" t="s">
        <v>52</v>
      </c>
    </row>
    <row r="8463" spans="1:5" x14ac:dyDescent="0.25">
      <c r="A8463" t="str">
        <f>HYPERLINK("https://www.773grp.com/globalSearch/CAT24C05LI-G/page-1", "CAT24C05LI-G")</f>
        <v>CAT24C05LI-G</v>
      </c>
      <c r="B8463" s="3" t="str">
        <f>HYPERLINK("https://www.773grp.com/manufacturer/onsemi?pageNo=374", "Onsemi")</f>
        <v>Onsemi</v>
      </c>
      <c r="C8463" s="6">
        <v>16000</v>
      </c>
      <c r="D8463" s="7">
        <v>1</v>
      </c>
      <c r="E8463" t="s">
        <v>52</v>
      </c>
    </row>
    <row r="8464" spans="1:5" x14ac:dyDescent="0.25">
      <c r="A8464" t="str">
        <f>HYPERLINK("https://www.773grp.com/globalSearch/CAT24C32WI-G/page-1", "CAT24C32WI-G")</f>
        <v>CAT24C32WI-G</v>
      </c>
      <c r="B8464" s="3" t="str">
        <f>HYPERLINK("https://www.773grp.com/manufacturer/onsemi?pageNo=375", "Onsemi")</f>
        <v>Onsemi</v>
      </c>
      <c r="C8464" s="6">
        <v>6000</v>
      </c>
      <c r="D8464" s="7">
        <v>1</v>
      </c>
    </row>
    <row r="8465" spans="1:5" x14ac:dyDescent="0.25">
      <c r="A8465" t="str">
        <f>HYPERLINK("https://www.773grp.com/globalSearch/CAT25020LI-G/page-1", "CAT25020LI-G")</f>
        <v>CAT25020LI-G</v>
      </c>
      <c r="B8465" s="3" t="str">
        <f>HYPERLINK("https://www.773grp.com/manufacturer/onsemi?pageNo=376", "Onsemi")</f>
        <v>Onsemi</v>
      </c>
      <c r="C8465" s="6">
        <v>30760</v>
      </c>
      <c r="D8465" s="7">
        <v>1</v>
      </c>
      <c r="E8465" t="s">
        <v>52</v>
      </c>
    </row>
    <row r="8466" spans="1:5" x14ac:dyDescent="0.25">
      <c r="A8466" t="str">
        <f>HYPERLINK("https://www.773grp.com/globalSearch/CAT25160VI-GT3/page-1", "CAT25160VI-GT3")</f>
        <v>CAT25160VI-GT3</v>
      </c>
      <c r="B8466" s="3" t="str">
        <f>HYPERLINK("https://www.773grp.com/manufacturer/onsemi?pageNo=377", "Onsemi")</f>
        <v>Onsemi</v>
      </c>
      <c r="C8466" s="6">
        <v>16880</v>
      </c>
      <c r="D8466" s="7">
        <v>1</v>
      </c>
      <c r="E8466" t="s">
        <v>52</v>
      </c>
    </row>
    <row r="8467" spans="1:5" x14ac:dyDescent="0.25">
      <c r="A8467" t="str">
        <f>HYPERLINK("https://www.773grp.com/globalSearch/CAT25160YI-GT3/page-1", "CAT25160YI-GT3")</f>
        <v>CAT25160YI-GT3</v>
      </c>
      <c r="B8467" s="3" t="str">
        <f>HYPERLINK("https://www.773grp.com/manufacturer/onsemi?pageNo=378", "Onsemi")</f>
        <v>Onsemi</v>
      </c>
      <c r="C8467" s="6">
        <v>60</v>
      </c>
      <c r="D8467" s="7">
        <v>1</v>
      </c>
      <c r="E8467" t="s">
        <v>52</v>
      </c>
    </row>
    <row r="8468" spans="1:5" x14ac:dyDescent="0.25">
      <c r="A8468" t="str">
        <f>HYPERLINK("https://www.773grp.com/globalSearch/CAT810MTBI-T3/page-1", "CAT810MTBI-T3")</f>
        <v>CAT810MTBI-T3</v>
      </c>
      <c r="B8468" s="3" t="str">
        <f>HYPERLINK("https://www.773grp.com/manufacturer/onsemi?pageNo=379", "Onsemi")</f>
        <v>Onsemi</v>
      </c>
      <c r="C8468" s="6">
        <v>63000</v>
      </c>
      <c r="D8468" s="7">
        <v>1</v>
      </c>
    </row>
    <row r="8469" spans="1:5" x14ac:dyDescent="0.25">
      <c r="A8469" t="str">
        <f>HYPERLINK("https://www.773grp.com/globalSearch/CAT810TTBI-T3/page-1", "CAT810TTBI-T3")</f>
        <v>CAT810TTBI-T3</v>
      </c>
      <c r="B8469" s="3" t="str">
        <f>HYPERLINK("https://www.773grp.com/manufacturer/onsemi?pageNo=380", "Onsemi")</f>
        <v>Onsemi</v>
      </c>
      <c r="C8469" s="6">
        <v>60000</v>
      </c>
      <c r="D8469" s="7">
        <v>1</v>
      </c>
    </row>
    <row r="8470" spans="1:5" x14ac:dyDescent="0.25">
      <c r="A8470" t="str">
        <f>HYPERLINK("https://www.773grp.com/globalSearch/CAT811LTBI-GT3/page-1", "CAT811LTBI-GT3")</f>
        <v>CAT811LTBI-GT3</v>
      </c>
      <c r="B8470" s="3" t="str">
        <f>HYPERLINK("https://www.773grp.com/manufacturer/onsemi?pageNo=381", "Onsemi")</f>
        <v>Onsemi</v>
      </c>
      <c r="C8470" s="6">
        <v>6000</v>
      </c>
      <c r="D8470" s="7">
        <v>1</v>
      </c>
    </row>
    <row r="8471" spans="1:5" x14ac:dyDescent="0.25">
      <c r="A8471" t="str">
        <f>HYPERLINK("https://www.773grp.com/globalSearch/CAT811MTBI-GT3/page-1", "CAT811MTBI-GT3")</f>
        <v>CAT811MTBI-GT3</v>
      </c>
      <c r="B8471" s="3" t="str">
        <f>HYPERLINK("https://www.773grp.com/manufacturer/onsemi?pageNo=382", "Onsemi")</f>
        <v>Onsemi</v>
      </c>
      <c r="C8471" s="6">
        <v>9000</v>
      </c>
      <c r="D8471" s="7">
        <v>1</v>
      </c>
    </row>
    <row r="8472" spans="1:5" x14ac:dyDescent="0.25">
      <c r="A8472" t="str">
        <f>HYPERLINK("https://www.773grp.com/globalSearch/CAT811MTBI-T3/page-1", "CAT811MTBI-T3")</f>
        <v>CAT811MTBI-T3</v>
      </c>
      <c r="B8472" s="3" t="str">
        <f>HYPERLINK("https://www.773grp.com/manufacturer/onsemi?pageNo=383", "Onsemi")</f>
        <v>Onsemi</v>
      </c>
      <c r="C8472" s="6">
        <v>21000</v>
      </c>
      <c r="D8472" s="7">
        <v>1</v>
      </c>
    </row>
    <row r="8473" spans="1:5" x14ac:dyDescent="0.25">
      <c r="A8473" t="str">
        <f>HYPERLINK("https://www.773grp.com/globalSearch/CAT811STBI-GT3/page-1", "CAT811STBI-GT3")</f>
        <v>CAT811STBI-GT3</v>
      </c>
      <c r="B8473" s="3" t="str">
        <f>HYPERLINK("https://www.773grp.com/manufacturer/onsemi?pageNo=384", "Onsemi")</f>
        <v>Onsemi</v>
      </c>
      <c r="C8473" s="6">
        <v>171000</v>
      </c>
      <c r="D8473" s="7">
        <v>1</v>
      </c>
      <c r="E8473" t="s">
        <v>26</v>
      </c>
    </row>
    <row r="8474" spans="1:5" x14ac:dyDescent="0.25">
      <c r="A8474" t="str">
        <f>HYPERLINK("https://www.773grp.com/globalSearch/CAT811STBI-T3/page-1", "CAT811STBI-T3")</f>
        <v>CAT811STBI-T3</v>
      </c>
      <c r="B8474" s="3" t="str">
        <f>HYPERLINK("https://www.773grp.com/manufacturer/onsemi?pageNo=385", "Onsemi")</f>
        <v>Onsemi</v>
      </c>
      <c r="C8474" s="6">
        <v>96000</v>
      </c>
      <c r="D8474" s="7">
        <v>1</v>
      </c>
    </row>
    <row r="8475" spans="1:5" x14ac:dyDescent="0.25">
      <c r="A8475" t="str">
        <f>HYPERLINK("https://www.773grp.com/globalSearch/CAT811TTBI-GT3/page-1", "CAT811TTBI-GT3")</f>
        <v>CAT811TTBI-GT3</v>
      </c>
      <c r="B8475" s="3" t="str">
        <f>HYPERLINK("https://www.773grp.com/manufacturer/onsemi?pageNo=386", "Onsemi")</f>
        <v>Onsemi</v>
      </c>
      <c r="C8475" s="6">
        <v>3000</v>
      </c>
      <c r="D8475" s="7">
        <v>1</v>
      </c>
    </row>
    <row r="8476" spans="1:5" x14ac:dyDescent="0.25">
      <c r="A8476" t="str">
        <f>HYPERLINK("https://www.773grp.com/globalSearch/CAT811TTBI-T3/page-1", "CAT811TTBI-T3")</f>
        <v>CAT811TTBI-T3</v>
      </c>
      <c r="B8476" s="3" t="str">
        <f>HYPERLINK("https://www.773grp.com/manufacturer/onsemi?pageNo=387", "Onsemi")</f>
        <v>Onsemi</v>
      </c>
      <c r="C8476" s="6">
        <v>8508</v>
      </c>
      <c r="D8476" s="7">
        <v>1</v>
      </c>
      <c r="E8476" t="s">
        <v>26</v>
      </c>
    </row>
    <row r="8477" spans="1:5" x14ac:dyDescent="0.25">
      <c r="A8477" t="str">
        <f>HYPERLINK("https://www.773grp.com/globalSearch/CAT812LTBI-GT3/page-1", "CAT812LTBI-GT3")</f>
        <v>CAT812LTBI-GT3</v>
      </c>
      <c r="B8477" s="3" t="str">
        <f>HYPERLINK("https://www.773grp.com/manufacturer/onsemi?pageNo=388", "Onsemi")</f>
        <v>Onsemi</v>
      </c>
      <c r="C8477" s="6">
        <v>3000</v>
      </c>
      <c r="D8477" s="7">
        <v>1</v>
      </c>
      <c r="E8477" t="s">
        <v>26</v>
      </c>
    </row>
    <row r="8478" spans="1:5" x14ac:dyDescent="0.25">
      <c r="A8478" t="str">
        <f>HYPERLINK("https://www.773grp.com/globalSearch/CAT812RTBI-GT3/page-1", "CAT812RTBI-GT3")</f>
        <v>CAT812RTBI-GT3</v>
      </c>
      <c r="B8478" s="3" t="str">
        <f>HYPERLINK("https://www.773grp.com/manufacturer/onsemi?pageNo=389", "Onsemi")</f>
        <v>Onsemi</v>
      </c>
      <c r="C8478" s="6">
        <v>54000</v>
      </c>
      <c r="D8478" s="7">
        <v>1</v>
      </c>
    </row>
    <row r="8479" spans="1:5" x14ac:dyDescent="0.25">
      <c r="A8479" t="str">
        <f>HYPERLINK("https://www.773grp.com/globalSearch/CAT93C76VI-G/page-1", "CAT93C76VI-G")</f>
        <v>CAT93C76VI-G</v>
      </c>
      <c r="B8479" s="3" t="str">
        <f>HYPERLINK("https://www.773grp.com/manufacturer/onsemi?pageNo=390", "Onsemi")</f>
        <v>Onsemi</v>
      </c>
      <c r="C8479" s="6">
        <v>400</v>
      </c>
      <c r="D8479" s="7">
        <v>1</v>
      </c>
    </row>
    <row r="8480" spans="1:5" x14ac:dyDescent="0.25">
      <c r="A8480" t="str">
        <f>HYPERLINK("https://www.773grp.com/globalSearch/CM1224-02SR/page-1", "CM1224-02SR")</f>
        <v>CM1224-02SR</v>
      </c>
      <c r="B8480" s="3" t="str">
        <f>HYPERLINK("https://www.773grp.com/manufacturer/onsemi?pageNo=391", "Onsemi")</f>
        <v>Onsemi</v>
      </c>
      <c r="C8480" s="6">
        <v>87000</v>
      </c>
      <c r="D8480" s="7">
        <v>1</v>
      </c>
      <c r="E8480" t="s">
        <v>75</v>
      </c>
    </row>
    <row r="8481" spans="1:5" x14ac:dyDescent="0.25">
      <c r="A8481" t="str">
        <f>HYPERLINK("https://www.773grp.com/globalSearch/CM1225-04DE/page-1", "CM1225-04DE")</f>
        <v>CM1225-04DE</v>
      </c>
      <c r="B8481" s="3" t="str">
        <f>HYPERLINK("https://www.773grp.com/manufacturer/onsemi?pageNo=392", "Onsemi")</f>
        <v>Onsemi</v>
      </c>
      <c r="C8481" s="6">
        <v>60000</v>
      </c>
      <c r="D8481" s="7">
        <v>1</v>
      </c>
      <c r="E8481" t="s">
        <v>75</v>
      </c>
    </row>
    <row r="8482" spans="1:5" x14ac:dyDescent="0.25">
      <c r="A8482" t="str">
        <f>HYPERLINK("https://www.773grp.com/globalSearch/CM1436-08DE/page-1", "CM1436-08DE")</f>
        <v>CM1436-08DE</v>
      </c>
      <c r="B8482" s="3" t="str">
        <f>HYPERLINK("https://www.773grp.com/manufacturer/onsemi?pageNo=393", "Onsemi")</f>
        <v>Onsemi</v>
      </c>
      <c r="C8482" s="6">
        <v>105000</v>
      </c>
      <c r="D8482" s="7">
        <v>1</v>
      </c>
    </row>
    <row r="8483" spans="1:5" x14ac:dyDescent="0.25">
      <c r="A8483" t="str">
        <f>HYPERLINK("https://www.773grp.com/globalSearch/CM1440-06CP/page-1", "CM1440-06CP")</f>
        <v>CM1440-06CP</v>
      </c>
      <c r="B8483" s="3" t="str">
        <f>HYPERLINK("https://www.773grp.com/manufacturer/onsemi?pageNo=394", "Onsemi")</f>
        <v>Onsemi</v>
      </c>
      <c r="C8483" s="6">
        <v>2150</v>
      </c>
      <c r="D8483" s="7">
        <v>1</v>
      </c>
      <c r="E8483" t="s">
        <v>79</v>
      </c>
    </row>
    <row r="8484" spans="1:5" x14ac:dyDescent="0.25">
      <c r="A8484" t="str">
        <f>HYPERLINK("https://www.773grp.com/globalSearch/ECH8301-TL-E/page-1", "ECH8301-TL-E")</f>
        <v>ECH8301-TL-E</v>
      </c>
      <c r="B8484" s="3" t="str">
        <f>HYPERLINK("https://www.773grp.com/manufacturer/onsemi?pageNo=395", "Onsemi")</f>
        <v>Onsemi</v>
      </c>
      <c r="C8484" s="6">
        <v>3000</v>
      </c>
      <c r="D8484" s="7">
        <v>1</v>
      </c>
    </row>
    <row r="8485" spans="1:5" x14ac:dyDescent="0.25">
      <c r="A8485" t="str">
        <f>HYPERLINK("https://www.773grp.com/globalSearch/LF351DR2/page-1", "LF351DR2")</f>
        <v>LF351DR2</v>
      </c>
      <c r="B8485" s="3" t="str">
        <f>HYPERLINK("https://www.773grp.com/manufacturer/onsemi?pageNo=396", "Onsemi")</f>
        <v>Onsemi</v>
      </c>
      <c r="C8485" s="6">
        <v>2500</v>
      </c>
      <c r="D8485" s="7">
        <v>1</v>
      </c>
      <c r="E8485" t="s">
        <v>10</v>
      </c>
    </row>
    <row r="8486" spans="1:5" x14ac:dyDescent="0.25">
      <c r="A8486" t="str">
        <f>HYPERLINK("https://www.773grp.com/globalSearch/LM285D-1.2G/page-1", "LM285D-1.2G")</f>
        <v>LM285D-1.2G</v>
      </c>
      <c r="B8486" s="3" t="str">
        <f>HYPERLINK("https://www.773grp.com/manufacturer/onsemi?pageNo=397", "Onsemi")</f>
        <v>Onsemi</v>
      </c>
      <c r="C8486" s="6">
        <v>4410</v>
      </c>
      <c r="D8486" s="7">
        <v>1</v>
      </c>
      <c r="E8486" t="s">
        <v>13</v>
      </c>
    </row>
    <row r="8487" spans="1:5" x14ac:dyDescent="0.25">
      <c r="A8487" t="str">
        <f>HYPERLINK("https://www.773grp.com/globalSearch/LM285D2.5G/page-1", "LM285D2.5G")</f>
        <v>LM285D2.5G</v>
      </c>
      <c r="B8487" s="3" t="str">
        <f>HYPERLINK("https://www.773grp.com/manufacturer/onsemi?pageNo=398", "Onsemi")</f>
        <v>Onsemi</v>
      </c>
      <c r="C8487" s="6">
        <v>980</v>
      </c>
      <c r="D8487" s="7">
        <v>1</v>
      </c>
    </row>
    <row r="8488" spans="1:5" x14ac:dyDescent="0.25">
      <c r="A8488" t="str">
        <f>HYPERLINK("https://www.773grp.com/globalSearch/LM285D-2.5G/page-1", "LM285D-2.5G")</f>
        <v>LM285D-2.5G</v>
      </c>
      <c r="B8488" s="3" t="str">
        <f>HYPERLINK("https://www.773grp.com/manufacturer/onsemi?pageNo=399", "Onsemi")</f>
        <v>Onsemi</v>
      </c>
      <c r="C8488" s="6">
        <v>7235</v>
      </c>
      <c r="D8488" s="7">
        <v>1</v>
      </c>
    </row>
    <row r="8489" spans="1:5" x14ac:dyDescent="0.25">
      <c r="A8489" t="str">
        <f>HYPERLINK("https://www.773grp.com/globalSearch/LM285Z-1.2RAG/page-1", "LM285Z-1.2RAG")</f>
        <v>LM285Z-1.2RAG</v>
      </c>
      <c r="B8489" s="3" t="str">
        <f>HYPERLINK("https://www.773grp.com/manufacturer/onsemi?pageNo=400", "Onsemi")</f>
        <v>Onsemi</v>
      </c>
      <c r="C8489" s="6">
        <v>14000</v>
      </c>
      <c r="D8489" s="7">
        <v>1</v>
      </c>
      <c r="E8489" t="s">
        <v>13</v>
      </c>
    </row>
    <row r="8490" spans="1:5" x14ac:dyDescent="0.25">
      <c r="A8490" t="str">
        <f>HYPERLINK("https://www.773grp.com/globalSearch/LM285Z-2.5RAG/page-1", "LM285Z-2.5RAG")</f>
        <v>LM285Z-2.5RAG</v>
      </c>
      <c r="B8490" s="3" t="str">
        <f>HYPERLINK("https://www.773grp.com/manufacturer/onsemi?pageNo=401", "Onsemi")</f>
        <v>Onsemi</v>
      </c>
      <c r="C8490" s="6">
        <v>22000</v>
      </c>
      <c r="D8490" s="7">
        <v>1</v>
      </c>
    </row>
    <row r="8491" spans="1:5" x14ac:dyDescent="0.25">
      <c r="A8491" t="str">
        <f>HYPERLINK("https://www.773grp.com/globalSearch/LM285Z-2.5RPG/page-1", "LM285Z-2.5RPG")</f>
        <v>LM285Z-2.5RPG</v>
      </c>
      <c r="B8491" s="3" t="str">
        <f>HYPERLINK("https://www.773grp.com/manufacturer/onsemi?pageNo=402", "Onsemi")</f>
        <v>Onsemi</v>
      </c>
      <c r="C8491" s="6">
        <v>5983</v>
      </c>
      <c r="D8491" s="7">
        <v>1</v>
      </c>
      <c r="E8491" t="s">
        <v>13</v>
      </c>
    </row>
    <row r="8492" spans="1:5" x14ac:dyDescent="0.25">
      <c r="A8492" t="str">
        <f>HYPERLINK("https://www.773grp.com/globalSearch/LM2903DMR2G/page-1", "LM2903DMR2G")</f>
        <v>LM2903DMR2G</v>
      </c>
      <c r="B8492" s="3" t="str">
        <f>HYPERLINK("https://www.773grp.com/manufacturer/onsemi?pageNo=403", "Onsemi")</f>
        <v>Onsemi</v>
      </c>
      <c r="C8492" s="6">
        <v>2995</v>
      </c>
      <c r="D8492" s="7">
        <v>1</v>
      </c>
    </row>
    <row r="8493" spans="1:5" x14ac:dyDescent="0.25">
      <c r="A8493" t="str">
        <f>HYPERLINK("https://www.773grp.com/globalSearch/LM2903VNG/page-1", "LM2903VNG")</f>
        <v>LM2903VNG</v>
      </c>
      <c r="B8493" s="3" t="str">
        <f>HYPERLINK("https://www.773grp.com/manufacturer/onsemi?pageNo=404", "Onsemi")</f>
        <v>Onsemi</v>
      </c>
      <c r="C8493" s="6">
        <v>26350</v>
      </c>
      <c r="D8493" s="7">
        <v>1</v>
      </c>
      <c r="E8493" t="s">
        <v>6</v>
      </c>
    </row>
    <row r="8494" spans="1:5" x14ac:dyDescent="0.25">
      <c r="A8494" t="str">
        <f>HYPERLINK("https://www.773grp.com/globalSearch/LM2904DMR2G/page-1", "LM2904DMR2G")</f>
        <v>LM2904DMR2G</v>
      </c>
      <c r="B8494" s="3" t="str">
        <f>HYPERLINK("https://www.773grp.com/manufacturer/onsemi?pageNo=405", "Onsemi")</f>
        <v>Onsemi</v>
      </c>
      <c r="C8494" s="6">
        <v>66995</v>
      </c>
      <c r="D8494" s="7">
        <v>1</v>
      </c>
      <c r="E8494" t="s">
        <v>10</v>
      </c>
    </row>
    <row r="8495" spans="1:5" x14ac:dyDescent="0.25">
      <c r="A8495" t="str">
        <f>HYPERLINK("https://www.773grp.com/globalSearch/LM2904VNG/page-1", "LM2904VNG")</f>
        <v>LM2904VNG</v>
      </c>
      <c r="B8495" s="3" t="str">
        <f>HYPERLINK("https://www.773grp.com/manufacturer/onsemi?pageNo=406", "Onsemi")</f>
        <v>Onsemi</v>
      </c>
      <c r="C8495" s="6">
        <v>7625</v>
      </c>
      <c r="D8495" s="7">
        <v>1</v>
      </c>
      <c r="E8495" t="s">
        <v>10</v>
      </c>
    </row>
    <row r="8496" spans="1:5" x14ac:dyDescent="0.25">
      <c r="A8496" t="str">
        <f>HYPERLINK("https://www.773grp.com/globalSearch/LM2931AZ-5.0G/page-1", "LM2931AZ-5.0G")</f>
        <v>LM2931AZ-5.0G</v>
      </c>
      <c r="B8496" s="3" t="str">
        <f>HYPERLINK("https://www.773grp.com/manufacturer/onsemi?pageNo=407", "Onsemi")</f>
        <v>Onsemi</v>
      </c>
      <c r="C8496" s="6">
        <v>3571</v>
      </c>
      <c r="D8496" s="7">
        <v>1</v>
      </c>
      <c r="E8496" t="s">
        <v>15</v>
      </c>
    </row>
    <row r="8497" spans="1:5" x14ac:dyDescent="0.25">
      <c r="A8497" t="str">
        <f>HYPERLINK("https://www.773grp.com/globalSearch/LM2931AZ-5.0RAG/page-1", "LM2931AZ-5.0RAG")</f>
        <v>LM2931AZ-5.0RAG</v>
      </c>
      <c r="B8497" s="3" t="str">
        <f>HYPERLINK("https://www.773grp.com/manufacturer/onsemi?pageNo=408", "Onsemi")</f>
        <v>Onsemi</v>
      </c>
      <c r="C8497" s="6">
        <v>16389</v>
      </c>
      <c r="D8497" s="7">
        <v>1</v>
      </c>
      <c r="E8497" t="s">
        <v>15</v>
      </c>
    </row>
    <row r="8498" spans="1:5" x14ac:dyDescent="0.25">
      <c r="A8498" t="str">
        <f>HYPERLINK("https://www.773grp.com/globalSearch/LM2931AZ-5.0RPG/page-1", "LM2931AZ-5.0RPG")</f>
        <v>LM2931AZ-5.0RPG</v>
      </c>
      <c r="B8498" s="3" t="str">
        <f>HYPERLINK("https://www.773grp.com/manufacturer/onsemi?pageNo=409", "Onsemi")</f>
        <v>Onsemi</v>
      </c>
      <c r="C8498" s="6">
        <v>2787</v>
      </c>
      <c r="D8498" s="7">
        <v>1</v>
      </c>
      <c r="E8498" t="s">
        <v>15</v>
      </c>
    </row>
    <row r="8499" spans="1:5" x14ac:dyDescent="0.25">
      <c r="A8499" t="str">
        <f>HYPERLINK("https://www.773grp.com/globalSearch/LM2931D-5.0G/page-1", "LM2931D-5.0G")</f>
        <v>LM2931D-5.0G</v>
      </c>
      <c r="B8499" s="3" t="str">
        <f>HYPERLINK("https://www.773grp.com/manufacturer/onsemi?pageNo=410", "Onsemi")</f>
        <v>Onsemi</v>
      </c>
      <c r="C8499" s="6">
        <v>3811</v>
      </c>
      <c r="D8499" s="7">
        <v>1</v>
      </c>
      <c r="E8499" t="s">
        <v>15</v>
      </c>
    </row>
    <row r="8500" spans="1:5" x14ac:dyDescent="0.25">
      <c r="A8500" t="str">
        <f>HYPERLINK("https://www.773grp.com/globalSearch/LM2931D-5.0R2/page-1", "LM2931D-5.0R2")</f>
        <v>LM2931D-5.0R2</v>
      </c>
      <c r="B8500" s="3" t="str">
        <f>HYPERLINK("https://www.773grp.com/manufacturer/onsemi?pageNo=411", "Onsemi")</f>
        <v>Onsemi</v>
      </c>
      <c r="C8500" s="6">
        <v>1817</v>
      </c>
      <c r="D8500" s="7">
        <v>1</v>
      </c>
      <c r="E8500" t="s">
        <v>15</v>
      </c>
    </row>
    <row r="8501" spans="1:5" x14ac:dyDescent="0.25">
      <c r="A8501" t="str">
        <f>HYPERLINK("https://www.773grp.com/globalSearch/LM2931D-5.0R2G/page-1", "LM2931D-5.0R2G")</f>
        <v>LM2931D-5.0R2G</v>
      </c>
      <c r="B8501" s="3" t="str">
        <f>HYPERLINK("https://www.773grp.com/manufacturer/onsemi?pageNo=412", "Onsemi")</f>
        <v>Onsemi</v>
      </c>
      <c r="C8501" s="6">
        <v>7500</v>
      </c>
      <c r="D8501" s="7">
        <v>1</v>
      </c>
    </row>
    <row r="8502" spans="1:5" x14ac:dyDescent="0.25">
      <c r="A8502" t="str">
        <f>HYPERLINK("https://www.773grp.com/globalSearch/LM2931Z-5.0G/page-1", "LM2931Z-5.0G")</f>
        <v>LM2931Z-5.0G</v>
      </c>
      <c r="B8502" s="3" t="str">
        <f>HYPERLINK("https://www.773grp.com/manufacturer/onsemi?pageNo=413", "Onsemi")</f>
        <v>Onsemi</v>
      </c>
      <c r="C8502" s="6">
        <v>38178</v>
      </c>
      <c r="D8502" s="7">
        <v>1</v>
      </c>
      <c r="E8502" t="s">
        <v>15</v>
      </c>
    </row>
    <row r="8503" spans="1:5" x14ac:dyDescent="0.25">
      <c r="A8503" t="str">
        <f>HYPERLINK("https://www.773grp.com/globalSearch/LM2931Z-5.0RAG/page-1", "LM2931Z-5.0RAG")</f>
        <v>LM2931Z-5.0RAG</v>
      </c>
      <c r="B8503" s="3" t="str">
        <f>HYPERLINK("https://www.773grp.com/manufacturer/onsemi?pageNo=414", "Onsemi")</f>
        <v>Onsemi</v>
      </c>
      <c r="C8503" s="6">
        <v>2000</v>
      </c>
      <c r="D8503" s="7">
        <v>1</v>
      </c>
      <c r="E8503" t="s">
        <v>15</v>
      </c>
    </row>
    <row r="8504" spans="1:5" x14ac:dyDescent="0.25">
      <c r="A8504" t="str">
        <f>HYPERLINK("https://www.773grp.com/globalSearch/LM2931Z-5.0RPG/page-1", "LM2931Z-5.0RPG")</f>
        <v>LM2931Z-5.0RPG</v>
      </c>
      <c r="B8504" s="3" t="str">
        <f>HYPERLINK("https://www.773grp.com/manufacturer/onsemi?pageNo=415", "Onsemi")</f>
        <v>Onsemi</v>
      </c>
      <c r="C8504" s="6">
        <v>5701</v>
      </c>
      <c r="D8504" s="7">
        <v>1</v>
      </c>
      <c r="E8504" t="s">
        <v>15</v>
      </c>
    </row>
    <row r="8505" spans="1:5" x14ac:dyDescent="0.25">
      <c r="A8505" t="str">
        <f>HYPERLINK("https://www.773grp.com/globalSearch/LM324ADTBG/page-1", "LM324ADTBG")</f>
        <v>LM324ADTBG</v>
      </c>
      <c r="B8505" s="3" t="str">
        <f>HYPERLINK("https://www.773grp.com/manufacturer/onsemi?pageNo=416", "Onsemi")</f>
        <v>Onsemi</v>
      </c>
      <c r="C8505" s="6">
        <v>28684</v>
      </c>
      <c r="D8505" s="7">
        <v>1</v>
      </c>
      <c r="E8505" t="s">
        <v>10</v>
      </c>
    </row>
    <row r="8506" spans="1:5" x14ac:dyDescent="0.25">
      <c r="A8506" t="str">
        <f>HYPERLINK("https://www.773grp.com/globalSearch/LM324ADTBR2G/page-1", "LM324ADTBR2G")</f>
        <v>LM324ADTBR2G</v>
      </c>
      <c r="B8506" s="3" t="str">
        <f>HYPERLINK("https://www.773grp.com/manufacturer/onsemi?pageNo=417", "Onsemi")</f>
        <v>Onsemi</v>
      </c>
      <c r="C8506" s="6">
        <v>27500</v>
      </c>
      <c r="D8506" s="7">
        <v>1</v>
      </c>
      <c r="E8506" t="s">
        <v>10</v>
      </c>
    </row>
    <row r="8507" spans="1:5" x14ac:dyDescent="0.25">
      <c r="A8507" t="str">
        <f>HYPERLINK("https://www.773grp.com/globalSearch/LM340T-50/page-1", "LM340T-50")</f>
        <v>LM340T-50</v>
      </c>
      <c r="B8507" s="3" t="str">
        <f>HYPERLINK("https://www.773grp.com/manufacturer/onsemi?pageNo=418", "Onsemi")</f>
        <v>Onsemi</v>
      </c>
      <c r="C8507" s="6">
        <v>5626</v>
      </c>
      <c r="D8507" s="7">
        <v>1</v>
      </c>
    </row>
    <row r="8508" spans="1:5" x14ac:dyDescent="0.25">
      <c r="A8508" t="str">
        <f>HYPERLINK("https://www.773grp.com/globalSearch/LM385BD-1.2G/page-1", "LM385BD-1.2G")</f>
        <v>LM385BD-1.2G</v>
      </c>
      <c r="B8508" s="3" t="str">
        <f>HYPERLINK("https://www.773grp.com/manufacturer/onsemi?pageNo=419", "Onsemi")</f>
        <v>Onsemi</v>
      </c>
      <c r="C8508" s="6">
        <v>5063</v>
      </c>
      <c r="D8508" s="7">
        <v>1</v>
      </c>
      <c r="E8508" t="s">
        <v>13</v>
      </c>
    </row>
    <row r="8509" spans="1:5" x14ac:dyDescent="0.25">
      <c r="A8509" t="str">
        <f>HYPERLINK("https://www.773grp.com/globalSearch/LM385BD-1.2R2G/page-1", "LM385BD-1.2R2G")</f>
        <v>LM385BD-1.2R2G</v>
      </c>
      <c r="B8509" s="3" t="str">
        <f>HYPERLINK("https://www.773grp.com/manufacturer/onsemi?pageNo=420", "Onsemi")</f>
        <v>Onsemi</v>
      </c>
      <c r="C8509" s="6">
        <v>9630</v>
      </c>
      <c r="D8509" s="7">
        <v>1</v>
      </c>
      <c r="E8509" t="s">
        <v>13</v>
      </c>
    </row>
    <row r="8510" spans="1:5" x14ac:dyDescent="0.25">
      <c r="A8510" t="str">
        <f>HYPERLINK("https://www.773grp.com/globalSearch/LM385BD-2.5G/page-1", "LM385BD-2.5G")</f>
        <v>LM385BD-2.5G</v>
      </c>
      <c r="B8510" s="3" t="str">
        <f>HYPERLINK("https://www.773grp.com/manufacturer/onsemi?pageNo=421", "Onsemi")</f>
        <v>Onsemi</v>
      </c>
      <c r="C8510" s="6">
        <v>4580</v>
      </c>
      <c r="D8510" s="7">
        <v>1</v>
      </c>
      <c r="E8510" t="s">
        <v>13</v>
      </c>
    </row>
    <row r="8511" spans="1:5" x14ac:dyDescent="0.25">
      <c r="A8511" t="str">
        <f>HYPERLINK("https://www.773grp.com/globalSearch/LM385D-1.2G/page-1", "LM385D-1.2G")</f>
        <v>LM385D-1.2G</v>
      </c>
      <c r="B8511" s="3" t="str">
        <f>HYPERLINK("https://www.773grp.com/manufacturer/onsemi?pageNo=422", "Onsemi")</f>
        <v>Onsemi</v>
      </c>
      <c r="C8511" s="6">
        <v>8624</v>
      </c>
      <c r="D8511" s="7">
        <v>1</v>
      </c>
      <c r="E8511" t="s">
        <v>13</v>
      </c>
    </row>
    <row r="8512" spans="1:5" x14ac:dyDescent="0.25">
      <c r="A8512" t="str">
        <f>HYPERLINK("https://www.773grp.com/globalSearch/LM385D-2.5G/page-1", "LM385D-2.5G")</f>
        <v>LM385D-2.5G</v>
      </c>
      <c r="B8512" s="3" t="str">
        <f>HYPERLINK("https://www.773grp.com/manufacturer/onsemi?pageNo=423", "Onsemi")</f>
        <v>Onsemi</v>
      </c>
      <c r="C8512" s="6">
        <v>3668</v>
      </c>
      <c r="D8512" s="7">
        <v>1</v>
      </c>
      <c r="E8512" t="s">
        <v>13</v>
      </c>
    </row>
    <row r="8513" spans="1:5" x14ac:dyDescent="0.25">
      <c r="A8513" t="str">
        <f>HYPERLINK("https://www.773grp.com/globalSearch/LM385D-2.5R2G/page-1", "LM385D-2.5R2G")</f>
        <v>LM385D-2.5R2G</v>
      </c>
      <c r="B8513" s="3" t="str">
        <f>HYPERLINK("https://www.773grp.com/manufacturer/onsemi?pageNo=424", "Onsemi")</f>
        <v>Onsemi</v>
      </c>
      <c r="C8513" s="6">
        <v>18125</v>
      </c>
      <c r="D8513" s="7">
        <v>1</v>
      </c>
    </row>
    <row r="8514" spans="1:5" x14ac:dyDescent="0.25">
      <c r="A8514" t="str">
        <f>HYPERLINK("https://www.773grp.com/globalSearch/LM385Z-1.2RPG/page-1", "LM385Z-1.2RPG")</f>
        <v>LM385Z-1.2RPG</v>
      </c>
      <c r="B8514" s="3" t="str">
        <f>HYPERLINK("https://www.773grp.com/manufacturer/onsemi?pageNo=425", "Onsemi")</f>
        <v>Onsemi</v>
      </c>
      <c r="C8514" s="6">
        <v>7959</v>
      </c>
      <c r="D8514" s="7">
        <v>1</v>
      </c>
      <c r="E8514" t="s">
        <v>13</v>
      </c>
    </row>
    <row r="8515" spans="1:5" x14ac:dyDescent="0.25">
      <c r="A8515" t="str">
        <f>HYPERLINK("https://www.773grp.com/globalSearch/MAC12M/page-1", "MAC12M")</f>
        <v>MAC12M</v>
      </c>
      <c r="B8515" s="3" t="str">
        <f>HYPERLINK("https://www.773grp.com/manufacturer/onsemi?pageNo=426", "Onsemi")</f>
        <v>Onsemi</v>
      </c>
      <c r="C8515" s="6">
        <v>590</v>
      </c>
      <c r="D8515" s="7">
        <v>1</v>
      </c>
      <c r="E8515" t="s">
        <v>81</v>
      </c>
    </row>
    <row r="8516" spans="1:5" x14ac:dyDescent="0.25">
      <c r="A8516" t="str">
        <f>HYPERLINK("https://www.773grp.com/globalSearch/MAC8D/page-1", "MAC8D")</f>
        <v>MAC8D</v>
      </c>
      <c r="B8516" s="3" t="str">
        <f>HYPERLINK("https://www.773grp.com/manufacturer/onsemi?pageNo=427", "Onsemi")</f>
        <v>Onsemi</v>
      </c>
      <c r="C8516" s="6">
        <v>4043</v>
      </c>
      <c r="D8516" s="7">
        <v>1</v>
      </c>
      <c r="E8516" t="s">
        <v>81</v>
      </c>
    </row>
    <row r="8517" spans="1:5" x14ac:dyDescent="0.25">
      <c r="A8517" t="str">
        <f>HYPERLINK("https://www.773grp.com/globalSearch/MAC8M/page-1", "MAC8M")</f>
        <v>MAC8M</v>
      </c>
      <c r="B8517" s="3" t="str">
        <f>HYPERLINK("https://www.773grp.com/manufacturer/onsemi?pageNo=428", "Onsemi")</f>
        <v>Onsemi</v>
      </c>
      <c r="C8517" s="6">
        <v>2184</v>
      </c>
      <c r="D8517" s="7">
        <v>1</v>
      </c>
      <c r="E8517" t="s">
        <v>81</v>
      </c>
    </row>
    <row r="8518" spans="1:5" x14ac:dyDescent="0.25">
      <c r="A8518" t="str">
        <f>HYPERLINK("https://www.773grp.com/globalSearch/MAC9M/page-1", "MAC9M")</f>
        <v>MAC9M</v>
      </c>
      <c r="B8518" s="3" t="str">
        <f>HYPERLINK("https://www.773grp.com/manufacturer/onsemi?pageNo=429", "Onsemi")</f>
        <v>Onsemi</v>
      </c>
      <c r="C8518" s="6">
        <v>27</v>
      </c>
      <c r="D8518" s="7">
        <v>1</v>
      </c>
      <c r="E8518" t="s">
        <v>81</v>
      </c>
    </row>
    <row r="8519" spans="1:5" x14ac:dyDescent="0.25">
      <c r="A8519" t="str">
        <f>HYPERLINK("https://www.773grp.com/globalSearch/MAX707CUA-T/page-1", "MAX707CUA-T")</f>
        <v>MAX707CUA-T</v>
      </c>
      <c r="B8519" s="3" t="str">
        <f>HYPERLINK("https://www.773grp.com/manufacturer/onsemi?pageNo=430", "Onsemi")</f>
        <v>Onsemi</v>
      </c>
      <c r="C8519" s="6">
        <v>11950</v>
      </c>
      <c r="D8519" s="7">
        <v>1</v>
      </c>
      <c r="E8519" t="s">
        <v>26</v>
      </c>
    </row>
    <row r="8520" spans="1:5" x14ac:dyDescent="0.25">
      <c r="A8520" t="str">
        <f>HYPERLINK("https://www.773grp.com/globalSearch/MAX707ESA-TG/page-1", "MAX707ESA-TG")</f>
        <v>MAX707ESA-TG</v>
      </c>
      <c r="B8520" s="3" t="str">
        <f>HYPERLINK("https://www.773grp.com/manufacturer/onsemi?pageNo=431", "Onsemi")</f>
        <v>Onsemi</v>
      </c>
      <c r="C8520" s="6">
        <v>1309</v>
      </c>
      <c r="D8520" s="7">
        <v>1</v>
      </c>
      <c r="E8520" t="s">
        <v>26</v>
      </c>
    </row>
    <row r="8521" spans="1:5" x14ac:dyDescent="0.25">
      <c r="A8521" t="str">
        <f>HYPERLINK("https://www.773grp.com/globalSearch/MBR1045/page-1", "MBR1045")</f>
        <v>MBR1045</v>
      </c>
      <c r="B8521" s="3" t="str">
        <f>HYPERLINK("https://www.773grp.com/manufacturer/onsemi?pageNo=432", "Onsemi")</f>
        <v>Onsemi</v>
      </c>
      <c r="C8521" s="6">
        <v>4300</v>
      </c>
      <c r="D8521" s="7">
        <v>1</v>
      </c>
      <c r="E8521" t="s">
        <v>82</v>
      </c>
    </row>
    <row r="8522" spans="1:5" x14ac:dyDescent="0.25">
      <c r="A8522" t="str">
        <f>HYPERLINK("https://www.773grp.com/globalSearch/MBR1060/page-1", "MBR1060")</f>
        <v>MBR1060</v>
      </c>
      <c r="B8522" s="3" t="str">
        <f>HYPERLINK("https://www.773grp.com/manufacturer/onsemi?pageNo=433", "Onsemi")</f>
        <v>Onsemi</v>
      </c>
      <c r="C8522" s="6">
        <v>67</v>
      </c>
      <c r="D8522" s="7">
        <v>1</v>
      </c>
      <c r="E8522" t="s">
        <v>82</v>
      </c>
    </row>
    <row r="8523" spans="1:5" x14ac:dyDescent="0.25">
      <c r="A8523" t="str">
        <f>HYPERLINK("https://www.773grp.com/globalSearch/MC14013BFG/page-1", "MC14013BFG")</f>
        <v>MC14013BFG</v>
      </c>
      <c r="B8523" s="3" t="str">
        <f>HYPERLINK("https://www.773grp.com/manufacturer/onsemi?pageNo=434", "Onsemi")</f>
        <v>Onsemi</v>
      </c>
      <c r="C8523" s="6">
        <v>2920</v>
      </c>
      <c r="D8523" s="7">
        <v>1</v>
      </c>
      <c r="E8523" t="s">
        <v>31</v>
      </c>
    </row>
    <row r="8524" spans="1:5" x14ac:dyDescent="0.25">
      <c r="A8524" t="str">
        <f>HYPERLINK("https://www.773grp.com/globalSearch/MC14028BDG/page-1", "MC14028BDG")</f>
        <v>MC14028BDG</v>
      </c>
      <c r="B8524" s="3" t="str">
        <f>HYPERLINK("https://www.773grp.com/manufacturer/onsemi?pageNo=435", "Onsemi")</f>
        <v>Onsemi</v>
      </c>
      <c r="C8524" s="6">
        <v>5688</v>
      </c>
      <c r="D8524" s="7">
        <v>1</v>
      </c>
      <c r="E8524" t="s">
        <v>32</v>
      </c>
    </row>
    <row r="8525" spans="1:5" x14ac:dyDescent="0.25">
      <c r="A8525" t="str">
        <f>HYPERLINK("https://www.773grp.com/globalSearch/MC14028BDR2G/page-1", "MC14028BDR2G")</f>
        <v>MC14028BDR2G</v>
      </c>
      <c r="B8525" s="3" t="str">
        <f>HYPERLINK("https://www.773grp.com/manufacturer/onsemi?pageNo=436", "Onsemi")</f>
        <v>Onsemi</v>
      </c>
      <c r="C8525" s="6">
        <v>4811</v>
      </c>
      <c r="D8525" s="7">
        <v>1</v>
      </c>
      <c r="E8525" t="s">
        <v>32</v>
      </c>
    </row>
    <row r="8526" spans="1:5" x14ac:dyDescent="0.25">
      <c r="A8526" t="str">
        <f>HYPERLINK("https://www.773grp.com/globalSearch/MC14043BDG/page-1", "MC14043BDG")</f>
        <v>MC14043BDG</v>
      </c>
      <c r="B8526" s="3" t="str">
        <f>HYPERLINK("https://www.773grp.com/manufacturer/onsemi?pageNo=437", "Onsemi")</f>
        <v>Onsemi</v>
      </c>
      <c r="C8526" s="6">
        <v>18</v>
      </c>
      <c r="D8526" s="7">
        <v>1</v>
      </c>
      <c r="E8526" t="s">
        <v>31</v>
      </c>
    </row>
    <row r="8527" spans="1:5" x14ac:dyDescent="0.25">
      <c r="A8527" t="str">
        <f>HYPERLINK("https://www.773grp.com/globalSearch/MC14043BDR2G/page-1", "MC14043BDR2G")</f>
        <v>MC14043BDR2G</v>
      </c>
      <c r="B8527" s="3" t="str">
        <f>HYPERLINK("https://www.773grp.com/manufacturer/onsemi?pageNo=438", "Onsemi")</f>
        <v>Onsemi</v>
      </c>
      <c r="C8527" s="6">
        <v>19570</v>
      </c>
      <c r="D8527" s="7">
        <v>1</v>
      </c>
      <c r="E8527" t="s">
        <v>31</v>
      </c>
    </row>
    <row r="8528" spans="1:5" x14ac:dyDescent="0.25">
      <c r="A8528" t="str">
        <f>HYPERLINK("https://www.773grp.com/globalSearch/MC14044BDG/page-1", "MC14044BDG")</f>
        <v>MC14044BDG</v>
      </c>
      <c r="B8528" s="3" t="str">
        <f>HYPERLINK("https://www.773grp.com/manufacturer/onsemi?pageNo=439", "Onsemi")</f>
        <v>Onsemi</v>
      </c>
      <c r="C8528" s="6">
        <v>4392</v>
      </c>
      <c r="D8528" s="7">
        <v>1</v>
      </c>
      <c r="E8528" t="s">
        <v>31</v>
      </c>
    </row>
    <row r="8529" spans="1:5" x14ac:dyDescent="0.25">
      <c r="A8529" t="str">
        <f>HYPERLINK("https://www.773grp.com/globalSearch/MC14044BDR2G/page-1", "MC14044BDR2G")</f>
        <v>MC14044BDR2G</v>
      </c>
      <c r="B8529" s="3" t="str">
        <f>HYPERLINK("https://www.773grp.com/manufacturer/onsemi?pageNo=440", "Onsemi")</f>
        <v>Onsemi</v>
      </c>
      <c r="C8529" s="6">
        <v>92364</v>
      </c>
      <c r="D8529" s="7">
        <v>1</v>
      </c>
      <c r="E8529" t="s">
        <v>31</v>
      </c>
    </row>
    <row r="8530" spans="1:5" x14ac:dyDescent="0.25">
      <c r="A8530" t="str">
        <f>HYPERLINK("https://www.773grp.com/globalSearch/MC14051BCP/page-1", "MC14051BCP")</f>
        <v>MC14051BCP</v>
      </c>
      <c r="B8530" s="3" t="str">
        <f>HYPERLINK("https://www.773grp.com/manufacturer/onsemi?pageNo=441", "Onsemi")</f>
        <v>Onsemi</v>
      </c>
      <c r="C8530" s="6">
        <v>1770</v>
      </c>
      <c r="D8530" s="7">
        <v>1</v>
      </c>
      <c r="E8530" t="s">
        <v>46</v>
      </c>
    </row>
    <row r="8531" spans="1:5" x14ac:dyDescent="0.25">
      <c r="A8531" t="str">
        <f>HYPERLINK("https://www.773grp.com/globalSearch/MC14051BDG/page-1", "MC14051BDG")</f>
        <v>MC14051BDG</v>
      </c>
      <c r="B8531" s="3" t="str">
        <f>HYPERLINK("https://www.773grp.com/manufacturer/onsemi?pageNo=442", "Onsemi")</f>
        <v>Onsemi</v>
      </c>
      <c r="C8531" s="6">
        <v>7968</v>
      </c>
      <c r="D8531" s="7">
        <v>1</v>
      </c>
      <c r="E8531" t="s">
        <v>46</v>
      </c>
    </row>
    <row r="8532" spans="1:5" x14ac:dyDescent="0.25">
      <c r="A8532" t="str">
        <f>HYPERLINK("https://www.773grp.com/globalSearch/MC14051BDR2/page-1", "MC14051BDR2")</f>
        <v>MC14051BDR2</v>
      </c>
      <c r="B8532" s="3" t="str">
        <f>HYPERLINK("https://www.773grp.com/manufacturer/onsemi?pageNo=443", "Onsemi")</f>
        <v>Onsemi</v>
      </c>
      <c r="C8532" s="6">
        <v>5000</v>
      </c>
      <c r="D8532" s="7">
        <v>1</v>
      </c>
      <c r="E8532" t="s">
        <v>46</v>
      </c>
    </row>
    <row r="8533" spans="1:5" x14ac:dyDescent="0.25">
      <c r="A8533" t="str">
        <f>HYPERLINK("https://www.773grp.com/globalSearch/MC14051BDR2G/page-1", "MC14051BDR2G")</f>
        <v>MC14051BDR2G</v>
      </c>
      <c r="B8533" s="3" t="str">
        <f>HYPERLINK("https://www.773grp.com/manufacturer/onsemi?pageNo=444", "Onsemi")</f>
        <v>Onsemi</v>
      </c>
      <c r="C8533" s="6">
        <v>100006</v>
      </c>
      <c r="D8533" s="7">
        <v>1</v>
      </c>
      <c r="E8533" t="s">
        <v>46</v>
      </c>
    </row>
    <row r="8534" spans="1:5" x14ac:dyDescent="0.25">
      <c r="A8534" t="str">
        <f>HYPERLINK("https://www.773grp.com/globalSearch/MC14051BDTR2G/page-1", "MC14051BDTR2G")</f>
        <v>MC14051BDTR2G</v>
      </c>
      <c r="B8534" s="3" t="str">
        <f>HYPERLINK("https://www.773grp.com/manufacturer/onsemi?pageNo=445", "Onsemi")</f>
        <v>Onsemi</v>
      </c>
      <c r="C8534" s="6">
        <v>46836</v>
      </c>
      <c r="D8534" s="7">
        <v>1</v>
      </c>
      <c r="E8534" t="s">
        <v>46</v>
      </c>
    </row>
    <row r="8535" spans="1:5" x14ac:dyDescent="0.25">
      <c r="A8535" t="str">
        <f>HYPERLINK("https://www.773grp.com/globalSearch/MC14051BF/page-1", "MC14051BF")</f>
        <v>MC14051BF</v>
      </c>
      <c r="B8535" s="3" t="str">
        <f>HYPERLINK("https://www.773grp.com/manufacturer/onsemi?pageNo=446", "Onsemi")</f>
        <v>Onsemi</v>
      </c>
      <c r="C8535" s="6">
        <v>2400</v>
      </c>
      <c r="D8535" s="7">
        <v>1</v>
      </c>
      <c r="E8535" t="s">
        <v>46</v>
      </c>
    </row>
    <row r="8536" spans="1:5" x14ac:dyDescent="0.25">
      <c r="A8536" t="str">
        <f>HYPERLINK("https://www.773grp.com/globalSearch/MC14052BDG/page-1", "MC14052BDG")</f>
        <v>MC14052BDG</v>
      </c>
      <c r="B8536" s="3" t="str">
        <f>HYPERLINK("https://www.773grp.com/manufacturer/onsemi?pageNo=447", "Onsemi")</f>
        <v>Onsemi</v>
      </c>
      <c r="C8536" s="6">
        <v>2976</v>
      </c>
      <c r="D8536" s="7">
        <v>1</v>
      </c>
    </row>
    <row r="8537" spans="1:5" x14ac:dyDescent="0.25">
      <c r="A8537" t="str">
        <f>HYPERLINK("https://www.773grp.com/globalSearch/MC14052BDR2G/page-1", "MC14052BDR2G")</f>
        <v>MC14052BDR2G</v>
      </c>
      <c r="B8537" s="3" t="str">
        <f>HYPERLINK("https://www.773grp.com/manufacturer/onsemi?pageNo=448", "Onsemi")</f>
        <v>Onsemi</v>
      </c>
      <c r="C8537" s="6">
        <v>237880</v>
      </c>
      <c r="D8537" s="7">
        <v>1</v>
      </c>
      <c r="E8537" t="s">
        <v>46</v>
      </c>
    </row>
    <row r="8538" spans="1:5" x14ac:dyDescent="0.25">
      <c r="A8538" t="str">
        <f>HYPERLINK("https://www.773grp.com/globalSearch/MC14052BDTR2G/page-1", "MC14052BDTR2G")</f>
        <v>MC14052BDTR2G</v>
      </c>
      <c r="B8538" s="3" t="str">
        <f>HYPERLINK("https://www.773grp.com/manufacturer/onsemi?pageNo=449", "Onsemi")</f>
        <v>Onsemi</v>
      </c>
      <c r="C8538" s="6">
        <v>4485</v>
      </c>
      <c r="D8538" s="7">
        <v>1</v>
      </c>
      <c r="E8538" t="s">
        <v>46</v>
      </c>
    </row>
    <row r="8539" spans="1:5" x14ac:dyDescent="0.25">
      <c r="A8539" t="str">
        <f>HYPERLINK("https://www.773grp.com/globalSearch/MC14053BDG/page-1", "MC14053BDG")</f>
        <v>MC14053BDG</v>
      </c>
      <c r="B8539" s="3" t="str">
        <f>HYPERLINK("https://www.773grp.com/manufacturer/onsemi?pageNo=450", "Onsemi")</f>
        <v>Onsemi</v>
      </c>
      <c r="C8539" s="6">
        <v>16151</v>
      </c>
      <c r="D8539" s="7">
        <v>1</v>
      </c>
      <c r="E8539" t="s">
        <v>46</v>
      </c>
    </row>
    <row r="8540" spans="1:5" x14ac:dyDescent="0.25">
      <c r="A8540" t="str">
        <f>HYPERLINK("https://www.773grp.com/globalSearch/MC14053BDR2/page-1", "MC14053BDR2")</f>
        <v>MC14053BDR2</v>
      </c>
      <c r="B8540" s="3" t="str">
        <f>HYPERLINK("https://www.773grp.com/manufacturer/onsemi?pageNo=451", "Onsemi")</f>
        <v>Onsemi</v>
      </c>
      <c r="C8540" s="6">
        <v>2646</v>
      </c>
      <c r="D8540" s="7">
        <v>1</v>
      </c>
      <c r="E8540" t="s">
        <v>46</v>
      </c>
    </row>
    <row r="8541" spans="1:5" x14ac:dyDescent="0.25">
      <c r="A8541" t="str">
        <f>HYPERLINK("https://www.773grp.com/globalSearch/MC14053BDR2G/page-1", "MC14053BDR2G")</f>
        <v>MC14053BDR2G</v>
      </c>
      <c r="B8541" s="3" t="str">
        <f>HYPERLINK("https://www.773grp.com/manufacturer/onsemi?pageNo=452", "Onsemi")</f>
        <v>Onsemi</v>
      </c>
      <c r="C8541" s="6">
        <v>478300</v>
      </c>
      <c r="D8541" s="7">
        <v>1</v>
      </c>
      <c r="E8541" t="s">
        <v>46</v>
      </c>
    </row>
    <row r="8542" spans="1:5" x14ac:dyDescent="0.25">
      <c r="A8542" t="str">
        <f>HYPERLINK("https://www.773grp.com/globalSearch/MC14053BDTR2G/page-1", "MC14053BDTR2G")</f>
        <v>MC14053BDTR2G</v>
      </c>
      <c r="B8542" s="3" t="str">
        <f>HYPERLINK("https://www.773grp.com/manufacturer/onsemi?pageNo=453", "Onsemi")</f>
        <v>Onsemi</v>
      </c>
      <c r="C8542" s="6">
        <v>2456</v>
      </c>
      <c r="D8542" s="7">
        <v>1</v>
      </c>
    </row>
    <row r="8543" spans="1:5" x14ac:dyDescent="0.25">
      <c r="A8543" t="str">
        <f>HYPERLINK("https://www.773grp.com/globalSearch/MC14053BF/page-1", "MC14053BF")</f>
        <v>MC14053BF</v>
      </c>
      <c r="B8543" s="3" t="str">
        <f>HYPERLINK("https://www.773grp.com/manufacturer/onsemi?pageNo=454", "Onsemi")</f>
        <v>Onsemi</v>
      </c>
      <c r="C8543" s="6">
        <v>1850</v>
      </c>
      <c r="D8543" s="7">
        <v>1</v>
      </c>
      <c r="E8543" t="s">
        <v>46</v>
      </c>
    </row>
    <row r="8544" spans="1:5" x14ac:dyDescent="0.25">
      <c r="A8544" t="str">
        <f>HYPERLINK("https://www.773grp.com/globalSearch/MC14094BFELG/page-1", "MC14094BFELG")</f>
        <v>MC14094BFELG</v>
      </c>
      <c r="B8544" s="3" t="str">
        <f>HYPERLINK("https://www.773grp.com/manufacturer/onsemi?pageNo=455", "Onsemi")</f>
        <v>Onsemi</v>
      </c>
      <c r="C8544" s="6">
        <v>45368</v>
      </c>
      <c r="D8544" s="7">
        <v>1</v>
      </c>
      <c r="E8544" t="s">
        <v>28</v>
      </c>
    </row>
    <row r="8545" spans="1:5" x14ac:dyDescent="0.25">
      <c r="A8545" t="str">
        <f>HYPERLINK("https://www.773grp.com/globalSearch/MC1416BDR2/page-1", "MC1416BDR2")</f>
        <v>MC1416BDR2</v>
      </c>
      <c r="B8545" s="3" t="str">
        <f>HYPERLINK("https://www.773grp.com/manufacturer/onsemi?pageNo=456", "Onsemi")</f>
        <v>Onsemi</v>
      </c>
      <c r="C8545" s="6">
        <v>18850</v>
      </c>
      <c r="D8545" s="7">
        <v>1</v>
      </c>
      <c r="E8545" t="s">
        <v>47</v>
      </c>
    </row>
    <row r="8546" spans="1:5" x14ac:dyDescent="0.25">
      <c r="A8546" t="str">
        <f>HYPERLINK("https://www.773grp.com/globalSearch/MC14174BDR2G/page-1", "MC14174BDR2G")</f>
        <v>MC14174BDR2G</v>
      </c>
      <c r="B8546" s="3" t="str">
        <f>HYPERLINK("https://www.773grp.com/manufacturer/onsemi?pageNo=457", "Onsemi")</f>
        <v>Onsemi</v>
      </c>
      <c r="C8546" s="6">
        <v>19443</v>
      </c>
      <c r="D8546" s="7">
        <v>1</v>
      </c>
      <c r="E8546" t="s">
        <v>31</v>
      </c>
    </row>
    <row r="8547" spans="1:5" x14ac:dyDescent="0.25">
      <c r="A8547" t="str">
        <f>HYPERLINK("https://www.773grp.com/globalSearch/MC14519BF/page-1", "MC14519BF")</f>
        <v>MC14519BF</v>
      </c>
      <c r="B8547" s="3" t="str">
        <f>HYPERLINK("https://www.773grp.com/manufacturer/onsemi?pageNo=458", "Onsemi")</f>
        <v>Onsemi</v>
      </c>
      <c r="C8547" s="6">
        <v>232</v>
      </c>
      <c r="D8547" s="7">
        <v>1</v>
      </c>
    </row>
    <row r="8548" spans="1:5" x14ac:dyDescent="0.25">
      <c r="A8548" t="str">
        <f>HYPERLINK("https://www.773grp.com/globalSearch/MC14538BFL1/page-1", "MC14538BFL1")</f>
        <v>MC14538BFL1</v>
      </c>
      <c r="B8548" s="3" t="str">
        <f>HYPERLINK("https://www.773grp.com/manufacturer/onsemi?pageNo=459", "Onsemi")</f>
        <v>Onsemi</v>
      </c>
      <c r="C8548" s="6">
        <v>10795</v>
      </c>
      <c r="D8548" s="7">
        <v>1</v>
      </c>
    </row>
    <row r="8549" spans="1:5" x14ac:dyDescent="0.25">
      <c r="A8549" t="str">
        <f>HYPERLINK("https://www.773grp.com/globalSearch/MC14538BFL2/page-1", "MC14538BFL2")</f>
        <v>MC14538BFL2</v>
      </c>
      <c r="B8549" s="3" t="str">
        <f>HYPERLINK("https://www.773grp.com/manufacturer/onsemi?pageNo=460", "Onsemi")</f>
        <v>Onsemi</v>
      </c>
      <c r="C8549" s="6">
        <v>6000</v>
      </c>
      <c r="D8549" s="7">
        <v>1</v>
      </c>
    </row>
    <row r="8550" spans="1:5" x14ac:dyDescent="0.25">
      <c r="A8550" t="str">
        <f>HYPERLINK("https://www.773grp.com/globalSearch/MC14538BFR1/page-1", "MC14538BFR1")</f>
        <v>MC14538BFR1</v>
      </c>
      <c r="B8550" s="3" t="str">
        <f>HYPERLINK("https://www.773grp.com/manufacturer/onsemi?pageNo=461", "Onsemi")</f>
        <v>Onsemi</v>
      </c>
      <c r="C8550" s="6">
        <v>3000</v>
      </c>
      <c r="D8550" s="7">
        <v>1</v>
      </c>
      <c r="E8550" t="s">
        <v>44</v>
      </c>
    </row>
    <row r="8551" spans="1:5" x14ac:dyDescent="0.25">
      <c r="A8551" t="str">
        <f>HYPERLINK("https://www.773grp.com/globalSearch/MC14538BFR2/page-1", "MC14538BFR2")</f>
        <v>MC14538BFR2</v>
      </c>
      <c r="B8551" s="3" t="str">
        <f>HYPERLINK("https://www.773grp.com/manufacturer/onsemi?pageNo=462", "Onsemi")</f>
        <v>Onsemi</v>
      </c>
      <c r="C8551" s="6">
        <v>2000</v>
      </c>
      <c r="D8551" s="7">
        <v>1</v>
      </c>
      <c r="E8551" t="s">
        <v>44</v>
      </c>
    </row>
    <row r="8552" spans="1:5" x14ac:dyDescent="0.25">
      <c r="A8552" t="str">
        <f>HYPERLINK("https://www.773grp.com/globalSearch/MC14555BFL1/page-1", "MC14555BFL1")</f>
        <v>MC14555BFL1</v>
      </c>
      <c r="B8552" s="3" t="str">
        <f>HYPERLINK("https://www.773grp.com/manufacturer/onsemi?pageNo=463", "Onsemi")</f>
        <v>Onsemi</v>
      </c>
      <c r="C8552" s="6">
        <v>2000</v>
      </c>
      <c r="D8552" s="7">
        <v>1</v>
      </c>
      <c r="E8552" t="s">
        <v>32</v>
      </c>
    </row>
    <row r="8553" spans="1:5" x14ac:dyDescent="0.25">
      <c r="A8553" t="str">
        <f>HYPERLINK("https://www.773grp.com/globalSearch/MC14556BF/page-1", "MC14556BF")</f>
        <v>MC14556BF</v>
      </c>
      <c r="B8553" s="3" t="str">
        <f>HYPERLINK("https://www.773grp.com/manufacturer/onsemi?pageNo=464", "Onsemi")</f>
        <v>Onsemi</v>
      </c>
      <c r="C8553" s="6">
        <v>475</v>
      </c>
      <c r="D8553" s="7">
        <v>1</v>
      </c>
      <c r="E8553" t="s">
        <v>32</v>
      </c>
    </row>
    <row r="8554" spans="1:5" x14ac:dyDescent="0.25">
      <c r="A8554" t="str">
        <f>HYPERLINK("https://www.773grp.com/globalSearch/MC14556BFR1/page-1", "MC14556BFR1")</f>
        <v>MC14556BFR1</v>
      </c>
      <c r="B8554" s="3" t="str">
        <f>HYPERLINK("https://www.773grp.com/manufacturer/onsemi?pageNo=465", "Onsemi")</f>
        <v>Onsemi</v>
      </c>
      <c r="C8554" s="6">
        <v>2700</v>
      </c>
      <c r="D8554" s="7">
        <v>1</v>
      </c>
      <c r="E8554" t="s">
        <v>32</v>
      </c>
    </row>
    <row r="8555" spans="1:5" x14ac:dyDescent="0.25">
      <c r="A8555" t="str">
        <f>HYPERLINK("https://www.773grp.com/globalSearch/MC33064D-5G/page-1", "MC33064D-5G")</f>
        <v>MC33064D-5G</v>
      </c>
      <c r="B8555" s="3" t="str">
        <f>HYPERLINK("https://www.773grp.com/manufacturer/onsemi?pageNo=466", "Onsemi")</f>
        <v>Onsemi</v>
      </c>
      <c r="C8555" s="6">
        <v>2058</v>
      </c>
      <c r="D8555" s="7">
        <v>1</v>
      </c>
    </row>
    <row r="8556" spans="1:5" x14ac:dyDescent="0.25">
      <c r="A8556" t="str">
        <f>HYPERLINK("https://www.773grp.com/globalSearch/MC33064DM-5R2G/page-1", "MC33064DM-5R2G")</f>
        <v>MC33064DM-5R2G</v>
      </c>
      <c r="B8556" s="3" t="str">
        <f>HYPERLINK("https://www.773grp.com/manufacturer/onsemi?pageNo=467", "Onsemi")</f>
        <v>Onsemi</v>
      </c>
      <c r="C8556" s="6">
        <v>6695</v>
      </c>
      <c r="D8556" s="7">
        <v>1</v>
      </c>
      <c r="E8556" t="s">
        <v>26</v>
      </c>
    </row>
    <row r="8557" spans="1:5" x14ac:dyDescent="0.25">
      <c r="A8557" t="str">
        <f>HYPERLINK("https://www.773grp.com/globalSearch/MC33064P-5RAG/page-1", "MC33064P-5RAG")</f>
        <v>MC33064P-5RAG</v>
      </c>
      <c r="B8557" s="3" t="str">
        <f>HYPERLINK("https://www.773grp.com/manufacturer/onsemi?pageNo=468", "Onsemi")</f>
        <v>Onsemi</v>
      </c>
      <c r="C8557" s="6">
        <v>1562</v>
      </c>
      <c r="D8557" s="7">
        <v>1</v>
      </c>
      <c r="E8557" t="s">
        <v>26</v>
      </c>
    </row>
    <row r="8558" spans="1:5" x14ac:dyDescent="0.25">
      <c r="A8558" t="str">
        <f>HYPERLINK("https://www.773grp.com/globalSearch/MC33064P-5RPG/page-1", "MC33064P-5RPG")</f>
        <v>MC33064P-5RPG</v>
      </c>
      <c r="B8558" s="3" t="str">
        <f>HYPERLINK("https://www.773grp.com/manufacturer/onsemi?pageNo=469", "Onsemi")</f>
        <v>Onsemi</v>
      </c>
      <c r="C8558" s="6">
        <v>36000</v>
      </c>
      <c r="D8558" s="7">
        <v>1</v>
      </c>
      <c r="E8558" t="s">
        <v>26</v>
      </c>
    </row>
    <row r="8559" spans="1:5" x14ac:dyDescent="0.25">
      <c r="A8559" t="str">
        <f>HYPERLINK("https://www.773grp.com/globalSearch/MC33064SN-5T1G/page-1", "MC33064SN-5T1G")</f>
        <v>MC33064SN-5T1G</v>
      </c>
      <c r="B8559" s="3" t="str">
        <f>HYPERLINK("https://www.773grp.com/manufacturer/onsemi?pageNo=470", "Onsemi")</f>
        <v>Onsemi</v>
      </c>
      <c r="C8559" s="6">
        <v>23595</v>
      </c>
      <c r="D8559" s="7">
        <v>1</v>
      </c>
      <c r="E8559" t="s">
        <v>26</v>
      </c>
    </row>
    <row r="8560" spans="1:5" x14ac:dyDescent="0.25">
      <c r="A8560" t="str">
        <f>HYPERLINK("https://www.773grp.com/globalSearch/MC33102P/page-1", "MC33102P")</f>
        <v>MC33102P</v>
      </c>
      <c r="B8560" s="3" t="str">
        <f>HYPERLINK("https://www.773grp.com/manufacturer/onsemi?pageNo=471", "Onsemi")</f>
        <v>Onsemi</v>
      </c>
      <c r="C8560" s="6">
        <v>450</v>
      </c>
      <c r="D8560" s="7">
        <v>1</v>
      </c>
      <c r="E8560" t="s">
        <v>10</v>
      </c>
    </row>
    <row r="8561" spans="1:5" x14ac:dyDescent="0.25">
      <c r="A8561" t="str">
        <f>HYPERLINK("https://www.773grp.com/globalSearch/MC33164D-3G/page-1", "MC33164D-3G")</f>
        <v>MC33164D-3G</v>
      </c>
      <c r="B8561" s="3" t="str">
        <f>HYPERLINK("https://www.773grp.com/manufacturer/onsemi?pageNo=472", "Onsemi")</f>
        <v>Onsemi</v>
      </c>
      <c r="C8561" s="6">
        <v>1149</v>
      </c>
      <c r="D8561" s="7">
        <v>1</v>
      </c>
      <c r="E8561" t="s">
        <v>26</v>
      </c>
    </row>
    <row r="8562" spans="1:5" x14ac:dyDescent="0.25">
      <c r="A8562" t="str">
        <f>HYPERLINK("https://www.773grp.com/globalSearch/MC33164D-5G/page-1", "MC33164D-5G")</f>
        <v>MC33164D-5G</v>
      </c>
      <c r="B8562" s="3" t="str">
        <f>HYPERLINK("https://www.773grp.com/manufacturer/onsemi?pageNo=473", "Onsemi")</f>
        <v>Onsemi</v>
      </c>
      <c r="C8562" s="6">
        <v>1612</v>
      </c>
      <c r="D8562" s="7">
        <v>1</v>
      </c>
    </row>
    <row r="8563" spans="1:5" x14ac:dyDescent="0.25">
      <c r="A8563" t="str">
        <f>HYPERLINK("https://www.773grp.com/globalSearch/MC33164DM-5R2G/page-1", "MC33164DM-5R2G")</f>
        <v>MC33164DM-5R2G</v>
      </c>
      <c r="B8563" s="3" t="str">
        <f>HYPERLINK("https://www.773grp.com/manufacturer/onsemi?pageNo=474", "Onsemi")</f>
        <v>Onsemi</v>
      </c>
      <c r="C8563" s="6">
        <v>14919</v>
      </c>
      <c r="D8563" s="7">
        <v>1</v>
      </c>
      <c r="E8563" t="s">
        <v>26</v>
      </c>
    </row>
    <row r="8564" spans="1:5" x14ac:dyDescent="0.25">
      <c r="A8564" t="str">
        <f>HYPERLINK("https://www.773grp.com/globalSearch/MC33164P-3G/page-1", "MC33164P-3G")</f>
        <v>MC33164P-3G</v>
      </c>
      <c r="B8564" s="3" t="str">
        <f>HYPERLINK("https://www.773grp.com/manufacturer/onsemi?pageNo=475", "Onsemi")</f>
        <v>Onsemi</v>
      </c>
      <c r="C8564" s="6">
        <v>39493</v>
      </c>
      <c r="D8564" s="7">
        <v>1</v>
      </c>
      <c r="E8564" t="s">
        <v>26</v>
      </c>
    </row>
    <row r="8565" spans="1:5" x14ac:dyDescent="0.25">
      <c r="A8565" t="str">
        <f>HYPERLINK("https://www.773grp.com/globalSearch/MC33164P-3RA/page-1", "MC33164P-3RA")</f>
        <v>MC33164P-3RA</v>
      </c>
      <c r="B8565" s="3" t="str">
        <f>HYPERLINK("https://www.773grp.com/manufacturer/onsemi?pageNo=476", "Onsemi")</f>
        <v>Onsemi</v>
      </c>
      <c r="C8565" s="6">
        <v>1831</v>
      </c>
      <c r="D8565" s="7">
        <v>1</v>
      </c>
      <c r="E8565" t="s">
        <v>26</v>
      </c>
    </row>
    <row r="8566" spans="1:5" x14ac:dyDescent="0.25">
      <c r="A8566" t="str">
        <f>HYPERLINK("https://www.773grp.com/globalSearch/MC33164P-3RPG/page-1", "MC33164P-3RPG")</f>
        <v>MC33164P-3RPG</v>
      </c>
      <c r="B8566" s="3" t="str">
        <f>HYPERLINK("https://www.773grp.com/manufacturer/onsemi?pageNo=477", "Onsemi")</f>
        <v>Onsemi</v>
      </c>
      <c r="C8566" s="6">
        <v>2000</v>
      </c>
      <c r="D8566" s="7">
        <v>1</v>
      </c>
      <c r="E8566" t="s">
        <v>26</v>
      </c>
    </row>
    <row r="8567" spans="1:5" x14ac:dyDescent="0.25">
      <c r="A8567" t="str">
        <f>HYPERLINK("https://www.773grp.com/globalSearch/MC33164P-5RAG/page-1", "MC33164P-5RAG")</f>
        <v>MC33164P-5RAG</v>
      </c>
      <c r="B8567" s="3" t="str">
        <f>HYPERLINK("https://www.773grp.com/manufacturer/onsemi?pageNo=478", "Onsemi")</f>
        <v>Onsemi</v>
      </c>
      <c r="C8567" s="6">
        <v>8000</v>
      </c>
      <c r="D8567" s="7">
        <v>1</v>
      </c>
      <c r="E8567" t="s">
        <v>26</v>
      </c>
    </row>
    <row r="8568" spans="1:5" x14ac:dyDescent="0.25">
      <c r="A8568" t="str">
        <f>HYPERLINK("https://www.773grp.com/globalSearch/MC33164P-5RPG/page-1", "MC33164P-5RPG")</f>
        <v>MC33164P-5RPG</v>
      </c>
      <c r="B8568" s="3" t="str">
        <f>HYPERLINK("https://www.773grp.com/manufacturer/onsemi?pageNo=479", "Onsemi")</f>
        <v>Onsemi</v>
      </c>
      <c r="C8568" s="6">
        <v>13586</v>
      </c>
      <c r="D8568" s="7">
        <v>1</v>
      </c>
      <c r="E8568" t="s">
        <v>26</v>
      </c>
    </row>
    <row r="8569" spans="1:5" x14ac:dyDescent="0.25">
      <c r="A8569" t="str">
        <f>HYPERLINK("https://www.773grp.com/globalSearch/MC33263NW-30R2/page-1", "MC33263NW-30R2")</f>
        <v>MC33263NW-30R2</v>
      </c>
      <c r="B8569" s="3" t="str">
        <f>HYPERLINK("https://www.773grp.com/manufacturer/onsemi?pageNo=480", "Onsemi")</f>
        <v>Onsemi</v>
      </c>
      <c r="C8569" s="6">
        <v>24000</v>
      </c>
      <c r="D8569" s="7">
        <v>1</v>
      </c>
      <c r="E8569" t="s">
        <v>15</v>
      </c>
    </row>
    <row r="8570" spans="1:5" x14ac:dyDescent="0.25">
      <c r="A8570" t="str">
        <f>HYPERLINK("https://www.773grp.com/globalSearch/MC33263NW-40R2/page-1", "MC33263NW-40R2")</f>
        <v>MC33263NW-40R2</v>
      </c>
      <c r="B8570" s="3" t="str">
        <f>HYPERLINK("https://www.773grp.com/manufacturer/onsemi?pageNo=481", "Onsemi")</f>
        <v>Onsemi</v>
      </c>
      <c r="C8570" s="6">
        <v>40000</v>
      </c>
      <c r="D8570" s="7">
        <v>1</v>
      </c>
      <c r="E8570" t="s">
        <v>15</v>
      </c>
    </row>
    <row r="8571" spans="1:5" x14ac:dyDescent="0.25">
      <c r="A8571" t="str">
        <f>HYPERLINK("https://www.773grp.com/globalSearch/MC33263NW-47R2/page-1", "MC33263NW-47R2")</f>
        <v>MC33263NW-47R2</v>
      </c>
      <c r="B8571" s="3" t="str">
        <f>HYPERLINK("https://www.773grp.com/manufacturer/onsemi?pageNo=482", "Onsemi")</f>
        <v>Onsemi</v>
      </c>
      <c r="C8571" s="6">
        <v>4000</v>
      </c>
      <c r="D8571" s="7">
        <v>1</v>
      </c>
      <c r="E8571" t="s">
        <v>15</v>
      </c>
    </row>
    <row r="8572" spans="1:5" x14ac:dyDescent="0.25">
      <c r="A8572" t="str">
        <f>HYPERLINK("https://www.773grp.com/globalSearch/MC33565DR2/page-1", "MC33565DR2")</f>
        <v>MC33565DR2</v>
      </c>
      <c r="B8572" s="3" t="str">
        <f>HYPERLINK("https://www.773grp.com/manufacturer/onsemi?pageNo=483", "Onsemi")</f>
        <v>Onsemi</v>
      </c>
      <c r="C8572" s="6">
        <v>20000</v>
      </c>
      <c r="D8572" s="7">
        <v>1</v>
      </c>
      <c r="E8572" t="s">
        <v>15</v>
      </c>
    </row>
    <row r="8573" spans="1:5" x14ac:dyDescent="0.25">
      <c r="A8573" t="str">
        <f>HYPERLINK("https://www.773grp.com/globalSearch/MC34064D-5G/page-1", "MC34064D-5G")</f>
        <v>MC34064D-5G</v>
      </c>
      <c r="B8573" s="3" t="str">
        <f>HYPERLINK("https://www.773grp.com/manufacturer/onsemi?pageNo=484", "Onsemi")</f>
        <v>Onsemi</v>
      </c>
      <c r="C8573" s="6">
        <v>4018</v>
      </c>
      <c r="D8573" s="7">
        <v>1</v>
      </c>
    </row>
    <row r="8574" spans="1:5" x14ac:dyDescent="0.25">
      <c r="A8574" t="str">
        <f>HYPERLINK("https://www.773grp.com/globalSearch/MC34064DM-5R2G/page-1", "MC34064DM-5R2G")</f>
        <v>MC34064DM-5R2G</v>
      </c>
      <c r="B8574" s="3" t="str">
        <f>HYPERLINK("https://www.773grp.com/manufacturer/onsemi?pageNo=485", "Onsemi")</f>
        <v>Onsemi</v>
      </c>
      <c r="C8574" s="6">
        <v>9349</v>
      </c>
      <c r="D8574" s="7">
        <v>1</v>
      </c>
      <c r="E8574" t="s">
        <v>26</v>
      </c>
    </row>
    <row r="8575" spans="1:5" x14ac:dyDescent="0.25">
      <c r="A8575" t="str">
        <f>HYPERLINK("https://www.773grp.com/globalSearch/MC34064P-5RMG/page-1", "MC34064P-5RMG")</f>
        <v>MC34064P-5RMG</v>
      </c>
      <c r="B8575" s="3" t="str">
        <f>HYPERLINK("https://www.773grp.com/manufacturer/onsemi?pageNo=486", "Onsemi")</f>
        <v>Onsemi</v>
      </c>
      <c r="C8575" s="6">
        <v>1511</v>
      </c>
      <c r="D8575" s="7">
        <v>1</v>
      </c>
      <c r="E8575" t="s">
        <v>26</v>
      </c>
    </row>
    <row r="8576" spans="1:5" x14ac:dyDescent="0.25">
      <c r="A8576" t="str">
        <f>HYPERLINK("https://www.773grp.com/globalSearch/MC34064P-5RPG/page-1", "MC34064P-5RPG")</f>
        <v>MC34064P-5RPG</v>
      </c>
      <c r="B8576" s="3" t="str">
        <f>HYPERLINK("https://www.773grp.com/manufacturer/onsemi?pageNo=487", "Onsemi")</f>
        <v>Onsemi</v>
      </c>
      <c r="C8576" s="6">
        <v>12000</v>
      </c>
      <c r="D8576" s="7">
        <v>1</v>
      </c>
      <c r="E8576" t="s">
        <v>26</v>
      </c>
    </row>
    <row r="8577" spans="1:5" x14ac:dyDescent="0.25">
      <c r="A8577" t="str">
        <f>HYPERLINK("https://www.773grp.com/globalSearch/MC34064SN-5T1G/page-1", "MC34064SN-5T1G")</f>
        <v>MC34064SN-5T1G</v>
      </c>
      <c r="B8577" s="3" t="str">
        <f>HYPERLINK("https://www.773grp.com/manufacturer/onsemi?pageNo=488", "Onsemi")</f>
        <v>Onsemi</v>
      </c>
      <c r="C8577" s="6">
        <v>22552</v>
      </c>
      <c r="D8577" s="7">
        <v>1</v>
      </c>
      <c r="E8577" t="s">
        <v>26</v>
      </c>
    </row>
    <row r="8578" spans="1:5" x14ac:dyDescent="0.25">
      <c r="A8578" t="str">
        <f>HYPERLINK("https://www.773grp.com/globalSearch/MC34164D-5G/page-1", "MC34164D-5G")</f>
        <v>MC34164D-5G</v>
      </c>
      <c r="B8578" s="3" t="str">
        <f>HYPERLINK("https://www.773grp.com/manufacturer/onsemi?pageNo=489", "Onsemi")</f>
        <v>Onsemi</v>
      </c>
      <c r="C8578" s="6">
        <v>2646</v>
      </c>
      <c r="D8578" s="7">
        <v>1</v>
      </c>
    </row>
    <row r="8579" spans="1:5" x14ac:dyDescent="0.25">
      <c r="A8579" t="str">
        <f>HYPERLINK("https://www.773grp.com/globalSearch/MC34164DM-5R2G/page-1", "MC34164DM-5R2G")</f>
        <v>MC34164DM-5R2G</v>
      </c>
      <c r="B8579" s="3" t="str">
        <f>HYPERLINK("https://www.773grp.com/manufacturer/onsemi?pageNo=490", "Onsemi")</f>
        <v>Onsemi</v>
      </c>
      <c r="C8579" s="6">
        <v>15934</v>
      </c>
      <c r="D8579" s="7">
        <v>1</v>
      </c>
      <c r="E8579" t="s">
        <v>26</v>
      </c>
    </row>
    <row r="8580" spans="1:5" x14ac:dyDescent="0.25">
      <c r="A8580" t="str">
        <f>HYPERLINK("https://www.773grp.com/globalSearch/MC34164P-3G/page-1", "MC34164P-3G")</f>
        <v>MC34164P-3G</v>
      </c>
      <c r="B8580" s="3" t="str">
        <f>HYPERLINK("https://www.773grp.com/manufacturer/onsemi?pageNo=491", "Onsemi")</f>
        <v>Onsemi</v>
      </c>
      <c r="C8580" s="6">
        <v>12703</v>
      </c>
      <c r="D8580" s="7">
        <v>1</v>
      </c>
      <c r="E8580" t="s">
        <v>26</v>
      </c>
    </row>
    <row r="8581" spans="1:5" x14ac:dyDescent="0.25">
      <c r="A8581" t="str">
        <f>HYPERLINK("https://www.773grp.com/globalSearch/MC34164SN-5T1G/page-1", "MC34164SN-5T1G")</f>
        <v>MC34164SN-5T1G</v>
      </c>
      <c r="B8581" s="3" t="str">
        <f>HYPERLINK("https://www.773grp.com/manufacturer/onsemi?pageNo=492", "Onsemi")</f>
        <v>Onsemi</v>
      </c>
      <c r="C8581" s="6">
        <v>5505</v>
      </c>
      <c r="D8581" s="7">
        <v>1</v>
      </c>
      <c r="E8581" t="s">
        <v>26</v>
      </c>
    </row>
    <row r="8582" spans="1:5" x14ac:dyDescent="0.25">
      <c r="A8582" t="str">
        <f>HYPERLINK("https://www.773grp.com/globalSearch/MC74AC125MG/page-1", "MC74AC125MG")</f>
        <v>MC74AC125MG</v>
      </c>
      <c r="B8582" s="3" t="str">
        <f>HYPERLINK("https://www.773grp.com/manufacturer/onsemi?pageNo=493", "Onsemi")</f>
        <v>Onsemi</v>
      </c>
      <c r="C8582" s="6">
        <v>10822</v>
      </c>
      <c r="D8582" s="7">
        <v>1</v>
      </c>
      <c r="E8582" t="s">
        <v>11</v>
      </c>
    </row>
    <row r="8583" spans="1:5" x14ac:dyDescent="0.25">
      <c r="A8583" t="str">
        <f>HYPERLINK("https://www.773grp.com/globalSearch/MC74AC138DG/page-1", "MC74AC138DG")</f>
        <v>MC74AC138DG</v>
      </c>
      <c r="B8583" s="3" t="str">
        <f>HYPERLINK("https://www.773grp.com/manufacturer/onsemi?pageNo=494", "Onsemi")</f>
        <v>Onsemi</v>
      </c>
      <c r="C8583" s="6">
        <v>29836</v>
      </c>
      <c r="D8583" s="7">
        <v>1</v>
      </c>
      <c r="E8583" t="s">
        <v>32</v>
      </c>
    </row>
    <row r="8584" spans="1:5" x14ac:dyDescent="0.25">
      <c r="A8584" t="str">
        <f>HYPERLINK("https://www.773grp.com/globalSearch/MC74AC138DR2G/page-1", "MC74AC138DR2G")</f>
        <v>MC74AC138DR2G</v>
      </c>
      <c r="B8584" s="3" t="str">
        <f>HYPERLINK("https://www.773grp.com/manufacturer/onsemi?pageNo=495", "Onsemi")</f>
        <v>Onsemi</v>
      </c>
      <c r="C8584" s="6">
        <v>40000</v>
      </c>
      <c r="D8584" s="7">
        <v>1</v>
      </c>
      <c r="E8584" t="s">
        <v>32</v>
      </c>
    </row>
    <row r="8585" spans="1:5" x14ac:dyDescent="0.25">
      <c r="A8585" t="str">
        <f>HYPERLINK("https://www.773grp.com/globalSearch/MC74AC138DTR2G/page-1", "MC74AC138DTR2G")</f>
        <v>MC74AC138DTR2G</v>
      </c>
      <c r="B8585" s="3" t="str">
        <f>HYPERLINK("https://www.773grp.com/manufacturer/onsemi?pageNo=496", "Onsemi")</f>
        <v>Onsemi</v>
      </c>
      <c r="C8585" s="6">
        <v>12500</v>
      </c>
      <c r="D8585" s="7">
        <v>1</v>
      </c>
      <c r="E8585" t="s">
        <v>32</v>
      </c>
    </row>
    <row r="8586" spans="1:5" x14ac:dyDescent="0.25">
      <c r="A8586" t="str">
        <f>HYPERLINK("https://www.773grp.com/globalSearch/MC74AC138NG/page-1", "MC74AC138NG")</f>
        <v>MC74AC138NG</v>
      </c>
      <c r="B8586" s="3" t="str">
        <f>HYPERLINK("https://www.773grp.com/manufacturer/onsemi?pageNo=497", "Onsemi")</f>
        <v>Onsemi</v>
      </c>
      <c r="C8586" s="6">
        <v>1600</v>
      </c>
      <c r="D8586" s="7">
        <v>1</v>
      </c>
      <c r="E8586" t="s">
        <v>32</v>
      </c>
    </row>
    <row r="8587" spans="1:5" x14ac:dyDescent="0.25">
      <c r="A8587" t="str">
        <f>HYPERLINK("https://www.773grp.com/globalSearch/MC74AC139DG/page-1", "MC74AC139DG")</f>
        <v>MC74AC139DG</v>
      </c>
      <c r="B8587" s="3" t="str">
        <f>HYPERLINK("https://www.773grp.com/manufacturer/onsemi?pageNo=498", "Onsemi")</f>
        <v>Onsemi</v>
      </c>
      <c r="C8587" s="6">
        <v>11586</v>
      </c>
      <c r="D8587" s="7">
        <v>1</v>
      </c>
      <c r="E8587" t="s">
        <v>32</v>
      </c>
    </row>
    <row r="8588" spans="1:5" x14ac:dyDescent="0.25">
      <c r="A8588" t="str">
        <f>HYPERLINK("https://www.773grp.com/globalSearch/MC74AC139DR2/page-1", "MC74AC139DR2")</f>
        <v>MC74AC139DR2</v>
      </c>
      <c r="B8588" s="3" t="str">
        <f>HYPERLINK("https://www.773grp.com/manufacturer/onsemi?pageNo=499", "Onsemi")</f>
        <v>Onsemi</v>
      </c>
      <c r="C8588" s="6">
        <v>2500</v>
      </c>
      <c r="D8588" s="7">
        <v>1</v>
      </c>
      <c r="E8588" t="s">
        <v>32</v>
      </c>
    </row>
    <row r="8589" spans="1:5" x14ac:dyDescent="0.25">
      <c r="A8589" t="str">
        <f>HYPERLINK("https://www.773grp.com/globalSearch/MC74AC139DR2G/page-1", "MC74AC139DR2G")</f>
        <v>MC74AC139DR2G</v>
      </c>
      <c r="B8589" s="3" t="str">
        <f>HYPERLINK("https://www.773grp.com/manufacturer/onsemi?pageNo=500", "Onsemi")</f>
        <v>Onsemi</v>
      </c>
      <c r="C8589" s="6">
        <v>33696</v>
      </c>
      <c r="D8589" s="7">
        <v>1</v>
      </c>
      <c r="E8589" t="s">
        <v>32</v>
      </c>
    </row>
    <row r="8590" spans="1:5" x14ac:dyDescent="0.25">
      <c r="A8590" t="str">
        <f>HYPERLINK("https://www.773grp.com/globalSearch/MC74AC139DTR2G/page-1", "MC74AC139DTR2G")</f>
        <v>MC74AC139DTR2G</v>
      </c>
      <c r="B8590" s="3" t="str">
        <f>HYPERLINK("https://www.773grp.com/manufacturer/onsemi?pageNo=501", "Onsemi")</f>
        <v>Onsemi</v>
      </c>
      <c r="C8590" s="6">
        <v>10873</v>
      </c>
      <c r="D8590" s="7">
        <v>1</v>
      </c>
      <c r="E8590" t="s">
        <v>32</v>
      </c>
    </row>
    <row r="8591" spans="1:5" x14ac:dyDescent="0.25">
      <c r="A8591" t="str">
        <f>HYPERLINK("https://www.773grp.com/globalSearch/MC74AC174DT/page-1", "MC74AC174DT")</f>
        <v>MC74AC174DT</v>
      </c>
      <c r="B8591" s="3" t="str">
        <f>HYPERLINK("https://www.773grp.com/manufacturer/onsemi?pageNo=502", "Onsemi")</f>
        <v>Onsemi</v>
      </c>
      <c r="C8591" s="6">
        <v>5230</v>
      </c>
      <c r="D8591" s="7">
        <v>1</v>
      </c>
      <c r="E8591" t="s">
        <v>31</v>
      </c>
    </row>
    <row r="8592" spans="1:5" x14ac:dyDescent="0.25">
      <c r="A8592" t="str">
        <f>HYPERLINK("https://www.773grp.com/globalSearch/MC74AC174MEL/page-1", "MC74AC174MEL")</f>
        <v>MC74AC174MEL</v>
      </c>
      <c r="B8592" s="3" t="str">
        <f>HYPERLINK("https://www.773grp.com/manufacturer/onsemi?pageNo=503", "Onsemi")</f>
        <v>Onsemi</v>
      </c>
      <c r="C8592" s="6">
        <v>6000</v>
      </c>
      <c r="D8592" s="7">
        <v>1</v>
      </c>
      <c r="E8592" t="s">
        <v>31</v>
      </c>
    </row>
    <row r="8593" spans="1:5" x14ac:dyDescent="0.25">
      <c r="A8593" t="str">
        <f>HYPERLINK("https://www.773grp.com/globalSearch/MC74AC174ML1/page-1", "MC74AC174ML1")</f>
        <v>MC74AC174ML1</v>
      </c>
      <c r="B8593" s="3" t="str">
        <f>HYPERLINK("https://www.773grp.com/manufacturer/onsemi?pageNo=504", "Onsemi")</f>
        <v>Onsemi</v>
      </c>
      <c r="C8593" s="6">
        <v>12000</v>
      </c>
      <c r="D8593" s="7">
        <v>1</v>
      </c>
    </row>
    <row r="8594" spans="1:5" x14ac:dyDescent="0.25">
      <c r="A8594" t="str">
        <f>HYPERLINK("https://www.773grp.com/globalSearch/MC74AC175M/page-1", "MC74AC175M")</f>
        <v>MC74AC175M</v>
      </c>
      <c r="B8594" s="3" t="str">
        <f>HYPERLINK("https://www.773grp.com/manufacturer/onsemi?pageNo=505", "Onsemi")</f>
        <v>Onsemi</v>
      </c>
      <c r="C8594" s="6">
        <v>300</v>
      </c>
      <c r="D8594" s="7">
        <v>1</v>
      </c>
      <c r="E8594" t="s">
        <v>31</v>
      </c>
    </row>
    <row r="8595" spans="1:5" x14ac:dyDescent="0.25">
      <c r="A8595" t="str">
        <f>HYPERLINK("https://www.773grp.com/globalSearch/MC74AC175ML1/page-1", "MC74AC175ML1")</f>
        <v>MC74AC175ML1</v>
      </c>
      <c r="B8595" s="3" t="str">
        <f>HYPERLINK("https://www.773grp.com/manufacturer/onsemi?pageNo=506", "Onsemi")</f>
        <v>Onsemi</v>
      </c>
      <c r="C8595" s="6">
        <v>5000</v>
      </c>
      <c r="D8595" s="7">
        <v>1</v>
      </c>
    </row>
    <row r="8596" spans="1:5" x14ac:dyDescent="0.25">
      <c r="A8596" t="str">
        <f>HYPERLINK("https://www.773grp.com/globalSearch/MC74AC175N/page-1", "MC74AC175N")</f>
        <v>MC74AC175N</v>
      </c>
      <c r="B8596" s="3" t="str">
        <f>HYPERLINK("https://www.773grp.com/manufacturer/onsemi?pageNo=507", "Onsemi")</f>
        <v>Onsemi</v>
      </c>
      <c r="C8596" s="6">
        <v>966</v>
      </c>
      <c r="D8596" s="7">
        <v>1</v>
      </c>
      <c r="E8596" t="s">
        <v>31</v>
      </c>
    </row>
    <row r="8597" spans="1:5" x14ac:dyDescent="0.25">
      <c r="A8597" t="str">
        <f>HYPERLINK("https://www.773grp.com/globalSearch/MC74ACT125MELG/page-1", "MC74ACT125MELG")</f>
        <v>MC74ACT125MELG</v>
      </c>
      <c r="B8597" s="3" t="str">
        <f>HYPERLINK("https://www.773grp.com/manufacturer/onsemi?pageNo=508", "Onsemi")</f>
        <v>Onsemi</v>
      </c>
      <c r="C8597" s="6">
        <v>11990</v>
      </c>
      <c r="D8597" s="7">
        <v>1</v>
      </c>
      <c r="E8597" t="s">
        <v>11</v>
      </c>
    </row>
    <row r="8598" spans="1:5" x14ac:dyDescent="0.25">
      <c r="A8598" t="str">
        <f>HYPERLINK("https://www.773grp.com/globalSearch/MC74ACT138DG/page-1", "MC74ACT138DG")</f>
        <v>MC74ACT138DG</v>
      </c>
      <c r="B8598" s="3" t="str">
        <f>HYPERLINK("https://www.773grp.com/manufacturer/onsemi?pageNo=509", "Onsemi")</f>
        <v>Onsemi</v>
      </c>
      <c r="C8598" s="6">
        <v>16749</v>
      </c>
      <c r="D8598" s="7">
        <v>1</v>
      </c>
      <c r="E8598" t="s">
        <v>32</v>
      </c>
    </row>
    <row r="8599" spans="1:5" x14ac:dyDescent="0.25">
      <c r="A8599" t="str">
        <f>HYPERLINK("https://www.773grp.com/globalSearch/MC74ACT138DR2G/page-1", "MC74ACT138DR2G")</f>
        <v>MC74ACT138DR2G</v>
      </c>
      <c r="B8599" s="3" t="str">
        <f>HYPERLINK("https://www.773grp.com/manufacturer/onsemi?pageNo=510", "Onsemi")</f>
        <v>Onsemi</v>
      </c>
      <c r="C8599" s="6">
        <v>70145</v>
      </c>
      <c r="D8599" s="7">
        <v>1</v>
      </c>
      <c r="E8599" t="s">
        <v>32</v>
      </c>
    </row>
    <row r="8600" spans="1:5" x14ac:dyDescent="0.25">
      <c r="A8600" t="str">
        <f>HYPERLINK("https://www.773grp.com/globalSearch/MC74ACT138NG/page-1", "MC74ACT138NG")</f>
        <v>MC74ACT138NG</v>
      </c>
      <c r="B8600" s="3" t="str">
        <f>HYPERLINK("https://www.773grp.com/manufacturer/onsemi?pageNo=511", "Onsemi")</f>
        <v>Onsemi</v>
      </c>
      <c r="C8600" s="6">
        <v>2819</v>
      </c>
      <c r="D8600" s="7">
        <v>1</v>
      </c>
      <c r="E8600" t="s">
        <v>32</v>
      </c>
    </row>
    <row r="8601" spans="1:5" x14ac:dyDescent="0.25">
      <c r="A8601" t="str">
        <f>HYPERLINK("https://www.773grp.com/globalSearch/MC74ACT139DG/page-1", "MC74ACT139DG")</f>
        <v>MC74ACT139DG</v>
      </c>
      <c r="B8601" s="3" t="str">
        <f>HYPERLINK("https://www.773grp.com/manufacturer/onsemi?pageNo=512", "Onsemi")</f>
        <v>Onsemi</v>
      </c>
      <c r="C8601" s="6">
        <v>24028</v>
      </c>
      <c r="D8601" s="7">
        <v>1</v>
      </c>
      <c r="E8601" t="s">
        <v>32</v>
      </c>
    </row>
    <row r="8602" spans="1:5" x14ac:dyDescent="0.25">
      <c r="A8602" t="str">
        <f>HYPERLINK("https://www.773grp.com/globalSearch/MC74ACT139DR2G/page-1", "MC74ACT139DR2G")</f>
        <v>MC74ACT139DR2G</v>
      </c>
      <c r="B8602" s="3" t="str">
        <f>HYPERLINK("https://www.773grp.com/manufacturer/onsemi?pageNo=513", "Onsemi")</f>
        <v>Onsemi</v>
      </c>
      <c r="C8602" s="6">
        <v>43145</v>
      </c>
      <c r="D8602" s="7">
        <v>1</v>
      </c>
      <c r="E8602" t="s">
        <v>32</v>
      </c>
    </row>
    <row r="8603" spans="1:5" x14ac:dyDescent="0.25">
      <c r="A8603" t="str">
        <f>HYPERLINK("https://www.773grp.com/globalSearch/MC74ACT139DTG/page-1", "MC74ACT139DTG")</f>
        <v>MC74ACT139DTG</v>
      </c>
      <c r="B8603" s="3" t="str">
        <f>HYPERLINK("https://www.773grp.com/manufacturer/onsemi?pageNo=514", "Onsemi")</f>
        <v>Onsemi</v>
      </c>
      <c r="C8603" s="6">
        <v>1513</v>
      </c>
      <c r="D8603" s="7">
        <v>1</v>
      </c>
      <c r="E8603" t="s">
        <v>32</v>
      </c>
    </row>
    <row r="8604" spans="1:5" x14ac:dyDescent="0.25">
      <c r="A8604" t="str">
        <f>HYPERLINK("https://www.773grp.com/globalSearch/MC74ACT139DTR2G/page-1", "MC74ACT139DTR2G")</f>
        <v>MC74ACT139DTR2G</v>
      </c>
      <c r="B8604" s="3" t="str">
        <f>HYPERLINK("https://www.773grp.com/manufacturer/onsemi?pageNo=515", "Onsemi")</f>
        <v>Onsemi</v>
      </c>
      <c r="C8604" s="6">
        <v>4976</v>
      </c>
      <c r="D8604" s="7">
        <v>1</v>
      </c>
      <c r="E8604" t="s">
        <v>32</v>
      </c>
    </row>
    <row r="8605" spans="1:5" x14ac:dyDescent="0.25">
      <c r="A8605" t="str">
        <f>HYPERLINK("https://www.773grp.com/globalSearch/MC74ACT174MEL/page-1", "MC74ACT174MEL")</f>
        <v>MC74ACT174MEL</v>
      </c>
      <c r="B8605" s="3" t="str">
        <f>HYPERLINK("https://www.773grp.com/manufacturer/onsemi?pageNo=516", "Onsemi")</f>
        <v>Onsemi</v>
      </c>
      <c r="C8605" s="6">
        <v>6000</v>
      </c>
      <c r="D8605" s="7">
        <v>1</v>
      </c>
      <c r="E8605" t="s">
        <v>31</v>
      </c>
    </row>
    <row r="8606" spans="1:5" x14ac:dyDescent="0.25">
      <c r="A8606" t="str">
        <f>HYPERLINK("https://www.773grp.com/globalSearch/MC74ACT174ML1/page-1", "MC74ACT174ML1")</f>
        <v>MC74ACT174ML1</v>
      </c>
      <c r="B8606" s="3" t="str">
        <f>HYPERLINK("https://www.773grp.com/manufacturer/onsemi?pageNo=517", "Onsemi")</f>
        <v>Onsemi</v>
      </c>
      <c r="C8606" s="6">
        <v>5000</v>
      </c>
      <c r="D8606" s="7">
        <v>1</v>
      </c>
    </row>
    <row r="8607" spans="1:5" x14ac:dyDescent="0.25">
      <c r="A8607" t="str">
        <f>HYPERLINK("https://www.773grp.com/globalSearch/MC74ACT273MELG/page-1", "MC74ACT273MELG")</f>
        <v>MC74ACT273MELG</v>
      </c>
      <c r="B8607" s="3" t="str">
        <f>HYPERLINK("https://www.773grp.com/manufacturer/onsemi?pageNo=518", "Onsemi")</f>
        <v>Onsemi</v>
      </c>
      <c r="C8607" s="6">
        <v>6000</v>
      </c>
      <c r="D8607" s="7">
        <v>1</v>
      </c>
      <c r="E8607" t="s">
        <v>31</v>
      </c>
    </row>
    <row r="8608" spans="1:5" x14ac:dyDescent="0.25">
      <c r="A8608" t="str">
        <f>HYPERLINK("https://www.773grp.com/globalSearch/MC74ACT273MG/page-1", "MC74ACT273MG")</f>
        <v>MC74ACT273MG</v>
      </c>
      <c r="B8608" s="3" t="str">
        <f>HYPERLINK("https://www.773grp.com/manufacturer/onsemi?pageNo=519", "Onsemi")</f>
        <v>Onsemi</v>
      </c>
      <c r="C8608" s="6">
        <v>10450</v>
      </c>
      <c r="D8608" s="7">
        <v>1</v>
      </c>
      <c r="E8608" t="s">
        <v>31</v>
      </c>
    </row>
    <row r="8609" spans="1:5" x14ac:dyDescent="0.25">
      <c r="A8609" t="str">
        <f>HYPERLINK("https://www.773grp.com/globalSearch/MC74F109M/page-1", "MC74F109M")</f>
        <v>MC74F109M</v>
      </c>
      <c r="B8609" s="3" t="str">
        <f>HYPERLINK("https://www.773grp.com/manufacturer/onsemi?pageNo=520", "Onsemi")</f>
        <v>Onsemi</v>
      </c>
      <c r="C8609" s="6">
        <v>1450</v>
      </c>
      <c r="D8609" s="7">
        <v>1</v>
      </c>
    </row>
    <row r="8610" spans="1:5" x14ac:dyDescent="0.25">
      <c r="A8610" t="str">
        <f>HYPERLINK("https://www.773grp.com/globalSearch/MC74F151M/page-1", "MC74F151M")</f>
        <v>MC74F151M</v>
      </c>
      <c r="B8610" s="3" t="str">
        <f>HYPERLINK("https://www.773grp.com/manufacturer/onsemi?pageNo=521", "Onsemi")</f>
        <v>Onsemi</v>
      </c>
      <c r="C8610" s="6">
        <v>4112</v>
      </c>
      <c r="D8610" s="7">
        <v>1</v>
      </c>
    </row>
    <row r="8611" spans="1:5" x14ac:dyDescent="0.25">
      <c r="A8611" t="str">
        <f>HYPERLINK("https://www.773grp.com/globalSearch/MC74F151MEL/page-1", "MC74F151MEL")</f>
        <v>MC74F151MEL</v>
      </c>
      <c r="B8611" s="3" t="str">
        <f>HYPERLINK("https://www.773grp.com/manufacturer/onsemi?pageNo=522", "Onsemi")</f>
        <v>Onsemi</v>
      </c>
      <c r="C8611" s="6">
        <v>2000</v>
      </c>
      <c r="D8611" s="7">
        <v>1</v>
      </c>
    </row>
    <row r="8612" spans="1:5" x14ac:dyDescent="0.25">
      <c r="A8612" t="str">
        <f>HYPERLINK("https://www.773grp.com/globalSearch/MC74F151ML1/page-1", "MC74F151ML1")</f>
        <v>MC74F151ML1</v>
      </c>
      <c r="B8612" s="3" t="str">
        <f>HYPERLINK("https://www.773grp.com/manufacturer/onsemi?pageNo=523", "Onsemi")</f>
        <v>Onsemi</v>
      </c>
      <c r="C8612" s="6">
        <v>4000</v>
      </c>
      <c r="D8612" s="7">
        <v>1</v>
      </c>
    </row>
    <row r="8613" spans="1:5" x14ac:dyDescent="0.25">
      <c r="A8613" t="str">
        <f>HYPERLINK("https://www.773grp.com/globalSearch/MC74F151MR1/page-1", "MC74F151MR1")</f>
        <v>MC74F151MR1</v>
      </c>
      <c r="B8613" s="3" t="str">
        <f>HYPERLINK("https://www.773grp.com/manufacturer/onsemi?pageNo=524", "Onsemi")</f>
        <v>Onsemi</v>
      </c>
      <c r="C8613" s="6">
        <v>5000</v>
      </c>
      <c r="D8613" s="7">
        <v>1</v>
      </c>
    </row>
    <row r="8614" spans="1:5" x14ac:dyDescent="0.25">
      <c r="A8614" t="str">
        <f>HYPERLINK("https://www.773grp.com/globalSearch/MC74F174M/page-1", "MC74F174M")</f>
        <v>MC74F174M</v>
      </c>
      <c r="B8614" s="3" t="str">
        <f>HYPERLINK("https://www.773grp.com/manufacturer/onsemi?pageNo=525", "Onsemi")</f>
        <v>Onsemi</v>
      </c>
      <c r="C8614" s="6">
        <v>3422</v>
      </c>
      <c r="D8614" s="7">
        <v>1</v>
      </c>
    </row>
    <row r="8615" spans="1:5" x14ac:dyDescent="0.25">
      <c r="A8615" t="str">
        <f>HYPERLINK("https://www.773grp.com/globalSearch/MC74F174MEL/page-1", "MC74F174MEL")</f>
        <v>MC74F174MEL</v>
      </c>
      <c r="B8615" s="3" t="str">
        <f>HYPERLINK("https://www.773grp.com/manufacturer/onsemi?pageNo=526", "Onsemi")</f>
        <v>Onsemi</v>
      </c>
      <c r="C8615" s="6">
        <v>2000</v>
      </c>
      <c r="D8615" s="7">
        <v>1</v>
      </c>
    </row>
    <row r="8616" spans="1:5" x14ac:dyDescent="0.25">
      <c r="A8616" t="str">
        <f>HYPERLINK("https://www.773grp.com/globalSearch/MC74F174ML1/page-1", "MC74F174ML1")</f>
        <v>MC74F174ML1</v>
      </c>
      <c r="B8616" s="3" t="str">
        <f>HYPERLINK("https://www.773grp.com/manufacturer/onsemi?pageNo=527", "Onsemi")</f>
        <v>Onsemi</v>
      </c>
      <c r="C8616" s="6">
        <v>4000</v>
      </c>
      <c r="D8616" s="7">
        <v>1</v>
      </c>
    </row>
    <row r="8617" spans="1:5" x14ac:dyDescent="0.25">
      <c r="A8617" t="str">
        <f>HYPERLINK("https://www.773grp.com/globalSearch/MC74F175M/page-1", "MC74F175M")</f>
        <v>MC74F175M</v>
      </c>
      <c r="B8617" s="3" t="str">
        <f>HYPERLINK("https://www.773grp.com/manufacturer/onsemi?pageNo=528", "Onsemi")</f>
        <v>Onsemi</v>
      </c>
      <c r="C8617" s="6">
        <v>797</v>
      </c>
      <c r="D8617" s="7">
        <v>1</v>
      </c>
    </row>
    <row r="8618" spans="1:5" x14ac:dyDescent="0.25">
      <c r="A8618" t="str">
        <f>HYPERLINK("https://www.773grp.com/globalSearch/MC74F253D/page-1", "MC74F253D")</f>
        <v>MC74F253D</v>
      </c>
      <c r="B8618" s="3" t="str">
        <f>HYPERLINK("https://www.773grp.com/manufacturer/onsemi?pageNo=529", "Onsemi")</f>
        <v>Onsemi</v>
      </c>
      <c r="C8618" s="6">
        <v>4209</v>
      </c>
      <c r="D8618" s="7">
        <v>1</v>
      </c>
      <c r="E8618" t="s">
        <v>16</v>
      </c>
    </row>
    <row r="8619" spans="1:5" x14ac:dyDescent="0.25">
      <c r="A8619" t="str">
        <f>HYPERLINK("https://www.773grp.com/globalSearch/MC74F253DR2/page-1", "MC74F253DR2")</f>
        <v>MC74F253DR2</v>
      </c>
      <c r="B8619" s="3" t="str">
        <f>HYPERLINK("https://www.773grp.com/manufacturer/onsemi?pageNo=530", "Onsemi")</f>
        <v>Onsemi</v>
      </c>
      <c r="C8619" s="6">
        <v>10000</v>
      </c>
      <c r="D8619" s="7">
        <v>1</v>
      </c>
      <c r="E8619" t="s">
        <v>16</v>
      </c>
    </row>
    <row r="8620" spans="1:5" x14ac:dyDescent="0.25">
      <c r="A8620" t="str">
        <f>HYPERLINK("https://www.773grp.com/globalSearch/MC74F253M/page-1", "MC74F253M")</f>
        <v>MC74F253M</v>
      </c>
      <c r="B8620" s="3" t="str">
        <f>HYPERLINK("https://www.773grp.com/manufacturer/onsemi?pageNo=531", "Onsemi")</f>
        <v>Onsemi</v>
      </c>
      <c r="C8620" s="6">
        <v>3750</v>
      </c>
      <c r="D8620" s="7">
        <v>1</v>
      </c>
    </row>
    <row r="8621" spans="1:5" x14ac:dyDescent="0.25">
      <c r="A8621" t="str">
        <f>HYPERLINK("https://www.773grp.com/globalSearch/MC74F253ML1/page-1", "MC74F253ML1")</f>
        <v>MC74F253ML1</v>
      </c>
      <c r="B8621" s="3" t="str">
        <f>HYPERLINK("https://www.773grp.com/manufacturer/onsemi?pageNo=532", "Onsemi")</f>
        <v>Onsemi</v>
      </c>
      <c r="C8621" s="6">
        <v>2000</v>
      </c>
      <c r="D8621" s="7">
        <v>1</v>
      </c>
    </row>
    <row r="8622" spans="1:5" x14ac:dyDescent="0.25">
      <c r="A8622" t="str">
        <f>HYPERLINK("https://www.773grp.com/globalSearch/MC74F253N/page-1", "MC74F253N")</f>
        <v>MC74F253N</v>
      </c>
      <c r="B8622" s="3" t="str">
        <f>HYPERLINK("https://www.773grp.com/manufacturer/onsemi?pageNo=533", "Onsemi")</f>
        <v>Onsemi</v>
      </c>
      <c r="C8622" s="6">
        <v>7457</v>
      </c>
      <c r="D8622" s="7">
        <v>1</v>
      </c>
      <c r="E8622" t="s">
        <v>16</v>
      </c>
    </row>
    <row r="8623" spans="1:5" x14ac:dyDescent="0.25">
      <c r="A8623" t="str">
        <f>HYPERLINK("https://www.773grp.com/globalSearch/MC74F257AM/page-1", "MC74F257AM")</f>
        <v>MC74F257AM</v>
      </c>
      <c r="B8623" s="3" t="str">
        <f>HYPERLINK("https://www.773grp.com/manufacturer/onsemi?pageNo=534", "Onsemi")</f>
        <v>Onsemi</v>
      </c>
      <c r="C8623" s="6">
        <v>6113</v>
      </c>
      <c r="D8623" s="7">
        <v>1</v>
      </c>
    </row>
    <row r="8624" spans="1:5" x14ac:dyDescent="0.25">
      <c r="A8624" t="str">
        <f>HYPERLINK("https://www.773grp.com/globalSearch/MC74F257AMEL/page-1", "MC74F257AMEL")</f>
        <v>MC74F257AMEL</v>
      </c>
      <c r="B8624" s="3" t="str">
        <f>HYPERLINK("https://www.773grp.com/manufacturer/onsemi?pageNo=535", "Onsemi")</f>
        <v>Onsemi</v>
      </c>
      <c r="C8624" s="6">
        <v>2000</v>
      </c>
      <c r="D8624" s="7">
        <v>1</v>
      </c>
    </row>
    <row r="8625" spans="1:5" x14ac:dyDescent="0.25">
      <c r="A8625" t="str">
        <f>HYPERLINK("https://www.773grp.com/globalSearch/MC74F257AMR1/page-1", "MC74F257AMR1")</f>
        <v>MC74F257AMR1</v>
      </c>
      <c r="B8625" s="3" t="str">
        <f>HYPERLINK("https://www.773grp.com/manufacturer/onsemi?pageNo=536", "Onsemi")</f>
        <v>Onsemi</v>
      </c>
      <c r="C8625" s="6">
        <v>5000</v>
      </c>
      <c r="D8625" s="7">
        <v>1</v>
      </c>
    </row>
    <row r="8626" spans="1:5" x14ac:dyDescent="0.25">
      <c r="A8626" t="str">
        <f>HYPERLINK("https://www.773grp.com/globalSearch/MC74F257AN/page-1", "MC74F257AN")</f>
        <v>MC74F257AN</v>
      </c>
      <c r="B8626" s="3" t="str">
        <f>HYPERLINK("https://www.773grp.com/manufacturer/onsemi?pageNo=537", "Onsemi")</f>
        <v>Onsemi</v>
      </c>
      <c r="C8626" s="6">
        <v>111433</v>
      </c>
      <c r="D8626" s="7">
        <v>1</v>
      </c>
      <c r="E8626" t="s">
        <v>16</v>
      </c>
    </row>
    <row r="8627" spans="1:5" x14ac:dyDescent="0.25">
      <c r="A8627" t="str">
        <f>HYPERLINK("https://www.773grp.com/globalSearch/MC74F257DR2/page-1", "MC74F257DR2")</f>
        <v>MC74F257DR2</v>
      </c>
      <c r="B8627" s="3" t="str">
        <f>HYPERLINK("https://www.773grp.com/manufacturer/onsemi?pageNo=538", "Onsemi")</f>
        <v>Onsemi</v>
      </c>
      <c r="C8627" s="6">
        <v>7500</v>
      </c>
      <c r="D8627" s="7">
        <v>1</v>
      </c>
      <c r="E8627" t="s">
        <v>16</v>
      </c>
    </row>
    <row r="8628" spans="1:5" x14ac:dyDescent="0.25">
      <c r="A8628" t="str">
        <f>HYPERLINK("https://www.773grp.com/globalSearch/MC74F258AD/page-1", "MC74F258AD")</f>
        <v>MC74F258AD</v>
      </c>
      <c r="B8628" s="3" t="str">
        <f>HYPERLINK("https://www.773grp.com/manufacturer/onsemi?pageNo=539", "Onsemi")</f>
        <v>Onsemi</v>
      </c>
      <c r="C8628" s="6">
        <v>3744</v>
      </c>
      <c r="D8628" s="7">
        <v>1</v>
      </c>
      <c r="E8628" t="s">
        <v>16</v>
      </c>
    </row>
    <row r="8629" spans="1:5" x14ac:dyDescent="0.25">
      <c r="A8629" t="str">
        <f>HYPERLINK("https://www.773grp.com/globalSearch/MC74F258AN/page-1", "MC74F258AN")</f>
        <v>MC74F258AN</v>
      </c>
      <c r="B8629" s="3" t="str">
        <f>HYPERLINK("https://www.773grp.com/manufacturer/onsemi?pageNo=540", "Onsemi")</f>
        <v>Onsemi</v>
      </c>
      <c r="C8629" s="6">
        <v>2250</v>
      </c>
      <c r="D8629" s="7">
        <v>1</v>
      </c>
      <c r="E8629" t="s">
        <v>16</v>
      </c>
    </row>
    <row r="8630" spans="1:5" x14ac:dyDescent="0.25">
      <c r="A8630" t="str">
        <f>HYPERLINK("https://www.773grp.com/globalSearch/MC74HC10FL2/page-1", "MC74HC10FL2")</f>
        <v>MC74HC10FL2</v>
      </c>
      <c r="B8630" s="3" t="str">
        <f>HYPERLINK("https://www.773grp.com/manufacturer/onsemi?pageNo=541", "Onsemi")</f>
        <v>Onsemi</v>
      </c>
      <c r="C8630" s="6">
        <v>4000</v>
      </c>
      <c r="D8630" s="7">
        <v>1</v>
      </c>
    </row>
    <row r="8631" spans="1:5" x14ac:dyDescent="0.25">
      <c r="A8631" t="str">
        <f>HYPERLINK("https://www.773grp.com/globalSearch/MC74HC134AFR2/page-1", "MC74HC134AFR2")</f>
        <v>MC74HC134AFR2</v>
      </c>
      <c r="B8631" s="3" t="str">
        <f>HYPERLINK("https://www.773grp.com/manufacturer/onsemi?pageNo=542", "Onsemi")</f>
        <v>Onsemi</v>
      </c>
      <c r="C8631" s="6">
        <v>6000</v>
      </c>
      <c r="D8631" s="7">
        <v>1</v>
      </c>
    </row>
    <row r="8632" spans="1:5" x14ac:dyDescent="0.25">
      <c r="A8632" t="str">
        <f>HYPERLINK("https://www.773grp.com/globalSearch/MC74HC147N/page-1", "MC74HC147N")</f>
        <v>MC74HC147N</v>
      </c>
      <c r="B8632" s="3" t="str">
        <f>HYPERLINK("https://www.773grp.com/manufacturer/onsemi?pageNo=543", "Onsemi")</f>
        <v>Onsemi</v>
      </c>
      <c r="C8632" s="6">
        <v>65612</v>
      </c>
      <c r="D8632" s="7">
        <v>1</v>
      </c>
      <c r="E8632" t="s">
        <v>38</v>
      </c>
    </row>
    <row r="8633" spans="1:5" x14ac:dyDescent="0.25">
      <c r="A8633" t="str">
        <f>HYPERLINK("https://www.773grp.com/globalSearch/MC74HC162DR2/page-1", "MC74HC162DR2")</f>
        <v>MC74HC162DR2</v>
      </c>
      <c r="B8633" s="3" t="str">
        <f>HYPERLINK("https://www.773grp.com/manufacturer/onsemi?pageNo=544", "Onsemi")</f>
        <v>Onsemi</v>
      </c>
      <c r="C8633" s="6">
        <v>95</v>
      </c>
      <c r="D8633" s="7">
        <v>1</v>
      </c>
      <c r="E8633" t="s">
        <v>22</v>
      </c>
    </row>
    <row r="8634" spans="1:5" x14ac:dyDescent="0.25">
      <c r="A8634" t="str">
        <f>HYPERLINK("https://www.773grp.com/globalSearch/MC74HC165AFELG/page-1", "MC74HC165AFELG")</f>
        <v>MC74HC165AFELG</v>
      </c>
      <c r="B8634" s="3" t="str">
        <f>HYPERLINK("https://www.773grp.com/manufacturer/onsemi?pageNo=545", "Onsemi")</f>
        <v>Onsemi</v>
      </c>
      <c r="C8634" s="6">
        <v>4500</v>
      </c>
      <c r="D8634" s="7">
        <v>1</v>
      </c>
      <c r="E8634" t="s">
        <v>28</v>
      </c>
    </row>
    <row r="8635" spans="1:5" x14ac:dyDescent="0.25">
      <c r="A8635" t="str">
        <f>HYPERLINK("https://www.773grp.com/globalSearch/MC74HC173F/page-1", "MC74HC173F")</f>
        <v>MC74HC173F</v>
      </c>
      <c r="B8635" s="3" t="str">
        <f>HYPERLINK("https://www.773grp.com/manufacturer/onsemi?pageNo=546", "Onsemi")</f>
        <v>Onsemi</v>
      </c>
      <c r="C8635" s="6">
        <v>500</v>
      </c>
      <c r="D8635" s="7">
        <v>1</v>
      </c>
    </row>
    <row r="8636" spans="1:5" x14ac:dyDescent="0.25">
      <c r="A8636" t="str">
        <f>HYPERLINK("https://www.773grp.com/globalSearch/MC74HC173FEL/page-1", "MC74HC173FEL")</f>
        <v>MC74HC173FEL</v>
      </c>
      <c r="B8636" s="3" t="str">
        <f>HYPERLINK("https://www.773grp.com/manufacturer/onsemi?pageNo=547", "Onsemi")</f>
        <v>Onsemi</v>
      </c>
      <c r="C8636" s="6">
        <v>16000</v>
      </c>
      <c r="D8636" s="7">
        <v>1</v>
      </c>
    </row>
    <row r="8637" spans="1:5" x14ac:dyDescent="0.25">
      <c r="A8637" t="str">
        <f>HYPERLINK("https://www.773grp.com/globalSearch/MC74HC173FL1/page-1", "MC74HC173FL1")</f>
        <v>MC74HC173FL1</v>
      </c>
      <c r="B8637" s="3" t="str">
        <f>HYPERLINK("https://www.773grp.com/manufacturer/onsemi?pageNo=548", "Onsemi")</f>
        <v>Onsemi</v>
      </c>
      <c r="C8637" s="6">
        <v>49000</v>
      </c>
      <c r="D8637" s="7">
        <v>1</v>
      </c>
    </row>
    <row r="8638" spans="1:5" x14ac:dyDescent="0.25">
      <c r="A8638" t="str">
        <f>HYPERLINK("https://www.773grp.com/globalSearch/MC74HC173N/page-1", "MC74HC173N")</f>
        <v>MC74HC173N</v>
      </c>
      <c r="B8638" s="3" t="str">
        <f>HYPERLINK("https://www.773grp.com/manufacturer/onsemi?pageNo=549", "Onsemi")</f>
        <v>Onsemi</v>
      </c>
      <c r="C8638" s="6">
        <v>1147</v>
      </c>
      <c r="D8638" s="7">
        <v>1</v>
      </c>
      <c r="E8638" t="s">
        <v>31</v>
      </c>
    </row>
    <row r="8639" spans="1:5" x14ac:dyDescent="0.25">
      <c r="A8639" t="str">
        <f>HYPERLINK("https://www.773grp.com/globalSearch/MC74HC174AFELG/page-1", "MC74HC174AFELG")</f>
        <v>MC74HC174AFELG</v>
      </c>
      <c r="B8639" s="3" t="str">
        <f>HYPERLINK("https://www.773grp.com/manufacturer/onsemi?pageNo=550", "Onsemi")</f>
        <v>Onsemi</v>
      </c>
      <c r="C8639" s="6">
        <v>8000</v>
      </c>
      <c r="D8639" s="7">
        <v>1</v>
      </c>
      <c r="E8639" t="s">
        <v>31</v>
      </c>
    </row>
    <row r="8640" spans="1:5" x14ac:dyDescent="0.25">
      <c r="A8640" t="str">
        <f>HYPERLINK("https://www.773grp.com/globalSearch/MC74HC175AFEL/page-1", "MC74HC175AFEL")</f>
        <v>MC74HC175AFEL</v>
      </c>
      <c r="B8640" s="3" t="str">
        <f>HYPERLINK("https://www.773grp.com/manufacturer/onsemi?pageNo=551", "Onsemi")</f>
        <v>Onsemi</v>
      </c>
      <c r="C8640" s="6">
        <v>1087</v>
      </c>
      <c r="D8640" s="7">
        <v>1</v>
      </c>
      <c r="E8640" t="s">
        <v>31</v>
      </c>
    </row>
    <row r="8641" spans="1:5" x14ac:dyDescent="0.25">
      <c r="A8641" t="str">
        <f>HYPERLINK("https://www.773grp.com/globalSearch/MC74HC175AFELG/page-1", "MC74HC175AFELG")</f>
        <v>MC74HC175AFELG</v>
      </c>
      <c r="B8641" s="3" t="str">
        <f>HYPERLINK("https://www.773grp.com/manufacturer/onsemi?pageNo=552", "Onsemi")</f>
        <v>Onsemi</v>
      </c>
      <c r="C8641" s="6">
        <v>4155</v>
      </c>
      <c r="D8641" s="7">
        <v>1</v>
      </c>
      <c r="E8641" t="s">
        <v>31</v>
      </c>
    </row>
    <row r="8642" spans="1:5" x14ac:dyDescent="0.25">
      <c r="A8642" t="str">
        <f>HYPERLINK("https://www.773grp.com/globalSearch/MC74HC373AH/page-1", "MC74HC373AH")</f>
        <v>MC74HC373AH</v>
      </c>
      <c r="B8642" s="3" t="str">
        <f>HYPERLINK("https://www.773grp.com/manufacturer/onsemi?pageNo=553", "Onsemi")</f>
        <v>Onsemi</v>
      </c>
      <c r="C8642" s="6">
        <v>3194</v>
      </c>
      <c r="D8642" s="7">
        <v>1</v>
      </c>
    </row>
    <row r="8643" spans="1:5" x14ac:dyDescent="0.25">
      <c r="A8643" t="str">
        <f>HYPERLINK("https://www.773grp.com/globalSearch/MC74HC393ANG/page-1", "MC74HC393ANG")</f>
        <v>MC74HC393ANG</v>
      </c>
      <c r="B8643" s="3" t="str">
        <f>HYPERLINK("https://www.773grp.com/manufacturer/onsemi?pageNo=554", "Onsemi")</f>
        <v>Onsemi</v>
      </c>
      <c r="C8643" s="6">
        <v>13058</v>
      </c>
      <c r="D8643" s="7">
        <v>1</v>
      </c>
      <c r="E8643" t="s">
        <v>22</v>
      </c>
    </row>
    <row r="8644" spans="1:5" x14ac:dyDescent="0.25">
      <c r="A8644" t="str">
        <f>HYPERLINK("https://www.773grp.com/globalSearch/MC74HC4020AFELG/page-1", "MC74HC4020AFELG")</f>
        <v>MC74HC4020AFELG</v>
      </c>
      <c r="B8644" s="3" t="str">
        <f>HYPERLINK("https://www.773grp.com/manufacturer/onsemi?pageNo=555", "Onsemi")</f>
        <v>Onsemi</v>
      </c>
      <c r="C8644" s="6">
        <v>4000</v>
      </c>
      <c r="D8644" s="7">
        <v>1</v>
      </c>
    </row>
    <row r="8645" spans="1:5" x14ac:dyDescent="0.25">
      <c r="A8645" t="str">
        <f>HYPERLINK("https://www.773grp.com/globalSearch/MC74HC4020AFG/page-1", "MC74HC4020AFG")</f>
        <v>MC74HC4020AFG</v>
      </c>
      <c r="B8645" s="3" t="str">
        <f>HYPERLINK("https://www.773grp.com/manufacturer/onsemi?pageNo=556", "Onsemi")</f>
        <v>Onsemi</v>
      </c>
      <c r="C8645" s="6">
        <v>1150</v>
      </c>
      <c r="D8645" s="7">
        <v>1</v>
      </c>
      <c r="E8645" t="s">
        <v>22</v>
      </c>
    </row>
    <row r="8646" spans="1:5" x14ac:dyDescent="0.25">
      <c r="A8646" t="str">
        <f>HYPERLINK("https://www.773grp.com/globalSearch/MC74HC540AH/page-1", "MC74HC540AH")</f>
        <v>MC74HC540AH</v>
      </c>
      <c r="B8646" s="3" t="str">
        <f>HYPERLINK("https://www.773grp.com/manufacturer/onsemi?pageNo=557", "Onsemi")</f>
        <v>Onsemi</v>
      </c>
      <c r="C8646" s="6">
        <v>9270</v>
      </c>
      <c r="D8646" s="7">
        <v>1</v>
      </c>
    </row>
    <row r="8647" spans="1:5" x14ac:dyDescent="0.25">
      <c r="A8647" t="str">
        <f>HYPERLINK("https://www.773grp.com/globalSearch/MC74HC541AH/page-1", "MC74HC541AH")</f>
        <v>MC74HC541AH</v>
      </c>
      <c r="B8647" s="3" t="str">
        <f>HYPERLINK("https://www.773grp.com/manufacturer/onsemi?pageNo=558", "Onsemi")</f>
        <v>Onsemi</v>
      </c>
      <c r="C8647" s="6">
        <v>31446</v>
      </c>
      <c r="D8647" s="7">
        <v>1</v>
      </c>
    </row>
    <row r="8648" spans="1:5" x14ac:dyDescent="0.25">
      <c r="A8648" t="str">
        <f>HYPERLINK("https://www.773grp.com/globalSearch/MC74HC58FEL/page-1", "MC74HC58FEL")</f>
        <v>MC74HC58FEL</v>
      </c>
      <c r="B8648" s="3" t="str">
        <f>HYPERLINK("https://www.773grp.com/manufacturer/onsemi?pageNo=559", "Onsemi")</f>
        <v>Onsemi</v>
      </c>
      <c r="C8648" s="6">
        <v>8000</v>
      </c>
      <c r="D8648" s="7">
        <v>1</v>
      </c>
    </row>
    <row r="8649" spans="1:5" x14ac:dyDescent="0.25">
      <c r="A8649" t="str">
        <f>HYPERLINK("https://www.773grp.com/globalSearch/MC74HC595ADR/page-1", "MC74HC595ADR")</f>
        <v>MC74HC595ADR</v>
      </c>
      <c r="B8649" s="3" t="str">
        <f>HYPERLINK("https://www.773grp.com/manufacturer/onsemi?pageNo=560", "Onsemi")</f>
        <v>Onsemi</v>
      </c>
      <c r="C8649" s="6">
        <v>2500</v>
      </c>
      <c r="D8649" s="7">
        <v>1</v>
      </c>
    </row>
    <row r="8650" spans="1:5" x14ac:dyDescent="0.25">
      <c r="A8650" t="str">
        <f>HYPERLINK("https://www.773grp.com/globalSearch/MC74HC595ADR2H/page-1", "MC74HC595ADR2H")</f>
        <v>MC74HC595ADR2H</v>
      </c>
      <c r="B8650" s="3" t="str">
        <f>HYPERLINK("https://www.773grp.com/manufacturer/onsemi?pageNo=561", "Onsemi")</f>
        <v>Onsemi</v>
      </c>
      <c r="C8650" s="6">
        <v>12500</v>
      </c>
      <c r="D8650" s="7">
        <v>1</v>
      </c>
    </row>
    <row r="8651" spans="1:5" x14ac:dyDescent="0.25">
      <c r="A8651" t="str">
        <f>HYPERLINK("https://www.773grp.com/globalSearch/MC74HC688N/page-1", "MC74HC688N")</f>
        <v>MC74HC688N</v>
      </c>
      <c r="B8651" s="3" t="str">
        <f>HYPERLINK("https://www.773grp.com/manufacturer/onsemi?pageNo=562", "Onsemi")</f>
        <v>Onsemi</v>
      </c>
      <c r="C8651" s="6">
        <v>75</v>
      </c>
      <c r="D8651" s="7">
        <v>1</v>
      </c>
      <c r="E8651" t="s">
        <v>38</v>
      </c>
    </row>
    <row r="8652" spans="1:5" x14ac:dyDescent="0.25">
      <c r="A8652" t="str">
        <f>HYPERLINK("https://www.773grp.com/globalSearch/MC74HC86AFELG/page-1", "MC74HC86AFELG")</f>
        <v>MC74HC86AFELG</v>
      </c>
      <c r="B8652" s="3" t="str">
        <f>HYPERLINK("https://www.773grp.com/manufacturer/onsemi?pageNo=563", "Onsemi")</f>
        <v>Onsemi</v>
      </c>
      <c r="C8652" s="6">
        <v>12000</v>
      </c>
      <c r="D8652" s="7">
        <v>1</v>
      </c>
    </row>
    <row r="8653" spans="1:5" x14ac:dyDescent="0.25">
      <c r="A8653" t="str">
        <f>HYPERLINK("https://www.773grp.com/globalSearch/MC74HC86AFG/page-1", "MC74HC86AFG")</f>
        <v>MC74HC86AFG</v>
      </c>
      <c r="B8653" s="3" t="str">
        <f>HYPERLINK("https://www.773grp.com/manufacturer/onsemi?pageNo=564", "Onsemi")</f>
        <v>Onsemi</v>
      </c>
      <c r="C8653" s="6">
        <v>450</v>
      </c>
      <c r="D8653" s="7">
        <v>1</v>
      </c>
      <c r="E8653" t="s">
        <v>27</v>
      </c>
    </row>
    <row r="8654" spans="1:5" x14ac:dyDescent="0.25">
      <c r="A8654" t="str">
        <f>HYPERLINK("https://www.773grp.com/globalSearch/MC74HCT541AH/page-1", "MC74HCT541AH")</f>
        <v>MC74HCT541AH</v>
      </c>
      <c r="B8654" s="3" t="str">
        <f>HYPERLINK("https://www.773grp.com/manufacturer/onsemi?pageNo=565", "Onsemi")</f>
        <v>Onsemi</v>
      </c>
      <c r="C8654" s="6">
        <v>1968</v>
      </c>
      <c r="D8654" s="7">
        <v>1</v>
      </c>
    </row>
    <row r="8655" spans="1:5" x14ac:dyDescent="0.25">
      <c r="A8655" t="str">
        <f>HYPERLINK("https://www.773grp.com/globalSearch/MC74HCT574AH/page-1", "MC74HCT574AH")</f>
        <v>MC74HCT574AH</v>
      </c>
      <c r="B8655" s="3" t="str">
        <f>HYPERLINK("https://www.773grp.com/manufacturer/onsemi?pageNo=566", "Onsemi")</f>
        <v>Onsemi</v>
      </c>
      <c r="C8655" s="6">
        <v>3960</v>
      </c>
      <c r="D8655" s="7">
        <v>1</v>
      </c>
    </row>
    <row r="8656" spans="1:5" x14ac:dyDescent="0.25">
      <c r="A8656" t="str">
        <f>HYPERLINK("https://www.773grp.com/globalSearch/MC74LVX04MG/page-1", "MC74LVX04MG")</f>
        <v>MC74LVX04MG</v>
      </c>
      <c r="B8656" s="3" t="str">
        <f>HYPERLINK("https://www.773grp.com/manufacturer/onsemi?pageNo=567", "Onsemi")</f>
        <v>Onsemi</v>
      </c>
      <c r="C8656" s="6">
        <v>28100</v>
      </c>
      <c r="D8656" s="7">
        <v>1</v>
      </c>
      <c r="E8656" t="s">
        <v>27</v>
      </c>
    </row>
    <row r="8657" spans="1:5" x14ac:dyDescent="0.25">
      <c r="A8657" t="str">
        <f>HYPERLINK("https://www.773grp.com/globalSearch/MC74LVX08MELG/page-1", "MC74LVX08MELG")</f>
        <v>MC74LVX08MELG</v>
      </c>
      <c r="B8657" s="3" t="str">
        <f>HYPERLINK("https://www.773grp.com/manufacturer/onsemi?pageNo=568", "Onsemi")</f>
        <v>Onsemi</v>
      </c>
      <c r="C8657" s="6">
        <v>27900</v>
      </c>
      <c r="D8657" s="7">
        <v>1</v>
      </c>
      <c r="E8657" t="s">
        <v>27</v>
      </c>
    </row>
    <row r="8658" spans="1:5" x14ac:dyDescent="0.25">
      <c r="A8658" t="str">
        <f>HYPERLINK("https://www.773grp.com/globalSearch/MC7805CTG/page-1", "MC7805CTG")</f>
        <v>MC7805CTG</v>
      </c>
      <c r="B8658" s="3" t="str">
        <f>HYPERLINK("https://www.773grp.com/manufacturer/onsemi?pageNo=569", "Onsemi")</f>
        <v>Onsemi</v>
      </c>
      <c r="C8658" s="6">
        <v>256552</v>
      </c>
      <c r="D8658" s="7">
        <v>1</v>
      </c>
      <c r="E8658" t="s">
        <v>24</v>
      </c>
    </row>
    <row r="8659" spans="1:5" x14ac:dyDescent="0.25">
      <c r="A8659" t="str">
        <f>HYPERLINK("https://www.773grp.com/globalSearch/MC7806CTG/page-1", "MC7806CTG")</f>
        <v>MC7806CTG</v>
      </c>
      <c r="B8659" s="3" t="str">
        <f>HYPERLINK("https://www.773grp.com/manufacturer/onsemi?pageNo=570", "Onsemi")</f>
        <v>Onsemi</v>
      </c>
      <c r="C8659" s="6">
        <v>276850</v>
      </c>
      <c r="D8659" s="7">
        <v>1</v>
      </c>
      <c r="E8659" t="s">
        <v>24</v>
      </c>
    </row>
    <row r="8660" spans="1:5" x14ac:dyDescent="0.25">
      <c r="A8660" t="str">
        <f>HYPERLINK("https://www.773grp.com/globalSearch/MC7808CTG/page-1", "MC7808CTG")</f>
        <v>MC7808CTG</v>
      </c>
      <c r="B8660" s="3" t="str">
        <f>HYPERLINK("https://www.773grp.com/manufacturer/onsemi?pageNo=571", "Onsemi")</f>
        <v>Onsemi</v>
      </c>
      <c r="C8660" s="6">
        <v>723322</v>
      </c>
      <c r="D8660" s="7">
        <v>1</v>
      </c>
      <c r="E8660" t="s">
        <v>24</v>
      </c>
    </row>
    <row r="8661" spans="1:5" x14ac:dyDescent="0.25">
      <c r="A8661" t="str">
        <f>HYPERLINK("https://www.773grp.com/globalSearch/MC7809CTG/page-1", "MC7809CTG")</f>
        <v>MC7809CTG</v>
      </c>
      <c r="B8661" s="3" t="str">
        <f>HYPERLINK("https://www.773grp.com/manufacturer/onsemi?pageNo=572", "Onsemi")</f>
        <v>Onsemi</v>
      </c>
      <c r="C8661" s="6">
        <v>285215</v>
      </c>
      <c r="D8661" s="7">
        <v>1</v>
      </c>
      <c r="E8661" t="s">
        <v>24</v>
      </c>
    </row>
    <row r="8662" spans="1:5" x14ac:dyDescent="0.25">
      <c r="A8662" t="str">
        <f>HYPERLINK("https://www.773grp.com/globalSearch/MC7812CTG/page-1", "MC7812CTG")</f>
        <v>MC7812CTG</v>
      </c>
      <c r="B8662" s="3" t="str">
        <f>HYPERLINK("https://www.773grp.com/manufacturer/onsemi?pageNo=573", "Onsemi")</f>
        <v>Onsemi</v>
      </c>
      <c r="C8662" s="6">
        <v>1130703</v>
      </c>
      <c r="D8662" s="7">
        <v>1</v>
      </c>
      <c r="E8662" t="s">
        <v>24</v>
      </c>
    </row>
    <row r="8663" spans="1:5" x14ac:dyDescent="0.25">
      <c r="A8663" t="str">
        <f>HYPERLINK("https://www.773grp.com/globalSearch/MC7815CTG/page-1", "MC7815CTG")</f>
        <v>MC7815CTG</v>
      </c>
      <c r="B8663" s="3" t="str">
        <f>HYPERLINK("https://www.773grp.com/manufacturer/onsemi?pageNo=574", "Onsemi")</f>
        <v>Onsemi</v>
      </c>
      <c r="C8663" s="6">
        <v>159667</v>
      </c>
      <c r="D8663" s="7">
        <v>1</v>
      </c>
      <c r="E8663" t="s">
        <v>24</v>
      </c>
    </row>
    <row r="8664" spans="1:5" x14ac:dyDescent="0.25">
      <c r="A8664" t="str">
        <f>HYPERLINK("https://www.773grp.com/globalSearch/MC7818CTG/page-1", "MC7818CTG")</f>
        <v>MC7818CTG</v>
      </c>
      <c r="B8664" s="3" t="str">
        <f>HYPERLINK("https://www.773grp.com/manufacturer/onsemi?pageNo=575", "Onsemi")</f>
        <v>Onsemi</v>
      </c>
      <c r="C8664" s="6">
        <v>81032</v>
      </c>
      <c r="D8664" s="7">
        <v>1</v>
      </c>
      <c r="E8664" t="s">
        <v>24</v>
      </c>
    </row>
    <row r="8665" spans="1:5" x14ac:dyDescent="0.25">
      <c r="A8665" t="str">
        <f>HYPERLINK("https://www.773grp.com/globalSearch/MC7824CTG/page-1", "MC7824CTG")</f>
        <v>MC7824CTG</v>
      </c>
      <c r="B8665" s="3" t="str">
        <f>HYPERLINK("https://www.773grp.com/manufacturer/onsemi?pageNo=576", "Onsemi")</f>
        <v>Onsemi</v>
      </c>
      <c r="C8665" s="6">
        <v>246839</v>
      </c>
      <c r="D8665" s="7">
        <v>1</v>
      </c>
      <c r="E8665" t="s">
        <v>24</v>
      </c>
    </row>
    <row r="8666" spans="1:5" x14ac:dyDescent="0.25">
      <c r="A8666" t="str">
        <f>HYPERLINK("https://www.773grp.com/globalSearch/MC78M08ABTG/page-1", "MC78M08ABTG")</f>
        <v>MC78M08ABTG</v>
      </c>
      <c r="B8666" s="3" t="str">
        <f>HYPERLINK("https://www.773grp.com/manufacturer/onsemi?pageNo=577", "Onsemi")</f>
        <v>Onsemi</v>
      </c>
      <c r="C8666" s="6">
        <v>11500</v>
      </c>
      <c r="D8666" s="7">
        <v>1</v>
      </c>
      <c r="E8666" t="s">
        <v>24</v>
      </c>
    </row>
    <row r="8667" spans="1:5" x14ac:dyDescent="0.25">
      <c r="A8667" t="str">
        <f>HYPERLINK("https://www.773grp.com/globalSearch/MC7905CTG/page-1", "MC7905CTG")</f>
        <v>MC7905CTG</v>
      </c>
      <c r="B8667" s="3" t="str">
        <f>HYPERLINK("https://www.773grp.com/manufacturer/onsemi?pageNo=578", "Onsemi")</f>
        <v>Onsemi</v>
      </c>
      <c r="C8667" s="6">
        <v>102107</v>
      </c>
      <c r="D8667" s="7">
        <v>1</v>
      </c>
      <c r="E8667" t="s">
        <v>53</v>
      </c>
    </row>
    <row r="8668" spans="1:5" x14ac:dyDescent="0.25">
      <c r="A8668" t="str">
        <f>HYPERLINK("https://www.773grp.com/globalSearch/MC7906CTG/page-1", "MC7906CTG")</f>
        <v>MC7906CTG</v>
      </c>
      <c r="B8668" s="3" t="str">
        <f>HYPERLINK("https://www.773grp.com/manufacturer/onsemi?pageNo=579", "Onsemi")</f>
        <v>Onsemi</v>
      </c>
      <c r="C8668" s="6">
        <v>101840</v>
      </c>
      <c r="D8668" s="7">
        <v>1</v>
      </c>
      <c r="E8668" t="s">
        <v>53</v>
      </c>
    </row>
    <row r="8669" spans="1:5" x14ac:dyDescent="0.25">
      <c r="A8669" t="str">
        <f>HYPERLINK("https://www.773grp.com/globalSearch/MC7908CTG/page-1", "MC7908CTG")</f>
        <v>MC7908CTG</v>
      </c>
      <c r="B8669" s="3" t="str">
        <f>HYPERLINK("https://www.773grp.com/manufacturer/onsemi?pageNo=580", "Onsemi")</f>
        <v>Onsemi</v>
      </c>
      <c r="C8669" s="6">
        <v>314372</v>
      </c>
      <c r="D8669" s="7">
        <v>1</v>
      </c>
      <c r="E8669" t="s">
        <v>53</v>
      </c>
    </row>
    <row r="8670" spans="1:5" x14ac:dyDescent="0.25">
      <c r="A8670" t="str">
        <f>HYPERLINK("https://www.773grp.com/globalSearch/MC7912CTG/page-1", "MC7912CTG")</f>
        <v>MC7912CTG</v>
      </c>
      <c r="B8670" s="3" t="str">
        <f>HYPERLINK("https://www.773grp.com/manufacturer/onsemi?pageNo=581", "Onsemi")</f>
        <v>Onsemi</v>
      </c>
      <c r="C8670" s="6">
        <v>56184</v>
      </c>
      <c r="D8670" s="7">
        <v>1</v>
      </c>
      <c r="E8670" t="s">
        <v>53</v>
      </c>
    </row>
    <row r="8671" spans="1:5" x14ac:dyDescent="0.25">
      <c r="A8671" t="str">
        <f>HYPERLINK("https://www.773grp.com/globalSearch/MC7915CT/page-1", "MC7915CT")</f>
        <v>MC7915CT</v>
      </c>
      <c r="B8671" s="3" t="str">
        <f>HYPERLINK("https://www.773grp.com/manufacturer/onsemi?pageNo=582", "Onsemi")</f>
        <v>Onsemi</v>
      </c>
      <c r="C8671" s="6">
        <v>878</v>
      </c>
      <c r="D8671" s="7">
        <v>1</v>
      </c>
      <c r="E8671" t="s">
        <v>53</v>
      </c>
    </row>
    <row r="8672" spans="1:5" x14ac:dyDescent="0.25">
      <c r="A8672" t="str">
        <f>HYPERLINK("https://www.773grp.com/globalSearch/MC7915CTG/page-1", "MC7915CTG")</f>
        <v>MC7915CTG</v>
      </c>
      <c r="B8672" s="3" t="str">
        <f>HYPERLINK("https://www.773grp.com/manufacturer/onsemi?pageNo=583", "Onsemi")</f>
        <v>Onsemi</v>
      </c>
      <c r="C8672" s="6">
        <v>61700</v>
      </c>
      <c r="D8672" s="7">
        <v>1</v>
      </c>
      <c r="E8672" t="s">
        <v>53</v>
      </c>
    </row>
    <row r="8673" spans="1:5" x14ac:dyDescent="0.25">
      <c r="A8673" t="str">
        <f>HYPERLINK("https://www.773grp.com/globalSearch/MC7918CTG/page-1", "MC7918CTG")</f>
        <v>MC7918CTG</v>
      </c>
      <c r="B8673" s="3" t="str">
        <f>HYPERLINK("https://www.773grp.com/manufacturer/onsemi?pageNo=584", "Onsemi")</f>
        <v>Onsemi</v>
      </c>
      <c r="C8673" s="6">
        <v>23165</v>
      </c>
      <c r="D8673" s="7">
        <v>1</v>
      </c>
      <c r="E8673" t="s">
        <v>53</v>
      </c>
    </row>
    <row r="8674" spans="1:5" x14ac:dyDescent="0.25">
      <c r="A8674" t="str">
        <f>HYPERLINK("https://www.773grp.com/globalSearch/MC7924CD2TG/page-1", "MC7924CD2TG")</f>
        <v>MC7924CD2TG</v>
      </c>
      <c r="B8674" s="3" t="str">
        <f>HYPERLINK("https://www.773grp.com/manufacturer/onsemi?pageNo=585", "Onsemi")</f>
        <v>Onsemi</v>
      </c>
      <c r="C8674" s="6">
        <v>3650</v>
      </c>
      <c r="D8674" s="7">
        <v>1</v>
      </c>
      <c r="E8674" t="s">
        <v>53</v>
      </c>
    </row>
    <row r="8675" spans="1:5" x14ac:dyDescent="0.25">
      <c r="A8675" t="str">
        <f>HYPERLINK("https://www.773grp.com/globalSearch/MC7924CTG/page-1", "MC7924CTG")</f>
        <v>MC7924CTG</v>
      </c>
      <c r="B8675" s="3" t="str">
        <f>HYPERLINK("https://www.773grp.com/manufacturer/onsemi?pageNo=586", "Onsemi")</f>
        <v>Onsemi</v>
      </c>
      <c r="C8675" s="6">
        <v>22367</v>
      </c>
      <c r="D8675" s="7">
        <v>1</v>
      </c>
      <c r="E8675" t="s">
        <v>53</v>
      </c>
    </row>
    <row r="8676" spans="1:5" x14ac:dyDescent="0.25">
      <c r="A8676" t="str">
        <f>HYPERLINK("https://www.773grp.com/globalSearch/MJD117G/page-1", "MJD117G")</f>
        <v>MJD117G</v>
      </c>
      <c r="B8676" s="3" t="str">
        <f>HYPERLINK("https://www.773grp.com/manufacturer/onsemi?pageNo=587", "Onsemi")</f>
        <v>Onsemi</v>
      </c>
      <c r="C8676" s="6">
        <v>4200</v>
      </c>
      <c r="D8676" s="7">
        <v>1</v>
      </c>
    </row>
    <row r="8677" spans="1:5" x14ac:dyDescent="0.25">
      <c r="A8677" t="str">
        <f>HYPERLINK("https://www.773grp.com/globalSearch/MJD200G/page-1", "MJD200G")</f>
        <v>MJD200G</v>
      </c>
      <c r="B8677" s="3" t="str">
        <f>HYPERLINK("https://www.773grp.com/manufacturer/onsemi?pageNo=588", "Onsemi")</f>
        <v>Onsemi</v>
      </c>
      <c r="C8677" s="6">
        <v>2700</v>
      </c>
      <c r="D8677" s="7">
        <v>1</v>
      </c>
      <c r="E8677" t="s">
        <v>47</v>
      </c>
    </row>
    <row r="8678" spans="1:5" x14ac:dyDescent="0.25">
      <c r="A8678" t="str">
        <f>HYPERLINK("https://www.773grp.com/globalSearch/MJD200T4/page-1", "MJD200T4")</f>
        <v>MJD200T4</v>
      </c>
      <c r="B8678" s="3" t="str">
        <f>HYPERLINK("https://www.773grp.com/manufacturer/onsemi?pageNo=589", "Onsemi")</f>
        <v>Onsemi</v>
      </c>
      <c r="C8678" s="6">
        <v>2500</v>
      </c>
      <c r="D8678" s="7">
        <v>1</v>
      </c>
    </row>
    <row r="8679" spans="1:5" x14ac:dyDescent="0.25">
      <c r="A8679" t="str">
        <f>HYPERLINK("https://www.773grp.com/globalSearch/MJD200T4G/page-1", "MJD200T4G")</f>
        <v>MJD200T4G</v>
      </c>
      <c r="B8679" s="3" t="str">
        <f>HYPERLINK("https://www.773grp.com/manufacturer/onsemi?pageNo=590", "Onsemi")</f>
        <v>Onsemi</v>
      </c>
      <c r="C8679" s="6">
        <v>12500</v>
      </c>
      <c r="D8679" s="7">
        <v>1</v>
      </c>
      <c r="E8679" t="s">
        <v>47</v>
      </c>
    </row>
    <row r="8680" spans="1:5" x14ac:dyDescent="0.25">
      <c r="A8680" t="str">
        <f>HYPERLINK("https://www.773grp.com/globalSearch/MJD243T4G/page-1", "MJD243T4G")</f>
        <v>MJD243T4G</v>
      </c>
      <c r="B8680" s="3" t="str">
        <f>HYPERLINK("https://www.773grp.com/manufacturer/onsemi?pageNo=591", "Onsemi")</f>
        <v>Onsemi</v>
      </c>
      <c r="C8680" s="6">
        <v>76813</v>
      </c>
      <c r="D8680" s="7">
        <v>1</v>
      </c>
      <c r="E8680" t="s">
        <v>47</v>
      </c>
    </row>
    <row r="8681" spans="1:5" x14ac:dyDescent="0.25">
      <c r="A8681" t="str">
        <f>HYPERLINK("https://www.773grp.com/globalSearch/MJD253-1G/page-1", "MJD253-1G")</f>
        <v>MJD253-1G</v>
      </c>
      <c r="B8681" s="3" t="str">
        <f>HYPERLINK("https://www.773grp.com/manufacturer/onsemi?pageNo=592", "Onsemi")</f>
        <v>Onsemi</v>
      </c>
      <c r="C8681" s="6">
        <v>1200</v>
      </c>
      <c r="D8681" s="7">
        <v>1</v>
      </c>
      <c r="E8681" t="s">
        <v>47</v>
      </c>
    </row>
    <row r="8682" spans="1:5" x14ac:dyDescent="0.25">
      <c r="A8682" t="str">
        <f>HYPERLINK("https://www.773grp.com/globalSearch/MJD340RLG/page-1", "MJD340RLG")</f>
        <v>MJD340RLG</v>
      </c>
      <c r="B8682" s="3" t="str">
        <f>HYPERLINK("https://www.773grp.com/manufacturer/onsemi?pageNo=593", "Onsemi")</f>
        <v>Onsemi</v>
      </c>
      <c r="C8682" s="6">
        <v>7097</v>
      </c>
      <c r="D8682" s="7">
        <v>1</v>
      </c>
      <c r="E8682" t="s">
        <v>47</v>
      </c>
    </row>
    <row r="8683" spans="1:5" x14ac:dyDescent="0.25">
      <c r="A8683" t="str">
        <f>HYPERLINK("https://www.773grp.com/globalSearch/MJD44H11RL/page-1", "MJD44H11RL")</f>
        <v>MJD44H11RL</v>
      </c>
      <c r="B8683" s="3" t="str">
        <f>HYPERLINK("https://www.773grp.com/manufacturer/onsemi?pageNo=594", "Onsemi")</f>
        <v>Onsemi</v>
      </c>
      <c r="C8683" s="6">
        <v>3600</v>
      </c>
      <c r="D8683" s="7">
        <v>1</v>
      </c>
    </row>
    <row r="8684" spans="1:5" x14ac:dyDescent="0.25">
      <c r="A8684" t="str">
        <f>HYPERLINK("https://www.773grp.com/globalSearch/MJD44H11RLG/page-1", "MJD44H11RLG")</f>
        <v>MJD44H11RLG</v>
      </c>
      <c r="B8684" s="3" t="str">
        <f>HYPERLINK("https://www.773grp.com/manufacturer/onsemi?pageNo=595", "Onsemi")</f>
        <v>Onsemi</v>
      </c>
      <c r="C8684" s="6">
        <v>70770</v>
      </c>
      <c r="D8684" s="7">
        <v>1</v>
      </c>
      <c r="E8684" t="s">
        <v>47</v>
      </c>
    </row>
    <row r="8685" spans="1:5" x14ac:dyDescent="0.25">
      <c r="A8685" t="str">
        <f>HYPERLINK("https://www.773grp.com/globalSearch/MJE15029/page-1", "MJE15029")</f>
        <v>MJE15029</v>
      </c>
      <c r="B8685" s="3" t="str">
        <f>HYPERLINK("https://www.773grp.com/manufacturer/onsemi?pageNo=596", "Onsemi")</f>
        <v>Onsemi</v>
      </c>
      <c r="C8685" s="6">
        <v>2286</v>
      </c>
      <c r="D8685" s="7">
        <v>1</v>
      </c>
      <c r="E8685" t="s">
        <v>47</v>
      </c>
    </row>
    <row r="8686" spans="1:5" x14ac:dyDescent="0.25">
      <c r="A8686" t="str">
        <f>HYPERLINK("https://www.773grp.com/globalSearch/MJE15031/page-1", "MJE15031")</f>
        <v>MJE15031</v>
      </c>
      <c r="B8686" s="3" t="str">
        <f>HYPERLINK("https://www.773grp.com/manufacturer/onsemi?pageNo=597", "Onsemi")</f>
        <v>Onsemi</v>
      </c>
      <c r="C8686" s="6">
        <v>42374</v>
      </c>
      <c r="D8686" s="7">
        <v>1</v>
      </c>
      <c r="E8686" t="s">
        <v>47</v>
      </c>
    </row>
    <row r="8687" spans="1:5" x14ac:dyDescent="0.25">
      <c r="A8687" t="str">
        <f>HYPERLINK("https://www.773grp.com/globalSearch/MJE15032/page-1", "MJE15032")</f>
        <v>MJE15032</v>
      </c>
      <c r="B8687" s="3" t="str">
        <f>HYPERLINK("https://www.773grp.com/manufacturer/onsemi?pageNo=598", "Onsemi")</f>
        <v>Onsemi</v>
      </c>
      <c r="C8687" s="6">
        <v>34</v>
      </c>
      <c r="D8687" s="7">
        <v>1</v>
      </c>
      <c r="E8687" t="s">
        <v>47</v>
      </c>
    </row>
    <row r="8688" spans="1:5" x14ac:dyDescent="0.25">
      <c r="A8688" t="str">
        <f>HYPERLINK("https://www.773grp.com/globalSearch/MJE243/page-1", "MJE243")</f>
        <v>MJE243</v>
      </c>
      <c r="B8688" s="3" t="str">
        <f>HYPERLINK("https://www.773grp.com/manufacturer/onsemi?pageNo=599", "Onsemi")</f>
        <v>Onsemi</v>
      </c>
      <c r="C8688" s="6">
        <v>3000</v>
      </c>
      <c r="D8688" s="7">
        <v>1</v>
      </c>
      <c r="E8688" t="s">
        <v>47</v>
      </c>
    </row>
    <row r="8689" spans="1:5" x14ac:dyDescent="0.25">
      <c r="A8689" t="str">
        <f>HYPERLINK("https://www.773grp.com/globalSearch/MJE243G/page-1", "MJE243G")</f>
        <v>MJE243G</v>
      </c>
      <c r="B8689" s="3" t="str">
        <f>HYPERLINK("https://www.773grp.com/manufacturer/onsemi?pageNo=600", "Onsemi")</f>
        <v>Onsemi</v>
      </c>
      <c r="C8689" s="6">
        <v>22050</v>
      </c>
      <c r="D8689" s="7">
        <v>1</v>
      </c>
      <c r="E8689" t="s">
        <v>47</v>
      </c>
    </row>
    <row r="8690" spans="1:5" x14ac:dyDescent="0.25">
      <c r="A8690" t="str">
        <f>HYPERLINK("https://www.773grp.com/globalSearch/MJE521G/page-1", "MJE521G")</f>
        <v>MJE521G</v>
      </c>
      <c r="B8690" s="3" t="str">
        <f>HYPERLINK("https://www.773grp.com/manufacturer/onsemi?pageNo=601", "Onsemi")</f>
        <v>Onsemi</v>
      </c>
      <c r="C8690" s="6">
        <v>16890</v>
      </c>
      <c r="D8690" s="7">
        <v>1</v>
      </c>
      <c r="E8690" t="s">
        <v>47</v>
      </c>
    </row>
    <row r="8691" spans="1:5" x14ac:dyDescent="0.25">
      <c r="A8691" t="str">
        <f>HYPERLINK("https://www.773grp.com/globalSearch/MJF122/page-1", "MJF122")</f>
        <v>MJF122</v>
      </c>
      <c r="B8691" s="3" t="str">
        <f>HYPERLINK("https://www.773grp.com/manufacturer/onsemi?pageNo=602", "Onsemi")</f>
        <v>Onsemi</v>
      </c>
      <c r="C8691" s="6">
        <v>123</v>
      </c>
      <c r="D8691" s="7">
        <v>1</v>
      </c>
      <c r="E8691" t="s">
        <v>47</v>
      </c>
    </row>
    <row r="8692" spans="1:5" x14ac:dyDescent="0.25">
      <c r="A8692" t="str">
        <f>HYPERLINK("https://www.773grp.com/globalSearch/MJF127/page-1", "MJF127")</f>
        <v>MJF127</v>
      </c>
      <c r="B8692" s="3" t="str">
        <f>HYPERLINK("https://www.773grp.com/manufacturer/onsemi?pageNo=603", "Onsemi")</f>
        <v>Onsemi</v>
      </c>
      <c r="C8692" s="6">
        <v>1922</v>
      </c>
      <c r="D8692" s="7">
        <v>1</v>
      </c>
      <c r="E8692" t="s">
        <v>47</v>
      </c>
    </row>
    <row r="8693" spans="1:5" x14ac:dyDescent="0.25">
      <c r="A8693" t="str">
        <f>HYPERLINK("https://www.773grp.com/globalSearch/MJF31C/page-1", "MJF31C")</f>
        <v>MJF31C</v>
      </c>
      <c r="B8693" s="3" t="str">
        <f>HYPERLINK("https://www.773grp.com/manufacturer/onsemi?pageNo=604", "Onsemi")</f>
        <v>Onsemi</v>
      </c>
      <c r="C8693" s="6">
        <v>11</v>
      </c>
      <c r="D8693" s="7">
        <v>1</v>
      </c>
      <c r="E8693" t="s">
        <v>47</v>
      </c>
    </row>
    <row r="8694" spans="1:5" x14ac:dyDescent="0.25">
      <c r="A8694" t="str">
        <f>HYPERLINK("https://www.773grp.com/globalSearch/MMDF3N03HDR2/page-1", "MMDF3N03HDR2")</f>
        <v>MMDF3N03HDR2</v>
      </c>
      <c r="B8694" s="3" t="str">
        <f>HYPERLINK("https://www.773grp.com/manufacturer/onsemi?pageNo=605", "Onsemi")</f>
        <v>Onsemi</v>
      </c>
      <c r="C8694" s="6">
        <v>2500</v>
      </c>
      <c r="D8694" s="7">
        <v>1</v>
      </c>
      <c r="E8694" t="s">
        <v>84</v>
      </c>
    </row>
    <row r="8695" spans="1:5" x14ac:dyDescent="0.25">
      <c r="A8695" t="str">
        <f>HYPERLINK("https://www.773grp.com/globalSearch/MMSF3P02HDR2SG/page-1", "MMSF3P02HDR2SG")</f>
        <v>MMSF3P02HDR2SG</v>
      </c>
      <c r="B8695" s="3" t="str">
        <f>HYPERLINK("https://www.773grp.com/manufacturer/onsemi?pageNo=606", "Onsemi")</f>
        <v>Onsemi</v>
      </c>
      <c r="C8695" s="6">
        <v>5000</v>
      </c>
      <c r="D8695" s="7">
        <v>1</v>
      </c>
    </row>
    <row r="8696" spans="1:5" x14ac:dyDescent="0.25">
      <c r="A8696" t="str">
        <f>HYPERLINK("https://www.773grp.com/globalSearch/MTSF2P03HDR2/page-1", "MTSF2P03HDR2")</f>
        <v>MTSF2P03HDR2</v>
      </c>
      <c r="B8696" s="3" t="str">
        <f>HYPERLINK("https://www.773grp.com/manufacturer/onsemi?pageNo=607", "Onsemi")</f>
        <v>Onsemi</v>
      </c>
      <c r="C8696" s="6">
        <v>524000</v>
      </c>
      <c r="D8696" s="7">
        <v>1</v>
      </c>
      <c r="E8696" t="s">
        <v>85</v>
      </c>
    </row>
    <row r="8697" spans="1:5" x14ac:dyDescent="0.25">
      <c r="A8697" t="str">
        <f>HYPERLINK("https://www.773grp.com/globalSearch/MUR4100ERLG/page-1", "MUR4100ERLG")</f>
        <v>MUR4100ERLG</v>
      </c>
      <c r="B8697" s="3" t="str">
        <f>HYPERLINK("https://www.773grp.com/manufacturer/onsemi?pageNo=608", "Onsemi")</f>
        <v>Onsemi</v>
      </c>
      <c r="C8697" s="6">
        <v>3975</v>
      </c>
      <c r="D8697" s="7">
        <v>1</v>
      </c>
      <c r="E8697" t="s">
        <v>82</v>
      </c>
    </row>
    <row r="8698" spans="1:5" x14ac:dyDescent="0.25">
      <c r="A8698" t="str">
        <f>HYPERLINK("https://www.773grp.com/globalSearch/MUR480EG/page-1", "MUR480EG")</f>
        <v>MUR480EG</v>
      </c>
      <c r="B8698" s="3" t="str">
        <f>HYPERLINK("https://www.773grp.com/manufacturer/onsemi?pageNo=609", "Onsemi")</f>
        <v>Onsemi</v>
      </c>
      <c r="C8698" s="6">
        <v>73357</v>
      </c>
      <c r="D8698" s="7">
        <v>1</v>
      </c>
      <c r="E8698" t="s">
        <v>82</v>
      </c>
    </row>
    <row r="8699" spans="1:5" x14ac:dyDescent="0.25">
      <c r="A8699" t="str">
        <f>HYPERLINK("https://www.773grp.com/globalSearch/MUR480ESG/page-1", "MUR480ESG")</f>
        <v>MUR480ESG</v>
      </c>
      <c r="B8699" s="3" t="str">
        <f>HYPERLINK("https://www.773grp.com/manufacturer/onsemi?pageNo=610", "Onsemi")</f>
        <v>Onsemi</v>
      </c>
      <c r="C8699" s="6">
        <v>398488</v>
      </c>
      <c r="D8699" s="7">
        <v>1</v>
      </c>
      <c r="E8699" t="s">
        <v>82</v>
      </c>
    </row>
    <row r="8700" spans="1:5" x14ac:dyDescent="0.25">
      <c r="A8700" t="str">
        <f>HYPERLINK("https://www.773grp.com/globalSearch/MUR550APF/page-1", "MUR550APF")</f>
        <v>MUR550APF</v>
      </c>
      <c r="B8700" s="3" t="str">
        <f>HYPERLINK("https://www.773grp.com/manufacturer/onsemi?pageNo=611", "Onsemi")</f>
        <v>Onsemi</v>
      </c>
      <c r="C8700" s="6">
        <v>200</v>
      </c>
      <c r="D8700" s="7">
        <v>1</v>
      </c>
      <c r="E8700" t="s">
        <v>82</v>
      </c>
    </row>
    <row r="8701" spans="1:5" x14ac:dyDescent="0.25">
      <c r="A8701" t="str">
        <f>HYPERLINK("https://www.773grp.com/globalSearch/MURS205T3G/page-1", "MURS205T3G")</f>
        <v>MURS205T3G</v>
      </c>
      <c r="B8701" s="3" t="str">
        <f>HYPERLINK("https://www.773grp.com/manufacturer/onsemi?pageNo=612", "Onsemi")</f>
        <v>Onsemi</v>
      </c>
      <c r="C8701" s="6">
        <v>86897</v>
      </c>
      <c r="D8701" s="7">
        <v>1</v>
      </c>
      <c r="E8701" t="s">
        <v>82</v>
      </c>
    </row>
    <row r="8702" spans="1:5" x14ac:dyDescent="0.25">
      <c r="A8702" t="str">
        <f>HYPERLINK("https://www.773grp.com/globalSearch/MURS210T3G/page-1", "MURS210T3G")</f>
        <v>MURS210T3G</v>
      </c>
      <c r="B8702" s="3" t="str">
        <f>HYPERLINK("https://www.773grp.com/manufacturer/onsemi?pageNo=613", "Onsemi")</f>
        <v>Onsemi</v>
      </c>
      <c r="C8702" s="6">
        <v>10000</v>
      </c>
      <c r="D8702" s="7">
        <v>1</v>
      </c>
      <c r="E8702" t="s">
        <v>82</v>
      </c>
    </row>
    <row r="8703" spans="1:5" x14ac:dyDescent="0.25">
      <c r="A8703" t="str">
        <f>HYPERLINK("https://www.773grp.com/globalSearch/MURS220T3G/page-1", "MURS220T3G")</f>
        <v>MURS220T3G</v>
      </c>
      <c r="B8703" s="3" t="str">
        <f>HYPERLINK("https://www.773grp.com/manufacturer/onsemi?pageNo=614", "Onsemi")</f>
        <v>Onsemi</v>
      </c>
      <c r="C8703" s="6">
        <v>6630</v>
      </c>
      <c r="D8703" s="7">
        <v>1</v>
      </c>
      <c r="E8703" t="s">
        <v>82</v>
      </c>
    </row>
    <row r="8704" spans="1:5" x14ac:dyDescent="0.25">
      <c r="A8704" t="str">
        <f>HYPERLINK("https://www.773grp.com/globalSearch/MURS230T3G/page-1", "MURS230T3G")</f>
        <v>MURS230T3G</v>
      </c>
      <c r="B8704" s="3" t="str">
        <f>HYPERLINK("https://www.773grp.com/manufacturer/onsemi?pageNo=615", "Onsemi")</f>
        <v>Onsemi</v>
      </c>
      <c r="C8704" s="6">
        <v>17500</v>
      </c>
      <c r="D8704" s="7">
        <v>1</v>
      </c>
      <c r="E8704" t="s">
        <v>82</v>
      </c>
    </row>
    <row r="8705" spans="1:5" x14ac:dyDescent="0.25">
      <c r="A8705" t="str">
        <f>HYPERLINK("https://www.773grp.com/globalSearch/MURS240T3G/page-1", "MURS240T3G")</f>
        <v>MURS240T3G</v>
      </c>
      <c r="B8705" s="3" t="str">
        <f>HYPERLINK("https://www.773grp.com/manufacturer/onsemi?pageNo=616", "Onsemi")</f>
        <v>Onsemi</v>
      </c>
      <c r="C8705" s="6">
        <v>185688</v>
      </c>
      <c r="D8705" s="7">
        <v>1</v>
      </c>
    </row>
    <row r="8706" spans="1:5" x14ac:dyDescent="0.25">
      <c r="A8706" t="str">
        <f>HYPERLINK("https://www.773grp.com/globalSearch/MURS260T3G/page-1", "MURS260T3G")</f>
        <v>MURS260T3G</v>
      </c>
      <c r="B8706" s="3" t="str">
        <f>HYPERLINK("https://www.773grp.com/manufacturer/onsemi?pageNo=617", "Onsemi")</f>
        <v>Onsemi</v>
      </c>
      <c r="C8706" s="6">
        <v>15783</v>
      </c>
      <c r="D8706" s="7">
        <v>1</v>
      </c>
      <c r="E8706" t="s">
        <v>82</v>
      </c>
    </row>
    <row r="8707" spans="1:5" x14ac:dyDescent="0.25">
      <c r="A8707" t="str">
        <f>HYPERLINK("https://www.773grp.com/globalSearch/MV2105G/page-1", "MV2105G")</f>
        <v>MV2105G</v>
      </c>
      <c r="B8707" s="3" t="str">
        <f>HYPERLINK("https://www.773grp.com/manufacturer/onsemi?pageNo=618", "Onsemi")</f>
        <v>Onsemi</v>
      </c>
      <c r="C8707" s="6">
        <v>21000</v>
      </c>
      <c r="D8707" s="7">
        <v>1</v>
      </c>
      <c r="E8707" t="s">
        <v>80</v>
      </c>
    </row>
    <row r="8708" spans="1:5" x14ac:dyDescent="0.25">
      <c r="A8708" t="str">
        <f>HYPERLINK("https://www.773grp.com/globalSearch/NCP1010AP065/page-1", "NCP1010AP065")</f>
        <v>NCP1010AP065</v>
      </c>
      <c r="B8708" s="3" t="str">
        <f>HYPERLINK("https://www.773grp.com/manufacturer/onsemi?pageNo=619", "Onsemi")</f>
        <v>Onsemi</v>
      </c>
      <c r="C8708" s="6">
        <v>4000</v>
      </c>
      <c r="D8708" s="7">
        <v>1</v>
      </c>
      <c r="E8708" t="s">
        <v>5</v>
      </c>
    </row>
    <row r="8709" spans="1:5" x14ac:dyDescent="0.25">
      <c r="A8709" t="str">
        <f>HYPERLINK("https://www.773grp.com/globalSearch/NCP1010AP100/page-1", "NCP1010AP100")</f>
        <v>NCP1010AP100</v>
      </c>
      <c r="B8709" s="3" t="str">
        <f>HYPERLINK("https://www.773grp.com/manufacturer/onsemi?pageNo=620", "Onsemi")</f>
        <v>Onsemi</v>
      </c>
      <c r="C8709" s="6">
        <v>2965</v>
      </c>
      <c r="D8709" s="7">
        <v>1</v>
      </c>
      <c r="E8709" t="s">
        <v>5</v>
      </c>
    </row>
    <row r="8710" spans="1:5" x14ac:dyDescent="0.25">
      <c r="A8710" t="str">
        <f>HYPERLINK("https://www.773grp.com/globalSearch/NCP1010AP130/page-1", "NCP1010AP130")</f>
        <v>NCP1010AP130</v>
      </c>
      <c r="B8710" s="3" t="str">
        <f>HYPERLINK("https://www.773grp.com/manufacturer/onsemi?pageNo=621", "Onsemi")</f>
        <v>Onsemi</v>
      </c>
      <c r="C8710" s="6">
        <v>100</v>
      </c>
      <c r="D8710" s="7">
        <v>1</v>
      </c>
      <c r="E8710" t="s">
        <v>5</v>
      </c>
    </row>
    <row r="8711" spans="1:5" x14ac:dyDescent="0.25">
      <c r="A8711" t="str">
        <f>HYPERLINK("https://www.773grp.com/globalSearch/NCP2823AFCT2G/page-1", "NCP2823AFCT2G")</f>
        <v>NCP2823AFCT2G</v>
      </c>
      <c r="B8711" s="3" t="str">
        <f>HYPERLINK("https://www.773grp.com/manufacturer/onsemi?pageNo=622", "Onsemi")</f>
        <v>Onsemi</v>
      </c>
      <c r="C8711" s="6">
        <v>43890</v>
      </c>
      <c r="D8711" s="7">
        <v>1</v>
      </c>
      <c r="E8711" t="s">
        <v>14</v>
      </c>
    </row>
    <row r="8712" spans="1:5" x14ac:dyDescent="0.25">
      <c r="A8712" t="str">
        <f>HYPERLINK("https://www.773grp.com/globalSearch/NCP2823BFCT2G/page-1", "NCP2823BFCT2G")</f>
        <v>NCP2823BFCT2G</v>
      </c>
      <c r="B8712" s="3" t="str">
        <f>HYPERLINK("https://www.773grp.com/manufacturer/onsemi?pageNo=623", "Onsemi")</f>
        <v>Onsemi</v>
      </c>
      <c r="C8712" s="6">
        <v>5500</v>
      </c>
      <c r="D8712" s="7">
        <v>1</v>
      </c>
    </row>
    <row r="8713" spans="1:5" x14ac:dyDescent="0.25">
      <c r="A8713" t="str">
        <f>HYPERLINK("https://www.773grp.com/globalSearch/NCP301HSN18TIG/page-1", "NCP301HSN18TIG")</f>
        <v>NCP301HSN18TIG</v>
      </c>
      <c r="B8713" s="3" t="str">
        <f>HYPERLINK("https://www.773grp.com/manufacturer/onsemi?pageNo=624", "Onsemi")</f>
        <v>Onsemi</v>
      </c>
      <c r="C8713" s="6">
        <v>3000</v>
      </c>
      <c r="D8713" s="7">
        <v>1</v>
      </c>
    </row>
    <row r="8714" spans="1:5" x14ac:dyDescent="0.25">
      <c r="A8714" t="str">
        <f>HYPERLINK("https://www.773grp.com/globalSearch/NCP330MUTBG/page-1", "NCP330MUTBG")</f>
        <v>NCP330MUTBG</v>
      </c>
      <c r="B8714" s="3" t="str">
        <f>HYPERLINK("https://www.773grp.com/manufacturer/onsemi?pageNo=625", "Onsemi")</f>
        <v>Onsemi</v>
      </c>
      <c r="C8714" s="6">
        <v>96000</v>
      </c>
      <c r="D8714" s="7">
        <v>1</v>
      </c>
    </row>
    <row r="8715" spans="1:5" x14ac:dyDescent="0.25">
      <c r="A8715" t="str">
        <f>HYPERLINK("https://www.773grp.com/globalSearch/NCP4586DSN30T1G/page-1", "NCP4586DSN30T1G")</f>
        <v>NCP4586DSN30T1G</v>
      </c>
      <c r="B8715" s="3" t="str">
        <f>HYPERLINK("https://www.773grp.com/manufacturer/onsemi?pageNo=626", "Onsemi")</f>
        <v>Onsemi</v>
      </c>
      <c r="C8715" s="6">
        <v>3000</v>
      </c>
      <c r="D8715" s="7">
        <v>1</v>
      </c>
    </row>
    <row r="8716" spans="1:5" x14ac:dyDescent="0.25">
      <c r="A8716" t="str">
        <f>HYPERLINK("https://www.773grp.com/globalSearch/NCP582DSQ15T1G/page-1", "NCP582DSQ15T1G")</f>
        <v>NCP582DSQ15T1G</v>
      </c>
      <c r="B8716" s="3" t="str">
        <f>HYPERLINK("https://www.773grp.com/manufacturer/onsemi?pageNo=627", "Onsemi")</f>
        <v>Onsemi</v>
      </c>
      <c r="C8716" s="6">
        <v>9894</v>
      </c>
      <c r="D8716" s="7">
        <v>1</v>
      </c>
      <c r="E8716" t="s">
        <v>15</v>
      </c>
    </row>
    <row r="8717" spans="1:5" x14ac:dyDescent="0.25">
      <c r="A8717" t="str">
        <f>HYPERLINK("https://www.773grp.com/globalSearch/NCP582DSQ18T1G/page-1", "NCP582DSQ18T1G")</f>
        <v>NCP582DSQ18T1G</v>
      </c>
      <c r="B8717" s="3" t="str">
        <f>HYPERLINK("https://www.773grp.com/manufacturer/onsemi?pageNo=628", "Onsemi")</f>
        <v>Onsemi</v>
      </c>
      <c r="C8717" s="6">
        <v>2300</v>
      </c>
      <c r="D8717" s="7">
        <v>1</v>
      </c>
      <c r="E8717" t="s">
        <v>15</v>
      </c>
    </row>
    <row r="8718" spans="1:5" x14ac:dyDescent="0.25">
      <c r="A8718" t="str">
        <f>HYPERLINK("https://www.773grp.com/globalSearch/NCP582DSQ25T1G/page-1", "NCP582DSQ25T1G")</f>
        <v>NCP582DSQ25T1G</v>
      </c>
      <c r="B8718" s="3" t="str">
        <f>HYPERLINK("https://www.773grp.com/manufacturer/onsemi?pageNo=629", "Onsemi")</f>
        <v>Onsemi</v>
      </c>
      <c r="C8718" s="6">
        <v>2460</v>
      </c>
      <c r="D8718" s="7">
        <v>1</v>
      </c>
      <c r="E8718" t="s">
        <v>15</v>
      </c>
    </row>
    <row r="8719" spans="1:5" x14ac:dyDescent="0.25">
      <c r="A8719" t="str">
        <f>HYPERLINK("https://www.773grp.com/globalSearch/NCP582DSQ28T1G/page-1", "NCP582DSQ28T1G")</f>
        <v>NCP582DSQ28T1G</v>
      </c>
      <c r="B8719" s="3" t="str">
        <f>HYPERLINK("https://www.773grp.com/manufacturer/onsemi?pageNo=630", "Onsemi")</f>
        <v>Onsemi</v>
      </c>
      <c r="C8719" s="6">
        <v>11940</v>
      </c>
      <c r="D8719" s="7">
        <v>1</v>
      </c>
      <c r="E8719" t="s">
        <v>15</v>
      </c>
    </row>
    <row r="8720" spans="1:5" x14ac:dyDescent="0.25">
      <c r="A8720" t="str">
        <f>HYPERLINK("https://www.773grp.com/globalSearch/NCP582DSQ30T1G/page-1", "NCP582DSQ30T1G")</f>
        <v>NCP582DSQ30T1G</v>
      </c>
      <c r="B8720" s="3" t="str">
        <f>HYPERLINK("https://www.773grp.com/manufacturer/onsemi?pageNo=631", "Onsemi")</f>
        <v>Onsemi</v>
      </c>
      <c r="C8720" s="6">
        <v>2430</v>
      </c>
      <c r="D8720" s="7">
        <v>1</v>
      </c>
      <c r="E8720" t="s">
        <v>15</v>
      </c>
    </row>
    <row r="8721" spans="1:5" x14ac:dyDescent="0.25">
      <c r="A8721" t="str">
        <f>HYPERLINK("https://www.773grp.com/globalSearch/NCP582LSQ15T1G/page-1", "NCP582LSQ15T1G")</f>
        <v>NCP582LSQ15T1G</v>
      </c>
      <c r="B8721" s="3" t="str">
        <f>HYPERLINK("https://www.773grp.com/manufacturer/onsemi?pageNo=632", "Onsemi")</f>
        <v>Onsemi</v>
      </c>
      <c r="C8721" s="6">
        <v>17500</v>
      </c>
      <c r="D8721" s="7">
        <v>1</v>
      </c>
      <c r="E8721" t="s">
        <v>15</v>
      </c>
    </row>
    <row r="8722" spans="1:5" x14ac:dyDescent="0.25">
      <c r="A8722" t="str">
        <f>HYPERLINK("https://www.773grp.com/globalSearch/NCP582LSQ18T1G/page-1", "NCP582LSQ18T1G")</f>
        <v>NCP582LSQ18T1G</v>
      </c>
      <c r="B8722" s="3" t="str">
        <f>HYPERLINK("https://www.773grp.com/manufacturer/onsemi?pageNo=633", "Onsemi")</f>
        <v>Onsemi</v>
      </c>
      <c r="C8722" s="6">
        <v>18050</v>
      </c>
      <c r="D8722" s="7">
        <v>1</v>
      </c>
      <c r="E8722" t="s">
        <v>15</v>
      </c>
    </row>
    <row r="8723" spans="1:5" x14ac:dyDescent="0.25">
      <c r="A8723" t="str">
        <f>HYPERLINK("https://www.773grp.com/globalSearch/NCP582LSQ25T1G/page-1", "NCP582LSQ25T1G")</f>
        <v>NCP582LSQ25T1G</v>
      </c>
      <c r="B8723" s="3" t="str">
        <f>HYPERLINK("https://www.773grp.com/manufacturer/onsemi?pageNo=634", "Onsemi")</f>
        <v>Onsemi</v>
      </c>
      <c r="C8723" s="6">
        <v>27309</v>
      </c>
      <c r="D8723" s="7">
        <v>1</v>
      </c>
      <c r="E8723" t="s">
        <v>15</v>
      </c>
    </row>
    <row r="8724" spans="1:5" x14ac:dyDescent="0.25">
      <c r="A8724" t="str">
        <f>HYPERLINK("https://www.773grp.com/globalSearch/NCP582LSQ33T1G/page-1", "NCP582LSQ33T1G")</f>
        <v>NCP582LSQ33T1G</v>
      </c>
      <c r="B8724" s="3" t="str">
        <f>HYPERLINK("https://www.773grp.com/manufacturer/onsemi?pageNo=635", "Onsemi")</f>
        <v>Onsemi</v>
      </c>
      <c r="C8724" s="6">
        <v>9000</v>
      </c>
      <c r="D8724" s="7">
        <v>1</v>
      </c>
    </row>
    <row r="8725" spans="1:5" x14ac:dyDescent="0.25">
      <c r="A8725" t="str">
        <f>HYPERLINK("https://www.773grp.com/globalSearch/NCP603SN150T1G/page-1", "NCP603SN150T1G")</f>
        <v>NCP603SN150T1G</v>
      </c>
      <c r="B8725" s="3" t="str">
        <f>HYPERLINK("https://www.773grp.com/manufacturer/onsemi?pageNo=636", "Onsemi")</f>
        <v>Onsemi</v>
      </c>
      <c r="C8725" s="6">
        <v>23938</v>
      </c>
      <c r="D8725" s="7">
        <v>1</v>
      </c>
    </row>
    <row r="8726" spans="1:5" x14ac:dyDescent="0.25">
      <c r="A8726" t="str">
        <f>HYPERLINK("https://www.773grp.com/globalSearch/NCP603SN180T1G/page-1", "NCP603SN180T1G")</f>
        <v>NCP603SN180T1G</v>
      </c>
      <c r="B8726" s="3" t="str">
        <f>HYPERLINK("https://www.773grp.com/manufacturer/onsemi?pageNo=637", "Onsemi")</f>
        <v>Onsemi</v>
      </c>
      <c r="C8726" s="6">
        <v>126568</v>
      </c>
      <c r="D8726" s="7">
        <v>1</v>
      </c>
      <c r="E8726" t="s">
        <v>15</v>
      </c>
    </row>
    <row r="8727" spans="1:5" x14ac:dyDescent="0.25">
      <c r="A8727" t="str">
        <f>HYPERLINK("https://www.773grp.com/globalSearch/NCP603SN250T1G/page-1", "NCP603SN250T1G")</f>
        <v>NCP603SN250T1G</v>
      </c>
      <c r="B8727" s="3" t="str">
        <f>HYPERLINK("https://www.773grp.com/manufacturer/onsemi?pageNo=638", "Onsemi")</f>
        <v>Onsemi</v>
      </c>
      <c r="C8727" s="6">
        <v>18000</v>
      </c>
      <c r="D8727" s="7">
        <v>1</v>
      </c>
    </row>
    <row r="8728" spans="1:5" x14ac:dyDescent="0.25">
      <c r="A8728" t="str">
        <f>HYPERLINK("https://www.773grp.com/globalSearch/NCP603SN280T1G/page-1", "NCP603SN280T1G")</f>
        <v>NCP603SN280T1G</v>
      </c>
      <c r="B8728" s="3" t="str">
        <f>HYPERLINK("https://www.773grp.com/manufacturer/onsemi?pageNo=639", "Onsemi")</f>
        <v>Onsemi</v>
      </c>
      <c r="C8728" s="6">
        <v>11265</v>
      </c>
      <c r="D8728" s="7">
        <v>1</v>
      </c>
      <c r="E8728" t="s">
        <v>15</v>
      </c>
    </row>
    <row r="8729" spans="1:5" x14ac:dyDescent="0.25">
      <c r="A8729" t="str">
        <f>HYPERLINK("https://www.773grp.com/globalSearch/NCP603SN300T1G/page-1", "NCP603SN300T1G")</f>
        <v>NCP603SN300T1G</v>
      </c>
      <c r="B8729" s="3" t="str">
        <f>HYPERLINK("https://www.773grp.com/manufacturer/onsemi?pageNo=640", "Onsemi")</f>
        <v>Onsemi</v>
      </c>
      <c r="C8729" s="6">
        <v>3000</v>
      </c>
      <c r="D8729" s="7">
        <v>1</v>
      </c>
      <c r="E8729" t="s">
        <v>15</v>
      </c>
    </row>
    <row r="8730" spans="1:5" x14ac:dyDescent="0.25">
      <c r="A8730" t="str">
        <f>HYPERLINK("https://www.773grp.com/globalSearch/NCP603SN350T1G/page-1", "NCP603SN350T1G")</f>
        <v>NCP603SN350T1G</v>
      </c>
      <c r="B8730" s="3" t="str">
        <f>HYPERLINK("https://www.773grp.com/manufacturer/onsemi?pageNo=641", "Onsemi")</f>
        <v>Onsemi</v>
      </c>
      <c r="C8730" s="6">
        <v>8303</v>
      </c>
      <c r="D8730" s="7">
        <v>1</v>
      </c>
    </row>
    <row r="8731" spans="1:5" x14ac:dyDescent="0.25">
      <c r="A8731" t="str">
        <f>HYPERLINK("https://www.773grp.com/globalSearch/NCP603SN500T1G/page-1", "NCP603SN500T1G")</f>
        <v>NCP603SN500T1G</v>
      </c>
      <c r="B8731" s="3" t="str">
        <f>HYPERLINK("https://www.773grp.com/manufacturer/onsemi?pageNo=642", "Onsemi")</f>
        <v>Onsemi</v>
      </c>
      <c r="C8731" s="6">
        <v>1680</v>
      </c>
      <c r="D8731" s="7">
        <v>1</v>
      </c>
    </row>
    <row r="8732" spans="1:5" x14ac:dyDescent="0.25">
      <c r="A8732" t="str">
        <f>HYPERLINK("https://www.773grp.com/globalSearch/NCP603SNADJT1G/page-1", "NCP603SNADJT1G")</f>
        <v>NCP603SNADJT1G</v>
      </c>
      <c r="B8732" s="3" t="str">
        <f>HYPERLINK("https://www.773grp.com/manufacturer/onsemi?pageNo=643", "Onsemi")</f>
        <v>Onsemi</v>
      </c>
      <c r="C8732" s="6">
        <v>108850</v>
      </c>
      <c r="D8732" s="7">
        <v>1</v>
      </c>
      <c r="E8732" t="s">
        <v>21</v>
      </c>
    </row>
    <row r="8733" spans="1:5" x14ac:dyDescent="0.25">
      <c r="A8733" t="str">
        <f>HYPERLINK("https://www.773grp.com/globalSearch/NCP629FC15T2G/page-1", "NCP629FC15T2G")</f>
        <v>NCP629FC15T2G</v>
      </c>
      <c r="B8733" s="3" t="str">
        <f>HYPERLINK("https://www.773grp.com/manufacturer/onsemi?pageNo=644", "Onsemi")</f>
        <v>Onsemi</v>
      </c>
      <c r="C8733" s="6">
        <v>12000</v>
      </c>
      <c r="D8733" s="7">
        <v>1</v>
      </c>
      <c r="E8733" t="s">
        <v>15</v>
      </c>
    </row>
    <row r="8734" spans="1:5" x14ac:dyDescent="0.25">
      <c r="A8734" t="str">
        <f>HYPERLINK("https://www.773grp.com/globalSearch/NCP7805CTG/page-1", "NCP7805CTG")</f>
        <v>NCP7805CTG</v>
      </c>
      <c r="B8734" s="3" t="str">
        <f>HYPERLINK("https://www.773grp.com/manufacturer/onsemi?pageNo=645", "Onsemi")</f>
        <v>Onsemi</v>
      </c>
      <c r="C8734" s="6">
        <v>55050</v>
      </c>
      <c r="D8734" s="7">
        <v>1</v>
      </c>
    </row>
    <row r="8735" spans="1:5" x14ac:dyDescent="0.25">
      <c r="A8735" t="str">
        <f>HYPERLINK("https://www.773grp.com/globalSearch/NCP7809CTG/page-1", "NCP7809CTG")</f>
        <v>NCP7809CTG</v>
      </c>
      <c r="B8735" s="3" t="str">
        <f>HYPERLINK("https://www.773grp.com/manufacturer/onsemi?pageNo=646", "Onsemi")</f>
        <v>Onsemi</v>
      </c>
      <c r="C8735" s="6">
        <v>145850</v>
      </c>
      <c r="D8735" s="7">
        <v>1</v>
      </c>
    </row>
    <row r="8736" spans="1:5" x14ac:dyDescent="0.25">
      <c r="A8736" t="str">
        <f>HYPERLINK("https://www.773grp.com/globalSearch/NCP7812BTG/page-1", "NCP7812BTG")</f>
        <v>NCP7812BTG</v>
      </c>
      <c r="B8736" s="3" t="str">
        <f>HYPERLINK("https://www.773grp.com/manufacturer/onsemi?pageNo=647", "Onsemi")</f>
        <v>Onsemi</v>
      </c>
      <c r="C8736" s="6">
        <v>52300</v>
      </c>
      <c r="D8736" s="7">
        <v>1</v>
      </c>
    </row>
    <row r="8737" spans="1:5" x14ac:dyDescent="0.25">
      <c r="A8737" t="str">
        <f>HYPERLINK("https://www.773grp.com/globalSearch/NCP7812CTG/page-1", "NCP7812CTG")</f>
        <v>NCP7812CTG</v>
      </c>
      <c r="B8737" s="3" t="str">
        <f>HYPERLINK("https://www.773grp.com/manufacturer/onsemi?pageNo=648", "Onsemi")</f>
        <v>Onsemi</v>
      </c>
      <c r="C8737" s="6">
        <v>2425</v>
      </c>
      <c r="D8737" s="7">
        <v>1</v>
      </c>
    </row>
    <row r="8738" spans="1:5" x14ac:dyDescent="0.25">
      <c r="A8738" t="str">
        <f>HYPERLINK("https://www.773grp.com/globalSearch/NCP7905CTG/page-1", "NCP7905CTG")</f>
        <v>NCP7905CTG</v>
      </c>
      <c r="B8738" s="3" t="str">
        <f>HYPERLINK("https://www.773grp.com/manufacturer/onsemi?pageNo=649", "Onsemi")</f>
        <v>Onsemi</v>
      </c>
      <c r="C8738" s="6">
        <v>367650</v>
      </c>
      <c r="D8738" s="7">
        <v>1</v>
      </c>
    </row>
    <row r="8739" spans="1:5" x14ac:dyDescent="0.25">
      <c r="A8739" t="str">
        <f>HYPERLINK("https://www.773grp.com/globalSearch/NCP7906CTG/page-1", "NCP7906CTG")</f>
        <v>NCP7906CTG</v>
      </c>
      <c r="B8739" s="3" t="str">
        <f>HYPERLINK("https://www.773grp.com/manufacturer/onsemi?pageNo=650", "Onsemi")</f>
        <v>Onsemi</v>
      </c>
      <c r="C8739" s="6">
        <v>20350</v>
      </c>
      <c r="D8739" s="7">
        <v>1</v>
      </c>
    </row>
    <row r="8740" spans="1:5" x14ac:dyDescent="0.25">
      <c r="A8740" t="str">
        <f>HYPERLINK("https://www.773grp.com/globalSearch/NCP7912CTG/page-1", "NCP7912CTG")</f>
        <v>NCP7912CTG</v>
      </c>
      <c r="B8740" s="3" t="str">
        <f>HYPERLINK("https://www.773grp.com/manufacturer/onsemi?pageNo=651", "Onsemi")</f>
        <v>Onsemi</v>
      </c>
      <c r="C8740" s="6">
        <v>2097000</v>
      </c>
      <c r="D8740" s="7">
        <v>1</v>
      </c>
    </row>
    <row r="8741" spans="1:5" x14ac:dyDescent="0.25">
      <c r="A8741" t="str">
        <f>HYPERLINK("https://www.773grp.com/globalSearch/NCT75DMR2G/page-1", "NCT75DMR2G")</f>
        <v>NCT75DMR2G</v>
      </c>
      <c r="B8741" s="3" t="str">
        <f>HYPERLINK("https://www.773grp.com/manufacturer/onsemi?pageNo=652", "Onsemi")</f>
        <v>Onsemi</v>
      </c>
      <c r="C8741" s="6">
        <v>4839</v>
      </c>
      <c r="D8741" s="7">
        <v>1</v>
      </c>
    </row>
    <row r="8742" spans="1:5" x14ac:dyDescent="0.25">
      <c r="A8742" t="str">
        <f>HYPERLINK("https://www.773grp.com/globalSearch/NCV4269D1/page-1", "NCV4269D1")</f>
        <v>NCV4269D1</v>
      </c>
      <c r="B8742" s="3" t="str">
        <f>HYPERLINK("https://www.773grp.com/manufacturer/onsemi?pageNo=653", "Onsemi")</f>
        <v>Onsemi</v>
      </c>
      <c r="C8742" s="6">
        <v>196</v>
      </c>
      <c r="D8742" s="7">
        <v>1</v>
      </c>
      <c r="E8742" t="s">
        <v>15</v>
      </c>
    </row>
    <row r="8743" spans="1:5" x14ac:dyDescent="0.25">
      <c r="A8743" t="str">
        <f>HYPERLINK("https://www.773grp.com/globalSearch/NCV78L05ABPG/page-1", "NCV78L05ABPG")</f>
        <v>NCV78L05ABPG</v>
      </c>
      <c r="B8743" s="3" t="str">
        <f>HYPERLINK("https://www.773grp.com/manufacturer/onsemi?pageNo=654", "Onsemi")</f>
        <v>Onsemi</v>
      </c>
      <c r="C8743" s="6">
        <v>6000</v>
      </c>
      <c r="D8743" s="7">
        <v>1</v>
      </c>
    </row>
    <row r="8744" spans="1:5" x14ac:dyDescent="0.25">
      <c r="A8744" t="str">
        <f>HYPERLINK("https://www.773grp.com/globalSearch/NCV78L05ABPRMG/page-1", "NCV78L05ABPRMG")</f>
        <v>NCV78L05ABPRMG</v>
      </c>
      <c r="B8744" s="3" t="str">
        <f>HYPERLINK("https://www.773grp.com/manufacturer/onsemi?pageNo=655", "Onsemi")</f>
        <v>Onsemi</v>
      </c>
      <c r="C8744" s="6">
        <v>32000</v>
      </c>
      <c r="D8744" s="7">
        <v>1</v>
      </c>
      <c r="E8744" t="s">
        <v>24</v>
      </c>
    </row>
    <row r="8745" spans="1:5" x14ac:dyDescent="0.25">
      <c r="A8745" t="str">
        <f>HYPERLINK("https://www.773grp.com/globalSearch/NE5532D8R2/page-1", "NE5532D8R2")</f>
        <v>NE5532D8R2</v>
      </c>
      <c r="B8745" s="3" t="str">
        <f>HYPERLINK("https://www.773grp.com/manufacturer/onsemi?pageNo=656", "Onsemi")</f>
        <v>Onsemi</v>
      </c>
      <c r="C8745" s="6">
        <v>32500</v>
      </c>
      <c r="D8745" s="7">
        <v>1</v>
      </c>
      <c r="E8745" t="s">
        <v>10</v>
      </c>
    </row>
    <row r="8746" spans="1:5" x14ac:dyDescent="0.25">
      <c r="A8746" t="str">
        <f>HYPERLINK("https://www.773grp.com/globalSearch/NJVMJD340T4G/page-1", "NJVMJD340T4G")</f>
        <v>NJVMJD340T4G</v>
      </c>
      <c r="B8746" s="3" t="str">
        <f>HYPERLINK("https://www.773grp.com/manufacturer/onsemi?pageNo=657", "Onsemi")</f>
        <v>Onsemi</v>
      </c>
      <c r="C8746" s="6">
        <v>50000</v>
      </c>
      <c r="D8746" s="7">
        <v>1</v>
      </c>
    </row>
    <row r="8747" spans="1:5" x14ac:dyDescent="0.25">
      <c r="A8747" t="str">
        <f>HYPERLINK("https://www.773grp.com/globalSearch/NLAS4051DR2G/page-1", "NLAS4051DR2G")</f>
        <v>NLAS4051DR2G</v>
      </c>
      <c r="B8747" s="3" t="str">
        <f>HYPERLINK("https://www.773grp.com/manufacturer/onsemi?pageNo=658", "Onsemi")</f>
        <v>Onsemi</v>
      </c>
      <c r="C8747" s="6">
        <v>21811</v>
      </c>
      <c r="D8747" s="7">
        <v>1</v>
      </c>
      <c r="E8747" t="s">
        <v>46</v>
      </c>
    </row>
    <row r="8748" spans="1:5" x14ac:dyDescent="0.25">
      <c r="A8748" t="str">
        <f>HYPERLINK("https://www.773grp.com/globalSearch/NLAS4051DTR2G/page-1", "NLAS4051DTR2G")</f>
        <v>NLAS4051DTR2G</v>
      </c>
      <c r="B8748" s="3" t="str">
        <f>HYPERLINK("https://www.773grp.com/manufacturer/onsemi?pageNo=659", "Onsemi")</f>
        <v>Onsemi</v>
      </c>
      <c r="C8748" s="6">
        <v>5585</v>
      </c>
      <c r="D8748" s="7">
        <v>1</v>
      </c>
      <c r="E8748" t="s">
        <v>46</v>
      </c>
    </row>
    <row r="8749" spans="1:5" x14ac:dyDescent="0.25">
      <c r="A8749" t="str">
        <f>HYPERLINK("https://www.773grp.com/globalSearch/NLAS4053DR2G/page-1", "NLAS4053DR2G")</f>
        <v>NLAS4053DR2G</v>
      </c>
      <c r="B8749" s="3" t="str">
        <f>HYPERLINK("https://www.773grp.com/manufacturer/onsemi?pageNo=660", "Onsemi")</f>
        <v>Onsemi</v>
      </c>
      <c r="C8749" s="6">
        <v>20299</v>
      </c>
      <c r="D8749" s="7">
        <v>1</v>
      </c>
      <c r="E8749" t="s">
        <v>46</v>
      </c>
    </row>
    <row r="8750" spans="1:5" x14ac:dyDescent="0.25">
      <c r="A8750" t="str">
        <f>HYPERLINK("https://www.773grp.com/globalSearch/NLAS4053DTG/page-1", "NLAS4053DTG")</f>
        <v>NLAS4053DTG</v>
      </c>
      <c r="B8750" s="3" t="str">
        <f>HYPERLINK("https://www.773grp.com/manufacturer/onsemi?pageNo=661", "Onsemi")</f>
        <v>Onsemi</v>
      </c>
      <c r="C8750" s="6">
        <v>1677</v>
      </c>
      <c r="D8750" s="7">
        <v>1</v>
      </c>
      <c r="E8750" t="s">
        <v>46</v>
      </c>
    </row>
    <row r="8751" spans="1:5" x14ac:dyDescent="0.25">
      <c r="A8751" t="str">
        <f>HYPERLINK("https://www.773grp.com/globalSearch/NLAS4066DTG/page-1", "NLAS4066DTG")</f>
        <v>NLAS4066DTG</v>
      </c>
      <c r="B8751" s="3" t="str">
        <f>HYPERLINK("https://www.773grp.com/manufacturer/onsemi?pageNo=662", "Onsemi")</f>
        <v>Onsemi</v>
      </c>
      <c r="C8751" s="6">
        <v>26016</v>
      </c>
      <c r="D8751" s="7">
        <v>1</v>
      </c>
    </row>
    <row r="8752" spans="1:5" x14ac:dyDescent="0.25">
      <c r="A8752" t="str">
        <f>HYPERLINK("https://www.773grp.com/globalSearch/NLAS4066DTR2G/page-1", "NLAS4066DTR2G")</f>
        <v>NLAS4066DTR2G</v>
      </c>
      <c r="B8752" s="3" t="str">
        <f>HYPERLINK("https://www.773grp.com/manufacturer/onsemi?pageNo=663", "Onsemi")</f>
        <v>Onsemi</v>
      </c>
      <c r="C8752" s="6">
        <v>22500</v>
      </c>
      <c r="D8752" s="7">
        <v>1</v>
      </c>
    </row>
    <row r="8753" spans="1:5" x14ac:dyDescent="0.25">
      <c r="A8753" t="str">
        <f>HYPERLINK("https://www.773grp.com/globalSearch/NLAST4066DTG/page-1", "NLAST4066DTG")</f>
        <v>NLAST4066DTG</v>
      </c>
      <c r="B8753" s="3" t="str">
        <f>HYPERLINK("https://www.773grp.com/manufacturer/onsemi?pageNo=664", "Onsemi")</f>
        <v>Onsemi</v>
      </c>
      <c r="C8753" s="6">
        <v>49728</v>
      </c>
      <c r="D8753" s="7">
        <v>1</v>
      </c>
    </row>
    <row r="8754" spans="1:5" x14ac:dyDescent="0.25">
      <c r="A8754" t="str">
        <f>HYPERLINK("https://www.773grp.com/globalSearch/NLAST4066DTR2G/page-1", "NLAST4066DTR2G")</f>
        <v>NLAST4066DTR2G</v>
      </c>
      <c r="B8754" s="3" t="str">
        <f>HYPERLINK("https://www.773grp.com/manufacturer/onsemi?pageNo=665", "Onsemi")</f>
        <v>Onsemi</v>
      </c>
      <c r="C8754" s="6">
        <v>17500</v>
      </c>
      <c r="D8754" s="7">
        <v>1</v>
      </c>
    </row>
    <row r="8755" spans="1:5" x14ac:dyDescent="0.25">
      <c r="A8755" t="str">
        <f>HYPERLINK("https://www.773grp.com/globalSearch/NLSF595MNR2/page-1", "NLSF595MNR2")</f>
        <v>NLSF595MNR2</v>
      </c>
      <c r="B8755" s="3" t="str">
        <f>HYPERLINK("https://www.773grp.com/manufacturer/onsemi?pageNo=666", "Onsemi")</f>
        <v>Onsemi</v>
      </c>
      <c r="C8755" s="6">
        <v>2935</v>
      </c>
      <c r="D8755" s="7">
        <v>1</v>
      </c>
      <c r="E8755" t="s">
        <v>7</v>
      </c>
    </row>
    <row r="8756" spans="1:5" x14ac:dyDescent="0.25">
      <c r="A8756" t="str">
        <f>HYPERLINK("https://www.773grp.com/globalSearch/NLV14051BDR2/page-1", "NLV14051BDR2")</f>
        <v>NLV14051BDR2</v>
      </c>
      <c r="B8756" s="3" t="str">
        <f>HYPERLINK("https://www.773grp.com/manufacturer/onsemi?pageNo=667", "Onsemi")</f>
        <v>Onsemi</v>
      </c>
      <c r="C8756" s="6">
        <v>33844</v>
      </c>
      <c r="D8756" s="7">
        <v>1</v>
      </c>
    </row>
    <row r="8757" spans="1:5" x14ac:dyDescent="0.25">
      <c r="A8757" t="str">
        <f>HYPERLINK("https://www.773grp.com/globalSearch/NLV74HC164ADR2G/page-1", "NLV74HC164ADR2G")</f>
        <v>NLV74HC164ADR2G</v>
      </c>
      <c r="B8757" s="3" t="str">
        <f>HYPERLINK("https://www.773grp.com/manufacturer/onsemi?pageNo=668", "Onsemi")</f>
        <v>Onsemi</v>
      </c>
      <c r="C8757" s="6">
        <v>941</v>
      </c>
      <c r="D8757" s="7">
        <v>1</v>
      </c>
    </row>
    <row r="8758" spans="1:5" x14ac:dyDescent="0.25">
      <c r="A8758" t="str">
        <f>HYPERLINK("https://www.773grp.com/globalSearch/NSS40300DDR2G/page-1", "NSS40300DDR2G")</f>
        <v>NSS40300DDR2G</v>
      </c>
      <c r="B8758" s="3" t="str">
        <f>HYPERLINK("https://www.773grp.com/manufacturer/onsemi?pageNo=669", "Onsemi")</f>
        <v>Onsemi</v>
      </c>
      <c r="C8758" s="6">
        <v>39615</v>
      </c>
      <c r="D8758" s="7">
        <v>1</v>
      </c>
      <c r="E8758" t="s">
        <v>57</v>
      </c>
    </row>
    <row r="8759" spans="1:5" x14ac:dyDescent="0.25">
      <c r="A8759" t="str">
        <f>HYPERLINK("https://www.773grp.com/globalSearch/NSS40300MDR2G/page-1", "NSS40300MDR2G")</f>
        <v>NSS40300MDR2G</v>
      </c>
      <c r="B8759" s="3" t="str">
        <f>HYPERLINK("https://www.773grp.com/manufacturer/onsemi?pageNo=670", "Onsemi")</f>
        <v>Onsemi</v>
      </c>
      <c r="C8759" s="6">
        <v>80000</v>
      </c>
      <c r="D8759" s="7">
        <v>1</v>
      </c>
      <c r="E8759" t="s">
        <v>57</v>
      </c>
    </row>
    <row r="8760" spans="1:5" x14ac:dyDescent="0.25">
      <c r="A8760" t="str">
        <f>HYPERLINK("https://www.773grp.com/globalSearch/NSS40301MDR2G/page-1", "NSS40301MDR2G")</f>
        <v>NSS40301MDR2G</v>
      </c>
      <c r="B8760" s="3" t="str">
        <f>HYPERLINK("https://www.773grp.com/manufacturer/onsemi?pageNo=671", "Onsemi")</f>
        <v>Onsemi</v>
      </c>
      <c r="C8760" s="6">
        <v>12657</v>
      </c>
      <c r="D8760" s="7">
        <v>1</v>
      </c>
    </row>
    <row r="8761" spans="1:5" x14ac:dyDescent="0.25">
      <c r="A8761" t="str">
        <f>HYPERLINK("https://www.773grp.com/globalSearch/NSS40302PDR2G/page-1", "NSS40302PDR2G")</f>
        <v>NSS40302PDR2G</v>
      </c>
      <c r="B8761" s="3" t="str">
        <f>HYPERLINK("https://www.773grp.com/manufacturer/onsemi?pageNo=672", "Onsemi")</f>
        <v>Onsemi</v>
      </c>
      <c r="C8761" s="6">
        <v>17272</v>
      </c>
      <c r="D8761" s="7">
        <v>1</v>
      </c>
    </row>
    <row r="8762" spans="1:5" x14ac:dyDescent="0.25">
      <c r="A8762" t="str">
        <f>HYPERLINK("https://www.773grp.com/globalSearch/NTB18N06L/page-1", "NTB18N06L")</f>
        <v>NTB18N06L</v>
      </c>
      <c r="B8762" s="3" t="str">
        <f>HYPERLINK("https://www.773grp.com/manufacturer/onsemi?pageNo=673", "Onsemi")</f>
        <v>Onsemi</v>
      </c>
      <c r="C8762" s="6">
        <v>2595</v>
      </c>
      <c r="D8762" s="7">
        <v>1</v>
      </c>
      <c r="E8762" t="s">
        <v>84</v>
      </c>
    </row>
    <row r="8763" spans="1:5" x14ac:dyDescent="0.25">
      <c r="A8763" t="str">
        <f>HYPERLINK("https://www.773grp.com/globalSearch/NTB18N06LT4/page-1", "NTB18N06LT4")</f>
        <v>NTB18N06LT4</v>
      </c>
      <c r="B8763" s="3" t="str">
        <f>HYPERLINK("https://www.773grp.com/manufacturer/onsemi?pageNo=674", "Onsemi")</f>
        <v>Onsemi</v>
      </c>
      <c r="C8763" s="6">
        <v>920</v>
      </c>
      <c r="D8763" s="7">
        <v>1</v>
      </c>
      <c r="E8763" t="s">
        <v>84</v>
      </c>
    </row>
    <row r="8764" spans="1:5" x14ac:dyDescent="0.25">
      <c r="A8764" t="str">
        <f>HYPERLINK("https://www.773grp.com/globalSearch/NTD2955-1G/page-1", "NTD2955-1G")</f>
        <v>NTD2955-1G</v>
      </c>
      <c r="B8764" s="3" t="str">
        <f>HYPERLINK("https://www.773grp.com/manufacturer/onsemi?pageNo=675", "Onsemi")</f>
        <v>Onsemi</v>
      </c>
      <c r="C8764" s="6">
        <v>26590</v>
      </c>
      <c r="D8764" s="7">
        <v>1</v>
      </c>
      <c r="E8764" t="s">
        <v>84</v>
      </c>
    </row>
    <row r="8765" spans="1:5" x14ac:dyDescent="0.25">
      <c r="A8765" t="str">
        <f>HYPERLINK("https://www.773grp.com/globalSearch/NTD2955G/page-1", "NTD2955G")</f>
        <v>NTD2955G</v>
      </c>
      <c r="B8765" s="3" t="str">
        <f>HYPERLINK("https://www.773grp.com/manufacturer/onsemi?pageNo=676", "Onsemi")</f>
        <v>Onsemi</v>
      </c>
      <c r="C8765" s="6">
        <v>316</v>
      </c>
      <c r="D8765" s="7">
        <v>1</v>
      </c>
      <c r="E8765" t="s">
        <v>84</v>
      </c>
    </row>
    <row r="8766" spans="1:5" x14ac:dyDescent="0.25">
      <c r="A8766" t="str">
        <f>HYPERLINK("https://www.773grp.com/globalSearch/NTD3055-094-1G/page-1", "NTD3055-094-1G")</f>
        <v>NTD3055-094-1G</v>
      </c>
      <c r="B8766" s="3" t="str">
        <f>HYPERLINK("https://www.773grp.com/manufacturer/onsemi?pageNo=677", "Onsemi")</f>
        <v>Onsemi</v>
      </c>
      <c r="C8766" s="6">
        <v>35775</v>
      </c>
      <c r="D8766" s="7">
        <v>1</v>
      </c>
      <c r="E8766" t="s">
        <v>84</v>
      </c>
    </row>
    <row r="8767" spans="1:5" x14ac:dyDescent="0.25">
      <c r="A8767" t="str">
        <f>HYPERLINK("https://www.773grp.com/globalSearch/NTD3055L104-1G/page-1", "NTD3055L104-1G")</f>
        <v>NTD3055L104-1G</v>
      </c>
      <c r="B8767" s="3" t="str">
        <f>HYPERLINK("https://www.773grp.com/manufacturer/onsemi?pageNo=678", "Onsemi")</f>
        <v>Onsemi</v>
      </c>
      <c r="C8767" s="6">
        <v>9225</v>
      </c>
      <c r="D8767" s="7">
        <v>1</v>
      </c>
      <c r="E8767" t="s">
        <v>84</v>
      </c>
    </row>
    <row r="8768" spans="1:5" x14ac:dyDescent="0.25">
      <c r="A8768" t="str">
        <f>HYPERLINK("https://www.773grp.com/globalSearch/NTD3055L104G/page-1", "NTD3055L104G")</f>
        <v>NTD3055L104G</v>
      </c>
      <c r="B8768" s="3" t="str">
        <f>HYPERLINK("https://www.773grp.com/manufacturer/onsemi?pageNo=679", "Onsemi")</f>
        <v>Onsemi</v>
      </c>
      <c r="C8768" s="6">
        <v>59770</v>
      </c>
      <c r="D8768" s="7">
        <v>1</v>
      </c>
      <c r="E8768" t="s">
        <v>84</v>
      </c>
    </row>
    <row r="8769" spans="1:5" x14ac:dyDescent="0.25">
      <c r="A8769" t="str">
        <f>HYPERLINK("https://www.773grp.com/globalSearch/NTD32N06-1G/page-1", "NTD32N06-1G")</f>
        <v>NTD32N06-1G</v>
      </c>
      <c r="B8769" s="3" t="str">
        <f>HYPERLINK("https://www.773grp.com/manufacturer/onsemi?pageNo=680", "Onsemi")</f>
        <v>Onsemi</v>
      </c>
      <c r="C8769" s="6">
        <v>3525</v>
      </c>
      <c r="D8769" s="7">
        <v>1</v>
      </c>
      <c r="E8769" t="s">
        <v>84</v>
      </c>
    </row>
    <row r="8770" spans="1:5" x14ac:dyDescent="0.25">
      <c r="A8770" t="str">
        <f>HYPERLINK("https://www.773grp.com/globalSearch/NTD32N06L-001/page-1", "NTD32N06L-001")</f>
        <v>NTD32N06L-001</v>
      </c>
      <c r="B8770" s="3" t="str">
        <f>HYPERLINK("https://www.773grp.com/manufacturer/onsemi?pageNo=681", "Onsemi")</f>
        <v>Onsemi</v>
      </c>
      <c r="C8770" s="6">
        <v>7474</v>
      </c>
      <c r="D8770" s="7">
        <v>1</v>
      </c>
    </row>
    <row r="8771" spans="1:5" x14ac:dyDescent="0.25">
      <c r="A8771" t="str">
        <f>HYPERLINK("https://www.773grp.com/globalSearch/NTD32N06L-1G/page-1", "NTD32N06L-1G")</f>
        <v>NTD32N06L-1G</v>
      </c>
      <c r="B8771" s="3" t="str">
        <f>HYPERLINK("https://www.773grp.com/manufacturer/onsemi?pageNo=682", "Onsemi")</f>
        <v>Onsemi</v>
      </c>
      <c r="C8771" s="6">
        <v>2750</v>
      </c>
      <c r="D8771" s="7">
        <v>1</v>
      </c>
      <c r="E8771" t="s">
        <v>84</v>
      </c>
    </row>
    <row r="8772" spans="1:5" x14ac:dyDescent="0.25">
      <c r="A8772" t="str">
        <f>HYPERLINK("https://www.773grp.com/globalSearch/NTD4806NT4G/page-1", "NTD4806NT4G")</f>
        <v>NTD4806NT4G</v>
      </c>
      <c r="B8772" s="3" t="str">
        <f>HYPERLINK("https://www.773grp.com/manufacturer/onsemi?pageNo=683", "Onsemi")</f>
        <v>Onsemi</v>
      </c>
      <c r="C8772" s="6">
        <v>3897</v>
      </c>
      <c r="D8772" s="7">
        <v>1</v>
      </c>
      <c r="E8772" t="s">
        <v>84</v>
      </c>
    </row>
    <row r="8773" spans="1:5" x14ac:dyDescent="0.25">
      <c r="A8773" t="str">
        <f>HYPERLINK("https://www.773grp.com/globalSearch/NTD80N02-1G/page-1", "NTD80N02-1G")</f>
        <v>NTD80N02-1G</v>
      </c>
      <c r="B8773" s="3" t="str">
        <f>HYPERLINK("https://www.773grp.com/manufacturer/onsemi?pageNo=684", "Onsemi")</f>
        <v>Onsemi</v>
      </c>
      <c r="C8773" s="6">
        <v>161480</v>
      </c>
      <c r="D8773" s="7">
        <v>1</v>
      </c>
      <c r="E8773" t="s">
        <v>84</v>
      </c>
    </row>
    <row r="8774" spans="1:5" x14ac:dyDescent="0.25">
      <c r="A8774" t="str">
        <f>HYPERLINK("https://www.773grp.com/globalSearch/NTHD4502NT1G/page-1", "NTHD4502NT1G")</f>
        <v>NTHD4502NT1G</v>
      </c>
      <c r="B8774" s="3" t="str">
        <f>HYPERLINK("https://www.773grp.com/manufacturer/onsemi?pageNo=685", "Onsemi")</f>
        <v>Onsemi</v>
      </c>
      <c r="C8774" s="6">
        <v>5265</v>
      </c>
      <c r="D8774" s="7">
        <v>1</v>
      </c>
    </row>
    <row r="8775" spans="1:5" x14ac:dyDescent="0.25">
      <c r="A8775" t="str">
        <f>HYPERLINK("https://www.773grp.com/globalSearch/NTHD4508NT1G/page-1", "NTHD4508NT1G")</f>
        <v>NTHD4508NT1G</v>
      </c>
      <c r="B8775" s="3" t="str">
        <f>HYPERLINK("https://www.773grp.com/manufacturer/onsemi?pageNo=686", "Onsemi")</f>
        <v>Onsemi</v>
      </c>
      <c r="C8775" s="6">
        <v>203055</v>
      </c>
      <c r="D8775" s="7">
        <v>1</v>
      </c>
      <c r="E8775" t="s">
        <v>84</v>
      </c>
    </row>
    <row r="8776" spans="1:5" x14ac:dyDescent="0.25">
      <c r="A8776" t="str">
        <f>HYPERLINK("https://www.773grp.com/globalSearch/NTLJF3118NTAG/page-1", "NTLJF3118NTAG")</f>
        <v>NTLJF3118NTAG</v>
      </c>
      <c r="B8776" s="3" t="str">
        <f>HYPERLINK("https://www.773grp.com/manufacturer/onsemi?pageNo=687", "Onsemi")</f>
        <v>Onsemi</v>
      </c>
      <c r="C8776" s="6">
        <v>17996</v>
      </c>
      <c r="D8776" s="7">
        <v>1</v>
      </c>
      <c r="E8776" t="s">
        <v>84</v>
      </c>
    </row>
    <row r="8777" spans="1:5" x14ac:dyDescent="0.25">
      <c r="A8777" t="str">
        <f>HYPERLINK("https://www.773grp.com/globalSearch/NTMC1300R2/page-1", "NTMC1300R2")</f>
        <v>NTMC1300R2</v>
      </c>
      <c r="B8777" s="3" t="str">
        <f>HYPERLINK("https://www.773grp.com/manufacturer/onsemi?pageNo=688", "Onsemi")</f>
        <v>Onsemi</v>
      </c>
      <c r="C8777" s="6">
        <v>20000</v>
      </c>
      <c r="D8777" s="7">
        <v>1</v>
      </c>
      <c r="E8777" t="s">
        <v>84</v>
      </c>
    </row>
    <row r="8778" spans="1:5" x14ac:dyDescent="0.25">
      <c r="A8778" t="str">
        <f>HYPERLINK("https://www.773grp.com/globalSearch/NTMD6N03R2G/page-1", "NTMD6N03R2G")</f>
        <v>NTMD6N03R2G</v>
      </c>
      <c r="B8778" s="3" t="str">
        <f>HYPERLINK("https://www.773grp.com/manufacturer/onsemi?pageNo=689", "Onsemi")</f>
        <v>Onsemi</v>
      </c>
      <c r="C8778" s="6">
        <v>178722</v>
      </c>
      <c r="D8778" s="7">
        <v>1</v>
      </c>
      <c r="E8778" t="s">
        <v>84</v>
      </c>
    </row>
    <row r="8779" spans="1:5" x14ac:dyDescent="0.25">
      <c r="A8779" t="str">
        <f>HYPERLINK("https://www.773grp.com/globalSearch/NTMFS4709NT1G/page-1", "NTMFS4709NT1G")</f>
        <v>NTMFS4709NT1G</v>
      </c>
      <c r="B8779" s="3" t="str">
        <f>HYPERLINK("https://www.773grp.com/manufacturer/onsemi?pageNo=690", "Onsemi")</f>
        <v>Onsemi</v>
      </c>
      <c r="C8779" s="6">
        <v>200</v>
      </c>
      <c r="D8779" s="7">
        <v>1</v>
      </c>
      <c r="E8779" t="s">
        <v>84</v>
      </c>
    </row>
    <row r="8780" spans="1:5" x14ac:dyDescent="0.25">
      <c r="A8780" t="str">
        <f>HYPERLINK("https://www.773grp.com/globalSearch/NTMFS4839NT1G/page-1", "NTMFS4839NT1G")</f>
        <v>NTMFS4839NT1G</v>
      </c>
      <c r="B8780" s="3" t="str">
        <f>HYPERLINK("https://www.773grp.com/manufacturer/onsemi?pageNo=691", "Onsemi")</f>
        <v>Onsemi</v>
      </c>
      <c r="C8780" s="6">
        <v>268110</v>
      </c>
      <c r="D8780" s="7">
        <v>1</v>
      </c>
      <c r="E8780" t="s">
        <v>84</v>
      </c>
    </row>
    <row r="8781" spans="1:5" x14ac:dyDescent="0.25">
      <c r="A8781" t="str">
        <f>HYPERLINK("https://www.773grp.com/globalSearch/NTMFS4939NT1G/page-1", "NTMFS4939NT1G")</f>
        <v>NTMFS4939NT1G</v>
      </c>
      <c r="B8781" s="3" t="str">
        <f>HYPERLINK("https://www.773grp.com/manufacturer/onsemi?pageNo=692", "Onsemi")</f>
        <v>Onsemi</v>
      </c>
      <c r="C8781" s="6">
        <v>35756</v>
      </c>
      <c r="D8781" s="7">
        <v>1</v>
      </c>
      <c r="E8781" t="s">
        <v>84</v>
      </c>
    </row>
    <row r="8782" spans="1:5" x14ac:dyDescent="0.25">
      <c r="A8782" t="str">
        <f>HYPERLINK("https://www.773grp.com/globalSearch/NTMS4177PR2G/page-1", "NTMS4177PR2G")</f>
        <v>NTMS4177PR2G</v>
      </c>
      <c r="B8782" s="3" t="str">
        <f>HYPERLINK("https://www.773grp.com/manufacturer/onsemi?pageNo=693", "Onsemi")</f>
        <v>Onsemi</v>
      </c>
      <c r="C8782" s="6">
        <v>47997</v>
      </c>
      <c r="D8782" s="7">
        <v>1</v>
      </c>
      <c r="E8782" t="s">
        <v>85</v>
      </c>
    </row>
    <row r="8783" spans="1:5" x14ac:dyDescent="0.25">
      <c r="A8783" t="str">
        <f>HYPERLINK("https://www.773grp.com/globalSearch/NTMS4700NR2G/page-1", "NTMS4700NR2G")</f>
        <v>NTMS4700NR2G</v>
      </c>
      <c r="B8783" s="3" t="str">
        <f>HYPERLINK("https://www.773grp.com/manufacturer/onsemi?pageNo=694", "Onsemi")</f>
        <v>Onsemi</v>
      </c>
      <c r="C8783" s="6">
        <v>5000</v>
      </c>
      <c r="D8783" s="7">
        <v>1</v>
      </c>
      <c r="E8783" t="s">
        <v>85</v>
      </c>
    </row>
    <row r="8784" spans="1:5" x14ac:dyDescent="0.25">
      <c r="A8784" t="str">
        <f>HYPERLINK("https://www.773grp.com/globalSearch/NTP4302/page-1", "NTP4302")</f>
        <v>NTP4302</v>
      </c>
      <c r="B8784" s="3" t="str">
        <f>HYPERLINK("https://www.773grp.com/manufacturer/onsemi?pageNo=695", "Onsemi")</f>
        <v>Onsemi</v>
      </c>
      <c r="C8784" s="6">
        <v>7867</v>
      </c>
      <c r="D8784" s="7">
        <v>1</v>
      </c>
      <c r="E8784" t="s">
        <v>84</v>
      </c>
    </row>
    <row r="8785" spans="1:5" x14ac:dyDescent="0.25">
      <c r="A8785" t="str">
        <f>HYPERLINK("https://www.773grp.com/globalSearch/NTP4302G/page-1", "NTP4302G")</f>
        <v>NTP4302G</v>
      </c>
      <c r="B8785" s="3" t="str">
        <f>HYPERLINK("https://www.773grp.com/manufacturer/onsemi?pageNo=696", "Onsemi")</f>
        <v>Onsemi</v>
      </c>
      <c r="C8785" s="6">
        <v>700</v>
      </c>
      <c r="D8785" s="7">
        <v>1</v>
      </c>
      <c r="E8785" t="s">
        <v>84</v>
      </c>
    </row>
    <row r="8786" spans="1:5" x14ac:dyDescent="0.25">
      <c r="A8786" t="str">
        <f>HYPERLINK("https://www.773grp.com/globalSearch/NTP85N03/page-1", "NTP85N03")</f>
        <v>NTP85N03</v>
      </c>
      <c r="B8786" s="3" t="str">
        <f>HYPERLINK("https://www.773grp.com/manufacturer/onsemi?pageNo=697", "Onsemi")</f>
        <v>Onsemi</v>
      </c>
      <c r="C8786" s="6">
        <v>121354</v>
      </c>
      <c r="D8786" s="7">
        <v>1</v>
      </c>
      <c r="E8786" t="s">
        <v>84</v>
      </c>
    </row>
    <row r="8787" spans="1:5" x14ac:dyDescent="0.25">
      <c r="A8787" t="str">
        <f>HYPERLINK("https://www.773grp.com/globalSearch/NTP90N02/page-1", "NTP90N02")</f>
        <v>NTP90N02</v>
      </c>
      <c r="B8787" s="3" t="str">
        <f>HYPERLINK("https://www.773grp.com/manufacturer/onsemi?pageNo=698", "Onsemi")</f>
        <v>Onsemi</v>
      </c>
      <c r="C8787" s="6">
        <v>2880</v>
      </c>
      <c r="D8787" s="7">
        <v>1</v>
      </c>
      <c r="E8787" t="s">
        <v>84</v>
      </c>
    </row>
    <row r="8788" spans="1:5" x14ac:dyDescent="0.25">
      <c r="A8788" t="str">
        <f>HYPERLINK("https://www.773grp.com/globalSearch/NTP90N02G/page-1", "NTP90N02G")</f>
        <v>NTP90N02G</v>
      </c>
      <c r="B8788" s="3" t="str">
        <f>HYPERLINK("https://www.773grp.com/manufacturer/onsemi?pageNo=699", "Onsemi")</f>
        <v>Onsemi</v>
      </c>
      <c r="C8788" s="6">
        <v>4645</v>
      </c>
      <c r="D8788" s="7">
        <v>1</v>
      </c>
      <c r="E8788" t="s">
        <v>84</v>
      </c>
    </row>
    <row r="8789" spans="1:5" x14ac:dyDescent="0.25">
      <c r="A8789" t="str">
        <f>HYPERLINK("https://www.773grp.com/globalSearch/NZSMB30CAT3G/page-1", "NZSMB30CAT3G")</f>
        <v>NZSMB30CAT3G</v>
      </c>
      <c r="B8789" s="3" t="str">
        <f>HYPERLINK("https://www.773grp.com/manufacturer/onsemi?pageNo=700", "Onsemi")</f>
        <v>Onsemi</v>
      </c>
      <c r="C8789" s="6">
        <v>45000</v>
      </c>
      <c r="D8789" s="7">
        <v>1</v>
      </c>
    </row>
    <row r="8790" spans="1:5" x14ac:dyDescent="0.25">
      <c r="A8790" t="str">
        <f>HYPERLINK("https://www.773grp.com/globalSearch/PACDN006MR/page-1", "PACDN006MR")</f>
        <v>PACDN006MR</v>
      </c>
      <c r="B8790" s="3" t="str">
        <f>HYPERLINK("https://www.773grp.com/manufacturer/onsemi?pageNo=701", "Onsemi")</f>
        <v>Onsemi</v>
      </c>
      <c r="C8790" s="6">
        <v>2632</v>
      </c>
      <c r="D8790" s="7">
        <v>1</v>
      </c>
    </row>
    <row r="8791" spans="1:5" x14ac:dyDescent="0.25">
      <c r="A8791" t="str">
        <f>HYPERLINK("https://www.773grp.com/globalSearch/PZTA96ST1G/page-1", "PZTA96ST1G")</f>
        <v>PZTA96ST1G</v>
      </c>
      <c r="B8791" s="3" t="str">
        <f>HYPERLINK("https://www.773grp.com/manufacturer/onsemi?pageNo=702", "Onsemi")</f>
        <v>Onsemi</v>
      </c>
      <c r="C8791" s="6">
        <v>50000</v>
      </c>
      <c r="D8791" s="7">
        <v>1</v>
      </c>
      <c r="E8791" t="s">
        <v>47</v>
      </c>
    </row>
    <row r="8792" spans="1:5" x14ac:dyDescent="0.25">
      <c r="A8792" t="str">
        <f>HYPERLINK("https://www.773grp.com/globalSearch/SA160AG/page-1", "SA160AG")</f>
        <v>SA160AG</v>
      </c>
      <c r="B8792" s="3" t="str">
        <f>HYPERLINK("https://www.773grp.com/manufacturer/onsemi?pageNo=703", "Onsemi")</f>
        <v>Onsemi</v>
      </c>
      <c r="C8792" s="6">
        <v>5000</v>
      </c>
      <c r="D8792" s="7">
        <v>1</v>
      </c>
      <c r="E8792" t="s">
        <v>75</v>
      </c>
    </row>
    <row r="8793" spans="1:5" x14ac:dyDescent="0.25">
      <c r="A8793" t="str">
        <f>HYPERLINK("https://www.773grp.com/globalSearch/SA16AG/page-1", "SA16AG")</f>
        <v>SA16AG</v>
      </c>
      <c r="B8793" s="3" t="str">
        <f>HYPERLINK("https://www.773grp.com/manufacturer/onsemi?pageNo=704", "Onsemi")</f>
        <v>Onsemi</v>
      </c>
      <c r="C8793" s="6">
        <v>956</v>
      </c>
      <c r="D8793" s="7">
        <v>1</v>
      </c>
      <c r="E8793" t="s">
        <v>75</v>
      </c>
    </row>
    <row r="8794" spans="1:5" x14ac:dyDescent="0.25">
      <c r="A8794" t="str">
        <f>HYPERLINK("https://www.773grp.com/globalSearch/SN74LS165N/page-1", "SN74LS165N")</f>
        <v>SN74LS165N</v>
      </c>
      <c r="B8794" s="3" t="str">
        <f>HYPERLINK("https://www.773grp.com/manufacturer/onsemi?pageNo=705", "Onsemi")</f>
        <v>Onsemi</v>
      </c>
      <c r="C8794" s="6">
        <v>7123</v>
      </c>
      <c r="D8794" s="7">
        <v>1</v>
      </c>
      <c r="E8794" t="s">
        <v>28</v>
      </c>
    </row>
    <row r="8795" spans="1:5" x14ac:dyDescent="0.25">
      <c r="A8795" t="str">
        <f>HYPERLINK("https://www.773grp.com/globalSearch/SN74LS166N/page-1", "SN74LS166N")</f>
        <v>SN74LS166N</v>
      </c>
      <c r="B8795" s="3" t="str">
        <f>HYPERLINK("https://www.773grp.com/manufacturer/onsemi?pageNo=706", "Onsemi")</f>
        <v>Onsemi</v>
      </c>
      <c r="C8795" s="6">
        <v>264</v>
      </c>
      <c r="D8795" s="7">
        <v>1</v>
      </c>
      <c r="E8795" t="s">
        <v>28</v>
      </c>
    </row>
    <row r="8796" spans="1:5" x14ac:dyDescent="0.25">
      <c r="A8796" t="str">
        <f>HYPERLINK("https://www.773grp.com/globalSearch/SN74LS241DWR2/page-1", "SN74LS241DWR2")</f>
        <v>SN74LS241DWR2</v>
      </c>
      <c r="B8796" s="3" t="str">
        <f>HYPERLINK("https://www.773grp.com/manufacturer/onsemi?pageNo=707", "Onsemi")</f>
        <v>Onsemi</v>
      </c>
      <c r="C8796" s="6">
        <v>1706</v>
      </c>
      <c r="D8796" s="7">
        <v>1</v>
      </c>
      <c r="E8796" t="s">
        <v>11</v>
      </c>
    </row>
    <row r="8797" spans="1:5" x14ac:dyDescent="0.25">
      <c r="A8797" t="str">
        <f>HYPERLINK("https://www.773grp.com/globalSearch/SN74LS373DWR2/page-1", "SN74LS373DWR2")</f>
        <v>SN74LS373DWR2</v>
      </c>
      <c r="B8797" s="3" t="str">
        <f>HYPERLINK("https://www.773grp.com/manufacturer/onsemi?pageNo=708", "Onsemi")</f>
        <v>Onsemi</v>
      </c>
      <c r="C8797" s="6">
        <v>3000</v>
      </c>
      <c r="D8797" s="7">
        <v>1</v>
      </c>
      <c r="E8797" t="s">
        <v>11</v>
      </c>
    </row>
    <row r="8798" spans="1:5" x14ac:dyDescent="0.25">
      <c r="A8798" t="str">
        <f>HYPERLINK("https://www.773grp.com/globalSearch/SN74LS393M/page-1", "SN74LS393M")</f>
        <v>SN74LS393M</v>
      </c>
      <c r="B8798" s="3" t="str">
        <f>HYPERLINK("https://www.773grp.com/manufacturer/onsemi?pageNo=709", "Onsemi")</f>
        <v>Onsemi</v>
      </c>
      <c r="C8798" s="6">
        <v>1500</v>
      </c>
      <c r="D8798" s="7">
        <v>1</v>
      </c>
      <c r="E8798" t="s">
        <v>22</v>
      </c>
    </row>
    <row r="8799" spans="1:5" x14ac:dyDescent="0.25">
      <c r="A8799" t="str">
        <f>HYPERLINK("https://www.773grp.com/globalSearch/SN74LS393MEL/page-1", "SN74LS393MEL")</f>
        <v>SN74LS393MEL</v>
      </c>
      <c r="B8799" s="3" t="str">
        <f>HYPERLINK("https://www.773grp.com/manufacturer/onsemi?pageNo=710", "Onsemi")</f>
        <v>Onsemi</v>
      </c>
      <c r="C8799" s="6">
        <v>6000</v>
      </c>
      <c r="D8799" s="7">
        <v>1</v>
      </c>
      <c r="E8799" t="s">
        <v>22</v>
      </c>
    </row>
    <row r="8800" spans="1:5" x14ac:dyDescent="0.25">
      <c r="A8800" t="str">
        <f>HYPERLINK("https://www.773grp.com/globalSearch/SN74LS541MR1/page-1", "SN74LS541MR1")</f>
        <v>SN74LS541MR1</v>
      </c>
      <c r="B8800" s="3" t="str">
        <f>HYPERLINK("https://www.773grp.com/manufacturer/onsemi?pageNo=711", "Onsemi")</f>
        <v>Onsemi</v>
      </c>
      <c r="C8800" s="6">
        <v>2000</v>
      </c>
      <c r="D8800" s="7">
        <v>1</v>
      </c>
      <c r="E8800" t="s">
        <v>11</v>
      </c>
    </row>
    <row r="8801" spans="1:5" x14ac:dyDescent="0.25">
      <c r="A8801" t="str">
        <f>HYPERLINK("https://www.773grp.com/globalSearch/SN74LS90D/page-1", "SN74LS90D")</f>
        <v>SN74LS90D</v>
      </c>
      <c r="B8801" s="3" t="str">
        <f>HYPERLINK("https://www.773grp.com/manufacturer/onsemi?pageNo=712", "Onsemi")</f>
        <v>Onsemi</v>
      </c>
      <c r="C8801" s="6">
        <v>10</v>
      </c>
      <c r="D8801" s="7">
        <v>1</v>
      </c>
      <c r="E8801" t="s">
        <v>22</v>
      </c>
    </row>
    <row r="8802" spans="1:5" x14ac:dyDescent="0.25">
      <c r="A8802" t="str">
        <f>HYPERLINK("https://www.773grp.com/globalSearch/SZ2842T3G/page-1", "SZ2842T3G")</f>
        <v>SZ2842T3G</v>
      </c>
      <c r="B8802" s="3" t="str">
        <f>HYPERLINK("https://www.773grp.com/manufacturer/onsemi?pageNo=713", "Onsemi")</f>
        <v>Onsemi</v>
      </c>
      <c r="C8802" s="6">
        <v>5000</v>
      </c>
      <c r="D8802" s="7">
        <v>1</v>
      </c>
    </row>
    <row r="8803" spans="1:5" x14ac:dyDescent="0.25">
      <c r="A8803" t="str">
        <f>HYPERLINK("https://www.773grp.com/globalSearch/TL081CD/page-1", "TL081CD")</f>
        <v>TL081CD</v>
      </c>
      <c r="B8803" s="3" t="str">
        <f>HYPERLINK("https://www.773grp.com/manufacturer/onsemi?pageNo=714", "Onsemi")</f>
        <v>Onsemi</v>
      </c>
      <c r="C8803" s="6">
        <v>1262</v>
      </c>
      <c r="D8803" s="7">
        <v>1</v>
      </c>
      <c r="E8803" t="s">
        <v>10</v>
      </c>
    </row>
    <row r="8804" spans="1:5" x14ac:dyDescent="0.25">
      <c r="A8804" t="str">
        <f>HYPERLINK("https://www.773grp.com/globalSearch/TL081CDR2/page-1", "TL081CDR2")</f>
        <v>TL081CDR2</v>
      </c>
      <c r="B8804" s="3" t="str">
        <f>HYPERLINK("https://www.773grp.com/manufacturer/onsemi?pageNo=715", "Onsemi")</f>
        <v>Onsemi</v>
      </c>
      <c r="C8804" s="6">
        <v>2500</v>
      </c>
      <c r="D8804" s="7">
        <v>1</v>
      </c>
      <c r="E8804" t="s">
        <v>10</v>
      </c>
    </row>
    <row r="8805" spans="1:5" x14ac:dyDescent="0.25">
      <c r="A8805" t="str">
        <f>HYPERLINK("https://www.773grp.com/globalSearch/1.5KE220CA/page-1", "1.5KE220CA")</f>
        <v>1.5KE220CA</v>
      </c>
      <c r="B8805" s="3" t="str">
        <f>HYPERLINK("https://www.773grp.com/manufacturer/onsemi?pageNo=716", "Onsemi")</f>
        <v>Onsemi</v>
      </c>
      <c r="C8805" s="6">
        <v>26790</v>
      </c>
      <c r="D8805" s="7">
        <v>1.06</v>
      </c>
      <c r="E8805" t="s">
        <v>75</v>
      </c>
    </row>
    <row r="8806" spans="1:5" x14ac:dyDescent="0.25">
      <c r="A8806" t="str">
        <f>HYPERLINK("https://www.773grp.com/globalSearch/2N4918G/page-1", "2N4918G")</f>
        <v>2N4918G</v>
      </c>
      <c r="B8806" s="3" t="str">
        <f>HYPERLINK("https://www.773grp.com/manufacturer/onsemi?pageNo=717", "Onsemi")</f>
        <v>Onsemi</v>
      </c>
      <c r="C8806" s="6">
        <v>10476</v>
      </c>
      <c r="D8806" s="7">
        <v>1.06</v>
      </c>
      <c r="E8806" t="s">
        <v>47</v>
      </c>
    </row>
    <row r="8807" spans="1:5" x14ac:dyDescent="0.25">
      <c r="A8807" t="str">
        <f>HYPERLINK("https://www.773grp.com/globalSearch/2N4919G/page-1", "2N4919G")</f>
        <v>2N4919G</v>
      </c>
      <c r="B8807" s="3" t="str">
        <f>HYPERLINK("https://www.773grp.com/manufacturer/onsemi?pageNo=718", "Onsemi")</f>
        <v>Onsemi</v>
      </c>
      <c r="C8807" s="6">
        <v>8688</v>
      </c>
      <c r="D8807" s="7">
        <v>1.06</v>
      </c>
      <c r="E8807" t="s">
        <v>47</v>
      </c>
    </row>
    <row r="8808" spans="1:5" x14ac:dyDescent="0.25">
      <c r="A8808" t="str">
        <f>HYPERLINK("https://www.773grp.com/globalSearch/2N4920/page-1", "2N4920")</f>
        <v>2N4920</v>
      </c>
      <c r="B8808" s="3" t="str">
        <f>HYPERLINK("https://www.773grp.com/manufacturer/onsemi?pageNo=719", "Onsemi")</f>
        <v>Onsemi</v>
      </c>
      <c r="C8808" s="6">
        <v>1000</v>
      </c>
      <c r="D8808" s="7">
        <v>1.06</v>
      </c>
      <c r="E8808" t="s">
        <v>47</v>
      </c>
    </row>
    <row r="8809" spans="1:5" x14ac:dyDescent="0.25">
      <c r="A8809" t="str">
        <f>HYPERLINK("https://www.773grp.com/globalSearch/2SC5706-TL-H/page-1", "2SC5706-TL-H")</f>
        <v>2SC5706-TL-H</v>
      </c>
      <c r="B8809" s="3" t="str">
        <f>HYPERLINK("https://www.773grp.com/manufacturer/onsemi?pageNo=720", "Onsemi")</f>
        <v>Onsemi</v>
      </c>
      <c r="C8809" s="6">
        <v>27300</v>
      </c>
      <c r="D8809" s="7">
        <v>1.06</v>
      </c>
    </row>
    <row r="8810" spans="1:5" x14ac:dyDescent="0.25">
      <c r="A8810" t="str">
        <f>HYPERLINK("https://www.773grp.com/globalSearch/2SD1802T-TL-E/page-1", "2SD1802T-TL-E")</f>
        <v>2SD1802T-TL-E</v>
      </c>
      <c r="B8810" s="3" t="str">
        <f>HYPERLINK("https://www.773grp.com/manufacturer/onsemi?pageNo=721", "Onsemi")</f>
        <v>Onsemi</v>
      </c>
      <c r="C8810" s="6">
        <v>700</v>
      </c>
      <c r="D8810" s="7">
        <v>1.06</v>
      </c>
    </row>
    <row r="8811" spans="1:5" x14ac:dyDescent="0.25">
      <c r="A8811" t="str">
        <f>HYPERLINK("https://www.773grp.com/globalSearch/2SK536-MTK-TB-E/page-1", "2SK536-MTK-TB-E")</f>
        <v>2SK536-MTK-TB-E</v>
      </c>
      <c r="B8811" s="3" t="str">
        <f>HYPERLINK("https://www.773grp.com/manufacturer/onsemi?pageNo=722", "Onsemi")</f>
        <v>Onsemi</v>
      </c>
      <c r="C8811" s="6">
        <v>6000</v>
      </c>
      <c r="D8811" s="7">
        <v>1.06</v>
      </c>
    </row>
    <row r="8812" spans="1:5" x14ac:dyDescent="0.25">
      <c r="A8812" t="str">
        <f>HYPERLINK("https://www.773grp.com/globalSearch/ADM1032ARMZ-1RL/page-1", "ADM1032ARMZ-1RL")</f>
        <v>ADM1032ARMZ-1RL</v>
      </c>
      <c r="B8812" s="3" t="str">
        <f>HYPERLINK("https://www.773grp.com/manufacturer/onsemi?pageNo=723", "Onsemi")</f>
        <v>Onsemi</v>
      </c>
      <c r="C8812" s="6">
        <v>17500</v>
      </c>
      <c r="D8812" s="7">
        <v>1.06</v>
      </c>
      <c r="E8812" t="s">
        <v>36</v>
      </c>
    </row>
    <row r="8813" spans="1:5" x14ac:dyDescent="0.25">
      <c r="A8813" t="str">
        <f>HYPERLINK("https://www.773grp.com/globalSearch/ADM1032ARMZ-2R/page-1", "ADM1032ARMZ-2R")</f>
        <v>ADM1032ARMZ-2R</v>
      </c>
      <c r="B8813" s="3" t="str">
        <f>HYPERLINK("https://www.773grp.com/manufacturer/onsemi?pageNo=724", "Onsemi")</f>
        <v>Onsemi</v>
      </c>
      <c r="C8813" s="6">
        <v>92450</v>
      </c>
      <c r="D8813" s="7">
        <v>1.06</v>
      </c>
      <c r="E8813" t="s">
        <v>36</v>
      </c>
    </row>
    <row r="8814" spans="1:5" x14ac:dyDescent="0.25">
      <c r="A8814" t="str">
        <f>HYPERLINK("https://www.773grp.com/globalSearch/ADM1032ARMZ-REEL/page-1", "ADM1032ARMZ-REEL")</f>
        <v>ADM1032ARMZ-REEL</v>
      </c>
      <c r="B8814" s="3" t="str">
        <f>HYPERLINK("https://www.773grp.com/manufacturer/onsemi?pageNo=725", "Onsemi")</f>
        <v>Onsemi</v>
      </c>
      <c r="C8814" s="6">
        <v>91145</v>
      </c>
      <c r="D8814" s="7">
        <v>1.06</v>
      </c>
      <c r="E8814" t="s">
        <v>36</v>
      </c>
    </row>
    <row r="8815" spans="1:5" x14ac:dyDescent="0.25">
      <c r="A8815" t="str">
        <f>HYPERLINK("https://www.773grp.com/globalSearch/BD180G/page-1", "BD180G")</f>
        <v>BD180G</v>
      </c>
      <c r="B8815" s="3" t="str">
        <f>HYPERLINK("https://www.773grp.com/manufacturer/onsemi?pageNo=726", "Onsemi")</f>
        <v>Onsemi</v>
      </c>
      <c r="C8815" s="6">
        <v>3587</v>
      </c>
      <c r="D8815" s="7">
        <v>1.06</v>
      </c>
      <c r="E8815" t="s">
        <v>47</v>
      </c>
    </row>
    <row r="8816" spans="1:5" x14ac:dyDescent="0.25">
      <c r="A8816" t="str">
        <f>HYPERLINK("https://www.773grp.com/globalSearch/BF720T1/page-1", "BF720T1")</f>
        <v>BF720T1</v>
      </c>
      <c r="B8816" s="3" t="str">
        <f>HYPERLINK("https://www.773grp.com/manufacturer/onsemi?pageNo=727", "Onsemi")</f>
        <v>Onsemi</v>
      </c>
      <c r="C8816" s="6">
        <v>12000</v>
      </c>
      <c r="D8816" s="7">
        <v>1.06</v>
      </c>
      <c r="E8816" t="s">
        <v>47</v>
      </c>
    </row>
    <row r="8817" spans="1:5" x14ac:dyDescent="0.25">
      <c r="A8817" t="str">
        <f>HYPERLINK("https://www.773grp.com/globalSearch/BSP19AT1/page-1", "BSP19AT1")</f>
        <v>BSP19AT1</v>
      </c>
      <c r="B8817" s="3" t="str">
        <f>HYPERLINK("https://www.773grp.com/manufacturer/onsemi?pageNo=728", "Onsemi")</f>
        <v>Onsemi</v>
      </c>
      <c r="C8817" s="6">
        <v>6000</v>
      </c>
      <c r="D8817" s="7">
        <v>1.06</v>
      </c>
      <c r="E8817" t="s">
        <v>57</v>
      </c>
    </row>
    <row r="8818" spans="1:5" x14ac:dyDescent="0.25">
      <c r="A8818" t="str">
        <f>HYPERLINK("https://www.773grp.com/globalSearch/BSP19AT1G/page-1", "BSP19AT1G")</f>
        <v>BSP19AT1G</v>
      </c>
      <c r="B8818" s="3" t="str">
        <f>HYPERLINK("https://www.773grp.com/manufacturer/onsemi?pageNo=729", "Onsemi")</f>
        <v>Onsemi</v>
      </c>
      <c r="C8818" s="6">
        <v>125000</v>
      </c>
      <c r="D8818" s="7">
        <v>1.06</v>
      </c>
      <c r="E8818" t="s">
        <v>57</v>
      </c>
    </row>
    <row r="8819" spans="1:5" x14ac:dyDescent="0.25">
      <c r="A8819" t="str">
        <f>HYPERLINK("https://www.773grp.com/globalSearch/BUD42DT4/page-1", "BUD42DT4")</f>
        <v>BUD42DT4</v>
      </c>
      <c r="B8819" s="3" t="str">
        <f>HYPERLINK("https://www.773grp.com/manufacturer/onsemi?pageNo=730", "Onsemi")</f>
        <v>Onsemi</v>
      </c>
      <c r="C8819" s="6">
        <v>10000</v>
      </c>
      <c r="D8819" s="7">
        <v>1.06</v>
      </c>
      <c r="E8819" t="s">
        <v>47</v>
      </c>
    </row>
    <row r="8820" spans="1:5" x14ac:dyDescent="0.25">
      <c r="A8820" t="str">
        <f>HYPERLINK("https://www.773grp.com/globalSearch/BYW29-200/page-1", "BYW29-200")</f>
        <v>BYW29-200</v>
      </c>
      <c r="B8820" s="3" t="str">
        <f>HYPERLINK("https://www.773grp.com/manufacturer/onsemi?pageNo=731", "Onsemi")</f>
        <v>Onsemi</v>
      </c>
      <c r="C8820" s="6">
        <v>880</v>
      </c>
      <c r="D8820" s="7">
        <v>1.06</v>
      </c>
      <c r="E8820" t="s">
        <v>82</v>
      </c>
    </row>
    <row r="8821" spans="1:5" x14ac:dyDescent="0.25">
      <c r="A8821" t="str">
        <f>HYPERLINK("https://www.773grp.com/globalSearch/C106BG/page-1", "C106BG")</f>
        <v>C106BG</v>
      </c>
      <c r="B8821" s="3" t="str">
        <f>HYPERLINK("https://www.773grp.com/manufacturer/onsemi?pageNo=732", "Onsemi")</f>
        <v>Onsemi</v>
      </c>
      <c r="C8821" s="6">
        <v>4485</v>
      </c>
      <c r="D8821" s="7">
        <v>1.06</v>
      </c>
      <c r="E8821" t="s">
        <v>76</v>
      </c>
    </row>
    <row r="8822" spans="1:5" x14ac:dyDescent="0.25">
      <c r="A8822" t="str">
        <f>HYPERLINK("https://www.773grp.com/globalSearch/C106D1G/page-1", "C106D1G")</f>
        <v>C106D1G</v>
      </c>
      <c r="B8822" s="3" t="str">
        <f>HYPERLINK("https://www.773grp.com/manufacturer/onsemi?pageNo=733", "Onsemi")</f>
        <v>Onsemi</v>
      </c>
      <c r="C8822" s="6">
        <v>8128</v>
      </c>
      <c r="D8822" s="7">
        <v>1.06</v>
      </c>
      <c r="E8822" t="s">
        <v>76</v>
      </c>
    </row>
    <row r="8823" spans="1:5" x14ac:dyDescent="0.25">
      <c r="A8823" t="str">
        <f>HYPERLINK("https://www.773grp.com/globalSearch/C106DG/page-1", "C106DG")</f>
        <v>C106DG</v>
      </c>
      <c r="B8823" s="3" t="str">
        <f>HYPERLINK("https://www.773grp.com/manufacturer/onsemi?pageNo=734", "Onsemi")</f>
        <v>Onsemi</v>
      </c>
      <c r="C8823" s="6">
        <v>15830</v>
      </c>
      <c r="D8823" s="7">
        <v>1.06</v>
      </c>
      <c r="E8823" t="s">
        <v>76</v>
      </c>
    </row>
    <row r="8824" spans="1:5" x14ac:dyDescent="0.25">
      <c r="A8824" t="str">
        <f>HYPERLINK("https://www.773grp.com/globalSearch/C106M/page-1", "C106M")</f>
        <v>C106M</v>
      </c>
      <c r="B8824" s="3" t="str">
        <f>HYPERLINK("https://www.773grp.com/manufacturer/onsemi?pageNo=735", "Onsemi")</f>
        <v>Onsemi</v>
      </c>
      <c r="C8824" s="6">
        <v>2000</v>
      </c>
      <c r="D8824" s="7">
        <v>1.06</v>
      </c>
      <c r="E8824" t="s">
        <v>76</v>
      </c>
    </row>
    <row r="8825" spans="1:5" x14ac:dyDescent="0.25">
      <c r="A8825" t="str">
        <f>HYPERLINK("https://www.773grp.com/globalSearch/C106M1G/page-1", "C106M1G")</f>
        <v>C106M1G</v>
      </c>
      <c r="B8825" s="3" t="str">
        <f>HYPERLINK("https://www.773grp.com/manufacturer/onsemi?pageNo=736", "Onsemi")</f>
        <v>Onsemi</v>
      </c>
      <c r="C8825" s="6">
        <v>55000</v>
      </c>
      <c r="D8825" s="7">
        <v>1.06</v>
      </c>
      <c r="E8825" t="s">
        <v>76</v>
      </c>
    </row>
    <row r="8826" spans="1:5" x14ac:dyDescent="0.25">
      <c r="A8826" t="str">
        <f>HYPERLINK("https://www.773grp.com/globalSearch/C106MG/page-1", "C106MG")</f>
        <v>C106MG</v>
      </c>
      <c r="B8826" s="3" t="str">
        <f>HYPERLINK("https://www.773grp.com/manufacturer/onsemi?pageNo=737", "Onsemi")</f>
        <v>Onsemi</v>
      </c>
      <c r="C8826" s="6">
        <v>7000</v>
      </c>
      <c r="D8826" s="7">
        <v>1.06</v>
      </c>
      <c r="E8826" t="s">
        <v>76</v>
      </c>
    </row>
    <row r="8827" spans="1:5" x14ac:dyDescent="0.25">
      <c r="A8827" t="str">
        <f>HYPERLINK("https://www.773grp.com/globalSearch/CAT24C05VP2I-GT3/page-1", "CAT24C05VP2I-GT3")</f>
        <v>CAT24C05VP2I-GT3</v>
      </c>
      <c r="B8827" s="3" t="str">
        <f>HYPERLINK("https://www.773grp.com/manufacturer/onsemi?pageNo=738", "Onsemi")</f>
        <v>Onsemi</v>
      </c>
      <c r="C8827" s="6">
        <v>6000</v>
      </c>
      <c r="D8827" s="7">
        <v>1.06</v>
      </c>
      <c r="E8827" t="s">
        <v>52</v>
      </c>
    </row>
    <row r="8828" spans="1:5" x14ac:dyDescent="0.25">
      <c r="A8828" t="str">
        <f>HYPERLINK("https://www.773grp.com/globalSearch/CAT24C05WI-G/page-1", "CAT24C05WI-G")</f>
        <v>CAT24C05WI-G</v>
      </c>
      <c r="B8828" s="3" t="str">
        <f>HYPERLINK("https://www.773grp.com/manufacturer/onsemi?pageNo=739", "Onsemi")</f>
        <v>Onsemi</v>
      </c>
      <c r="C8828" s="6">
        <v>1000</v>
      </c>
      <c r="D8828" s="7">
        <v>1.06</v>
      </c>
    </row>
    <row r="8829" spans="1:5" x14ac:dyDescent="0.25">
      <c r="A8829" t="str">
        <f>HYPERLINK("https://www.773grp.com/globalSearch/CAT24C16C5ATR/page-1", "CAT24C16C5ATR")</f>
        <v>CAT24C16C5ATR</v>
      </c>
      <c r="B8829" s="3" t="str">
        <f>HYPERLINK("https://www.773grp.com/manufacturer/onsemi?pageNo=740", "Onsemi")</f>
        <v>Onsemi</v>
      </c>
      <c r="C8829" s="6">
        <v>50000</v>
      </c>
      <c r="D8829" s="7">
        <v>1.06</v>
      </c>
    </row>
    <row r="8830" spans="1:5" x14ac:dyDescent="0.25">
      <c r="A8830" t="str">
        <f>HYPERLINK("https://www.773grp.com/globalSearch/CAT24C16ZI-G/page-1", "CAT24C16ZI-G")</f>
        <v>CAT24C16ZI-G</v>
      </c>
      <c r="B8830" s="3" t="str">
        <f>HYPERLINK("https://www.773grp.com/manufacturer/onsemi?pageNo=741", "Onsemi")</f>
        <v>Onsemi</v>
      </c>
      <c r="C8830" s="6">
        <v>576</v>
      </c>
      <c r="D8830" s="7">
        <v>1.06</v>
      </c>
    </row>
    <row r="8831" spans="1:5" x14ac:dyDescent="0.25">
      <c r="A8831" t="str">
        <f>HYPERLINK("https://www.773grp.com/globalSearch/CAT24C64LI-G/page-1", "CAT24C64LI-G")</f>
        <v>CAT24C64LI-G</v>
      </c>
      <c r="B8831" s="3" t="str">
        <f>HYPERLINK("https://www.773grp.com/manufacturer/onsemi?pageNo=742", "Onsemi")</f>
        <v>Onsemi</v>
      </c>
      <c r="C8831" s="6">
        <v>4300</v>
      </c>
      <c r="D8831" s="7">
        <v>1.06</v>
      </c>
      <c r="E8831" t="s">
        <v>52</v>
      </c>
    </row>
    <row r="8832" spans="1:5" x14ac:dyDescent="0.25">
      <c r="A8832" t="str">
        <f>HYPERLINK("https://www.773grp.com/globalSearch/CAT24C64LI-G/page-1", "CAT24C64LI-G")</f>
        <v>CAT24C64LI-G</v>
      </c>
      <c r="B8832" s="3" t="str">
        <f>HYPERLINK("https://www.773grp.com/manufacturer/onsemi?pageNo=743", "Onsemi")</f>
        <v>Onsemi</v>
      </c>
      <c r="C8832" s="6">
        <v>2250</v>
      </c>
      <c r="D8832" s="7">
        <v>1.06</v>
      </c>
      <c r="E8832" t="s">
        <v>52</v>
      </c>
    </row>
    <row r="8833" spans="1:5" x14ac:dyDescent="0.25">
      <c r="A8833" t="str">
        <f>HYPERLINK("https://www.773grp.com/globalSearch/CAT25020VI-G/page-1", "CAT25020VI-G")</f>
        <v>CAT25020VI-G</v>
      </c>
      <c r="B8833" s="3" t="str">
        <f>HYPERLINK("https://www.773grp.com/manufacturer/onsemi?pageNo=744", "Onsemi")</f>
        <v>Onsemi</v>
      </c>
      <c r="C8833" s="6">
        <v>21000</v>
      </c>
      <c r="D8833" s="7">
        <v>1.06</v>
      </c>
    </row>
    <row r="8834" spans="1:5" x14ac:dyDescent="0.25">
      <c r="A8834" t="str">
        <f>HYPERLINK("https://www.773grp.com/globalSearch/CAT25320VI-GT3/page-1", "CAT25320VI-GT3")</f>
        <v>CAT25320VI-GT3</v>
      </c>
      <c r="B8834" s="3" t="str">
        <f>HYPERLINK("https://www.773grp.com/manufacturer/onsemi?pageNo=745", "Onsemi")</f>
        <v>Onsemi</v>
      </c>
      <c r="C8834" s="6">
        <v>6000</v>
      </c>
      <c r="D8834" s="7">
        <v>1.06</v>
      </c>
    </row>
    <row r="8835" spans="1:5" x14ac:dyDescent="0.25">
      <c r="A8835" t="str">
        <f>HYPERLINK("https://www.773grp.com/globalSearch/CAT93C46XI/page-1", "CAT93C46XI")</f>
        <v>CAT93C46XI</v>
      </c>
      <c r="B8835" s="3" t="str">
        <f>HYPERLINK("https://www.773grp.com/manufacturer/onsemi?pageNo=746", "Onsemi")</f>
        <v>Onsemi</v>
      </c>
      <c r="C8835" s="6">
        <v>12628</v>
      </c>
      <c r="D8835" s="7">
        <v>1.06</v>
      </c>
      <c r="E8835" t="s">
        <v>52</v>
      </c>
    </row>
    <row r="8836" spans="1:5" x14ac:dyDescent="0.25">
      <c r="A8836" t="str">
        <f>HYPERLINK("https://www.773grp.com/globalSearch/CAT93C46XI/page-1", "CAT93C46XI")</f>
        <v>CAT93C46XI</v>
      </c>
      <c r="B8836" s="3" t="str">
        <f>HYPERLINK("https://www.773grp.com/manufacturer/onsemi?pageNo=747", "Onsemi")</f>
        <v>Onsemi</v>
      </c>
      <c r="C8836" s="6">
        <v>1128</v>
      </c>
      <c r="D8836" s="7">
        <v>1.06</v>
      </c>
      <c r="E8836" t="s">
        <v>52</v>
      </c>
    </row>
    <row r="8837" spans="1:5" x14ac:dyDescent="0.25">
      <c r="A8837" t="str">
        <f>HYPERLINK("https://www.773grp.com/globalSearch/CM1461-08DE/page-1", "CM1461-08DE")</f>
        <v>CM1461-08DE</v>
      </c>
      <c r="B8837" s="3" t="str">
        <f>HYPERLINK("https://www.773grp.com/manufacturer/onsemi?pageNo=748", "Onsemi")</f>
        <v>Onsemi</v>
      </c>
      <c r="C8837" s="6">
        <v>410310</v>
      </c>
      <c r="D8837" s="7">
        <v>1.06</v>
      </c>
      <c r="E8837" t="s">
        <v>79</v>
      </c>
    </row>
    <row r="8838" spans="1:5" x14ac:dyDescent="0.25">
      <c r="A8838" t="str">
        <f>HYPERLINK("https://www.773grp.com/globalSearch/LE25U20AFDW00-AH/page-1", "LE25U20AFDW00-AH")</f>
        <v>LE25U20AFDW00-AH</v>
      </c>
      <c r="B8838" s="3" t="str">
        <f>HYPERLINK("https://www.773grp.com/manufacturer/onsemi?pageNo=749", "Onsemi")</f>
        <v>Onsemi</v>
      </c>
      <c r="C8838" s="6">
        <v>3000</v>
      </c>
      <c r="D8838" s="7">
        <v>1.06</v>
      </c>
    </row>
    <row r="8839" spans="1:5" x14ac:dyDescent="0.25">
      <c r="A8839" t="str">
        <f>HYPERLINK("https://www.773grp.com/globalSearch/LF351D/page-1", "LF351D")</f>
        <v>LF351D</v>
      </c>
      <c r="B8839" s="3" t="str">
        <f>HYPERLINK("https://www.773grp.com/manufacturer/onsemi?pageNo=750", "Onsemi")</f>
        <v>Onsemi</v>
      </c>
      <c r="C8839" s="6">
        <v>1016</v>
      </c>
      <c r="D8839" s="7">
        <v>1.06</v>
      </c>
      <c r="E8839" t="s">
        <v>10</v>
      </c>
    </row>
    <row r="8840" spans="1:5" x14ac:dyDescent="0.25">
      <c r="A8840" t="str">
        <f>HYPERLINK("https://www.773grp.com/globalSearch/LF353D/page-1", "LF353D")</f>
        <v>LF353D</v>
      </c>
      <c r="B8840" s="3" t="str">
        <f>HYPERLINK("https://www.773grp.com/manufacturer/onsemi?pageNo=751", "Onsemi")</f>
        <v>Onsemi</v>
      </c>
      <c r="C8840" s="6">
        <v>4183</v>
      </c>
      <c r="D8840" s="7">
        <v>1.06</v>
      </c>
      <c r="E8840" t="s">
        <v>10</v>
      </c>
    </row>
    <row r="8841" spans="1:5" x14ac:dyDescent="0.25">
      <c r="A8841" t="str">
        <f>HYPERLINK("https://www.773grp.com/globalSearch/LM2901VNG/page-1", "LM2901VNG")</f>
        <v>LM2901VNG</v>
      </c>
      <c r="B8841" s="3" t="str">
        <f>HYPERLINK("https://www.773grp.com/manufacturer/onsemi?pageNo=752", "Onsemi")</f>
        <v>Onsemi</v>
      </c>
      <c r="C8841" s="6">
        <v>9840</v>
      </c>
      <c r="D8841" s="7">
        <v>1.06</v>
      </c>
      <c r="E8841" t="s">
        <v>6</v>
      </c>
    </row>
    <row r="8842" spans="1:5" x14ac:dyDescent="0.25">
      <c r="A8842" t="str">
        <f>HYPERLINK("https://www.773grp.com/globalSearch/LM2904VDMR2G/page-1", "LM2904VDMR2G")</f>
        <v>LM2904VDMR2G</v>
      </c>
      <c r="B8842" s="3" t="str">
        <f>HYPERLINK("https://www.773grp.com/manufacturer/onsemi?pageNo=753", "Onsemi")</f>
        <v>Onsemi</v>
      </c>
      <c r="C8842" s="6">
        <v>3435</v>
      </c>
      <c r="D8842" s="7">
        <v>1.06</v>
      </c>
      <c r="E8842" t="s">
        <v>10</v>
      </c>
    </row>
    <row r="8843" spans="1:5" x14ac:dyDescent="0.25">
      <c r="A8843" t="str">
        <f>HYPERLINK("https://www.773grp.com/globalSearch/LM2931ACDG/page-1", "LM2931ACDG")</f>
        <v>LM2931ACDG</v>
      </c>
      <c r="B8843" s="3" t="str">
        <f>HYPERLINK("https://www.773grp.com/manufacturer/onsemi?pageNo=754", "Onsemi")</f>
        <v>Onsemi</v>
      </c>
      <c r="C8843" s="6">
        <v>4361</v>
      </c>
      <c r="D8843" s="7">
        <v>1.06</v>
      </c>
      <c r="E8843" t="s">
        <v>21</v>
      </c>
    </row>
    <row r="8844" spans="1:5" x14ac:dyDescent="0.25">
      <c r="A8844" t="str">
        <f>HYPERLINK("https://www.773grp.com/globalSearch/LM2931ACDR2G/page-1", "LM2931ACDR2G")</f>
        <v>LM2931ACDR2G</v>
      </c>
      <c r="B8844" s="3" t="str">
        <f>HYPERLINK("https://www.773grp.com/manufacturer/onsemi?pageNo=755", "Onsemi")</f>
        <v>Onsemi</v>
      </c>
      <c r="C8844" s="6">
        <v>13993</v>
      </c>
      <c r="D8844" s="7">
        <v>1.06</v>
      </c>
      <c r="E8844" t="s">
        <v>21</v>
      </c>
    </row>
    <row r="8845" spans="1:5" x14ac:dyDescent="0.25">
      <c r="A8845" t="str">
        <f>HYPERLINK("https://www.773grp.com/globalSearch/LM2931AD-5.0/page-1", "LM2931AD-5.0")</f>
        <v>LM2931AD-5.0</v>
      </c>
      <c r="B8845" s="3" t="str">
        <f>HYPERLINK("https://www.773grp.com/manufacturer/onsemi?pageNo=756", "Onsemi")</f>
        <v>Onsemi</v>
      </c>
      <c r="C8845" s="6">
        <v>98</v>
      </c>
      <c r="D8845" s="7">
        <v>1.06</v>
      </c>
      <c r="E8845" t="s">
        <v>15</v>
      </c>
    </row>
    <row r="8846" spans="1:5" x14ac:dyDescent="0.25">
      <c r="A8846" t="str">
        <f>HYPERLINK("https://www.773grp.com/globalSearch/LM2931CDG/page-1", "LM2931CDG")</f>
        <v>LM2931CDG</v>
      </c>
      <c r="B8846" s="3" t="str">
        <f>HYPERLINK("https://www.773grp.com/manufacturer/onsemi?pageNo=757", "Onsemi")</f>
        <v>Onsemi</v>
      </c>
      <c r="C8846" s="6">
        <v>18</v>
      </c>
      <c r="D8846" s="7">
        <v>1.06</v>
      </c>
      <c r="E8846" t="s">
        <v>21</v>
      </c>
    </row>
    <row r="8847" spans="1:5" x14ac:dyDescent="0.25">
      <c r="A8847" t="str">
        <f>HYPERLINK("https://www.773grp.com/globalSearch/LM2931CDR2G/page-1", "LM2931CDR2G")</f>
        <v>LM2931CDR2G</v>
      </c>
      <c r="B8847" s="3" t="str">
        <f>HYPERLINK("https://www.773grp.com/manufacturer/onsemi?pageNo=758", "Onsemi")</f>
        <v>Onsemi</v>
      </c>
      <c r="C8847" s="6">
        <v>30000</v>
      </c>
      <c r="D8847" s="7">
        <v>1.06</v>
      </c>
      <c r="E8847" t="s">
        <v>21</v>
      </c>
    </row>
    <row r="8848" spans="1:5" x14ac:dyDescent="0.25">
      <c r="A8848" t="str">
        <f>HYPERLINK("https://www.773grp.com/globalSearch/LM2931T-5.0/page-1", "LM2931T-5.0")</f>
        <v>LM2931T-5.0</v>
      </c>
      <c r="B8848" s="3" t="str">
        <f>HYPERLINK("https://www.773grp.com/manufacturer/onsemi?pageNo=759", "Onsemi")</f>
        <v>Onsemi</v>
      </c>
      <c r="C8848" s="6">
        <v>2559</v>
      </c>
      <c r="D8848" s="7">
        <v>1.06</v>
      </c>
      <c r="E8848" t="s">
        <v>15</v>
      </c>
    </row>
    <row r="8849" spans="1:5" x14ac:dyDescent="0.25">
      <c r="A8849" t="str">
        <f>HYPERLINK("https://www.773grp.com/globalSearch/LM317LZG/page-1", "LM317LZG")</f>
        <v>LM317LZG</v>
      </c>
      <c r="B8849" s="3" t="str">
        <f>HYPERLINK("https://www.773grp.com/manufacturer/onsemi?pageNo=760", "Onsemi")</f>
        <v>Onsemi</v>
      </c>
      <c r="C8849" s="6">
        <v>53922</v>
      </c>
      <c r="D8849" s="7">
        <v>1.06</v>
      </c>
      <c r="E8849" t="s">
        <v>18</v>
      </c>
    </row>
    <row r="8850" spans="1:5" x14ac:dyDescent="0.25">
      <c r="A8850" t="str">
        <f>HYPERLINK("https://www.773grp.com/globalSearch/LM317LZRAG/page-1", "LM317LZRAG")</f>
        <v>LM317LZRAG</v>
      </c>
      <c r="B8850" s="3" t="str">
        <f>HYPERLINK("https://www.773grp.com/manufacturer/onsemi?pageNo=761", "Onsemi")</f>
        <v>Onsemi</v>
      </c>
      <c r="C8850" s="6">
        <v>16740</v>
      </c>
      <c r="D8850" s="7">
        <v>1.06</v>
      </c>
      <c r="E8850" t="s">
        <v>18</v>
      </c>
    </row>
    <row r="8851" spans="1:5" x14ac:dyDescent="0.25">
      <c r="A8851" t="str">
        <f>HYPERLINK("https://www.773grp.com/globalSearch/LM317LZRPG/page-1", "LM317LZRPG")</f>
        <v>LM317LZRPG</v>
      </c>
      <c r="B8851" s="3" t="str">
        <f>HYPERLINK("https://www.773grp.com/manufacturer/onsemi?pageNo=762", "Onsemi")</f>
        <v>Onsemi</v>
      </c>
      <c r="C8851" s="6">
        <v>23660</v>
      </c>
      <c r="D8851" s="7">
        <v>1.06</v>
      </c>
      <c r="E8851" t="s">
        <v>18</v>
      </c>
    </row>
    <row r="8852" spans="1:5" x14ac:dyDescent="0.25">
      <c r="A8852" t="str">
        <f>HYPERLINK("https://www.773grp.com/globalSearch/LM317MABT/page-1", "LM317MABT")</f>
        <v>LM317MABT</v>
      </c>
      <c r="B8852" s="3" t="str">
        <f>HYPERLINK("https://www.773grp.com/manufacturer/onsemi?pageNo=763", "Onsemi")</f>
        <v>Onsemi</v>
      </c>
      <c r="C8852" s="6">
        <v>200</v>
      </c>
      <c r="D8852" s="7">
        <v>1.06</v>
      </c>
      <c r="E8852" t="s">
        <v>18</v>
      </c>
    </row>
    <row r="8853" spans="1:5" x14ac:dyDescent="0.25">
      <c r="A8853" t="str">
        <f>HYPERLINK("https://www.773grp.com/globalSearch/LM385D-2.5/page-1", "LM385D-2.5")</f>
        <v>LM385D-2.5</v>
      </c>
      <c r="B8853" s="3" t="str">
        <f>HYPERLINK("https://www.773grp.com/manufacturer/onsemi?pageNo=764", "Onsemi")</f>
        <v>Onsemi</v>
      </c>
      <c r="C8853" s="6">
        <v>3307</v>
      </c>
      <c r="D8853" s="7">
        <v>1.06</v>
      </c>
      <c r="E8853" t="s">
        <v>13</v>
      </c>
    </row>
    <row r="8854" spans="1:5" x14ac:dyDescent="0.25">
      <c r="A8854" t="str">
        <f>HYPERLINK("https://www.773grp.com/globalSearch/LMV301SQ3T2G/page-1", "LMV301SQ3T2G")</f>
        <v>LMV301SQ3T2G</v>
      </c>
      <c r="B8854" s="3" t="str">
        <f>HYPERLINK("https://www.773grp.com/manufacturer/onsemi?pageNo=765", "Onsemi")</f>
        <v>Onsemi</v>
      </c>
      <c r="C8854" s="6">
        <v>185600</v>
      </c>
      <c r="D8854" s="7">
        <v>1.06</v>
      </c>
      <c r="E8854" t="s">
        <v>10</v>
      </c>
    </row>
    <row r="8855" spans="1:5" x14ac:dyDescent="0.25">
      <c r="A8855" t="str">
        <f>HYPERLINK("https://www.773grp.com/globalSearch/LMV321SN3T1G/page-1", "LMV321SN3T1G")</f>
        <v>LMV321SN3T1G</v>
      </c>
      <c r="B8855" s="3" t="str">
        <f>HYPERLINK("https://www.773grp.com/manufacturer/onsemi?pageNo=766", "Onsemi")</f>
        <v>Onsemi</v>
      </c>
      <c r="C8855" s="6">
        <v>201465</v>
      </c>
      <c r="D8855" s="7">
        <v>1.06</v>
      </c>
      <c r="E8855" t="s">
        <v>10</v>
      </c>
    </row>
    <row r="8856" spans="1:5" x14ac:dyDescent="0.25">
      <c r="A8856" t="str">
        <f>HYPERLINK("https://www.773grp.com/globalSearch/LMV321SQ3T2G/page-1", "LMV321SQ3T2G")</f>
        <v>LMV321SQ3T2G</v>
      </c>
      <c r="B8856" s="3" t="str">
        <f>HYPERLINK("https://www.773grp.com/manufacturer/onsemi?pageNo=767", "Onsemi")</f>
        <v>Onsemi</v>
      </c>
      <c r="C8856" s="6">
        <v>225000</v>
      </c>
      <c r="D8856" s="7">
        <v>1.06</v>
      </c>
      <c r="E8856" t="s">
        <v>10</v>
      </c>
    </row>
    <row r="8857" spans="1:5" x14ac:dyDescent="0.25">
      <c r="A8857" t="str">
        <f>HYPERLINK("https://www.773grp.com/globalSearch/LMV331SN3T1G/page-1", "LMV331SN3T1G")</f>
        <v>LMV331SN3T1G</v>
      </c>
      <c r="B8857" s="3" t="str">
        <f>HYPERLINK("https://www.773grp.com/manufacturer/onsemi?pageNo=768", "Onsemi")</f>
        <v>Onsemi</v>
      </c>
      <c r="C8857" s="6">
        <v>315000</v>
      </c>
      <c r="D8857" s="7">
        <v>1.06</v>
      </c>
      <c r="E8857" t="s">
        <v>6</v>
      </c>
    </row>
    <row r="8858" spans="1:5" x14ac:dyDescent="0.25">
      <c r="A8858" t="str">
        <f>HYPERLINK("https://www.773grp.com/globalSearch/LMV331SQ3T2G/page-1", "LMV331SQ3T2G")</f>
        <v>LMV331SQ3T2G</v>
      </c>
      <c r="B8858" s="3" t="str">
        <f>HYPERLINK("https://www.773grp.com/manufacturer/onsemi?pageNo=769", "Onsemi")</f>
        <v>Onsemi</v>
      </c>
      <c r="C8858" s="6">
        <v>93000</v>
      </c>
      <c r="D8858" s="7">
        <v>1.06</v>
      </c>
      <c r="E8858" t="s">
        <v>6</v>
      </c>
    </row>
    <row r="8859" spans="1:5" x14ac:dyDescent="0.25">
      <c r="A8859" t="str">
        <f>HYPERLINK("https://www.773grp.com/globalSearch/LMV931SN3T1G/page-1", "LMV931SN3T1G")</f>
        <v>LMV931SN3T1G</v>
      </c>
      <c r="B8859" s="3" t="str">
        <f>HYPERLINK("https://www.773grp.com/manufacturer/onsemi?pageNo=770", "Onsemi")</f>
        <v>Onsemi</v>
      </c>
      <c r="C8859" s="6">
        <v>81000</v>
      </c>
      <c r="D8859" s="7">
        <v>1.06</v>
      </c>
    </row>
    <row r="8860" spans="1:5" x14ac:dyDescent="0.25">
      <c r="A8860" t="str">
        <f>HYPERLINK("https://www.773grp.com/globalSearch/LMV931SQ3T2G/page-1", "LMV931SQ3T2G")</f>
        <v>LMV931SQ3T2G</v>
      </c>
      <c r="B8860" s="3" t="str">
        <f>HYPERLINK("https://www.773grp.com/manufacturer/onsemi?pageNo=771", "Onsemi")</f>
        <v>Onsemi</v>
      </c>
      <c r="C8860" s="6">
        <v>72000</v>
      </c>
      <c r="D8860" s="7">
        <v>1.06</v>
      </c>
      <c r="E8860" t="s">
        <v>10</v>
      </c>
    </row>
    <row r="8861" spans="1:5" x14ac:dyDescent="0.25">
      <c r="A8861" t="str">
        <f>HYPERLINK("https://www.773grp.com/globalSearch/MAX707ESA-T/page-1", "MAX707ESA-T")</f>
        <v>MAX707ESA-T</v>
      </c>
      <c r="B8861" s="3" t="str">
        <f>HYPERLINK("https://www.773grp.com/manufacturer/onsemi?pageNo=772", "Onsemi")</f>
        <v>Onsemi</v>
      </c>
      <c r="C8861" s="6">
        <v>12898</v>
      </c>
      <c r="D8861" s="7">
        <v>1.06</v>
      </c>
      <c r="E8861" t="s">
        <v>26</v>
      </c>
    </row>
    <row r="8862" spans="1:5" x14ac:dyDescent="0.25">
      <c r="A8862" t="str">
        <f>HYPERLINK("https://www.773grp.com/globalSearch/MAX708CUA-TG/page-1", "MAX708CUA-TG")</f>
        <v>MAX708CUA-TG</v>
      </c>
      <c r="B8862" s="3" t="str">
        <f>HYPERLINK("https://www.773grp.com/manufacturer/onsemi?pageNo=773", "Onsemi")</f>
        <v>Onsemi</v>
      </c>
      <c r="C8862" s="6">
        <v>12000</v>
      </c>
      <c r="D8862" s="7">
        <v>1.06</v>
      </c>
      <c r="E8862" t="s">
        <v>26</v>
      </c>
    </row>
    <row r="8863" spans="1:5" x14ac:dyDescent="0.25">
      <c r="A8863" t="str">
        <f>HYPERLINK("https://www.773grp.com/globalSearch/MAX708RCUA-TG/page-1", "MAX708RCUA-TG")</f>
        <v>MAX708RCUA-TG</v>
      </c>
      <c r="B8863" s="3" t="str">
        <f>HYPERLINK("https://www.773grp.com/manufacturer/onsemi?pageNo=774", "Onsemi")</f>
        <v>Onsemi</v>
      </c>
      <c r="C8863" s="6">
        <v>4000</v>
      </c>
      <c r="D8863" s="7">
        <v>1.06</v>
      </c>
    </row>
    <row r="8864" spans="1:5" x14ac:dyDescent="0.25">
      <c r="A8864" t="str">
        <f>HYPERLINK("https://www.773grp.com/globalSearch/MAX708RESA-TG/page-1", "MAX708RESA-TG")</f>
        <v>MAX708RESA-TG</v>
      </c>
      <c r="B8864" s="3" t="str">
        <f>HYPERLINK("https://www.773grp.com/manufacturer/onsemi?pageNo=775", "Onsemi")</f>
        <v>Onsemi</v>
      </c>
      <c r="C8864" s="6">
        <v>2193</v>
      </c>
      <c r="D8864" s="7">
        <v>1.06</v>
      </c>
      <c r="E8864" t="s">
        <v>26</v>
      </c>
    </row>
    <row r="8865" spans="1:5" x14ac:dyDescent="0.25">
      <c r="A8865" t="str">
        <f>HYPERLINK("https://www.773grp.com/globalSearch/MAX708TESA-TG/page-1", "MAX708TESA-TG")</f>
        <v>MAX708TESA-TG</v>
      </c>
      <c r="B8865" s="3" t="str">
        <f>HYPERLINK("https://www.773grp.com/manufacturer/onsemi?pageNo=776", "Onsemi")</f>
        <v>Onsemi</v>
      </c>
      <c r="C8865" s="6">
        <v>1420</v>
      </c>
      <c r="D8865" s="7">
        <v>1.06</v>
      </c>
      <c r="E8865" t="s">
        <v>26</v>
      </c>
    </row>
    <row r="8866" spans="1:5" x14ac:dyDescent="0.25">
      <c r="A8866" t="str">
        <f>HYPERLINK("https://www.773grp.com/globalSearch/MBRM120LT1/page-1", "MBRM120LT1")</f>
        <v>MBRM120LT1</v>
      </c>
      <c r="B8866" s="3" t="str">
        <f>HYPERLINK("https://www.773grp.com/manufacturer/onsemi?pageNo=777", "Onsemi")</f>
        <v>Onsemi</v>
      </c>
      <c r="C8866" s="6">
        <v>33000</v>
      </c>
      <c r="D8866" s="7">
        <v>1.06</v>
      </c>
    </row>
    <row r="8867" spans="1:5" x14ac:dyDescent="0.25">
      <c r="A8867" t="str">
        <f>HYPERLINK("https://www.773grp.com/globalSearch/MBRM140T1/page-1", "MBRM140T1")</f>
        <v>MBRM140T1</v>
      </c>
      <c r="B8867" s="3" t="str">
        <f>HYPERLINK("https://www.773grp.com/manufacturer/onsemi?pageNo=778", "Onsemi")</f>
        <v>Onsemi</v>
      </c>
      <c r="C8867" s="6">
        <v>10958</v>
      </c>
      <c r="D8867" s="7">
        <v>1.06</v>
      </c>
    </row>
    <row r="8868" spans="1:5" x14ac:dyDescent="0.25">
      <c r="A8868" t="str">
        <f>HYPERLINK("https://www.773grp.com/globalSearch/MC14007UBFELG/page-1", "MC14007UBFELG")</f>
        <v>MC14007UBFELG</v>
      </c>
      <c r="B8868" s="3" t="str">
        <f>HYPERLINK("https://www.773grp.com/manufacturer/onsemi?pageNo=779", "Onsemi")</f>
        <v>Onsemi</v>
      </c>
      <c r="C8868" s="6">
        <v>16000</v>
      </c>
      <c r="D8868" s="7">
        <v>1.06</v>
      </c>
      <c r="E8868" t="s">
        <v>27</v>
      </c>
    </row>
    <row r="8869" spans="1:5" x14ac:dyDescent="0.25">
      <c r="A8869" t="str">
        <f>HYPERLINK("https://www.773grp.com/globalSearch/MC14011BFEL/page-1", "MC14011BFEL")</f>
        <v>MC14011BFEL</v>
      </c>
      <c r="B8869" s="3" t="str">
        <f>HYPERLINK("https://www.773grp.com/manufacturer/onsemi?pageNo=780", "Onsemi")</f>
        <v>Onsemi</v>
      </c>
      <c r="C8869" s="6">
        <v>7743</v>
      </c>
      <c r="D8869" s="7">
        <v>1.06</v>
      </c>
      <c r="E8869" t="s">
        <v>27</v>
      </c>
    </row>
    <row r="8870" spans="1:5" x14ac:dyDescent="0.25">
      <c r="A8870" t="str">
        <f>HYPERLINK("https://www.773grp.com/globalSearch/MC14011BFELG/page-1", "MC14011BFELG")</f>
        <v>MC14011BFELG</v>
      </c>
      <c r="B8870" s="3" t="str">
        <f>HYPERLINK("https://www.773grp.com/manufacturer/onsemi?pageNo=781", "Onsemi")</f>
        <v>Onsemi</v>
      </c>
      <c r="C8870" s="6">
        <v>3810</v>
      </c>
      <c r="D8870" s="7">
        <v>1.06</v>
      </c>
      <c r="E8870" t="s">
        <v>27</v>
      </c>
    </row>
    <row r="8871" spans="1:5" x14ac:dyDescent="0.25">
      <c r="A8871" t="str">
        <f>HYPERLINK("https://www.773grp.com/globalSearch/MC14014BCPG/page-1", "MC14014BCPG")</f>
        <v>MC14014BCPG</v>
      </c>
      <c r="B8871" s="3" t="str">
        <f>HYPERLINK("https://www.773grp.com/manufacturer/onsemi?pageNo=782", "Onsemi")</f>
        <v>Onsemi</v>
      </c>
      <c r="C8871" s="6">
        <v>3739</v>
      </c>
      <c r="D8871" s="7">
        <v>1.06</v>
      </c>
      <c r="E8871" t="s">
        <v>28</v>
      </c>
    </row>
    <row r="8872" spans="1:5" x14ac:dyDescent="0.25">
      <c r="A8872" t="str">
        <f>HYPERLINK("https://www.773grp.com/globalSearch/MC14017BDG/page-1", "MC14017BDG")</f>
        <v>MC14017BDG</v>
      </c>
      <c r="B8872" s="3" t="str">
        <f>HYPERLINK("https://www.773grp.com/manufacturer/onsemi?pageNo=783", "Onsemi")</f>
        <v>Onsemi</v>
      </c>
      <c r="C8872" s="6">
        <v>195</v>
      </c>
      <c r="D8872" s="7">
        <v>1.06</v>
      </c>
      <c r="E8872" t="s">
        <v>22</v>
      </c>
    </row>
    <row r="8873" spans="1:5" x14ac:dyDescent="0.25">
      <c r="A8873" t="str">
        <f>HYPERLINK("https://www.773grp.com/globalSearch/MC14017BDR2/page-1", "MC14017BDR2")</f>
        <v>MC14017BDR2</v>
      </c>
      <c r="B8873" s="3" t="str">
        <f>HYPERLINK("https://www.773grp.com/manufacturer/onsemi?pageNo=784", "Onsemi")</f>
        <v>Onsemi</v>
      </c>
      <c r="C8873" s="6">
        <v>3501</v>
      </c>
      <c r="D8873" s="7">
        <v>1.06</v>
      </c>
      <c r="E8873" t="s">
        <v>22</v>
      </c>
    </row>
    <row r="8874" spans="1:5" x14ac:dyDescent="0.25">
      <c r="A8874" t="str">
        <f>HYPERLINK("https://www.773grp.com/globalSearch/MC14017BDR2G/page-1", "MC14017BDR2G")</f>
        <v>MC14017BDR2G</v>
      </c>
      <c r="B8874" s="3" t="str">
        <f>HYPERLINK("https://www.773grp.com/manufacturer/onsemi?pageNo=785", "Onsemi")</f>
        <v>Onsemi</v>
      </c>
      <c r="C8874" s="6">
        <v>34903</v>
      </c>
      <c r="D8874" s="7">
        <v>1.06</v>
      </c>
      <c r="E8874" t="s">
        <v>22</v>
      </c>
    </row>
    <row r="8875" spans="1:5" x14ac:dyDescent="0.25">
      <c r="A8875" t="str">
        <f>HYPERLINK("https://www.773grp.com/globalSearch/MC14021BCPG/page-1", "MC14021BCPG")</f>
        <v>MC14021BCPG</v>
      </c>
      <c r="B8875" s="3" t="str">
        <f>HYPERLINK("https://www.773grp.com/manufacturer/onsemi?pageNo=786", "Onsemi")</f>
        <v>Onsemi</v>
      </c>
      <c r="C8875" s="6">
        <v>4897</v>
      </c>
      <c r="D8875" s="7">
        <v>1.06</v>
      </c>
      <c r="E8875" t="s">
        <v>28</v>
      </c>
    </row>
    <row r="8876" spans="1:5" x14ac:dyDescent="0.25">
      <c r="A8876" t="str">
        <f>HYPERLINK("https://www.773grp.com/globalSearch/MC14023BFEL/page-1", "MC14023BFEL")</f>
        <v>MC14023BFEL</v>
      </c>
      <c r="B8876" s="3" t="str">
        <f>HYPERLINK("https://www.773grp.com/manufacturer/onsemi?pageNo=787", "Onsemi")</f>
        <v>Onsemi</v>
      </c>
      <c r="C8876" s="6">
        <v>184</v>
      </c>
      <c r="D8876" s="7">
        <v>1.06</v>
      </c>
      <c r="E8876" t="s">
        <v>27</v>
      </c>
    </row>
    <row r="8877" spans="1:5" x14ac:dyDescent="0.25">
      <c r="A8877" t="str">
        <f>HYPERLINK("https://www.773grp.com/globalSearch/MC14025BFELG/page-1", "MC14025BFELG")</f>
        <v>MC14025BFELG</v>
      </c>
      <c r="B8877" s="3" t="str">
        <f>HYPERLINK("https://www.773grp.com/manufacturer/onsemi?pageNo=788", "Onsemi")</f>
        <v>Onsemi</v>
      </c>
      <c r="C8877" s="6">
        <v>10145</v>
      </c>
      <c r="D8877" s="7">
        <v>1.06</v>
      </c>
      <c r="E8877" t="s">
        <v>27</v>
      </c>
    </row>
    <row r="8878" spans="1:5" x14ac:dyDescent="0.25">
      <c r="A8878" t="str">
        <f>HYPERLINK("https://www.773grp.com/globalSearch/MC14029BDR2G/page-1", "MC14029BDR2G")</f>
        <v>MC14029BDR2G</v>
      </c>
      <c r="B8878" s="3" t="str">
        <f>HYPERLINK("https://www.773grp.com/manufacturer/onsemi?pageNo=789", "Onsemi")</f>
        <v>Onsemi</v>
      </c>
      <c r="C8878" s="6">
        <v>12987</v>
      </c>
      <c r="D8878" s="7">
        <v>1.06</v>
      </c>
      <c r="E8878" t="s">
        <v>22</v>
      </c>
    </row>
    <row r="8879" spans="1:5" x14ac:dyDescent="0.25">
      <c r="A8879" t="str">
        <f>HYPERLINK("https://www.773grp.com/globalSearch/MC14043BFELG/page-1", "MC14043BFELG")</f>
        <v>MC14043BFELG</v>
      </c>
      <c r="B8879" s="3" t="str">
        <f>HYPERLINK("https://www.773grp.com/manufacturer/onsemi?pageNo=790", "Onsemi")</f>
        <v>Onsemi</v>
      </c>
      <c r="C8879" s="6">
        <v>3489</v>
      </c>
      <c r="D8879" s="7">
        <v>1.06</v>
      </c>
      <c r="E8879" t="s">
        <v>31</v>
      </c>
    </row>
    <row r="8880" spans="1:5" x14ac:dyDescent="0.25">
      <c r="A8880" t="str">
        <f>HYPERLINK("https://www.773grp.com/globalSearch/MC14070BFELG/page-1", "MC14070BFELG")</f>
        <v>MC14070BFELG</v>
      </c>
      <c r="B8880" s="3" t="str">
        <f>HYPERLINK("https://www.773grp.com/manufacturer/onsemi?pageNo=791", "Onsemi")</f>
        <v>Onsemi</v>
      </c>
      <c r="C8880" s="6">
        <v>1750</v>
      </c>
      <c r="D8880" s="7">
        <v>1.06</v>
      </c>
    </row>
    <row r="8881" spans="1:5" x14ac:dyDescent="0.25">
      <c r="A8881" t="str">
        <f>HYPERLINK("https://www.773grp.com/globalSearch/MC14071BFELG/page-1", "MC14071BFELG")</f>
        <v>MC14071BFELG</v>
      </c>
      <c r="B8881" s="3" t="str">
        <f>HYPERLINK("https://www.773grp.com/manufacturer/onsemi?pageNo=792", "Onsemi")</f>
        <v>Onsemi</v>
      </c>
      <c r="C8881" s="6">
        <v>22922</v>
      </c>
      <c r="D8881" s="7">
        <v>1.06</v>
      </c>
      <c r="E8881" t="s">
        <v>27</v>
      </c>
    </row>
    <row r="8882" spans="1:5" x14ac:dyDescent="0.25">
      <c r="A8882" t="str">
        <f>HYPERLINK("https://www.773grp.com/globalSearch/MC14073BFELG/page-1", "MC14073BFELG")</f>
        <v>MC14073BFELG</v>
      </c>
      <c r="B8882" s="3" t="str">
        <f>HYPERLINK("https://www.773grp.com/manufacturer/onsemi?pageNo=793", "Onsemi")</f>
        <v>Onsemi</v>
      </c>
      <c r="C8882" s="6">
        <v>21704</v>
      </c>
      <c r="D8882" s="7">
        <v>1.06</v>
      </c>
      <c r="E8882" t="s">
        <v>27</v>
      </c>
    </row>
    <row r="8883" spans="1:5" x14ac:dyDescent="0.25">
      <c r="A8883" t="str">
        <f>HYPERLINK("https://www.773grp.com/globalSearch/MC14077BFELG/page-1", "MC14077BFELG")</f>
        <v>MC14077BFELG</v>
      </c>
      <c r="B8883" s="3" t="str">
        <f>HYPERLINK("https://www.773grp.com/manufacturer/onsemi?pageNo=794", "Onsemi")</f>
        <v>Onsemi</v>
      </c>
      <c r="C8883" s="6">
        <v>1016</v>
      </c>
      <c r="D8883" s="7">
        <v>1.06</v>
      </c>
      <c r="E8883" t="s">
        <v>27</v>
      </c>
    </row>
    <row r="8884" spans="1:5" x14ac:dyDescent="0.25">
      <c r="A8884" t="str">
        <f>HYPERLINK("https://www.773grp.com/globalSearch/MC14094BDG/page-1", "MC14094BDG")</f>
        <v>MC14094BDG</v>
      </c>
      <c r="B8884" s="3" t="str">
        <f>HYPERLINK("https://www.773grp.com/manufacturer/onsemi?pageNo=795", "Onsemi")</f>
        <v>Onsemi</v>
      </c>
      <c r="C8884" s="6">
        <v>15348</v>
      </c>
      <c r="D8884" s="7">
        <v>1.06</v>
      </c>
      <c r="E8884" t="s">
        <v>28</v>
      </c>
    </row>
    <row r="8885" spans="1:5" x14ac:dyDescent="0.25">
      <c r="A8885" t="str">
        <f>HYPERLINK("https://www.773grp.com/globalSearch/MC14094BDR2G/page-1", "MC14094BDR2G")</f>
        <v>MC14094BDR2G</v>
      </c>
      <c r="B8885" s="3" t="str">
        <f>HYPERLINK("https://www.773grp.com/manufacturer/onsemi?pageNo=796", "Onsemi")</f>
        <v>Onsemi</v>
      </c>
      <c r="C8885" s="6">
        <v>165170</v>
      </c>
      <c r="D8885" s="7">
        <v>1.06</v>
      </c>
      <c r="E8885" t="s">
        <v>28</v>
      </c>
    </row>
    <row r="8886" spans="1:5" x14ac:dyDescent="0.25">
      <c r="A8886" t="str">
        <f>HYPERLINK("https://www.773grp.com/globalSearch/MC14094BDTR2G/page-1", "MC14094BDTR2G")</f>
        <v>MC14094BDTR2G</v>
      </c>
      <c r="B8886" s="3" t="str">
        <f>HYPERLINK("https://www.773grp.com/manufacturer/onsemi?pageNo=797", "Onsemi")</f>
        <v>Onsemi</v>
      </c>
      <c r="C8886" s="6">
        <v>19524</v>
      </c>
      <c r="D8886" s="7">
        <v>1.06</v>
      </c>
      <c r="E8886" t="s">
        <v>28</v>
      </c>
    </row>
    <row r="8887" spans="1:5" x14ac:dyDescent="0.25">
      <c r="A8887" t="str">
        <f>HYPERLINK("https://www.773grp.com/globalSearch/MC14503BDG/page-1", "MC14503BDG")</f>
        <v>MC14503BDG</v>
      </c>
      <c r="B8887" s="3" t="str">
        <f>HYPERLINK("https://www.773grp.com/manufacturer/onsemi?pageNo=798", "Onsemi")</f>
        <v>Onsemi</v>
      </c>
      <c r="C8887" s="6">
        <v>2780</v>
      </c>
      <c r="D8887" s="7">
        <v>1.06</v>
      </c>
      <c r="E8887" t="s">
        <v>11</v>
      </c>
    </row>
    <row r="8888" spans="1:5" x14ac:dyDescent="0.25">
      <c r="A8888" t="str">
        <f>HYPERLINK("https://www.773grp.com/globalSearch/MC14503BDR2G/page-1", "MC14503BDR2G")</f>
        <v>MC14503BDR2G</v>
      </c>
      <c r="B8888" s="3" t="str">
        <f>HYPERLINK("https://www.773grp.com/manufacturer/onsemi?pageNo=799", "Onsemi")</f>
        <v>Onsemi</v>
      </c>
      <c r="C8888" s="6">
        <v>697</v>
      </c>
      <c r="D8888" s="7">
        <v>1.06</v>
      </c>
      <c r="E8888" t="s">
        <v>11</v>
      </c>
    </row>
    <row r="8889" spans="1:5" x14ac:dyDescent="0.25">
      <c r="A8889" t="str">
        <f>HYPERLINK("https://www.773grp.com/globalSearch/MC14510BF/page-1", "MC14510BF")</f>
        <v>MC14510BF</v>
      </c>
      <c r="B8889" s="3" t="str">
        <f>HYPERLINK("https://www.773grp.com/manufacturer/onsemi?pageNo=800", "Onsemi")</f>
        <v>Onsemi</v>
      </c>
      <c r="C8889" s="6">
        <v>6000</v>
      </c>
      <c r="D8889" s="7">
        <v>1.06</v>
      </c>
    </row>
    <row r="8890" spans="1:5" x14ac:dyDescent="0.25">
      <c r="A8890" t="str">
        <f>HYPERLINK("https://www.773grp.com/globalSearch/MC14510BFEL/page-1", "MC14510BFEL")</f>
        <v>MC14510BFEL</v>
      </c>
      <c r="B8890" s="3" t="str">
        <f>HYPERLINK("https://www.773grp.com/manufacturer/onsemi?pageNo=801", "Onsemi")</f>
        <v>Onsemi</v>
      </c>
      <c r="C8890" s="6">
        <v>2000</v>
      </c>
      <c r="D8890" s="7">
        <v>1.06</v>
      </c>
    </row>
    <row r="8891" spans="1:5" x14ac:dyDescent="0.25">
      <c r="A8891" t="str">
        <f>HYPERLINK("https://www.773grp.com/globalSearch/MC14543BDG/page-1", "MC14543BDG")</f>
        <v>MC14543BDG</v>
      </c>
      <c r="B8891" s="3" t="str">
        <f>HYPERLINK("https://www.773grp.com/manufacturer/onsemi?pageNo=802", "Onsemi")</f>
        <v>Onsemi</v>
      </c>
      <c r="C8891" s="6">
        <v>7700</v>
      </c>
      <c r="D8891" s="7">
        <v>1.06</v>
      </c>
      <c r="E8891" t="s">
        <v>32</v>
      </c>
    </row>
    <row r="8892" spans="1:5" x14ac:dyDescent="0.25">
      <c r="A8892" t="str">
        <f>HYPERLINK("https://www.773grp.com/globalSearch/MC14543BDR2G/page-1", "MC14543BDR2G")</f>
        <v>MC14543BDR2G</v>
      </c>
      <c r="B8892" s="3" t="str">
        <f>HYPERLINK("https://www.773grp.com/manufacturer/onsemi?pageNo=803", "Onsemi")</f>
        <v>Onsemi</v>
      </c>
      <c r="C8892" s="6">
        <v>292056</v>
      </c>
      <c r="D8892" s="7">
        <v>1.06</v>
      </c>
      <c r="E8892" t="s">
        <v>32</v>
      </c>
    </row>
    <row r="8893" spans="1:5" x14ac:dyDescent="0.25">
      <c r="A8893" t="str">
        <f>HYPERLINK("https://www.773grp.com/globalSearch/MC14572UBCPG/page-1", "MC14572UBCPG")</f>
        <v>MC14572UBCPG</v>
      </c>
      <c r="B8893" s="3" t="str">
        <f>HYPERLINK("https://www.773grp.com/manufacturer/onsemi?pageNo=804", "Onsemi")</f>
        <v>Onsemi</v>
      </c>
      <c r="C8893" s="6">
        <v>32931</v>
      </c>
      <c r="D8893" s="7">
        <v>1.06</v>
      </c>
      <c r="E8893" t="s">
        <v>27</v>
      </c>
    </row>
    <row r="8894" spans="1:5" x14ac:dyDescent="0.25">
      <c r="A8894" t="str">
        <f>HYPERLINK("https://www.773grp.com/globalSearch/MC33063AVP/page-1", "MC33063AVP")</f>
        <v>MC33063AVP</v>
      </c>
      <c r="B8894" s="3" t="str">
        <f>HYPERLINK("https://www.773grp.com/manufacturer/onsemi?pageNo=805", "Onsemi")</f>
        <v>Onsemi</v>
      </c>
      <c r="C8894" s="6">
        <v>206370</v>
      </c>
      <c r="D8894" s="7">
        <v>1.06</v>
      </c>
      <c r="E8894" t="s">
        <v>5</v>
      </c>
    </row>
    <row r="8895" spans="1:5" x14ac:dyDescent="0.25">
      <c r="A8895" t="str">
        <f>HYPERLINK("https://www.773grp.com/globalSearch/MC33171P/page-1", "MC33171P")</f>
        <v>MC33171P</v>
      </c>
      <c r="B8895" s="3" t="str">
        <f>HYPERLINK("https://www.773grp.com/manufacturer/onsemi?pageNo=806", "Onsemi")</f>
        <v>Onsemi</v>
      </c>
      <c r="C8895" s="6">
        <v>3770</v>
      </c>
      <c r="D8895" s="7">
        <v>1.06</v>
      </c>
      <c r="E8895" t="s">
        <v>10</v>
      </c>
    </row>
    <row r="8896" spans="1:5" x14ac:dyDescent="0.25">
      <c r="A8896" t="str">
        <f>HYPERLINK("https://www.773grp.com/globalSearch/MC33201D/page-1", "MC33201D")</f>
        <v>MC33201D</v>
      </c>
      <c r="B8896" s="3" t="str">
        <f>HYPERLINK("https://www.773grp.com/manufacturer/onsemi?pageNo=807", "Onsemi")</f>
        <v>Onsemi</v>
      </c>
      <c r="C8896" s="6">
        <v>76</v>
      </c>
      <c r="D8896" s="7">
        <v>1.06</v>
      </c>
      <c r="E8896" t="s">
        <v>10</v>
      </c>
    </row>
    <row r="8897" spans="1:5" x14ac:dyDescent="0.25">
      <c r="A8897" t="str">
        <f>HYPERLINK("https://www.773grp.com/globalSearch/MC33201DR2/page-1", "MC33201DR2")</f>
        <v>MC33201DR2</v>
      </c>
      <c r="B8897" s="3" t="str">
        <f>HYPERLINK("https://www.773grp.com/manufacturer/onsemi?pageNo=808", "Onsemi")</f>
        <v>Onsemi</v>
      </c>
      <c r="C8897" s="6">
        <v>3761</v>
      </c>
      <c r="D8897" s="7">
        <v>1.06</v>
      </c>
      <c r="E8897" t="s">
        <v>10</v>
      </c>
    </row>
    <row r="8898" spans="1:5" x14ac:dyDescent="0.25">
      <c r="A8898" t="str">
        <f>HYPERLINK("https://www.773grp.com/globalSearch/MC33202VP/page-1", "MC33202VP")</f>
        <v>MC33202VP</v>
      </c>
      <c r="B8898" s="3" t="str">
        <f>HYPERLINK("https://www.773grp.com/manufacturer/onsemi?pageNo=809", "Onsemi")</f>
        <v>Onsemi</v>
      </c>
      <c r="C8898" s="6">
        <v>1960</v>
      </c>
      <c r="D8898" s="7">
        <v>1.06</v>
      </c>
      <c r="E8898" t="s">
        <v>10</v>
      </c>
    </row>
    <row r="8899" spans="1:5" x14ac:dyDescent="0.25">
      <c r="A8899" t="str">
        <f>HYPERLINK("https://www.773grp.com/globalSearch/MC33464H-20CT1/page-1", "MC33464H-20CT1")</f>
        <v>MC33464H-20CT1</v>
      </c>
      <c r="B8899" s="3" t="str">
        <f>HYPERLINK("https://www.773grp.com/manufacturer/onsemi?pageNo=810", "Onsemi")</f>
        <v>Onsemi</v>
      </c>
      <c r="C8899" s="6">
        <v>1000</v>
      </c>
      <c r="D8899" s="7">
        <v>1.06</v>
      </c>
      <c r="E8899" t="s">
        <v>26</v>
      </c>
    </row>
    <row r="8900" spans="1:5" x14ac:dyDescent="0.25">
      <c r="A8900" t="str">
        <f>HYPERLINK("https://www.773grp.com/globalSearch/MC33464H-27AT1/page-1", "MC33464H-27AT1")</f>
        <v>MC33464H-27AT1</v>
      </c>
      <c r="B8900" s="3" t="str">
        <f>HYPERLINK("https://www.773grp.com/manufacturer/onsemi?pageNo=811", "Onsemi")</f>
        <v>Onsemi</v>
      </c>
      <c r="C8900" s="6">
        <v>9000</v>
      </c>
      <c r="D8900" s="7">
        <v>1.06</v>
      </c>
      <c r="E8900" t="s">
        <v>26</v>
      </c>
    </row>
    <row r="8901" spans="1:5" x14ac:dyDescent="0.25">
      <c r="A8901" t="str">
        <f>HYPERLINK("https://www.773grp.com/globalSearch/MC33464N-20CTR/page-1", "MC33464N-20CTR")</f>
        <v>MC33464N-20CTR</v>
      </c>
      <c r="B8901" s="3" t="str">
        <f>HYPERLINK("https://www.773grp.com/manufacturer/onsemi?pageNo=812", "Onsemi")</f>
        <v>Onsemi</v>
      </c>
      <c r="C8901" s="6">
        <v>37690</v>
      </c>
      <c r="D8901" s="7">
        <v>1.06</v>
      </c>
      <c r="E8901" t="s">
        <v>26</v>
      </c>
    </row>
    <row r="8902" spans="1:5" x14ac:dyDescent="0.25">
      <c r="A8902" t="str">
        <f>HYPERLINK("https://www.773grp.com/globalSearch/MC33464N-27ATR/page-1", "MC33464N-27ATR")</f>
        <v>MC33464N-27ATR</v>
      </c>
      <c r="B8902" s="3" t="str">
        <f>HYPERLINK("https://www.773grp.com/manufacturer/onsemi?pageNo=813", "Onsemi")</f>
        <v>Onsemi</v>
      </c>
      <c r="C8902" s="6">
        <v>13663</v>
      </c>
      <c r="D8902" s="7">
        <v>1.06</v>
      </c>
      <c r="E8902" t="s">
        <v>26</v>
      </c>
    </row>
    <row r="8903" spans="1:5" x14ac:dyDescent="0.25">
      <c r="A8903" t="str">
        <f>HYPERLINK("https://www.773grp.com/globalSearch/MC33464N-30ATR/page-1", "MC33464N-30ATR")</f>
        <v>MC33464N-30ATR</v>
      </c>
      <c r="B8903" s="3" t="str">
        <f>HYPERLINK("https://www.773grp.com/manufacturer/onsemi?pageNo=814", "Onsemi")</f>
        <v>Onsemi</v>
      </c>
      <c r="C8903" s="6">
        <v>1707</v>
      </c>
      <c r="D8903" s="7">
        <v>1.06</v>
      </c>
      <c r="E8903" t="s">
        <v>26</v>
      </c>
    </row>
    <row r="8904" spans="1:5" x14ac:dyDescent="0.25">
      <c r="A8904" t="str">
        <f>HYPERLINK("https://www.773grp.com/globalSearch/MC33464N-30CTR/page-1", "MC33464N-30CTR")</f>
        <v>MC33464N-30CTR</v>
      </c>
      <c r="B8904" s="3" t="str">
        <f>HYPERLINK("https://www.773grp.com/manufacturer/onsemi?pageNo=815", "Onsemi")</f>
        <v>Onsemi</v>
      </c>
      <c r="C8904" s="6">
        <v>104715</v>
      </c>
      <c r="D8904" s="7">
        <v>1.06</v>
      </c>
      <c r="E8904" t="s">
        <v>26</v>
      </c>
    </row>
    <row r="8905" spans="1:5" x14ac:dyDescent="0.25">
      <c r="A8905" t="str">
        <f>HYPERLINK("https://www.773grp.com/globalSearch/MC33464N-48ATR/page-1", "MC33464N-48ATR")</f>
        <v>MC33464N-48ATR</v>
      </c>
      <c r="B8905" s="3" t="str">
        <f>HYPERLINK("https://www.773grp.com/manufacturer/onsemi?pageNo=816", "Onsemi")</f>
        <v>Onsemi</v>
      </c>
      <c r="C8905" s="6">
        <v>3000</v>
      </c>
      <c r="D8905" s="7">
        <v>1.06</v>
      </c>
      <c r="E8905" t="s">
        <v>26</v>
      </c>
    </row>
    <row r="8906" spans="1:5" x14ac:dyDescent="0.25">
      <c r="A8906" t="str">
        <f>HYPERLINK("https://www.773grp.com/globalSearch/MC33501SNT1/page-1", "MC33501SNT1")</f>
        <v>MC33501SNT1</v>
      </c>
      <c r="B8906" s="3" t="str">
        <f>HYPERLINK("https://www.773grp.com/manufacturer/onsemi?pageNo=817", "Onsemi")</f>
        <v>Onsemi</v>
      </c>
      <c r="C8906" s="6">
        <v>2950</v>
      </c>
      <c r="D8906" s="7">
        <v>1.06</v>
      </c>
      <c r="E8906" t="s">
        <v>10</v>
      </c>
    </row>
    <row r="8907" spans="1:5" x14ac:dyDescent="0.25">
      <c r="A8907" t="str">
        <f>HYPERLINK("https://www.773grp.com/globalSearch/MC33503SNT1/page-1", "MC33503SNT1")</f>
        <v>MC33503SNT1</v>
      </c>
      <c r="B8907" s="3" t="str">
        <f>HYPERLINK("https://www.773grp.com/manufacturer/onsemi?pageNo=818", "Onsemi")</f>
        <v>Onsemi</v>
      </c>
      <c r="C8907" s="6">
        <v>500</v>
      </c>
      <c r="D8907" s="7">
        <v>1.06</v>
      </c>
      <c r="E8907" t="s">
        <v>10</v>
      </c>
    </row>
    <row r="8908" spans="1:5" x14ac:dyDescent="0.25">
      <c r="A8908" t="str">
        <f>HYPERLINK("https://www.773grp.com/globalSearch/MC33762DM-2525R2/page-1", "MC33762DM-2525R2")</f>
        <v>MC33762DM-2525R2</v>
      </c>
      <c r="B8908" s="3" t="str">
        <f>HYPERLINK("https://www.773grp.com/manufacturer/onsemi?pageNo=819", "Onsemi")</f>
        <v>Onsemi</v>
      </c>
      <c r="C8908" s="6">
        <v>4000</v>
      </c>
      <c r="D8908" s="7">
        <v>1.06</v>
      </c>
      <c r="E8908" t="s">
        <v>39</v>
      </c>
    </row>
    <row r="8909" spans="1:5" x14ac:dyDescent="0.25">
      <c r="A8909" t="str">
        <f>HYPERLINK("https://www.773grp.com/globalSearch/MC33762DM-2828R2/page-1", "MC33762DM-2828R2")</f>
        <v>MC33762DM-2828R2</v>
      </c>
      <c r="B8909" s="3" t="str">
        <f>HYPERLINK("https://www.773grp.com/manufacturer/onsemi?pageNo=820", "Onsemi")</f>
        <v>Onsemi</v>
      </c>
      <c r="C8909" s="6">
        <v>2942</v>
      </c>
      <c r="D8909" s="7">
        <v>1.06</v>
      </c>
      <c r="E8909" t="s">
        <v>39</v>
      </c>
    </row>
    <row r="8910" spans="1:5" x14ac:dyDescent="0.25">
      <c r="A8910" t="str">
        <f>HYPERLINK("https://www.773grp.com/globalSearch/MC33762DM-3030R2/page-1", "MC33762DM-3030R2")</f>
        <v>MC33762DM-3030R2</v>
      </c>
      <c r="B8910" s="3" t="str">
        <f>HYPERLINK("https://www.773grp.com/manufacturer/onsemi?pageNo=821", "Onsemi")</f>
        <v>Onsemi</v>
      </c>
      <c r="C8910" s="6">
        <v>3992</v>
      </c>
      <c r="D8910" s="7">
        <v>1.06</v>
      </c>
      <c r="E8910" t="s">
        <v>39</v>
      </c>
    </row>
    <row r="8911" spans="1:5" x14ac:dyDescent="0.25">
      <c r="A8911" t="str">
        <f>HYPERLINK("https://www.773grp.com/globalSearch/MC74AC157DG/page-1", "MC74AC157DG")</f>
        <v>MC74AC157DG</v>
      </c>
      <c r="B8911" s="3" t="str">
        <f>HYPERLINK("https://www.773grp.com/manufacturer/onsemi?pageNo=822", "Onsemi")</f>
        <v>Onsemi</v>
      </c>
      <c r="C8911" s="6">
        <v>24286</v>
      </c>
      <c r="D8911" s="7">
        <v>1.06</v>
      </c>
      <c r="E8911" t="s">
        <v>16</v>
      </c>
    </row>
    <row r="8912" spans="1:5" x14ac:dyDescent="0.25">
      <c r="A8912" t="str">
        <f>HYPERLINK("https://www.773grp.com/globalSearch/MC74AC157DR2G/page-1", "MC74AC157DR2G")</f>
        <v>MC74AC157DR2G</v>
      </c>
      <c r="B8912" s="3" t="str">
        <f>HYPERLINK("https://www.773grp.com/manufacturer/onsemi?pageNo=823", "Onsemi")</f>
        <v>Onsemi</v>
      </c>
      <c r="C8912" s="6">
        <v>11920</v>
      </c>
      <c r="D8912" s="7">
        <v>1.06</v>
      </c>
      <c r="E8912" t="s">
        <v>16</v>
      </c>
    </row>
    <row r="8913" spans="1:5" x14ac:dyDescent="0.25">
      <c r="A8913" t="str">
        <f>HYPERLINK("https://www.773grp.com/globalSearch/MC74AC157DTR2G/page-1", "MC74AC157DTR2G")</f>
        <v>MC74AC157DTR2G</v>
      </c>
      <c r="B8913" s="3" t="str">
        <f>HYPERLINK("https://www.773grp.com/manufacturer/onsemi?pageNo=824", "Onsemi")</f>
        <v>Onsemi</v>
      </c>
      <c r="C8913" s="6">
        <v>9545</v>
      </c>
      <c r="D8913" s="7">
        <v>1.06</v>
      </c>
      <c r="E8913" t="s">
        <v>16</v>
      </c>
    </row>
    <row r="8914" spans="1:5" x14ac:dyDescent="0.25">
      <c r="A8914" t="str">
        <f>HYPERLINK("https://www.773grp.com/globalSearch/MC74AC240DWG/page-1", "MC74AC240DWG")</f>
        <v>MC74AC240DWG</v>
      </c>
      <c r="B8914" s="3" t="str">
        <f>HYPERLINK("https://www.773grp.com/manufacturer/onsemi?pageNo=825", "Onsemi")</f>
        <v>Onsemi</v>
      </c>
      <c r="C8914" s="6">
        <v>3534</v>
      </c>
      <c r="D8914" s="7">
        <v>1.06</v>
      </c>
      <c r="E8914" t="s">
        <v>11</v>
      </c>
    </row>
    <row r="8915" spans="1:5" x14ac:dyDescent="0.25">
      <c r="A8915" t="str">
        <f>HYPERLINK("https://www.773grp.com/globalSearch/MC74AC240DWR2G/page-1", "MC74AC240DWR2G")</f>
        <v>MC74AC240DWR2G</v>
      </c>
      <c r="B8915" s="3" t="str">
        <f>HYPERLINK("https://www.773grp.com/manufacturer/onsemi?pageNo=826", "Onsemi")</f>
        <v>Onsemi</v>
      </c>
      <c r="C8915" s="6">
        <v>1800</v>
      </c>
      <c r="D8915" s="7">
        <v>1.06</v>
      </c>
      <c r="E8915" t="s">
        <v>11</v>
      </c>
    </row>
    <row r="8916" spans="1:5" x14ac:dyDescent="0.25">
      <c r="A8916" t="str">
        <f>HYPERLINK("https://www.773grp.com/globalSearch/MC74AC244DWG/page-1", "MC74AC244DWG")</f>
        <v>MC74AC244DWG</v>
      </c>
      <c r="B8916" s="3" t="str">
        <f>HYPERLINK("https://www.773grp.com/manufacturer/onsemi?pageNo=827", "Onsemi")</f>
        <v>Onsemi</v>
      </c>
      <c r="C8916" s="6">
        <v>6441</v>
      </c>
      <c r="D8916" s="7">
        <v>1.06</v>
      </c>
      <c r="E8916" t="s">
        <v>11</v>
      </c>
    </row>
    <row r="8917" spans="1:5" x14ac:dyDescent="0.25">
      <c r="A8917" t="str">
        <f>HYPERLINK("https://www.773grp.com/globalSearch/MC74AC244DWR2G/page-1", "MC74AC244DWR2G")</f>
        <v>MC74AC244DWR2G</v>
      </c>
      <c r="B8917" s="3" t="str">
        <f>HYPERLINK("https://www.773grp.com/manufacturer/onsemi?pageNo=828", "Onsemi")</f>
        <v>Onsemi</v>
      </c>
      <c r="C8917" s="6">
        <v>62103</v>
      </c>
      <c r="D8917" s="7">
        <v>1.06</v>
      </c>
      <c r="E8917" t="s">
        <v>11</v>
      </c>
    </row>
    <row r="8918" spans="1:5" x14ac:dyDescent="0.25">
      <c r="A8918" t="str">
        <f>HYPERLINK("https://www.773grp.com/globalSearch/MC74AC245DWG/page-1", "MC74AC245DWG")</f>
        <v>MC74AC245DWG</v>
      </c>
      <c r="B8918" s="3" t="str">
        <f>HYPERLINK("https://www.773grp.com/manufacturer/onsemi?pageNo=829", "Onsemi")</f>
        <v>Onsemi</v>
      </c>
      <c r="C8918" s="6">
        <v>6384</v>
      </c>
      <c r="D8918" s="7">
        <v>1.06</v>
      </c>
      <c r="E8918" t="s">
        <v>11</v>
      </c>
    </row>
    <row r="8919" spans="1:5" x14ac:dyDescent="0.25">
      <c r="A8919" t="str">
        <f>HYPERLINK("https://www.773grp.com/globalSearch/MC74AC253DR2G/page-1", "MC74AC253DR2G")</f>
        <v>MC74AC253DR2G</v>
      </c>
      <c r="B8919" s="3" t="str">
        <f>HYPERLINK("https://www.773grp.com/manufacturer/onsemi?pageNo=830", "Onsemi")</f>
        <v>Onsemi</v>
      </c>
      <c r="C8919" s="6">
        <v>7884</v>
      </c>
      <c r="D8919" s="7">
        <v>1.06</v>
      </c>
      <c r="E8919" t="s">
        <v>16</v>
      </c>
    </row>
    <row r="8920" spans="1:5" x14ac:dyDescent="0.25">
      <c r="A8920" t="str">
        <f>HYPERLINK("https://www.773grp.com/globalSearch/MC74AC257DR2G/page-1", "MC74AC257DR2G")</f>
        <v>MC74AC257DR2G</v>
      </c>
      <c r="B8920" s="3" t="str">
        <f>HYPERLINK("https://www.773grp.com/manufacturer/onsemi?pageNo=831", "Onsemi")</f>
        <v>Onsemi</v>
      </c>
      <c r="C8920" s="6">
        <v>2771</v>
      </c>
      <c r="D8920" s="7">
        <v>1.06</v>
      </c>
      <c r="E8920" t="s">
        <v>16</v>
      </c>
    </row>
    <row r="8921" spans="1:5" x14ac:dyDescent="0.25">
      <c r="A8921" t="str">
        <f>HYPERLINK("https://www.773grp.com/globalSearch/MC74AC273DWG/page-1", "MC74AC273DWG")</f>
        <v>MC74AC273DWG</v>
      </c>
      <c r="B8921" s="3" t="str">
        <f>HYPERLINK("https://www.773grp.com/manufacturer/onsemi?pageNo=832", "Onsemi")</f>
        <v>Onsemi</v>
      </c>
      <c r="C8921" s="6">
        <v>46689</v>
      </c>
      <c r="D8921" s="7">
        <v>1.06</v>
      </c>
      <c r="E8921" t="s">
        <v>31</v>
      </c>
    </row>
    <row r="8922" spans="1:5" x14ac:dyDescent="0.25">
      <c r="A8922" t="str">
        <f>HYPERLINK("https://www.773grp.com/globalSearch/MC74AC273DWR2G/page-1", "MC74AC273DWR2G")</f>
        <v>MC74AC273DWR2G</v>
      </c>
      <c r="B8922" s="3" t="str">
        <f>HYPERLINK("https://www.773grp.com/manufacturer/onsemi?pageNo=833", "Onsemi")</f>
        <v>Onsemi</v>
      </c>
      <c r="C8922" s="6">
        <v>2000</v>
      </c>
      <c r="D8922" s="7">
        <v>1.06</v>
      </c>
      <c r="E8922" t="s">
        <v>31</v>
      </c>
    </row>
    <row r="8923" spans="1:5" x14ac:dyDescent="0.25">
      <c r="A8923" t="str">
        <f>HYPERLINK("https://www.773grp.com/globalSearch/MC74AC32NG/page-1", "MC74AC32NG")</f>
        <v>MC74AC32NG</v>
      </c>
      <c r="B8923" s="3" t="str">
        <f>HYPERLINK("https://www.773grp.com/manufacturer/onsemi?pageNo=834", "Onsemi")</f>
        <v>Onsemi</v>
      </c>
      <c r="C8923" s="6">
        <v>17875</v>
      </c>
      <c r="D8923" s="7">
        <v>1.06</v>
      </c>
      <c r="E8923" t="s">
        <v>27</v>
      </c>
    </row>
    <row r="8924" spans="1:5" x14ac:dyDescent="0.25">
      <c r="A8924" t="str">
        <f>HYPERLINK("https://www.773grp.com/globalSearch/MC74AC373DWG/page-1", "MC74AC373DWG")</f>
        <v>MC74AC373DWG</v>
      </c>
      <c r="B8924" s="3" t="str">
        <f>HYPERLINK("https://www.773grp.com/manufacturer/onsemi?pageNo=835", "Onsemi")</f>
        <v>Onsemi</v>
      </c>
      <c r="C8924" s="6">
        <v>14820</v>
      </c>
      <c r="D8924" s="7">
        <v>1.06</v>
      </c>
      <c r="E8924" t="s">
        <v>11</v>
      </c>
    </row>
    <row r="8925" spans="1:5" x14ac:dyDescent="0.25">
      <c r="A8925" t="str">
        <f>HYPERLINK("https://www.773grp.com/globalSearch/MC74AC373DWR2G/page-1", "MC74AC373DWR2G")</f>
        <v>MC74AC373DWR2G</v>
      </c>
      <c r="B8925" s="3" t="str">
        <f>HYPERLINK("https://www.773grp.com/manufacturer/onsemi?pageNo=836", "Onsemi")</f>
        <v>Onsemi</v>
      </c>
      <c r="C8925" s="6">
        <v>33036</v>
      </c>
      <c r="D8925" s="7">
        <v>1.06</v>
      </c>
      <c r="E8925" t="s">
        <v>11</v>
      </c>
    </row>
    <row r="8926" spans="1:5" x14ac:dyDescent="0.25">
      <c r="A8926" t="str">
        <f>HYPERLINK("https://www.773grp.com/globalSearch/MC74AC374DWG/page-1", "MC74AC374DWG")</f>
        <v>MC74AC374DWG</v>
      </c>
      <c r="B8926" s="3" t="str">
        <f>HYPERLINK("https://www.773grp.com/manufacturer/onsemi?pageNo=837", "Onsemi")</f>
        <v>Onsemi</v>
      </c>
      <c r="C8926" s="6">
        <v>6716</v>
      </c>
      <c r="D8926" s="7">
        <v>1.06</v>
      </c>
      <c r="E8926" t="s">
        <v>11</v>
      </c>
    </row>
    <row r="8927" spans="1:5" x14ac:dyDescent="0.25">
      <c r="A8927" t="str">
        <f>HYPERLINK("https://www.773grp.com/globalSearch/MC74AC374DWR2G/page-1", "MC74AC374DWR2G")</f>
        <v>MC74AC374DWR2G</v>
      </c>
      <c r="B8927" s="3" t="str">
        <f>HYPERLINK("https://www.773grp.com/manufacturer/onsemi?pageNo=838", "Onsemi")</f>
        <v>Onsemi</v>
      </c>
      <c r="C8927" s="6">
        <v>5000</v>
      </c>
      <c r="D8927" s="7">
        <v>1.06</v>
      </c>
      <c r="E8927" t="s">
        <v>11</v>
      </c>
    </row>
    <row r="8928" spans="1:5" x14ac:dyDescent="0.25">
      <c r="A8928" t="str">
        <f>HYPERLINK("https://www.773grp.com/globalSearch/MC74AC540DWG/page-1", "MC74AC540DWG")</f>
        <v>MC74AC540DWG</v>
      </c>
      <c r="B8928" s="3" t="str">
        <f>HYPERLINK("https://www.773grp.com/manufacturer/onsemi?pageNo=839", "Onsemi")</f>
        <v>Onsemi</v>
      </c>
      <c r="C8928" s="6">
        <v>7622</v>
      </c>
      <c r="D8928" s="7">
        <v>1.06</v>
      </c>
      <c r="E8928" t="s">
        <v>11</v>
      </c>
    </row>
    <row r="8929" spans="1:5" x14ac:dyDescent="0.25">
      <c r="A8929" t="str">
        <f>HYPERLINK("https://www.773grp.com/globalSearch/MC74AC541DTR2G/page-1", "MC74AC541DTR2G")</f>
        <v>MC74AC541DTR2G</v>
      </c>
      <c r="B8929" s="3" t="str">
        <f>HYPERLINK("https://www.773grp.com/manufacturer/onsemi?pageNo=840", "Onsemi")</f>
        <v>Onsemi</v>
      </c>
      <c r="C8929" s="6">
        <v>4110</v>
      </c>
      <c r="D8929" s="7">
        <v>1.06</v>
      </c>
      <c r="E8929" t="s">
        <v>11</v>
      </c>
    </row>
    <row r="8930" spans="1:5" x14ac:dyDescent="0.25">
      <c r="A8930" t="str">
        <f>HYPERLINK("https://www.773grp.com/globalSearch/MC74AC541DW/page-1", "MC74AC541DW")</f>
        <v>MC74AC541DW</v>
      </c>
      <c r="B8930" s="3" t="str">
        <f>HYPERLINK("https://www.773grp.com/manufacturer/onsemi?pageNo=841", "Onsemi")</f>
        <v>Onsemi</v>
      </c>
      <c r="C8930" s="6">
        <v>3078</v>
      </c>
      <c r="D8930" s="7">
        <v>1.06</v>
      </c>
      <c r="E8930" t="s">
        <v>11</v>
      </c>
    </row>
    <row r="8931" spans="1:5" x14ac:dyDescent="0.25">
      <c r="A8931" t="str">
        <f>HYPERLINK("https://www.773grp.com/globalSearch/MC74AC541DWG/page-1", "MC74AC541DWG")</f>
        <v>MC74AC541DWG</v>
      </c>
      <c r="B8931" s="3" t="str">
        <f>HYPERLINK("https://www.773grp.com/manufacturer/onsemi?pageNo=842", "Onsemi")</f>
        <v>Onsemi</v>
      </c>
      <c r="C8931" s="6">
        <v>113</v>
      </c>
      <c r="D8931" s="7">
        <v>1.06</v>
      </c>
      <c r="E8931" t="s">
        <v>11</v>
      </c>
    </row>
    <row r="8932" spans="1:5" x14ac:dyDescent="0.25">
      <c r="A8932" t="str">
        <f>HYPERLINK("https://www.773grp.com/globalSearch/MC74AC541DWR2/page-1", "MC74AC541DWR2")</f>
        <v>MC74AC541DWR2</v>
      </c>
      <c r="B8932" s="3" t="str">
        <f>HYPERLINK("https://www.773grp.com/manufacturer/onsemi?pageNo=843", "Onsemi")</f>
        <v>Onsemi</v>
      </c>
      <c r="C8932" s="6">
        <v>105</v>
      </c>
      <c r="D8932" s="7">
        <v>1.06</v>
      </c>
      <c r="E8932" t="s">
        <v>11</v>
      </c>
    </row>
    <row r="8933" spans="1:5" x14ac:dyDescent="0.25">
      <c r="A8933" t="str">
        <f>HYPERLINK("https://www.773grp.com/globalSearch/MC74AC541DWR2G/page-1", "MC74AC541DWR2G")</f>
        <v>MC74AC541DWR2G</v>
      </c>
      <c r="B8933" s="3" t="str">
        <f>HYPERLINK("https://www.773grp.com/manufacturer/onsemi?pageNo=844", "Onsemi")</f>
        <v>Onsemi</v>
      </c>
      <c r="C8933" s="6">
        <v>2000</v>
      </c>
      <c r="D8933" s="7">
        <v>1.06</v>
      </c>
      <c r="E8933" t="s">
        <v>11</v>
      </c>
    </row>
    <row r="8934" spans="1:5" x14ac:dyDescent="0.25">
      <c r="A8934" t="str">
        <f>HYPERLINK("https://www.773grp.com/globalSearch/MC74AC573DW/page-1", "MC74AC573DW")</f>
        <v>MC74AC573DW</v>
      </c>
      <c r="B8934" s="3" t="str">
        <f>HYPERLINK("https://www.773grp.com/manufacturer/onsemi?pageNo=845", "Onsemi")</f>
        <v>Onsemi</v>
      </c>
      <c r="C8934" s="6">
        <v>8728</v>
      </c>
      <c r="D8934" s="7">
        <v>1.06</v>
      </c>
      <c r="E8934" t="s">
        <v>11</v>
      </c>
    </row>
    <row r="8935" spans="1:5" x14ac:dyDescent="0.25">
      <c r="A8935" t="str">
        <f>HYPERLINK("https://www.773grp.com/globalSearch/MC74AC573DWG/page-1", "MC74AC573DWG")</f>
        <v>MC74AC573DWG</v>
      </c>
      <c r="B8935" s="3" t="str">
        <f>HYPERLINK("https://www.773grp.com/manufacturer/onsemi?pageNo=846", "Onsemi")</f>
        <v>Onsemi</v>
      </c>
      <c r="C8935" s="6">
        <v>13100</v>
      </c>
      <c r="D8935" s="7">
        <v>1.06</v>
      </c>
      <c r="E8935" t="s">
        <v>11</v>
      </c>
    </row>
    <row r="8936" spans="1:5" x14ac:dyDescent="0.25">
      <c r="A8936" t="str">
        <f>HYPERLINK("https://www.773grp.com/globalSearch/MC74AC573DWR2G/page-1", "MC74AC573DWR2G")</f>
        <v>MC74AC573DWR2G</v>
      </c>
      <c r="B8936" s="3" t="str">
        <f>HYPERLINK("https://www.773grp.com/manufacturer/onsemi?pageNo=847", "Onsemi")</f>
        <v>Onsemi</v>
      </c>
      <c r="C8936" s="6">
        <v>2391</v>
      </c>
      <c r="D8936" s="7">
        <v>1.06</v>
      </c>
    </row>
    <row r="8937" spans="1:5" x14ac:dyDescent="0.25">
      <c r="A8937" t="str">
        <f>HYPERLINK("https://www.773grp.com/globalSearch/MC74AC574DWG/page-1", "MC74AC574DWG")</f>
        <v>MC74AC574DWG</v>
      </c>
      <c r="B8937" s="3" t="str">
        <f>HYPERLINK("https://www.773grp.com/manufacturer/onsemi?pageNo=848", "Onsemi")</f>
        <v>Onsemi</v>
      </c>
      <c r="C8937" s="6">
        <v>18592</v>
      </c>
      <c r="D8937" s="7">
        <v>1.06</v>
      </c>
      <c r="E8937" t="s">
        <v>11</v>
      </c>
    </row>
    <row r="8938" spans="1:5" x14ac:dyDescent="0.25">
      <c r="A8938" t="str">
        <f>HYPERLINK("https://www.773grp.com/globalSearch/MC74AC574DWR2G/page-1", "MC74AC574DWR2G")</f>
        <v>MC74AC574DWR2G</v>
      </c>
      <c r="B8938" s="3" t="str">
        <f>HYPERLINK("https://www.773grp.com/manufacturer/onsemi?pageNo=849", "Onsemi")</f>
        <v>Onsemi</v>
      </c>
      <c r="C8938" s="6">
        <v>17190</v>
      </c>
      <c r="D8938" s="7">
        <v>1.06</v>
      </c>
      <c r="E8938" t="s">
        <v>11</v>
      </c>
    </row>
    <row r="8939" spans="1:5" x14ac:dyDescent="0.25">
      <c r="A8939" t="str">
        <f>HYPERLINK("https://www.773grp.com/globalSearch/MC74AC74NG/page-1", "MC74AC74NG")</f>
        <v>MC74AC74NG</v>
      </c>
      <c r="B8939" s="3" t="str">
        <f>HYPERLINK("https://www.773grp.com/manufacturer/onsemi?pageNo=850", "Onsemi")</f>
        <v>Onsemi</v>
      </c>
      <c r="C8939" s="6">
        <v>16145</v>
      </c>
      <c r="D8939" s="7">
        <v>1.06</v>
      </c>
      <c r="E8939" t="s">
        <v>31</v>
      </c>
    </row>
    <row r="8940" spans="1:5" x14ac:dyDescent="0.25">
      <c r="A8940" t="str">
        <f>HYPERLINK("https://www.773grp.com/globalSearch/MC74AC86NG/page-1", "MC74AC86NG")</f>
        <v>MC74AC86NG</v>
      </c>
      <c r="B8940" s="3" t="str">
        <f>HYPERLINK("https://www.773grp.com/manufacturer/onsemi?pageNo=851", "Onsemi")</f>
        <v>Onsemi</v>
      </c>
      <c r="C8940" s="6">
        <v>2775</v>
      </c>
      <c r="D8940" s="7">
        <v>1.06</v>
      </c>
      <c r="E8940" t="s">
        <v>27</v>
      </c>
    </row>
    <row r="8941" spans="1:5" x14ac:dyDescent="0.25">
      <c r="A8941" t="str">
        <f>HYPERLINK("https://www.773grp.com/globalSearch/MC74ACT153DG/page-1", "MC74ACT153DG")</f>
        <v>MC74ACT153DG</v>
      </c>
      <c r="B8941" s="3" t="str">
        <f>HYPERLINK("https://www.773grp.com/manufacturer/onsemi?pageNo=852", "Onsemi")</f>
        <v>Onsemi</v>
      </c>
      <c r="C8941" s="6">
        <v>5818</v>
      </c>
      <c r="D8941" s="7">
        <v>1.06</v>
      </c>
      <c r="E8941" t="s">
        <v>16</v>
      </c>
    </row>
    <row r="8942" spans="1:5" x14ac:dyDescent="0.25">
      <c r="A8942" t="str">
        <f>HYPERLINK("https://www.773grp.com/globalSearch/MC74ACT157DG/page-1", "MC74ACT157DG")</f>
        <v>MC74ACT157DG</v>
      </c>
      <c r="B8942" s="3" t="str">
        <f>HYPERLINK("https://www.773grp.com/manufacturer/onsemi?pageNo=853", "Onsemi")</f>
        <v>Onsemi</v>
      </c>
      <c r="C8942" s="6">
        <v>6552</v>
      </c>
      <c r="D8942" s="7">
        <v>1.06</v>
      </c>
      <c r="E8942" t="s">
        <v>16</v>
      </c>
    </row>
    <row r="8943" spans="1:5" x14ac:dyDescent="0.25">
      <c r="A8943" t="str">
        <f>HYPERLINK("https://www.773grp.com/globalSearch/MC74ACT157DR2/page-1", "MC74ACT157DR2")</f>
        <v>MC74ACT157DR2</v>
      </c>
      <c r="B8943" s="3" t="str">
        <f>HYPERLINK("https://www.773grp.com/manufacturer/onsemi?pageNo=854", "Onsemi")</f>
        <v>Onsemi</v>
      </c>
      <c r="C8943" s="6">
        <v>5000</v>
      </c>
      <c r="D8943" s="7">
        <v>1.06</v>
      </c>
      <c r="E8943" t="s">
        <v>16</v>
      </c>
    </row>
    <row r="8944" spans="1:5" x14ac:dyDescent="0.25">
      <c r="A8944" t="str">
        <f>HYPERLINK("https://www.773grp.com/globalSearch/MC74ACT157DR2G/page-1", "MC74ACT157DR2G")</f>
        <v>MC74ACT157DR2G</v>
      </c>
      <c r="B8944" s="3" t="str">
        <f>HYPERLINK("https://www.773grp.com/manufacturer/onsemi?pageNo=855", "Onsemi")</f>
        <v>Onsemi</v>
      </c>
      <c r="C8944" s="6">
        <v>2500</v>
      </c>
      <c r="D8944" s="7">
        <v>1.06</v>
      </c>
      <c r="E8944" t="s">
        <v>16</v>
      </c>
    </row>
    <row r="8945" spans="1:5" x14ac:dyDescent="0.25">
      <c r="A8945" t="str">
        <f>HYPERLINK("https://www.773grp.com/globalSearch/MC74ACT157DTR2G/page-1", "MC74ACT157DTR2G")</f>
        <v>MC74ACT157DTR2G</v>
      </c>
      <c r="B8945" s="3" t="str">
        <f>HYPERLINK("https://www.773grp.com/manufacturer/onsemi?pageNo=856", "Onsemi")</f>
        <v>Onsemi</v>
      </c>
      <c r="C8945" s="6">
        <v>17500</v>
      </c>
      <c r="D8945" s="7">
        <v>1.06</v>
      </c>
      <c r="E8945" t="s">
        <v>16</v>
      </c>
    </row>
    <row r="8946" spans="1:5" x14ac:dyDescent="0.25">
      <c r="A8946" t="str">
        <f>HYPERLINK("https://www.773grp.com/globalSearch/MC74ACT240DWG/page-1", "MC74ACT240DWG")</f>
        <v>MC74ACT240DWG</v>
      </c>
      <c r="B8946" s="3" t="str">
        <f>HYPERLINK("https://www.773grp.com/manufacturer/onsemi?pageNo=857", "Onsemi")</f>
        <v>Onsemi</v>
      </c>
      <c r="C8946" s="6">
        <v>9101</v>
      </c>
      <c r="D8946" s="7">
        <v>1.06</v>
      </c>
      <c r="E8946" t="s">
        <v>11</v>
      </c>
    </row>
    <row r="8947" spans="1:5" x14ac:dyDescent="0.25">
      <c r="A8947" t="str">
        <f>HYPERLINK("https://www.773grp.com/globalSearch/MC74ACT240DWR2G/page-1", "MC74ACT240DWR2G")</f>
        <v>MC74ACT240DWR2G</v>
      </c>
      <c r="B8947" s="3" t="str">
        <f>HYPERLINK("https://www.773grp.com/manufacturer/onsemi?pageNo=858", "Onsemi")</f>
        <v>Onsemi</v>
      </c>
      <c r="C8947" s="6">
        <v>2839</v>
      </c>
      <c r="D8947" s="7">
        <v>1.06</v>
      </c>
      <c r="E8947" t="s">
        <v>11</v>
      </c>
    </row>
    <row r="8948" spans="1:5" x14ac:dyDescent="0.25">
      <c r="A8948" t="str">
        <f>HYPERLINK("https://www.773grp.com/globalSearch/MC74ACT241DWG/page-1", "MC74ACT241DWG")</f>
        <v>MC74ACT241DWG</v>
      </c>
      <c r="B8948" s="3" t="str">
        <f>HYPERLINK("https://www.773grp.com/manufacturer/onsemi?pageNo=859", "Onsemi")</f>
        <v>Onsemi</v>
      </c>
      <c r="C8948" s="6">
        <v>6026</v>
      </c>
      <c r="D8948" s="7">
        <v>1.06</v>
      </c>
      <c r="E8948" t="s">
        <v>11</v>
      </c>
    </row>
    <row r="8949" spans="1:5" x14ac:dyDescent="0.25">
      <c r="A8949" t="str">
        <f>HYPERLINK("https://www.773grp.com/globalSearch/MC74ACT241DWR2G/page-1", "MC74ACT241DWR2G")</f>
        <v>MC74ACT241DWR2G</v>
      </c>
      <c r="B8949" s="3" t="str">
        <f>HYPERLINK("https://www.773grp.com/manufacturer/onsemi?pageNo=860", "Onsemi")</f>
        <v>Onsemi</v>
      </c>
      <c r="C8949" s="6">
        <v>926</v>
      </c>
      <c r="D8949" s="7">
        <v>1.06</v>
      </c>
      <c r="E8949" t="s">
        <v>11</v>
      </c>
    </row>
    <row r="8950" spans="1:5" x14ac:dyDescent="0.25">
      <c r="A8950" t="str">
        <f>HYPERLINK("https://www.773grp.com/globalSearch/MC74ACT244DWG/page-1", "MC74ACT244DWG")</f>
        <v>MC74ACT244DWG</v>
      </c>
      <c r="B8950" s="3" t="str">
        <f>HYPERLINK("https://www.773grp.com/manufacturer/onsemi?pageNo=861", "Onsemi")</f>
        <v>Onsemi</v>
      </c>
      <c r="C8950" s="6">
        <v>1182</v>
      </c>
      <c r="D8950" s="7">
        <v>1.06</v>
      </c>
      <c r="E8950" t="s">
        <v>11</v>
      </c>
    </row>
    <row r="8951" spans="1:5" x14ac:dyDescent="0.25">
      <c r="A8951" t="str">
        <f>HYPERLINK("https://www.773grp.com/globalSearch/MC74ACT244DWR2G/page-1", "MC74ACT244DWR2G")</f>
        <v>MC74ACT244DWR2G</v>
      </c>
      <c r="B8951" s="3" t="str">
        <f>HYPERLINK("https://www.773grp.com/manufacturer/onsemi?pageNo=862", "Onsemi")</f>
        <v>Onsemi</v>
      </c>
      <c r="C8951" s="6">
        <v>1000</v>
      </c>
      <c r="D8951" s="7">
        <v>1.06</v>
      </c>
    </row>
    <row r="8952" spans="1:5" x14ac:dyDescent="0.25">
      <c r="A8952" t="str">
        <f>HYPERLINK("https://www.773grp.com/globalSearch/MC74ACT245DWG/page-1", "MC74ACT245DWG")</f>
        <v>MC74ACT245DWG</v>
      </c>
      <c r="B8952" s="3" t="str">
        <f>HYPERLINK("https://www.773grp.com/manufacturer/onsemi?pageNo=863", "Onsemi")</f>
        <v>Onsemi</v>
      </c>
      <c r="C8952" s="6">
        <v>3879</v>
      </c>
      <c r="D8952" s="7">
        <v>1.06</v>
      </c>
      <c r="E8952" t="s">
        <v>11</v>
      </c>
    </row>
    <row r="8953" spans="1:5" x14ac:dyDescent="0.25">
      <c r="A8953" t="str">
        <f>HYPERLINK("https://www.773grp.com/globalSearch/MC74ACT245DWR2G/page-1", "MC74ACT245DWR2G")</f>
        <v>MC74ACT245DWR2G</v>
      </c>
      <c r="B8953" s="3" t="str">
        <f>HYPERLINK("https://www.773grp.com/manufacturer/onsemi?pageNo=864", "Onsemi")</f>
        <v>Onsemi</v>
      </c>
      <c r="C8953" s="6">
        <v>1585</v>
      </c>
      <c r="D8953" s="7">
        <v>1.06</v>
      </c>
      <c r="E8953" t="s">
        <v>11</v>
      </c>
    </row>
    <row r="8954" spans="1:5" x14ac:dyDescent="0.25">
      <c r="A8954" t="str">
        <f>HYPERLINK("https://www.773grp.com/globalSearch/MC74ACT251D/page-1", "MC74ACT251D")</f>
        <v>MC74ACT251D</v>
      </c>
      <c r="B8954" s="3" t="str">
        <f>HYPERLINK("https://www.773grp.com/manufacturer/onsemi?pageNo=865", "Onsemi")</f>
        <v>Onsemi</v>
      </c>
      <c r="C8954" s="6">
        <v>13676</v>
      </c>
      <c r="D8954" s="7">
        <v>1.06</v>
      </c>
      <c r="E8954" t="s">
        <v>16</v>
      </c>
    </row>
    <row r="8955" spans="1:5" x14ac:dyDescent="0.25">
      <c r="A8955" t="str">
        <f>HYPERLINK("https://www.773grp.com/globalSearch/MC74ACT251DR2/page-1", "MC74ACT251DR2")</f>
        <v>MC74ACT251DR2</v>
      </c>
      <c r="B8955" s="3" t="str">
        <f>HYPERLINK("https://www.773grp.com/manufacturer/onsemi?pageNo=866", "Onsemi")</f>
        <v>Onsemi</v>
      </c>
      <c r="C8955" s="6">
        <v>17500</v>
      </c>
      <c r="D8955" s="7">
        <v>1.06</v>
      </c>
      <c r="E8955" t="s">
        <v>16</v>
      </c>
    </row>
    <row r="8956" spans="1:5" x14ac:dyDescent="0.25">
      <c r="A8956" t="str">
        <f>HYPERLINK("https://www.773grp.com/globalSearch/MC74ACT253DG/page-1", "MC74ACT253DG")</f>
        <v>MC74ACT253DG</v>
      </c>
      <c r="B8956" s="3" t="str">
        <f>HYPERLINK("https://www.773grp.com/manufacturer/onsemi?pageNo=867", "Onsemi")</f>
        <v>Onsemi</v>
      </c>
      <c r="C8956" s="6">
        <v>10128</v>
      </c>
      <c r="D8956" s="7">
        <v>1.06</v>
      </c>
      <c r="E8956" t="s">
        <v>16</v>
      </c>
    </row>
    <row r="8957" spans="1:5" x14ac:dyDescent="0.25">
      <c r="A8957" t="str">
        <f>HYPERLINK("https://www.773grp.com/globalSearch/MC74ACT253DR2G/page-1", "MC74ACT253DR2G")</f>
        <v>MC74ACT253DR2G</v>
      </c>
      <c r="B8957" s="3" t="str">
        <f>HYPERLINK("https://www.773grp.com/manufacturer/onsemi?pageNo=868", "Onsemi")</f>
        <v>Onsemi</v>
      </c>
      <c r="C8957" s="6">
        <v>2500</v>
      </c>
      <c r="D8957" s="7">
        <v>1.06</v>
      </c>
      <c r="E8957" t="s">
        <v>16</v>
      </c>
    </row>
    <row r="8958" spans="1:5" x14ac:dyDescent="0.25">
      <c r="A8958" t="str">
        <f>HYPERLINK("https://www.773grp.com/globalSearch/MC74ACT257DG/page-1", "MC74ACT257DG")</f>
        <v>MC74ACT257DG</v>
      </c>
      <c r="B8958" s="3" t="str">
        <f>HYPERLINK("https://www.773grp.com/manufacturer/onsemi?pageNo=869", "Onsemi")</f>
        <v>Onsemi</v>
      </c>
      <c r="C8958" s="6">
        <v>17323</v>
      </c>
      <c r="D8958" s="7">
        <v>1.06</v>
      </c>
      <c r="E8958" t="s">
        <v>16</v>
      </c>
    </row>
    <row r="8959" spans="1:5" x14ac:dyDescent="0.25">
      <c r="A8959" t="str">
        <f>HYPERLINK("https://www.773grp.com/globalSearch/MC74ACT257DR2G/page-1", "MC74ACT257DR2G")</f>
        <v>MC74ACT257DR2G</v>
      </c>
      <c r="B8959" s="3" t="str">
        <f>HYPERLINK("https://www.773grp.com/manufacturer/onsemi?pageNo=870", "Onsemi")</f>
        <v>Onsemi</v>
      </c>
      <c r="C8959" s="6">
        <v>67500</v>
      </c>
      <c r="D8959" s="7">
        <v>1.06</v>
      </c>
      <c r="E8959" t="s">
        <v>16</v>
      </c>
    </row>
    <row r="8960" spans="1:5" x14ac:dyDescent="0.25">
      <c r="A8960" t="str">
        <f>HYPERLINK("https://www.773grp.com/globalSearch/MC74ACT32NG/page-1", "MC74ACT32NG")</f>
        <v>MC74ACT32NG</v>
      </c>
      <c r="B8960" s="3" t="str">
        <f>HYPERLINK("https://www.773grp.com/manufacturer/onsemi?pageNo=871", "Onsemi")</f>
        <v>Onsemi</v>
      </c>
      <c r="C8960" s="6">
        <v>26910</v>
      </c>
      <c r="D8960" s="7">
        <v>1.06</v>
      </c>
      <c r="E8960" t="s">
        <v>27</v>
      </c>
    </row>
    <row r="8961" spans="1:5" x14ac:dyDescent="0.25">
      <c r="A8961" t="str">
        <f>HYPERLINK("https://www.773grp.com/globalSearch/MC74ACT373DW/page-1", "MC74ACT373DW")</f>
        <v>MC74ACT373DW</v>
      </c>
      <c r="B8961" s="3" t="str">
        <f>HYPERLINK("https://www.773grp.com/manufacturer/onsemi?pageNo=872", "Onsemi")</f>
        <v>Onsemi</v>
      </c>
      <c r="C8961" s="6">
        <v>836</v>
      </c>
      <c r="D8961" s="7">
        <v>1.06</v>
      </c>
      <c r="E8961" t="s">
        <v>11</v>
      </c>
    </row>
    <row r="8962" spans="1:5" x14ac:dyDescent="0.25">
      <c r="A8962" t="str">
        <f>HYPERLINK("https://www.773grp.com/globalSearch/MC74ACT373DWG/page-1", "MC74ACT373DWG")</f>
        <v>MC74ACT373DWG</v>
      </c>
      <c r="B8962" s="3" t="str">
        <f>HYPERLINK("https://www.773grp.com/manufacturer/onsemi?pageNo=873", "Onsemi")</f>
        <v>Onsemi</v>
      </c>
      <c r="C8962" s="6">
        <v>8386</v>
      </c>
      <c r="D8962" s="7">
        <v>1.06</v>
      </c>
      <c r="E8962" t="s">
        <v>11</v>
      </c>
    </row>
    <row r="8963" spans="1:5" x14ac:dyDescent="0.25">
      <c r="A8963" t="str">
        <f>HYPERLINK("https://www.773grp.com/globalSearch/MC74ACT373DWR2G/page-1", "MC74ACT373DWR2G")</f>
        <v>MC74ACT373DWR2G</v>
      </c>
      <c r="B8963" s="3" t="str">
        <f>HYPERLINK("https://www.773grp.com/manufacturer/onsemi?pageNo=874", "Onsemi")</f>
        <v>Onsemi</v>
      </c>
      <c r="C8963" s="6">
        <v>11000</v>
      </c>
      <c r="D8963" s="7">
        <v>1.06</v>
      </c>
      <c r="E8963" t="s">
        <v>11</v>
      </c>
    </row>
    <row r="8964" spans="1:5" x14ac:dyDescent="0.25">
      <c r="A8964" t="str">
        <f>HYPERLINK("https://www.773grp.com/globalSearch/MC74ACT374DWG/page-1", "MC74ACT374DWG")</f>
        <v>MC74ACT374DWG</v>
      </c>
      <c r="B8964" s="3" t="str">
        <f>HYPERLINK("https://www.773grp.com/manufacturer/onsemi?pageNo=875", "Onsemi")</f>
        <v>Onsemi</v>
      </c>
      <c r="C8964" s="6">
        <v>2090</v>
      </c>
      <c r="D8964" s="7">
        <v>1.06</v>
      </c>
      <c r="E8964" t="s">
        <v>11</v>
      </c>
    </row>
    <row r="8965" spans="1:5" x14ac:dyDescent="0.25">
      <c r="A8965" t="str">
        <f>HYPERLINK("https://www.773grp.com/globalSearch/MC74ACT374DWR2G/page-1", "MC74ACT374DWR2G")</f>
        <v>MC74ACT374DWR2G</v>
      </c>
      <c r="B8965" s="3" t="str">
        <f>HYPERLINK("https://www.773grp.com/manufacturer/onsemi?pageNo=876", "Onsemi")</f>
        <v>Onsemi</v>
      </c>
      <c r="C8965" s="6">
        <v>1852</v>
      </c>
      <c r="D8965" s="7">
        <v>1.06</v>
      </c>
      <c r="E8965" t="s">
        <v>11</v>
      </c>
    </row>
    <row r="8966" spans="1:5" x14ac:dyDescent="0.25">
      <c r="A8966" t="str">
        <f>HYPERLINK("https://www.773grp.com/globalSearch/MC74ACT540DTR2G/page-1", "MC74ACT540DTR2G")</f>
        <v>MC74ACT540DTR2G</v>
      </c>
      <c r="B8966" s="3" t="str">
        <f>HYPERLINK("https://www.773grp.com/manufacturer/onsemi?pageNo=877", "Onsemi")</f>
        <v>Onsemi</v>
      </c>
      <c r="C8966" s="6">
        <v>30000</v>
      </c>
      <c r="D8966" s="7">
        <v>1.06</v>
      </c>
    </row>
    <row r="8967" spans="1:5" x14ac:dyDescent="0.25">
      <c r="A8967" t="str">
        <f>HYPERLINK("https://www.773grp.com/globalSearch/MC74ACT540DWG/page-1", "MC74ACT540DWG")</f>
        <v>MC74ACT540DWG</v>
      </c>
      <c r="B8967" s="3" t="str">
        <f>HYPERLINK("https://www.773grp.com/manufacturer/onsemi?pageNo=878", "Onsemi")</f>
        <v>Onsemi</v>
      </c>
      <c r="C8967" s="6">
        <v>5472</v>
      </c>
      <c r="D8967" s="7">
        <v>1.06</v>
      </c>
      <c r="E8967" t="s">
        <v>11</v>
      </c>
    </row>
    <row r="8968" spans="1:5" x14ac:dyDescent="0.25">
      <c r="A8968" t="str">
        <f>HYPERLINK("https://www.773grp.com/globalSearch/MC74ACT540DWR2/page-1", "MC74ACT540DWR2")</f>
        <v>MC74ACT540DWR2</v>
      </c>
      <c r="B8968" s="3" t="str">
        <f>HYPERLINK("https://www.773grp.com/manufacturer/onsemi?pageNo=879", "Onsemi")</f>
        <v>Onsemi</v>
      </c>
      <c r="C8968" s="6">
        <v>15000</v>
      </c>
      <c r="D8968" s="7">
        <v>1.06</v>
      </c>
      <c r="E8968" t="s">
        <v>11</v>
      </c>
    </row>
    <row r="8969" spans="1:5" x14ac:dyDescent="0.25">
      <c r="A8969" t="str">
        <f>HYPERLINK("https://www.773grp.com/globalSearch/MC74ACT540DWR2G/page-1", "MC74ACT540DWR2G")</f>
        <v>MC74ACT540DWR2G</v>
      </c>
      <c r="B8969" s="3" t="str">
        <f>HYPERLINK("https://www.773grp.com/manufacturer/onsemi?pageNo=880", "Onsemi")</f>
        <v>Onsemi</v>
      </c>
      <c r="C8969" s="6">
        <v>1874</v>
      </c>
      <c r="D8969" s="7">
        <v>1.06</v>
      </c>
      <c r="E8969" t="s">
        <v>11</v>
      </c>
    </row>
    <row r="8970" spans="1:5" x14ac:dyDescent="0.25">
      <c r="A8970" t="str">
        <f>HYPERLINK("https://www.773grp.com/globalSearch/MC74ACT541DTG/page-1", "MC74ACT541DTG")</f>
        <v>MC74ACT541DTG</v>
      </c>
      <c r="B8970" s="3" t="str">
        <f>HYPERLINK("https://www.773grp.com/manufacturer/onsemi?pageNo=881", "Onsemi")</f>
        <v>Onsemi</v>
      </c>
      <c r="C8970" s="6">
        <v>11325</v>
      </c>
      <c r="D8970" s="7">
        <v>1.06</v>
      </c>
      <c r="E8970" t="s">
        <v>11</v>
      </c>
    </row>
    <row r="8971" spans="1:5" x14ac:dyDescent="0.25">
      <c r="A8971" t="str">
        <f>HYPERLINK("https://www.773grp.com/globalSearch/MC74ACT541DTR2G/page-1", "MC74ACT541DTR2G")</f>
        <v>MC74ACT541DTR2G</v>
      </c>
      <c r="B8971" s="3" t="str">
        <f>HYPERLINK("https://www.773grp.com/manufacturer/onsemi?pageNo=882", "Onsemi")</f>
        <v>Onsemi</v>
      </c>
      <c r="C8971" s="6">
        <v>9862</v>
      </c>
      <c r="D8971" s="7">
        <v>1.06</v>
      </c>
      <c r="E8971" t="s">
        <v>11</v>
      </c>
    </row>
    <row r="8972" spans="1:5" x14ac:dyDescent="0.25">
      <c r="A8972" t="str">
        <f>HYPERLINK("https://www.773grp.com/globalSearch/MC74ACT541DW/page-1", "MC74ACT541DW")</f>
        <v>MC74ACT541DW</v>
      </c>
      <c r="B8972" s="3" t="str">
        <f>HYPERLINK("https://www.773grp.com/manufacturer/onsemi?pageNo=883", "Onsemi")</f>
        <v>Onsemi</v>
      </c>
      <c r="C8972" s="6">
        <v>958</v>
      </c>
      <c r="D8972" s="7">
        <v>1.06</v>
      </c>
      <c r="E8972" t="s">
        <v>11</v>
      </c>
    </row>
    <row r="8973" spans="1:5" x14ac:dyDescent="0.25">
      <c r="A8973" t="str">
        <f>HYPERLINK("https://www.773grp.com/globalSearch/MC74ACT541DWG/page-1", "MC74ACT541DWG")</f>
        <v>MC74ACT541DWG</v>
      </c>
      <c r="B8973" s="3" t="str">
        <f>HYPERLINK("https://www.773grp.com/manufacturer/onsemi?pageNo=884", "Onsemi")</f>
        <v>Onsemi</v>
      </c>
      <c r="C8973" s="6">
        <v>3330</v>
      </c>
      <c r="D8973" s="7">
        <v>1.06</v>
      </c>
      <c r="E8973" t="s">
        <v>11</v>
      </c>
    </row>
    <row r="8974" spans="1:5" x14ac:dyDescent="0.25">
      <c r="A8974" t="str">
        <f>HYPERLINK("https://www.773grp.com/globalSearch/MC74ACT541DWR2/page-1", "MC74ACT541DWR2")</f>
        <v>MC74ACT541DWR2</v>
      </c>
      <c r="B8974" s="3" t="str">
        <f>HYPERLINK("https://www.773grp.com/manufacturer/onsemi?pageNo=885", "Onsemi")</f>
        <v>Onsemi</v>
      </c>
      <c r="C8974" s="6">
        <v>5000</v>
      </c>
      <c r="D8974" s="7">
        <v>1.06</v>
      </c>
      <c r="E8974" t="s">
        <v>11</v>
      </c>
    </row>
    <row r="8975" spans="1:5" x14ac:dyDescent="0.25">
      <c r="A8975" t="str">
        <f>HYPERLINK("https://www.773grp.com/globalSearch/MC74ACT541DWR2G/page-1", "MC74ACT541DWR2G")</f>
        <v>MC74ACT541DWR2G</v>
      </c>
      <c r="B8975" s="3" t="str">
        <f>HYPERLINK("https://www.773grp.com/manufacturer/onsemi?pageNo=886", "Onsemi")</f>
        <v>Onsemi</v>
      </c>
      <c r="C8975" s="6">
        <v>1740</v>
      </c>
      <c r="D8975" s="7">
        <v>1.06</v>
      </c>
      <c r="E8975" t="s">
        <v>11</v>
      </c>
    </row>
    <row r="8976" spans="1:5" x14ac:dyDescent="0.25">
      <c r="A8976" t="str">
        <f>HYPERLINK("https://www.773grp.com/globalSearch/MC74ACT573DWG/page-1", "MC74ACT573DWG")</f>
        <v>MC74ACT573DWG</v>
      </c>
      <c r="B8976" s="3" t="str">
        <f>HYPERLINK("https://www.773grp.com/manufacturer/onsemi?pageNo=887", "Onsemi")</f>
        <v>Onsemi</v>
      </c>
      <c r="C8976" s="6">
        <v>4518</v>
      </c>
      <c r="D8976" s="7">
        <v>1.06</v>
      </c>
      <c r="E8976" t="s">
        <v>11</v>
      </c>
    </row>
    <row r="8977" spans="1:5" x14ac:dyDescent="0.25">
      <c r="A8977" t="str">
        <f>HYPERLINK("https://www.773grp.com/globalSearch/MC74ACT573DWR2G/page-1", "MC74ACT573DWR2G")</f>
        <v>MC74ACT573DWR2G</v>
      </c>
      <c r="B8977" s="3" t="str">
        <f>HYPERLINK("https://www.773grp.com/manufacturer/onsemi?pageNo=888", "Onsemi")</f>
        <v>Onsemi</v>
      </c>
      <c r="C8977" s="6">
        <v>6000</v>
      </c>
      <c r="D8977" s="7">
        <v>1.06</v>
      </c>
      <c r="E8977" t="s">
        <v>11</v>
      </c>
    </row>
    <row r="8978" spans="1:5" x14ac:dyDescent="0.25">
      <c r="A8978" t="str">
        <f>HYPERLINK("https://www.773grp.com/globalSearch/MC74ACT574DWG/page-1", "MC74ACT574DWG")</f>
        <v>MC74ACT574DWG</v>
      </c>
      <c r="B8978" s="3" t="str">
        <f>HYPERLINK("https://www.773grp.com/manufacturer/onsemi?pageNo=889", "Onsemi")</f>
        <v>Onsemi</v>
      </c>
      <c r="C8978" s="6">
        <v>9051</v>
      </c>
      <c r="D8978" s="7">
        <v>1.06</v>
      </c>
      <c r="E8978" t="s">
        <v>11</v>
      </c>
    </row>
    <row r="8979" spans="1:5" x14ac:dyDescent="0.25">
      <c r="A8979" t="str">
        <f>HYPERLINK("https://www.773grp.com/globalSearch/MC74ACT574DWR2G/page-1", "MC74ACT574DWR2G")</f>
        <v>MC74ACT574DWR2G</v>
      </c>
      <c r="B8979" s="3" t="str">
        <f>HYPERLINK("https://www.773grp.com/manufacturer/onsemi?pageNo=890", "Onsemi")</f>
        <v>Onsemi</v>
      </c>
      <c r="C8979" s="6">
        <v>3000</v>
      </c>
      <c r="D8979" s="7">
        <v>1.06</v>
      </c>
      <c r="E8979" t="s">
        <v>11</v>
      </c>
    </row>
    <row r="8980" spans="1:5" x14ac:dyDescent="0.25">
      <c r="A8980" t="str">
        <f>HYPERLINK("https://www.773grp.com/globalSearch/MC74ACT74NG/page-1", "MC74ACT74NG")</f>
        <v>MC74ACT74NG</v>
      </c>
      <c r="B8980" s="3" t="str">
        <f>HYPERLINK("https://www.773grp.com/manufacturer/onsemi?pageNo=891", "Onsemi")</f>
        <v>Onsemi</v>
      </c>
      <c r="C8980" s="6">
        <v>5808</v>
      </c>
      <c r="D8980" s="7">
        <v>1.06</v>
      </c>
      <c r="E8980" t="s">
        <v>31</v>
      </c>
    </row>
    <row r="8981" spans="1:5" x14ac:dyDescent="0.25">
      <c r="A8981" t="str">
        <f>HYPERLINK("https://www.773grp.com/globalSearch/MC74ACT86NG/page-1", "MC74ACT86NG")</f>
        <v>MC74ACT86NG</v>
      </c>
      <c r="B8981" s="3" t="str">
        <f>HYPERLINK("https://www.773grp.com/manufacturer/onsemi?pageNo=892", "Onsemi")</f>
        <v>Onsemi</v>
      </c>
      <c r="C8981" s="6">
        <v>35927</v>
      </c>
      <c r="D8981" s="7">
        <v>1.06</v>
      </c>
      <c r="E8981" t="s">
        <v>27</v>
      </c>
    </row>
    <row r="8982" spans="1:5" x14ac:dyDescent="0.25">
      <c r="A8982" t="str">
        <f>HYPERLINK("https://www.773grp.com/globalSearch/MC74F112D/page-1", "MC74F112D")</f>
        <v>MC74F112D</v>
      </c>
      <c r="B8982" s="3" t="str">
        <f>HYPERLINK("https://www.773grp.com/manufacturer/onsemi?pageNo=893", "Onsemi")</f>
        <v>Onsemi</v>
      </c>
      <c r="C8982" s="6">
        <v>9572</v>
      </c>
      <c r="D8982" s="7">
        <v>1.06</v>
      </c>
      <c r="E8982" t="s">
        <v>31</v>
      </c>
    </row>
    <row r="8983" spans="1:5" x14ac:dyDescent="0.25">
      <c r="A8983" t="str">
        <f>HYPERLINK("https://www.773grp.com/globalSearch/MC74F112N/page-1", "MC74F112N")</f>
        <v>MC74F112N</v>
      </c>
      <c r="B8983" s="3" t="str">
        <f>HYPERLINK("https://www.773grp.com/manufacturer/onsemi?pageNo=894", "Onsemi")</f>
        <v>Onsemi</v>
      </c>
      <c r="C8983" s="6">
        <v>587</v>
      </c>
      <c r="D8983" s="7">
        <v>1.06</v>
      </c>
      <c r="E8983" t="s">
        <v>31</v>
      </c>
    </row>
    <row r="8984" spans="1:5" x14ac:dyDescent="0.25">
      <c r="A8984" t="str">
        <f>HYPERLINK("https://www.773grp.com/globalSearch/MC74F174N/page-1", "MC74F174N")</f>
        <v>MC74F174N</v>
      </c>
      <c r="B8984" s="3" t="str">
        <f>HYPERLINK("https://www.773grp.com/manufacturer/onsemi?pageNo=895", "Onsemi")</f>
        <v>Onsemi</v>
      </c>
      <c r="C8984" s="6">
        <v>41</v>
      </c>
      <c r="D8984" s="7">
        <v>1.06</v>
      </c>
      <c r="E8984" t="s">
        <v>31</v>
      </c>
    </row>
    <row r="8985" spans="1:5" x14ac:dyDescent="0.25">
      <c r="A8985" t="str">
        <f>HYPERLINK("https://www.773grp.com/globalSearch/MC74F175N/page-1", "MC74F175N")</f>
        <v>MC74F175N</v>
      </c>
      <c r="B8985" s="3" t="str">
        <f>HYPERLINK("https://www.773grp.com/manufacturer/onsemi?pageNo=896", "Onsemi")</f>
        <v>Onsemi</v>
      </c>
      <c r="C8985" s="6">
        <v>53</v>
      </c>
      <c r="D8985" s="7">
        <v>1.06</v>
      </c>
      <c r="E8985" t="s">
        <v>31</v>
      </c>
    </row>
    <row r="8986" spans="1:5" x14ac:dyDescent="0.25">
      <c r="A8986" t="str">
        <f>HYPERLINK("https://www.773grp.com/globalSearch/MC74HC10F/page-1", "MC74HC10F")</f>
        <v>MC74HC10F</v>
      </c>
      <c r="B8986" s="3" t="str">
        <f>HYPERLINK("https://www.773grp.com/manufacturer/onsemi?pageNo=897", "Onsemi")</f>
        <v>Onsemi</v>
      </c>
      <c r="C8986" s="6">
        <v>605</v>
      </c>
      <c r="D8986" s="7">
        <v>1.06</v>
      </c>
    </row>
    <row r="8987" spans="1:5" x14ac:dyDescent="0.25">
      <c r="A8987" t="str">
        <f>HYPERLINK("https://www.773grp.com/globalSearch/MC74HC125ADG/page-1", "MC74HC125ADG")</f>
        <v>MC74HC125ADG</v>
      </c>
      <c r="B8987" s="3" t="str">
        <f>HYPERLINK("https://www.773grp.com/manufacturer/onsemi?pageNo=898", "Onsemi")</f>
        <v>Onsemi</v>
      </c>
      <c r="C8987" s="6">
        <v>15530</v>
      </c>
      <c r="D8987" s="7">
        <v>1.06</v>
      </c>
      <c r="E8987" t="s">
        <v>11</v>
      </c>
    </row>
    <row r="8988" spans="1:5" x14ac:dyDescent="0.25">
      <c r="A8988" t="str">
        <f>HYPERLINK("https://www.773grp.com/globalSearch/MC74HC125ADR2G/page-1", "MC74HC125ADR2G")</f>
        <v>MC74HC125ADR2G</v>
      </c>
      <c r="B8988" s="3" t="str">
        <f>HYPERLINK("https://www.773grp.com/manufacturer/onsemi?pageNo=899", "Onsemi")</f>
        <v>Onsemi</v>
      </c>
      <c r="C8988" s="6">
        <v>133694</v>
      </c>
      <c r="D8988" s="7">
        <v>1.06</v>
      </c>
      <c r="E8988" t="s">
        <v>11</v>
      </c>
    </row>
    <row r="8989" spans="1:5" x14ac:dyDescent="0.25">
      <c r="A8989" t="str">
        <f>HYPERLINK("https://www.773grp.com/globalSearch/MC74HC126ADG/page-1", "MC74HC126ADG")</f>
        <v>MC74HC126ADG</v>
      </c>
      <c r="B8989" s="3" t="str">
        <f>HYPERLINK("https://www.773grp.com/manufacturer/onsemi?pageNo=900", "Onsemi")</f>
        <v>Onsemi</v>
      </c>
      <c r="C8989" s="6">
        <v>64577</v>
      </c>
      <c r="D8989" s="7">
        <v>1.06</v>
      </c>
      <c r="E8989" t="s">
        <v>11</v>
      </c>
    </row>
    <row r="8990" spans="1:5" x14ac:dyDescent="0.25">
      <c r="A8990" t="str">
        <f>HYPERLINK("https://www.773grp.com/globalSearch/MC74HC126ADR2G/page-1", "MC74HC126ADR2G")</f>
        <v>MC74HC126ADR2G</v>
      </c>
      <c r="B8990" s="3" t="str">
        <f>HYPERLINK("https://www.773grp.com/manufacturer/onsemi?pageNo=901", "Onsemi")</f>
        <v>Onsemi</v>
      </c>
      <c r="C8990" s="6">
        <v>41011</v>
      </c>
      <c r="D8990" s="7">
        <v>1.06</v>
      </c>
      <c r="E8990" t="s">
        <v>11</v>
      </c>
    </row>
    <row r="8991" spans="1:5" x14ac:dyDescent="0.25">
      <c r="A8991" t="str">
        <f>HYPERLINK("https://www.773grp.com/globalSearch/MC74HC132ADG/page-1", "MC74HC132ADG")</f>
        <v>MC74HC132ADG</v>
      </c>
      <c r="B8991" s="3" t="str">
        <f>HYPERLINK("https://www.773grp.com/manufacturer/onsemi?pageNo=902", "Onsemi")</f>
        <v>Onsemi</v>
      </c>
      <c r="C8991" s="6">
        <v>30650</v>
      </c>
      <c r="D8991" s="7">
        <v>1.06</v>
      </c>
      <c r="E8991" t="s">
        <v>27</v>
      </c>
    </row>
    <row r="8992" spans="1:5" x14ac:dyDescent="0.25">
      <c r="A8992" t="str">
        <f>HYPERLINK("https://www.773grp.com/globalSearch/MC74HC132ADR2G/page-1", "MC74HC132ADR2G")</f>
        <v>MC74HC132ADR2G</v>
      </c>
      <c r="B8992" s="3" t="str">
        <f>HYPERLINK("https://www.773grp.com/manufacturer/onsemi?pageNo=903", "Onsemi")</f>
        <v>Onsemi</v>
      </c>
      <c r="C8992" s="6">
        <v>51048</v>
      </c>
      <c r="D8992" s="7">
        <v>1.06</v>
      </c>
      <c r="E8992" t="s">
        <v>27</v>
      </c>
    </row>
    <row r="8993" spans="1:5" x14ac:dyDescent="0.25">
      <c r="A8993" t="str">
        <f>HYPERLINK("https://www.773grp.com/globalSearch/MC74HC137F/page-1", "MC74HC137F")</f>
        <v>MC74HC137F</v>
      </c>
      <c r="B8993" s="3" t="str">
        <f>HYPERLINK("https://www.773grp.com/manufacturer/onsemi?pageNo=904", "Onsemi")</f>
        <v>Onsemi</v>
      </c>
      <c r="C8993" s="6">
        <v>5640</v>
      </c>
      <c r="D8993" s="7">
        <v>1.06</v>
      </c>
    </row>
    <row r="8994" spans="1:5" x14ac:dyDescent="0.25">
      <c r="A8994" t="str">
        <f>HYPERLINK("https://www.773grp.com/globalSearch/MC74HC139AFELG/page-1", "MC74HC139AFELG")</f>
        <v>MC74HC139AFELG</v>
      </c>
      <c r="B8994" s="3" t="str">
        <f>HYPERLINK("https://www.773grp.com/manufacturer/onsemi?pageNo=905", "Onsemi")</f>
        <v>Onsemi</v>
      </c>
      <c r="C8994" s="6">
        <v>4329</v>
      </c>
      <c r="D8994" s="7">
        <v>1.06</v>
      </c>
      <c r="E8994" t="s">
        <v>32</v>
      </c>
    </row>
    <row r="8995" spans="1:5" x14ac:dyDescent="0.25">
      <c r="A8995" t="str">
        <f>HYPERLINK("https://www.773grp.com/globalSearch/MC74HC147DR2/page-1", "MC74HC147DR2")</f>
        <v>MC74HC147DR2</v>
      </c>
      <c r="B8995" s="3" t="str">
        <f>HYPERLINK("https://www.773grp.com/manufacturer/onsemi?pageNo=906", "Onsemi")</f>
        <v>Onsemi</v>
      </c>
      <c r="C8995" s="6">
        <v>1639</v>
      </c>
      <c r="D8995" s="7">
        <v>1.06</v>
      </c>
      <c r="E8995" t="s">
        <v>38</v>
      </c>
    </row>
    <row r="8996" spans="1:5" x14ac:dyDescent="0.25">
      <c r="A8996" t="str">
        <f>HYPERLINK("https://www.773grp.com/globalSearch/MC74HC147F/page-1", "MC74HC147F")</f>
        <v>MC74HC147F</v>
      </c>
      <c r="B8996" s="3" t="str">
        <f>HYPERLINK("https://www.773grp.com/manufacturer/onsemi?pageNo=907", "Onsemi")</f>
        <v>Onsemi</v>
      </c>
      <c r="C8996" s="6">
        <v>1625</v>
      </c>
      <c r="D8996" s="7">
        <v>1.06</v>
      </c>
    </row>
    <row r="8997" spans="1:5" x14ac:dyDescent="0.25">
      <c r="A8997" t="str">
        <f>HYPERLINK("https://www.773grp.com/globalSearch/MC74HC14AFELG/page-1", "MC74HC14AFELG")</f>
        <v>MC74HC14AFELG</v>
      </c>
      <c r="B8997" s="3" t="str">
        <f>HYPERLINK("https://www.773grp.com/manufacturer/onsemi?pageNo=908", "Onsemi")</f>
        <v>Onsemi</v>
      </c>
      <c r="C8997" s="6">
        <v>43675</v>
      </c>
      <c r="D8997" s="7">
        <v>1.06</v>
      </c>
      <c r="E8997" t="s">
        <v>27</v>
      </c>
    </row>
    <row r="8998" spans="1:5" x14ac:dyDescent="0.25">
      <c r="A8998" t="str">
        <f>HYPERLINK("https://www.773grp.com/globalSearch/MC74HC14AFG/page-1", "MC74HC14AFG")</f>
        <v>MC74HC14AFG</v>
      </c>
      <c r="B8998" s="3" t="str">
        <f>HYPERLINK("https://www.773grp.com/manufacturer/onsemi?pageNo=909", "Onsemi")</f>
        <v>Onsemi</v>
      </c>
      <c r="C8998" s="6">
        <v>4391</v>
      </c>
      <c r="D8998" s="7">
        <v>1.06</v>
      </c>
    </row>
    <row r="8999" spans="1:5" x14ac:dyDescent="0.25">
      <c r="A8999" t="str">
        <f>HYPERLINK("https://www.773grp.com/globalSearch/MC74HC164ADG/page-1", "MC74HC164ADG")</f>
        <v>MC74HC164ADG</v>
      </c>
      <c r="B8999" s="3" t="str">
        <f>HYPERLINK("https://www.773grp.com/manufacturer/onsemi?pageNo=910", "Onsemi")</f>
        <v>Onsemi</v>
      </c>
      <c r="C8999" s="6">
        <v>17215</v>
      </c>
      <c r="D8999" s="7">
        <v>1.06</v>
      </c>
      <c r="E8999" t="s">
        <v>28</v>
      </c>
    </row>
    <row r="9000" spans="1:5" x14ac:dyDescent="0.25">
      <c r="A9000" t="str">
        <f>HYPERLINK("https://www.773grp.com/globalSearch/MC74HC164ADR2G/page-1", "MC74HC164ADR2G")</f>
        <v>MC74HC164ADR2G</v>
      </c>
      <c r="B9000" s="3" t="str">
        <f>HYPERLINK("https://www.773grp.com/manufacturer/onsemi?pageNo=911", "Onsemi")</f>
        <v>Onsemi</v>
      </c>
      <c r="C9000" s="6">
        <v>2822560</v>
      </c>
      <c r="D9000" s="7">
        <v>1.06</v>
      </c>
      <c r="E9000" t="s">
        <v>28</v>
      </c>
    </row>
    <row r="9001" spans="1:5" x14ac:dyDescent="0.25">
      <c r="A9001" t="str">
        <f>HYPERLINK("https://www.773grp.com/globalSearch/MC74HC194N/page-1", "MC74HC194N")</f>
        <v>MC74HC194N</v>
      </c>
      <c r="B9001" s="3" t="str">
        <f>HYPERLINK("https://www.773grp.com/manufacturer/onsemi?pageNo=912", "Onsemi")</f>
        <v>Onsemi</v>
      </c>
      <c r="C9001" s="6">
        <v>3752</v>
      </c>
      <c r="D9001" s="7">
        <v>1.06</v>
      </c>
      <c r="E9001" t="s">
        <v>28</v>
      </c>
    </row>
    <row r="9002" spans="1:5" x14ac:dyDescent="0.25">
      <c r="A9002" t="str">
        <f>HYPERLINK("https://www.773grp.com/globalSearch/MC74HC195FL1/page-1", "MC74HC195FL1")</f>
        <v>MC74HC195FL1</v>
      </c>
      <c r="B9002" s="3" t="str">
        <f>HYPERLINK("https://www.773grp.com/manufacturer/onsemi?pageNo=913", "Onsemi")</f>
        <v>Onsemi</v>
      </c>
      <c r="C9002" s="6">
        <v>5000</v>
      </c>
      <c r="D9002" s="7">
        <v>1.06</v>
      </c>
    </row>
    <row r="9003" spans="1:5" x14ac:dyDescent="0.25">
      <c r="A9003" t="str">
        <f>HYPERLINK("https://www.773grp.com/globalSearch/MC74HC393AFELG/page-1", "MC74HC393AFELG")</f>
        <v>MC74HC393AFELG</v>
      </c>
      <c r="B9003" s="3" t="str">
        <f>HYPERLINK("https://www.773grp.com/manufacturer/onsemi?pageNo=914", "Onsemi")</f>
        <v>Onsemi</v>
      </c>
      <c r="C9003" s="6">
        <v>10000</v>
      </c>
      <c r="D9003" s="7">
        <v>1.06</v>
      </c>
      <c r="E9003" t="s">
        <v>22</v>
      </c>
    </row>
    <row r="9004" spans="1:5" x14ac:dyDescent="0.25">
      <c r="A9004" t="str">
        <f>HYPERLINK("https://www.773grp.com/globalSearch/MC74HC4024DT/page-1", "MC74HC4024DT")</f>
        <v>MC74HC4024DT</v>
      </c>
      <c r="B9004" s="3" t="str">
        <f>HYPERLINK("https://www.773grp.com/manufacturer/onsemi?pageNo=915", "Onsemi")</f>
        <v>Onsemi</v>
      </c>
      <c r="C9004" s="6">
        <v>89</v>
      </c>
      <c r="D9004" s="7">
        <v>1.06</v>
      </c>
    </row>
    <row r="9005" spans="1:5" x14ac:dyDescent="0.25">
      <c r="A9005" t="str">
        <f>HYPERLINK("https://www.773grp.com/globalSearch/MC74HC4024F/page-1", "MC74HC4024F")</f>
        <v>MC74HC4024F</v>
      </c>
      <c r="B9005" s="3" t="str">
        <f>HYPERLINK("https://www.773grp.com/manufacturer/onsemi?pageNo=916", "Onsemi")</f>
        <v>Onsemi</v>
      </c>
      <c r="C9005" s="6">
        <v>150</v>
      </c>
      <c r="D9005" s="7">
        <v>1.06</v>
      </c>
    </row>
    <row r="9006" spans="1:5" x14ac:dyDescent="0.25">
      <c r="A9006" t="str">
        <f>HYPERLINK("https://www.773grp.com/globalSearch/MC74HC4024FL1/page-1", "MC74HC4024FL1")</f>
        <v>MC74HC4024FL1</v>
      </c>
      <c r="B9006" s="3" t="str">
        <f>HYPERLINK("https://www.773grp.com/manufacturer/onsemi?pageNo=917", "Onsemi")</f>
        <v>Onsemi</v>
      </c>
      <c r="C9006" s="6">
        <v>2000</v>
      </c>
      <c r="D9006" s="7">
        <v>1.06</v>
      </c>
    </row>
    <row r="9007" spans="1:5" x14ac:dyDescent="0.25">
      <c r="A9007" t="str">
        <f>HYPERLINK("https://www.773grp.com/globalSearch/MC74HC4049D/page-1", "MC74HC4049D")</f>
        <v>MC74HC4049D</v>
      </c>
      <c r="B9007" s="3" t="str">
        <f>HYPERLINK("https://www.773grp.com/manufacturer/onsemi?pageNo=918", "Onsemi")</f>
        <v>Onsemi</v>
      </c>
      <c r="C9007" s="6">
        <v>7242</v>
      </c>
      <c r="D9007" s="7">
        <v>1.06</v>
      </c>
      <c r="E9007" t="s">
        <v>27</v>
      </c>
    </row>
    <row r="9008" spans="1:5" x14ac:dyDescent="0.25">
      <c r="A9008" t="str">
        <f>HYPERLINK("https://www.773grp.com/globalSearch/MC74HC4049DR2/page-1", "MC74HC4049DR2")</f>
        <v>MC74HC4049DR2</v>
      </c>
      <c r="B9008" s="3" t="str">
        <f>HYPERLINK("https://www.773grp.com/manufacturer/onsemi?pageNo=919", "Onsemi")</f>
        <v>Onsemi</v>
      </c>
      <c r="C9008" s="6">
        <v>27500</v>
      </c>
      <c r="D9008" s="7">
        <v>1.06</v>
      </c>
      <c r="E9008" t="s">
        <v>27</v>
      </c>
    </row>
    <row r="9009" spans="1:5" x14ac:dyDescent="0.25">
      <c r="A9009" t="str">
        <f>HYPERLINK("https://www.773grp.com/globalSearch/MC74HC4050D/page-1", "MC74HC4050D")</f>
        <v>MC74HC4050D</v>
      </c>
      <c r="B9009" s="3" t="str">
        <f>HYPERLINK("https://www.773grp.com/manufacturer/onsemi?pageNo=920", "Onsemi")</f>
        <v>Onsemi</v>
      </c>
      <c r="C9009" s="6">
        <v>17</v>
      </c>
      <c r="D9009" s="7">
        <v>1.06</v>
      </c>
      <c r="E9009" t="s">
        <v>27</v>
      </c>
    </row>
    <row r="9010" spans="1:5" x14ac:dyDescent="0.25">
      <c r="A9010" t="str">
        <f>HYPERLINK("https://www.773grp.com/globalSearch/MC74HC4050F/page-1", "MC74HC4050F")</f>
        <v>MC74HC4050F</v>
      </c>
      <c r="B9010" s="3" t="str">
        <f>HYPERLINK("https://www.773grp.com/manufacturer/onsemi?pageNo=921", "Onsemi")</f>
        <v>Onsemi</v>
      </c>
      <c r="C9010" s="6">
        <v>59</v>
      </c>
      <c r="D9010" s="7">
        <v>1.06</v>
      </c>
    </row>
    <row r="9011" spans="1:5" x14ac:dyDescent="0.25">
      <c r="A9011" t="str">
        <f>HYPERLINK("https://www.773grp.com/globalSearch/MC74HC4051ADWG/page-1", "MC74HC4051ADWG")</f>
        <v>MC74HC4051ADWG</v>
      </c>
      <c r="B9011" s="3" t="str">
        <f>HYPERLINK("https://www.773grp.com/manufacturer/onsemi?pageNo=922", "Onsemi")</f>
        <v>Onsemi</v>
      </c>
      <c r="C9011" s="6">
        <v>13203</v>
      </c>
      <c r="D9011" s="7">
        <v>1.06</v>
      </c>
    </row>
    <row r="9012" spans="1:5" x14ac:dyDescent="0.25">
      <c r="A9012" t="str">
        <f>HYPERLINK("https://www.773grp.com/globalSearch/MC74HC4051ADWR2G/page-1", "MC74HC4051ADWR2G")</f>
        <v>MC74HC4051ADWR2G</v>
      </c>
      <c r="B9012" s="3" t="str">
        <f>HYPERLINK("https://www.773grp.com/manufacturer/onsemi?pageNo=923", "Onsemi")</f>
        <v>Onsemi</v>
      </c>
      <c r="C9012" s="6">
        <v>4614</v>
      </c>
      <c r="D9012" s="7">
        <v>1.06</v>
      </c>
    </row>
    <row r="9013" spans="1:5" x14ac:dyDescent="0.25">
      <c r="A9013" t="str">
        <f>HYPERLINK("https://www.773grp.com/globalSearch/MC74HC4051ANG/page-1", "MC74HC4051ANG")</f>
        <v>MC74HC4051ANG</v>
      </c>
      <c r="B9013" s="3" t="str">
        <f>HYPERLINK("https://www.773grp.com/manufacturer/onsemi?pageNo=924", "Onsemi")</f>
        <v>Onsemi</v>
      </c>
      <c r="C9013" s="6">
        <v>1624</v>
      </c>
      <c r="D9013" s="7">
        <v>1.06</v>
      </c>
      <c r="E9013" t="s">
        <v>46</v>
      </c>
    </row>
    <row r="9014" spans="1:5" x14ac:dyDescent="0.25">
      <c r="A9014" t="str">
        <f>HYPERLINK("https://www.773grp.com/globalSearch/MC74HC4052ADW/page-1", "MC74HC4052ADW")</f>
        <v>MC74HC4052ADW</v>
      </c>
      <c r="B9014" s="3" t="str">
        <f>HYPERLINK("https://www.773grp.com/manufacturer/onsemi?pageNo=925", "Onsemi")</f>
        <v>Onsemi</v>
      </c>
      <c r="C9014" s="6">
        <v>2491</v>
      </c>
      <c r="D9014" s="7">
        <v>1.06</v>
      </c>
      <c r="E9014" t="s">
        <v>46</v>
      </c>
    </row>
    <row r="9015" spans="1:5" x14ac:dyDescent="0.25">
      <c r="A9015" t="str">
        <f>HYPERLINK("https://www.773grp.com/globalSearch/MC74HC4052ADWG/page-1", "MC74HC4052ADWG")</f>
        <v>MC74HC4052ADWG</v>
      </c>
      <c r="B9015" s="3" t="str">
        <f>HYPERLINK("https://www.773grp.com/manufacturer/onsemi?pageNo=926", "Onsemi")</f>
        <v>Onsemi</v>
      </c>
      <c r="C9015" s="6">
        <v>13957</v>
      </c>
      <c r="D9015" s="7">
        <v>1.06</v>
      </c>
      <c r="E9015" t="s">
        <v>46</v>
      </c>
    </row>
    <row r="9016" spans="1:5" x14ac:dyDescent="0.25">
      <c r="A9016" t="str">
        <f>HYPERLINK("https://www.773grp.com/globalSearch/MC74HC4052ADWR2/page-1", "MC74HC4052ADWR2")</f>
        <v>MC74HC4052ADWR2</v>
      </c>
      <c r="B9016" s="3" t="str">
        <f>HYPERLINK("https://www.773grp.com/manufacturer/onsemi?pageNo=927", "Onsemi")</f>
        <v>Onsemi</v>
      </c>
      <c r="C9016" s="6">
        <v>839</v>
      </c>
      <c r="D9016" s="7">
        <v>1.06</v>
      </c>
    </row>
    <row r="9017" spans="1:5" x14ac:dyDescent="0.25">
      <c r="A9017" t="str">
        <f>HYPERLINK("https://www.773grp.com/globalSearch/MC74HC4052ADWR2G/page-1", "MC74HC4052ADWR2G")</f>
        <v>MC74HC4052ADWR2G</v>
      </c>
      <c r="B9017" s="3" t="str">
        <f>HYPERLINK("https://www.773grp.com/manufacturer/onsemi?pageNo=928", "Onsemi")</f>
        <v>Onsemi</v>
      </c>
      <c r="C9017" s="6">
        <v>2963</v>
      </c>
      <c r="D9017" s="7">
        <v>1.06</v>
      </c>
      <c r="E9017" t="s">
        <v>46</v>
      </c>
    </row>
    <row r="9018" spans="1:5" x14ac:dyDescent="0.25">
      <c r="A9018" t="str">
        <f>HYPERLINK("https://www.773grp.com/globalSearch/MC74HC4052ANG/page-1", "MC74HC4052ANG")</f>
        <v>MC74HC4052ANG</v>
      </c>
      <c r="B9018" s="3" t="str">
        <f>HYPERLINK("https://www.773grp.com/manufacturer/onsemi?pageNo=929", "Onsemi")</f>
        <v>Onsemi</v>
      </c>
      <c r="C9018" s="6">
        <v>2715</v>
      </c>
      <c r="D9018" s="7">
        <v>1.06</v>
      </c>
      <c r="E9018" t="s">
        <v>46</v>
      </c>
    </row>
    <row r="9019" spans="1:5" x14ac:dyDescent="0.25">
      <c r="A9019" t="str">
        <f>HYPERLINK("https://www.773grp.com/globalSearch/MC74HC4053ADWG/page-1", "MC74HC4053ADWG")</f>
        <v>MC74HC4053ADWG</v>
      </c>
      <c r="B9019" s="3" t="str">
        <f>HYPERLINK("https://www.773grp.com/manufacturer/onsemi?pageNo=930", "Onsemi")</f>
        <v>Onsemi</v>
      </c>
      <c r="C9019" s="6">
        <v>21720</v>
      </c>
      <c r="D9019" s="7">
        <v>1.06</v>
      </c>
      <c r="E9019" t="s">
        <v>46</v>
      </c>
    </row>
    <row r="9020" spans="1:5" x14ac:dyDescent="0.25">
      <c r="A9020" t="str">
        <f>HYPERLINK("https://www.773grp.com/globalSearch/MC74HC4053ADWR2G/page-1", "MC74HC4053ADWR2G")</f>
        <v>MC74HC4053ADWR2G</v>
      </c>
      <c r="B9020" s="3" t="str">
        <f>HYPERLINK("https://www.773grp.com/manufacturer/onsemi?pageNo=931", "Onsemi")</f>
        <v>Onsemi</v>
      </c>
      <c r="C9020" s="6">
        <v>28731</v>
      </c>
      <c r="D9020" s="7">
        <v>1.06</v>
      </c>
      <c r="E9020" t="s">
        <v>46</v>
      </c>
    </row>
    <row r="9021" spans="1:5" x14ac:dyDescent="0.25">
      <c r="A9021" t="str">
        <f>HYPERLINK("https://www.773grp.com/globalSearch/MC74HC4053ANG/page-1", "MC74HC4053ANG")</f>
        <v>MC74HC4053ANG</v>
      </c>
      <c r="B9021" s="3" t="str">
        <f>HYPERLINK("https://www.773grp.com/manufacturer/onsemi?pageNo=932", "Onsemi")</f>
        <v>Onsemi</v>
      </c>
      <c r="C9021" s="6">
        <v>16127</v>
      </c>
      <c r="D9021" s="7">
        <v>1.06</v>
      </c>
      <c r="E9021" t="s">
        <v>46</v>
      </c>
    </row>
    <row r="9022" spans="1:5" x14ac:dyDescent="0.25">
      <c r="A9022" t="str">
        <f>HYPERLINK("https://www.773grp.com/globalSearch/MC74HC4316ADR2G/page-1", "MC74HC4316ADR2G")</f>
        <v>MC74HC4316ADR2G</v>
      </c>
      <c r="B9022" s="3" t="str">
        <f>HYPERLINK("https://www.773grp.com/manufacturer/onsemi?pageNo=933", "Onsemi")</f>
        <v>Onsemi</v>
      </c>
      <c r="C9022" s="6">
        <v>4483</v>
      </c>
      <c r="D9022" s="7">
        <v>1.06</v>
      </c>
      <c r="E9022" t="s">
        <v>46</v>
      </c>
    </row>
    <row r="9023" spans="1:5" x14ac:dyDescent="0.25">
      <c r="A9023" t="str">
        <f>HYPERLINK("https://www.773grp.com/globalSearch/MC74HC4316AF/page-1", "MC74HC4316AF")</f>
        <v>MC74HC4316AF</v>
      </c>
      <c r="B9023" s="3" t="str">
        <f>HYPERLINK("https://www.773grp.com/manufacturer/onsemi?pageNo=934", "Onsemi")</f>
        <v>Onsemi</v>
      </c>
      <c r="C9023" s="6">
        <v>400</v>
      </c>
      <c r="D9023" s="7">
        <v>1.06</v>
      </c>
      <c r="E9023" t="s">
        <v>46</v>
      </c>
    </row>
    <row r="9024" spans="1:5" x14ac:dyDescent="0.25">
      <c r="A9024" t="str">
        <f>HYPERLINK("https://www.773grp.com/globalSearch/MC74HC4316FL1/page-1", "MC74HC4316FL1")</f>
        <v>MC74HC4316FL1</v>
      </c>
      <c r="B9024" s="3" t="str">
        <f>HYPERLINK("https://www.773grp.com/manufacturer/onsemi?pageNo=935", "Onsemi")</f>
        <v>Onsemi</v>
      </c>
      <c r="C9024" s="6">
        <v>4000</v>
      </c>
      <c r="D9024" s="7">
        <v>1.06</v>
      </c>
    </row>
    <row r="9025" spans="1:5" x14ac:dyDescent="0.25">
      <c r="A9025" t="str">
        <f>HYPERLINK("https://www.773grp.com/globalSearch/MC74HC4316FR1/page-1", "MC74HC4316FR1")</f>
        <v>MC74HC4316FR1</v>
      </c>
      <c r="B9025" s="3" t="str">
        <f>HYPERLINK("https://www.773grp.com/manufacturer/onsemi?pageNo=936", "Onsemi")</f>
        <v>Onsemi</v>
      </c>
      <c r="C9025" s="6">
        <v>2000</v>
      </c>
      <c r="D9025" s="7">
        <v>1.06</v>
      </c>
    </row>
    <row r="9026" spans="1:5" x14ac:dyDescent="0.25">
      <c r="A9026" t="str">
        <f>HYPERLINK("https://www.773grp.com/globalSearch/MC74HC4538ANG/page-1", "MC74HC4538ANG")</f>
        <v>MC74HC4538ANG</v>
      </c>
      <c r="B9026" s="3" t="str">
        <f>HYPERLINK("https://www.773grp.com/manufacturer/onsemi?pageNo=937", "Onsemi")</f>
        <v>Onsemi</v>
      </c>
      <c r="C9026" s="6">
        <v>1748</v>
      </c>
      <c r="D9026" s="7">
        <v>1.06</v>
      </c>
      <c r="E9026" t="s">
        <v>44</v>
      </c>
    </row>
    <row r="9027" spans="1:5" x14ac:dyDescent="0.25">
      <c r="A9027" t="str">
        <f>HYPERLINK("https://www.773grp.com/globalSearch/MC74HC541ADTEL/page-1", "MC74HC541ADTEL")</f>
        <v>MC74HC541ADTEL</v>
      </c>
      <c r="B9027" s="3" t="str">
        <f>HYPERLINK("https://www.773grp.com/manufacturer/onsemi?pageNo=938", "Onsemi")</f>
        <v>Onsemi</v>
      </c>
      <c r="C9027" s="6">
        <v>4000</v>
      </c>
      <c r="D9027" s="7">
        <v>1.06</v>
      </c>
    </row>
    <row r="9028" spans="1:5" x14ac:dyDescent="0.25">
      <c r="A9028" t="str">
        <f>HYPERLINK("https://www.773grp.com/globalSearch/MC74HC595ADG/page-1", "MC74HC595ADG")</f>
        <v>MC74HC595ADG</v>
      </c>
      <c r="B9028" s="3" t="str">
        <f>HYPERLINK("https://www.773grp.com/manufacturer/onsemi?pageNo=939", "Onsemi")</f>
        <v>Onsemi</v>
      </c>
      <c r="C9028" s="6">
        <v>8142</v>
      </c>
      <c r="D9028" s="7">
        <v>1.06</v>
      </c>
      <c r="E9028" t="s">
        <v>28</v>
      </c>
    </row>
    <row r="9029" spans="1:5" x14ac:dyDescent="0.25">
      <c r="A9029" t="str">
        <f>HYPERLINK("https://www.773grp.com/globalSearch/MC74HC595ADR2G/page-1", "MC74HC595ADR2G")</f>
        <v>MC74HC595ADR2G</v>
      </c>
      <c r="B9029" s="3" t="str">
        <f>HYPERLINK("https://www.773grp.com/manufacturer/onsemi?pageNo=940", "Onsemi")</f>
        <v>Onsemi</v>
      </c>
      <c r="C9029" s="6">
        <v>471606</v>
      </c>
      <c r="D9029" s="7">
        <v>1.06</v>
      </c>
      <c r="E9029" t="s">
        <v>28</v>
      </c>
    </row>
    <row r="9030" spans="1:5" x14ac:dyDescent="0.25">
      <c r="A9030" t="str">
        <f>HYPERLINK("https://www.773grp.com/globalSearch/MC74HC595ADTG/page-1", "MC74HC595ADTG")</f>
        <v>MC74HC595ADTG</v>
      </c>
      <c r="B9030" s="3" t="str">
        <f>HYPERLINK("https://www.773grp.com/manufacturer/onsemi?pageNo=941", "Onsemi")</f>
        <v>Onsemi</v>
      </c>
      <c r="C9030" s="6">
        <v>14256</v>
      </c>
      <c r="D9030" s="7">
        <v>1.06</v>
      </c>
      <c r="E9030" t="s">
        <v>28</v>
      </c>
    </row>
    <row r="9031" spans="1:5" x14ac:dyDescent="0.25">
      <c r="A9031" t="str">
        <f>HYPERLINK("https://www.773grp.com/globalSearch/MC74HC595ADTR2G/page-1", "MC74HC595ADTR2G")</f>
        <v>MC74HC595ADTR2G</v>
      </c>
      <c r="B9031" s="3" t="str">
        <f>HYPERLINK("https://www.773grp.com/manufacturer/onsemi?pageNo=942", "Onsemi")</f>
        <v>Onsemi</v>
      </c>
      <c r="C9031" s="6">
        <v>162368</v>
      </c>
      <c r="D9031" s="7">
        <v>1.06</v>
      </c>
      <c r="E9031" t="s">
        <v>28</v>
      </c>
    </row>
    <row r="9032" spans="1:5" x14ac:dyDescent="0.25">
      <c r="A9032" t="str">
        <f>HYPERLINK("https://www.773grp.com/globalSearch/MC74HC597ADG/page-1", "MC74HC597ADG")</f>
        <v>MC74HC597ADG</v>
      </c>
      <c r="B9032" s="3" t="str">
        <f>HYPERLINK("https://www.773grp.com/manufacturer/onsemi?pageNo=943", "Onsemi")</f>
        <v>Onsemi</v>
      </c>
      <c r="C9032" s="6">
        <v>3928</v>
      </c>
      <c r="D9032" s="7">
        <v>1.06</v>
      </c>
    </row>
    <row r="9033" spans="1:5" x14ac:dyDescent="0.25">
      <c r="A9033" t="str">
        <f>HYPERLINK("https://www.773grp.com/globalSearch/MC74HC597AF/page-1", "MC74HC597AF")</f>
        <v>MC74HC597AF</v>
      </c>
      <c r="B9033" s="3" t="str">
        <f>HYPERLINK("https://www.773grp.com/manufacturer/onsemi?pageNo=944", "Onsemi")</f>
        <v>Onsemi</v>
      </c>
      <c r="C9033" s="6">
        <v>1300</v>
      </c>
      <c r="D9033" s="7">
        <v>1.06</v>
      </c>
    </row>
    <row r="9034" spans="1:5" x14ac:dyDescent="0.25">
      <c r="A9034" t="str">
        <f>HYPERLINK("https://www.773grp.com/globalSearch/MC74HC640AFEL/page-1", "MC74HC640AFEL")</f>
        <v>MC74HC640AFEL</v>
      </c>
      <c r="B9034" s="3" t="str">
        <f>HYPERLINK("https://www.773grp.com/manufacturer/onsemi?pageNo=945", "Onsemi")</f>
        <v>Onsemi</v>
      </c>
      <c r="C9034" s="6">
        <v>14000</v>
      </c>
      <c r="D9034" s="7">
        <v>1.06</v>
      </c>
    </row>
    <row r="9035" spans="1:5" x14ac:dyDescent="0.25">
      <c r="A9035" t="str">
        <f>HYPERLINK("https://www.773grp.com/globalSearch/MC74HC74AFELG/page-1", "MC74HC74AFELG")</f>
        <v>MC74HC74AFELG</v>
      </c>
      <c r="B9035" s="3" t="str">
        <f>HYPERLINK("https://www.773grp.com/manufacturer/onsemi?pageNo=946", "Onsemi")</f>
        <v>Onsemi</v>
      </c>
      <c r="C9035" s="6">
        <v>7033</v>
      </c>
      <c r="D9035" s="7">
        <v>1.06</v>
      </c>
    </row>
    <row r="9036" spans="1:5" x14ac:dyDescent="0.25">
      <c r="A9036" t="str">
        <f>HYPERLINK("https://www.773grp.com/globalSearch/MC74HC74AFG/page-1", "MC74HC74AFG")</f>
        <v>MC74HC74AFG</v>
      </c>
      <c r="B9036" s="3" t="str">
        <f>HYPERLINK("https://www.773grp.com/manufacturer/onsemi?pageNo=947", "Onsemi")</f>
        <v>Onsemi</v>
      </c>
      <c r="C9036" s="6">
        <v>4700</v>
      </c>
      <c r="D9036" s="7">
        <v>1.06</v>
      </c>
      <c r="E9036" t="s">
        <v>31</v>
      </c>
    </row>
    <row r="9037" spans="1:5" x14ac:dyDescent="0.25">
      <c r="A9037" t="str">
        <f>HYPERLINK("https://www.773grp.com/globalSearch/MC74HCT132ADG/page-1", "MC74HCT132ADG")</f>
        <v>MC74HCT132ADG</v>
      </c>
      <c r="B9037" s="3" t="str">
        <f>HYPERLINK("https://www.773grp.com/manufacturer/onsemi?pageNo=948", "Onsemi")</f>
        <v>Onsemi</v>
      </c>
      <c r="C9037" s="6">
        <v>34855</v>
      </c>
      <c r="D9037" s="7">
        <v>1.06</v>
      </c>
    </row>
    <row r="9038" spans="1:5" x14ac:dyDescent="0.25">
      <c r="A9038" t="str">
        <f>HYPERLINK("https://www.773grp.com/globalSearch/MC74HCT132ADR2G/page-1", "MC74HCT132ADR2G")</f>
        <v>MC74HCT132ADR2G</v>
      </c>
      <c r="B9038" s="3" t="str">
        <f>HYPERLINK("https://www.773grp.com/manufacturer/onsemi?pageNo=949", "Onsemi")</f>
        <v>Onsemi</v>
      </c>
      <c r="C9038" s="6">
        <v>1970</v>
      </c>
      <c r="D9038" s="7">
        <v>1.06</v>
      </c>
      <c r="E9038" t="s">
        <v>27</v>
      </c>
    </row>
    <row r="9039" spans="1:5" x14ac:dyDescent="0.25">
      <c r="A9039" t="str">
        <f>HYPERLINK("https://www.773grp.com/globalSearch/MC74HCT14AFELG/page-1", "MC74HCT14AFELG")</f>
        <v>MC74HCT14AFELG</v>
      </c>
      <c r="B9039" s="3" t="str">
        <f>HYPERLINK("https://www.773grp.com/manufacturer/onsemi?pageNo=950", "Onsemi")</f>
        <v>Onsemi</v>
      </c>
      <c r="C9039" s="6">
        <v>2711</v>
      </c>
      <c r="D9039" s="7">
        <v>1.06</v>
      </c>
      <c r="E9039" t="s">
        <v>27</v>
      </c>
    </row>
    <row r="9040" spans="1:5" x14ac:dyDescent="0.25">
      <c r="A9040" t="str">
        <f>HYPERLINK("https://www.773grp.com/globalSearch/MC74HCT541ADT/page-1", "MC74HCT541ADT")</f>
        <v>MC74HCT541ADT</v>
      </c>
      <c r="B9040" s="3" t="str">
        <f>HYPERLINK("https://www.773grp.com/manufacturer/onsemi?pageNo=951", "Onsemi")</f>
        <v>Onsemi</v>
      </c>
      <c r="C9040" s="6">
        <v>16575</v>
      </c>
      <c r="D9040" s="7">
        <v>1.06</v>
      </c>
    </row>
    <row r="9041" spans="1:5" x14ac:dyDescent="0.25">
      <c r="A9041" t="str">
        <f>HYPERLINK("https://www.773grp.com/globalSearch/MC74HCT595ADTG/page-1", "MC74HCT595ADTG")</f>
        <v>MC74HCT595ADTG</v>
      </c>
      <c r="B9041" s="3" t="str">
        <f>HYPERLINK("https://www.773grp.com/manufacturer/onsemi?pageNo=952", "Onsemi")</f>
        <v>Onsemi</v>
      </c>
      <c r="C9041" s="6">
        <v>3840</v>
      </c>
      <c r="D9041" s="7">
        <v>1.06</v>
      </c>
    </row>
    <row r="9042" spans="1:5" x14ac:dyDescent="0.25">
      <c r="A9042" t="str">
        <f>HYPERLINK("https://www.773grp.com/globalSearch/MC74LCX08SD/page-1", "MC74LCX08SD")</f>
        <v>MC74LCX08SD</v>
      </c>
      <c r="B9042" s="3" t="str">
        <f>HYPERLINK("https://www.773grp.com/manufacturer/onsemi?pageNo=953", "Onsemi")</f>
        <v>Onsemi</v>
      </c>
      <c r="C9042" s="6">
        <v>312</v>
      </c>
      <c r="D9042" s="7">
        <v>1.06</v>
      </c>
      <c r="E9042" t="s">
        <v>27</v>
      </c>
    </row>
    <row r="9043" spans="1:5" x14ac:dyDescent="0.25">
      <c r="A9043" t="str">
        <f>HYPERLINK("https://www.773grp.com/globalSearch/MC74LCX08SDR2/page-1", "MC74LCX08SDR2")</f>
        <v>MC74LCX08SDR2</v>
      </c>
      <c r="B9043" s="3" t="str">
        <f>HYPERLINK("https://www.773grp.com/manufacturer/onsemi?pageNo=954", "Onsemi")</f>
        <v>Onsemi</v>
      </c>
      <c r="C9043" s="6">
        <v>7000</v>
      </c>
      <c r="D9043" s="7">
        <v>1.06</v>
      </c>
      <c r="E9043" t="s">
        <v>27</v>
      </c>
    </row>
    <row r="9044" spans="1:5" x14ac:dyDescent="0.25">
      <c r="A9044" t="str">
        <f>HYPERLINK("https://www.773grp.com/globalSearch/MC74LCX240DTR2G/page-1", "MC74LCX240DTR2G")</f>
        <v>MC74LCX240DTR2G</v>
      </c>
      <c r="B9044" s="3" t="str">
        <f>HYPERLINK("https://www.773grp.com/manufacturer/onsemi?pageNo=955", "Onsemi")</f>
        <v>Onsemi</v>
      </c>
      <c r="C9044" s="6">
        <v>23786</v>
      </c>
      <c r="D9044" s="7">
        <v>1.06</v>
      </c>
      <c r="E9044" t="s">
        <v>11</v>
      </c>
    </row>
    <row r="9045" spans="1:5" x14ac:dyDescent="0.25">
      <c r="A9045" t="str">
        <f>HYPERLINK("https://www.773grp.com/globalSearch/MC74LCX244DTG/page-1", "MC74LCX244DTG")</f>
        <v>MC74LCX244DTG</v>
      </c>
      <c r="B9045" s="3" t="str">
        <f>HYPERLINK("https://www.773grp.com/manufacturer/onsemi?pageNo=956", "Onsemi")</f>
        <v>Onsemi</v>
      </c>
      <c r="C9045" s="6">
        <v>18112</v>
      </c>
      <c r="D9045" s="7">
        <v>1.06</v>
      </c>
      <c r="E9045" t="s">
        <v>11</v>
      </c>
    </row>
    <row r="9046" spans="1:5" x14ac:dyDescent="0.25">
      <c r="A9046" t="str">
        <f>HYPERLINK("https://www.773grp.com/globalSearch/MC74LCX244DTR2G/page-1", "MC74LCX244DTR2G")</f>
        <v>MC74LCX244DTR2G</v>
      </c>
      <c r="B9046" s="3" t="str">
        <f>HYPERLINK("https://www.773grp.com/manufacturer/onsemi?pageNo=957", "Onsemi")</f>
        <v>Onsemi</v>
      </c>
      <c r="C9046" s="6">
        <v>130388</v>
      </c>
      <c r="D9046" s="7">
        <v>1.06</v>
      </c>
      <c r="E9046" t="s">
        <v>11</v>
      </c>
    </row>
    <row r="9047" spans="1:5" x14ac:dyDescent="0.25">
      <c r="A9047" t="str">
        <f>HYPERLINK("https://www.773grp.com/globalSearch/MC74LCX245DTG/page-1", "MC74LCX245DTG")</f>
        <v>MC74LCX245DTG</v>
      </c>
      <c r="B9047" s="3" t="str">
        <f>HYPERLINK("https://www.773grp.com/manufacturer/onsemi?pageNo=958", "Onsemi")</f>
        <v>Onsemi</v>
      </c>
      <c r="C9047" s="6">
        <v>43031</v>
      </c>
      <c r="D9047" s="7">
        <v>1.06</v>
      </c>
      <c r="E9047" t="s">
        <v>11</v>
      </c>
    </row>
    <row r="9048" spans="1:5" x14ac:dyDescent="0.25">
      <c r="A9048" t="str">
        <f>HYPERLINK("https://www.773grp.com/globalSearch/MC74LCX245DTR2G/page-1", "MC74LCX245DTR2G")</f>
        <v>MC74LCX245DTR2G</v>
      </c>
      <c r="B9048" s="3" t="str">
        <f>HYPERLINK("https://www.773grp.com/manufacturer/onsemi?pageNo=959", "Onsemi")</f>
        <v>Onsemi</v>
      </c>
      <c r="C9048" s="6">
        <v>204870</v>
      </c>
      <c r="D9048" s="7">
        <v>1.06</v>
      </c>
      <c r="E9048" t="s">
        <v>11</v>
      </c>
    </row>
    <row r="9049" spans="1:5" x14ac:dyDescent="0.25">
      <c r="A9049" t="str">
        <f>HYPERLINK("https://www.773grp.com/globalSearch/MC74LCX373DTG/page-1", "MC74LCX373DTG")</f>
        <v>MC74LCX373DTG</v>
      </c>
      <c r="B9049" s="3" t="str">
        <f>HYPERLINK("https://www.773grp.com/manufacturer/onsemi?pageNo=960", "Onsemi")</f>
        <v>Onsemi</v>
      </c>
      <c r="C9049" s="6">
        <v>9103</v>
      </c>
      <c r="D9049" s="7">
        <v>1.06</v>
      </c>
      <c r="E9049" t="s">
        <v>11</v>
      </c>
    </row>
    <row r="9050" spans="1:5" x14ac:dyDescent="0.25">
      <c r="A9050" t="str">
        <f>HYPERLINK("https://www.773grp.com/globalSearch/MC74LCX373DTR2G/page-1", "MC74LCX373DTR2G")</f>
        <v>MC74LCX373DTR2G</v>
      </c>
      <c r="B9050" s="3" t="str">
        <f>HYPERLINK("https://www.773grp.com/manufacturer/onsemi?pageNo=961", "Onsemi")</f>
        <v>Onsemi</v>
      </c>
      <c r="C9050" s="6">
        <v>107599</v>
      </c>
      <c r="D9050" s="7">
        <v>1.06</v>
      </c>
      <c r="E9050" t="s">
        <v>11</v>
      </c>
    </row>
    <row r="9051" spans="1:5" x14ac:dyDescent="0.25">
      <c r="A9051" t="str">
        <f>HYPERLINK("https://www.773grp.com/globalSearch/MC74LCX374DTR2G/page-1", "MC74LCX374DTR2G")</f>
        <v>MC74LCX374DTR2G</v>
      </c>
      <c r="B9051" s="3" t="str">
        <f>HYPERLINK("https://www.773grp.com/manufacturer/onsemi?pageNo=962", "Onsemi")</f>
        <v>Onsemi</v>
      </c>
      <c r="C9051" s="6">
        <v>113817</v>
      </c>
      <c r="D9051" s="7">
        <v>1.06</v>
      </c>
      <c r="E9051" t="s">
        <v>11</v>
      </c>
    </row>
    <row r="9052" spans="1:5" x14ac:dyDescent="0.25">
      <c r="A9052" t="str">
        <f>HYPERLINK("https://www.773grp.com/globalSearch/MC74LCX573DTG/page-1", "MC74LCX573DTG")</f>
        <v>MC74LCX573DTG</v>
      </c>
      <c r="B9052" s="3" t="str">
        <f>HYPERLINK("https://www.773grp.com/manufacturer/onsemi?pageNo=963", "Onsemi")</f>
        <v>Onsemi</v>
      </c>
      <c r="C9052" s="6">
        <v>13451</v>
      </c>
      <c r="D9052" s="7">
        <v>1.06</v>
      </c>
      <c r="E9052" t="s">
        <v>11</v>
      </c>
    </row>
    <row r="9053" spans="1:5" x14ac:dyDescent="0.25">
      <c r="A9053" t="str">
        <f>HYPERLINK("https://www.773grp.com/globalSearch/MC74LCX573DTR2G/page-1", "MC74LCX573DTR2G")</f>
        <v>MC74LCX573DTR2G</v>
      </c>
      <c r="B9053" s="3" t="str">
        <f>HYPERLINK("https://www.773grp.com/manufacturer/onsemi?pageNo=964", "Onsemi")</f>
        <v>Onsemi</v>
      </c>
      <c r="C9053" s="6">
        <v>401943</v>
      </c>
      <c r="D9053" s="7">
        <v>1.06</v>
      </c>
      <c r="E9053" t="s">
        <v>11</v>
      </c>
    </row>
    <row r="9054" spans="1:5" x14ac:dyDescent="0.25">
      <c r="A9054" t="str">
        <f>HYPERLINK("https://www.773grp.com/globalSearch/MC74LCX574DTG/page-1", "MC74LCX574DTG")</f>
        <v>MC74LCX574DTG</v>
      </c>
      <c r="B9054" s="3" t="str">
        <f>HYPERLINK("https://www.773grp.com/manufacturer/onsemi?pageNo=965", "Onsemi")</f>
        <v>Onsemi</v>
      </c>
      <c r="C9054" s="6">
        <v>11995</v>
      </c>
      <c r="D9054" s="7">
        <v>1.06</v>
      </c>
      <c r="E9054" t="s">
        <v>11</v>
      </c>
    </row>
    <row r="9055" spans="1:5" x14ac:dyDescent="0.25">
      <c r="A9055" t="str">
        <f>HYPERLINK("https://www.773grp.com/globalSearch/MC74LCX574DTR2G/page-1", "MC74LCX574DTR2G")</f>
        <v>MC74LCX574DTR2G</v>
      </c>
      <c r="B9055" s="3" t="str">
        <f>HYPERLINK("https://www.773grp.com/manufacturer/onsemi?pageNo=966", "Onsemi")</f>
        <v>Onsemi</v>
      </c>
      <c r="C9055" s="6">
        <v>54875</v>
      </c>
      <c r="D9055" s="7">
        <v>1.06</v>
      </c>
      <c r="E9055" t="s">
        <v>11</v>
      </c>
    </row>
    <row r="9056" spans="1:5" x14ac:dyDescent="0.25">
      <c r="A9056" t="str">
        <f>HYPERLINK("https://www.773grp.com/globalSearch/MC74LVX138MG/page-1", "MC74LVX138MG")</f>
        <v>MC74LVX138MG</v>
      </c>
      <c r="B9056" s="3" t="str">
        <f>HYPERLINK("https://www.773grp.com/manufacturer/onsemi?pageNo=967", "Onsemi")</f>
        <v>Onsemi</v>
      </c>
      <c r="C9056" s="6">
        <v>25400</v>
      </c>
      <c r="D9056" s="7">
        <v>1.06</v>
      </c>
      <c r="E9056" t="s">
        <v>32</v>
      </c>
    </row>
    <row r="9057" spans="1:5" x14ac:dyDescent="0.25">
      <c r="A9057" t="str">
        <f>HYPERLINK("https://www.773grp.com/globalSearch/MC74LVX240DTR2G/page-1", "MC74LVX240DTR2G")</f>
        <v>MC74LVX240DTR2G</v>
      </c>
      <c r="B9057" s="3" t="str">
        <f>HYPERLINK("https://www.773grp.com/manufacturer/onsemi?pageNo=968", "Onsemi")</f>
        <v>Onsemi</v>
      </c>
      <c r="C9057" s="6">
        <v>3641</v>
      </c>
      <c r="D9057" s="7">
        <v>1.06</v>
      </c>
    </row>
    <row r="9058" spans="1:5" x14ac:dyDescent="0.25">
      <c r="A9058" t="str">
        <f>HYPERLINK("https://www.773grp.com/globalSearch/MC74LVX244DTG/page-1", "MC74LVX244DTG")</f>
        <v>MC74LVX244DTG</v>
      </c>
      <c r="B9058" s="3" t="str">
        <f>HYPERLINK("https://www.773grp.com/manufacturer/onsemi?pageNo=969", "Onsemi")</f>
        <v>Onsemi</v>
      </c>
      <c r="C9058" s="6">
        <v>3150</v>
      </c>
      <c r="D9058" s="7">
        <v>1.06</v>
      </c>
      <c r="E9058" t="s">
        <v>11</v>
      </c>
    </row>
    <row r="9059" spans="1:5" x14ac:dyDescent="0.25">
      <c r="A9059" t="str">
        <f>HYPERLINK("https://www.773grp.com/globalSearch/MC74LVX244DTR2G/page-1", "MC74LVX244DTR2G")</f>
        <v>MC74LVX244DTR2G</v>
      </c>
      <c r="B9059" s="3" t="str">
        <f>HYPERLINK("https://www.773grp.com/manufacturer/onsemi?pageNo=970", "Onsemi")</f>
        <v>Onsemi</v>
      </c>
      <c r="C9059" s="6">
        <v>17737</v>
      </c>
      <c r="D9059" s="7">
        <v>1.06</v>
      </c>
      <c r="E9059" t="s">
        <v>11</v>
      </c>
    </row>
    <row r="9060" spans="1:5" x14ac:dyDescent="0.25">
      <c r="A9060" t="str">
        <f>HYPERLINK("https://www.773grp.com/globalSearch/MC74LVX245DTR2G/page-1", "MC74LVX245DTR2G")</f>
        <v>MC74LVX245DTR2G</v>
      </c>
      <c r="B9060" s="3" t="str">
        <f>HYPERLINK("https://www.773grp.com/manufacturer/onsemi?pageNo=971", "Onsemi")</f>
        <v>Onsemi</v>
      </c>
      <c r="C9060" s="6">
        <v>9515</v>
      </c>
      <c r="D9060" s="7">
        <v>1.06</v>
      </c>
      <c r="E9060" t="s">
        <v>11</v>
      </c>
    </row>
    <row r="9061" spans="1:5" x14ac:dyDescent="0.25">
      <c r="A9061" t="str">
        <f>HYPERLINK("https://www.773grp.com/globalSearch/MC74LVX257MELG/page-1", "MC74LVX257MELG")</f>
        <v>MC74LVX257MELG</v>
      </c>
      <c r="B9061" s="3" t="str">
        <f>HYPERLINK("https://www.773grp.com/manufacturer/onsemi?pageNo=972", "Onsemi")</f>
        <v>Onsemi</v>
      </c>
      <c r="C9061" s="6">
        <v>39980</v>
      </c>
      <c r="D9061" s="7">
        <v>1.06</v>
      </c>
      <c r="E9061" t="s">
        <v>16</v>
      </c>
    </row>
    <row r="9062" spans="1:5" x14ac:dyDescent="0.25">
      <c r="A9062" t="str">
        <f>HYPERLINK("https://www.773grp.com/globalSearch/MC74LVX257MG/page-1", "MC74LVX257MG")</f>
        <v>MC74LVX257MG</v>
      </c>
      <c r="B9062" s="3" t="str">
        <f>HYPERLINK("https://www.773grp.com/manufacturer/onsemi?pageNo=973", "Onsemi")</f>
        <v>Onsemi</v>
      </c>
      <c r="C9062" s="6">
        <v>40350</v>
      </c>
      <c r="D9062" s="7">
        <v>1.06</v>
      </c>
      <c r="E9062" t="s">
        <v>16</v>
      </c>
    </row>
    <row r="9063" spans="1:5" x14ac:dyDescent="0.25">
      <c r="A9063" t="str">
        <f>HYPERLINK("https://www.773grp.com/globalSearch/MC74LVX374DTR2G/page-1", "MC74LVX374DTR2G")</f>
        <v>MC74LVX374DTR2G</v>
      </c>
      <c r="B9063" s="3" t="str">
        <f>HYPERLINK("https://www.773grp.com/manufacturer/onsemi?pageNo=974", "Onsemi")</f>
        <v>Onsemi</v>
      </c>
      <c r="C9063" s="6">
        <v>29900</v>
      </c>
      <c r="D9063" s="7">
        <v>1.06</v>
      </c>
      <c r="E9063" t="s">
        <v>11</v>
      </c>
    </row>
    <row r="9064" spans="1:5" x14ac:dyDescent="0.25">
      <c r="A9064" t="str">
        <f>HYPERLINK("https://www.773grp.com/globalSearch/MC74LVX573DTG/page-1", "MC74LVX573DTG")</f>
        <v>MC74LVX573DTG</v>
      </c>
      <c r="B9064" s="3" t="str">
        <f>HYPERLINK("https://www.773grp.com/manufacturer/onsemi?pageNo=975", "Onsemi")</f>
        <v>Onsemi</v>
      </c>
      <c r="C9064" s="6">
        <v>10625</v>
      </c>
      <c r="D9064" s="7">
        <v>1.06</v>
      </c>
      <c r="E9064" t="s">
        <v>11</v>
      </c>
    </row>
    <row r="9065" spans="1:5" x14ac:dyDescent="0.25">
      <c r="A9065" t="str">
        <f>HYPERLINK("https://www.773grp.com/globalSearch/MC74LVX573DTR2G/page-1", "MC74LVX573DTR2G")</f>
        <v>MC74LVX573DTR2G</v>
      </c>
      <c r="B9065" s="3" t="str">
        <f>HYPERLINK("https://www.773grp.com/manufacturer/onsemi?pageNo=976", "Onsemi")</f>
        <v>Onsemi</v>
      </c>
      <c r="C9065" s="6">
        <v>7890</v>
      </c>
      <c r="D9065" s="7">
        <v>1.06</v>
      </c>
      <c r="E9065" t="s">
        <v>11</v>
      </c>
    </row>
    <row r="9066" spans="1:5" x14ac:dyDescent="0.25">
      <c r="A9066" t="str">
        <f>HYPERLINK("https://www.773grp.com/globalSearch/MC74LVX574DTG/page-1", "MC74LVX574DTG")</f>
        <v>MC74LVX574DTG</v>
      </c>
      <c r="B9066" s="3" t="str">
        <f>HYPERLINK("https://www.773grp.com/manufacturer/onsemi?pageNo=977", "Onsemi")</f>
        <v>Onsemi</v>
      </c>
      <c r="C9066" s="6">
        <v>18855</v>
      </c>
      <c r="D9066" s="7">
        <v>1.06</v>
      </c>
      <c r="E9066" t="s">
        <v>11</v>
      </c>
    </row>
    <row r="9067" spans="1:5" x14ac:dyDescent="0.25">
      <c r="A9067" t="str">
        <f>HYPERLINK("https://www.773grp.com/globalSearch/MC74LVX574DTR2G/page-1", "MC74LVX574DTR2G")</f>
        <v>MC74LVX574DTR2G</v>
      </c>
      <c r="B9067" s="3" t="str">
        <f>HYPERLINK("https://www.773grp.com/manufacturer/onsemi?pageNo=978", "Onsemi")</f>
        <v>Onsemi</v>
      </c>
      <c r="C9067" s="6">
        <v>27500</v>
      </c>
      <c r="D9067" s="7">
        <v>1.06</v>
      </c>
      <c r="E9067" t="s">
        <v>11</v>
      </c>
    </row>
    <row r="9068" spans="1:5" x14ac:dyDescent="0.25">
      <c r="A9068" t="str">
        <f>HYPERLINK("https://www.773grp.com/globalSearch/MC74LVXT4066DT/page-1", "MC74LVXT4066DT")</f>
        <v>MC74LVXT4066DT</v>
      </c>
      <c r="B9068" s="3" t="str">
        <f>HYPERLINK("https://www.773grp.com/manufacturer/onsemi?pageNo=979", "Onsemi")</f>
        <v>Onsemi</v>
      </c>
      <c r="C9068" s="6">
        <v>635</v>
      </c>
      <c r="D9068" s="7">
        <v>1.06</v>
      </c>
      <c r="E9068" t="s">
        <v>46</v>
      </c>
    </row>
    <row r="9069" spans="1:5" x14ac:dyDescent="0.25">
      <c r="A9069" t="str">
        <f>HYPERLINK("https://www.773grp.com/globalSearch/MC74VHC240DTR2G/page-1", "MC74VHC240DTR2G")</f>
        <v>MC74VHC240DTR2G</v>
      </c>
      <c r="B9069" s="3" t="str">
        <f>HYPERLINK("https://www.773grp.com/manufacturer/onsemi?pageNo=980", "Onsemi")</f>
        <v>Onsemi</v>
      </c>
      <c r="C9069" s="6">
        <v>19780</v>
      </c>
      <c r="D9069" s="7">
        <v>1.06</v>
      </c>
      <c r="E9069" t="s">
        <v>11</v>
      </c>
    </row>
    <row r="9070" spans="1:5" x14ac:dyDescent="0.25">
      <c r="A9070" t="str">
        <f>HYPERLINK("https://www.773grp.com/globalSearch/MC74VHC240DWR2G/page-1", "MC74VHC240DWR2G")</f>
        <v>MC74VHC240DWR2G</v>
      </c>
      <c r="B9070" s="3" t="str">
        <f>HYPERLINK("https://www.773grp.com/manufacturer/onsemi?pageNo=981", "Onsemi")</f>
        <v>Onsemi</v>
      </c>
      <c r="C9070" s="6">
        <v>12930</v>
      </c>
      <c r="D9070" s="7">
        <v>1.06</v>
      </c>
      <c r="E9070" t="s">
        <v>11</v>
      </c>
    </row>
    <row r="9071" spans="1:5" x14ac:dyDescent="0.25">
      <c r="A9071" t="str">
        <f>HYPERLINK("https://www.773grp.com/globalSearch/MC74VHC244DTG/page-1", "MC74VHC244DTG")</f>
        <v>MC74VHC244DTG</v>
      </c>
      <c r="B9071" s="3" t="str">
        <f>HYPERLINK("https://www.773grp.com/manufacturer/onsemi?pageNo=982", "Onsemi")</f>
        <v>Onsemi</v>
      </c>
      <c r="C9071" s="6">
        <v>12744</v>
      </c>
      <c r="D9071" s="7">
        <v>1.06</v>
      </c>
      <c r="E9071" t="s">
        <v>11</v>
      </c>
    </row>
    <row r="9072" spans="1:5" x14ac:dyDescent="0.25">
      <c r="A9072" t="str">
        <f>HYPERLINK("https://www.773grp.com/globalSearch/MC74VHC244DTR2G/page-1", "MC74VHC244DTR2G")</f>
        <v>MC74VHC244DTR2G</v>
      </c>
      <c r="B9072" s="3" t="str">
        <f>HYPERLINK("https://www.773grp.com/manufacturer/onsemi?pageNo=983", "Onsemi")</f>
        <v>Onsemi</v>
      </c>
      <c r="C9072" s="6">
        <v>11331</v>
      </c>
      <c r="D9072" s="7">
        <v>1.06</v>
      </c>
      <c r="E9072" t="s">
        <v>11</v>
      </c>
    </row>
    <row r="9073" spans="1:5" x14ac:dyDescent="0.25">
      <c r="A9073" t="str">
        <f>HYPERLINK("https://www.773grp.com/globalSearch/MC74VHC244DWR2G/page-1", "MC74VHC244DWR2G")</f>
        <v>MC74VHC244DWR2G</v>
      </c>
      <c r="B9073" s="3" t="str">
        <f>HYPERLINK("https://www.773grp.com/manufacturer/onsemi?pageNo=984", "Onsemi")</f>
        <v>Onsemi</v>
      </c>
      <c r="C9073" s="6">
        <v>24000</v>
      </c>
      <c r="D9073" s="7">
        <v>1.06</v>
      </c>
      <c r="E9073" t="s">
        <v>11</v>
      </c>
    </row>
    <row r="9074" spans="1:5" x14ac:dyDescent="0.25">
      <c r="A9074" t="str">
        <f>HYPERLINK("https://www.773grp.com/globalSearch/MC74VHC245DTG/page-1", "MC74VHC245DTG")</f>
        <v>MC74VHC245DTG</v>
      </c>
      <c r="B9074" s="3" t="str">
        <f>HYPERLINK("https://www.773grp.com/manufacturer/onsemi?pageNo=985", "Onsemi")</f>
        <v>Onsemi</v>
      </c>
      <c r="C9074" s="6">
        <v>13160</v>
      </c>
      <c r="D9074" s="7">
        <v>1.06</v>
      </c>
      <c r="E9074" t="s">
        <v>11</v>
      </c>
    </row>
    <row r="9075" spans="1:5" x14ac:dyDescent="0.25">
      <c r="A9075" t="str">
        <f>HYPERLINK("https://www.773grp.com/globalSearch/MC74VHC245DTR2G/page-1", "MC74VHC245DTR2G")</f>
        <v>MC74VHC245DTR2G</v>
      </c>
      <c r="B9075" s="3" t="str">
        <f>HYPERLINK("https://www.773grp.com/manufacturer/onsemi?pageNo=986", "Onsemi")</f>
        <v>Onsemi</v>
      </c>
      <c r="C9075" s="6">
        <v>17015</v>
      </c>
      <c r="D9075" s="7">
        <v>1.06</v>
      </c>
      <c r="E9075" t="s">
        <v>11</v>
      </c>
    </row>
    <row r="9076" spans="1:5" x14ac:dyDescent="0.25">
      <c r="A9076" t="str">
        <f>HYPERLINK("https://www.773grp.com/globalSearch/MC74VHC245DWG/page-1", "MC74VHC245DWG")</f>
        <v>MC74VHC245DWG</v>
      </c>
      <c r="B9076" s="3" t="str">
        <f>HYPERLINK("https://www.773grp.com/manufacturer/onsemi?pageNo=987", "Onsemi")</f>
        <v>Onsemi</v>
      </c>
      <c r="C9076" s="6">
        <v>17020</v>
      </c>
      <c r="D9076" s="7">
        <v>1.06</v>
      </c>
      <c r="E9076" t="s">
        <v>11</v>
      </c>
    </row>
    <row r="9077" spans="1:5" x14ac:dyDescent="0.25">
      <c r="A9077" t="str">
        <f>HYPERLINK("https://www.773grp.com/globalSearch/MC74VHC245DWR2G/page-1", "MC74VHC245DWR2G")</f>
        <v>MC74VHC245DWR2G</v>
      </c>
      <c r="B9077" s="3" t="str">
        <f>HYPERLINK("https://www.773grp.com/manufacturer/onsemi?pageNo=988", "Onsemi")</f>
        <v>Onsemi</v>
      </c>
      <c r="C9077" s="6">
        <v>4990</v>
      </c>
      <c r="D9077" s="7">
        <v>1.06</v>
      </c>
      <c r="E9077" t="s">
        <v>11</v>
      </c>
    </row>
    <row r="9078" spans="1:5" x14ac:dyDescent="0.25">
      <c r="A9078" t="str">
        <f>HYPERLINK("https://www.773grp.com/globalSearch/MC74VHC373DWR2G/page-1", "MC74VHC373DWR2G")</f>
        <v>MC74VHC373DWR2G</v>
      </c>
      <c r="B9078" s="3" t="str">
        <f>HYPERLINK("https://www.773grp.com/manufacturer/onsemi?pageNo=989", "Onsemi")</f>
        <v>Onsemi</v>
      </c>
      <c r="C9078" s="6">
        <v>23796</v>
      </c>
      <c r="D9078" s="7">
        <v>1.06</v>
      </c>
      <c r="E9078" t="s">
        <v>11</v>
      </c>
    </row>
    <row r="9079" spans="1:5" x14ac:dyDescent="0.25">
      <c r="A9079" t="str">
        <f>HYPERLINK("https://www.773grp.com/globalSearch/MC74VHC374DTR2G/page-1", "MC74VHC374DTR2G")</f>
        <v>MC74VHC374DTR2G</v>
      </c>
      <c r="B9079" s="3" t="str">
        <f>HYPERLINK("https://www.773grp.com/manufacturer/onsemi?pageNo=990", "Onsemi")</f>
        <v>Onsemi</v>
      </c>
      <c r="C9079" s="6">
        <v>100000</v>
      </c>
      <c r="D9079" s="7">
        <v>1.06</v>
      </c>
      <c r="E9079" t="s">
        <v>11</v>
      </c>
    </row>
    <row r="9080" spans="1:5" x14ac:dyDescent="0.25">
      <c r="A9080" t="str">
        <f>HYPERLINK("https://www.773grp.com/globalSearch/MC74VHC374DWR2G/page-1", "MC74VHC374DWR2G")</f>
        <v>MC74VHC374DWR2G</v>
      </c>
      <c r="B9080" s="3" t="str">
        <f>HYPERLINK("https://www.773grp.com/manufacturer/onsemi?pageNo=991", "Onsemi")</f>
        <v>Onsemi</v>
      </c>
      <c r="C9080" s="6">
        <v>7000</v>
      </c>
      <c r="D9080" s="7">
        <v>1.06</v>
      </c>
      <c r="E9080" t="s">
        <v>11</v>
      </c>
    </row>
    <row r="9081" spans="1:5" x14ac:dyDescent="0.25">
      <c r="A9081" t="str">
        <f>HYPERLINK("https://www.773grp.com/globalSearch/MC74VHC573DTR2G/page-1", "MC74VHC573DTR2G")</f>
        <v>MC74VHC573DTR2G</v>
      </c>
      <c r="B9081" s="3" t="str">
        <f>HYPERLINK("https://www.773grp.com/manufacturer/onsemi?pageNo=992", "Onsemi")</f>
        <v>Onsemi</v>
      </c>
      <c r="C9081" s="6">
        <v>4284</v>
      </c>
      <c r="D9081" s="7">
        <v>1.06</v>
      </c>
      <c r="E9081" t="s">
        <v>11</v>
      </c>
    </row>
    <row r="9082" spans="1:5" x14ac:dyDescent="0.25">
      <c r="A9082" t="str">
        <f>HYPERLINK("https://www.773grp.com/globalSearch/MC74VHC573DWR2G/page-1", "MC74VHC573DWR2G")</f>
        <v>MC74VHC573DWR2G</v>
      </c>
      <c r="B9082" s="3" t="str">
        <f>HYPERLINK("https://www.773grp.com/manufacturer/onsemi?pageNo=993", "Onsemi")</f>
        <v>Onsemi</v>
      </c>
      <c r="C9082" s="6">
        <v>12582</v>
      </c>
      <c r="D9082" s="7">
        <v>1.06</v>
      </c>
      <c r="E9082" t="s">
        <v>11</v>
      </c>
    </row>
    <row r="9083" spans="1:5" x14ac:dyDescent="0.25">
      <c r="A9083" t="str">
        <f>HYPERLINK("https://www.773grp.com/globalSearch/MC74VHC574DTG/page-1", "MC74VHC574DTG")</f>
        <v>MC74VHC574DTG</v>
      </c>
      <c r="B9083" s="3" t="str">
        <f>HYPERLINK("https://www.773grp.com/manufacturer/onsemi?pageNo=994", "Onsemi")</f>
        <v>Onsemi</v>
      </c>
      <c r="C9083" s="6">
        <v>11900</v>
      </c>
      <c r="D9083" s="7">
        <v>1.06</v>
      </c>
      <c r="E9083" t="s">
        <v>11</v>
      </c>
    </row>
    <row r="9084" spans="1:5" x14ac:dyDescent="0.25">
      <c r="A9084" t="str">
        <f>HYPERLINK("https://www.773grp.com/globalSearch/MC74VHC574DTR2G/page-1", "MC74VHC574DTR2G")</f>
        <v>MC74VHC574DTR2G</v>
      </c>
      <c r="B9084" s="3" t="str">
        <f>HYPERLINK("https://www.773grp.com/manufacturer/onsemi?pageNo=995", "Onsemi")</f>
        <v>Onsemi</v>
      </c>
      <c r="C9084" s="6">
        <v>32500</v>
      </c>
      <c r="D9084" s="7">
        <v>1.06</v>
      </c>
      <c r="E9084" t="s">
        <v>11</v>
      </c>
    </row>
    <row r="9085" spans="1:5" x14ac:dyDescent="0.25">
      <c r="A9085" t="str">
        <f>HYPERLINK("https://www.773grp.com/globalSearch/MC74VHC574DWG/page-1", "MC74VHC574DWG")</f>
        <v>MC74VHC574DWG</v>
      </c>
      <c r="B9085" s="3" t="str">
        <f>HYPERLINK("https://www.773grp.com/manufacturer/onsemi?pageNo=996", "Onsemi")</f>
        <v>Onsemi</v>
      </c>
      <c r="C9085" s="6">
        <v>15314</v>
      </c>
      <c r="D9085" s="7">
        <v>1.06</v>
      </c>
      <c r="E9085" t="s">
        <v>11</v>
      </c>
    </row>
    <row r="9086" spans="1:5" x14ac:dyDescent="0.25">
      <c r="A9086" t="str">
        <f>HYPERLINK("https://www.773grp.com/globalSearch/MC74VHC574DWR2G/page-1", "MC74VHC574DWR2G")</f>
        <v>MC74VHC574DWR2G</v>
      </c>
      <c r="B9086" s="3" t="str">
        <f>HYPERLINK("https://www.773grp.com/manufacturer/onsemi?pageNo=997", "Onsemi")</f>
        <v>Onsemi</v>
      </c>
      <c r="C9086" s="6">
        <v>16000</v>
      </c>
      <c r="D9086" s="7">
        <v>1.06</v>
      </c>
      <c r="E9086" t="s">
        <v>11</v>
      </c>
    </row>
    <row r="9087" spans="1:5" x14ac:dyDescent="0.25">
      <c r="A9087" t="str">
        <f>HYPERLINK("https://www.773grp.com/globalSearch/MC74VHCT157AMELG/page-1", "MC74VHCT157AMELG")</f>
        <v>MC74VHCT157AMELG</v>
      </c>
      <c r="B9087" s="3" t="str">
        <f>HYPERLINK("https://www.773grp.com/manufacturer/onsemi?pageNo=998", "Onsemi")</f>
        <v>Onsemi</v>
      </c>
      <c r="C9087" s="6">
        <v>24000</v>
      </c>
      <c r="D9087" s="7">
        <v>1.06</v>
      </c>
      <c r="E9087" t="s">
        <v>16</v>
      </c>
    </row>
    <row r="9088" spans="1:5" x14ac:dyDescent="0.25">
      <c r="A9088" t="str">
        <f>HYPERLINK("https://www.773grp.com/globalSearch/MC74VHCT157AMG/page-1", "MC74VHCT157AMG")</f>
        <v>MC74VHCT157AMG</v>
      </c>
      <c r="B9088" s="3" t="str">
        <f>HYPERLINK("https://www.773grp.com/manufacturer/onsemi?pageNo=999", "Onsemi")</f>
        <v>Onsemi</v>
      </c>
      <c r="C9088" s="6">
        <v>50150</v>
      </c>
      <c r="D9088" s="7">
        <v>1.06</v>
      </c>
      <c r="E9088" t="s">
        <v>16</v>
      </c>
    </row>
    <row r="9089" spans="1:5" x14ac:dyDescent="0.25">
      <c r="A9089" t="str">
        <f>HYPERLINK("https://www.773grp.com/globalSearch/MC74VHCT240ADWRG/page-1", "MC74VHCT240ADWRG")</f>
        <v>MC74VHCT240ADWRG</v>
      </c>
      <c r="B9089" s="3" t="str">
        <f>HYPERLINK("https://www.773grp.com/manufacturer/onsemi?pageNo=1000", "Onsemi")</f>
        <v>Onsemi</v>
      </c>
      <c r="C9089" s="6">
        <v>18120</v>
      </c>
      <c r="D9089" s="7">
        <v>1.06</v>
      </c>
      <c r="E9089" t="s">
        <v>11</v>
      </c>
    </row>
    <row r="9090" spans="1:5" x14ac:dyDescent="0.25">
      <c r="A9090" t="str">
        <f>HYPERLINK("https://www.773grp.com/globalSearch/MC74VHCT244ADTG/page-1", "MC74VHCT244ADTG")</f>
        <v>MC74VHCT244ADTG</v>
      </c>
      <c r="B9090" s="3" t="str">
        <f>HYPERLINK("https://www.773grp.com/manufacturer/onsemi?pageNo=1001", "Onsemi")</f>
        <v>Onsemi</v>
      </c>
      <c r="C9090" s="6">
        <v>34859</v>
      </c>
      <c r="D9090" s="7">
        <v>1.06</v>
      </c>
      <c r="E9090" t="s">
        <v>11</v>
      </c>
    </row>
    <row r="9091" spans="1:5" x14ac:dyDescent="0.25">
      <c r="A9091" t="str">
        <f>HYPERLINK("https://www.773grp.com/globalSearch/MC74VHCT244ADTRG/page-1", "MC74VHCT244ADTRG")</f>
        <v>MC74VHCT244ADTRG</v>
      </c>
      <c r="B9091" s="3" t="str">
        <f>HYPERLINK("https://www.773grp.com/manufacturer/onsemi?pageNo=1002", "Onsemi")</f>
        <v>Onsemi</v>
      </c>
      <c r="C9091" s="6">
        <v>24266</v>
      </c>
      <c r="D9091" s="7">
        <v>1.06</v>
      </c>
      <c r="E9091" t="s">
        <v>11</v>
      </c>
    </row>
    <row r="9092" spans="1:5" x14ac:dyDescent="0.25">
      <c r="A9092" t="str">
        <f>HYPERLINK("https://www.773grp.com/globalSearch/MC74VHCT244ADWRG/page-1", "MC74VHCT244ADWRG")</f>
        <v>MC74VHCT244ADWRG</v>
      </c>
      <c r="B9092" s="3" t="str">
        <f>HYPERLINK("https://www.773grp.com/manufacturer/onsemi?pageNo=1003", "Onsemi")</f>
        <v>Onsemi</v>
      </c>
      <c r="C9092" s="6">
        <v>14800</v>
      </c>
      <c r="D9092" s="7">
        <v>1.06</v>
      </c>
      <c r="E9092" t="s">
        <v>11</v>
      </c>
    </row>
    <row r="9093" spans="1:5" x14ac:dyDescent="0.25">
      <c r="A9093" t="str">
        <f>HYPERLINK("https://www.773grp.com/globalSearch/MC74VHCT245ADTG/page-1", "MC74VHCT245ADTG")</f>
        <v>MC74VHCT245ADTG</v>
      </c>
      <c r="B9093" s="3" t="str">
        <f>HYPERLINK("https://www.773grp.com/manufacturer/onsemi?pageNo=1004", "Onsemi")</f>
        <v>Onsemi</v>
      </c>
      <c r="C9093" s="6">
        <v>4770</v>
      </c>
      <c r="D9093" s="7">
        <v>1.06</v>
      </c>
      <c r="E9093" t="s">
        <v>11</v>
      </c>
    </row>
    <row r="9094" spans="1:5" x14ac:dyDescent="0.25">
      <c r="A9094" t="str">
        <f>HYPERLINK("https://www.773grp.com/globalSearch/MC74VHCT245ADTRG/page-1", "MC74VHCT245ADTRG")</f>
        <v>MC74VHCT245ADTRG</v>
      </c>
      <c r="B9094" s="3" t="str">
        <f>HYPERLINK("https://www.773grp.com/manufacturer/onsemi?pageNo=1005", "Onsemi")</f>
        <v>Onsemi</v>
      </c>
      <c r="C9094" s="6">
        <v>22500</v>
      </c>
      <c r="D9094" s="7">
        <v>1.06</v>
      </c>
      <c r="E9094" t="s">
        <v>11</v>
      </c>
    </row>
    <row r="9095" spans="1:5" x14ac:dyDescent="0.25">
      <c r="A9095" t="str">
        <f>HYPERLINK("https://www.773grp.com/globalSearch/MC74VHCT245ADWG/page-1", "MC74VHCT245ADWG")</f>
        <v>MC74VHCT245ADWG</v>
      </c>
      <c r="B9095" s="3" t="str">
        <f>HYPERLINK("https://www.773grp.com/manufacturer/onsemi?pageNo=1006", "Onsemi")</f>
        <v>Onsemi</v>
      </c>
      <c r="C9095" s="6">
        <v>12786</v>
      </c>
      <c r="D9095" s="7">
        <v>1.06</v>
      </c>
      <c r="E9095" t="s">
        <v>11</v>
      </c>
    </row>
    <row r="9096" spans="1:5" x14ac:dyDescent="0.25">
      <c r="A9096" t="str">
        <f>HYPERLINK("https://www.773grp.com/globalSearch/MC74VHCT373ADTRG/page-1", "MC74VHCT373ADTRG")</f>
        <v>MC74VHCT373ADTRG</v>
      </c>
      <c r="B9096" s="3" t="str">
        <f>HYPERLINK("https://www.773grp.com/manufacturer/onsemi?pageNo=1007", "Onsemi")</f>
        <v>Onsemi</v>
      </c>
      <c r="C9096" s="6">
        <v>5000</v>
      </c>
      <c r="D9096" s="7">
        <v>1.06</v>
      </c>
      <c r="E9096" t="s">
        <v>11</v>
      </c>
    </row>
    <row r="9097" spans="1:5" x14ac:dyDescent="0.25">
      <c r="A9097" t="str">
        <f>HYPERLINK("https://www.773grp.com/globalSearch/MC74VHCT373ADWRG/page-1", "MC74VHCT373ADWRG")</f>
        <v>MC74VHCT373ADWRG</v>
      </c>
      <c r="B9097" s="3" t="str">
        <f>HYPERLINK("https://www.773grp.com/manufacturer/onsemi?pageNo=1008", "Onsemi")</f>
        <v>Onsemi</v>
      </c>
      <c r="C9097" s="6">
        <v>24000</v>
      </c>
      <c r="D9097" s="7">
        <v>1.06</v>
      </c>
      <c r="E9097" t="s">
        <v>11</v>
      </c>
    </row>
    <row r="9098" spans="1:5" x14ac:dyDescent="0.25">
      <c r="A9098" t="str">
        <f>HYPERLINK("https://www.773grp.com/globalSearch/MC74VHCT573ADTRG/page-1", "MC74VHCT573ADTRG")</f>
        <v>MC74VHCT573ADTRG</v>
      </c>
      <c r="B9098" s="3" t="str">
        <f>HYPERLINK("https://www.773grp.com/manufacturer/onsemi?pageNo=1009", "Onsemi")</f>
        <v>Onsemi</v>
      </c>
      <c r="C9098" s="6">
        <v>2500</v>
      </c>
      <c r="D9098" s="7">
        <v>1.06</v>
      </c>
    </row>
    <row r="9099" spans="1:5" x14ac:dyDescent="0.25">
      <c r="A9099" t="str">
        <f>HYPERLINK("https://www.773grp.com/globalSearch/MC74VHCT573ADWG/page-1", "MC74VHCT573ADWG")</f>
        <v>MC74VHCT573ADWG</v>
      </c>
      <c r="B9099" s="3" t="str">
        <f>HYPERLINK("https://www.773grp.com/manufacturer/onsemi?pageNo=1010", "Onsemi")</f>
        <v>Onsemi</v>
      </c>
      <c r="C9099" s="6">
        <v>29914</v>
      </c>
      <c r="D9099" s="7">
        <v>1.06</v>
      </c>
      <c r="E9099" t="s">
        <v>11</v>
      </c>
    </row>
    <row r="9100" spans="1:5" x14ac:dyDescent="0.25">
      <c r="A9100" t="str">
        <f>HYPERLINK("https://www.773grp.com/globalSearch/MC74VHCT573ADWRG/page-1", "MC74VHCT573ADWRG")</f>
        <v>MC74VHCT573ADWRG</v>
      </c>
      <c r="B9100" s="3" t="str">
        <f>HYPERLINK("https://www.773grp.com/manufacturer/onsemi?pageNo=1011", "Onsemi")</f>
        <v>Onsemi</v>
      </c>
      <c r="C9100" s="6">
        <v>13000</v>
      </c>
      <c r="D9100" s="7">
        <v>1.06</v>
      </c>
      <c r="E9100" t="s">
        <v>11</v>
      </c>
    </row>
    <row r="9101" spans="1:5" x14ac:dyDescent="0.25">
      <c r="A9101" t="str">
        <f>HYPERLINK("https://www.773grp.com/globalSearch/MC74VHCT574ADTG/page-1", "MC74VHCT574ADTG")</f>
        <v>MC74VHCT574ADTG</v>
      </c>
      <c r="B9101" s="3" t="str">
        <f>HYPERLINK("https://www.773grp.com/manufacturer/onsemi?pageNo=1012", "Onsemi")</f>
        <v>Onsemi</v>
      </c>
      <c r="C9101" s="6">
        <v>8625</v>
      </c>
      <c r="D9101" s="7">
        <v>1.06</v>
      </c>
      <c r="E9101" t="s">
        <v>11</v>
      </c>
    </row>
    <row r="9102" spans="1:5" x14ac:dyDescent="0.25">
      <c r="A9102" t="str">
        <f>HYPERLINK("https://www.773grp.com/globalSearch/MC74VHCT574ADTRG/page-1", "MC74VHCT574ADTRG")</f>
        <v>MC74VHCT574ADTRG</v>
      </c>
      <c r="B9102" s="3" t="str">
        <f>HYPERLINK("https://www.773grp.com/manufacturer/onsemi?pageNo=1013", "Onsemi")</f>
        <v>Onsemi</v>
      </c>
      <c r="C9102" s="6">
        <v>16934</v>
      </c>
      <c r="D9102" s="7">
        <v>1.06</v>
      </c>
      <c r="E9102" t="s">
        <v>11</v>
      </c>
    </row>
    <row r="9103" spans="1:5" x14ac:dyDescent="0.25">
      <c r="A9103" t="str">
        <f>HYPERLINK("https://www.773grp.com/globalSearch/MC74VHCT574ADWG/page-1", "MC74VHCT574ADWG")</f>
        <v>MC74VHCT574ADWG</v>
      </c>
      <c r="B9103" s="3" t="str">
        <f>HYPERLINK("https://www.773grp.com/manufacturer/onsemi?pageNo=1014", "Onsemi")</f>
        <v>Onsemi</v>
      </c>
      <c r="C9103" s="6">
        <v>13921</v>
      </c>
      <c r="D9103" s="7">
        <v>1.06</v>
      </c>
      <c r="E9103" t="s">
        <v>11</v>
      </c>
    </row>
    <row r="9104" spans="1:5" x14ac:dyDescent="0.25">
      <c r="A9104" t="str">
        <f>HYPERLINK("https://www.773grp.com/globalSearch/MC7805ACTG/page-1", "MC7805ACTG")</f>
        <v>MC7805ACTG</v>
      </c>
      <c r="B9104" s="3" t="str">
        <f>HYPERLINK("https://www.773grp.com/manufacturer/onsemi?pageNo=1015", "Onsemi")</f>
        <v>Onsemi</v>
      </c>
      <c r="C9104" s="6">
        <v>13871</v>
      </c>
      <c r="D9104" s="7">
        <v>1.06</v>
      </c>
      <c r="E9104" t="s">
        <v>24</v>
      </c>
    </row>
    <row r="9105" spans="1:5" x14ac:dyDescent="0.25">
      <c r="A9105" t="str">
        <f>HYPERLINK("https://www.773grp.com/globalSearch/MC7805BTG/page-1", "MC7805BTG")</f>
        <v>MC7805BTG</v>
      </c>
      <c r="B9105" s="3" t="str">
        <f>HYPERLINK("https://www.773grp.com/manufacturer/onsemi?pageNo=1016", "Onsemi")</f>
        <v>Onsemi</v>
      </c>
      <c r="C9105" s="6">
        <v>13408</v>
      </c>
      <c r="D9105" s="7">
        <v>1.06</v>
      </c>
      <c r="E9105" t="s">
        <v>24</v>
      </c>
    </row>
    <row r="9106" spans="1:5" x14ac:dyDescent="0.25">
      <c r="A9106" t="str">
        <f>HYPERLINK("https://www.773grp.com/globalSearch/MC7806BTG/page-1", "MC7806BTG")</f>
        <v>MC7806BTG</v>
      </c>
      <c r="B9106" s="3" t="str">
        <f>HYPERLINK("https://www.773grp.com/manufacturer/onsemi?pageNo=1017", "Onsemi")</f>
        <v>Onsemi</v>
      </c>
      <c r="C9106" s="6">
        <v>17590</v>
      </c>
      <c r="D9106" s="7">
        <v>1.06</v>
      </c>
      <c r="E9106" t="s">
        <v>24</v>
      </c>
    </row>
    <row r="9107" spans="1:5" x14ac:dyDescent="0.25">
      <c r="A9107" t="str">
        <f>HYPERLINK("https://www.773grp.com/globalSearch/MC7808ACTG/page-1", "MC7808ACTG")</f>
        <v>MC7808ACTG</v>
      </c>
      <c r="B9107" s="3" t="str">
        <f>HYPERLINK("https://www.773grp.com/manufacturer/onsemi?pageNo=1018", "Onsemi")</f>
        <v>Onsemi</v>
      </c>
      <c r="C9107" s="6">
        <v>7315</v>
      </c>
      <c r="D9107" s="7">
        <v>1.06</v>
      </c>
      <c r="E9107" t="s">
        <v>24</v>
      </c>
    </row>
    <row r="9108" spans="1:5" x14ac:dyDescent="0.25">
      <c r="A9108" t="str">
        <f>HYPERLINK("https://www.773grp.com/globalSearch/MC7808BTG/page-1", "MC7808BTG")</f>
        <v>MC7808BTG</v>
      </c>
      <c r="B9108" s="3" t="str">
        <f>HYPERLINK("https://www.773grp.com/manufacturer/onsemi?pageNo=1019", "Onsemi")</f>
        <v>Onsemi</v>
      </c>
      <c r="C9108" s="6">
        <v>10150</v>
      </c>
      <c r="D9108" s="7">
        <v>1.06</v>
      </c>
      <c r="E9108" t="s">
        <v>24</v>
      </c>
    </row>
    <row r="9109" spans="1:5" x14ac:dyDescent="0.25">
      <c r="A9109" t="str">
        <f>HYPERLINK("https://www.773grp.com/globalSearch/MC7809ACTG/page-1", "MC7809ACTG")</f>
        <v>MC7809ACTG</v>
      </c>
      <c r="B9109" s="3" t="str">
        <f>HYPERLINK("https://www.773grp.com/manufacturer/onsemi?pageNo=1020", "Onsemi")</f>
        <v>Onsemi</v>
      </c>
      <c r="C9109" s="6">
        <v>300320</v>
      </c>
      <c r="D9109" s="7">
        <v>1.06</v>
      </c>
      <c r="E9109" t="s">
        <v>24</v>
      </c>
    </row>
    <row r="9110" spans="1:5" x14ac:dyDescent="0.25">
      <c r="A9110" t="str">
        <f>HYPERLINK("https://www.773grp.com/globalSearch/MC7809BTG/page-1", "MC7809BTG")</f>
        <v>MC7809BTG</v>
      </c>
      <c r="B9110" s="3" t="str">
        <f>HYPERLINK("https://www.773grp.com/manufacturer/onsemi?pageNo=1021", "Onsemi")</f>
        <v>Onsemi</v>
      </c>
      <c r="C9110" s="6">
        <v>86006</v>
      </c>
      <c r="D9110" s="7">
        <v>1.06</v>
      </c>
      <c r="E9110" t="s">
        <v>24</v>
      </c>
    </row>
    <row r="9111" spans="1:5" x14ac:dyDescent="0.25">
      <c r="A9111" t="str">
        <f>HYPERLINK("https://www.773grp.com/globalSearch/MC7812ACTG/page-1", "MC7812ACTG")</f>
        <v>MC7812ACTG</v>
      </c>
      <c r="B9111" s="3" t="str">
        <f>HYPERLINK("https://www.773grp.com/manufacturer/onsemi?pageNo=1022", "Onsemi")</f>
        <v>Onsemi</v>
      </c>
      <c r="C9111" s="6">
        <v>6450</v>
      </c>
      <c r="D9111" s="7">
        <v>1.06</v>
      </c>
      <c r="E9111" t="s">
        <v>24</v>
      </c>
    </row>
    <row r="9112" spans="1:5" x14ac:dyDescent="0.25">
      <c r="A9112" t="str">
        <f>HYPERLINK("https://www.773grp.com/globalSearch/MC7812BTG/page-1", "MC7812BTG")</f>
        <v>MC7812BTG</v>
      </c>
      <c r="B9112" s="3" t="str">
        <f>HYPERLINK("https://www.773grp.com/manufacturer/onsemi?pageNo=1023", "Onsemi")</f>
        <v>Onsemi</v>
      </c>
      <c r="C9112" s="6">
        <v>33409</v>
      </c>
      <c r="D9112" s="7">
        <v>1.06</v>
      </c>
      <c r="E9112" t="s">
        <v>24</v>
      </c>
    </row>
    <row r="9113" spans="1:5" x14ac:dyDescent="0.25">
      <c r="A9113" t="str">
        <f>HYPERLINK("https://www.773grp.com/globalSearch/MC7815ACT/page-1", "MC7815ACT")</f>
        <v>MC7815ACT</v>
      </c>
      <c r="B9113" s="3" t="str">
        <f>HYPERLINK("https://www.773grp.com/manufacturer/onsemi?pageNo=1024", "Onsemi")</f>
        <v>Onsemi</v>
      </c>
      <c r="C9113" s="6">
        <v>5600</v>
      </c>
      <c r="D9113" s="7">
        <v>1.06</v>
      </c>
      <c r="E9113" t="s">
        <v>24</v>
      </c>
    </row>
    <row r="9114" spans="1:5" x14ac:dyDescent="0.25">
      <c r="A9114" t="str">
        <f>HYPERLINK("https://www.773grp.com/globalSearch/MC7815ACTG/page-1", "MC7815ACTG")</f>
        <v>MC7815ACTG</v>
      </c>
      <c r="B9114" s="3" t="str">
        <f>HYPERLINK("https://www.773grp.com/manufacturer/onsemi?pageNo=1025", "Onsemi")</f>
        <v>Onsemi</v>
      </c>
      <c r="C9114" s="6">
        <v>398145</v>
      </c>
      <c r="D9114" s="7">
        <v>1.06</v>
      </c>
      <c r="E9114" t="s">
        <v>24</v>
      </c>
    </row>
    <row r="9115" spans="1:5" x14ac:dyDescent="0.25">
      <c r="A9115" t="str">
        <f>HYPERLINK("https://www.773grp.com/globalSearch/MC7815BTG/page-1", "MC7815BTG")</f>
        <v>MC7815BTG</v>
      </c>
      <c r="B9115" s="3" t="str">
        <f>HYPERLINK("https://www.773grp.com/manufacturer/onsemi?pageNo=1026", "Onsemi")</f>
        <v>Onsemi</v>
      </c>
      <c r="C9115" s="6">
        <v>115883</v>
      </c>
      <c r="D9115" s="7">
        <v>1.06</v>
      </c>
      <c r="E9115" t="s">
        <v>24</v>
      </c>
    </row>
    <row r="9116" spans="1:5" x14ac:dyDescent="0.25">
      <c r="A9116" t="str">
        <f>HYPERLINK("https://www.773grp.com/globalSearch/MC7818ACTG/page-1", "MC7818ACTG")</f>
        <v>MC7818ACTG</v>
      </c>
      <c r="B9116" s="3" t="str">
        <f>HYPERLINK("https://www.773grp.com/manufacturer/onsemi?pageNo=1027", "Onsemi")</f>
        <v>Onsemi</v>
      </c>
      <c r="C9116" s="6">
        <v>13667</v>
      </c>
      <c r="D9116" s="7">
        <v>1.06</v>
      </c>
      <c r="E9116" t="s">
        <v>24</v>
      </c>
    </row>
    <row r="9117" spans="1:5" x14ac:dyDescent="0.25">
      <c r="A9117" t="str">
        <f>HYPERLINK("https://www.773grp.com/globalSearch/MC7818BTG/page-1", "MC7818BTG")</f>
        <v>MC7818BTG</v>
      </c>
      <c r="B9117" s="3" t="str">
        <f>HYPERLINK("https://www.773grp.com/manufacturer/onsemi?pageNo=1028", "Onsemi")</f>
        <v>Onsemi</v>
      </c>
      <c r="C9117" s="6">
        <v>26200</v>
      </c>
      <c r="D9117" s="7">
        <v>1.06</v>
      </c>
      <c r="E9117" t="s">
        <v>24</v>
      </c>
    </row>
    <row r="9118" spans="1:5" x14ac:dyDescent="0.25">
      <c r="A9118" t="str">
        <f>HYPERLINK("https://www.773grp.com/globalSearch/MC7824ACTG/page-1", "MC7824ACTG")</f>
        <v>MC7824ACTG</v>
      </c>
      <c r="B9118" s="3" t="str">
        <f>HYPERLINK("https://www.773grp.com/manufacturer/onsemi?pageNo=1029", "Onsemi")</f>
        <v>Onsemi</v>
      </c>
      <c r="C9118" s="6">
        <v>300</v>
      </c>
      <c r="D9118" s="7">
        <v>1.06</v>
      </c>
    </row>
    <row r="9119" spans="1:5" x14ac:dyDescent="0.25">
      <c r="A9119" t="str">
        <f>HYPERLINK("https://www.773grp.com/globalSearch/MC7824BTG/page-1", "MC7824BTG")</f>
        <v>MC7824BTG</v>
      </c>
      <c r="B9119" s="3" t="str">
        <f>HYPERLINK("https://www.773grp.com/manufacturer/onsemi?pageNo=1030", "Onsemi")</f>
        <v>Onsemi</v>
      </c>
      <c r="C9119" s="6">
        <v>2100</v>
      </c>
      <c r="D9119" s="7">
        <v>1.06</v>
      </c>
      <c r="E9119" t="s">
        <v>24</v>
      </c>
    </row>
    <row r="9120" spans="1:5" x14ac:dyDescent="0.25">
      <c r="A9120" t="str">
        <f>HYPERLINK("https://www.773grp.com/globalSearch/MC78M05CDT/page-1", "MC78M05CDT")</f>
        <v>MC78M05CDT</v>
      </c>
      <c r="B9120" s="3" t="str">
        <f>HYPERLINK("https://www.773grp.com/manufacturer/onsemi?pageNo=1031", "Onsemi")</f>
        <v>Onsemi</v>
      </c>
      <c r="C9120" s="6">
        <v>2325</v>
      </c>
      <c r="D9120" s="7">
        <v>1.06</v>
      </c>
    </row>
    <row r="9121" spans="1:5" x14ac:dyDescent="0.25">
      <c r="A9121" t="str">
        <f>HYPERLINK("https://www.773grp.com/globalSearch/MC78M05CDTG/page-1", "MC78M05CDTG")</f>
        <v>MC78M05CDTG</v>
      </c>
      <c r="B9121" s="3" t="str">
        <f>HYPERLINK("https://www.773grp.com/manufacturer/onsemi?pageNo=1032", "Onsemi")</f>
        <v>Onsemi</v>
      </c>
      <c r="C9121" s="6">
        <v>15880</v>
      </c>
      <c r="D9121" s="7">
        <v>1.06</v>
      </c>
      <c r="E9121" t="s">
        <v>24</v>
      </c>
    </row>
    <row r="9122" spans="1:5" x14ac:dyDescent="0.25">
      <c r="A9122" t="str">
        <f>HYPERLINK("https://www.773grp.com/globalSearch/MC78M05CDTRKG/page-1", "MC78M05CDTRKG")</f>
        <v>MC78M05CDTRKG</v>
      </c>
      <c r="B9122" s="3" t="str">
        <f>HYPERLINK("https://www.773grp.com/manufacturer/onsemi?pageNo=1033", "Onsemi")</f>
        <v>Onsemi</v>
      </c>
      <c r="C9122" s="6">
        <v>132511</v>
      </c>
      <c r="D9122" s="7">
        <v>1.06</v>
      </c>
      <c r="E9122" t="s">
        <v>24</v>
      </c>
    </row>
    <row r="9123" spans="1:5" x14ac:dyDescent="0.25">
      <c r="A9123" t="str">
        <f>HYPERLINK("https://www.773grp.com/globalSearch/MC78M05CDTT5G/page-1", "MC78M05CDTT5G")</f>
        <v>MC78M05CDTT5G</v>
      </c>
      <c r="B9123" s="3" t="str">
        <f>HYPERLINK("https://www.773grp.com/manufacturer/onsemi?pageNo=1034", "Onsemi")</f>
        <v>Onsemi</v>
      </c>
      <c r="C9123" s="6">
        <v>7500</v>
      </c>
      <c r="D9123" s="7">
        <v>1.06</v>
      </c>
      <c r="E9123" t="s">
        <v>24</v>
      </c>
    </row>
    <row r="9124" spans="1:5" x14ac:dyDescent="0.25">
      <c r="A9124" t="str">
        <f>HYPERLINK("https://www.773grp.com/globalSearch/MC78M06CDTG/page-1", "MC78M06CDTG")</f>
        <v>MC78M06CDTG</v>
      </c>
      <c r="B9124" s="3" t="str">
        <f>HYPERLINK("https://www.773grp.com/manufacturer/onsemi?pageNo=1035", "Onsemi")</f>
        <v>Onsemi</v>
      </c>
      <c r="C9124" s="6">
        <v>17875</v>
      </c>
      <c r="D9124" s="7">
        <v>1.06</v>
      </c>
      <c r="E9124" t="s">
        <v>24</v>
      </c>
    </row>
    <row r="9125" spans="1:5" x14ac:dyDescent="0.25">
      <c r="A9125" t="str">
        <f>HYPERLINK("https://www.773grp.com/globalSearch/MC78M06CDTRKG/page-1", "MC78M06CDTRKG")</f>
        <v>MC78M06CDTRKG</v>
      </c>
      <c r="B9125" s="3" t="str">
        <f>HYPERLINK("https://www.773grp.com/manufacturer/onsemi?pageNo=1036", "Onsemi")</f>
        <v>Onsemi</v>
      </c>
      <c r="C9125" s="6">
        <v>279363</v>
      </c>
      <c r="D9125" s="7">
        <v>1.06</v>
      </c>
      <c r="E9125" t="s">
        <v>24</v>
      </c>
    </row>
    <row r="9126" spans="1:5" x14ac:dyDescent="0.25">
      <c r="A9126" t="str">
        <f>HYPERLINK("https://www.773grp.com/globalSearch/MC78M08CDTG/page-1", "MC78M08CDTG")</f>
        <v>MC78M08CDTG</v>
      </c>
      <c r="B9126" s="3" t="str">
        <f>HYPERLINK("https://www.773grp.com/manufacturer/onsemi?pageNo=1037", "Onsemi")</f>
        <v>Onsemi</v>
      </c>
      <c r="C9126" s="6">
        <v>11735</v>
      </c>
      <c r="D9126" s="7">
        <v>1.06</v>
      </c>
      <c r="E9126" t="s">
        <v>24</v>
      </c>
    </row>
    <row r="9127" spans="1:5" x14ac:dyDescent="0.25">
      <c r="A9127" t="str">
        <f>HYPERLINK("https://www.773grp.com/globalSearch/MC78M08CDTRKG/page-1", "MC78M08CDTRKG")</f>
        <v>MC78M08CDTRKG</v>
      </c>
      <c r="B9127" s="3" t="str">
        <f>HYPERLINK("https://www.773grp.com/manufacturer/onsemi?pageNo=1038", "Onsemi")</f>
        <v>Onsemi</v>
      </c>
      <c r="C9127" s="6">
        <v>14263</v>
      </c>
      <c r="D9127" s="7">
        <v>1.06</v>
      </c>
      <c r="E9127" t="s">
        <v>24</v>
      </c>
    </row>
    <row r="9128" spans="1:5" x14ac:dyDescent="0.25">
      <c r="A9128" t="str">
        <f>HYPERLINK("https://www.773grp.com/globalSearch/MC78M09CDTG/page-1", "MC78M09CDTG")</f>
        <v>MC78M09CDTG</v>
      </c>
      <c r="B9128" s="3" t="str">
        <f>HYPERLINK("https://www.773grp.com/manufacturer/onsemi?pageNo=1039", "Onsemi")</f>
        <v>Onsemi</v>
      </c>
      <c r="C9128" s="6">
        <v>22425</v>
      </c>
      <c r="D9128" s="7">
        <v>1.06</v>
      </c>
      <c r="E9128" t="s">
        <v>24</v>
      </c>
    </row>
    <row r="9129" spans="1:5" x14ac:dyDescent="0.25">
      <c r="A9129" t="str">
        <f>HYPERLINK("https://www.773grp.com/globalSearch/MC78M09CDTRKG/page-1", "MC78M09CDTRKG")</f>
        <v>MC78M09CDTRKG</v>
      </c>
      <c r="B9129" s="3" t="str">
        <f>HYPERLINK("https://www.773grp.com/manufacturer/onsemi?pageNo=1040", "Onsemi")</f>
        <v>Onsemi</v>
      </c>
      <c r="C9129" s="6">
        <v>228595</v>
      </c>
      <c r="D9129" s="7">
        <v>1.06</v>
      </c>
      <c r="E9129" t="s">
        <v>24</v>
      </c>
    </row>
    <row r="9130" spans="1:5" x14ac:dyDescent="0.25">
      <c r="A9130" t="str">
        <f>HYPERLINK("https://www.773grp.com/globalSearch/MC78M12CDTG/page-1", "MC78M12CDTG")</f>
        <v>MC78M12CDTG</v>
      </c>
      <c r="B9130" s="3" t="str">
        <f>HYPERLINK("https://www.773grp.com/manufacturer/onsemi?pageNo=1041", "Onsemi")</f>
        <v>Onsemi</v>
      </c>
      <c r="C9130" s="6">
        <v>14070</v>
      </c>
      <c r="D9130" s="7">
        <v>1.06</v>
      </c>
      <c r="E9130" t="s">
        <v>24</v>
      </c>
    </row>
    <row r="9131" spans="1:5" x14ac:dyDescent="0.25">
      <c r="A9131" t="str">
        <f>HYPERLINK("https://www.773grp.com/globalSearch/MC78M12CDTRKG/page-1", "MC78M12CDTRKG")</f>
        <v>MC78M12CDTRKG</v>
      </c>
      <c r="B9131" s="3" t="str">
        <f>HYPERLINK("https://www.773grp.com/manufacturer/onsemi?pageNo=1042", "Onsemi")</f>
        <v>Onsemi</v>
      </c>
      <c r="C9131" s="6">
        <v>114705</v>
      </c>
      <c r="D9131" s="7">
        <v>1.06</v>
      </c>
      <c r="E9131" t="s">
        <v>24</v>
      </c>
    </row>
    <row r="9132" spans="1:5" x14ac:dyDescent="0.25">
      <c r="A9132" t="str">
        <f>HYPERLINK("https://www.773grp.com/globalSearch/MC78M12CDTT5G/page-1", "MC78M12CDTT5G")</f>
        <v>MC78M12CDTT5G</v>
      </c>
      <c r="B9132" s="3" t="str">
        <f>HYPERLINK("https://www.773grp.com/manufacturer/onsemi?pageNo=1043", "Onsemi")</f>
        <v>Onsemi</v>
      </c>
      <c r="C9132" s="6">
        <v>2500</v>
      </c>
      <c r="D9132" s="7">
        <v>1.06</v>
      </c>
    </row>
    <row r="9133" spans="1:5" x14ac:dyDescent="0.25">
      <c r="A9133" t="str">
        <f>HYPERLINK("https://www.773grp.com/globalSearch/MC78M15CDTG/page-1", "MC78M15CDTG")</f>
        <v>MC78M15CDTG</v>
      </c>
      <c r="B9133" s="3" t="str">
        <f>HYPERLINK("https://www.773grp.com/manufacturer/onsemi?pageNo=1044", "Onsemi")</f>
        <v>Onsemi</v>
      </c>
      <c r="C9133" s="6">
        <v>2175</v>
      </c>
      <c r="D9133" s="7">
        <v>1.06</v>
      </c>
      <c r="E9133" t="s">
        <v>24</v>
      </c>
    </row>
    <row r="9134" spans="1:5" x14ac:dyDescent="0.25">
      <c r="A9134" t="str">
        <f>HYPERLINK("https://www.773grp.com/globalSearch/MC78M15CDTRKG/page-1", "MC78M15CDTRKG")</f>
        <v>MC78M15CDTRKG</v>
      </c>
      <c r="B9134" s="3" t="str">
        <f>HYPERLINK("https://www.773grp.com/manufacturer/onsemi?pageNo=1045", "Onsemi")</f>
        <v>Onsemi</v>
      </c>
      <c r="C9134" s="6">
        <v>9536</v>
      </c>
      <c r="D9134" s="7">
        <v>1.06</v>
      </c>
    </row>
    <row r="9135" spans="1:5" x14ac:dyDescent="0.25">
      <c r="A9135" t="str">
        <f>HYPERLINK("https://www.773grp.com/globalSearch/MC78M18CDTG/page-1", "MC78M18CDTG")</f>
        <v>MC78M18CDTG</v>
      </c>
      <c r="B9135" s="3" t="str">
        <f>HYPERLINK("https://www.773grp.com/manufacturer/onsemi?pageNo=1046", "Onsemi")</f>
        <v>Onsemi</v>
      </c>
      <c r="C9135" s="6">
        <v>7035</v>
      </c>
      <c r="D9135" s="7">
        <v>1.06</v>
      </c>
      <c r="E9135" t="s">
        <v>24</v>
      </c>
    </row>
    <row r="9136" spans="1:5" x14ac:dyDescent="0.25">
      <c r="A9136" t="str">
        <f>HYPERLINK("https://www.773grp.com/globalSearch/MC78M18CDTRKG/page-1", "MC78M18CDTRKG")</f>
        <v>MC78M18CDTRKG</v>
      </c>
      <c r="B9136" s="3" t="str">
        <f>HYPERLINK("https://www.773grp.com/manufacturer/onsemi?pageNo=1047", "Onsemi")</f>
        <v>Onsemi</v>
      </c>
      <c r="C9136" s="6">
        <v>27500</v>
      </c>
      <c r="D9136" s="7">
        <v>1.06</v>
      </c>
      <c r="E9136" t="s">
        <v>24</v>
      </c>
    </row>
    <row r="9137" spans="1:5" x14ac:dyDescent="0.25">
      <c r="A9137" t="str">
        <f>HYPERLINK("https://www.773grp.com/globalSearch/MC7905ACTG/page-1", "MC7905ACTG")</f>
        <v>MC7905ACTG</v>
      </c>
      <c r="B9137" s="3" t="str">
        <f>HYPERLINK("https://www.773grp.com/manufacturer/onsemi?pageNo=1048", "Onsemi")</f>
        <v>Onsemi</v>
      </c>
      <c r="C9137" s="6">
        <v>8300</v>
      </c>
      <c r="D9137" s="7">
        <v>1.06</v>
      </c>
      <c r="E9137" t="s">
        <v>53</v>
      </c>
    </row>
    <row r="9138" spans="1:5" x14ac:dyDescent="0.25">
      <c r="A9138" t="str">
        <f>HYPERLINK("https://www.773grp.com/globalSearch/MC7905BTG/page-1", "MC7905BTG")</f>
        <v>MC7905BTG</v>
      </c>
      <c r="B9138" s="3" t="str">
        <f>HYPERLINK("https://www.773grp.com/manufacturer/onsemi?pageNo=1049", "Onsemi")</f>
        <v>Onsemi</v>
      </c>
      <c r="C9138" s="6">
        <v>24042</v>
      </c>
      <c r="D9138" s="7">
        <v>1.06</v>
      </c>
      <c r="E9138" t="s">
        <v>53</v>
      </c>
    </row>
    <row r="9139" spans="1:5" x14ac:dyDescent="0.25">
      <c r="A9139" t="str">
        <f>HYPERLINK("https://www.773grp.com/globalSearch/MC7912ACTG/page-1", "MC7912ACTG")</f>
        <v>MC7912ACTG</v>
      </c>
      <c r="B9139" s="3" t="str">
        <f>HYPERLINK("https://www.773grp.com/manufacturer/onsemi?pageNo=1050", "Onsemi")</f>
        <v>Onsemi</v>
      </c>
      <c r="C9139" s="6">
        <v>42690</v>
      </c>
      <c r="D9139" s="7">
        <v>1.06</v>
      </c>
      <c r="E9139" t="s">
        <v>53</v>
      </c>
    </row>
    <row r="9140" spans="1:5" x14ac:dyDescent="0.25">
      <c r="A9140" t="str">
        <f>HYPERLINK("https://www.773grp.com/globalSearch/MC7912BTG/page-1", "MC7912BTG")</f>
        <v>MC7912BTG</v>
      </c>
      <c r="B9140" s="3" t="str">
        <f>HYPERLINK("https://www.773grp.com/manufacturer/onsemi?pageNo=1051", "Onsemi")</f>
        <v>Onsemi</v>
      </c>
      <c r="C9140" s="6">
        <v>11565</v>
      </c>
      <c r="D9140" s="7">
        <v>1.06</v>
      </c>
      <c r="E9140" t="s">
        <v>53</v>
      </c>
    </row>
    <row r="9141" spans="1:5" x14ac:dyDescent="0.25">
      <c r="A9141" t="str">
        <f>HYPERLINK("https://www.773grp.com/globalSearch/MC7915ACTG/page-1", "MC7915ACTG")</f>
        <v>MC7915ACTG</v>
      </c>
      <c r="B9141" s="3" t="str">
        <f>HYPERLINK("https://www.773grp.com/manufacturer/onsemi?pageNo=1052", "Onsemi")</f>
        <v>Onsemi</v>
      </c>
      <c r="C9141" s="6">
        <v>38150</v>
      </c>
      <c r="D9141" s="7">
        <v>1.06</v>
      </c>
      <c r="E9141" t="s">
        <v>53</v>
      </c>
    </row>
    <row r="9142" spans="1:5" x14ac:dyDescent="0.25">
      <c r="A9142" t="str">
        <f>HYPERLINK("https://www.773grp.com/globalSearch/MC7915BTG/page-1", "MC7915BTG")</f>
        <v>MC7915BTG</v>
      </c>
      <c r="B9142" s="3" t="str">
        <f>HYPERLINK("https://www.773grp.com/manufacturer/onsemi?pageNo=1053", "Onsemi")</f>
        <v>Onsemi</v>
      </c>
      <c r="C9142" s="6">
        <v>36300</v>
      </c>
      <c r="D9142" s="7">
        <v>1.06</v>
      </c>
      <c r="E9142" t="s">
        <v>53</v>
      </c>
    </row>
    <row r="9143" spans="1:5" x14ac:dyDescent="0.25">
      <c r="A9143" t="str">
        <f>HYPERLINK("https://www.773grp.com/globalSearch/MC79M05CDTG/page-1", "MC79M05CDTG")</f>
        <v>MC79M05CDTG</v>
      </c>
      <c r="B9143" s="3" t="str">
        <f>HYPERLINK("https://www.773grp.com/manufacturer/onsemi?pageNo=1054", "Onsemi")</f>
        <v>Onsemi</v>
      </c>
      <c r="C9143" s="6">
        <v>8762</v>
      </c>
      <c r="D9143" s="7">
        <v>1.06</v>
      </c>
      <c r="E9143" t="s">
        <v>53</v>
      </c>
    </row>
    <row r="9144" spans="1:5" x14ac:dyDescent="0.25">
      <c r="A9144" t="str">
        <f>HYPERLINK("https://www.773grp.com/globalSearch/MC79M05CDTRKG/page-1", "MC79M05CDTRKG")</f>
        <v>MC79M05CDTRKG</v>
      </c>
      <c r="B9144" s="3" t="str">
        <f>HYPERLINK("https://www.773grp.com/manufacturer/onsemi?pageNo=1055", "Onsemi")</f>
        <v>Onsemi</v>
      </c>
      <c r="C9144" s="6">
        <v>5000</v>
      </c>
      <c r="D9144" s="7">
        <v>1.06</v>
      </c>
      <c r="E9144" t="s">
        <v>53</v>
      </c>
    </row>
    <row r="9145" spans="1:5" x14ac:dyDescent="0.25">
      <c r="A9145" t="str">
        <f>HYPERLINK("https://www.773grp.com/globalSearch/MC79M08CDTG/page-1", "MC79M08CDTG")</f>
        <v>MC79M08CDTG</v>
      </c>
      <c r="B9145" s="3" t="str">
        <f>HYPERLINK("https://www.773grp.com/manufacturer/onsemi?pageNo=1056", "Onsemi")</f>
        <v>Onsemi</v>
      </c>
      <c r="C9145" s="6">
        <v>16600</v>
      </c>
      <c r="D9145" s="7">
        <v>1.06</v>
      </c>
      <c r="E9145" t="s">
        <v>53</v>
      </c>
    </row>
    <row r="9146" spans="1:5" x14ac:dyDescent="0.25">
      <c r="A9146" t="str">
        <f>HYPERLINK("https://www.773grp.com/globalSearch/MC79M08CDTRKG/page-1", "MC79M08CDTRKG")</f>
        <v>MC79M08CDTRKG</v>
      </c>
      <c r="B9146" s="3" t="str">
        <f>HYPERLINK("https://www.773grp.com/manufacturer/onsemi?pageNo=1057", "Onsemi")</f>
        <v>Onsemi</v>
      </c>
      <c r="C9146" s="6">
        <v>7500</v>
      </c>
      <c r="D9146" s="7">
        <v>1.06</v>
      </c>
      <c r="E9146" t="s">
        <v>53</v>
      </c>
    </row>
    <row r="9147" spans="1:5" x14ac:dyDescent="0.25">
      <c r="A9147" t="str">
        <f>HYPERLINK("https://www.773grp.com/globalSearch/MC79M12CDTG/page-1", "MC79M12CDTG")</f>
        <v>MC79M12CDTG</v>
      </c>
      <c r="B9147" s="3" t="str">
        <f>HYPERLINK("https://www.773grp.com/manufacturer/onsemi?pageNo=1058", "Onsemi")</f>
        <v>Onsemi</v>
      </c>
      <c r="C9147" s="6">
        <v>12794</v>
      </c>
      <c r="D9147" s="7">
        <v>1.06</v>
      </c>
      <c r="E9147" t="s">
        <v>53</v>
      </c>
    </row>
    <row r="9148" spans="1:5" x14ac:dyDescent="0.25">
      <c r="A9148" t="str">
        <f>HYPERLINK("https://www.773grp.com/globalSearch/MC79M12CDTRKG/page-1", "MC79M12CDTRKG")</f>
        <v>MC79M12CDTRKG</v>
      </c>
      <c r="B9148" s="3" t="str">
        <f>HYPERLINK("https://www.773grp.com/manufacturer/onsemi?pageNo=1059", "Onsemi")</f>
        <v>Onsemi</v>
      </c>
      <c r="C9148" s="6">
        <v>39633</v>
      </c>
      <c r="D9148" s="7">
        <v>1.06</v>
      </c>
      <c r="E9148" t="s">
        <v>53</v>
      </c>
    </row>
    <row r="9149" spans="1:5" x14ac:dyDescent="0.25">
      <c r="A9149" t="str">
        <f>HYPERLINK("https://www.773grp.com/globalSearch/MC79M15CDTG/page-1", "MC79M15CDTG")</f>
        <v>MC79M15CDTG</v>
      </c>
      <c r="B9149" s="3" t="str">
        <f>HYPERLINK("https://www.773grp.com/manufacturer/onsemi?pageNo=1060", "Onsemi")</f>
        <v>Onsemi</v>
      </c>
      <c r="C9149" s="6">
        <v>7800</v>
      </c>
      <c r="D9149" s="7">
        <v>1.06</v>
      </c>
      <c r="E9149" t="s">
        <v>53</v>
      </c>
    </row>
    <row r="9150" spans="1:5" x14ac:dyDescent="0.25">
      <c r="A9150" t="str">
        <f>HYPERLINK("https://www.773grp.com/globalSearch/MC79M15CDTRKG/page-1", "MC79M15CDTRKG")</f>
        <v>MC79M15CDTRKG</v>
      </c>
      <c r="B9150" s="3" t="str">
        <f>HYPERLINK("https://www.773grp.com/manufacturer/onsemi?pageNo=1061", "Onsemi")</f>
        <v>Onsemi</v>
      </c>
      <c r="C9150" s="6">
        <v>49536</v>
      </c>
      <c r="D9150" s="7">
        <v>1.06</v>
      </c>
      <c r="E9150" t="s">
        <v>53</v>
      </c>
    </row>
    <row r="9151" spans="1:5" x14ac:dyDescent="0.25">
      <c r="A9151" t="str">
        <f>HYPERLINK("https://www.773grp.com/globalSearch/MCR106-8G/page-1", "MCR106-8G")</f>
        <v>MCR106-8G</v>
      </c>
      <c r="B9151" s="3" t="str">
        <f>HYPERLINK("https://www.773grp.com/manufacturer/onsemi?pageNo=1062", "Onsemi")</f>
        <v>Onsemi</v>
      </c>
      <c r="C9151" s="6">
        <v>9341</v>
      </c>
      <c r="D9151" s="7">
        <v>1.06</v>
      </c>
    </row>
    <row r="9152" spans="1:5" x14ac:dyDescent="0.25">
      <c r="A9152" t="str">
        <f>HYPERLINK("https://www.773grp.com/globalSearch/MGSF3441VT1/page-1", "MGSF3441VT1")</f>
        <v>MGSF3441VT1</v>
      </c>
      <c r="B9152" s="3" t="str">
        <f>HYPERLINK("https://www.773grp.com/manufacturer/onsemi?pageNo=1063", "Onsemi")</f>
        <v>Onsemi</v>
      </c>
      <c r="C9152" s="6">
        <v>270019</v>
      </c>
      <c r="D9152" s="7">
        <v>1.06</v>
      </c>
      <c r="E9152" t="s">
        <v>85</v>
      </c>
    </row>
    <row r="9153" spans="1:5" x14ac:dyDescent="0.25">
      <c r="A9153" t="str">
        <f>HYPERLINK("https://www.773grp.com/globalSearch/MGSF3454XT1/page-1", "MGSF3454XT1")</f>
        <v>MGSF3454XT1</v>
      </c>
      <c r="B9153" s="3" t="str">
        <f>HYPERLINK("https://www.773grp.com/manufacturer/onsemi?pageNo=1064", "Onsemi")</f>
        <v>Onsemi</v>
      </c>
      <c r="C9153" s="6">
        <v>25000</v>
      </c>
      <c r="D9153" s="7">
        <v>1.06</v>
      </c>
      <c r="E9153" t="s">
        <v>85</v>
      </c>
    </row>
    <row r="9154" spans="1:5" x14ac:dyDescent="0.25">
      <c r="A9154" t="str">
        <f>HYPERLINK("https://www.773grp.com/globalSearch/MGSF3455VT1/page-1", "MGSF3455VT1")</f>
        <v>MGSF3455VT1</v>
      </c>
      <c r="B9154" s="3" t="str">
        <f>HYPERLINK("https://www.773grp.com/manufacturer/onsemi?pageNo=1065", "Onsemi")</f>
        <v>Onsemi</v>
      </c>
      <c r="C9154" s="6">
        <v>2900</v>
      </c>
      <c r="D9154" s="7">
        <v>1.06</v>
      </c>
      <c r="E9154" t="s">
        <v>84</v>
      </c>
    </row>
    <row r="9155" spans="1:5" x14ac:dyDescent="0.25">
      <c r="A9155" t="str">
        <f>HYPERLINK("https://www.773grp.com/globalSearch/MGSF3455XT1/page-1", "MGSF3455XT1")</f>
        <v>MGSF3455XT1</v>
      </c>
      <c r="B9155" s="3" t="str">
        <f>HYPERLINK("https://www.773grp.com/manufacturer/onsemi?pageNo=1066", "Onsemi")</f>
        <v>Onsemi</v>
      </c>
      <c r="C9155" s="6">
        <v>25815</v>
      </c>
      <c r="D9155" s="7">
        <v>1.06</v>
      </c>
      <c r="E9155" t="s">
        <v>85</v>
      </c>
    </row>
    <row r="9156" spans="1:5" x14ac:dyDescent="0.25">
      <c r="A9156" t="str">
        <f>HYPERLINK("https://www.773grp.com/globalSearch/MJD128T4G/page-1", "MJD128T4G")</f>
        <v>MJD128T4G</v>
      </c>
      <c r="B9156" s="3" t="str">
        <f>HYPERLINK("https://www.773grp.com/manufacturer/onsemi?pageNo=1067", "Onsemi")</f>
        <v>Onsemi</v>
      </c>
      <c r="C9156" s="6">
        <v>2200</v>
      </c>
      <c r="D9156" s="7">
        <v>1.06</v>
      </c>
      <c r="E9156" t="s">
        <v>47</v>
      </c>
    </row>
    <row r="9157" spans="1:5" x14ac:dyDescent="0.25">
      <c r="A9157" t="str">
        <f>HYPERLINK("https://www.773grp.com/globalSearch/MJD200RLG/page-1", "MJD200RLG")</f>
        <v>MJD200RLG</v>
      </c>
      <c r="B9157" s="3" t="str">
        <f>HYPERLINK("https://www.773grp.com/manufacturer/onsemi?pageNo=1068", "Onsemi")</f>
        <v>Onsemi</v>
      </c>
      <c r="C9157" s="6">
        <v>5295</v>
      </c>
      <c r="D9157" s="7">
        <v>1.06</v>
      </c>
      <c r="E9157" t="s">
        <v>47</v>
      </c>
    </row>
    <row r="9158" spans="1:5" x14ac:dyDescent="0.25">
      <c r="A9158" t="str">
        <f>HYPERLINK("https://www.773grp.com/globalSearch/MJD210RLG/page-1", "MJD210RLG")</f>
        <v>MJD210RLG</v>
      </c>
      <c r="B9158" s="3" t="str">
        <f>HYPERLINK("https://www.773grp.com/manufacturer/onsemi?pageNo=1069", "Onsemi")</f>
        <v>Onsemi</v>
      </c>
      <c r="C9158" s="6">
        <v>23086</v>
      </c>
      <c r="D9158" s="7">
        <v>1.06</v>
      </c>
      <c r="E9158" t="s">
        <v>47</v>
      </c>
    </row>
    <row r="9159" spans="1:5" x14ac:dyDescent="0.25">
      <c r="A9159" t="str">
        <f>HYPERLINK("https://www.773grp.com/globalSearch/MJD243T4/page-1", "MJD243T4")</f>
        <v>MJD243T4</v>
      </c>
      <c r="B9159" s="3" t="str">
        <f>HYPERLINK("https://www.773grp.com/manufacturer/onsemi?pageNo=1070", "Onsemi")</f>
        <v>Onsemi</v>
      </c>
      <c r="C9159" s="6">
        <v>2500</v>
      </c>
      <c r="D9159" s="7">
        <v>1.06</v>
      </c>
      <c r="E9159" t="s">
        <v>47</v>
      </c>
    </row>
    <row r="9160" spans="1:5" x14ac:dyDescent="0.25">
      <c r="A9160" t="str">
        <f>HYPERLINK("https://www.773grp.com/globalSearch/MJE18002/page-1", "MJE18002")</f>
        <v>MJE18002</v>
      </c>
      <c r="B9160" s="3" t="str">
        <f>HYPERLINK("https://www.773grp.com/manufacturer/onsemi?pageNo=1071", "Onsemi")</f>
        <v>Onsemi</v>
      </c>
      <c r="C9160" s="6">
        <v>5437</v>
      </c>
      <c r="D9160" s="7">
        <v>1.06</v>
      </c>
      <c r="E9160" t="s">
        <v>47</v>
      </c>
    </row>
    <row r="9161" spans="1:5" x14ac:dyDescent="0.25">
      <c r="A9161" t="str">
        <f>HYPERLINK("https://www.773grp.com/globalSearch/MJE702/page-1", "MJE702")</f>
        <v>MJE702</v>
      </c>
      <c r="B9161" s="3" t="str">
        <f>HYPERLINK("https://www.773grp.com/manufacturer/onsemi?pageNo=1072", "Onsemi")</f>
        <v>Onsemi</v>
      </c>
      <c r="C9161" s="6">
        <v>2500</v>
      </c>
      <c r="D9161" s="7">
        <v>1.06</v>
      </c>
      <c r="E9161" t="s">
        <v>47</v>
      </c>
    </row>
    <row r="9162" spans="1:5" x14ac:dyDescent="0.25">
      <c r="A9162" t="str">
        <f>HYPERLINK("https://www.773grp.com/globalSearch/MMDF2N05ZR2/page-1", "MMDF2N05ZR2")</f>
        <v>MMDF2N05ZR2</v>
      </c>
      <c r="B9162" s="3" t="str">
        <f>HYPERLINK("https://www.773grp.com/manufacturer/onsemi?pageNo=1073", "Onsemi")</f>
        <v>Onsemi</v>
      </c>
      <c r="C9162" s="6">
        <v>87765</v>
      </c>
      <c r="D9162" s="7">
        <v>1.06</v>
      </c>
      <c r="E9162" t="s">
        <v>85</v>
      </c>
    </row>
    <row r="9163" spans="1:5" x14ac:dyDescent="0.25">
      <c r="A9163" t="str">
        <f>HYPERLINK("https://www.773grp.com/globalSearch/MMDF2P01HDR2/page-1", "MMDF2P01HDR2")</f>
        <v>MMDF2P01HDR2</v>
      </c>
      <c r="B9163" s="3" t="str">
        <f>HYPERLINK("https://www.773grp.com/manufacturer/onsemi?pageNo=1074", "Onsemi")</f>
        <v>Onsemi</v>
      </c>
      <c r="C9163" s="6">
        <v>21752</v>
      </c>
      <c r="D9163" s="7">
        <v>1.06</v>
      </c>
      <c r="E9163" t="s">
        <v>84</v>
      </c>
    </row>
    <row r="9164" spans="1:5" x14ac:dyDescent="0.25">
      <c r="A9164" t="str">
        <f>HYPERLINK("https://www.773grp.com/globalSearch/MMDF4N01HDR2/page-1", "MMDF4N01HDR2")</f>
        <v>MMDF4N01HDR2</v>
      </c>
      <c r="B9164" s="3" t="str">
        <f>HYPERLINK("https://www.773grp.com/manufacturer/onsemi?pageNo=1075", "Onsemi")</f>
        <v>Onsemi</v>
      </c>
      <c r="C9164" s="6">
        <v>210000</v>
      </c>
      <c r="D9164" s="7">
        <v>1.06</v>
      </c>
      <c r="E9164" t="s">
        <v>84</v>
      </c>
    </row>
    <row r="9165" spans="1:5" x14ac:dyDescent="0.25">
      <c r="A9165" t="str">
        <f>HYPERLINK("https://www.773grp.com/globalSearch/MMDF4N01HDR2/page-1", "MMDF4N01HDR2")</f>
        <v>MMDF4N01HDR2</v>
      </c>
      <c r="B9165" s="3" t="str">
        <f>HYPERLINK("https://www.773grp.com/manufacturer/onsemi?pageNo=1076", "Onsemi")</f>
        <v>Onsemi</v>
      </c>
      <c r="C9165" s="6">
        <v>168820</v>
      </c>
      <c r="D9165" s="7">
        <v>1.06</v>
      </c>
      <c r="E9165" t="s">
        <v>84</v>
      </c>
    </row>
    <row r="9166" spans="1:5" x14ac:dyDescent="0.25">
      <c r="A9166" t="str">
        <f>HYPERLINK("https://www.773grp.com/globalSearch/MMFT1N10ET3/page-1", "MMFT1N10ET3")</f>
        <v>MMFT1N10ET3</v>
      </c>
      <c r="B9166" s="3" t="str">
        <f>HYPERLINK("https://www.773grp.com/manufacturer/onsemi?pageNo=1077", "Onsemi")</f>
        <v>Onsemi</v>
      </c>
      <c r="C9166" s="6">
        <v>4000</v>
      </c>
      <c r="D9166" s="7">
        <v>1.06</v>
      </c>
      <c r="E9166" t="s">
        <v>85</v>
      </c>
    </row>
    <row r="9167" spans="1:5" x14ac:dyDescent="0.25">
      <c r="A9167" t="str">
        <f>HYPERLINK("https://www.773grp.com/globalSearch/MMSF4N01HDR2/page-1", "MMSF4N01HDR2")</f>
        <v>MMSF4N01HDR2</v>
      </c>
      <c r="B9167" s="3" t="str">
        <f>HYPERLINK("https://www.773grp.com/manufacturer/onsemi?pageNo=1078", "Onsemi")</f>
        <v>Onsemi</v>
      </c>
      <c r="C9167" s="6">
        <v>187500</v>
      </c>
      <c r="D9167" s="7">
        <v>1.06</v>
      </c>
      <c r="E9167" t="s">
        <v>85</v>
      </c>
    </row>
    <row r="9168" spans="1:5" x14ac:dyDescent="0.25">
      <c r="A9168" t="str">
        <f>HYPERLINK("https://www.773grp.com/globalSearch/MMT10B230T3/page-1", "MMT10B230T3")</f>
        <v>MMT10B230T3</v>
      </c>
      <c r="B9168" s="3" t="str">
        <f>HYPERLINK("https://www.773grp.com/manufacturer/onsemi?pageNo=1079", "Onsemi")</f>
        <v>Onsemi</v>
      </c>
      <c r="C9168" s="6">
        <v>5000</v>
      </c>
      <c r="D9168" s="7">
        <v>1.06</v>
      </c>
      <c r="E9168" t="s">
        <v>88</v>
      </c>
    </row>
    <row r="9169" spans="1:5" x14ac:dyDescent="0.25">
      <c r="A9169" t="str">
        <f>HYPERLINK("https://www.773grp.com/globalSearch/MMT10B260T3/page-1", "MMT10B260T3")</f>
        <v>MMT10B260T3</v>
      </c>
      <c r="B9169" s="3" t="str">
        <f>HYPERLINK("https://www.773grp.com/manufacturer/onsemi?pageNo=1080", "Onsemi")</f>
        <v>Onsemi</v>
      </c>
      <c r="C9169" s="6">
        <v>2480</v>
      </c>
      <c r="D9169" s="7">
        <v>1.06</v>
      </c>
      <c r="E9169" t="s">
        <v>88</v>
      </c>
    </row>
    <row r="9170" spans="1:5" x14ac:dyDescent="0.25">
      <c r="A9170" t="str">
        <f>HYPERLINK("https://www.773grp.com/globalSearch/MUR440G/page-1", "MUR440G")</f>
        <v>MUR440G</v>
      </c>
      <c r="B9170" s="3" t="str">
        <f>HYPERLINK("https://www.773grp.com/manufacturer/onsemi?pageNo=1081", "Onsemi")</f>
        <v>Onsemi</v>
      </c>
      <c r="C9170" s="6">
        <v>10924</v>
      </c>
      <c r="D9170" s="7">
        <v>1.06</v>
      </c>
      <c r="E9170" t="s">
        <v>82</v>
      </c>
    </row>
    <row r="9171" spans="1:5" x14ac:dyDescent="0.25">
      <c r="A9171" t="str">
        <f>HYPERLINK("https://www.773grp.com/globalSearch/MUR440RLG/page-1", "MUR440RLG")</f>
        <v>MUR440RLG</v>
      </c>
      <c r="B9171" s="3" t="str">
        <f>HYPERLINK("https://www.773grp.com/manufacturer/onsemi?pageNo=1082", "Onsemi")</f>
        <v>Onsemi</v>
      </c>
      <c r="C9171" s="6">
        <v>43544</v>
      </c>
      <c r="D9171" s="7">
        <v>1.06</v>
      </c>
      <c r="E9171" t="s">
        <v>82</v>
      </c>
    </row>
    <row r="9172" spans="1:5" x14ac:dyDescent="0.25">
      <c r="A9172" t="str">
        <f>HYPERLINK("https://www.773grp.com/globalSearch/MUR460G/page-1", "MUR460G")</f>
        <v>MUR460G</v>
      </c>
      <c r="B9172" s="3" t="str">
        <f>HYPERLINK("https://www.773grp.com/manufacturer/onsemi?pageNo=1083", "Onsemi")</f>
        <v>Onsemi</v>
      </c>
      <c r="C9172" s="6">
        <v>5766</v>
      </c>
      <c r="D9172" s="7">
        <v>1.06</v>
      </c>
      <c r="E9172" t="s">
        <v>82</v>
      </c>
    </row>
    <row r="9173" spans="1:5" x14ac:dyDescent="0.25">
      <c r="A9173" t="str">
        <f>HYPERLINK("https://www.773grp.com/globalSearch/MUR460RLG/page-1", "MUR460RLG")</f>
        <v>MUR460RLG</v>
      </c>
      <c r="B9173" s="3" t="str">
        <f>HYPERLINK("https://www.773grp.com/manufacturer/onsemi?pageNo=1084", "Onsemi")</f>
        <v>Onsemi</v>
      </c>
      <c r="C9173" s="6">
        <v>27570</v>
      </c>
      <c r="D9173" s="7">
        <v>1.06</v>
      </c>
      <c r="E9173" t="s">
        <v>82</v>
      </c>
    </row>
    <row r="9174" spans="1:5" x14ac:dyDescent="0.25">
      <c r="A9174" t="str">
        <f>HYPERLINK("https://www.773grp.com/globalSearch/MUR620CT/page-1", "MUR620CT")</f>
        <v>MUR620CT</v>
      </c>
      <c r="B9174" s="3" t="str">
        <f>HYPERLINK("https://www.773grp.com/manufacturer/onsemi?pageNo=1085", "Onsemi")</f>
        <v>Onsemi</v>
      </c>
      <c r="C9174" s="6">
        <v>4384</v>
      </c>
      <c r="D9174" s="7">
        <v>1.06</v>
      </c>
      <c r="E9174" t="s">
        <v>82</v>
      </c>
    </row>
    <row r="9175" spans="1:5" x14ac:dyDescent="0.25">
      <c r="A9175" t="str">
        <f>HYPERLINK("https://www.773grp.com/globalSearch/MUR815/page-1", "MUR815")</f>
        <v>MUR815</v>
      </c>
      <c r="B9175" s="3" t="str">
        <f>HYPERLINK("https://www.773grp.com/manufacturer/onsemi?pageNo=1086", "Onsemi")</f>
        <v>Onsemi</v>
      </c>
      <c r="C9175" s="6">
        <v>4891</v>
      </c>
      <c r="D9175" s="7">
        <v>1.06</v>
      </c>
      <c r="E9175" t="s">
        <v>82</v>
      </c>
    </row>
    <row r="9176" spans="1:5" x14ac:dyDescent="0.25">
      <c r="A9176" t="str">
        <f>HYPERLINK("https://www.773grp.com/globalSearch/MUR820/page-1", "MUR820")</f>
        <v>MUR820</v>
      </c>
      <c r="B9176" s="3" t="str">
        <f>HYPERLINK("https://www.773grp.com/manufacturer/onsemi?pageNo=1087", "Onsemi")</f>
        <v>Onsemi</v>
      </c>
      <c r="C9176" s="6">
        <v>712</v>
      </c>
      <c r="D9176" s="7">
        <v>1.06</v>
      </c>
      <c r="E9176" t="s">
        <v>82</v>
      </c>
    </row>
    <row r="9177" spans="1:5" x14ac:dyDescent="0.25">
      <c r="A9177" t="str">
        <f>HYPERLINK("https://www.773grp.com/globalSearch/NCP1011ST65T3/page-1", "NCP1011ST65T3")</f>
        <v>NCP1011ST65T3</v>
      </c>
      <c r="B9177" s="3" t="str">
        <f>HYPERLINK("https://www.773grp.com/manufacturer/onsemi?pageNo=1088", "Onsemi")</f>
        <v>Onsemi</v>
      </c>
      <c r="C9177" s="6">
        <v>410955</v>
      </c>
      <c r="D9177" s="7">
        <v>1.06</v>
      </c>
      <c r="E9177" t="s">
        <v>5</v>
      </c>
    </row>
    <row r="9178" spans="1:5" x14ac:dyDescent="0.25">
      <c r="A9178" t="str">
        <f>HYPERLINK("https://www.773grp.com/globalSearch/NCP1012AP133/page-1", "NCP1012AP133")</f>
        <v>NCP1012AP133</v>
      </c>
      <c r="B9178" s="3" t="str">
        <f>HYPERLINK("https://www.773grp.com/manufacturer/onsemi?pageNo=1089", "Onsemi")</f>
        <v>Onsemi</v>
      </c>
      <c r="C9178" s="6">
        <v>5</v>
      </c>
      <c r="D9178" s="7">
        <v>1.06</v>
      </c>
      <c r="E9178" t="s">
        <v>5</v>
      </c>
    </row>
    <row r="9179" spans="1:5" x14ac:dyDescent="0.25">
      <c r="A9179" t="str">
        <f>HYPERLINK("https://www.773grp.com/globalSearch/NCP1013AP065/page-1", "NCP1013AP065")</f>
        <v>NCP1013AP065</v>
      </c>
      <c r="B9179" s="3" t="str">
        <f>HYPERLINK("https://www.773grp.com/manufacturer/onsemi?pageNo=1090", "Onsemi")</f>
        <v>Onsemi</v>
      </c>
      <c r="C9179" s="6">
        <v>952</v>
      </c>
      <c r="D9179" s="7">
        <v>1.06</v>
      </c>
      <c r="E9179" t="s">
        <v>5</v>
      </c>
    </row>
    <row r="9180" spans="1:5" x14ac:dyDescent="0.25">
      <c r="A9180" t="str">
        <f>HYPERLINK("https://www.773grp.com/globalSearch/NCP1086ST-33T3/page-1", "NCP1086ST-33T3")</f>
        <v>NCP1086ST-33T3</v>
      </c>
      <c r="B9180" s="3" t="str">
        <f>HYPERLINK("https://www.773grp.com/manufacturer/onsemi?pageNo=1091", "Onsemi")</f>
        <v>Onsemi</v>
      </c>
      <c r="C9180" s="6">
        <v>8588</v>
      </c>
      <c r="D9180" s="7">
        <v>1.06</v>
      </c>
      <c r="E9180" t="s">
        <v>15</v>
      </c>
    </row>
    <row r="9181" spans="1:5" x14ac:dyDescent="0.25">
      <c r="A9181" t="str">
        <f>HYPERLINK("https://www.773grp.com/globalSearch/NCP1086ST-ADJT3/page-1", "NCP1086ST-ADJT3")</f>
        <v>NCP1086ST-ADJT3</v>
      </c>
      <c r="B9181" s="3" t="str">
        <f>HYPERLINK("https://www.773grp.com/manufacturer/onsemi?pageNo=1092", "Onsemi")</f>
        <v>Onsemi</v>
      </c>
      <c r="C9181" s="6">
        <v>2168</v>
      </c>
      <c r="D9181" s="7">
        <v>1.06</v>
      </c>
      <c r="E9181" t="s">
        <v>21</v>
      </c>
    </row>
    <row r="9182" spans="1:5" x14ac:dyDescent="0.25">
      <c r="A9182" t="str">
        <f>HYPERLINK("https://www.773grp.com/globalSearch/NCP1200AD100R2/page-1", "NCP1200AD100R2")</f>
        <v>NCP1200AD100R2</v>
      </c>
      <c r="B9182" s="3" t="str">
        <f>HYPERLINK("https://www.773grp.com/manufacturer/onsemi?pageNo=1093", "Onsemi")</f>
        <v>Onsemi</v>
      </c>
      <c r="C9182" s="6">
        <v>145820</v>
      </c>
      <c r="D9182" s="7">
        <v>1.06</v>
      </c>
      <c r="E9182" t="s">
        <v>5</v>
      </c>
    </row>
    <row r="9183" spans="1:5" x14ac:dyDescent="0.25">
      <c r="A9183" t="str">
        <f>HYPERLINK("https://www.773grp.com/globalSearch/NCP1200AD100R2G/page-1", "NCP1200AD100R2G")</f>
        <v>NCP1200AD100R2G</v>
      </c>
      <c r="B9183" s="3" t="str">
        <f>HYPERLINK("https://www.773grp.com/manufacturer/onsemi?pageNo=1094", "Onsemi")</f>
        <v>Onsemi</v>
      </c>
      <c r="C9183" s="6">
        <v>10845</v>
      </c>
      <c r="D9183" s="7">
        <v>1.06</v>
      </c>
      <c r="E9183" t="s">
        <v>5</v>
      </c>
    </row>
    <row r="9184" spans="1:5" x14ac:dyDescent="0.25">
      <c r="A9184" t="str">
        <f>HYPERLINK("https://www.773grp.com/globalSearch/NCP1200AP40/page-1", "NCP1200AP40")</f>
        <v>NCP1200AP40</v>
      </c>
      <c r="B9184" s="3" t="str">
        <f>HYPERLINK("https://www.773grp.com/manufacturer/onsemi?pageNo=1095", "Onsemi")</f>
        <v>Onsemi</v>
      </c>
      <c r="C9184" s="6">
        <v>15000</v>
      </c>
      <c r="D9184" s="7">
        <v>1.06</v>
      </c>
      <c r="E9184" t="s">
        <v>5</v>
      </c>
    </row>
    <row r="9185" spans="1:5" x14ac:dyDescent="0.25">
      <c r="A9185" t="str">
        <f>HYPERLINK("https://www.773grp.com/globalSearch/NCP1400ASN19T1G/page-1", "NCP1400ASN19T1G")</f>
        <v>NCP1400ASN19T1G</v>
      </c>
      <c r="B9185" s="3" t="str">
        <f>HYPERLINK("https://www.773grp.com/manufacturer/onsemi?pageNo=1096", "Onsemi")</f>
        <v>Onsemi</v>
      </c>
      <c r="C9185" s="6">
        <v>5810</v>
      </c>
      <c r="D9185" s="7">
        <v>1.06</v>
      </c>
    </row>
    <row r="9186" spans="1:5" x14ac:dyDescent="0.25">
      <c r="A9186" t="str">
        <f>HYPERLINK("https://www.773grp.com/globalSearch/NCP1400ASN22T1G/page-1", "NCP1400ASN22T1G")</f>
        <v>NCP1400ASN22T1G</v>
      </c>
      <c r="B9186" s="3" t="str">
        <f>HYPERLINK("https://www.773grp.com/manufacturer/onsemi?pageNo=1097", "Onsemi")</f>
        <v>Onsemi</v>
      </c>
      <c r="C9186" s="6">
        <v>11863</v>
      </c>
      <c r="D9186" s="7">
        <v>1.06</v>
      </c>
      <c r="E9186" t="s">
        <v>5</v>
      </c>
    </row>
    <row r="9187" spans="1:5" x14ac:dyDescent="0.25">
      <c r="A9187" t="str">
        <f>HYPERLINK("https://www.773grp.com/globalSearch/NCP1400ASN25T1G/page-1", "NCP1400ASN25T1G")</f>
        <v>NCP1400ASN25T1G</v>
      </c>
      <c r="B9187" s="3" t="str">
        <f>HYPERLINK("https://www.773grp.com/manufacturer/onsemi?pageNo=1098", "Onsemi")</f>
        <v>Onsemi</v>
      </c>
      <c r="C9187" s="6">
        <v>36876</v>
      </c>
      <c r="D9187" s="7">
        <v>1.06</v>
      </c>
      <c r="E9187" t="s">
        <v>5</v>
      </c>
    </row>
    <row r="9188" spans="1:5" x14ac:dyDescent="0.25">
      <c r="A9188" t="str">
        <f>HYPERLINK("https://www.773grp.com/globalSearch/NCP1400ASN27T1/page-1", "NCP1400ASN27T1")</f>
        <v>NCP1400ASN27T1</v>
      </c>
      <c r="B9188" s="3" t="str">
        <f>HYPERLINK("https://www.773grp.com/manufacturer/onsemi?pageNo=1099", "Onsemi")</f>
        <v>Onsemi</v>
      </c>
      <c r="C9188" s="6">
        <v>2902</v>
      </c>
      <c r="D9188" s="7">
        <v>1.06</v>
      </c>
      <c r="E9188" t="s">
        <v>5</v>
      </c>
    </row>
    <row r="9189" spans="1:5" x14ac:dyDescent="0.25">
      <c r="A9189" t="str">
        <f>HYPERLINK("https://www.773grp.com/globalSearch/NCP1400ASN27T1G/page-1", "NCP1400ASN27T1G")</f>
        <v>NCP1400ASN27T1G</v>
      </c>
      <c r="B9189" s="3" t="str">
        <f>HYPERLINK("https://www.773grp.com/manufacturer/onsemi?pageNo=1100", "Onsemi")</f>
        <v>Onsemi</v>
      </c>
      <c r="C9189" s="6">
        <v>18000</v>
      </c>
      <c r="D9189" s="7">
        <v>1.06</v>
      </c>
    </row>
    <row r="9190" spans="1:5" x14ac:dyDescent="0.25">
      <c r="A9190" t="str">
        <f>HYPERLINK("https://www.773grp.com/globalSearch/NCP1400ASN33T1G/page-1", "NCP1400ASN33T1G")</f>
        <v>NCP1400ASN33T1G</v>
      </c>
      <c r="B9190" s="3" t="str">
        <f>HYPERLINK("https://www.773grp.com/manufacturer/onsemi?pageNo=1101", "Onsemi")</f>
        <v>Onsemi</v>
      </c>
      <c r="C9190" s="6">
        <v>12000</v>
      </c>
      <c r="D9190" s="7">
        <v>1.06</v>
      </c>
      <c r="E9190" t="s">
        <v>5</v>
      </c>
    </row>
    <row r="9191" spans="1:5" x14ac:dyDescent="0.25">
      <c r="A9191" t="str">
        <f>HYPERLINK("https://www.773grp.com/globalSearch/NCP1400ASN38T1G/page-1", "NCP1400ASN38T1G")</f>
        <v>NCP1400ASN38T1G</v>
      </c>
      <c r="B9191" s="3" t="str">
        <f>HYPERLINK("https://www.773grp.com/manufacturer/onsemi?pageNo=1102", "Onsemi")</f>
        <v>Onsemi</v>
      </c>
      <c r="C9191" s="6">
        <v>2486</v>
      </c>
      <c r="D9191" s="7">
        <v>1.06</v>
      </c>
      <c r="E9191" t="s">
        <v>5</v>
      </c>
    </row>
    <row r="9192" spans="1:5" x14ac:dyDescent="0.25">
      <c r="A9192" t="str">
        <f>HYPERLINK("https://www.773grp.com/globalSearch/NCP1400ASN45T1G/page-1", "NCP1400ASN45T1G")</f>
        <v>NCP1400ASN45T1G</v>
      </c>
      <c r="B9192" s="3" t="str">
        <f>HYPERLINK("https://www.773grp.com/manufacturer/onsemi?pageNo=1103", "Onsemi")</f>
        <v>Onsemi</v>
      </c>
      <c r="C9192" s="6">
        <v>8126</v>
      </c>
      <c r="D9192" s="7">
        <v>1.06</v>
      </c>
      <c r="E9192" t="s">
        <v>5</v>
      </c>
    </row>
    <row r="9193" spans="1:5" x14ac:dyDescent="0.25">
      <c r="A9193" t="str">
        <f>HYPERLINK("https://www.773grp.com/globalSearch/NCP1402SN19T1G/page-1", "NCP1402SN19T1G")</f>
        <v>NCP1402SN19T1G</v>
      </c>
      <c r="B9193" s="3" t="str">
        <f>HYPERLINK("https://www.773grp.com/manufacturer/onsemi?pageNo=1104", "Onsemi")</f>
        <v>Onsemi</v>
      </c>
      <c r="C9193" s="6">
        <v>11855</v>
      </c>
      <c r="D9193" s="7">
        <v>1.06</v>
      </c>
      <c r="E9193" t="s">
        <v>5</v>
      </c>
    </row>
    <row r="9194" spans="1:5" x14ac:dyDescent="0.25">
      <c r="A9194" t="str">
        <f>HYPERLINK("https://www.773grp.com/globalSearch/NCP1402SN27T1/page-1", "NCP1402SN27T1")</f>
        <v>NCP1402SN27T1</v>
      </c>
      <c r="B9194" s="3" t="str">
        <f>HYPERLINK("https://www.773grp.com/manufacturer/onsemi?pageNo=1105", "Onsemi")</f>
        <v>Onsemi</v>
      </c>
      <c r="C9194" s="6">
        <v>2919</v>
      </c>
      <c r="D9194" s="7">
        <v>1.06</v>
      </c>
      <c r="E9194" t="s">
        <v>5</v>
      </c>
    </row>
    <row r="9195" spans="1:5" x14ac:dyDescent="0.25">
      <c r="A9195" t="str">
        <f>HYPERLINK("https://www.773grp.com/globalSearch/NCP1402SN30T1/page-1", "NCP1402SN30T1")</f>
        <v>NCP1402SN30T1</v>
      </c>
      <c r="B9195" s="3" t="str">
        <f>HYPERLINK("https://www.773grp.com/manufacturer/onsemi?pageNo=1106", "Onsemi")</f>
        <v>Onsemi</v>
      </c>
      <c r="C9195" s="6">
        <v>2930</v>
      </c>
      <c r="D9195" s="7">
        <v>1.06</v>
      </c>
      <c r="E9195" t="s">
        <v>5</v>
      </c>
    </row>
    <row r="9196" spans="1:5" x14ac:dyDescent="0.25">
      <c r="A9196" t="str">
        <f>HYPERLINK("https://www.773grp.com/globalSearch/NCP1402SN33T1G/page-1", "NCP1402SN33T1G")</f>
        <v>NCP1402SN33T1G</v>
      </c>
      <c r="B9196" s="3" t="str">
        <f>HYPERLINK("https://www.773grp.com/manufacturer/onsemi?pageNo=1107", "Onsemi")</f>
        <v>Onsemi</v>
      </c>
      <c r="C9196" s="6">
        <v>3002</v>
      </c>
      <c r="D9196" s="7">
        <v>1.06</v>
      </c>
      <c r="E9196" t="s">
        <v>5</v>
      </c>
    </row>
    <row r="9197" spans="1:5" x14ac:dyDescent="0.25">
      <c r="A9197" t="str">
        <f>HYPERLINK("https://www.773grp.com/globalSearch/NCP1402SN40T1G/page-1", "NCP1402SN40T1G")</f>
        <v>NCP1402SN40T1G</v>
      </c>
      <c r="B9197" s="3" t="str">
        <f>HYPERLINK("https://www.773grp.com/manufacturer/onsemi?pageNo=1108", "Onsemi")</f>
        <v>Onsemi</v>
      </c>
      <c r="C9197" s="6">
        <v>1253</v>
      </c>
      <c r="D9197" s="7">
        <v>1.06</v>
      </c>
      <c r="E9197" t="s">
        <v>5</v>
      </c>
    </row>
    <row r="9198" spans="1:5" x14ac:dyDescent="0.25">
      <c r="A9198" t="str">
        <f>HYPERLINK("https://www.773grp.com/globalSearch/NCP1402SN50T1G/page-1", "NCP1402SN50T1G")</f>
        <v>NCP1402SN50T1G</v>
      </c>
      <c r="B9198" s="3" t="str">
        <f>HYPERLINK("https://www.773grp.com/manufacturer/onsemi?pageNo=1109", "Onsemi")</f>
        <v>Onsemi</v>
      </c>
      <c r="C9198" s="6">
        <v>616</v>
      </c>
      <c r="D9198" s="7">
        <v>1.06</v>
      </c>
      <c r="E9198" t="s">
        <v>5</v>
      </c>
    </row>
    <row r="9199" spans="1:5" x14ac:dyDescent="0.25">
      <c r="A9199" t="str">
        <f>HYPERLINK("https://www.773grp.com/globalSearch/NCP1450ASN19T1G/page-1", "NCP1450ASN19T1G")</f>
        <v>NCP1450ASN19T1G</v>
      </c>
      <c r="B9199" s="3" t="str">
        <f>HYPERLINK("https://www.773grp.com/manufacturer/onsemi?pageNo=1110", "Onsemi")</f>
        <v>Onsemi</v>
      </c>
      <c r="C9199" s="6">
        <v>23628</v>
      </c>
      <c r="D9199" s="7">
        <v>1.06</v>
      </c>
      <c r="E9199" t="s">
        <v>5</v>
      </c>
    </row>
    <row r="9200" spans="1:5" x14ac:dyDescent="0.25">
      <c r="A9200" t="str">
        <f>HYPERLINK("https://www.773grp.com/globalSearch/NCP1450ASN27T1G/page-1", "NCP1450ASN27T1G")</f>
        <v>NCP1450ASN27T1G</v>
      </c>
      <c r="B9200" s="3" t="str">
        <f>HYPERLINK("https://www.773grp.com/manufacturer/onsemi?pageNo=1111", "Onsemi")</f>
        <v>Onsemi</v>
      </c>
      <c r="C9200" s="6">
        <v>17797</v>
      </c>
      <c r="D9200" s="7">
        <v>1.06</v>
      </c>
      <c r="E9200" t="s">
        <v>5</v>
      </c>
    </row>
    <row r="9201" spans="1:5" x14ac:dyDescent="0.25">
      <c r="A9201" t="str">
        <f>HYPERLINK("https://www.773grp.com/globalSearch/NCP1450ASN30T1G/page-1", "NCP1450ASN30T1G")</f>
        <v>NCP1450ASN30T1G</v>
      </c>
      <c r="B9201" s="3" t="str">
        <f>HYPERLINK("https://www.773grp.com/manufacturer/onsemi?pageNo=1112", "Onsemi")</f>
        <v>Onsemi</v>
      </c>
      <c r="C9201" s="6">
        <v>8926</v>
      </c>
      <c r="D9201" s="7">
        <v>1.06</v>
      </c>
      <c r="E9201" t="s">
        <v>5</v>
      </c>
    </row>
    <row r="9202" spans="1:5" x14ac:dyDescent="0.25">
      <c r="A9202" t="str">
        <f>HYPERLINK("https://www.773grp.com/globalSearch/NCP1450ASN50T1G/page-1", "NCP1450ASN50T1G")</f>
        <v>NCP1450ASN50T1G</v>
      </c>
      <c r="B9202" s="3" t="str">
        <f>HYPERLINK("https://www.773grp.com/manufacturer/onsemi?pageNo=1113", "Onsemi")</f>
        <v>Onsemi</v>
      </c>
      <c r="C9202" s="6">
        <v>9000</v>
      </c>
      <c r="D9202" s="7">
        <v>1.06</v>
      </c>
    </row>
    <row r="9203" spans="1:5" x14ac:dyDescent="0.25">
      <c r="A9203" t="str">
        <f>HYPERLINK("https://www.773grp.com/globalSearch/NCP1550SN25T1/page-1", "NCP1550SN25T1")</f>
        <v>NCP1550SN25T1</v>
      </c>
      <c r="B9203" s="3" t="str">
        <f>HYPERLINK("https://www.773grp.com/manufacturer/onsemi?pageNo=1114", "Onsemi")</f>
        <v>Onsemi</v>
      </c>
      <c r="C9203" s="6">
        <v>2990</v>
      </c>
      <c r="D9203" s="7">
        <v>1.06</v>
      </c>
      <c r="E9203" t="s">
        <v>5</v>
      </c>
    </row>
    <row r="9204" spans="1:5" x14ac:dyDescent="0.25">
      <c r="A9204" t="str">
        <f>HYPERLINK("https://www.773grp.com/globalSearch/NCP1550SN30T1/page-1", "NCP1550SN30T1")</f>
        <v>NCP1550SN30T1</v>
      </c>
      <c r="B9204" s="3" t="str">
        <f>HYPERLINK("https://www.773grp.com/manufacturer/onsemi?pageNo=1115", "Onsemi")</f>
        <v>Onsemi</v>
      </c>
      <c r="C9204" s="6">
        <v>8990</v>
      </c>
      <c r="D9204" s="7">
        <v>1.06</v>
      </c>
      <c r="E9204" t="s">
        <v>5</v>
      </c>
    </row>
    <row r="9205" spans="1:5" x14ac:dyDescent="0.25">
      <c r="A9205" t="str">
        <f>HYPERLINK("https://www.773grp.com/globalSearch/NCP1587ADR2G/page-1", "NCP1587ADR2G")</f>
        <v>NCP1587ADR2G</v>
      </c>
      <c r="B9205" s="3" t="str">
        <f>HYPERLINK("https://www.773grp.com/manufacturer/onsemi?pageNo=1116", "Onsemi")</f>
        <v>Onsemi</v>
      </c>
      <c r="C9205" s="6">
        <v>14096</v>
      </c>
      <c r="D9205" s="7">
        <v>1.06</v>
      </c>
      <c r="E9205" t="s">
        <v>5</v>
      </c>
    </row>
    <row r="9206" spans="1:5" x14ac:dyDescent="0.25">
      <c r="A9206" t="str">
        <f>HYPERLINK("https://www.773grp.com/globalSearch/NCP1607BDR2G/page-1", "NCP1607BDR2G")</f>
        <v>NCP1607BDR2G</v>
      </c>
      <c r="B9206" s="3" t="str">
        <f>HYPERLINK("https://www.773grp.com/manufacturer/onsemi?pageNo=1117", "Onsemi")</f>
        <v>Onsemi</v>
      </c>
      <c r="C9206" s="6">
        <v>8092</v>
      </c>
      <c r="D9206" s="7">
        <v>1.06</v>
      </c>
      <c r="E9206" t="s">
        <v>5</v>
      </c>
    </row>
    <row r="9207" spans="1:5" x14ac:dyDescent="0.25">
      <c r="A9207" t="str">
        <f>HYPERLINK("https://www.773grp.com/globalSearch/NCP1608BDR2G/page-1", "NCP1608BDR2G")</f>
        <v>NCP1608BDR2G</v>
      </c>
      <c r="B9207" s="3" t="str">
        <f>HYPERLINK("https://www.773grp.com/manufacturer/onsemi?pageNo=1118", "Onsemi")</f>
        <v>Onsemi</v>
      </c>
      <c r="C9207" s="6">
        <v>71495</v>
      </c>
      <c r="D9207" s="7">
        <v>1.06</v>
      </c>
      <c r="E9207" t="s">
        <v>5</v>
      </c>
    </row>
    <row r="9208" spans="1:5" x14ac:dyDescent="0.25">
      <c r="A9208" t="str">
        <f>HYPERLINK("https://www.773grp.com/globalSearch/NCP2809ADMR2G/page-1", "NCP2809ADMR2G")</f>
        <v>NCP2809ADMR2G</v>
      </c>
      <c r="B9208" s="3" t="str">
        <f>HYPERLINK("https://www.773grp.com/manufacturer/onsemi?pageNo=1119", "Onsemi")</f>
        <v>Onsemi</v>
      </c>
      <c r="C9208" s="6">
        <v>16962</v>
      </c>
      <c r="D9208" s="7">
        <v>1.06</v>
      </c>
      <c r="E9208" t="s">
        <v>14</v>
      </c>
    </row>
    <row r="9209" spans="1:5" x14ac:dyDescent="0.25">
      <c r="A9209" t="str">
        <f>HYPERLINK("https://www.773grp.com/globalSearch/NCP2809BDMR2G/page-1", "NCP2809BDMR2G")</f>
        <v>NCP2809BDMR2G</v>
      </c>
      <c r="B9209" s="3" t="str">
        <f>HYPERLINK("https://www.773grp.com/manufacturer/onsemi?pageNo=1120", "Onsemi")</f>
        <v>Onsemi</v>
      </c>
      <c r="C9209" s="6">
        <v>650368</v>
      </c>
      <c r="D9209" s="7">
        <v>1.06</v>
      </c>
      <c r="E9209" t="s">
        <v>14</v>
      </c>
    </row>
    <row r="9210" spans="1:5" x14ac:dyDescent="0.25">
      <c r="A9210" t="str">
        <f>HYPERLINK("https://www.773grp.com/globalSearch/NCP300HSN20T1/page-1", "NCP300HSN20T1")</f>
        <v>NCP300HSN20T1</v>
      </c>
      <c r="B9210" s="3" t="str">
        <f>HYPERLINK("https://www.773grp.com/manufacturer/onsemi?pageNo=1121", "Onsemi")</f>
        <v>Onsemi</v>
      </c>
      <c r="C9210" s="6">
        <v>11700</v>
      </c>
      <c r="D9210" s="7">
        <v>1.06</v>
      </c>
      <c r="E9210" t="s">
        <v>26</v>
      </c>
    </row>
    <row r="9211" spans="1:5" x14ac:dyDescent="0.25">
      <c r="A9211" t="str">
        <f>HYPERLINK("https://www.773grp.com/globalSearch/NCP300HSN28T1/page-1", "NCP300HSN28T1")</f>
        <v>NCP300HSN28T1</v>
      </c>
      <c r="B9211" s="3" t="str">
        <f>HYPERLINK("https://www.773grp.com/manufacturer/onsemi?pageNo=1122", "Onsemi")</f>
        <v>Onsemi</v>
      </c>
      <c r="C9211" s="6">
        <v>158920</v>
      </c>
      <c r="D9211" s="7">
        <v>1.06</v>
      </c>
      <c r="E9211" t="s">
        <v>26</v>
      </c>
    </row>
    <row r="9212" spans="1:5" x14ac:dyDescent="0.25">
      <c r="A9212" t="str">
        <f>HYPERLINK("https://www.773grp.com/globalSearch/NCP300LSN11T1/page-1", "NCP300LSN11T1")</f>
        <v>NCP300LSN11T1</v>
      </c>
      <c r="B9212" s="3" t="str">
        <f>HYPERLINK("https://www.773grp.com/manufacturer/onsemi?pageNo=1123", "Onsemi")</f>
        <v>Onsemi</v>
      </c>
      <c r="C9212" s="6">
        <v>17000</v>
      </c>
      <c r="D9212" s="7">
        <v>1.06</v>
      </c>
      <c r="E9212" t="s">
        <v>26</v>
      </c>
    </row>
    <row r="9213" spans="1:5" x14ac:dyDescent="0.25">
      <c r="A9213" t="str">
        <f>HYPERLINK("https://www.773grp.com/globalSearch/NCP300LSN12T1/page-1", "NCP300LSN12T1")</f>
        <v>NCP300LSN12T1</v>
      </c>
      <c r="B9213" s="3" t="str">
        <f>HYPERLINK("https://www.773grp.com/manufacturer/onsemi?pageNo=1124", "Onsemi")</f>
        <v>Onsemi</v>
      </c>
      <c r="C9213" s="6">
        <v>12990</v>
      </c>
      <c r="D9213" s="7">
        <v>1.06</v>
      </c>
      <c r="E9213" t="s">
        <v>26</v>
      </c>
    </row>
    <row r="9214" spans="1:5" x14ac:dyDescent="0.25">
      <c r="A9214" t="str">
        <f>HYPERLINK("https://www.773grp.com/globalSearch/NCP300LSN13T1/page-1", "NCP300LSN13T1")</f>
        <v>NCP300LSN13T1</v>
      </c>
      <c r="B9214" s="3" t="str">
        <f>HYPERLINK("https://www.773grp.com/manufacturer/onsemi?pageNo=1125", "Onsemi")</f>
        <v>Onsemi</v>
      </c>
      <c r="C9214" s="6">
        <v>15500</v>
      </c>
      <c r="D9214" s="7">
        <v>1.06</v>
      </c>
      <c r="E9214" t="s">
        <v>26</v>
      </c>
    </row>
    <row r="9215" spans="1:5" x14ac:dyDescent="0.25">
      <c r="A9215" t="str">
        <f>HYPERLINK("https://www.773grp.com/globalSearch/NCP300LSN14T1/page-1", "NCP300LSN14T1")</f>
        <v>NCP300LSN14T1</v>
      </c>
      <c r="B9215" s="3" t="str">
        <f>HYPERLINK("https://www.773grp.com/manufacturer/onsemi?pageNo=1126", "Onsemi")</f>
        <v>Onsemi</v>
      </c>
      <c r="C9215" s="6">
        <v>15500</v>
      </c>
      <c r="D9215" s="7">
        <v>1.06</v>
      </c>
      <c r="E9215" t="s">
        <v>26</v>
      </c>
    </row>
    <row r="9216" spans="1:5" x14ac:dyDescent="0.25">
      <c r="A9216" t="str">
        <f>HYPERLINK("https://www.773grp.com/globalSearch/NCP300LSN15T1/page-1", "NCP300LSN15T1")</f>
        <v>NCP300LSN15T1</v>
      </c>
      <c r="B9216" s="3" t="str">
        <f>HYPERLINK("https://www.773grp.com/manufacturer/onsemi?pageNo=1127", "Onsemi")</f>
        <v>Onsemi</v>
      </c>
      <c r="C9216" s="6">
        <v>10400</v>
      </c>
      <c r="D9216" s="7">
        <v>1.06</v>
      </c>
      <c r="E9216" t="s">
        <v>26</v>
      </c>
    </row>
    <row r="9217" spans="1:5" x14ac:dyDescent="0.25">
      <c r="A9217" t="str">
        <f>HYPERLINK("https://www.773grp.com/globalSearch/NCP300LSN16T1/page-1", "NCP300LSN16T1")</f>
        <v>NCP300LSN16T1</v>
      </c>
      <c r="B9217" s="3" t="str">
        <f>HYPERLINK("https://www.773grp.com/manufacturer/onsemi?pageNo=1128", "Onsemi")</f>
        <v>Onsemi</v>
      </c>
      <c r="C9217" s="6">
        <v>16192</v>
      </c>
      <c r="D9217" s="7">
        <v>1.06</v>
      </c>
      <c r="E9217" t="s">
        <v>26</v>
      </c>
    </row>
    <row r="9218" spans="1:5" x14ac:dyDescent="0.25">
      <c r="A9218" t="str">
        <f>HYPERLINK("https://www.773grp.com/globalSearch/NCP300LSN17T1/page-1", "NCP300LSN17T1")</f>
        <v>NCP300LSN17T1</v>
      </c>
      <c r="B9218" s="3" t="str">
        <f>HYPERLINK("https://www.773grp.com/manufacturer/onsemi?pageNo=1129", "Onsemi")</f>
        <v>Onsemi</v>
      </c>
      <c r="C9218" s="6">
        <v>15500</v>
      </c>
      <c r="D9218" s="7">
        <v>1.06</v>
      </c>
      <c r="E9218" t="s">
        <v>26</v>
      </c>
    </row>
    <row r="9219" spans="1:5" x14ac:dyDescent="0.25">
      <c r="A9219" t="str">
        <f>HYPERLINK("https://www.773grp.com/globalSearch/NCP300LSN19T1/page-1", "NCP300LSN19T1")</f>
        <v>NCP300LSN19T1</v>
      </c>
      <c r="B9219" s="3" t="str">
        <f>HYPERLINK("https://www.773grp.com/manufacturer/onsemi?pageNo=1130", "Onsemi")</f>
        <v>Onsemi</v>
      </c>
      <c r="C9219" s="6">
        <v>12000</v>
      </c>
      <c r="D9219" s="7">
        <v>1.06</v>
      </c>
      <c r="E9219" t="s">
        <v>26</v>
      </c>
    </row>
    <row r="9220" spans="1:5" x14ac:dyDescent="0.25">
      <c r="A9220" t="str">
        <f>HYPERLINK("https://www.773grp.com/globalSearch/NCP300LSN21T1/page-1", "NCP300LSN21T1")</f>
        <v>NCP300LSN21T1</v>
      </c>
      <c r="B9220" s="3" t="str">
        <f>HYPERLINK("https://www.773grp.com/manufacturer/onsemi?pageNo=1131", "Onsemi")</f>
        <v>Onsemi</v>
      </c>
      <c r="C9220" s="6">
        <v>19000</v>
      </c>
      <c r="D9220" s="7">
        <v>1.06</v>
      </c>
      <c r="E9220" t="s">
        <v>26</v>
      </c>
    </row>
    <row r="9221" spans="1:5" x14ac:dyDescent="0.25">
      <c r="A9221" t="str">
        <f>HYPERLINK("https://www.773grp.com/globalSearch/NCP300LSN22T1/page-1", "NCP300LSN22T1")</f>
        <v>NCP300LSN22T1</v>
      </c>
      <c r="B9221" s="3" t="str">
        <f>HYPERLINK("https://www.773grp.com/manufacturer/onsemi?pageNo=1132", "Onsemi")</f>
        <v>Onsemi</v>
      </c>
      <c r="C9221" s="6">
        <v>14480</v>
      </c>
      <c r="D9221" s="7">
        <v>1.06</v>
      </c>
      <c r="E9221" t="s">
        <v>26</v>
      </c>
    </row>
    <row r="9222" spans="1:5" x14ac:dyDescent="0.25">
      <c r="A9222" t="str">
        <f>HYPERLINK("https://www.773grp.com/globalSearch/NCP300LSN23T1/page-1", "NCP300LSN23T1")</f>
        <v>NCP300LSN23T1</v>
      </c>
      <c r="B9222" s="3" t="str">
        <f>HYPERLINK("https://www.773grp.com/manufacturer/onsemi?pageNo=1133", "Onsemi")</f>
        <v>Onsemi</v>
      </c>
      <c r="C9222" s="6">
        <v>15500</v>
      </c>
      <c r="D9222" s="7">
        <v>1.06</v>
      </c>
      <c r="E9222" t="s">
        <v>26</v>
      </c>
    </row>
    <row r="9223" spans="1:5" x14ac:dyDescent="0.25">
      <c r="A9223" t="str">
        <f>HYPERLINK("https://www.773grp.com/globalSearch/NCP300LSN24T1/page-1", "NCP300LSN24T1")</f>
        <v>NCP300LSN24T1</v>
      </c>
      <c r="B9223" s="3" t="str">
        <f>HYPERLINK("https://www.773grp.com/manufacturer/onsemi?pageNo=1134", "Onsemi")</f>
        <v>Onsemi</v>
      </c>
      <c r="C9223" s="6">
        <v>15000</v>
      </c>
      <c r="D9223" s="7">
        <v>1.06</v>
      </c>
      <c r="E9223" t="s">
        <v>26</v>
      </c>
    </row>
    <row r="9224" spans="1:5" x14ac:dyDescent="0.25">
      <c r="A9224" t="str">
        <f>HYPERLINK("https://www.773grp.com/globalSearch/NCP300LSN25T1/page-1", "NCP300LSN25T1")</f>
        <v>NCP300LSN25T1</v>
      </c>
      <c r="B9224" s="3" t="str">
        <f>HYPERLINK("https://www.773grp.com/manufacturer/onsemi?pageNo=1135", "Onsemi")</f>
        <v>Onsemi</v>
      </c>
      <c r="C9224" s="6">
        <v>6100</v>
      </c>
      <c r="D9224" s="7">
        <v>1.06</v>
      </c>
      <c r="E9224" t="s">
        <v>26</v>
      </c>
    </row>
    <row r="9225" spans="1:5" x14ac:dyDescent="0.25">
      <c r="A9225" t="str">
        <f>HYPERLINK("https://www.773grp.com/globalSearch/NCP300LSN26T1/page-1", "NCP300LSN26T1")</f>
        <v>NCP300LSN26T1</v>
      </c>
      <c r="B9225" s="3" t="str">
        <f>HYPERLINK("https://www.773grp.com/manufacturer/onsemi?pageNo=1136", "Onsemi")</f>
        <v>Onsemi</v>
      </c>
      <c r="C9225" s="6">
        <v>16700</v>
      </c>
      <c r="D9225" s="7">
        <v>1.06</v>
      </c>
      <c r="E9225" t="s">
        <v>26</v>
      </c>
    </row>
    <row r="9226" spans="1:5" x14ac:dyDescent="0.25">
      <c r="A9226" t="str">
        <f>HYPERLINK("https://www.773grp.com/globalSearch/NCP300LSN29T1/page-1", "NCP300LSN29T1")</f>
        <v>NCP300LSN29T1</v>
      </c>
      <c r="B9226" s="3" t="str">
        <f>HYPERLINK("https://www.773grp.com/manufacturer/onsemi?pageNo=1137", "Onsemi")</f>
        <v>Onsemi</v>
      </c>
      <c r="C9226" s="6">
        <v>15450</v>
      </c>
      <c r="D9226" s="7">
        <v>1.06</v>
      </c>
      <c r="E9226" t="s">
        <v>26</v>
      </c>
    </row>
    <row r="9227" spans="1:5" x14ac:dyDescent="0.25">
      <c r="A9227" t="str">
        <f>HYPERLINK("https://www.773grp.com/globalSearch/NCP300LSN31T1/page-1", "NCP300LSN31T1")</f>
        <v>NCP300LSN31T1</v>
      </c>
      <c r="B9227" s="3" t="str">
        <f>HYPERLINK("https://www.773grp.com/manufacturer/onsemi?pageNo=1138", "Onsemi")</f>
        <v>Onsemi</v>
      </c>
      <c r="C9227" s="6">
        <v>7232</v>
      </c>
      <c r="D9227" s="7">
        <v>1.06</v>
      </c>
      <c r="E9227" t="s">
        <v>26</v>
      </c>
    </row>
    <row r="9228" spans="1:5" x14ac:dyDescent="0.25">
      <c r="A9228" t="str">
        <f>HYPERLINK("https://www.773grp.com/globalSearch/NCP300LSN32T1/page-1", "NCP300LSN32T1")</f>
        <v>NCP300LSN32T1</v>
      </c>
      <c r="B9228" s="3" t="str">
        <f>HYPERLINK("https://www.773grp.com/manufacturer/onsemi?pageNo=1139", "Onsemi")</f>
        <v>Onsemi</v>
      </c>
      <c r="C9228" s="6">
        <v>10000</v>
      </c>
      <c r="D9228" s="7">
        <v>1.06</v>
      </c>
      <c r="E9228" t="s">
        <v>26</v>
      </c>
    </row>
    <row r="9229" spans="1:5" x14ac:dyDescent="0.25">
      <c r="A9229" t="str">
        <f>HYPERLINK("https://www.773grp.com/globalSearch/NCP300LSN35T1/page-1", "NCP300LSN35T1")</f>
        <v>NCP300LSN35T1</v>
      </c>
      <c r="B9229" s="3" t="str">
        <f>HYPERLINK("https://www.773grp.com/manufacturer/onsemi?pageNo=1140", "Onsemi")</f>
        <v>Onsemi</v>
      </c>
      <c r="C9229" s="6">
        <v>15375</v>
      </c>
      <c r="D9229" s="7">
        <v>1.06</v>
      </c>
      <c r="E9229" t="s">
        <v>26</v>
      </c>
    </row>
    <row r="9230" spans="1:5" x14ac:dyDescent="0.25">
      <c r="A9230" t="str">
        <f>HYPERLINK("https://www.773grp.com/globalSearch/NCP300LSN36T1/page-1", "NCP300LSN36T1")</f>
        <v>NCP300LSN36T1</v>
      </c>
      <c r="B9230" s="3" t="str">
        <f>HYPERLINK("https://www.773grp.com/manufacturer/onsemi?pageNo=1141", "Onsemi")</f>
        <v>Onsemi</v>
      </c>
      <c r="C9230" s="6">
        <v>15494</v>
      </c>
      <c r="D9230" s="7">
        <v>1.06</v>
      </c>
      <c r="E9230" t="s">
        <v>26</v>
      </c>
    </row>
    <row r="9231" spans="1:5" x14ac:dyDescent="0.25">
      <c r="A9231" t="str">
        <f>HYPERLINK("https://www.773grp.com/globalSearch/NCP300LSN37T1/page-1", "NCP300LSN37T1")</f>
        <v>NCP300LSN37T1</v>
      </c>
      <c r="B9231" s="3" t="str">
        <f>HYPERLINK("https://www.773grp.com/manufacturer/onsemi?pageNo=1142", "Onsemi")</f>
        <v>Onsemi</v>
      </c>
      <c r="C9231" s="6">
        <v>15500</v>
      </c>
      <c r="D9231" s="7">
        <v>1.06</v>
      </c>
      <c r="E9231" t="s">
        <v>26</v>
      </c>
    </row>
    <row r="9232" spans="1:5" x14ac:dyDescent="0.25">
      <c r="A9232" t="str">
        <f>HYPERLINK("https://www.773grp.com/globalSearch/NCP300LSN38T1/page-1", "NCP300LSN38T1")</f>
        <v>NCP300LSN38T1</v>
      </c>
      <c r="B9232" s="3" t="str">
        <f>HYPERLINK("https://www.773grp.com/manufacturer/onsemi?pageNo=1143", "Onsemi")</f>
        <v>Onsemi</v>
      </c>
      <c r="C9232" s="6">
        <v>13500</v>
      </c>
      <c r="D9232" s="7">
        <v>1.06</v>
      </c>
      <c r="E9232" t="s">
        <v>26</v>
      </c>
    </row>
    <row r="9233" spans="1:5" x14ac:dyDescent="0.25">
      <c r="A9233" t="str">
        <f>HYPERLINK("https://www.773grp.com/globalSearch/NCP300LSN39T1/page-1", "NCP300LSN39T1")</f>
        <v>NCP300LSN39T1</v>
      </c>
      <c r="B9233" s="3" t="str">
        <f>HYPERLINK("https://www.773grp.com/manufacturer/onsemi?pageNo=1144", "Onsemi")</f>
        <v>Onsemi</v>
      </c>
      <c r="C9233" s="6">
        <v>16000</v>
      </c>
      <c r="D9233" s="7">
        <v>1.06</v>
      </c>
      <c r="E9233" t="s">
        <v>26</v>
      </c>
    </row>
    <row r="9234" spans="1:5" x14ac:dyDescent="0.25">
      <c r="A9234" t="str">
        <f>HYPERLINK("https://www.773grp.com/globalSearch/NCP300LSN40T1/page-1", "NCP300LSN40T1")</f>
        <v>NCP300LSN40T1</v>
      </c>
      <c r="B9234" s="3" t="str">
        <f>HYPERLINK("https://www.773grp.com/manufacturer/onsemi?pageNo=1145", "Onsemi")</f>
        <v>Onsemi</v>
      </c>
      <c r="C9234" s="6">
        <v>16500</v>
      </c>
      <c r="D9234" s="7">
        <v>1.06</v>
      </c>
      <c r="E9234" t="s">
        <v>26</v>
      </c>
    </row>
    <row r="9235" spans="1:5" x14ac:dyDescent="0.25">
      <c r="A9235" t="str">
        <f>HYPERLINK("https://www.773grp.com/globalSearch/NCP300LSN41T1/page-1", "NCP300LSN41T1")</f>
        <v>NCP300LSN41T1</v>
      </c>
      <c r="B9235" s="3" t="str">
        <f>HYPERLINK("https://www.773grp.com/manufacturer/onsemi?pageNo=1146", "Onsemi")</f>
        <v>Onsemi</v>
      </c>
      <c r="C9235" s="6">
        <v>15500</v>
      </c>
      <c r="D9235" s="7">
        <v>1.06</v>
      </c>
      <c r="E9235" t="s">
        <v>26</v>
      </c>
    </row>
    <row r="9236" spans="1:5" x14ac:dyDescent="0.25">
      <c r="A9236" t="str">
        <f>HYPERLINK("https://www.773grp.com/globalSearch/NCP300LSN42T1/page-1", "NCP300LSN42T1")</f>
        <v>NCP300LSN42T1</v>
      </c>
      <c r="B9236" s="3" t="str">
        <f>HYPERLINK("https://www.773grp.com/manufacturer/onsemi?pageNo=1147", "Onsemi")</f>
        <v>Onsemi</v>
      </c>
      <c r="C9236" s="6">
        <v>14000</v>
      </c>
      <c r="D9236" s="7">
        <v>1.06</v>
      </c>
      <c r="E9236" t="s">
        <v>26</v>
      </c>
    </row>
    <row r="9237" spans="1:5" x14ac:dyDescent="0.25">
      <c r="A9237" t="str">
        <f>HYPERLINK("https://www.773grp.com/globalSearch/NCP300LSN43T1/page-1", "NCP300LSN43T1")</f>
        <v>NCP300LSN43T1</v>
      </c>
      <c r="B9237" s="3" t="str">
        <f>HYPERLINK("https://www.773grp.com/manufacturer/onsemi?pageNo=1148", "Onsemi")</f>
        <v>Onsemi</v>
      </c>
      <c r="C9237" s="6">
        <v>15500</v>
      </c>
      <c r="D9237" s="7">
        <v>1.06</v>
      </c>
      <c r="E9237" t="s">
        <v>26</v>
      </c>
    </row>
    <row r="9238" spans="1:5" x14ac:dyDescent="0.25">
      <c r="A9238" t="str">
        <f>HYPERLINK("https://www.773grp.com/globalSearch/NCP300LSN48T1/page-1", "NCP300LSN48T1")</f>
        <v>NCP300LSN48T1</v>
      </c>
      <c r="B9238" s="3" t="str">
        <f>HYPERLINK("https://www.773grp.com/manufacturer/onsemi?pageNo=1149", "Onsemi")</f>
        <v>Onsemi</v>
      </c>
      <c r="C9238" s="6">
        <v>16000</v>
      </c>
      <c r="D9238" s="7">
        <v>1.06</v>
      </c>
      <c r="E9238" t="s">
        <v>26</v>
      </c>
    </row>
    <row r="9239" spans="1:5" x14ac:dyDescent="0.25">
      <c r="A9239" t="str">
        <f>HYPERLINK("https://www.773grp.com/globalSearch/NCP300LSN49T1/page-1", "NCP300LSN49T1")</f>
        <v>NCP300LSN49T1</v>
      </c>
      <c r="B9239" s="3" t="str">
        <f>HYPERLINK("https://www.773grp.com/manufacturer/onsemi?pageNo=1150", "Onsemi")</f>
        <v>Onsemi</v>
      </c>
      <c r="C9239" s="6">
        <v>14100</v>
      </c>
      <c r="D9239" s="7">
        <v>1.06</v>
      </c>
      <c r="E9239" t="s">
        <v>26</v>
      </c>
    </row>
    <row r="9240" spans="1:5" x14ac:dyDescent="0.25">
      <c r="A9240" t="str">
        <f>HYPERLINK("https://www.773grp.com/globalSearch/NCP301HSN20T1/page-1", "NCP301HSN20T1")</f>
        <v>NCP301HSN20T1</v>
      </c>
      <c r="B9240" s="3" t="str">
        <f>HYPERLINK("https://www.773grp.com/manufacturer/onsemi?pageNo=1151", "Onsemi")</f>
        <v>Onsemi</v>
      </c>
      <c r="C9240" s="6">
        <v>11754</v>
      </c>
      <c r="D9240" s="7">
        <v>1.06</v>
      </c>
      <c r="E9240" t="s">
        <v>26</v>
      </c>
    </row>
    <row r="9241" spans="1:5" x14ac:dyDescent="0.25">
      <c r="A9241" t="str">
        <f>HYPERLINK("https://www.773grp.com/globalSearch/NCP301HSN47T1/page-1", "NCP301HSN47T1")</f>
        <v>NCP301HSN47T1</v>
      </c>
      <c r="B9241" s="3" t="str">
        <f>HYPERLINK("https://www.773grp.com/manufacturer/onsemi?pageNo=1152", "Onsemi")</f>
        <v>Onsemi</v>
      </c>
      <c r="C9241" s="6">
        <v>11620</v>
      </c>
      <c r="D9241" s="7">
        <v>1.06</v>
      </c>
      <c r="E9241" t="s">
        <v>26</v>
      </c>
    </row>
    <row r="9242" spans="1:5" x14ac:dyDescent="0.25">
      <c r="A9242" t="str">
        <f>HYPERLINK("https://www.773grp.com/globalSearch/NCP301LSN10T1/page-1", "NCP301LSN10T1")</f>
        <v>NCP301LSN10T1</v>
      </c>
      <c r="B9242" s="3" t="str">
        <f>HYPERLINK("https://www.773grp.com/manufacturer/onsemi?pageNo=1153", "Onsemi")</f>
        <v>Onsemi</v>
      </c>
      <c r="C9242" s="6">
        <v>14975</v>
      </c>
      <c r="D9242" s="7">
        <v>1.06</v>
      </c>
      <c r="E9242" t="s">
        <v>26</v>
      </c>
    </row>
    <row r="9243" spans="1:5" x14ac:dyDescent="0.25">
      <c r="A9243" t="str">
        <f>HYPERLINK("https://www.773grp.com/globalSearch/NCP301LSN11T1/page-1", "NCP301LSN11T1")</f>
        <v>NCP301LSN11T1</v>
      </c>
      <c r="B9243" s="3" t="str">
        <f>HYPERLINK("https://www.773grp.com/manufacturer/onsemi?pageNo=1154", "Onsemi")</f>
        <v>Onsemi</v>
      </c>
      <c r="C9243" s="6">
        <v>30500</v>
      </c>
      <c r="D9243" s="7">
        <v>1.06</v>
      </c>
      <c r="E9243" t="s">
        <v>26</v>
      </c>
    </row>
    <row r="9244" spans="1:5" x14ac:dyDescent="0.25">
      <c r="A9244" t="str">
        <f>HYPERLINK("https://www.773grp.com/globalSearch/NCP301LSN13T1/page-1", "NCP301LSN13T1")</f>
        <v>NCP301LSN13T1</v>
      </c>
      <c r="B9244" s="3" t="str">
        <f>HYPERLINK("https://www.773grp.com/manufacturer/onsemi?pageNo=1155", "Onsemi")</f>
        <v>Onsemi</v>
      </c>
      <c r="C9244" s="6">
        <v>14990</v>
      </c>
      <c r="D9244" s="7">
        <v>1.06</v>
      </c>
      <c r="E9244" t="s">
        <v>26</v>
      </c>
    </row>
    <row r="9245" spans="1:5" x14ac:dyDescent="0.25">
      <c r="A9245" t="str">
        <f>HYPERLINK("https://www.773grp.com/globalSearch/NCP301LSN14T1/page-1", "NCP301LSN14T1")</f>
        <v>NCP301LSN14T1</v>
      </c>
      <c r="B9245" s="3" t="str">
        <f>HYPERLINK("https://www.773grp.com/manufacturer/onsemi?pageNo=1156", "Onsemi")</f>
        <v>Onsemi</v>
      </c>
      <c r="C9245" s="6">
        <v>15500</v>
      </c>
      <c r="D9245" s="7">
        <v>1.06</v>
      </c>
      <c r="E9245" t="s">
        <v>26</v>
      </c>
    </row>
    <row r="9246" spans="1:5" x14ac:dyDescent="0.25">
      <c r="A9246" t="str">
        <f>HYPERLINK("https://www.773grp.com/globalSearch/NCP301LSN15T1/page-1", "NCP301LSN15T1")</f>
        <v>NCP301LSN15T1</v>
      </c>
      <c r="B9246" s="3" t="str">
        <f>HYPERLINK("https://www.773grp.com/manufacturer/onsemi?pageNo=1157", "Onsemi")</f>
        <v>Onsemi</v>
      </c>
      <c r="C9246" s="6">
        <v>16000</v>
      </c>
      <c r="D9246" s="7">
        <v>1.06</v>
      </c>
      <c r="E9246" t="s">
        <v>26</v>
      </c>
    </row>
    <row r="9247" spans="1:5" x14ac:dyDescent="0.25">
      <c r="A9247" t="str">
        <f>HYPERLINK("https://www.773grp.com/globalSearch/NCP301LSN17T1/page-1", "NCP301LSN17T1")</f>
        <v>NCP301LSN17T1</v>
      </c>
      <c r="B9247" s="3" t="str">
        <f>HYPERLINK("https://www.773grp.com/manufacturer/onsemi?pageNo=1158", "Onsemi")</f>
        <v>Onsemi</v>
      </c>
      <c r="C9247" s="6">
        <v>15980</v>
      </c>
      <c r="D9247" s="7">
        <v>1.06</v>
      </c>
      <c r="E9247" t="s">
        <v>26</v>
      </c>
    </row>
    <row r="9248" spans="1:5" x14ac:dyDescent="0.25">
      <c r="A9248" t="str">
        <f>HYPERLINK("https://www.773grp.com/globalSearch/NCP301LSN19T1/page-1", "NCP301LSN19T1")</f>
        <v>NCP301LSN19T1</v>
      </c>
      <c r="B9248" s="3" t="str">
        <f>HYPERLINK("https://www.773grp.com/manufacturer/onsemi?pageNo=1159", "Onsemi")</f>
        <v>Onsemi</v>
      </c>
      <c r="C9248" s="6">
        <v>16500</v>
      </c>
      <c r="D9248" s="7">
        <v>1.06</v>
      </c>
      <c r="E9248" t="s">
        <v>26</v>
      </c>
    </row>
    <row r="9249" spans="1:5" x14ac:dyDescent="0.25">
      <c r="A9249" t="str">
        <f>HYPERLINK("https://www.773grp.com/globalSearch/NCP301LSN21T1/page-1", "NCP301LSN21T1")</f>
        <v>NCP301LSN21T1</v>
      </c>
      <c r="B9249" s="3" t="str">
        <f>HYPERLINK("https://www.773grp.com/manufacturer/onsemi?pageNo=1160", "Onsemi")</f>
        <v>Onsemi</v>
      </c>
      <c r="C9249" s="6">
        <v>48818</v>
      </c>
      <c r="D9249" s="7">
        <v>1.06</v>
      </c>
      <c r="E9249" t="s">
        <v>26</v>
      </c>
    </row>
    <row r="9250" spans="1:5" x14ac:dyDescent="0.25">
      <c r="A9250" t="str">
        <f>HYPERLINK("https://www.773grp.com/globalSearch/NCP301LSN35T1/page-1", "NCP301LSN35T1")</f>
        <v>NCP301LSN35T1</v>
      </c>
      <c r="B9250" s="3" t="str">
        <f>HYPERLINK("https://www.773grp.com/manufacturer/onsemi?pageNo=1161", "Onsemi")</f>
        <v>Onsemi</v>
      </c>
      <c r="C9250" s="6">
        <v>16936</v>
      </c>
      <c r="D9250" s="7">
        <v>1.06</v>
      </c>
      <c r="E9250" t="s">
        <v>26</v>
      </c>
    </row>
    <row r="9251" spans="1:5" x14ac:dyDescent="0.25">
      <c r="A9251" t="str">
        <f>HYPERLINK("https://www.773grp.com/globalSearch/NCP301LSN36T1/page-1", "NCP301LSN36T1")</f>
        <v>NCP301LSN36T1</v>
      </c>
      <c r="B9251" s="3" t="str">
        <f>HYPERLINK("https://www.773grp.com/manufacturer/onsemi?pageNo=1162", "Onsemi")</f>
        <v>Onsemi</v>
      </c>
      <c r="C9251" s="6">
        <v>15000</v>
      </c>
      <c r="D9251" s="7">
        <v>1.06</v>
      </c>
      <c r="E9251" t="s">
        <v>26</v>
      </c>
    </row>
    <row r="9252" spans="1:5" x14ac:dyDescent="0.25">
      <c r="A9252" t="str">
        <f>HYPERLINK("https://www.773grp.com/globalSearch/NCP301LSN37T1/page-1", "NCP301LSN37T1")</f>
        <v>NCP301LSN37T1</v>
      </c>
      <c r="B9252" s="3" t="str">
        <f>HYPERLINK("https://www.773grp.com/manufacturer/onsemi?pageNo=1163", "Onsemi")</f>
        <v>Onsemi</v>
      </c>
      <c r="C9252" s="6">
        <v>16584</v>
      </c>
      <c r="D9252" s="7">
        <v>1.06</v>
      </c>
      <c r="E9252" t="s">
        <v>26</v>
      </c>
    </row>
    <row r="9253" spans="1:5" x14ac:dyDescent="0.25">
      <c r="A9253" t="str">
        <f>HYPERLINK("https://www.773grp.com/globalSearch/NCP301LSN38T1/page-1", "NCP301LSN38T1")</f>
        <v>NCP301LSN38T1</v>
      </c>
      <c r="B9253" s="3" t="str">
        <f>HYPERLINK("https://www.773grp.com/manufacturer/onsemi?pageNo=1164", "Onsemi")</f>
        <v>Onsemi</v>
      </c>
      <c r="C9253" s="6">
        <v>16673</v>
      </c>
      <c r="D9253" s="7">
        <v>1.06</v>
      </c>
      <c r="E9253" t="s">
        <v>26</v>
      </c>
    </row>
    <row r="9254" spans="1:5" x14ac:dyDescent="0.25">
      <c r="A9254" t="str">
        <f>HYPERLINK("https://www.773grp.com/globalSearch/NCP301LSN39-0002/page-1", "NCP301LSN39-0002")</f>
        <v>NCP301LSN39-0002</v>
      </c>
      <c r="B9254" s="3" t="str">
        <f>HYPERLINK("https://www.773grp.com/manufacturer/onsemi?pageNo=1165", "Onsemi")</f>
        <v>Onsemi</v>
      </c>
      <c r="C9254" s="6">
        <v>2892</v>
      </c>
      <c r="D9254" s="7">
        <v>1.06</v>
      </c>
    </row>
    <row r="9255" spans="1:5" x14ac:dyDescent="0.25">
      <c r="A9255" t="str">
        <f>HYPERLINK("https://www.773grp.com/globalSearch/NCP301LSN39T1/page-1", "NCP301LSN39T1")</f>
        <v>NCP301LSN39T1</v>
      </c>
      <c r="B9255" s="3" t="str">
        <f>HYPERLINK("https://www.773grp.com/manufacturer/onsemi?pageNo=1166", "Onsemi")</f>
        <v>Onsemi</v>
      </c>
      <c r="C9255" s="6">
        <v>12000</v>
      </c>
      <c r="D9255" s="7">
        <v>1.06</v>
      </c>
      <c r="E9255" t="s">
        <v>26</v>
      </c>
    </row>
    <row r="9256" spans="1:5" x14ac:dyDescent="0.25">
      <c r="A9256" t="str">
        <f>HYPERLINK("https://www.773grp.com/globalSearch/NCP301LSN41T1/page-1", "NCP301LSN41T1")</f>
        <v>NCP301LSN41T1</v>
      </c>
      <c r="B9256" s="3" t="str">
        <f>HYPERLINK("https://www.773grp.com/manufacturer/onsemi?pageNo=1167", "Onsemi")</f>
        <v>Onsemi</v>
      </c>
      <c r="C9256" s="6">
        <v>15000</v>
      </c>
      <c r="D9256" s="7">
        <v>1.06</v>
      </c>
      <c r="E9256" t="s">
        <v>26</v>
      </c>
    </row>
    <row r="9257" spans="1:5" x14ac:dyDescent="0.25">
      <c r="A9257" t="str">
        <f>HYPERLINK("https://www.773grp.com/globalSearch/NCP301LSN43T1/page-1", "NCP301LSN43T1")</f>
        <v>NCP301LSN43T1</v>
      </c>
      <c r="B9257" s="3" t="str">
        <f>HYPERLINK("https://www.773grp.com/manufacturer/onsemi?pageNo=1168", "Onsemi")</f>
        <v>Onsemi</v>
      </c>
      <c r="C9257" s="6">
        <v>15868</v>
      </c>
      <c r="D9257" s="7">
        <v>1.06</v>
      </c>
      <c r="E9257" t="s">
        <v>26</v>
      </c>
    </row>
    <row r="9258" spans="1:5" x14ac:dyDescent="0.25">
      <c r="A9258" t="str">
        <f>HYPERLINK("https://www.773grp.com/globalSearch/NCP301LSN44T1/page-1", "NCP301LSN44T1")</f>
        <v>NCP301LSN44T1</v>
      </c>
      <c r="B9258" s="3" t="str">
        <f>HYPERLINK("https://www.773grp.com/manufacturer/onsemi?pageNo=1169", "Onsemi")</f>
        <v>Onsemi</v>
      </c>
      <c r="C9258" s="6">
        <v>10600</v>
      </c>
      <c r="D9258" s="7">
        <v>1.06</v>
      </c>
      <c r="E9258" t="s">
        <v>26</v>
      </c>
    </row>
    <row r="9259" spans="1:5" x14ac:dyDescent="0.25">
      <c r="A9259" t="str">
        <f>HYPERLINK("https://www.773grp.com/globalSearch/NCP301LSN48T1/page-1", "NCP301LSN48T1")</f>
        <v>NCP301LSN48T1</v>
      </c>
      <c r="B9259" s="3" t="str">
        <f>HYPERLINK("https://www.773grp.com/manufacturer/onsemi?pageNo=1170", "Onsemi")</f>
        <v>Onsemi</v>
      </c>
      <c r="C9259" s="6">
        <v>14849</v>
      </c>
      <c r="D9259" s="7">
        <v>1.06</v>
      </c>
      <c r="E9259" t="s">
        <v>26</v>
      </c>
    </row>
    <row r="9260" spans="1:5" x14ac:dyDescent="0.25">
      <c r="A9260" t="str">
        <f>HYPERLINK("https://www.773grp.com/globalSearch/NCP301LSN49T1/page-1", "NCP301LSN49T1")</f>
        <v>NCP301LSN49T1</v>
      </c>
      <c r="B9260" s="3" t="str">
        <f>HYPERLINK("https://www.773grp.com/manufacturer/onsemi?pageNo=1171", "Onsemi")</f>
        <v>Onsemi</v>
      </c>
      <c r="C9260" s="6">
        <v>13508</v>
      </c>
      <c r="D9260" s="7">
        <v>1.06</v>
      </c>
      <c r="E9260" t="s">
        <v>26</v>
      </c>
    </row>
    <row r="9261" spans="1:5" x14ac:dyDescent="0.25">
      <c r="A9261" t="str">
        <f>HYPERLINK("https://www.773grp.com/globalSearch/NCP302HSN15T1/page-1", "NCP302HSN15T1")</f>
        <v>NCP302HSN15T1</v>
      </c>
      <c r="B9261" s="3" t="str">
        <f>HYPERLINK("https://www.773grp.com/manufacturer/onsemi?pageNo=1172", "Onsemi")</f>
        <v>Onsemi</v>
      </c>
      <c r="C9261" s="6">
        <v>8860</v>
      </c>
      <c r="D9261" s="7">
        <v>1.06</v>
      </c>
      <c r="E9261" t="s">
        <v>26</v>
      </c>
    </row>
    <row r="9262" spans="1:5" x14ac:dyDescent="0.25">
      <c r="A9262" t="str">
        <f>HYPERLINK("https://www.773grp.com/globalSearch/NCP302HSN20T1/page-1", "NCP302HSN20T1")</f>
        <v>NCP302HSN20T1</v>
      </c>
      <c r="B9262" s="3" t="str">
        <f>HYPERLINK("https://www.773grp.com/manufacturer/onsemi?pageNo=1173", "Onsemi")</f>
        <v>Onsemi</v>
      </c>
      <c r="C9262" s="6">
        <v>11700</v>
      </c>
      <c r="D9262" s="7">
        <v>1.06</v>
      </c>
      <c r="E9262" t="s">
        <v>26</v>
      </c>
    </row>
    <row r="9263" spans="1:5" x14ac:dyDescent="0.25">
      <c r="A9263" t="str">
        <f>HYPERLINK("https://www.773grp.com/globalSearch/NCP302HSN25T1/page-1", "NCP302HSN25T1")</f>
        <v>NCP302HSN25T1</v>
      </c>
      <c r="B9263" s="3" t="str">
        <f>HYPERLINK("https://www.773grp.com/manufacturer/onsemi?pageNo=1174", "Onsemi")</f>
        <v>Onsemi</v>
      </c>
      <c r="C9263" s="6">
        <v>9000</v>
      </c>
      <c r="D9263" s="7">
        <v>1.06</v>
      </c>
      <c r="E9263" t="s">
        <v>26</v>
      </c>
    </row>
    <row r="9264" spans="1:5" x14ac:dyDescent="0.25">
      <c r="A9264" t="str">
        <f>HYPERLINK("https://www.773grp.com/globalSearch/NCP302HSN47T1/page-1", "NCP302HSN47T1")</f>
        <v>NCP302HSN47T1</v>
      </c>
      <c r="B9264" s="3" t="str">
        <f>HYPERLINK("https://www.773grp.com/manufacturer/onsemi?pageNo=1175", "Onsemi")</f>
        <v>Onsemi</v>
      </c>
      <c r="C9264" s="6">
        <v>13192</v>
      </c>
      <c r="D9264" s="7">
        <v>1.06</v>
      </c>
      <c r="E9264" t="s">
        <v>26</v>
      </c>
    </row>
    <row r="9265" spans="1:5" x14ac:dyDescent="0.25">
      <c r="A9265" t="str">
        <f>HYPERLINK("https://www.773grp.com/globalSearch/NCP302LSN10T1/page-1", "NCP302LSN10T1")</f>
        <v>NCP302LSN10T1</v>
      </c>
      <c r="B9265" s="3" t="str">
        <f>HYPERLINK("https://www.773grp.com/manufacturer/onsemi?pageNo=1176", "Onsemi")</f>
        <v>Onsemi</v>
      </c>
      <c r="C9265" s="6">
        <v>10900</v>
      </c>
      <c r="D9265" s="7">
        <v>1.06</v>
      </c>
      <c r="E9265" t="s">
        <v>26</v>
      </c>
    </row>
    <row r="9266" spans="1:5" x14ac:dyDescent="0.25">
      <c r="A9266" t="str">
        <f>HYPERLINK("https://www.773grp.com/globalSearch/NCP302LSN11T1/page-1", "NCP302LSN11T1")</f>
        <v>NCP302LSN11T1</v>
      </c>
      <c r="B9266" s="3" t="str">
        <f>HYPERLINK("https://www.773grp.com/manufacturer/onsemi?pageNo=1177", "Onsemi")</f>
        <v>Onsemi</v>
      </c>
      <c r="C9266" s="6">
        <v>12900</v>
      </c>
      <c r="D9266" s="7">
        <v>1.06</v>
      </c>
      <c r="E9266" t="s">
        <v>26</v>
      </c>
    </row>
    <row r="9267" spans="1:5" x14ac:dyDescent="0.25">
      <c r="A9267" t="str">
        <f>HYPERLINK("https://www.773grp.com/globalSearch/NCP302LSN12T1/page-1", "NCP302LSN12T1")</f>
        <v>NCP302LSN12T1</v>
      </c>
      <c r="B9267" s="3" t="str">
        <f>HYPERLINK("https://www.773grp.com/manufacturer/onsemi?pageNo=1178", "Onsemi")</f>
        <v>Onsemi</v>
      </c>
      <c r="C9267" s="6">
        <v>9650</v>
      </c>
      <c r="D9267" s="7">
        <v>1.06</v>
      </c>
      <c r="E9267" t="s">
        <v>26</v>
      </c>
    </row>
    <row r="9268" spans="1:5" x14ac:dyDescent="0.25">
      <c r="A9268" t="str">
        <f>HYPERLINK("https://www.773grp.com/globalSearch/NCP302LSN13T1/page-1", "NCP302LSN13T1")</f>
        <v>NCP302LSN13T1</v>
      </c>
      <c r="B9268" s="3" t="str">
        <f>HYPERLINK("https://www.773grp.com/manufacturer/onsemi?pageNo=1179", "Onsemi")</f>
        <v>Onsemi</v>
      </c>
      <c r="C9268" s="6">
        <v>12400</v>
      </c>
      <c r="D9268" s="7">
        <v>1.06</v>
      </c>
      <c r="E9268" t="s">
        <v>26</v>
      </c>
    </row>
    <row r="9269" spans="1:5" x14ac:dyDescent="0.25">
      <c r="A9269" t="str">
        <f>HYPERLINK("https://www.773grp.com/globalSearch/NCP302LSN14T1/page-1", "NCP302LSN14T1")</f>
        <v>NCP302LSN14T1</v>
      </c>
      <c r="B9269" s="3" t="str">
        <f>HYPERLINK("https://www.773grp.com/manufacturer/onsemi?pageNo=1180", "Onsemi")</f>
        <v>Onsemi</v>
      </c>
      <c r="C9269" s="6">
        <v>12320</v>
      </c>
      <c r="D9269" s="7">
        <v>1.06</v>
      </c>
      <c r="E9269" t="s">
        <v>26</v>
      </c>
    </row>
    <row r="9270" spans="1:5" x14ac:dyDescent="0.25">
      <c r="A9270" t="str">
        <f>HYPERLINK("https://www.773grp.com/globalSearch/NCP302LSN16T1/page-1", "NCP302LSN16T1")</f>
        <v>NCP302LSN16T1</v>
      </c>
      <c r="B9270" s="3" t="str">
        <f>HYPERLINK("https://www.773grp.com/manufacturer/onsemi?pageNo=1181", "Onsemi")</f>
        <v>Onsemi</v>
      </c>
      <c r="C9270" s="6">
        <v>10950</v>
      </c>
      <c r="D9270" s="7">
        <v>1.06</v>
      </c>
      <c r="E9270" t="s">
        <v>26</v>
      </c>
    </row>
    <row r="9271" spans="1:5" x14ac:dyDescent="0.25">
      <c r="A9271" t="str">
        <f>HYPERLINK("https://www.773grp.com/globalSearch/NCP302LSN17T1/page-1", "NCP302LSN17T1")</f>
        <v>NCP302LSN17T1</v>
      </c>
      <c r="B9271" s="3" t="str">
        <f>HYPERLINK("https://www.773grp.com/manufacturer/onsemi?pageNo=1182", "Onsemi")</f>
        <v>Onsemi</v>
      </c>
      <c r="C9271" s="6">
        <v>20430</v>
      </c>
      <c r="D9271" s="7">
        <v>1.06</v>
      </c>
      <c r="E9271" t="s">
        <v>26</v>
      </c>
    </row>
    <row r="9272" spans="1:5" x14ac:dyDescent="0.25">
      <c r="A9272" t="str">
        <f>HYPERLINK("https://www.773grp.com/globalSearch/NCP302LSN19T1/page-1", "NCP302LSN19T1")</f>
        <v>NCP302LSN19T1</v>
      </c>
      <c r="B9272" s="3" t="str">
        <f>HYPERLINK("https://www.773grp.com/manufacturer/onsemi?pageNo=1183", "Onsemi")</f>
        <v>Onsemi</v>
      </c>
      <c r="C9272" s="6">
        <v>14950</v>
      </c>
      <c r="D9272" s="7">
        <v>1.06</v>
      </c>
      <c r="E9272" t="s">
        <v>26</v>
      </c>
    </row>
    <row r="9273" spans="1:5" x14ac:dyDescent="0.25">
      <c r="A9273" t="str">
        <f>HYPERLINK("https://www.773grp.com/globalSearch/NCP302LSN21T1/page-1", "NCP302LSN21T1")</f>
        <v>NCP302LSN21T1</v>
      </c>
      <c r="B9273" s="3" t="str">
        <f>HYPERLINK("https://www.773grp.com/manufacturer/onsemi?pageNo=1184", "Onsemi")</f>
        <v>Onsemi</v>
      </c>
      <c r="C9273" s="6">
        <v>10430</v>
      </c>
      <c r="D9273" s="7">
        <v>1.06</v>
      </c>
      <c r="E9273" t="s">
        <v>26</v>
      </c>
    </row>
    <row r="9274" spans="1:5" x14ac:dyDescent="0.25">
      <c r="A9274" t="str">
        <f>HYPERLINK("https://www.773grp.com/globalSearch/NCP302LSN22T1/page-1", "NCP302LSN22T1")</f>
        <v>NCP302LSN22T1</v>
      </c>
      <c r="B9274" s="3" t="str">
        <f>HYPERLINK("https://www.773grp.com/manufacturer/onsemi?pageNo=1185", "Onsemi")</f>
        <v>Onsemi</v>
      </c>
      <c r="C9274" s="6">
        <v>9930</v>
      </c>
      <c r="D9274" s="7">
        <v>1.06</v>
      </c>
      <c r="E9274" t="s">
        <v>26</v>
      </c>
    </row>
    <row r="9275" spans="1:5" x14ac:dyDescent="0.25">
      <c r="A9275" t="str">
        <f>HYPERLINK("https://www.773grp.com/globalSearch/NCP302LSN23T1/page-1", "NCP302LSN23T1")</f>
        <v>NCP302LSN23T1</v>
      </c>
      <c r="B9275" s="3" t="str">
        <f>HYPERLINK("https://www.773grp.com/manufacturer/onsemi?pageNo=1186", "Onsemi")</f>
        <v>Onsemi</v>
      </c>
      <c r="C9275" s="6">
        <v>9850</v>
      </c>
      <c r="D9275" s="7">
        <v>1.06</v>
      </c>
      <c r="E9275" t="s">
        <v>26</v>
      </c>
    </row>
    <row r="9276" spans="1:5" x14ac:dyDescent="0.25">
      <c r="A9276" t="str">
        <f>HYPERLINK("https://www.773grp.com/globalSearch/NCP302LSN24T1/page-1", "NCP302LSN24T1")</f>
        <v>NCP302LSN24T1</v>
      </c>
      <c r="B9276" s="3" t="str">
        <f>HYPERLINK("https://www.773grp.com/manufacturer/onsemi?pageNo=1187", "Onsemi")</f>
        <v>Onsemi</v>
      </c>
      <c r="C9276" s="6">
        <v>15350</v>
      </c>
      <c r="D9276" s="7">
        <v>1.06</v>
      </c>
      <c r="E9276" t="s">
        <v>26</v>
      </c>
    </row>
    <row r="9277" spans="1:5" x14ac:dyDescent="0.25">
      <c r="A9277" t="str">
        <f>HYPERLINK("https://www.773grp.com/globalSearch/NCP302LSN25T1/page-1", "NCP302LSN25T1")</f>
        <v>NCP302LSN25T1</v>
      </c>
      <c r="B9277" s="3" t="str">
        <f>HYPERLINK("https://www.773grp.com/manufacturer/onsemi?pageNo=1188", "Onsemi")</f>
        <v>Onsemi</v>
      </c>
      <c r="C9277" s="6">
        <v>15300</v>
      </c>
      <c r="D9277" s="7">
        <v>1.06</v>
      </c>
      <c r="E9277" t="s">
        <v>26</v>
      </c>
    </row>
    <row r="9278" spans="1:5" x14ac:dyDescent="0.25">
      <c r="A9278" t="str">
        <f>HYPERLINK("https://www.773grp.com/globalSearch/NCP302LSN26T1/page-1", "NCP302LSN26T1")</f>
        <v>NCP302LSN26T1</v>
      </c>
      <c r="B9278" s="3" t="str">
        <f>HYPERLINK("https://www.773grp.com/manufacturer/onsemi?pageNo=1189", "Onsemi")</f>
        <v>Onsemi</v>
      </c>
      <c r="C9278" s="6">
        <v>10350</v>
      </c>
      <c r="D9278" s="7">
        <v>1.06</v>
      </c>
      <c r="E9278" t="s">
        <v>26</v>
      </c>
    </row>
    <row r="9279" spans="1:5" x14ac:dyDescent="0.25">
      <c r="A9279" t="str">
        <f>HYPERLINK("https://www.773grp.com/globalSearch/NCP302LSN28T1/page-1", "NCP302LSN28T1")</f>
        <v>NCP302LSN28T1</v>
      </c>
      <c r="B9279" s="3" t="str">
        <f>HYPERLINK("https://www.773grp.com/manufacturer/onsemi?pageNo=1190", "Onsemi")</f>
        <v>Onsemi</v>
      </c>
      <c r="C9279" s="6">
        <v>8150</v>
      </c>
      <c r="D9279" s="7">
        <v>1.06</v>
      </c>
      <c r="E9279" t="s">
        <v>26</v>
      </c>
    </row>
    <row r="9280" spans="1:5" x14ac:dyDescent="0.25">
      <c r="A9280" t="str">
        <f>HYPERLINK("https://www.773grp.com/globalSearch/NCP302LSN29T1/page-1", "NCP302LSN29T1")</f>
        <v>NCP302LSN29T1</v>
      </c>
      <c r="B9280" s="3" t="str">
        <f>HYPERLINK("https://www.773grp.com/manufacturer/onsemi?pageNo=1191", "Onsemi")</f>
        <v>Onsemi</v>
      </c>
      <c r="C9280" s="6">
        <v>8250</v>
      </c>
      <c r="D9280" s="7">
        <v>1.06</v>
      </c>
      <c r="E9280" t="s">
        <v>26</v>
      </c>
    </row>
    <row r="9281" spans="1:5" x14ac:dyDescent="0.25">
      <c r="A9281" t="str">
        <f>HYPERLINK("https://www.773grp.com/globalSearch/NCP302LSN31T1/page-1", "NCP302LSN31T1")</f>
        <v>NCP302LSN31T1</v>
      </c>
      <c r="B9281" s="3" t="str">
        <f>HYPERLINK("https://www.773grp.com/manufacturer/onsemi?pageNo=1192", "Onsemi")</f>
        <v>Onsemi</v>
      </c>
      <c r="C9281" s="6">
        <v>10950</v>
      </c>
      <c r="D9281" s="7">
        <v>1.06</v>
      </c>
      <c r="E9281" t="s">
        <v>26</v>
      </c>
    </row>
    <row r="9282" spans="1:5" x14ac:dyDescent="0.25">
      <c r="A9282" t="str">
        <f>HYPERLINK("https://www.773grp.com/globalSearch/NCP302LSN32T1/page-1", "NCP302LSN32T1")</f>
        <v>NCP302LSN32T1</v>
      </c>
      <c r="B9282" s="3" t="str">
        <f>HYPERLINK("https://www.773grp.com/manufacturer/onsemi?pageNo=1193", "Onsemi")</f>
        <v>Onsemi</v>
      </c>
      <c r="C9282" s="6">
        <v>10250</v>
      </c>
      <c r="D9282" s="7">
        <v>1.06</v>
      </c>
      <c r="E9282" t="s">
        <v>26</v>
      </c>
    </row>
    <row r="9283" spans="1:5" x14ac:dyDescent="0.25">
      <c r="A9283" t="str">
        <f>HYPERLINK("https://www.773grp.com/globalSearch/NCP302LSN34T1/page-1", "NCP302LSN34T1")</f>
        <v>NCP302LSN34T1</v>
      </c>
      <c r="B9283" s="3" t="str">
        <f>HYPERLINK("https://www.773grp.com/manufacturer/onsemi?pageNo=1194", "Onsemi")</f>
        <v>Onsemi</v>
      </c>
      <c r="C9283" s="6">
        <v>10350</v>
      </c>
      <c r="D9283" s="7">
        <v>1.06</v>
      </c>
      <c r="E9283" t="s">
        <v>26</v>
      </c>
    </row>
    <row r="9284" spans="1:5" x14ac:dyDescent="0.25">
      <c r="A9284" t="str">
        <f>HYPERLINK("https://www.773grp.com/globalSearch/NCP302LSN35T1/page-1", "NCP302LSN35T1")</f>
        <v>NCP302LSN35T1</v>
      </c>
      <c r="B9284" s="3" t="str">
        <f>HYPERLINK("https://www.773grp.com/manufacturer/onsemi?pageNo=1195", "Onsemi")</f>
        <v>Onsemi</v>
      </c>
      <c r="C9284" s="6">
        <v>15950</v>
      </c>
      <c r="D9284" s="7">
        <v>1.06</v>
      </c>
      <c r="E9284" t="s">
        <v>26</v>
      </c>
    </row>
    <row r="9285" spans="1:5" x14ac:dyDescent="0.25">
      <c r="A9285" t="str">
        <f>HYPERLINK("https://www.773grp.com/globalSearch/NCP302LSN36T1/page-1", "NCP302LSN36T1")</f>
        <v>NCP302LSN36T1</v>
      </c>
      <c r="B9285" s="3" t="str">
        <f>HYPERLINK("https://www.773grp.com/manufacturer/onsemi?pageNo=1196", "Onsemi")</f>
        <v>Onsemi</v>
      </c>
      <c r="C9285" s="6">
        <v>8950</v>
      </c>
      <c r="D9285" s="7">
        <v>1.06</v>
      </c>
      <c r="E9285" t="s">
        <v>26</v>
      </c>
    </row>
    <row r="9286" spans="1:5" x14ac:dyDescent="0.25">
      <c r="A9286" t="str">
        <f>HYPERLINK("https://www.773grp.com/globalSearch/NCP302LSN37T1/page-1", "NCP302LSN37T1")</f>
        <v>NCP302LSN37T1</v>
      </c>
      <c r="B9286" s="3" t="str">
        <f>HYPERLINK("https://www.773grp.com/manufacturer/onsemi?pageNo=1197", "Onsemi")</f>
        <v>Onsemi</v>
      </c>
      <c r="C9286" s="6">
        <v>16950</v>
      </c>
      <c r="D9286" s="7">
        <v>1.06</v>
      </c>
      <c r="E9286" t="s">
        <v>26</v>
      </c>
    </row>
    <row r="9287" spans="1:5" x14ac:dyDescent="0.25">
      <c r="A9287" t="str">
        <f>HYPERLINK("https://www.773grp.com/globalSearch/NCP302LSN39T1/page-1", "NCP302LSN39T1")</f>
        <v>NCP302LSN39T1</v>
      </c>
      <c r="B9287" s="3" t="str">
        <f>HYPERLINK("https://www.773grp.com/manufacturer/onsemi?pageNo=1198", "Onsemi")</f>
        <v>Onsemi</v>
      </c>
      <c r="C9287" s="6">
        <v>14400</v>
      </c>
      <c r="D9287" s="7">
        <v>1.06</v>
      </c>
      <c r="E9287" t="s">
        <v>26</v>
      </c>
    </row>
    <row r="9288" spans="1:5" x14ac:dyDescent="0.25">
      <c r="A9288" t="str">
        <f>HYPERLINK("https://www.773grp.com/globalSearch/NCP302LSN41T1/page-1", "NCP302LSN41T1")</f>
        <v>NCP302LSN41T1</v>
      </c>
      <c r="B9288" s="3" t="str">
        <f>HYPERLINK("https://www.773grp.com/manufacturer/onsemi?pageNo=1199", "Onsemi")</f>
        <v>Onsemi</v>
      </c>
      <c r="C9288" s="6">
        <v>15850</v>
      </c>
      <c r="D9288" s="7">
        <v>1.06</v>
      </c>
      <c r="E9288" t="s">
        <v>26</v>
      </c>
    </row>
    <row r="9289" spans="1:5" x14ac:dyDescent="0.25">
      <c r="A9289" t="str">
        <f>HYPERLINK("https://www.773grp.com/globalSearch/NCP302LSN42T1/page-1", "NCP302LSN42T1")</f>
        <v>NCP302LSN42T1</v>
      </c>
      <c r="B9289" s="3" t="str">
        <f>HYPERLINK("https://www.773grp.com/manufacturer/onsemi?pageNo=1200", "Onsemi")</f>
        <v>Onsemi</v>
      </c>
      <c r="C9289" s="6">
        <v>14800</v>
      </c>
      <c r="D9289" s="7">
        <v>1.06</v>
      </c>
      <c r="E9289" t="s">
        <v>26</v>
      </c>
    </row>
    <row r="9290" spans="1:5" x14ac:dyDescent="0.25">
      <c r="A9290" t="str">
        <f>HYPERLINK("https://www.773grp.com/globalSearch/NCP302LSN44T1/page-1", "NCP302LSN44T1")</f>
        <v>NCP302LSN44T1</v>
      </c>
      <c r="B9290" s="3" t="str">
        <f>HYPERLINK("https://www.773grp.com/manufacturer/onsemi?pageNo=1201", "Onsemi")</f>
        <v>Onsemi</v>
      </c>
      <c r="C9290" s="6">
        <v>2200</v>
      </c>
      <c r="D9290" s="7">
        <v>1.06</v>
      </c>
      <c r="E9290" t="s">
        <v>26</v>
      </c>
    </row>
    <row r="9291" spans="1:5" x14ac:dyDescent="0.25">
      <c r="A9291" t="str">
        <f>HYPERLINK("https://www.773grp.com/globalSearch/NCP302LSN46T1/page-1", "NCP302LSN46T1")</f>
        <v>NCP302LSN46T1</v>
      </c>
      <c r="B9291" s="3" t="str">
        <f>HYPERLINK("https://www.773grp.com/manufacturer/onsemi?pageNo=1202", "Onsemi")</f>
        <v>Onsemi</v>
      </c>
      <c r="C9291" s="6">
        <v>39116</v>
      </c>
      <c r="D9291" s="7">
        <v>1.06</v>
      </c>
      <c r="E9291" t="s">
        <v>26</v>
      </c>
    </row>
    <row r="9292" spans="1:5" x14ac:dyDescent="0.25">
      <c r="A9292" t="str">
        <f>HYPERLINK("https://www.773grp.com/globalSearch/NCP302LSN48T1/page-1", "NCP302LSN48T1")</f>
        <v>NCP302LSN48T1</v>
      </c>
      <c r="B9292" s="3" t="str">
        <f>HYPERLINK("https://www.773grp.com/manufacturer/onsemi?pageNo=1203", "Onsemi")</f>
        <v>Onsemi</v>
      </c>
      <c r="C9292" s="6">
        <v>45219</v>
      </c>
      <c r="D9292" s="7">
        <v>1.06</v>
      </c>
      <c r="E9292" t="s">
        <v>26</v>
      </c>
    </row>
    <row r="9293" spans="1:5" x14ac:dyDescent="0.25">
      <c r="A9293" t="str">
        <f>HYPERLINK("https://www.773grp.com/globalSearch/NCP302LSN49T1/page-1", "NCP302LSN49T1")</f>
        <v>NCP302LSN49T1</v>
      </c>
      <c r="B9293" s="3" t="str">
        <f>HYPERLINK("https://www.773grp.com/manufacturer/onsemi?pageNo=1204", "Onsemi")</f>
        <v>Onsemi</v>
      </c>
      <c r="C9293" s="6">
        <v>37816</v>
      </c>
      <c r="D9293" s="7">
        <v>1.06</v>
      </c>
      <c r="E9293" t="s">
        <v>26</v>
      </c>
    </row>
    <row r="9294" spans="1:5" x14ac:dyDescent="0.25">
      <c r="A9294" t="str">
        <f>HYPERLINK("https://www.773grp.com/globalSearch/NCP303LSN10T1/page-1", "NCP303LSN10T1")</f>
        <v>NCP303LSN10T1</v>
      </c>
      <c r="B9294" s="3" t="str">
        <f>HYPERLINK("https://www.773grp.com/manufacturer/onsemi?pageNo=1205", "Onsemi")</f>
        <v>Onsemi</v>
      </c>
      <c r="C9294" s="6">
        <v>4876</v>
      </c>
      <c r="D9294" s="7">
        <v>1.06</v>
      </c>
      <c r="E9294" t="s">
        <v>26</v>
      </c>
    </row>
    <row r="9295" spans="1:5" x14ac:dyDescent="0.25">
      <c r="A9295" t="str">
        <f>HYPERLINK("https://www.773grp.com/globalSearch/NCP303LSN12T1/page-1", "NCP303LSN12T1")</f>
        <v>NCP303LSN12T1</v>
      </c>
      <c r="B9295" s="3" t="str">
        <f>HYPERLINK("https://www.773grp.com/manufacturer/onsemi?pageNo=1206", "Onsemi")</f>
        <v>Onsemi</v>
      </c>
      <c r="C9295" s="6">
        <v>24625</v>
      </c>
      <c r="D9295" s="7">
        <v>1.06</v>
      </c>
      <c r="E9295" t="s">
        <v>26</v>
      </c>
    </row>
    <row r="9296" spans="1:5" x14ac:dyDescent="0.25">
      <c r="A9296" t="str">
        <f>HYPERLINK("https://www.773grp.com/globalSearch/NCP303LSN17T1/page-1", "NCP303LSN17T1")</f>
        <v>NCP303LSN17T1</v>
      </c>
      <c r="B9296" s="3" t="str">
        <f>HYPERLINK("https://www.773grp.com/manufacturer/onsemi?pageNo=1207", "Onsemi")</f>
        <v>Onsemi</v>
      </c>
      <c r="C9296" s="6">
        <v>16405</v>
      </c>
      <c r="D9296" s="7">
        <v>1.06</v>
      </c>
      <c r="E9296" t="s">
        <v>26</v>
      </c>
    </row>
    <row r="9297" spans="1:5" x14ac:dyDescent="0.25">
      <c r="A9297" t="str">
        <f>HYPERLINK("https://www.773grp.com/globalSearch/NCP303LSN19T1/page-1", "NCP303LSN19T1")</f>
        <v>NCP303LSN19T1</v>
      </c>
      <c r="B9297" s="3" t="str">
        <f>HYPERLINK("https://www.773grp.com/manufacturer/onsemi?pageNo=1208", "Onsemi")</f>
        <v>Onsemi</v>
      </c>
      <c r="C9297" s="6">
        <v>10450</v>
      </c>
      <c r="D9297" s="7">
        <v>1.06</v>
      </c>
      <c r="E9297" t="s">
        <v>26</v>
      </c>
    </row>
    <row r="9298" spans="1:5" x14ac:dyDescent="0.25">
      <c r="A9298" t="str">
        <f>HYPERLINK("https://www.773grp.com/globalSearch/NCP303LSN21T1/page-1", "NCP303LSN21T1")</f>
        <v>NCP303LSN21T1</v>
      </c>
      <c r="B9298" s="3" t="str">
        <f>HYPERLINK("https://www.773grp.com/manufacturer/onsemi?pageNo=1209", "Onsemi")</f>
        <v>Onsemi</v>
      </c>
      <c r="C9298" s="6">
        <v>8930</v>
      </c>
      <c r="D9298" s="7">
        <v>1.06</v>
      </c>
      <c r="E9298" t="s">
        <v>26</v>
      </c>
    </row>
    <row r="9299" spans="1:5" x14ac:dyDescent="0.25">
      <c r="A9299" t="str">
        <f>HYPERLINK("https://www.773grp.com/globalSearch/NCP303LSN35T1/page-1", "NCP303LSN35T1")</f>
        <v>NCP303LSN35T1</v>
      </c>
      <c r="B9299" s="3" t="str">
        <f>HYPERLINK("https://www.773grp.com/manufacturer/onsemi?pageNo=1210", "Onsemi")</f>
        <v>Onsemi</v>
      </c>
      <c r="C9299" s="6">
        <v>16930</v>
      </c>
      <c r="D9299" s="7">
        <v>1.06</v>
      </c>
      <c r="E9299" t="s">
        <v>26</v>
      </c>
    </row>
    <row r="9300" spans="1:5" x14ac:dyDescent="0.25">
      <c r="A9300" t="str">
        <f>HYPERLINK("https://www.773grp.com/globalSearch/NCP303LSN37T1/page-1", "NCP303LSN37T1")</f>
        <v>NCP303LSN37T1</v>
      </c>
      <c r="B9300" s="3" t="str">
        <f>HYPERLINK("https://www.773grp.com/manufacturer/onsemi?pageNo=1211", "Onsemi")</f>
        <v>Onsemi</v>
      </c>
      <c r="C9300" s="6">
        <v>16950</v>
      </c>
      <c r="D9300" s="7">
        <v>1.06</v>
      </c>
      <c r="E9300" t="s">
        <v>26</v>
      </c>
    </row>
    <row r="9301" spans="1:5" x14ac:dyDescent="0.25">
      <c r="A9301" t="str">
        <f>HYPERLINK("https://www.773grp.com/globalSearch/NCP303LSN39T1/page-1", "NCP303LSN39T1")</f>
        <v>NCP303LSN39T1</v>
      </c>
      <c r="B9301" s="3" t="str">
        <f>HYPERLINK("https://www.773grp.com/manufacturer/onsemi?pageNo=1212", "Onsemi")</f>
        <v>Onsemi</v>
      </c>
      <c r="C9301" s="6">
        <v>15950</v>
      </c>
      <c r="D9301" s="7">
        <v>1.06</v>
      </c>
      <c r="E9301" t="s">
        <v>26</v>
      </c>
    </row>
    <row r="9302" spans="1:5" x14ac:dyDescent="0.25">
      <c r="A9302" t="str">
        <f>HYPERLINK("https://www.773grp.com/globalSearch/NCP303LSN41T1/page-1", "NCP303LSN41T1")</f>
        <v>NCP303LSN41T1</v>
      </c>
      <c r="B9302" s="3" t="str">
        <f>HYPERLINK("https://www.773grp.com/manufacturer/onsemi?pageNo=1213", "Onsemi")</f>
        <v>Onsemi</v>
      </c>
      <c r="C9302" s="6">
        <v>15949</v>
      </c>
      <c r="D9302" s="7">
        <v>1.06</v>
      </c>
      <c r="E9302" t="s">
        <v>26</v>
      </c>
    </row>
    <row r="9303" spans="1:5" x14ac:dyDescent="0.25">
      <c r="A9303" t="str">
        <f>HYPERLINK("https://www.773grp.com/globalSearch/NCP303LSN43T1/page-1", "NCP303LSN43T1")</f>
        <v>NCP303LSN43T1</v>
      </c>
      <c r="B9303" s="3" t="str">
        <f>HYPERLINK("https://www.773grp.com/manufacturer/onsemi?pageNo=1214", "Onsemi")</f>
        <v>Onsemi</v>
      </c>
      <c r="C9303" s="6">
        <v>12264</v>
      </c>
      <c r="D9303" s="7">
        <v>1.06</v>
      </c>
      <c r="E9303" t="s">
        <v>26</v>
      </c>
    </row>
    <row r="9304" spans="1:5" x14ac:dyDescent="0.25">
      <c r="A9304" t="str">
        <f>HYPERLINK("https://www.773grp.com/globalSearch/NCP303LSN48T1/page-1", "NCP303LSN48T1")</f>
        <v>NCP303LSN48T1</v>
      </c>
      <c r="B9304" s="3" t="str">
        <f>HYPERLINK("https://www.773grp.com/manufacturer/onsemi?pageNo=1215", "Onsemi")</f>
        <v>Onsemi</v>
      </c>
      <c r="C9304" s="6">
        <v>18450</v>
      </c>
      <c r="D9304" s="7">
        <v>1.06</v>
      </c>
      <c r="E9304" t="s">
        <v>26</v>
      </c>
    </row>
    <row r="9305" spans="1:5" x14ac:dyDescent="0.25">
      <c r="A9305" t="str">
        <f>HYPERLINK("https://www.773grp.com/globalSearch/NCP304LSQ10T1/page-1", "NCP304LSQ10T1")</f>
        <v>NCP304LSQ10T1</v>
      </c>
      <c r="B9305" s="3" t="str">
        <f>HYPERLINK("https://www.773grp.com/manufacturer/onsemi?pageNo=1216", "Onsemi")</f>
        <v>Onsemi</v>
      </c>
      <c r="C9305" s="6">
        <v>22096</v>
      </c>
      <c r="D9305" s="7">
        <v>1.06</v>
      </c>
      <c r="E9305" t="s">
        <v>26</v>
      </c>
    </row>
    <row r="9306" spans="1:5" x14ac:dyDescent="0.25">
      <c r="A9306" t="str">
        <f>HYPERLINK("https://www.773grp.com/globalSearch/NCP304LSQ11T1/page-1", "NCP304LSQ11T1")</f>
        <v>NCP304LSQ11T1</v>
      </c>
      <c r="B9306" s="3" t="str">
        <f>HYPERLINK("https://www.773grp.com/manufacturer/onsemi?pageNo=1217", "Onsemi")</f>
        <v>Onsemi</v>
      </c>
      <c r="C9306" s="6">
        <v>20950</v>
      </c>
      <c r="D9306" s="7">
        <v>1.06</v>
      </c>
      <c r="E9306" t="s">
        <v>26</v>
      </c>
    </row>
    <row r="9307" spans="1:5" x14ac:dyDescent="0.25">
      <c r="A9307" t="str">
        <f>HYPERLINK("https://www.773grp.com/globalSearch/NCP304LSQ12T1/page-1", "NCP304LSQ12T1")</f>
        <v>NCP304LSQ12T1</v>
      </c>
      <c r="B9307" s="3" t="str">
        <f>HYPERLINK("https://www.773grp.com/manufacturer/onsemi?pageNo=1218", "Onsemi")</f>
        <v>Onsemi</v>
      </c>
      <c r="C9307" s="6">
        <v>21000</v>
      </c>
      <c r="D9307" s="7">
        <v>1.06</v>
      </c>
      <c r="E9307" t="s">
        <v>26</v>
      </c>
    </row>
    <row r="9308" spans="1:5" x14ac:dyDescent="0.25">
      <c r="A9308" t="str">
        <f>HYPERLINK("https://www.773grp.com/globalSearch/NCP304LSQ13T1/page-1", "NCP304LSQ13T1")</f>
        <v>NCP304LSQ13T1</v>
      </c>
      <c r="B9308" s="3" t="str">
        <f>HYPERLINK("https://www.773grp.com/manufacturer/onsemi?pageNo=1219", "Onsemi")</f>
        <v>Onsemi</v>
      </c>
      <c r="C9308" s="6">
        <v>17714</v>
      </c>
      <c r="D9308" s="7">
        <v>1.06</v>
      </c>
      <c r="E9308" t="s">
        <v>26</v>
      </c>
    </row>
    <row r="9309" spans="1:5" x14ac:dyDescent="0.25">
      <c r="A9309" t="str">
        <f>HYPERLINK("https://www.773grp.com/globalSearch/NCP304LSQ14T1/page-1", "NCP304LSQ14T1")</f>
        <v>NCP304LSQ14T1</v>
      </c>
      <c r="B9309" s="3" t="str">
        <f>HYPERLINK("https://www.773grp.com/manufacturer/onsemi?pageNo=1220", "Onsemi")</f>
        <v>Onsemi</v>
      </c>
      <c r="C9309" s="6">
        <v>20950</v>
      </c>
      <c r="D9309" s="7">
        <v>1.06</v>
      </c>
      <c r="E9309" t="s">
        <v>26</v>
      </c>
    </row>
    <row r="9310" spans="1:5" x14ac:dyDescent="0.25">
      <c r="A9310" t="str">
        <f>HYPERLINK("https://www.773grp.com/globalSearch/NCP304LSQ15T1/page-1", "NCP304LSQ15T1")</f>
        <v>NCP304LSQ15T1</v>
      </c>
      <c r="B9310" s="3" t="str">
        <f>HYPERLINK("https://www.773grp.com/manufacturer/onsemi?pageNo=1221", "Onsemi")</f>
        <v>Onsemi</v>
      </c>
      <c r="C9310" s="6">
        <v>43949</v>
      </c>
      <c r="D9310" s="7">
        <v>1.06</v>
      </c>
      <c r="E9310" t="s">
        <v>26</v>
      </c>
    </row>
    <row r="9311" spans="1:5" x14ac:dyDescent="0.25">
      <c r="A9311" t="str">
        <f>HYPERLINK("https://www.773grp.com/globalSearch/NCP304LSQ16T1/page-1", "NCP304LSQ16T1")</f>
        <v>NCP304LSQ16T1</v>
      </c>
      <c r="B9311" s="3" t="str">
        <f>HYPERLINK("https://www.773grp.com/manufacturer/onsemi?pageNo=1222", "Onsemi")</f>
        <v>Onsemi</v>
      </c>
      <c r="C9311" s="6">
        <v>19979</v>
      </c>
      <c r="D9311" s="7">
        <v>1.06</v>
      </c>
      <c r="E9311" t="s">
        <v>26</v>
      </c>
    </row>
    <row r="9312" spans="1:5" x14ac:dyDescent="0.25">
      <c r="A9312" t="str">
        <f>HYPERLINK("https://www.773grp.com/globalSearch/NCP304LSQ17T1/page-1", "NCP304LSQ17T1")</f>
        <v>NCP304LSQ17T1</v>
      </c>
      <c r="B9312" s="3" t="str">
        <f>HYPERLINK("https://www.773grp.com/manufacturer/onsemi?pageNo=1223", "Onsemi")</f>
        <v>Onsemi</v>
      </c>
      <c r="C9312" s="6">
        <v>20960</v>
      </c>
      <c r="D9312" s="7">
        <v>1.06</v>
      </c>
      <c r="E9312" t="s">
        <v>26</v>
      </c>
    </row>
    <row r="9313" spans="1:5" x14ac:dyDescent="0.25">
      <c r="A9313" t="str">
        <f>HYPERLINK("https://www.773grp.com/globalSearch/NCP304LSQ19T1/page-1", "NCP304LSQ19T1")</f>
        <v>NCP304LSQ19T1</v>
      </c>
      <c r="B9313" s="3" t="str">
        <f>HYPERLINK("https://www.773grp.com/manufacturer/onsemi?pageNo=1224", "Onsemi")</f>
        <v>Onsemi</v>
      </c>
      <c r="C9313" s="6">
        <v>18535</v>
      </c>
      <c r="D9313" s="7">
        <v>1.06</v>
      </c>
      <c r="E9313" t="s">
        <v>26</v>
      </c>
    </row>
    <row r="9314" spans="1:5" x14ac:dyDescent="0.25">
      <c r="A9314" t="str">
        <f>HYPERLINK("https://www.773grp.com/globalSearch/NCP304LSQ21T1/page-1", "NCP304LSQ21T1")</f>
        <v>NCP304LSQ21T1</v>
      </c>
      <c r="B9314" s="3" t="str">
        <f>HYPERLINK("https://www.773grp.com/manufacturer/onsemi?pageNo=1225", "Onsemi")</f>
        <v>Onsemi</v>
      </c>
      <c r="C9314" s="6">
        <v>14950</v>
      </c>
      <c r="D9314" s="7">
        <v>1.06</v>
      </c>
      <c r="E9314" t="s">
        <v>26</v>
      </c>
    </row>
    <row r="9315" spans="1:5" x14ac:dyDescent="0.25">
      <c r="A9315" t="str">
        <f>HYPERLINK("https://www.773grp.com/globalSearch/NCP304LSQ22T1/page-1", "NCP304LSQ22T1")</f>
        <v>NCP304LSQ22T1</v>
      </c>
      <c r="B9315" s="3" t="str">
        <f>HYPERLINK("https://www.773grp.com/manufacturer/onsemi?pageNo=1226", "Onsemi")</f>
        <v>Onsemi</v>
      </c>
      <c r="C9315" s="6">
        <v>25051</v>
      </c>
      <c r="D9315" s="7">
        <v>1.06</v>
      </c>
      <c r="E9315" t="s">
        <v>26</v>
      </c>
    </row>
    <row r="9316" spans="1:5" x14ac:dyDescent="0.25">
      <c r="A9316" t="str">
        <f>HYPERLINK("https://www.773grp.com/globalSearch/NCP304LSQ24T1/page-1", "NCP304LSQ24T1")</f>
        <v>NCP304LSQ24T1</v>
      </c>
      <c r="B9316" s="3" t="str">
        <f>HYPERLINK("https://www.773grp.com/manufacturer/onsemi?pageNo=1227", "Onsemi")</f>
        <v>Onsemi</v>
      </c>
      <c r="C9316" s="6">
        <v>25028</v>
      </c>
      <c r="D9316" s="7">
        <v>1.06</v>
      </c>
      <c r="E9316" t="s">
        <v>26</v>
      </c>
    </row>
    <row r="9317" spans="1:5" x14ac:dyDescent="0.25">
      <c r="A9317" t="str">
        <f>HYPERLINK("https://www.773grp.com/globalSearch/NCP304LSQ26T1/page-1", "NCP304LSQ26T1")</f>
        <v>NCP304LSQ26T1</v>
      </c>
      <c r="B9317" s="3" t="str">
        <f>HYPERLINK("https://www.773grp.com/manufacturer/onsemi?pageNo=1228", "Onsemi")</f>
        <v>Onsemi</v>
      </c>
      <c r="C9317" s="6">
        <v>24571</v>
      </c>
      <c r="D9317" s="7">
        <v>1.06</v>
      </c>
      <c r="E9317" t="s">
        <v>26</v>
      </c>
    </row>
    <row r="9318" spans="1:5" x14ac:dyDescent="0.25">
      <c r="A9318" t="str">
        <f>HYPERLINK("https://www.773grp.com/globalSearch/NCP304LSQ31T1/page-1", "NCP304LSQ31T1")</f>
        <v>NCP304LSQ31T1</v>
      </c>
      <c r="B9318" s="3" t="str">
        <f>HYPERLINK("https://www.773grp.com/manufacturer/onsemi?pageNo=1229", "Onsemi")</f>
        <v>Onsemi</v>
      </c>
      <c r="C9318" s="6">
        <v>25237</v>
      </c>
      <c r="D9318" s="7">
        <v>1.06</v>
      </c>
      <c r="E9318" t="s">
        <v>26</v>
      </c>
    </row>
    <row r="9319" spans="1:5" x14ac:dyDescent="0.25">
      <c r="A9319" t="str">
        <f>HYPERLINK("https://www.773grp.com/globalSearch/NCP304LSQ32T1/page-1", "NCP304LSQ32T1")</f>
        <v>NCP304LSQ32T1</v>
      </c>
      <c r="B9319" s="3" t="str">
        <f>HYPERLINK("https://www.773grp.com/manufacturer/onsemi?pageNo=1230", "Onsemi")</f>
        <v>Onsemi</v>
      </c>
      <c r="C9319" s="6">
        <v>23950</v>
      </c>
      <c r="D9319" s="7">
        <v>1.06</v>
      </c>
      <c r="E9319" t="s">
        <v>26</v>
      </c>
    </row>
    <row r="9320" spans="1:5" x14ac:dyDescent="0.25">
      <c r="A9320" t="str">
        <f>HYPERLINK("https://www.773grp.com/globalSearch/NCP304LSQ35T1/page-1", "NCP304LSQ35T1")</f>
        <v>NCP304LSQ35T1</v>
      </c>
      <c r="B9320" s="3" t="str">
        <f>HYPERLINK("https://www.773grp.com/manufacturer/onsemi?pageNo=1231", "Onsemi")</f>
        <v>Onsemi</v>
      </c>
      <c r="C9320" s="6">
        <v>21874</v>
      </c>
      <c r="D9320" s="7">
        <v>1.06</v>
      </c>
      <c r="E9320" t="s">
        <v>26</v>
      </c>
    </row>
    <row r="9321" spans="1:5" x14ac:dyDescent="0.25">
      <c r="A9321" t="str">
        <f>HYPERLINK("https://www.773grp.com/globalSearch/NCP304LSQ36T1/page-1", "NCP304LSQ36T1")</f>
        <v>NCP304LSQ36T1</v>
      </c>
      <c r="B9321" s="3" t="str">
        <f>HYPERLINK("https://www.773grp.com/manufacturer/onsemi?pageNo=1232", "Onsemi")</f>
        <v>Onsemi</v>
      </c>
      <c r="C9321" s="6">
        <v>4425</v>
      </c>
      <c r="D9321" s="7">
        <v>1.06</v>
      </c>
      <c r="E9321" t="s">
        <v>26</v>
      </c>
    </row>
    <row r="9322" spans="1:5" x14ac:dyDescent="0.25">
      <c r="A9322" t="str">
        <f>HYPERLINK("https://www.773grp.com/globalSearch/NCP304LSQ39T1/page-1", "NCP304LSQ39T1")</f>
        <v>NCP304LSQ39T1</v>
      </c>
      <c r="B9322" s="3" t="str">
        <f>HYPERLINK("https://www.773grp.com/manufacturer/onsemi?pageNo=1233", "Onsemi")</f>
        <v>Onsemi</v>
      </c>
      <c r="C9322" s="6">
        <v>24712</v>
      </c>
      <c r="D9322" s="7">
        <v>1.06</v>
      </c>
      <c r="E9322" t="s">
        <v>26</v>
      </c>
    </row>
    <row r="9323" spans="1:5" x14ac:dyDescent="0.25">
      <c r="A9323" t="str">
        <f>HYPERLINK("https://www.773grp.com/globalSearch/NCP304LSQ41T1/page-1", "NCP304LSQ41T1")</f>
        <v>NCP304LSQ41T1</v>
      </c>
      <c r="B9323" s="3" t="str">
        <f>HYPERLINK("https://www.773grp.com/manufacturer/onsemi?pageNo=1234", "Onsemi")</f>
        <v>Onsemi</v>
      </c>
      <c r="C9323" s="6">
        <v>24707</v>
      </c>
      <c r="D9323" s="7">
        <v>1.06</v>
      </c>
      <c r="E9323" t="s">
        <v>26</v>
      </c>
    </row>
    <row r="9324" spans="1:5" x14ac:dyDescent="0.25">
      <c r="A9324" t="str">
        <f>HYPERLINK("https://www.773grp.com/globalSearch/NCP304LSQ44T1/page-1", "NCP304LSQ44T1")</f>
        <v>NCP304LSQ44T1</v>
      </c>
      <c r="B9324" s="3" t="str">
        <f>HYPERLINK("https://www.773grp.com/manufacturer/onsemi?pageNo=1235", "Onsemi")</f>
        <v>Onsemi</v>
      </c>
      <c r="C9324" s="6">
        <v>24732</v>
      </c>
      <c r="D9324" s="7">
        <v>1.06</v>
      </c>
      <c r="E9324" t="s">
        <v>26</v>
      </c>
    </row>
    <row r="9325" spans="1:5" x14ac:dyDescent="0.25">
      <c r="A9325" t="str">
        <f>HYPERLINK("https://www.773grp.com/globalSearch/NCP304LSQ48T1/page-1", "NCP304LSQ48T1")</f>
        <v>NCP304LSQ48T1</v>
      </c>
      <c r="B9325" s="3" t="str">
        <f>HYPERLINK("https://www.773grp.com/manufacturer/onsemi?pageNo=1236", "Onsemi")</f>
        <v>Onsemi</v>
      </c>
      <c r="C9325" s="6">
        <v>22487</v>
      </c>
      <c r="D9325" s="7">
        <v>1.06</v>
      </c>
      <c r="E9325" t="s">
        <v>26</v>
      </c>
    </row>
    <row r="9326" spans="1:5" x14ac:dyDescent="0.25">
      <c r="A9326" t="str">
        <f>HYPERLINK("https://www.773grp.com/globalSearch/NCP304LSQ49T1/page-1", "NCP304LSQ49T1")</f>
        <v>NCP304LSQ49T1</v>
      </c>
      <c r="B9326" s="3" t="str">
        <f>HYPERLINK("https://www.773grp.com/manufacturer/onsemi?pageNo=1237", "Onsemi")</f>
        <v>Onsemi</v>
      </c>
      <c r="C9326" s="6">
        <v>25288</v>
      </c>
      <c r="D9326" s="7">
        <v>1.06</v>
      </c>
      <c r="E9326" t="s">
        <v>26</v>
      </c>
    </row>
    <row r="9327" spans="1:5" x14ac:dyDescent="0.25">
      <c r="A9327" t="str">
        <f>HYPERLINK("https://www.773grp.com/globalSearch/NCP305LSQ10T1/page-1", "NCP305LSQ10T1")</f>
        <v>NCP305LSQ10T1</v>
      </c>
      <c r="B9327" s="3" t="str">
        <f>HYPERLINK("https://www.773grp.com/manufacturer/onsemi?pageNo=1238", "Onsemi")</f>
        <v>Onsemi</v>
      </c>
      <c r="C9327" s="6">
        <v>21313</v>
      </c>
      <c r="D9327" s="7">
        <v>1.06</v>
      </c>
      <c r="E9327" t="s">
        <v>26</v>
      </c>
    </row>
    <row r="9328" spans="1:5" x14ac:dyDescent="0.25">
      <c r="A9328" t="str">
        <f>HYPERLINK("https://www.773grp.com/globalSearch/NCP305LSQ12T1/page-1", "NCP305LSQ12T1")</f>
        <v>NCP305LSQ12T1</v>
      </c>
      <c r="B9328" s="3" t="str">
        <f>HYPERLINK("https://www.773grp.com/manufacturer/onsemi?pageNo=1239", "Onsemi")</f>
        <v>Onsemi</v>
      </c>
      <c r="C9328" s="6">
        <v>22254</v>
      </c>
      <c r="D9328" s="7">
        <v>1.06</v>
      </c>
      <c r="E9328" t="s">
        <v>26</v>
      </c>
    </row>
    <row r="9329" spans="1:5" x14ac:dyDescent="0.25">
      <c r="A9329" t="str">
        <f>HYPERLINK("https://www.773grp.com/globalSearch/NCP305LSQ13T1/page-1", "NCP305LSQ13T1")</f>
        <v>NCP305LSQ13T1</v>
      </c>
      <c r="B9329" s="3" t="str">
        <f>HYPERLINK("https://www.773grp.com/manufacturer/onsemi?pageNo=1240", "Onsemi")</f>
        <v>Onsemi</v>
      </c>
      <c r="C9329" s="6">
        <v>21662</v>
      </c>
      <c r="D9329" s="7">
        <v>1.06</v>
      </c>
      <c r="E9329" t="s">
        <v>26</v>
      </c>
    </row>
    <row r="9330" spans="1:5" x14ac:dyDescent="0.25">
      <c r="A9330" t="str">
        <f>HYPERLINK("https://www.773grp.com/globalSearch/NCP305LSQ14T1/page-1", "NCP305LSQ14T1")</f>
        <v>NCP305LSQ14T1</v>
      </c>
      <c r="B9330" s="3" t="str">
        <f>HYPERLINK("https://www.773grp.com/manufacturer/onsemi?pageNo=1241", "Onsemi")</f>
        <v>Onsemi</v>
      </c>
      <c r="C9330" s="6">
        <v>23758</v>
      </c>
      <c r="D9330" s="7">
        <v>1.06</v>
      </c>
      <c r="E9330" t="s">
        <v>26</v>
      </c>
    </row>
    <row r="9331" spans="1:5" x14ac:dyDescent="0.25">
      <c r="A9331" t="str">
        <f>HYPERLINK("https://www.773grp.com/globalSearch/NCP305LSQ19T1/page-1", "NCP305LSQ19T1")</f>
        <v>NCP305LSQ19T1</v>
      </c>
      <c r="B9331" s="3" t="str">
        <f>HYPERLINK("https://www.773grp.com/manufacturer/onsemi?pageNo=1242", "Onsemi")</f>
        <v>Onsemi</v>
      </c>
      <c r="C9331" s="6">
        <v>10837</v>
      </c>
      <c r="D9331" s="7">
        <v>1.06</v>
      </c>
      <c r="E9331" t="s">
        <v>26</v>
      </c>
    </row>
    <row r="9332" spans="1:5" x14ac:dyDescent="0.25">
      <c r="A9332" t="str">
        <f>HYPERLINK("https://www.773grp.com/globalSearch/NCP305LSQ21T1/page-1", "NCP305LSQ21T1")</f>
        <v>NCP305LSQ21T1</v>
      </c>
      <c r="B9332" s="3" t="str">
        <f>HYPERLINK("https://www.773grp.com/manufacturer/onsemi?pageNo=1243", "Onsemi")</f>
        <v>Onsemi</v>
      </c>
      <c r="C9332" s="6">
        <v>24805</v>
      </c>
      <c r="D9332" s="7">
        <v>1.06</v>
      </c>
      <c r="E9332" t="s">
        <v>26</v>
      </c>
    </row>
    <row r="9333" spans="1:5" x14ac:dyDescent="0.25">
      <c r="A9333" t="str">
        <f>HYPERLINK("https://www.773grp.com/globalSearch/NCP305LSQ38T1/page-1", "NCP305LSQ38T1")</f>
        <v>NCP305LSQ38T1</v>
      </c>
      <c r="B9333" s="3" t="str">
        <f>HYPERLINK("https://www.773grp.com/manufacturer/onsemi?pageNo=1244", "Onsemi")</f>
        <v>Onsemi</v>
      </c>
      <c r="C9333" s="6">
        <v>22526</v>
      </c>
      <c r="D9333" s="7">
        <v>1.06</v>
      </c>
      <c r="E9333" t="s">
        <v>26</v>
      </c>
    </row>
    <row r="9334" spans="1:5" x14ac:dyDescent="0.25">
      <c r="A9334" t="str">
        <f>HYPERLINK("https://www.773grp.com/globalSearch/NCP305LSQ39T1/page-1", "NCP305LSQ39T1")</f>
        <v>NCP305LSQ39T1</v>
      </c>
      <c r="B9334" s="3" t="str">
        <f>HYPERLINK("https://www.773grp.com/manufacturer/onsemi?pageNo=1245", "Onsemi")</f>
        <v>Onsemi</v>
      </c>
      <c r="C9334" s="6">
        <v>23950</v>
      </c>
      <c r="D9334" s="7">
        <v>1.06</v>
      </c>
      <c r="E9334" t="s">
        <v>26</v>
      </c>
    </row>
    <row r="9335" spans="1:5" x14ac:dyDescent="0.25">
      <c r="A9335" t="str">
        <f>HYPERLINK("https://www.773grp.com/globalSearch/NCP305LSQ41T1/page-1", "NCP305LSQ41T1")</f>
        <v>NCP305LSQ41T1</v>
      </c>
      <c r="B9335" s="3" t="str">
        <f>HYPERLINK("https://www.773grp.com/manufacturer/onsemi?pageNo=1246", "Onsemi")</f>
        <v>Onsemi</v>
      </c>
      <c r="C9335" s="6">
        <v>23450</v>
      </c>
      <c r="D9335" s="7">
        <v>1.06</v>
      </c>
      <c r="E9335" t="s">
        <v>26</v>
      </c>
    </row>
    <row r="9336" spans="1:5" x14ac:dyDescent="0.25">
      <c r="A9336" t="str">
        <f>HYPERLINK("https://www.773grp.com/globalSearch/NCP305LSQ42T1/page-1", "NCP305LSQ42T1")</f>
        <v>NCP305LSQ42T1</v>
      </c>
      <c r="B9336" s="3" t="str">
        <f>HYPERLINK("https://www.773grp.com/manufacturer/onsemi?pageNo=1247", "Onsemi")</f>
        <v>Onsemi</v>
      </c>
      <c r="C9336" s="6">
        <v>221450</v>
      </c>
      <c r="D9336" s="7">
        <v>1.06</v>
      </c>
      <c r="E9336" t="s">
        <v>26</v>
      </c>
    </row>
    <row r="9337" spans="1:5" x14ac:dyDescent="0.25">
      <c r="A9337" t="str">
        <f>HYPERLINK("https://www.773grp.com/globalSearch/NCP305LSQ43T1/page-1", "NCP305LSQ43T1")</f>
        <v>NCP305LSQ43T1</v>
      </c>
      <c r="B9337" s="3" t="str">
        <f>HYPERLINK("https://www.773grp.com/manufacturer/onsemi?pageNo=1248", "Onsemi")</f>
        <v>Onsemi</v>
      </c>
      <c r="C9337" s="6">
        <v>24550</v>
      </c>
      <c r="D9337" s="7">
        <v>1.06</v>
      </c>
      <c r="E9337" t="s">
        <v>26</v>
      </c>
    </row>
    <row r="9338" spans="1:5" x14ac:dyDescent="0.25">
      <c r="A9338" t="str">
        <f>HYPERLINK("https://www.773grp.com/globalSearch/NCP305LSQ46T1/page-1", "NCP305LSQ46T1")</f>
        <v>NCP305LSQ46T1</v>
      </c>
      <c r="B9338" s="3" t="str">
        <f>HYPERLINK("https://www.773grp.com/manufacturer/onsemi?pageNo=1249", "Onsemi")</f>
        <v>Onsemi</v>
      </c>
      <c r="C9338" s="6">
        <v>23092</v>
      </c>
      <c r="D9338" s="7">
        <v>1.06</v>
      </c>
      <c r="E9338" t="s">
        <v>26</v>
      </c>
    </row>
    <row r="9339" spans="1:5" x14ac:dyDescent="0.25">
      <c r="A9339" t="str">
        <f>HYPERLINK("https://www.773grp.com/globalSearch/NCP305LSQ48T1/page-1", "NCP305LSQ48T1")</f>
        <v>NCP305LSQ48T1</v>
      </c>
      <c r="B9339" s="3" t="str">
        <f>HYPERLINK("https://www.773grp.com/manufacturer/onsemi?pageNo=1250", "Onsemi")</f>
        <v>Onsemi</v>
      </c>
      <c r="C9339" s="6">
        <v>21183</v>
      </c>
      <c r="D9339" s="7">
        <v>1.06</v>
      </c>
      <c r="E9339" t="s">
        <v>26</v>
      </c>
    </row>
    <row r="9340" spans="1:5" x14ac:dyDescent="0.25">
      <c r="A9340" t="str">
        <f>HYPERLINK("https://www.773grp.com/globalSearch/NCP33LSN10T1/page-1", "NCP33LSN10T1")</f>
        <v>NCP33LSN10T1</v>
      </c>
      <c r="B9340" s="3" t="str">
        <f>HYPERLINK("https://www.773grp.com/manufacturer/onsemi?pageNo=1251", "Onsemi")</f>
        <v>Onsemi</v>
      </c>
      <c r="C9340" s="6">
        <v>1000</v>
      </c>
      <c r="D9340" s="7">
        <v>1.06</v>
      </c>
    </row>
    <row r="9341" spans="1:5" x14ac:dyDescent="0.25">
      <c r="A9341" t="str">
        <f>HYPERLINK("https://www.773grp.com/globalSearch/NCP400FCT2G/page-1", "NCP400FCT2G")</f>
        <v>NCP400FCT2G</v>
      </c>
      <c r="B9341" s="3" t="str">
        <f>HYPERLINK("https://www.773grp.com/manufacturer/onsemi?pageNo=1252", "Onsemi")</f>
        <v>Onsemi</v>
      </c>
      <c r="C9341" s="6">
        <v>81000</v>
      </c>
      <c r="D9341" s="7">
        <v>1.06</v>
      </c>
      <c r="E9341" t="s">
        <v>15</v>
      </c>
    </row>
    <row r="9342" spans="1:5" x14ac:dyDescent="0.25">
      <c r="A9342" t="str">
        <f>HYPERLINK("https://www.773grp.com/globalSearch/NCP4586DMU14TCG/page-1", "NCP4586DMU14TCG")</f>
        <v>NCP4586DMU14TCG</v>
      </c>
      <c r="B9342" s="3" t="str">
        <f>HYPERLINK("https://www.773grp.com/manufacturer/onsemi?pageNo=1253", "Onsemi")</f>
        <v>Onsemi</v>
      </c>
      <c r="C9342" s="6">
        <v>260000</v>
      </c>
      <c r="D9342" s="7">
        <v>1.06</v>
      </c>
    </row>
    <row r="9343" spans="1:5" x14ac:dyDescent="0.25">
      <c r="A9343" t="str">
        <f>HYPERLINK("https://www.773grp.com/globalSearch/NCP4586DMU15TCG/page-1", "NCP4586DMU15TCG")</f>
        <v>NCP4586DMU15TCG</v>
      </c>
      <c r="B9343" s="3" t="str">
        <f>HYPERLINK("https://www.773grp.com/manufacturer/onsemi?pageNo=1254", "Onsemi")</f>
        <v>Onsemi</v>
      </c>
      <c r="C9343" s="6">
        <v>40000</v>
      </c>
      <c r="D9343" s="7">
        <v>1.06</v>
      </c>
    </row>
    <row r="9344" spans="1:5" x14ac:dyDescent="0.25">
      <c r="A9344" t="str">
        <f>HYPERLINK("https://www.773grp.com/globalSearch/NCP4586DMU18TCG/page-1", "NCP4586DMU18TCG")</f>
        <v>NCP4586DMU18TCG</v>
      </c>
      <c r="B9344" s="3" t="str">
        <f>HYPERLINK("https://www.773grp.com/manufacturer/onsemi?pageNo=1255", "Onsemi")</f>
        <v>Onsemi</v>
      </c>
      <c r="C9344" s="6">
        <v>19980</v>
      </c>
      <c r="D9344" s="7">
        <v>1.06</v>
      </c>
    </row>
    <row r="9345" spans="1:4" x14ac:dyDescent="0.25">
      <c r="A9345" t="str">
        <f>HYPERLINK("https://www.773grp.com/globalSearch/NCP4586DMU25TCG/page-1", "NCP4586DMU25TCG")</f>
        <v>NCP4586DMU25TCG</v>
      </c>
      <c r="B9345" s="3" t="str">
        <f>HYPERLINK("https://www.773grp.com/manufacturer/onsemi?pageNo=1256", "Onsemi")</f>
        <v>Onsemi</v>
      </c>
      <c r="C9345" s="6">
        <v>48000</v>
      </c>
      <c r="D9345" s="7">
        <v>1.06</v>
      </c>
    </row>
    <row r="9346" spans="1:4" x14ac:dyDescent="0.25">
      <c r="A9346" t="str">
        <f>HYPERLINK("https://www.773grp.com/globalSearch/NCP4586DMU30TCG/page-1", "NCP4586DMU30TCG")</f>
        <v>NCP4586DMU30TCG</v>
      </c>
      <c r="B9346" s="3" t="str">
        <f>HYPERLINK("https://www.773grp.com/manufacturer/onsemi?pageNo=1257", "Onsemi")</f>
        <v>Onsemi</v>
      </c>
      <c r="C9346" s="6">
        <v>20000</v>
      </c>
      <c r="D9346" s="7">
        <v>1.06</v>
      </c>
    </row>
    <row r="9347" spans="1:4" x14ac:dyDescent="0.25">
      <c r="A9347" t="str">
        <f>HYPERLINK("https://www.773grp.com/globalSearch/NCP4586DMU50TCG/page-1", "NCP4586DMU50TCG")</f>
        <v>NCP4586DMU50TCG</v>
      </c>
      <c r="B9347" s="3" t="str">
        <f>HYPERLINK("https://www.773grp.com/manufacturer/onsemi?pageNo=1258", "Onsemi")</f>
        <v>Onsemi</v>
      </c>
      <c r="C9347" s="6">
        <v>20000</v>
      </c>
      <c r="D9347" s="7">
        <v>1.06</v>
      </c>
    </row>
    <row r="9348" spans="1:4" x14ac:dyDescent="0.25">
      <c r="A9348" t="str">
        <f>HYPERLINK("https://www.773grp.com/globalSearch/NCP4586DSQ12T1G/page-1", "NCP4586DSQ12T1G")</f>
        <v>NCP4586DSQ12T1G</v>
      </c>
      <c r="B9348" s="3" t="str">
        <f>HYPERLINK("https://www.773grp.com/manufacturer/onsemi?pageNo=1259", "Onsemi")</f>
        <v>Onsemi</v>
      </c>
      <c r="C9348" s="6">
        <v>6000</v>
      </c>
      <c r="D9348" s="7">
        <v>1.06</v>
      </c>
    </row>
    <row r="9349" spans="1:4" x14ac:dyDescent="0.25">
      <c r="A9349" t="str">
        <f>HYPERLINK("https://www.773grp.com/globalSearch/NCP4586DSQ18T1G/page-1", "NCP4586DSQ18T1G")</f>
        <v>NCP4586DSQ18T1G</v>
      </c>
      <c r="B9349" s="3" t="str">
        <f>HYPERLINK("https://www.773grp.com/manufacturer/onsemi?pageNo=1260", "Onsemi")</f>
        <v>Onsemi</v>
      </c>
      <c r="C9349" s="6">
        <v>9000</v>
      </c>
      <c r="D9349" s="7">
        <v>1.06</v>
      </c>
    </row>
    <row r="9350" spans="1:4" x14ac:dyDescent="0.25">
      <c r="A9350" t="str">
        <f>HYPERLINK("https://www.773grp.com/globalSearch/NCP4586DSQ28T1G/page-1", "NCP4586DSQ28T1G")</f>
        <v>NCP4586DSQ28T1G</v>
      </c>
      <c r="B9350" s="3" t="str">
        <f>HYPERLINK("https://www.773grp.com/manufacturer/onsemi?pageNo=1261", "Onsemi")</f>
        <v>Onsemi</v>
      </c>
      <c r="C9350" s="6">
        <v>6000</v>
      </c>
      <c r="D9350" s="7">
        <v>1.06</v>
      </c>
    </row>
    <row r="9351" spans="1:4" x14ac:dyDescent="0.25">
      <c r="A9351" t="str">
        <f>HYPERLINK("https://www.773grp.com/globalSearch/NCP4586DSQ30T1G/page-1", "NCP4586DSQ30T1G")</f>
        <v>NCP4586DSQ30T1G</v>
      </c>
      <c r="B9351" s="3" t="str">
        <f>HYPERLINK("https://www.773grp.com/manufacturer/onsemi?pageNo=1262", "Onsemi")</f>
        <v>Onsemi</v>
      </c>
      <c r="C9351" s="6">
        <v>6000</v>
      </c>
      <c r="D9351" s="7">
        <v>1.06</v>
      </c>
    </row>
    <row r="9352" spans="1:4" x14ac:dyDescent="0.25">
      <c r="A9352" t="str">
        <f>HYPERLINK("https://www.773grp.com/globalSearch/NCP4586DSQ50T1G/page-1", "NCP4586DSQ50T1G")</f>
        <v>NCP4586DSQ50T1G</v>
      </c>
      <c r="B9352" s="3" t="str">
        <f>HYPERLINK("https://www.773grp.com/manufacturer/onsemi?pageNo=1263", "Onsemi")</f>
        <v>Onsemi</v>
      </c>
      <c r="C9352" s="6">
        <v>3000</v>
      </c>
      <c r="D9352" s="7">
        <v>1.06</v>
      </c>
    </row>
    <row r="9353" spans="1:4" x14ac:dyDescent="0.25">
      <c r="A9353" t="str">
        <f>HYPERLINK("https://www.773grp.com/globalSearch/NCP4680DSQ08T1G/page-1", "NCP4680DSQ08T1G")</f>
        <v>NCP4680DSQ08T1G</v>
      </c>
      <c r="B9353" s="3" t="str">
        <f>HYPERLINK("https://www.773grp.com/manufacturer/onsemi?pageNo=1264", "Onsemi")</f>
        <v>Onsemi</v>
      </c>
      <c r="C9353" s="6">
        <v>6000</v>
      </c>
      <c r="D9353" s="7">
        <v>1.06</v>
      </c>
    </row>
    <row r="9354" spans="1:4" x14ac:dyDescent="0.25">
      <c r="A9354" t="str">
        <f>HYPERLINK("https://www.773grp.com/globalSearch/NCP4680DSQ09T1G/page-1", "NCP4680DSQ09T1G")</f>
        <v>NCP4680DSQ09T1G</v>
      </c>
      <c r="B9354" s="3" t="str">
        <f>HYPERLINK("https://www.773grp.com/manufacturer/onsemi?pageNo=1265", "Onsemi")</f>
        <v>Onsemi</v>
      </c>
      <c r="C9354" s="6">
        <v>9000</v>
      </c>
      <c r="D9354" s="7">
        <v>1.06</v>
      </c>
    </row>
    <row r="9355" spans="1:4" x14ac:dyDescent="0.25">
      <c r="A9355" t="str">
        <f>HYPERLINK("https://www.773grp.com/globalSearch/NCP4680DSQ12T1G/page-1", "NCP4680DSQ12T1G")</f>
        <v>NCP4680DSQ12T1G</v>
      </c>
      <c r="B9355" s="3" t="str">
        <f>HYPERLINK("https://www.773grp.com/manufacturer/onsemi?pageNo=1266", "Onsemi")</f>
        <v>Onsemi</v>
      </c>
      <c r="C9355" s="6">
        <v>3000</v>
      </c>
      <c r="D9355" s="7">
        <v>1.06</v>
      </c>
    </row>
    <row r="9356" spans="1:4" x14ac:dyDescent="0.25">
      <c r="A9356" t="str">
        <f>HYPERLINK("https://www.773grp.com/globalSearch/NCP4680DSQ15T1G/page-1", "NCP4680DSQ15T1G")</f>
        <v>NCP4680DSQ15T1G</v>
      </c>
      <c r="B9356" s="3" t="str">
        <f>HYPERLINK("https://www.773grp.com/manufacturer/onsemi?pageNo=1267", "Onsemi")</f>
        <v>Onsemi</v>
      </c>
      <c r="C9356" s="6">
        <v>9000</v>
      </c>
      <c r="D9356" s="7">
        <v>1.06</v>
      </c>
    </row>
    <row r="9357" spans="1:4" x14ac:dyDescent="0.25">
      <c r="A9357" t="str">
        <f>HYPERLINK("https://www.773grp.com/globalSearch/NCP4680DSQ18T1G/page-1", "NCP4680DSQ18T1G")</f>
        <v>NCP4680DSQ18T1G</v>
      </c>
      <c r="B9357" s="3" t="str">
        <f>HYPERLINK("https://www.773grp.com/manufacturer/onsemi?pageNo=1268", "Onsemi")</f>
        <v>Onsemi</v>
      </c>
      <c r="C9357" s="6">
        <v>3000</v>
      </c>
      <c r="D9357" s="7">
        <v>1.06</v>
      </c>
    </row>
    <row r="9358" spans="1:4" x14ac:dyDescent="0.25">
      <c r="A9358" t="str">
        <f>HYPERLINK("https://www.773grp.com/globalSearch/NCP4680DSQ28T1G/page-1", "NCP4680DSQ28T1G")</f>
        <v>NCP4680DSQ28T1G</v>
      </c>
      <c r="B9358" s="3" t="str">
        <f>HYPERLINK("https://www.773grp.com/manufacturer/onsemi?pageNo=1269", "Onsemi")</f>
        <v>Onsemi</v>
      </c>
      <c r="C9358" s="6">
        <v>9000</v>
      </c>
      <c r="D9358" s="7">
        <v>1.06</v>
      </c>
    </row>
    <row r="9359" spans="1:4" x14ac:dyDescent="0.25">
      <c r="A9359" t="str">
        <f>HYPERLINK("https://www.773grp.com/globalSearch/NCP4680DSQ30T1G/page-1", "NCP4680DSQ30T1G")</f>
        <v>NCP4680DSQ30T1G</v>
      </c>
      <c r="B9359" s="3" t="str">
        <f>HYPERLINK("https://www.773grp.com/manufacturer/onsemi?pageNo=1270", "Onsemi")</f>
        <v>Onsemi</v>
      </c>
      <c r="C9359" s="6">
        <v>9000</v>
      </c>
      <c r="D9359" s="7">
        <v>1.06</v>
      </c>
    </row>
    <row r="9360" spans="1:4" x14ac:dyDescent="0.25">
      <c r="A9360" t="str">
        <f>HYPERLINK("https://www.773grp.com/globalSearch/NCP4680DSQ33T1G/page-1", "NCP4680DSQ33T1G")</f>
        <v>NCP4680DSQ33T1G</v>
      </c>
      <c r="B9360" s="3" t="str">
        <f>HYPERLINK("https://www.773grp.com/manufacturer/onsemi?pageNo=1271", "Onsemi")</f>
        <v>Onsemi</v>
      </c>
      <c r="C9360" s="6">
        <v>6000</v>
      </c>
      <c r="D9360" s="7">
        <v>1.06</v>
      </c>
    </row>
    <row r="9361" spans="1:5" x14ac:dyDescent="0.25">
      <c r="A9361" t="str">
        <f>HYPERLINK("https://www.773grp.com/globalSearch/NCP4681DSQ25T1G/page-1", "NCP4681DSQ25T1G")</f>
        <v>NCP4681DSQ25T1G</v>
      </c>
      <c r="B9361" s="3" t="str">
        <f>HYPERLINK("https://www.773grp.com/manufacturer/onsemi?pageNo=1272", "Onsemi")</f>
        <v>Onsemi</v>
      </c>
      <c r="C9361" s="6">
        <v>9000</v>
      </c>
      <c r="D9361" s="7">
        <v>1.06</v>
      </c>
    </row>
    <row r="9362" spans="1:5" x14ac:dyDescent="0.25">
      <c r="A9362" t="str">
        <f>HYPERLINK("https://www.773grp.com/globalSearch/NCP4681DSQ28T1G/page-1", "NCP4681DSQ28T1G")</f>
        <v>NCP4681DSQ28T1G</v>
      </c>
      <c r="B9362" s="3" t="str">
        <f>HYPERLINK("https://www.773grp.com/manufacturer/onsemi?pageNo=1273", "Onsemi")</f>
        <v>Onsemi</v>
      </c>
      <c r="C9362" s="6">
        <v>6000</v>
      </c>
      <c r="D9362" s="7">
        <v>1.06</v>
      </c>
    </row>
    <row r="9363" spans="1:5" x14ac:dyDescent="0.25">
      <c r="A9363" t="str">
        <f>HYPERLINK("https://www.773grp.com/globalSearch/NCP4681DSQ33T1G/page-1", "NCP4681DSQ33T1G")</f>
        <v>NCP4681DSQ33T1G</v>
      </c>
      <c r="B9363" s="3" t="str">
        <f>HYPERLINK("https://www.773grp.com/manufacturer/onsemi?pageNo=1274", "Onsemi")</f>
        <v>Onsemi</v>
      </c>
      <c r="C9363" s="6">
        <v>9000</v>
      </c>
      <c r="D9363" s="7">
        <v>1.06</v>
      </c>
    </row>
    <row r="9364" spans="1:5" x14ac:dyDescent="0.25">
      <c r="A9364" t="str">
        <f>HYPERLINK("https://www.773grp.com/globalSearch/NCP4682DSQ15T1G/page-1", "NCP4682DSQ15T1G")</f>
        <v>NCP4682DSQ15T1G</v>
      </c>
      <c r="B9364" s="3" t="str">
        <f>HYPERLINK("https://www.773grp.com/manufacturer/onsemi?pageNo=1275", "Onsemi")</f>
        <v>Onsemi</v>
      </c>
      <c r="C9364" s="6">
        <v>3000</v>
      </c>
      <c r="D9364" s="7">
        <v>1.06</v>
      </c>
    </row>
    <row r="9365" spans="1:5" x14ac:dyDescent="0.25">
      <c r="A9365" t="str">
        <f>HYPERLINK("https://www.773grp.com/globalSearch/NCP4682DSQ18T1G/page-1", "NCP4682DSQ18T1G")</f>
        <v>NCP4682DSQ18T1G</v>
      </c>
      <c r="B9365" s="3" t="str">
        <f>HYPERLINK("https://www.773grp.com/manufacturer/onsemi?pageNo=1276", "Onsemi")</f>
        <v>Onsemi</v>
      </c>
      <c r="C9365" s="6">
        <v>3000</v>
      </c>
      <c r="D9365" s="7">
        <v>1.06</v>
      </c>
    </row>
    <row r="9366" spans="1:5" x14ac:dyDescent="0.25">
      <c r="A9366" t="str">
        <f>HYPERLINK("https://www.773grp.com/globalSearch/NCP4682DSQ25T1G/page-1", "NCP4682DSQ25T1G")</f>
        <v>NCP4682DSQ25T1G</v>
      </c>
      <c r="B9366" s="3" t="str">
        <f>HYPERLINK("https://www.773grp.com/manufacturer/onsemi?pageNo=1277", "Onsemi")</f>
        <v>Onsemi</v>
      </c>
      <c r="C9366" s="6">
        <v>6000</v>
      </c>
      <c r="D9366" s="7">
        <v>1.06</v>
      </c>
    </row>
    <row r="9367" spans="1:5" x14ac:dyDescent="0.25">
      <c r="A9367" t="str">
        <f>HYPERLINK("https://www.773grp.com/globalSearch/NCP4682DSQ28T1G/page-1", "NCP4682DSQ28T1G")</f>
        <v>NCP4682DSQ28T1G</v>
      </c>
      <c r="B9367" s="3" t="str">
        <f>HYPERLINK("https://www.773grp.com/manufacturer/onsemi?pageNo=1278", "Onsemi")</f>
        <v>Onsemi</v>
      </c>
      <c r="C9367" s="6">
        <v>9000</v>
      </c>
      <c r="D9367" s="7">
        <v>1.06</v>
      </c>
    </row>
    <row r="9368" spans="1:5" x14ac:dyDescent="0.25">
      <c r="A9368" t="str">
        <f>HYPERLINK("https://www.773grp.com/globalSearch/NCP4685ESQ25T1G/page-1", "NCP4685ESQ25T1G")</f>
        <v>NCP4685ESQ25T1G</v>
      </c>
      <c r="B9368" s="3" t="str">
        <f>HYPERLINK("https://www.773grp.com/manufacturer/onsemi?pageNo=1279", "Onsemi")</f>
        <v>Onsemi</v>
      </c>
      <c r="C9368" s="6">
        <v>6000</v>
      </c>
      <c r="D9368" s="7">
        <v>1.06</v>
      </c>
    </row>
    <row r="9369" spans="1:5" x14ac:dyDescent="0.25">
      <c r="A9369" t="str">
        <f>HYPERLINK("https://www.773grp.com/globalSearch/NCP4685ESQ33T1G/page-1", "NCP4685ESQ33T1G")</f>
        <v>NCP4685ESQ33T1G</v>
      </c>
      <c r="B9369" s="3" t="str">
        <f>HYPERLINK("https://www.773grp.com/manufacturer/onsemi?pageNo=1280", "Onsemi")</f>
        <v>Onsemi</v>
      </c>
      <c r="C9369" s="6">
        <v>5989</v>
      </c>
      <c r="D9369" s="7">
        <v>1.06</v>
      </c>
    </row>
    <row r="9370" spans="1:5" x14ac:dyDescent="0.25">
      <c r="A9370" t="str">
        <f>HYPERLINK("https://www.773grp.com/globalSearch/NCP500SQL25T1G/page-1", "NCP500SQL25T1G")</f>
        <v>NCP500SQL25T1G</v>
      </c>
      <c r="B9370" s="3" t="str">
        <f>HYPERLINK("https://www.773grp.com/manufacturer/onsemi?pageNo=1281", "Onsemi")</f>
        <v>Onsemi</v>
      </c>
      <c r="C9370" s="6">
        <v>3000</v>
      </c>
      <c r="D9370" s="7">
        <v>1.06</v>
      </c>
    </row>
    <row r="9371" spans="1:5" x14ac:dyDescent="0.25">
      <c r="A9371" t="str">
        <f>HYPERLINK("https://www.773grp.com/globalSearch/NCP500SQL27T1G/page-1", "NCP500SQL27T1G")</f>
        <v>NCP500SQL27T1G</v>
      </c>
      <c r="B9371" s="3" t="str">
        <f>HYPERLINK("https://www.773grp.com/manufacturer/onsemi?pageNo=1282", "Onsemi")</f>
        <v>Onsemi</v>
      </c>
      <c r="C9371" s="6">
        <v>6000</v>
      </c>
      <c r="D9371" s="7">
        <v>1.06</v>
      </c>
      <c r="E9371" t="s">
        <v>15</v>
      </c>
    </row>
    <row r="9372" spans="1:5" x14ac:dyDescent="0.25">
      <c r="A9372" t="str">
        <f>HYPERLINK("https://www.773grp.com/globalSearch/NCP500SQL28T1G/page-1", "NCP500SQL28T1G")</f>
        <v>NCP500SQL28T1G</v>
      </c>
      <c r="B9372" s="3" t="str">
        <f>HYPERLINK("https://www.773grp.com/manufacturer/onsemi?pageNo=1283", "Onsemi")</f>
        <v>Onsemi</v>
      </c>
      <c r="C9372" s="6">
        <v>15000</v>
      </c>
      <c r="D9372" s="7">
        <v>1.06</v>
      </c>
      <c r="E9372" t="s">
        <v>15</v>
      </c>
    </row>
    <row r="9373" spans="1:5" x14ac:dyDescent="0.25">
      <c r="A9373" t="str">
        <f>HYPERLINK("https://www.773grp.com/globalSearch/NCP500SQL30T1G/page-1", "NCP500SQL30T1G")</f>
        <v>NCP500SQL30T1G</v>
      </c>
      <c r="B9373" s="3" t="str">
        <f>HYPERLINK("https://www.773grp.com/manufacturer/onsemi?pageNo=1284", "Onsemi")</f>
        <v>Onsemi</v>
      </c>
      <c r="C9373" s="6">
        <v>6000</v>
      </c>
      <c r="D9373" s="7">
        <v>1.06</v>
      </c>
      <c r="E9373" t="s">
        <v>15</v>
      </c>
    </row>
    <row r="9374" spans="1:5" x14ac:dyDescent="0.25">
      <c r="A9374" t="str">
        <f>HYPERLINK("https://www.773grp.com/globalSearch/NCP502SQ15T2G/page-1", "NCP502SQ15T2G")</f>
        <v>NCP502SQ15T2G</v>
      </c>
      <c r="B9374" s="3" t="str">
        <f>HYPERLINK("https://www.773grp.com/manufacturer/onsemi?pageNo=1285", "Onsemi")</f>
        <v>Onsemi</v>
      </c>
      <c r="C9374" s="6">
        <v>3000</v>
      </c>
      <c r="D9374" s="7">
        <v>1.06</v>
      </c>
    </row>
    <row r="9375" spans="1:5" x14ac:dyDescent="0.25">
      <c r="A9375" t="str">
        <f>HYPERLINK("https://www.773grp.com/globalSearch/NCP502SQ18T2G/page-1", "NCP502SQ18T2G")</f>
        <v>NCP502SQ18T2G</v>
      </c>
      <c r="B9375" s="3" t="str">
        <f>HYPERLINK("https://www.773grp.com/manufacturer/onsemi?pageNo=1286", "Onsemi")</f>
        <v>Onsemi</v>
      </c>
      <c r="C9375" s="6">
        <v>3000</v>
      </c>
      <c r="D9375" s="7">
        <v>1.06</v>
      </c>
    </row>
    <row r="9376" spans="1:5" x14ac:dyDescent="0.25">
      <c r="A9376" t="str">
        <f>HYPERLINK("https://www.773grp.com/globalSearch/NCP502SQ25T2G/page-1", "NCP502SQ25T2G")</f>
        <v>NCP502SQ25T2G</v>
      </c>
      <c r="B9376" s="3" t="str">
        <f>HYPERLINK("https://www.773grp.com/manufacturer/onsemi?pageNo=1287", "Onsemi")</f>
        <v>Onsemi</v>
      </c>
      <c r="C9376" s="6">
        <v>9000</v>
      </c>
      <c r="D9376" s="7">
        <v>1.06</v>
      </c>
    </row>
    <row r="9377" spans="1:5" x14ac:dyDescent="0.25">
      <c r="A9377" t="str">
        <f>HYPERLINK("https://www.773grp.com/globalSearch/NCP502SQ27T2G/page-1", "NCP502SQ27T2G")</f>
        <v>NCP502SQ27T2G</v>
      </c>
      <c r="B9377" s="3" t="str">
        <f>HYPERLINK("https://www.773grp.com/manufacturer/onsemi?pageNo=1288", "Onsemi")</f>
        <v>Onsemi</v>
      </c>
      <c r="C9377" s="6">
        <v>3000</v>
      </c>
      <c r="D9377" s="7">
        <v>1.06</v>
      </c>
    </row>
    <row r="9378" spans="1:5" x14ac:dyDescent="0.25">
      <c r="A9378" t="str">
        <f>HYPERLINK("https://www.773grp.com/globalSearch/NCP502SQ29T1G/page-1", "NCP502SQ29T1G")</f>
        <v>NCP502SQ29T1G</v>
      </c>
      <c r="B9378" s="3" t="str">
        <f>HYPERLINK("https://www.773grp.com/manufacturer/onsemi?pageNo=1289", "Onsemi")</f>
        <v>Onsemi</v>
      </c>
      <c r="C9378" s="6">
        <v>3000</v>
      </c>
      <c r="D9378" s="7">
        <v>1.06</v>
      </c>
      <c r="E9378" t="s">
        <v>15</v>
      </c>
    </row>
    <row r="9379" spans="1:5" x14ac:dyDescent="0.25">
      <c r="A9379" t="str">
        <f>HYPERLINK("https://www.773grp.com/globalSearch/NCP502SQ29T2G/page-1", "NCP502SQ29T2G")</f>
        <v>NCP502SQ29T2G</v>
      </c>
      <c r="B9379" s="3" t="str">
        <f>HYPERLINK("https://www.773grp.com/manufacturer/onsemi?pageNo=1290", "Onsemi")</f>
        <v>Onsemi</v>
      </c>
      <c r="C9379" s="6">
        <v>3000</v>
      </c>
      <c r="D9379" s="7">
        <v>1.06</v>
      </c>
    </row>
    <row r="9380" spans="1:5" x14ac:dyDescent="0.25">
      <c r="A9380" t="str">
        <f>HYPERLINK("https://www.773grp.com/globalSearch/NCP502SQ31T1G/page-1", "NCP502SQ31T1G")</f>
        <v>NCP502SQ31T1G</v>
      </c>
      <c r="B9380" s="3" t="str">
        <f>HYPERLINK("https://www.773grp.com/manufacturer/onsemi?pageNo=1291", "Onsemi")</f>
        <v>Onsemi</v>
      </c>
      <c r="C9380" s="6">
        <v>13351</v>
      </c>
      <c r="D9380" s="7">
        <v>1.06</v>
      </c>
      <c r="E9380" t="s">
        <v>15</v>
      </c>
    </row>
    <row r="9381" spans="1:5" x14ac:dyDescent="0.25">
      <c r="A9381" t="str">
        <f>HYPERLINK("https://www.773grp.com/globalSearch/NCP502SQ31T2G/page-1", "NCP502SQ31T2G")</f>
        <v>NCP502SQ31T2G</v>
      </c>
      <c r="B9381" s="3" t="str">
        <f>HYPERLINK("https://www.773grp.com/manufacturer/onsemi?pageNo=1292", "Onsemi")</f>
        <v>Onsemi</v>
      </c>
      <c r="C9381" s="6">
        <v>12000</v>
      </c>
      <c r="D9381" s="7">
        <v>1.06</v>
      </c>
    </row>
    <row r="9382" spans="1:5" x14ac:dyDescent="0.25">
      <c r="A9382" t="str">
        <f>HYPERLINK("https://www.773grp.com/globalSearch/NCP502SQ33T1G/page-1", "NCP502SQ33T1G")</f>
        <v>NCP502SQ33T1G</v>
      </c>
      <c r="B9382" s="3" t="str">
        <f>HYPERLINK("https://www.773grp.com/manufacturer/onsemi?pageNo=1293", "Onsemi")</f>
        <v>Onsemi</v>
      </c>
      <c r="C9382" s="6">
        <v>119500</v>
      </c>
      <c r="D9382" s="7">
        <v>1.06</v>
      </c>
      <c r="E9382" t="s">
        <v>15</v>
      </c>
    </row>
    <row r="9383" spans="1:5" x14ac:dyDescent="0.25">
      <c r="A9383" t="str">
        <f>HYPERLINK("https://www.773grp.com/globalSearch/NCP502SQ33T2G/page-1", "NCP502SQ33T2G")</f>
        <v>NCP502SQ33T2G</v>
      </c>
      <c r="B9383" s="3" t="str">
        <f>HYPERLINK("https://www.773grp.com/manufacturer/onsemi?pageNo=1294", "Onsemi")</f>
        <v>Onsemi</v>
      </c>
      <c r="C9383" s="6">
        <v>9000</v>
      </c>
      <c r="D9383" s="7">
        <v>1.06</v>
      </c>
      <c r="E9383" t="s">
        <v>15</v>
      </c>
    </row>
    <row r="9384" spans="1:5" x14ac:dyDescent="0.25">
      <c r="A9384" t="str">
        <f>HYPERLINK("https://www.773grp.com/globalSearch/NCP502SQ34T1G/page-1", "NCP502SQ34T1G")</f>
        <v>NCP502SQ34T1G</v>
      </c>
      <c r="B9384" s="3" t="str">
        <f>HYPERLINK("https://www.773grp.com/manufacturer/onsemi?pageNo=1295", "Onsemi")</f>
        <v>Onsemi</v>
      </c>
      <c r="C9384" s="6">
        <v>8456</v>
      </c>
      <c r="D9384" s="7">
        <v>1.06</v>
      </c>
      <c r="E9384" t="s">
        <v>15</v>
      </c>
    </row>
    <row r="9385" spans="1:5" x14ac:dyDescent="0.25">
      <c r="A9385" t="str">
        <f>HYPERLINK("https://www.773grp.com/globalSearch/NCP502SQ34T2G/page-1", "NCP502SQ34T2G")</f>
        <v>NCP502SQ34T2G</v>
      </c>
      <c r="B9385" s="3" t="str">
        <f>HYPERLINK("https://www.773grp.com/manufacturer/onsemi?pageNo=1296", "Onsemi")</f>
        <v>Onsemi</v>
      </c>
      <c r="C9385" s="6">
        <v>12000</v>
      </c>
      <c r="D9385" s="7">
        <v>1.06</v>
      </c>
    </row>
    <row r="9386" spans="1:5" x14ac:dyDescent="0.25">
      <c r="A9386" t="str">
        <f>HYPERLINK("https://www.773grp.com/globalSearch/NCP502SQ35T2G/page-1", "NCP502SQ35T2G")</f>
        <v>NCP502SQ35T2G</v>
      </c>
      <c r="B9386" s="3" t="str">
        <f>HYPERLINK("https://www.773grp.com/manufacturer/onsemi?pageNo=1297", "Onsemi")</f>
        <v>Onsemi</v>
      </c>
      <c r="C9386" s="6">
        <v>6000</v>
      </c>
      <c r="D9386" s="7">
        <v>1.06</v>
      </c>
    </row>
    <row r="9387" spans="1:5" x14ac:dyDescent="0.25">
      <c r="A9387" t="str">
        <f>HYPERLINK("https://www.773grp.com/globalSearch/NCP502SQ36T2G/page-1", "NCP502SQ36T2G")</f>
        <v>NCP502SQ36T2G</v>
      </c>
      <c r="B9387" s="3" t="str">
        <f>HYPERLINK("https://www.773grp.com/manufacturer/onsemi?pageNo=1298", "Onsemi")</f>
        <v>Onsemi</v>
      </c>
      <c r="C9387" s="6">
        <v>6000</v>
      </c>
      <c r="D9387" s="7">
        <v>1.06</v>
      </c>
    </row>
    <row r="9388" spans="1:5" x14ac:dyDescent="0.25">
      <c r="A9388" t="str">
        <f>HYPERLINK("https://www.773grp.com/globalSearch/NCP502SQ37T1G/page-1", "NCP502SQ37T1G")</f>
        <v>NCP502SQ37T1G</v>
      </c>
      <c r="B9388" s="3" t="str">
        <f>HYPERLINK("https://www.773grp.com/manufacturer/onsemi?pageNo=1299", "Onsemi")</f>
        <v>Onsemi</v>
      </c>
      <c r="C9388" s="6">
        <v>8612</v>
      </c>
      <c r="D9388" s="7">
        <v>1.06</v>
      </c>
      <c r="E9388" t="s">
        <v>15</v>
      </c>
    </row>
    <row r="9389" spans="1:5" x14ac:dyDescent="0.25">
      <c r="A9389" t="str">
        <f>HYPERLINK("https://www.773grp.com/globalSearch/NCP502SQ37T2G/page-1", "NCP502SQ37T2G")</f>
        <v>NCP502SQ37T2G</v>
      </c>
      <c r="B9389" s="3" t="str">
        <f>HYPERLINK("https://www.773grp.com/manufacturer/onsemi?pageNo=1300", "Onsemi")</f>
        <v>Onsemi</v>
      </c>
      <c r="C9389" s="6">
        <v>3000</v>
      </c>
      <c r="D9389" s="7">
        <v>1.06</v>
      </c>
    </row>
    <row r="9390" spans="1:5" x14ac:dyDescent="0.25">
      <c r="A9390" t="str">
        <f>HYPERLINK("https://www.773grp.com/globalSearch/NCP502SQ50T1G/page-1", "NCP502SQ50T1G")</f>
        <v>NCP502SQ50T1G</v>
      </c>
      <c r="B9390" s="3" t="str">
        <f>HYPERLINK("https://www.773grp.com/manufacturer/onsemi?pageNo=1301", "Onsemi")</f>
        <v>Onsemi</v>
      </c>
      <c r="C9390" s="6">
        <v>7018</v>
      </c>
      <c r="D9390" s="7">
        <v>1.06</v>
      </c>
      <c r="E9390" t="s">
        <v>15</v>
      </c>
    </row>
    <row r="9391" spans="1:5" x14ac:dyDescent="0.25">
      <c r="A9391" t="str">
        <f>HYPERLINK("https://www.773grp.com/globalSearch/NCP502SQ50T2G/page-1", "NCP502SQ50T2G")</f>
        <v>NCP502SQ50T2G</v>
      </c>
      <c r="B9391" s="3" t="str">
        <f>HYPERLINK("https://www.773grp.com/manufacturer/onsemi?pageNo=1302", "Onsemi")</f>
        <v>Onsemi</v>
      </c>
      <c r="C9391" s="6">
        <v>4000</v>
      </c>
      <c r="D9391" s="7">
        <v>1.06</v>
      </c>
    </row>
    <row r="9392" spans="1:5" x14ac:dyDescent="0.25">
      <c r="A9392" t="str">
        <f>HYPERLINK("https://www.773grp.com/globalSearch/NCP512SQ13T1G/page-1", "NCP512SQ13T1G")</f>
        <v>NCP512SQ13T1G</v>
      </c>
      <c r="B9392" s="3" t="str">
        <f>HYPERLINK("https://www.773grp.com/manufacturer/onsemi?pageNo=1303", "Onsemi")</f>
        <v>Onsemi</v>
      </c>
      <c r="C9392" s="6">
        <v>16185</v>
      </c>
      <c r="D9392" s="7">
        <v>1.06</v>
      </c>
      <c r="E9392" t="s">
        <v>15</v>
      </c>
    </row>
    <row r="9393" spans="1:5" x14ac:dyDescent="0.25">
      <c r="A9393" t="str">
        <f>HYPERLINK("https://www.773grp.com/globalSearch/NCP512SQ27T2G/page-1", "NCP512SQ27T2G")</f>
        <v>NCP512SQ27T2G</v>
      </c>
      <c r="B9393" s="3" t="str">
        <f>HYPERLINK("https://www.773grp.com/manufacturer/onsemi?pageNo=1304", "Onsemi")</f>
        <v>Onsemi</v>
      </c>
      <c r="C9393" s="6">
        <v>24000</v>
      </c>
      <c r="D9393" s="7">
        <v>1.06</v>
      </c>
      <c r="E9393" t="s">
        <v>15</v>
      </c>
    </row>
    <row r="9394" spans="1:5" x14ac:dyDescent="0.25">
      <c r="A9394" t="str">
        <f>HYPERLINK("https://www.773grp.com/globalSearch/NCP512SQ28T1G/page-1", "NCP512SQ28T1G")</f>
        <v>NCP512SQ28T1G</v>
      </c>
      <c r="B9394" s="3" t="str">
        <f>HYPERLINK("https://www.773grp.com/manufacturer/onsemi?pageNo=1305", "Onsemi")</f>
        <v>Onsemi</v>
      </c>
      <c r="C9394" s="6">
        <v>13999</v>
      </c>
      <c r="D9394" s="7">
        <v>1.06</v>
      </c>
      <c r="E9394" t="s">
        <v>15</v>
      </c>
    </row>
    <row r="9395" spans="1:5" x14ac:dyDescent="0.25">
      <c r="A9395" t="str">
        <f>HYPERLINK("https://www.773grp.com/globalSearch/NCP512SQ30T1G/page-1", "NCP512SQ30T1G")</f>
        <v>NCP512SQ30T1G</v>
      </c>
      <c r="B9395" s="3" t="str">
        <f>HYPERLINK("https://www.773grp.com/manufacturer/onsemi?pageNo=1306", "Onsemi")</f>
        <v>Onsemi</v>
      </c>
      <c r="C9395" s="6">
        <v>21745</v>
      </c>
      <c r="D9395" s="7">
        <v>1.06</v>
      </c>
      <c r="E9395" t="s">
        <v>15</v>
      </c>
    </row>
    <row r="9396" spans="1:5" x14ac:dyDescent="0.25">
      <c r="A9396" t="str">
        <f>HYPERLINK("https://www.773grp.com/globalSearch/NCP512SQ30T2G/page-1", "NCP512SQ30T2G")</f>
        <v>NCP512SQ30T2G</v>
      </c>
      <c r="B9396" s="3" t="str">
        <f>HYPERLINK("https://www.773grp.com/manufacturer/onsemi?pageNo=1307", "Onsemi")</f>
        <v>Onsemi</v>
      </c>
      <c r="C9396" s="6">
        <v>69000</v>
      </c>
      <c r="D9396" s="7">
        <v>1.06</v>
      </c>
      <c r="E9396" t="s">
        <v>15</v>
      </c>
    </row>
    <row r="9397" spans="1:5" x14ac:dyDescent="0.25">
      <c r="A9397" t="str">
        <f>HYPERLINK("https://www.773grp.com/globalSearch/NCP512SQ33T1G/page-1", "NCP512SQ33T1G")</f>
        <v>NCP512SQ33T1G</v>
      </c>
      <c r="B9397" s="3" t="str">
        <f>HYPERLINK("https://www.773grp.com/manufacturer/onsemi?pageNo=1308", "Onsemi")</f>
        <v>Onsemi</v>
      </c>
      <c r="C9397" s="6">
        <v>10025</v>
      </c>
      <c r="D9397" s="7">
        <v>1.06</v>
      </c>
      <c r="E9397" t="s">
        <v>15</v>
      </c>
    </row>
    <row r="9398" spans="1:5" x14ac:dyDescent="0.25">
      <c r="A9398" t="str">
        <f>HYPERLINK("https://www.773grp.com/globalSearch/NCP512SQ33T2G/page-1", "NCP512SQ33T2G")</f>
        <v>NCP512SQ33T2G</v>
      </c>
      <c r="B9398" s="3" t="str">
        <f>HYPERLINK("https://www.773grp.com/manufacturer/onsemi?pageNo=1309", "Onsemi")</f>
        <v>Onsemi</v>
      </c>
      <c r="C9398" s="6">
        <v>51000</v>
      </c>
      <c r="D9398" s="7">
        <v>1.06</v>
      </c>
    </row>
    <row r="9399" spans="1:5" x14ac:dyDescent="0.25">
      <c r="A9399" t="str">
        <f>HYPERLINK("https://www.773grp.com/globalSearch/NCP512SQ50T2G/page-1", "NCP512SQ50T2G")</f>
        <v>NCP512SQ50T2G</v>
      </c>
      <c r="B9399" s="3" t="str">
        <f>HYPERLINK("https://www.773grp.com/manufacturer/onsemi?pageNo=1310", "Onsemi")</f>
        <v>Onsemi</v>
      </c>
      <c r="C9399" s="6">
        <v>3000</v>
      </c>
      <c r="D9399" s="7">
        <v>1.06</v>
      </c>
    </row>
    <row r="9400" spans="1:5" x14ac:dyDescent="0.25">
      <c r="A9400" t="str">
        <f>HYPERLINK("https://www.773grp.com/globalSearch/NCP571SN09T1G/page-1", "NCP571SN09T1G")</f>
        <v>NCP571SN09T1G</v>
      </c>
      <c r="B9400" s="3" t="str">
        <f>HYPERLINK("https://www.773grp.com/manufacturer/onsemi?pageNo=1311", "Onsemi")</f>
        <v>Onsemi</v>
      </c>
      <c r="C9400" s="6">
        <v>8735</v>
      </c>
      <c r="D9400" s="7">
        <v>1.06</v>
      </c>
    </row>
    <row r="9401" spans="1:5" x14ac:dyDescent="0.25">
      <c r="A9401" t="str">
        <f>HYPERLINK("https://www.773grp.com/globalSearch/NCP571SN10T1G/page-1", "NCP571SN10T1G")</f>
        <v>NCP571SN10T1G</v>
      </c>
      <c r="B9401" s="3" t="str">
        <f>HYPERLINK("https://www.773grp.com/manufacturer/onsemi?pageNo=1312", "Onsemi")</f>
        <v>Onsemi</v>
      </c>
      <c r="C9401" s="6">
        <v>6000</v>
      </c>
      <c r="D9401" s="7">
        <v>1.06</v>
      </c>
    </row>
    <row r="9402" spans="1:5" x14ac:dyDescent="0.25">
      <c r="A9402" t="str">
        <f>HYPERLINK("https://www.773grp.com/globalSearch/NCP571SN12T1G/page-1", "NCP571SN12T1G")</f>
        <v>NCP571SN12T1G</v>
      </c>
      <c r="B9402" s="3" t="str">
        <f>HYPERLINK("https://www.773grp.com/manufacturer/onsemi?pageNo=1313", "Onsemi")</f>
        <v>Onsemi</v>
      </c>
      <c r="C9402" s="6">
        <v>5810</v>
      </c>
      <c r="D9402" s="7">
        <v>1.06</v>
      </c>
      <c r="E9402" t="s">
        <v>15</v>
      </c>
    </row>
    <row r="9403" spans="1:5" x14ac:dyDescent="0.25">
      <c r="A9403" t="str">
        <f>HYPERLINK("https://www.773grp.com/globalSearch/NCP612SQ15T2G/page-1", "NCP612SQ15T2G")</f>
        <v>NCP612SQ15T2G</v>
      </c>
      <c r="B9403" s="3" t="str">
        <f>HYPERLINK("https://www.773grp.com/manufacturer/onsemi?pageNo=1314", "Onsemi")</f>
        <v>Onsemi</v>
      </c>
      <c r="C9403" s="6">
        <v>18000</v>
      </c>
      <c r="D9403" s="7">
        <v>1.06</v>
      </c>
      <c r="E9403" t="s">
        <v>24</v>
      </c>
    </row>
    <row r="9404" spans="1:5" x14ac:dyDescent="0.25">
      <c r="A9404" t="str">
        <f>HYPERLINK("https://www.773grp.com/globalSearch/NCP612SQ18T2/page-1", "NCP612SQ18T2")</f>
        <v>NCP612SQ18T2</v>
      </c>
      <c r="B9404" s="3" t="str">
        <f>HYPERLINK("https://www.773grp.com/manufacturer/onsemi?pageNo=1315", "Onsemi")</f>
        <v>Onsemi</v>
      </c>
      <c r="C9404" s="6">
        <v>6000</v>
      </c>
      <c r="D9404" s="7">
        <v>1.06</v>
      </c>
    </row>
    <row r="9405" spans="1:5" x14ac:dyDescent="0.25">
      <c r="A9405" t="str">
        <f>HYPERLINK("https://www.773grp.com/globalSearch/NCP612SQ18T2G/page-1", "NCP612SQ18T2G")</f>
        <v>NCP612SQ18T2G</v>
      </c>
      <c r="B9405" s="3" t="str">
        <f>HYPERLINK("https://www.773grp.com/manufacturer/onsemi?pageNo=1316", "Onsemi")</f>
        <v>Onsemi</v>
      </c>
      <c r="C9405" s="6">
        <v>18000</v>
      </c>
      <c r="D9405" s="7">
        <v>1.06</v>
      </c>
      <c r="E9405" t="s">
        <v>24</v>
      </c>
    </row>
    <row r="9406" spans="1:5" x14ac:dyDescent="0.25">
      <c r="A9406" t="str">
        <f>HYPERLINK("https://www.773grp.com/globalSearch/NCP612SQ25T2G/page-1", "NCP612SQ25T2G")</f>
        <v>NCP612SQ25T2G</v>
      </c>
      <c r="B9406" s="3" t="str">
        <f>HYPERLINK("https://www.773grp.com/manufacturer/onsemi?pageNo=1317", "Onsemi")</f>
        <v>Onsemi</v>
      </c>
      <c r="C9406" s="6">
        <v>21000</v>
      </c>
      <c r="D9406" s="7">
        <v>1.06</v>
      </c>
    </row>
    <row r="9407" spans="1:5" x14ac:dyDescent="0.25">
      <c r="A9407" t="str">
        <f>HYPERLINK("https://www.773grp.com/globalSearch/NCP612SQ28T2G/page-1", "NCP612SQ28T2G")</f>
        <v>NCP612SQ28T2G</v>
      </c>
      <c r="B9407" s="3" t="str">
        <f>HYPERLINK("https://www.773grp.com/manufacturer/onsemi?pageNo=1318", "Onsemi")</f>
        <v>Onsemi</v>
      </c>
      <c r="C9407" s="6">
        <v>249000</v>
      </c>
      <c r="D9407" s="7">
        <v>1.06</v>
      </c>
      <c r="E9407" t="s">
        <v>24</v>
      </c>
    </row>
    <row r="9408" spans="1:5" x14ac:dyDescent="0.25">
      <c r="A9408" t="str">
        <f>HYPERLINK("https://www.773grp.com/globalSearch/NCP612SQ30T1G/page-1", "NCP612SQ30T1G")</f>
        <v>NCP612SQ30T1G</v>
      </c>
      <c r="B9408" s="3" t="str">
        <f>HYPERLINK("https://www.773grp.com/manufacturer/onsemi?pageNo=1319", "Onsemi")</f>
        <v>Onsemi</v>
      </c>
      <c r="C9408" s="6">
        <v>60809</v>
      </c>
      <c r="D9408" s="7">
        <v>1.06</v>
      </c>
      <c r="E9408" t="s">
        <v>24</v>
      </c>
    </row>
    <row r="9409" spans="1:5" x14ac:dyDescent="0.25">
      <c r="A9409" t="str">
        <f>HYPERLINK("https://www.773grp.com/globalSearch/NCP612SQ31T2G/page-1", "NCP612SQ31T2G")</f>
        <v>NCP612SQ31T2G</v>
      </c>
      <c r="B9409" s="3" t="str">
        <f>HYPERLINK("https://www.773grp.com/manufacturer/onsemi?pageNo=1320", "Onsemi")</f>
        <v>Onsemi</v>
      </c>
      <c r="C9409" s="6">
        <v>16000</v>
      </c>
      <c r="D9409" s="7">
        <v>1.06</v>
      </c>
      <c r="E9409" t="s">
        <v>24</v>
      </c>
    </row>
    <row r="9410" spans="1:5" x14ac:dyDescent="0.25">
      <c r="A9410" t="str">
        <f>HYPERLINK("https://www.773grp.com/globalSearch/NCP612SQ37T1G/page-1", "NCP612SQ37T1G")</f>
        <v>NCP612SQ37T1G</v>
      </c>
      <c r="B9410" s="3" t="str">
        <f>HYPERLINK("https://www.773grp.com/manufacturer/onsemi?pageNo=1321", "Onsemi")</f>
        <v>Onsemi</v>
      </c>
      <c r="C9410" s="6">
        <v>7749</v>
      </c>
      <c r="D9410" s="7">
        <v>1.06</v>
      </c>
      <c r="E9410" t="s">
        <v>24</v>
      </c>
    </row>
    <row r="9411" spans="1:5" x14ac:dyDescent="0.25">
      <c r="A9411" t="str">
        <f>HYPERLINK("https://www.773grp.com/globalSearch/NCP612SQ50T2G/page-1", "NCP612SQ50T2G")</f>
        <v>NCP612SQ50T2G</v>
      </c>
      <c r="B9411" s="3" t="str">
        <f>HYPERLINK("https://www.773grp.com/manufacturer/onsemi?pageNo=1322", "Onsemi")</f>
        <v>Onsemi</v>
      </c>
      <c r="C9411" s="6">
        <v>27000</v>
      </c>
      <c r="D9411" s="7">
        <v>1.06</v>
      </c>
      <c r="E9411" t="s">
        <v>24</v>
      </c>
    </row>
    <row r="9412" spans="1:5" x14ac:dyDescent="0.25">
      <c r="A9412" t="str">
        <f>HYPERLINK("https://www.773grp.com/globalSearch/NCP7905ACTG/page-1", "NCP7905ACTG")</f>
        <v>NCP7905ACTG</v>
      </c>
      <c r="B9412" s="3" t="str">
        <f>HYPERLINK("https://www.773grp.com/manufacturer/onsemi?pageNo=1323", "Onsemi")</f>
        <v>Onsemi</v>
      </c>
      <c r="C9412" s="6">
        <v>7900</v>
      </c>
      <c r="D9412" s="7">
        <v>1.06</v>
      </c>
    </row>
    <row r="9413" spans="1:5" x14ac:dyDescent="0.25">
      <c r="A9413" t="str">
        <f>HYPERLINK("https://www.773grp.com/globalSearch/NCP9003SNT1G/page-1", "NCP9003SNT1G")</f>
        <v>NCP9003SNT1G</v>
      </c>
      <c r="B9413" s="3" t="str">
        <f>HYPERLINK("https://www.773grp.com/manufacturer/onsemi?pageNo=1324", "Onsemi")</f>
        <v>Onsemi</v>
      </c>
      <c r="C9413" s="6">
        <v>21000</v>
      </c>
      <c r="D9413" s="7">
        <v>1.06</v>
      </c>
      <c r="E9413" t="s">
        <v>7</v>
      </c>
    </row>
    <row r="9414" spans="1:5" x14ac:dyDescent="0.25">
      <c r="A9414" t="str">
        <f>HYPERLINK("https://www.773grp.com/globalSearch/NCPLSN48T1/page-1", "NCPLSN48T1")</f>
        <v>NCPLSN48T1</v>
      </c>
      <c r="B9414" s="3" t="str">
        <f>HYPERLINK("https://www.773grp.com/manufacturer/onsemi?pageNo=1325", "Onsemi")</f>
        <v>Onsemi</v>
      </c>
      <c r="C9414" s="6">
        <v>1377</v>
      </c>
      <c r="D9414" s="7">
        <v>1.06</v>
      </c>
    </row>
    <row r="9415" spans="1:5" x14ac:dyDescent="0.25">
      <c r="A9415" t="str">
        <f>HYPERLINK("https://www.773grp.com/globalSearch/NCS2211DR2G/page-1", "NCS2211DR2G")</f>
        <v>NCS2211DR2G</v>
      </c>
      <c r="B9415" s="3" t="str">
        <f>HYPERLINK("https://www.773grp.com/manufacturer/onsemi?pageNo=1326", "Onsemi")</f>
        <v>Onsemi</v>
      </c>
      <c r="C9415" s="6">
        <v>903383</v>
      </c>
      <c r="D9415" s="7">
        <v>1.06</v>
      </c>
      <c r="E9415" t="s">
        <v>14</v>
      </c>
    </row>
    <row r="9416" spans="1:5" x14ac:dyDescent="0.25">
      <c r="A9416" t="str">
        <f>HYPERLINK("https://www.773grp.com/globalSearch/NCS2211MNTXG/page-1", "NCS2211MNTXG")</f>
        <v>NCS2211MNTXG</v>
      </c>
      <c r="B9416" s="3" t="str">
        <f>HYPERLINK("https://www.773grp.com/manufacturer/onsemi?pageNo=1327", "Onsemi")</f>
        <v>Onsemi</v>
      </c>
      <c r="C9416" s="6">
        <v>33073</v>
      </c>
      <c r="D9416" s="7">
        <v>1.06</v>
      </c>
      <c r="E9416" t="s">
        <v>14</v>
      </c>
    </row>
    <row r="9417" spans="1:5" x14ac:dyDescent="0.25">
      <c r="A9417" t="str">
        <f>HYPERLINK("https://www.773grp.com/globalSearch/NCT75MNR2G/page-1", "NCT75MNR2G")</f>
        <v>NCT75MNR2G</v>
      </c>
      <c r="B9417" s="3" t="str">
        <f>HYPERLINK("https://www.773grp.com/manufacturer/onsemi?pageNo=1328", "Onsemi")</f>
        <v>Onsemi</v>
      </c>
      <c r="C9417" s="6">
        <v>3000</v>
      </c>
      <c r="D9417" s="7">
        <v>1.06</v>
      </c>
    </row>
    <row r="9418" spans="1:5" x14ac:dyDescent="0.25">
      <c r="A9418" t="str">
        <f>HYPERLINK("https://www.773grp.com/globalSearch/NCV1455BDR2G/page-1", "NCV1455BDR2G")</f>
        <v>NCV1455BDR2G</v>
      </c>
      <c r="B9418" s="3" t="str">
        <f>HYPERLINK("https://www.773grp.com/manufacturer/onsemi?pageNo=1329", "Onsemi")</f>
        <v>Onsemi</v>
      </c>
      <c r="C9418" s="6">
        <v>51400</v>
      </c>
      <c r="D9418" s="7">
        <v>1.06</v>
      </c>
      <c r="E9418" t="s">
        <v>25</v>
      </c>
    </row>
    <row r="9419" spans="1:5" x14ac:dyDescent="0.25">
      <c r="A9419" t="str">
        <f>HYPERLINK("https://www.773grp.com/globalSearch/NCV2931AD-5.0R2G/page-1", "NCV2931AD-5.0R2G")</f>
        <v>NCV2931AD-5.0R2G</v>
      </c>
      <c r="B9419" s="3" t="str">
        <f>HYPERLINK("https://www.773grp.com/manufacturer/onsemi?pageNo=1330", "Onsemi")</f>
        <v>Onsemi</v>
      </c>
      <c r="C9419" s="6">
        <v>5790</v>
      </c>
      <c r="D9419" s="7">
        <v>1.06</v>
      </c>
      <c r="E9419" t="s">
        <v>15</v>
      </c>
    </row>
    <row r="9420" spans="1:5" x14ac:dyDescent="0.25">
      <c r="A9420" t="str">
        <f>HYPERLINK("https://www.773grp.com/globalSearch/NCV33269DTRK-012/page-1", "NCV33269DTRK-012")</f>
        <v>NCV33269DTRK-012</v>
      </c>
      <c r="B9420" s="3" t="str">
        <f>HYPERLINK("https://www.773grp.com/manufacturer/onsemi?pageNo=1331", "Onsemi")</f>
        <v>Onsemi</v>
      </c>
      <c r="C9420" s="6">
        <v>2390</v>
      </c>
      <c r="D9420" s="7">
        <v>1.06</v>
      </c>
      <c r="E9420" t="s">
        <v>15</v>
      </c>
    </row>
    <row r="9421" spans="1:5" x14ac:dyDescent="0.25">
      <c r="A9421" t="str">
        <f>HYPERLINK("https://www.773grp.com/globalSearch/NCV33269DTRK-3.3/page-1", "NCV33269DTRK-3.3")</f>
        <v>NCV33269DTRK-3.3</v>
      </c>
      <c r="B9421" s="3" t="str">
        <f>HYPERLINK("https://www.773grp.com/manufacturer/onsemi?pageNo=1332", "Onsemi")</f>
        <v>Onsemi</v>
      </c>
      <c r="C9421" s="6">
        <v>2420</v>
      </c>
      <c r="D9421" s="7">
        <v>1.06</v>
      </c>
      <c r="E9421" t="s">
        <v>15</v>
      </c>
    </row>
    <row r="9422" spans="1:5" x14ac:dyDescent="0.25">
      <c r="A9422" t="str">
        <f>HYPERLINK("https://www.773grp.com/globalSearch/NCV7805BTG/page-1", "NCV7805BTG")</f>
        <v>NCV7805BTG</v>
      </c>
      <c r="B9422" s="3" t="str">
        <f>HYPERLINK("https://www.773grp.com/manufacturer/onsemi?pageNo=1333", "Onsemi")</f>
        <v>Onsemi</v>
      </c>
      <c r="C9422" s="6">
        <v>674475</v>
      </c>
      <c r="D9422" s="7">
        <v>1.06</v>
      </c>
      <c r="E9422" t="s">
        <v>24</v>
      </c>
    </row>
    <row r="9423" spans="1:5" x14ac:dyDescent="0.25">
      <c r="A9423" t="str">
        <f>HYPERLINK("https://www.773grp.com/globalSearch/NCV7812ABTG/page-1", "NCV7812ABTG")</f>
        <v>NCV7812ABTG</v>
      </c>
      <c r="B9423" s="3" t="str">
        <f>HYPERLINK("https://www.773grp.com/manufacturer/onsemi?pageNo=1334", "Onsemi")</f>
        <v>Onsemi</v>
      </c>
      <c r="C9423" s="6">
        <v>1000</v>
      </c>
      <c r="D9423" s="7">
        <v>1.06</v>
      </c>
      <c r="E9423" t="s">
        <v>24</v>
      </c>
    </row>
    <row r="9424" spans="1:5" x14ac:dyDescent="0.25">
      <c r="A9424" t="str">
        <f>HYPERLINK("https://www.773grp.com/globalSearch/NCV7812BTG/page-1", "NCV7812BTG")</f>
        <v>NCV7812BTG</v>
      </c>
      <c r="B9424" s="3" t="str">
        <f>HYPERLINK("https://www.773grp.com/manufacturer/onsemi?pageNo=1335", "Onsemi")</f>
        <v>Onsemi</v>
      </c>
      <c r="C9424" s="6">
        <v>5650</v>
      </c>
      <c r="D9424" s="7">
        <v>1.06</v>
      </c>
      <c r="E9424" t="s">
        <v>24</v>
      </c>
    </row>
    <row r="9425" spans="1:5" x14ac:dyDescent="0.25">
      <c r="A9425" t="str">
        <f>HYPERLINK("https://www.773grp.com/globalSearch/NCV7815BTG/page-1", "NCV7815BTG")</f>
        <v>NCV7815BTG</v>
      </c>
      <c r="B9425" s="3" t="str">
        <f>HYPERLINK("https://www.773grp.com/manufacturer/onsemi?pageNo=1336", "Onsemi")</f>
        <v>Onsemi</v>
      </c>
      <c r="C9425" s="6">
        <v>150</v>
      </c>
      <c r="D9425" s="7">
        <v>1.06</v>
      </c>
      <c r="E9425" t="s">
        <v>24</v>
      </c>
    </row>
    <row r="9426" spans="1:5" x14ac:dyDescent="0.25">
      <c r="A9426" t="str">
        <f>HYPERLINK("https://www.773grp.com/globalSearch/NCV78L05ABPRAG/page-1", "NCV78L05ABPRAG")</f>
        <v>NCV78L05ABPRAG</v>
      </c>
      <c r="B9426" s="3" t="str">
        <f>HYPERLINK("https://www.773grp.com/manufacturer/onsemi?pageNo=1337", "Onsemi")</f>
        <v>Onsemi</v>
      </c>
      <c r="C9426" s="6">
        <v>11095</v>
      </c>
      <c r="D9426" s="7">
        <v>1.06</v>
      </c>
      <c r="E9426" t="s">
        <v>24</v>
      </c>
    </row>
    <row r="9427" spans="1:5" x14ac:dyDescent="0.25">
      <c r="A9427" t="str">
        <f>HYPERLINK("https://www.773grp.com/globalSearch/NCV78L08ABDR2G/page-1", "NCV78L08ABDR2G")</f>
        <v>NCV78L08ABDR2G</v>
      </c>
      <c r="B9427" s="3" t="str">
        <f>HYPERLINK("https://www.773grp.com/manufacturer/onsemi?pageNo=1338", "Onsemi")</f>
        <v>Onsemi</v>
      </c>
      <c r="C9427" s="6">
        <v>51168</v>
      </c>
      <c r="D9427" s="7">
        <v>1.06</v>
      </c>
      <c r="E9427" t="s">
        <v>24</v>
      </c>
    </row>
    <row r="9428" spans="1:5" x14ac:dyDescent="0.25">
      <c r="A9428" t="str">
        <f>HYPERLINK("https://www.773grp.com/globalSearch/NCV8184D/page-1", "NCV8184D")</f>
        <v>NCV8184D</v>
      </c>
      <c r="B9428" s="3" t="str">
        <f>HYPERLINK("https://www.773grp.com/manufacturer/onsemi?pageNo=1339", "Onsemi")</f>
        <v>Onsemi</v>
      </c>
      <c r="C9428" s="6">
        <v>11466</v>
      </c>
      <c r="D9428" s="7">
        <v>1.06</v>
      </c>
      <c r="E9428" t="s">
        <v>21</v>
      </c>
    </row>
    <row r="9429" spans="1:5" x14ac:dyDescent="0.25">
      <c r="A9429" t="str">
        <f>HYPERLINK("https://www.773grp.com/globalSearch/NDD02N60Z-1G/page-1", "NDD02N60Z-1G")</f>
        <v>NDD02N60Z-1G</v>
      </c>
      <c r="B9429" s="3" t="str">
        <f>HYPERLINK("https://www.773grp.com/manufacturer/onsemi?pageNo=1340", "Onsemi")</f>
        <v>Onsemi</v>
      </c>
      <c r="C9429" s="6">
        <v>28185</v>
      </c>
      <c r="D9429" s="7">
        <v>1.06</v>
      </c>
    </row>
    <row r="9430" spans="1:5" x14ac:dyDescent="0.25">
      <c r="A9430" t="str">
        <f>HYPERLINK("https://www.773grp.com/globalSearch/NDD02N60ZT4G/page-1", "NDD02N60ZT4G")</f>
        <v>NDD02N60ZT4G</v>
      </c>
      <c r="B9430" s="3" t="str">
        <f>HYPERLINK("https://www.773grp.com/manufacturer/onsemi?pageNo=1341", "Onsemi")</f>
        <v>Onsemi</v>
      </c>
      <c r="C9430" s="6">
        <v>120205</v>
      </c>
      <c r="D9430" s="7">
        <v>1.06</v>
      </c>
    </row>
    <row r="9431" spans="1:5" x14ac:dyDescent="0.25">
      <c r="A9431" t="str">
        <f>HYPERLINK("https://www.773grp.com/globalSearch/NDD03N50Z-1G/page-1", "NDD03N50Z-1G")</f>
        <v>NDD03N50Z-1G</v>
      </c>
      <c r="B9431" s="3" t="str">
        <f>HYPERLINK("https://www.773grp.com/manufacturer/onsemi?pageNo=1342", "Onsemi")</f>
        <v>Onsemi</v>
      </c>
      <c r="C9431" s="6">
        <v>1500</v>
      </c>
      <c r="D9431" s="7">
        <v>1.06</v>
      </c>
      <c r="E9431" t="s">
        <v>84</v>
      </c>
    </row>
    <row r="9432" spans="1:5" x14ac:dyDescent="0.25">
      <c r="A9432" t="str">
        <f>HYPERLINK("https://www.773grp.com/globalSearch/NDD03N50ZT4G/page-1", "NDD03N50ZT4G")</f>
        <v>NDD03N50ZT4G</v>
      </c>
      <c r="B9432" s="3" t="str">
        <f>HYPERLINK("https://www.773grp.com/manufacturer/onsemi?pageNo=1343", "Onsemi")</f>
        <v>Onsemi</v>
      </c>
      <c r="C9432" s="6">
        <v>145000</v>
      </c>
      <c r="D9432" s="7">
        <v>1.06</v>
      </c>
      <c r="E9432" t="s">
        <v>84</v>
      </c>
    </row>
    <row r="9433" spans="1:5" x14ac:dyDescent="0.25">
      <c r="A9433" t="str">
        <f>HYPERLINK("https://www.773grp.com/globalSearch/NE556N/page-1", "NE556N")</f>
        <v>NE556N</v>
      </c>
      <c r="B9433" s="3" t="str">
        <f>HYPERLINK("https://www.773grp.com/manufacturer/onsemi?pageNo=1344", "Onsemi")</f>
        <v>Onsemi</v>
      </c>
      <c r="C9433" s="6">
        <v>1350</v>
      </c>
      <c r="D9433" s="7">
        <v>1.06</v>
      </c>
      <c r="E9433" t="s">
        <v>25</v>
      </c>
    </row>
    <row r="9434" spans="1:5" x14ac:dyDescent="0.25">
      <c r="A9434" t="str">
        <f>HYPERLINK("https://www.773grp.com/globalSearch/NJD2873/page-1", "NJD2873")</f>
        <v>NJD2873</v>
      </c>
      <c r="B9434" s="3" t="str">
        <f>HYPERLINK("https://www.773grp.com/manufacturer/onsemi?pageNo=1345", "Onsemi")</f>
        <v>Onsemi</v>
      </c>
      <c r="C9434" s="6">
        <v>5937</v>
      </c>
      <c r="D9434" s="7">
        <v>1.06</v>
      </c>
      <c r="E9434" t="s">
        <v>47</v>
      </c>
    </row>
    <row r="9435" spans="1:5" x14ac:dyDescent="0.25">
      <c r="A9435" t="str">
        <f>HYPERLINK("https://www.773grp.com/globalSearch/NJD2873T4/page-1", "NJD2873T4")</f>
        <v>NJD2873T4</v>
      </c>
      <c r="B9435" s="3" t="str">
        <f>HYPERLINK("https://www.773grp.com/manufacturer/onsemi?pageNo=1346", "Onsemi")</f>
        <v>Onsemi</v>
      </c>
      <c r="C9435" s="6">
        <v>7500</v>
      </c>
      <c r="D9435" s="7">
        <v>1.06</v>
      </c>
    </row>
    <row r="9436" spans="1:5" x14ac:dyDescent="0.25">
      <c r="A9436" t="str">
        <f>HYPERLINK("https://www.773grp.com/globalSearch/NJD35N04T4G/page-1", "NJD35N04T4G")</f>
        <v>NJD35N04T4G</v>
      </c>
      <c r="B9436" s="3" t="str">
        <f>HYPERLINK("https://www.773grp.com/manufacturer/onsemi?pageNo=1347", "Onsemi")</f>
        <v>Onsemi</v>
      </c>
      <c r="C9436" s="6">
        <v>37500</v>
      </c>
      <c r="D9436" s="7">
        <v>1.06</v>
      </c>
      <c r="E9436" t="s">
        <v>47</v>
      </c>
    </row>
    <row r="9437" spans="1:5" x14ac:dyDescent="0.25">
      <c r="A9437" t="str">
        <f>HYPERLINK("https://www.773grp.com/globalSearch/NJVMJD44H11RLG/page-1", "NJVMJD44H11RLG")</f>
        <v>NJVMJD44H11RLG</v>
      </c>
      <c r="B9437" s="3" t="str">
        <f>HYPERLINK("https://www.773grp.com/manufacturer/onsemi?pageNo=1348", "Onsemi")</f>
        <v>Onsemi</v>
      </c>
      <c r="C9437" s="6">
        <v>3600</v>
      </c>
      <c r="D9437" s="7">
        <v>1.06</v>
      </c>
    </row>
    <row r="9438" spans="1:5" x14ac:dyDescent="0.25">
      <c r="A9438" t="str">
        <f>HYPERLINK("https://www.773grp.com/globalSearch/NJVNJD2873T4G/page-1", "NJVNJD2873T4G")</f>
        <v>NJVNJD2873T4G</v>
      </c>
      <c r="B9438" s="3" t="str">
        <f>HYPERLINK("https://www.773grp.com/manufacturer/onsemi?pageNo=1", "Onsemi")</f>
        <v>Onsemi</v>
      </c>
      <c r="C9438" s="6">
        <v>10000</v>
      </c>
      <c r="D9438" s="7">
        <v>1.06</v>
      </c>
    </row>
    <row r="9439" spans="1:5" x14ac:dyDescent="0.25">
      <c r="A9439" t="str">
        <f>HYPERLINK("https://www.773grp.com/globalSearch/NL27WZ00USG/page-1", "NL27WZ00USG")</f>
        <v>NL27WZ00USG</v>
      </c>
      <c r="B9439" s="3" t="str">
        <f>HYPERLINK("https://www.773grp.com/manufacturer/onsemi?pageNo=2", "Onsemi")</f>
        <v>Onsemi</v>
      </c>
      <c r="C9439" s="6">
        <v>770755</v>
      </c>
      <c r="D9439" s="7">
        <v>1.06</v>
      </c>
      <c r="E9439" t="s">
        <v>27</v>
      </c>
    </row>
    <row r="9440" spans="1:5" x14ac:dyDescent="0.25">
      <c r="A9440" t="str">
        <f>HYPERLINK("https://www.773grp.com/globalSearch/NL27WZ00USH/page-1", "NL27WZ00USH")</f>
        <v>NL27WZ00USH</v>
      </c>
      <c r="B9440" s="3" t="str">
        <f>HYPERLINK("https://www.773grp.com/manufacturer/onsemi?pageNo=3", "Onsemi")</f>
        <v>Onsemi</v>
      </c>
      <c r="C9440" s="6">
        <v>33000</v>
      </c>
      <c r="D9440" s="7">
        <v>1.06</v>
      </c>
    </row>
    <row r="9441" spans="1:5" x14ac:dyDescent="0.25">
      <c r="A9441" t="str">
        <f>HYPERLINK("https://www.773grp.com/globalSearch/NL27WZ02USG/page-1", "NL27WZ02USG")</f>
        <v>NL27WZ02USG</v>
      </c>
      <c r="B9441" s="3" t="str">
        <f>HYPERLINK("https://www.773grp.com/manufacturer/onsemi?pageNo=4", "Onsemi")</f>
        <v>Onsemi</v>
      </c>
      <c r="C9441" s="6">
        <v>374865</v>
      </c>
      <c r="D9441" s="7">
        <v>1.06</v>
      </c>
      <c r="E9441" t="s">
        <v>27</v>
      </c>
    </row>
    <row r="9442" spans="1:5" x14ac:dyDescent="0.25">
      <c r="A9442" t="str">
        <f>HYPERLINK("https://www.773grp.com/globalSearch/NL27WZ04DTT1G/page-1", "NL27WZ04DTT1G")</f>
        <v>NL27WZ04DTT1G</v>
      </c>
      <c r="B9442" s="3" t="str">
        <f>HYPERLINK("https://www.773grp.com/manufacturer/onsemi?pageNo=5", "Onsemi")</f>
        <v>Onsemi</v>
      </c>
      <c r="C9442" s="6">
        <v>12000</v>
      </c>
      <c r="D9442" s="7">
        <v>1.06</v>
      </c>
      <c r="E9442" t="s">
        <v>27</v>
      </c>
    </row>
    <row r="9443" spans="1:5" x14ac:dyDescent="0.25">
      <c r="A9443" t="str">
        <f>HYPERLINK("https://www.773grp.com/globalSearch/NL27WZ06DTT1G/page-1", "NL27WZ06DTT1G")</f>
        <v>NL27WZ06DTT1G</v>
      </c>
      <c r="B9443" s="3" t="str">
        <f>HYPERLINK("https://www.773grp.com/manufacturer/onsemi?pageNo=6", "Onsemi")</f>
        <v>Onsemi</v>
      </c>
      <c r="C9443" s="6">
        <v>11356</v>
      </c>
      <c r="D9443" s="7">
        <v>1.06</v>
      </c>
      <c r="E9443" t="s">
        <v>27</v>
      </c>
    </row>
    <row r="9444" spans="1:5" x14ac:dyDescent="0.25">
      <c r="A9444" t="str">
        <f>HYPERLINK("https://www.773grp.com/globalSearch/NL27WZ07DTT1G/page-1", "NL27WZ07DTT1G")</f>
        <v>NL27WZ07DTT1G</v>
      </c>
      <c r="B9444" s="3" t="str">
        <f>HYPERLINK("https://www.773grp.com/manufacturer/onsemi?pageNo=7", "Onsemi")</f>
        <v>Onsemi</v>
      </c>
      <c r="C9444" s="6">
        <v>3450</v>
      </c>
      <c r="D9444" s="7">
        <v>1.06</v>
      </c>
      <c r="E9444" t="s">
        <v>27</v>
      </c>
    </row>
    <row r="9445" spans="1:5" x14ac:dyDescent="0.25">
      <c r="A9445" t="str">
        <f>HYPERLINK("https://www.773grp.com/globalSearch/NL27WZ08USG/page-1", "NL27WZ08USG")</f>
        <v>NL27WZ08USG</v>
      </c>
      <c r="B9445" s="3" t="str">
        <f>HYPERLINK("https://www.773grp.com/manufacturer/onsemi?pageNo=8", "Onsemi")</f>
        <v>Onsemi</v>
      </c>
      <c r="C9445" s="6">
        <v>512830</v>
      </c>
      <c r="D9445" s="7">
        <v>1.06</v>
      </c>
      <c r="E9445" t="s">
        <v>27</v>
      </c>
    </row>
    <row r="9446" spans="1:5" x14ac:dyDescent="0.25">
      <c r="A9446" t="str">
        <f>HYPERLINK("https://www.773grp.com/globalSearch/NL27WZ125USG/page-1", "NL27WZ125USG")</f>
        <v>NL27WZ125USG</v>
      </c>
      <c r="B9446" s="3" t="str">
        <f>HYPERLINK("https://www.773grp.com/manufacturer/onsemi?pageNo=9", "Onsemi")</f>
        <v>Onsemi</v>
      </c>
      <c r="C9446" s="6">
        <v>614587</v>
      </c>
      <c r="D9446" s="7">
        <v>1.06</v>
      </c>
      <c r="E9446" t="s">
        <v>11</v>
      </c>
    </row>
    <row r="9447" spans="1:5" x14ac:dyDescent="0.25">
      <c r="A9447" t="str">
        <f>HYPERLINK("https://www.773grp.com/globalSearch/NL27WZ126USG/page-1", "NL27WZ126USG")</f>
        <v>NL27WZ126USG</v>
      </c>
      <c r="B9447" s="3" t="str">
        <f>HYPERLINK("https://www.773grp.com/manufacturer/onsemi?pageNo=10", "Onsemi")</f>
        <v>Onsemi</v>
      </c>
      <c r="C9447" s="6">
        <v>161510</v>
      </c>
      <c r="D9447" s="7">
        <v>1.06</v>
      </c>
      <c r="E9447" t="s">
        <v>11</v>
      </c>
    </row>
    <row r="9448" spans="1:5" x14ac:dyDescent="0.25">
      <c r="A9448" t="str">
        <f>HYPERLINK("https://www.773grp.com/globalSearch/NL27WZ14DTT1G/page-1", "NL27WZ14DTT1G")</f>
        <v>NL27WZ14DTT1G</v>
      </c>
      <c r="B9448" s="3" t="str">
        <f>HYPERLINK("https://www.773grp.com/manufacturer/onsemi?pageNo=11", "Onsemi")</f>
        <v>Onsemi</v>
      </c>
      <c r="C9448" s="6">
        <v>6000</v>
      </c>
      <c r="D9448" s="7">
        <v>1.06</v>
      </c>
      <c r="E9448" t="s">
        <v>27</v>
      </c>
    </row>
    <row r="9449" spans="1:5" x14ac:dyDescent="0.25">
      <c r="A9449" t="str">
        <f>HYPERLINK("https://www.773grp.com/globalSearch/NL27WZ16DFT2H/page-1", "NL27WZ16DFT2H")</f>
        <v>NL27WZ16DFT2H</v>
      </c>
      <c r="B9449" s="3" t="str">
        <f>HYPERLINK("https://www.773grp.com/manufacturer/onsemi?pageNo=12", "Onsemi")</f>
        <v>Onsemi</v>
      </c>
      <c r="C9449" s="6">
        <v>42000</v>
      </c>
      <c r="D9449" s="7">
        <v>1.06</v>
      </c>
    </row>
    <row r="9450" spans="1:5" x14ac:dyDescent="0.25">
      <c r="A9450" t="str">
        <f>HYPERLINK("https://www.773grp.com/globalSearch/NL27WZ16DTT1G/page-1", "NL27WZ16DTT1G")</f>
        <v>NL27WZ16DTT1G</v>
      </c>
      <c r="B9450" s="3" t="str">
        <f>HYPERLINK("https://www.773grp.com/manufacturer/onsemi?pageNo=13", "Onsemi")</f>
        <v>Onsemi</v>
      </c>
      <c r="C9450" s="6">
        <v>8700</v>
      </c>
      <c r="D9450" s="7">
        <v>1.06</v>
      </c>
      <c r="E9450" t="s">
        <v>27</v>
      </c>
    </row>
    <row r="9451" spans="1:5" x14ac:dyDescent="0.25">
      <c r="A9451" t="str">
        <f>HYPERLINK("https://www.773grp.com/globalSearch/NL27WZ32USG/page-1", "NL27WZ32USG")</f>
        <v>NL27WZ32USG</v>
      </c>
      <c r="B9451" s="3" t="str">
        <f>HYPERLINK("https://www.773grp.com/manufacturer/onsemi?pageNo=14", "Onsemi")</f>
        <v>Onsemi</v>
      </c>
      <c r="C9451" s="6">
        <v>217965</v>
      </c>
      <c r="D9451" s="7">
        <v>1.06</v>
      </c>
      <c r="E9451" t="s">
        <v>27</v>
      </c>
    </row>
    <row r="9452" spans="1:5" x14ac:dyDescent="0.25">
      <c r="A9452" t="str">
        <f>HYPERLINK("https://www.773grp.com/globalSearch/NL27WZ86USG/page-1", "NL27WZ86USG")</f>
        <v>NL27WZ86USG</v>
      </c>
      <c r="B9452" s="3" t="str">
        <f>HYPERLINK("https://www.773grp.com/manufacturer/onsemi?pageNo=15", "Onsemi")</f>
        <v>Onsemi</v>
      </c>
      <c r="C9452" s="6">
        <v>76295</v>
      </c>
      <c r="D9452" s="7">
        <v>1.06</v>
      </c>
      <c r="E9452" t="s">
        <v>27</v>
      </c>
    </row>
    <row r="9453" spans="1:5" x14ac:dyDescent="0.25">
      <c r="A9453" t="str">
        <f>HYPERLINK("https://www.773grp.com/globalSearch/NL27WZU04DFT2/page-1", "NL27WZU04DFT2")</f>
        <v>NL27WZU04DFT2</v>
      </c>
      <c r="B9453" s="3" t="str">
        <f>HYPERLINK("https://www.773grp.com/manufacturer/onsemi?pageNo=16", "Onsemi")</f>
        <v>Onsemi</v>
      </c>
      <c r="C9453" s="6">
        <v>59500</v>
      </c>
      <c r="D9453" s="7">
        <v>1.06</v>
      </c>
      <c r="E9453" t="s">
        <v>27</v>
      </c>
    </row>
    <row r="9454" spans="1:5" x14ac:dyDescent="0.25">
      <c r="A9454" t="str">
        <f>HYPERLINK("https://www.773grp.com/globalSearch/NL27WZU04DTT1G/page-1", "NL27WZU04DTT1G")</f>
        <v>NL27WZU04DTT1G</v>
      </c>
      <c r="B9454" s="3" t="str">
        <f>HYPERLINK("https://www.773grp.com/manufacturer/onsemi?pageNo=17", "Onsemi")</f>
        <v>Onsemi</v>
      </c>
      <c r="C9454" s="6">
        <v>6000</v>
      </c>
      <c r="D9454" s="7">
        <v>1.06</v>
      </c>
    </row>
    <row r="9455" spans="1:5" x14ac:dyDescent="0.25">
      <c r="A9455" t="str">
        <f>HYPERLINK("https://www.773grp.com/globalSearch/NLAS323USG/page-1", "NLAS323USG")</f>
        <v>NLAS323USG</v>
      </c>
      <c r="B9455" s="3" t="str">
        <f>HYPERLINK("https://www.773grp.com/manufacturer/onsemi?pageNo=18", "Onsemi")</f>
        <v>Onsemi</v>
      </c>
      <c r="C9455" s="6">
        <v>57000</v>
      </c>
      <c r="D9455" s="7">
        <v>1.06</v>
      </c>
    </row>
    <row r="9456" spans="1:5" x14ac:dyDescent="0.25">
      <c r="A9456" t="str">
        <f>HYPERLINK("https://www.773grp.com/globalSearch/NLAS4599DTT1/page-1", "NLAS4599DTT1")</f>
        <v>NLAS4599DTT1</v>
      </c>
      <c r="B9456" s="3" t="str">
        <f>HYPERLINK("https://www.773grp.com/manufacturer/onsemi?pageNo=19", "Onsemi")</f>
        <v>Onsemi</v>
      </c>
      <c r="C9456" s="6">
        <v>33000</v>
      </c>
      <c r="D9456" s="7">
        <v>1.06</v>
      </c>
      <c r="E9456" t="s">
        <v>46</v>
      </c>
    </row>
    <row r="9457" spans="1:5" x14ac:dyDescent="0.25">
      <c r="A9457" t="str">
        <f>HYPERLINK("https://www.773grp.com/globalSearch/NLSF1174MNR2/page-1", "NLSF1174MNR2")</f>
        <v>NLSF1174MNR2</v>
      </c>
      <c r="B9457" s="3" t="str">
        <f>HYPERLINK("https://www.773grp.com/manufacturer/onsemi?pageNo=20", "Onsemi")</f>
        <v>Onsemi</v>
      </c>
      <c r="C9457" s="6">
        <v>474000</v>
      </c>
      <c r="D9457" s="7">
        <v>1.06</v>
      </c>
      <c r="E9457" t="s">
        <v>31</v>
      </c>
    </row>
    <row r="9458" spans="1:5" x14ac:dyDescent="0.25">
      <c r="A9458" t="str">
        <f>HYPERLINK("https://www.773grp.com/globalSearch/NLV14014BDR2G/page-1", "NLV14014BDR2G")</f>
        <v>NLV14014BDR2G</v>
      </c>
      <c r="B9458" s="3" t="str">
        <f>HYPERLINK("https://www.773grp.com/manufacturer/onsemi?pageNo=21", "Onsemi")</f>
        <v>Onsemi</v>
      </c>
      <c r="C9458" s="6">
        <v>26296</v>
      </c>
      <c r="D9458" s="7">
        <v>1.06</v>
      </c>
    </row>
    <row r="9459" spans="1:5" x14ac:dyDescent="0.25">
      <c r="A9459" t="str">
        <f>HYPERLINK("https://www.773grp.com/globalSearch/NLV14021BDR2G/page-1", "NLV14021BDR2G")</f>
        <v>NLV14021BDR2G</v>
      </c>
      <c r="B9459" s="3" t="str">
        <f>HYPERLINK("https://www.773grp.com/manufacturer/onsemi?pageNo=22", "Onsemi")</f>
        <v>Onsemi</v>
      </c>
      <c r="C9459" s="6">
        <v>565</v>
      </c>
      <c r="D9459" s="7">
        <v>1.06</v>
      </c>
    </row>
    <row r="9460" spans="1:5" x14ac:dyDescent="0.25">
      <c r="A9460" t="str">
        <f>HYPERLINK("https://www.773grp.com/globalSearch/NP0640SCT3G/page-1", "NP0640SCT3G")</f>
        <v>NP0640SCT3G</v>
      </c>
      <c r="B9460" s="3" t="str">
        <f>HYPERLINK("https://www.773grp.com/manufacturer/onsemi?pageNo=23", "Onsemi")</f>
        <v>Onsemi</v>
      </c>
      <c r="C9460" s="6">
        <v>4740</v>
      </c>
      <c r="D9460" s="7">
        <v>1.06</v>
      </c>
      <c r="E9460" t="s">
        <v>88</v>
      </c>
    </row>
    <row r="9461" spans="1:5" x14ac:dyDescent="0.25">
      <c r="A9461" t="str">
        <f>HYPERLINK("https://www.773grp.com/globalSearch/NP0720SCT3G/page-1", "NP0720SCT3G")</f>
        <v>NP0720SCT3G</v>
      </c>
      <c r="B9461" s="3" t="str">
        <f>HYPERLINK("https://www.773grp.com/manufacturer/onsemi?pageNo=24", "Onsemi")</f>
        <v>Onsemi</v>
      </c>
      <c r="C9461" s="6">
        <v>6750</v>
      </c>
      <c r="D9461" s="7">
        <v>1.06</v>
      </c>
      <c r="E9461" t="s">
        <v>88</v>
      </c>
    </row>
    <row r="9462" spans="1:5" x14ac:dyDescent="0.25">
      <c r="A9462" t="str">
        <f>HYPERLINK("https://www.773grp.com/globalSearch/NP1100SCT3G/page-1", "NP1100SCT3G")</f>
        <v>NP1100SCT3G</v>
      </c>
      <c r="B9462" s="3" t="str">
        <f>HYPERLINK("https://www.773grp.com/manufacturer/onsemi?pageNo=25", "Onsemi")</f>
        <v>Onsemi</v>
      </c>
      <c r="C9462" s="6">
        <v>5000</v>
      </c>
      <c r="D9462" s="7">
        <v>1.06</v>
      </c>
      <c r="E9462" t="s">
        <v>88</v>
      </c>
    </row>
    <row r="9463" spans="1:5" x14ac:dyDescent="0.25">
      <c r="A9463" t="str">
        <f>HYPERLINK("https://www.773grp.com/globalSearch/NP1300SCT3G/page-1", "NP1300SCT3G")</f>
        <v>NP1300SCT3G</v>
      </c>
      <c r="B9463" s="3" t="str">
        <f>HYPERLINK("https://www.773grp.com/manufacturer/onsemi?pageNo=26", "Onsemi")</f>
        <v>Onsemi</v>
      </c>
      <c r="C9463" s="6">
        <v>37500</v>
      </c>
      <c r="D9463" s="7">
        <v>1.06</v>
      </c>
    </row>
    <row r="9464" spans="1:5" x14ac:dyDescent="0.25">
      <c r="A9464" t="str">
        <f>HYPERLINK("https://www.773grp.com/globalSearch/NP1800SCT3G/page-1", "NP1800SCT3G")</f>
        <v>NP1800SCT3G</v>
      </c>
      <c r="B9464" s="3" t="str">
        <f>HYPERLINK("https://www.773grp.com/manufacturer/onsemi?pageNo=27", "Onsemi")</f>
        <v>Onsemi</v>
      </c>
      <c r="C9464" s="6">
        <v>9945</v>
      </c>
      <c r="D9464" s="7">
        <v>1.06</v>
      </c>
      <c r="E9464" t="s">
        <v>88</v>
      </c>
    </row>
    <row r="9465" spans="1:5" x14ac:dyDescent="0.25">
      <c r="A9465" t="str">
        <f>HYPERLINK("https://www.773grp.com/globalSearch/NP2100SCT3G/page-1", "NP2100SCT3G")</f>
        <v>NP2100SCT3G</v>
      </c>
      <c r="B9465" s="3" t="str">
        <f>HYPERLINK("https://www.773grp.com/manufacturer/onsemi?pageNo=28", "Onsemi")</f>
        <v>Onsemi</v>
      </c>
      <c r="C9465" s="6">
        <v>1735</v>
      </c>
      <c r="D9465" s="7">
        <v>1.06</v>
      </c>
    </row>
    <row r="9466" spans="1:5" x14ac:dyDescent="0.25">
      <c r="A9466" t="str">
        <f>HYPERLINK("https://www.773grp.com/globalSearch/NP2300SCT3G/page-1", "NP2300SCT3G")</f>
        <v>NP2300SCT3G</v>
      </c>
      <c r="B9466" s="3" t="str">
        <f>HYPERLINK("https://www.773grp.com/manufacturer/onsemi?pageNo=29", "Onsemi")</f>
        <v>Onsemi</v>
      </c>
      <c r="C9466" s="6">
        <v>4650</v>
      </c>
      <c r="D9466" s="7">
        <v>1.06</v>
      </c>
    </row>
    <row r="9467" spans="1:5" x14ac:dyDescent="0.25">
      <c r="A9467" t="str">
        <f>HYPERLINK("https://www.773grp.com/globalSearch/NP2600SCT3G/page-1", "NP2600SCT3G")</f>
        <v>NP2600SCT3G</v>
      </c>
      <c r="B9467" s="3" t="str">
        <f>HYPERLINK("https://www.773grp.com/manufacturer/onsemi?pageNo=30", "Onsemi")</f>
        <v>Onsemi</v>
      </c>
      <c r="C9467" s="6">
        <v>29855</v>
      </c>
      <c r="D9467" s="7">
        <v>1.06</v>
      </c>
    </row>
    <row r="9468" spans="1:5" x14ac:dyDescent="0.25">
      <c r="A9468" t="str">
        <f>HYPERLINK("https://www.773grp.com/globalSearch/NP3100SCT3G/page-1", "NP3100SCT3G")</f>
        <v>NP3100SCT3G</v>
      </c>
      <c r="B9468" s="3" t="str">
        <f>HYPERLINK("https://www.773grp.com/manufacturer/onsemi?pageNo=31", "Onsemi")</f>
        <v>Onsemi</v>
      </c>
      <c r="C9468" s="6">
        <v>600</v>
      </c>
      <c r="D9468" s="7">
        <v>1.06</v>
      </c>
    </row>
    <row r="9469" spans="1:5" x14ac:dyDescent="0.25">
      <c r="A9469" t="str">
        <f>HYPERLINK("https://www.773grp.com/globalSearch/NP3500SCT3G/page-1", "NP3500SCT3G")</f>
        <v>NP3500SCT3G</v>
      </c>
      <c r="B9469" s="3" t="str">
        <f>HYPERLINK("https://www.773grp.com/manufacturer/onsemi?pageNo=32", "Onsemi")</f>
        <v>Onsemi</v>
      </c>
      <c r="C9469" s="6">
        <v>52740</v>
      </c>
      <c r="D9469" s="7">
        <v>1.06</v>
      </c>
      <c r="E9469" t="s">
        <v>88</v>
      </c>
    </row>
    <row r="9470" spans="1:5" x14ac:dyDescent="0.25">
      <c r="A9470" t="str">
        <f>HYPERLINK("https://www.773grp.com/globalSearch/NS5A4684SMNTBG/page-1", "NS5A4684SMNTBG")</f>
        <v>NS5A4684SMNTBG</v>
      </c>
      <c r="B9470" s="3" t="str">
        <f>HYPERLINK("https://www.773grp.com/manufacturer/onsemi?pageNo=33", "Onsemi")</f>
        <v>Onsemi</v>
      </c>
      <c r="C9470" s="6">
        <v>3000</v>
      </c>
      <c r="D9470" s="7">
        <v>1.06</v>
      </c>
    </row>
    <row r="9471" spans="1:5" x14ac:dyDescent="0.25">
      <c r="A9471" t="str">
        <f>HYPERLINK("https://www.773grp.com/globalSearch/NSRM0230M2T5G/page-1", "NSRM0230M2T5G")</f>
        <v>NSRM0230M2T5G</v>
      </c>
      <c r="B9471" s="3" t="str">
        <f>HYPERLINK("https://www.773grp.com/manufacturer/onsemi?pageNo=34", "Onsemi")</f>
        <v>Onsemi</v>
      </c>
      <c r="C9471" s="6">
        <v>112000</v>
      </c>
      <c r="D9471" s="7">
        <v>1.06</v>
      </c>
    </row>
    <row r="9472" spans="1:5" x14ac:dyDescent="0.25">
      <c r="A9472" t="str">
        <f>HYPERLINK("https://www.773grp.com/globalSearch/NSS12100UW3TCG/page-1", "NSS12100UW3TCG")</f>
        <v>NSS12100UW3TCG</v>
      </c>
      <c r="B9472" s="3" t="str">
        <f>HYPERLINK("https://www.773grp.com/manufacturer/onsemi?pageNo=35", "Onsemi")</f>
        <v>Onsemi</v>
      </c>
      <c r="C9472" s="6">
        <v>147000</v>
      </c>
      <c r="D9472" s="7">
        <v>1.06</v>
      </c>
      <c r="E9472" t="s">
        <v>57</v>
      </c>
    </row>
    <row r="9473" spans="1:5" x14ac:dyDescent="0.25">
      <c r="A9473" t="str">
        <f>HYPERLINK("https://www.773grp.com/globalSearch/NTB4302G/page-1", "NTB4302G")</f>
        <v>NTB4302G</v>
      </c>
      <c r="B9473" s="3" t="str">
        <f>HYPERLINK("https://www.773grp.com/manufacturer/onsemi?pageNo=36", "Onsemi")</f>
        <v>Onsemi</v>
      </c>
      <c r="C9473" s="6">
        <v>1700</v>
      </c>
      <c r="D9473" s="7">
        <v>1.06</v>
      </c>
      <c r="E9473" t="s">
        <v>84</v>
      </c>
    </row>
    <row r="9474" spans="1:5" x14ac:dyDescent="0.25">
      <c r="A9474" t="str">
        <f>HYPERLINK("https://www.773grp.com/globalSearch/NTB4302T4/page-1", "NTB4302T4")</f>
        <v>NTB4302T4</v>
      </c>
      <c r="B9474" s="3" t="str">
        <f>HYPERLINK("https://www.773grp.com/manufacturer/onsemi?pageNo=37", "Onsemi")</f>
        <v>Onsemi</v>
      </c>
      <c r="C9474" s="6">
        <v>7160</v>
      </c>
      <c r="D9474" s="7">
        <v>1.06</v>
      </c>
      <c r="E9474" t="s">
        <v>84</v>
      </c>
    </row>
    <row r="9475" spans="1:5" x14ac:dyDescent="0.25">
      <c r="A9475" t="str">
        <f>HYPERLINK("https://www.773grp.com/globalSearch/NTB5605P/page-1", "NTB5605P")</f>
        <v>NTB5605P</v>
      </c>
      <c r="B9475" s="3" t="str">
        <f>HYPERLINK("https://www.773grp.com/manufacturer/onsemi?pageNo=38", "Onsemi")</f>
        <v>Onsemi</v>
      </c>
      <c r="C9475" s="6">
        <v>125</v>
      </c>
      <c r="D9475" s="7">
        <v>1.06</v>
      </c>
      <c r="E9475" t="s">
        <v>84</v>
      </c>
    </row>
    <row r="9476" spans="1:5" x14ac:dyDescent="0.25">
      <c r="A9476" t="str">
        <f>HYPERLINK("https://www.773grp.com/globalSearch/NTD18N06L-1G/page-1", "NTD18N06L-1G")</f>
        <v>NTD18N06L-1G</v>
      </c>
      <c r="B9476" s="3" t="str">
        <f>HYPERLINK("https://www.773grp.com/manufacturer/onsemi?pageNo=39", "Onsemi")</f>
        <v>Onsemi</v>
      </c>
      <c r="C9476" s="6">
        <v>1950</v>
      </c>
      <c r="D9476" s="7">
        <v>1.06</v>
      </c>
    </row>
    <row r="9477" spans="1:5" x14ac:dyDescent="0.25">
      <c r="A9477" t="str">
        <f>HYPERLINK("https://www.773grp.com/globalSearch/NTD18N06LG/page-1", "NTD18N06LG")</f>
        <v>NTD18N06LG</v>
      </c>
      <c r="B9477" s="3" t="str">
        <f>HYPERLINK("https://www.773grp.com/manufacturer/onsemi?pageNo=40", "Onsemi")</f>
        <v>Onsemi</v>
      </c>
      <c r="C9477" s="6">
        <v>355</v>
      </c>
      <c r="D9477" s="7">
        <v>1.06</v>
      </c>
      <c r="E9477" t="s">
        <v>84</v>
      </c>
    </row>
    <row r="9478" spans="1:5" x14ac:dyDescent="0.25">
      <c r="A9478" t="str">
        <f>HYPERLINK("https://www.773grp.com/globalSearch/NTD3808N-35G/page-1", "NTD3808N-35G")</f>
        <v>NTD3808N-35G</v>
      </c>
      <c r="B9478" s="3" t="str">
        <f>HYPERLINK("https://www.773grp.com/manufacturer/onsemi?pageNo=41", "Onsemi")</f>
        <v>Onsemi</v>
      </c>
      <c r="C9478" s="6">
        <v>7050</v>
      </c>
      <c r="D9478" s="7">
        <v>1.06</v>
      </c>
      <c r="E9478" t="s">
        <v>84</v>
      </c>
    </row>
    <row r="9479" spans="1:5" x14ac:dyDescent="0.25">
      <c r="A9479" t="str">
        <f>HYPERLINK("https://www.773grp.com/globalSearch/NTD3808NT4G/page-1", "NTD3808NT4G")</f>
        <v>NTD3808NT4G</v>
      </c>
      <c r="B9479" s="3" t="str">
        <f>HYPERLINK("https://www.773grp.com/manufacturer/onsemi?pageNo=42", "Onsemi")</f>
        <v>Onsemi</v>
      </c>
      <c r="C9479" s="6">
        <v>60000</v>
      </c>
      <c r="D9479" s="7">
        <v>1.06</v>
      </c>
      <c r="E9479" t="s">
        <v>84</v>
      </c>
    </row>
    <row r="9480" spans="1:5" x14ac:dyDescent="0.25">
      <c r="A9480" t="str">
        <f>HYPERLINK("https://www.773grp.com/globalSearch/NTD4810NHT4G/page-1", "NTD4810NHT4G")</f>
        <v>NTD4810NHT4G</v>
      </c>
      <c r="B9480" s="3" t="str">
        <f>HYPERLINK("https://www.773grp.com/manufacturer/onsemi?pageNo=43", "Onsemi")</f>
        <v>Onsemi</v>
      </c>
      <c r="C9480" s="6">
        <v>7500</v>
      </c>
      <c r="D9480" s="7">
        <v>1.06</v>
      </c>
      <c r="E9480" t="s">
        <v>84</v>
      </c>
    </row>
    <row r="9481" spans="1:5" x14ac:dyDescent="0.25">
      <c r="A9481" t="str">
        <f>HYPERLINK("https://www.773grp.com/globalSearch/NTD4857NA-1G/page-1", "NTD4857NA-1G")</f>
        <v>NTD4857NA-1G</v>
      </c>
      <c r="B9481" s="3" t="str">
        <f>HYPERLINK("https://www.773grp.com/manufacturer/onsemi?pageNo=44", "Onsemi")</f>
        <v>Onsemi</v>
      </c>
      <c r="C9481" s="6">
        <v>5700</v>
      </c>
      <c r="D9481" s="7">
        <v>1.06</v>
      </c>
    </row>
    <row r="9482" spans="1:5" x14ac:dyDescent="0.25">
      <c r="A9482" t="str">
        <f>HYPERLINK("https://www.773grp.com/globalSearch/NTD4857NAT4G/page-1", "NTD4857NAT4G")</f>
        <v>NTD4857NAT4G</v>
      </c>
      <c r="B9482" s="3" t="str">
        <f>HYPERLINK("https://www.773grp.com/manufacturer/onsemi?pageNo=45", "Onsemi")</f>
        <v>Onsemi</v>
      </c>
      <c r="C9482" s="6">
        <v>2500</v>
      </c>
      <c r="D9482" s="7">
        <v>1.06</v>
      </c>
    </row>
    <row r="9483" spans="1:5" x14ac:dyDescent="0.25">
      <c r="A9483" t="str">
        <f>HYPERLINK("https://www.773grp.com/globalSearch/NTD4863N-35G/page-1", "NTD4863N-35G")</f>
        <v>NTD4863N-35G</v>
      </c>
      <c r="B9483" s="3" t="str">
        <f>HYPERLINK("https://www.773grp.com/manufacturer/onsemi?pageNo=46", "Onsemi")</f>
        <v>Onsemi</v>
      </c>
      <c r="C9483" s="6">
        <v>177225</v>
      </c>
      <c r="D9483" s="7">
        <v>1.06</v>
      </c>
      <c r="E9483" t="s">
        <v>84</v>
      </c>
    </row>
    <row r="9484" spans="1:5" x14ac:dyDescent="0.25">
      <c r="A9484" t="str">
        <f>HYPERLINK("https://www.773grp.com/globalSearch/NTD4863NAT4G/page-1", "NTD4863NAT4G")</f>
        <v>NTD4863NAT4G</v>
      </c>
      <c r="B9484" s="3" t="str">
        <f>HYPERLINK("https://www.773grp.com/manufacturer/onsemi?pageNo=47", "Onsemi")</f>
        <v>Onsemi</v>
      </c>
      <c r="C9484" s="6">
        <v>285000</v>
      </c>
      <c r="D9484" s="7">
        <v>1.06</v>
      </c>
    </row>
    <row r="9485" spans="1:5" x14ac:dyDescent="0.25">
      <c r="A9485" t="str">
        <f>HYPERLINK("https://www.773grp.com/globalSearch/NTD4863NT4G/page-1", "NTD4863NT4G")</f>
        <v>NTD4863NT4G</v>
      </c>
      <c r="B9485" s="3" t="str">
        <f>HYPERLINK("https://www.773grp.com/manufacturer/onsemi?pageNo=48", "Onsemi")</f>
        <v>Onsemi</v>
      </c>
      <c r="C9485" s="6">
        <v>112320</v>
      </c>
      <c r="D9485" s="7">
        <v>1.06</v>
      </c>
      <c r="E9485" t="s">
        <v>84</v>
      </c>
    </row>
    <row r="9486" spans="1:5" x14ac:dyDescent="0.25">
      <c r="A9486" t="str">
        <f>HYPERLINK("https://www.773grp.com/globalSearch/NTD4965N-1G/page-1", "NTD4965N-1G")</f>
        <v>NTD4965N-1G</v>
      </c>
      <c r="B9486" s="3" t="str">
        <f>HYPERLINK("https://www.773grp.com/manufacturer/onsemi?pageNo=49", "Onsemi")</f>
        <v>Onsemi</v>
      </c>
      <c r="C9486" s="6">
        <v>399</v>
      </c>
      <c r="D9486" s="7">
        <v>1.06</v>
      </c>
    </row>
    <row r="9487" spans="1:5" x14ac:dyDescent="0.25">
      <c r="A9487" t="str">
        <f>HYPERLINK("https://www.773grp.com/globalSearch/NTD4965NT4G/page-1", "NTD4965NT4G")</f>
        <v>NTD4965NT4G</v>
      </c>
      <c r="B9487" s="3" t="str">
        <f>HYPERLINK("https://www.773grp.com/manufacturer/onsemi?pageNo=50", "Onsemi")</f>
        <v>Onsemi</v>
      </c>
      <c r="C9487" s="6">
        <v>5000</v>
      </c>
      <c r="D9487" s="7">
        <v>1.06</v>
      </c>
    </row>
    <row r="9488" spans="1:5" x14ac:dyDescent="0.25">
      <c r="A9488" t="str">
        <f>HYPERLINK("https://www.773grp.com/globalSearch/NTD85N02R-1G/page-1", "NTD85N02R-1G")</f>
        <v>NTD85N02R-1G</v>
      </c>
      <c r="B9488" s="3" t="str">
        <f>HYPERLINK("https://www.773grp.com/manufacturer/onsemi?pageNo=51", "Onsemi")</f>
        <v>Onsemi</v>
      </c>
      <c r="C9488" s="6">
        <v>246305</v>
      </c>
      <c r="D9488" s="7">
        <v>1.06</v>
      </c>
      <c r="E9488" t="s">
        <v>84</v>
      </c>
    </row>
    <row r="9489" spans="1:5" x14ac:dyDescent="0.25">
      <c r="A9489" t="str">
        <f>HYPERLINK("https://www.773grp.com/globalSearch/NTGS1135PT1G/page-1", "NTGS1135PT1G")</f>
        <v>NTGS1135PT1G</v>
      </c>
      <c r="B9489" s="3" t="str">
        <f>HYPERLINK("https://www.773grp.com/manufacturer/onsemi?pageNo=52", "Onsemi")</f>
        <v>Onsemi</v>
      </c>
      <c r="C9489" s="6">
        <v>17380</v>
      </c>
      <c r="D9489" s="7">
        <v>1.06</v>
      </c>
      <c r="E9489" t="s">
        <v>85</v>
      </c>
    </row>
    <row r="9490" spans="1:5" x14ac:dyDescent="0.25">
      <c r="A9490" t="str">
        <f>HYPERLINK("https://www.773grp.com/globalSearch/NTHD5903T1G/page-1", "NTHD5903T1G")</f>
        <v>NTHD5903T1G</v>
      </c>
      <c r="B9490" s="3" t="str">
        <f>HYPERLINK("https://www.773grp.com/manufacturer/onsemi?pageNo=53", "Onsemi")</f>
        <v>Onsemi</v>
      </c>
      <c r="C9490" s="6">
        <v>3535</v>
      </c>
      <c r="D9490" s="7">
        <v>1.06</v>
      </c>
      <c r="E9490" t="s">
        <v>85</v>
      </c>
    </row>
    <row r="9491" spans="1:5" x14ac:dyDescent="0.25">
      <c r="A9491" t="str">
        <f>HYPERLINK("https://www.773grp.com/globalSearch/NTLJF3118NTBG/page-1", "NTLJF3118NTBG")</f>
        <v>NTLJF3118NTBG</v>
      </c>
      <c r="B9491" s="3" t="str">
        <f>HYPERLINK("https://www.773grp.com/manufacturer/onsemi?pageNo=54", "Onsemi")</f>
        <v>Onsemi</v>
      </c>
      <c r="C9491" s="6">
        <v>27000</v>
      </c>
      <c r="D9491" s="7">
        <v>1.06</v>
      </c>
      <c r="E9491" t="s">
        <v>84</v>
      </c>
    </row>
    <row r="9492" spans="1:5" x14ac:dyDescent="0.25">
      <c r="A9492" t="str">
        <f>HYPERLINK("https://www.773grp.com/globalSearch/NTLJS2103PTAG/page-1", "NTLJS2103PTAG")</f>
        <v>NTLJS2103PTAG</v>
      </c>
      <c r="B9492" s="3" t="str">
        <f>HYPERLINK("https://www.773grp.com/manufacturer/onsemi?pageNo=55", "Onsemi")</f>
        <v>Onsemi</v>
      </c>
      <c r="C9492" s="6">
        <v>75662</v>
      </c>
      <c r="D9492" s="7">
        <v>1.06</v>
      </c>
      <c r="E9492" t="s">
        <v>85</v>
      </c>
    </row>
    <row r="9493" spans="1:5" x14ac:dyDescent="0.25">
      <c r="A9493" t="str">
        <f>HYPERLINK("https://www.773grp.com/globalSearch/NTLTD7900ZR2G/page-1", "NTLTD7900ZR2G")</f>
        <v>NTLTD7900ZR2G</v>
      </c>
      <c r="B9493" s="3" t="str">
        <f>HYPERLINK("https://www.773grp.com/manufacturer/onsemi?pageNo=56", "Onsemi")</f>
        <v>Onsemi</v>
      </c>
      <c r="C9493" s="6">
        <v>306138</v>
      </c>
      <c r="D9493" s="7">
        <v>1.06</v>
      </c>
      <c r="E9493" t="s">
        <v>84</v>
      </c>
    </row>
    <row r="9494" spans="1:5" x14ac:dyDescent="0.25">
      <c r="A9494" t="str">
        <f>HYPERLINK("https://www.773grp.com/globalSearch/NTLUS3A18PZTAG/page-1", "NTLUS3A18PZTAG")</f>
        <v>NTLUS3A18PZTAG</v>
      </c>
      <c r="B9494" s="3" t="str">
        <f>HYPERLINK("https://www.773grp.com/manufacturer/onsemi?pageNo=57", "Onsemi")</f>
        <v>Onsemi</v>
      </c>
      <c r="C9494" s="6">
        <v>99000</v>
      </c>
      <c r="D9494" s="7">
        <v>1.06</v>
      </c>
    </row>
    <row r="9495" spans="1:5" x14ac:dyDescent="0.25">
      <c r="A9495" t="str">
        <f>HYPERLINK("https://www.773grp.com/globalSearch/NTMD4820NR2G/page-1", "NTMD4820NR2G")</f>
        <v>NTMD4820NR2G</v>
      </c>
      <c r="B9495" s="3" t="str">
        <f>HYPERLINK("https://www.773grp.com/manufacturer/onsemi?pageNo=58", "Onsemi")</f>
        <v>Onsemi</v>
      </c>
      <c r="C9495" s="6">
        <v>78541</v>
      </c>
      <c r="D9495" s="7">
        <v>1.06</v>
      </c>
      <c r="E9495" t="s">
        <v>85</v>
      </c>
    </row>
    <row r="9496" spans="1:5" x14ac:dyDescent="0.25">
      <c r="A9496" t="str">
        <f>HYPERLINK("https://www.773grp.com/globalSearch/NTMFS4839NHT1G/page-1", "NTMFS4839NHT1G")</f>
        <v>NTMFS4839NHT1G</v>
      </c>
      <c r="B9496" s="3" t="str">
        <f>HYPERLINK("https://www.773grp.com/manufacturer/onsemi?pageNo=59", "Onsemi")</f>
        <v>Onsemi</v>
      </c>
      <c r="C9496" s="6">
        <v>735321</v>
      </c>
      <c r="D9496" s="7">
        <v>1.06</v>
      </c>
      <c r="E9496" t="s">
        <v>84</v>
      </c>
    </row>
    <row r="9497" spans="1:5" x14ac:dyDescent="0.25">
      <c r="A9497" t="str">
        <f>HYPERLINK("https://www.773grp.com/globalSearch/NTMFS4851NT1G/page-1", "NTMFS4851NT1G")</f>
        <v>NTMFS4851NT1G</v>
      </c>
      <c r="B9497" s="3" t="str">
        <f>HYPERLINK("https://www.773grp.com/manufacturer/onsemi?pageNo=60", "Onsemi")</f>
        <v>Onsemi</v>
      </c>
      <c r="C9497" s="6">
        <v>71190</v>
      </c>
      <c r="D9497" s="7">
        <v>1.06</v>
      </c>
      <c r="E9497" t="s">
        <v>85</v>
      </c>
    </row>
    <row r="9498" spans="1:5" x14ac:dyDescent="0.25">
      <c r="A9498" t="str">
        <f>HYPERLINK("https://www.773grp.com/globalSearch/NTMFS4937NT1G/page-1", "NTMFS4937NT1G")</f>
        <v>NTMFS4937NT1G</v>
      </c>
      <c r="B9498" s="3" t="str">
        <f>HYPERLINK("https://www.773grp.com/manufacturer/onsemi?pageNo=61", "Onsemi")</f>
        <v>Onsemi</v>
      </c>
      <c r="C9498" s="6">
        <v>94498</v>
      </c>
      <c r="D9498" s="7">
        <v>1.06</v>
      </c>
      <c r="E9498" t="s">
        <v>84</v>
      </c>
    </row>
    <row r="9499" spans="1:5" x14ac:dyDescent="0.25">
      <c r="A9499" t="str">
        <f>HYPERLINK("https://www.773grp.com/globalSearch/NTMS5P02R2SG/page-1", "NTMS5P02R2SG")</f>
        <v>NTMS5P02R2SG</v>
      </c>
      <c r="B9499" s="3" t="str">
        <f>HYPERLINK("https://www.773grp.com/manufacturer/onsemi?pageNo=62", "Onsemi")</f>
        <v>Onsemi</v>
      </c>
      <c r="C9499" s="6">
        <v>7363</v>
      </c>
      <c r="D9499" s="7">
        <v>1.06</v>
      </c>
    </row>
    <row r="9500" spans="1:5" x14ac:dyDescent="0.25">
      <c r="A9500" t="str">
        <f>HYPERLINK("https://www.773grp.com/globalSearch/NTTFS4928NTAG/page-1", "NTTFS4928NTAG")</f>
        <v>NTTFS4928NTAG</v>
      </c>
      <c r="B9500" s="3" t="str">
        <f>HYPERLINK("https://www.773grp.com/manufacturer/onsemi?pageNo=63", "Onsemi")</f>
        <v>Onsemi</v>
      </c>
      <c r="C9500" s="6">
        <v>61500</v>
      </c>
      <c r="D9500" s="7">
        <v>1.06</v>
      </c>
    </row>
    <row r="9501" spans="1:5" x14ac:dyDescent="0.25">
      <c r="A9501" t="str">
        <f>HYPERLINK("https://www.773grp.com/globalSearch/NTTFS5826NLTAG/page-1", "NTTFS5826NLTAG")</f>
        <v>NTTFS5826NLTAG</v>
      </c>
      <c r="B9501" s="3" t="str">
        <f>HYPERLINK("https://www.773grp.com/manufacturer/onsemi?pageNo=64", "Onsemi")</f>
        <v>Onsemi</v>
      </c>
      <c r="C9501" s="6">
        <v>16500</v>
      </c>
      <c r="D9501" s="7">
        <v>1.06</v>
      </c>
    </row>
    <row r="9502" spans="1:5" x14ac:dyDescent="0.25">
      <c r="A9502" t="str">
        <f>HYPERLINK("https://www.773grp.com/globalSearch/NUF6105FCT1G/page-1", "NUF6105FCT1G")</f>
        <v>NUF6105FCT1G</v>
      </c>
      <c r="B9502" s="3" t="str">
        <f>HYPERLINK("https://www.773grp.com/manufacturer/onsemi?pageNo=65", "Onsemi")</f>
        <v>Onsemi</v>
      </c>
      <c r="C9502" s="6">
        <v>251610</v>
      </c>
      <c r="D9502" s="7">
        <v>1.06</v>
      </c>
      <c r="E9502" t="s">
        <v>79</v>
      </c>
    </row>
    <row r="9503" spans="1:5" x14ac:dyDescent="0.25">
      <c r="A9503" t="str">
        <f>HYPERLINK("https://www.773grp.com/globalSearch/NUF8001MUT2G/page-1", "NUF8001MUT2G")</f>
        <v>NUF8001MUT2G</v>
      </c>
      <c r="B9503" s="3" t="str">
        <f>HYPERLINK("https://www.773grp.com/manufacturer/onsemi?pageNo=66", "Onsemi")</f>
        <v>Onsemi</v>
      </c>
      <c r="C9503" s="6">
        <v>258000</v>
      </c>
      <c r="D9503" s="7">
        <v>1.06</v>
      </c>
      <c r="E9503" t="s">
        <v>79</v>
      </c>
    </row>
    <row r="9504" spans="1:5" x14ac:dyDescent="0.25">
      <c r="A9504" t="str">
        <f>HYPERLINK("https://www.773grp.com/globalSearch/NUF8010MUT2G/page-1", "NUF8010MUT2G")</f>
        <v>NUF8010MUT2G</v>
      </c>
      <c r="B9504" s="3" t="str">
        <f>HYPERLINK("https://www.773grp.com/manufacturer/onsemi?pageNo=67", "Onsemi")</f>
        <v>Onsemi</v>
      </c>
      <c r="C9504" s="6">
        <v>24900</v>
      </c>
      <c r="D9504" s="7">
        <v>1.06</v>
      </c>
      <c r="E9504" t="s">
        <v>79</v>
      </c>
    </row>
    <row r="9505" spans="1:5" x14ac:dyDescent="0.25">
      <c r="A9505" t="str">
        <f>HYPERLINK("https://www.773grp.com/globalSearch/NUF8152MUT2G/page-1", "NUF8152MUT2G")</f>
        <v>NUF8152MUT2G</v>
      </c>
      <c r="B9505" s="3" t="str">
        <f>HYPERLINK("https://www.773grp.com/manufacturer/onsemi?pageNo=68", "Onsemi")</f>
        <v>Onsemi</v>
      </c>
      <c r="C9505" s="6">
        <v>193809</v>
      </c>
      <c r="D9505" s="7">
        <v>1.06</v>
      </c>
      <c r="E9505" t="s">
        <v>79</v>
      </c>
    </row>
    <row r="9506" spans="1:5" x14ac:dyDescent="0.25">
      <c r="A9506" t="str">
        <f>HYPERLINK("https://www.773grp.com/globalSearch/NUF9005MNT4G/page-1", "NUF9005MNT4G")</f>
        <v>NUF9005MNT4G</v>
      </c>
      <c r="B9506" s="3" t="str">
        <f>HYPERLINK("https://www.773grp.com/manufacturer/onsemi?pageNo=69", "Onsemi")</f>
        <v>Onsemi</v>
      </c>
      <c r="C9506" s="6">
        <v>4000</v>
      </c>
      <c r="D9506" s="7">
        <v>1.06</v>
      </c>
    </row>
    <row r="9507" spans="1:5" x14ac:dyDescent="0.25">
      <c r="A9507" t="str">
        <f>HYPERLINK("https://www.773grp.com/globalSearch/NUP2201MR6T1/page-1", "NUP2201MR6T1")</f>
        <v>NUP2201MR6T1</v>
      </c>
      <c r="B9507" s="3" t="str">
        <f>HYPERLINK("https://www.773grp.com/manufacturer/onsemi?pageNo=70", "Onsemi")</f>
        <v>Onsemi</v>
      </c>
      <c r="C9507" s="6">
        <v>7163</v>
      </c>
      <c r="D9507" s="7">
        <v>1.06</v>
      </c>
      <c r="E9507" t="s">
        <v>75</v>
      </c>
    </row>
    <row r="9508" spans="1:5" x14ac:dyDescent="0.25">
      <c r="A9508" t="str">
        <f>HYPERLINK("https://www.773grp.com/globalSearch/NUP3112UPMUTAG/page-1", "NUP3112UPMUTAG")</f>
        <v>NUP3112UPMUTAG</v>
      </c>
      <c r="B9508" s="3" t="str">
        <f>HYPERLINK("https://www.773grp.com/manufacturer/onsemi?pageNo=71", "Onsemi")</f>
        <v>Onsemi</v>
      </c>
      <c r="C9508" s="6">
        <v>9000</v>
      </c>
      <c r="D9508" s="7">
        <v>1.06</v>
      </c>
      <c r="E9508" t="s">
        <v>75</v>
      </c>
    </row>
    <row r="9509" spans="1:5" x14ac:dyDescent="0.25">
      <c r="A9509" t="str">
        <f>HYPERLINK("https://www.773grp.com/globalSearch/NUP3115UPMUTAG/page-1", "NUP3115UPMUTAG")</f>
        <v>NUP3115UPMUTAG</v>
      </c>
      <c r="B9509" s="3" t="str">
        <f>HYPERLINK("https://www.773grp.com/manufacturer/onsemi?pageNo=72", "Onsemi")</f>
        <v>Onsemi</v>
      </c>
      <c r="C9509" s="6">
        <v>1950</v>
      </c>
      <c r="D9509" s="7">
        <v>1.06</v>
      </c>
    </row>
    <row r="9510" spans="1:5" x14ac:dyDescent="0.25">
      <c r="A9510" t="str">
        <f>HYPERLINK("https://www.773grp.com/globalSearch/NUP8011MUTAG/page-1", "NUP8011MUTAG")</f>
        <v>NUP8011MUTAG</v>
      </c>
      <c r="B9510" s="3" t="str">
        <f>HYPERLINK("https://www.773grp.com/manufacturer/onsemi?pageNo=73", "Onsemi")</f>
        <v>Onsemi</v>
      </c>
      <c r="C9510" s="6">
        <v>107585</v>
      </c>
      <c r="D9510" s="7">
        <v>1.06</v>
      </c>
      <c r="E9510" t="s">
        <v>75</v>
      </c>
    </row>
    <row r="9511" spans="1:5" x14ac:dyDescent="0.25">
      <c r="A9511" t="str">
        <f>HYPERLINK("https://www.773grp.com/globalSearch/SAC910A10/page-1", "SAC910A10")</f>
        <v>SAC910A10</v>
      </c>
      <c r="B9511" s="3" t="str">
        <f>HYPERLINK("https://www.773grp.com/manufacturer/onsemi?pageNo=74", "Onsemi")</f>
        <v>Onsemi</v>
      </c>
      <c r="C9511" s="6">
        <v>10000</v>
      </c>
      <c r="D9511" s="7">
        <v>1.06</v>
      </c>
    </row>
    <row r="9512" spans="1:5" x14ac:dyDescent="0.25">
      <c r="A9512" t="str">
        <f>HYPERLINK("https://www.773grp.com/globalSearch/SAC910A8/page-1", "SAC910A8")</f>
        <v>SAC910A8</v>
      </c>
      <c r="B9512" s="3" t="str">
        <f>HYPERLINK("https://www.773grp.com/manufacturer/onsemi?pageNo=75", "Onsemi")</f>
        <v>Onsemi</v>
      </c>
      <c r="C9512" s="6">
        <v>24000</v>
      </c>
      <c r="D9512" s="7">
        <v>1.06</v>
      </c>
    </row>
    <row r="9513" spans="1:5" x14ac:dyDescent="0.25">
      <c r="A9513" t="str">
        <f>HYPERLINK("https://www.773grp.com/globalSearch/SBRD81045T4G/page-1", "SBRD81045T4G")</f>
        <v>SBRD81045T4G</v>
      </c>
      <c r="B9513" s="3" t="str">
        <f>HYPERLINK("https://www.773grp.com/manufacturer/onsemi?pageNo=76", "Onsemi")</f>
        <v>Onsemi</v>
      </c>
      <c r="C9513" s="6">
        <v>2500</v>
      </c>
      <c r="D9513" s="7">
        <v>1.06</v>
      </c>
    </row>
    <row r="9514" spans="1:5" x14ac:dyDescent="0.25">
      <c r="A9514" t="str">
        <f>HYPERLINK("https://www.773grp.com/globalSearch/SBS811-S-TL-E/page-1", "SBS811-S-TL-E")</f>
        <v>SBS811-S-TL-E</v>
      </c>
      <c r="B9514" s="3" t="str">
        <f>HYPERLINK("https://www.773grp.com/manufacturer/onsemi?pageNo=77", "Onsemi")</f>
        <v>Onsemi</v>
      </c>
      <c r="C9514" s="6">
        <v>6000</v>
      </c>
      <c r="D9514" s="7">
        <v>1.06</v>
      </c>
    </row>
    <row r="9515" spans="1:5" x14ac:dyDescent="0.25">
      <c r="A9515" t="str">
        <f>HYPERLINK("https://www.773grp.com/globalSearch/SC258DR2/page-1", "SC258DR2")</f>
        <v>SC258DR2</v>
      </c>
      <c r="B9515" s="3" t="str">
        <f>HYPERLINK("https://www.773grp.com/manufacturer/onsemi?pageNo=78", "Onsemi")</f>
        <v>Onsemi</v>
      </c>
      <c r="C9515" s="6">
        <v>19960</v>
      </c>
      <c r="D9515" s="7">
        <v>1.06</v>
      </c>
    </row>
    <row r="9516" spans="1:5" x14ac:dyDescent="0.25">
      <c r="A9516" t="str">
        <f>HYPERLINK("https://www.773grp.com/globalSearch/SC324DR2G/page-1", "SC324DR2G")</f>
        <v>SC324DR2G</v>
      </c>
      <c r="B9516" s="3" t="str">
        <f>HYPERLINK("https://www.773grp.com/manufacturer/onsemi?pageNo=79", "Onsemi")</f>
        <v>Onsemi</v>
      </c>
      <c r="C9516" s="6">
        <v>2269</v>
      </c>
      <c r="D9516" s="7">
        <v>1.06</v>
      </c>
    </row>
    <row r="9517" spans="1:5" x14ac:dyDescent="0.25">
      <c r="A9517" t="str">
        <f>HYPERLINK("https://www.773grp.com/globalSearch/SC324NG/page-1", "SC324NG")</f>
        <v>SC324NG</v>
      </c>
      <c r="B9517" s="3" t="str">
        <f>HYPERLINK("https://www.773grp.com/manufacturer/onsemi?pageNo=80", "Onsemi")</f>
        <v>Onsemi</v>
      </c>
      <c r="C9517" s="6">
        <v>1400</v>
      </c>
      <c r="D9517" s="7">
        <v>1.06</v>
      </c>
    </row>
    <row r="9518" spans="1:5" x14ac:dyDescent="0.25">
      <c r="A9518" t="str">
        <f>HYPERLINK("https://www.773grp.com/globalSearch/SCY99102BDR2G/page-1", "SCY99102BDR2G")</f>
        <v>SCY99102BDR2G</v>
      </c>
      <c r="B9518" s="3" t="str">
        <f>HYPERLINK("https://www.773grp.com/manufacturer/onsemi?pageNo=81", "Onsemi")</f>
        <v>Onsemi</v>
      </c>
      <c r="C9518" s="6">
        <v>400000</v>
      </c>
      <c r="D9518" s="7">
        <v>1.06</v>
      </c>
    </row>
    <row r="9519" spans="1:5" x14ac:dyDescent="0.25">
      <c r="A9519" t="str">
        <f>HYPERLINK("https://www.773grp.com/globalSearch/SN74LS148D/page-1", "SN74LS148D")</f>
        <v>SN74LS148D</v>
      </c>
      <c r="B9519" s="3" t="str">
        <f>HYPERLINK("https://www.773grp.com/manufacturer/onsemi?pageNo=82", "Onsemi")</f>
        <v>Onsemi</v>
      </c>
      <c r="C9519" s="6">
        <v>2025</v>
      </c>
      <c r="D9519" s="7">
        <v>1.06</v>
      </c>
      <c r="E9519" t="s">
        <v>38</v>
      </c>
    </row>
    <row r="9520" spans="1:5" x14ac:dyDescent="0.25">
      <c r="A9520" t="str">
        <f>HYPERLINK("https://www.773grp.com/globalSearch/SN74LS148M/page-1", "SN74LS148M")</f>
        <v>SN74LS148M</v>
      </c>
      <c r="B9520" s="3" t="str">
        <f>HYPERLINK("https://www.773grp.com/manufacturer/onsemi?pageNo=83", "Onsemi")</f>
        <v>Onsemi</v>
      </c>
      <c r="C9520" s="6">
        <v>950</v>
      </c>
      <c r="D9520" s="7">
        <v>1.06</v>
      </c>
    </row>
    <row r="9521" spans="1:5" x14ac:dyDescent="0.25">
      <c r="A9521" t="str">
        <f>HYPERLINK("https://www.773grp.com/globalSearch/SN74LS191D/page-1", "SN74LS191D")</f>
        <v>SN74LS191D</v>
      </c>
      <c r="B9521" s="3" t="str">
        <f>HYPERLINK("https://www.773grp.com/manufacturer/onsemi?pageNo=84", "Onsemi")</f>
        <v>Onsemi</v>
      </c>
      <c r="C9521" s="6">
        <v>2728</v>
      </c>
      <c r="D9521" s="7">
        <v>1.06</v>
      </c>
      <c r="E9521" t="s">
        <v>22</v>
      </c>
    </row>
    <row r="9522" spans="1:5" x14ac:dyDescent="0.25">
      <c r="A9522" t="str">
        <f>HYPERLINK("https://www.773grp.com/globalSearch/SN74LS195AN/page-1", "SN74LS195AN")</f>
        <v>SN74LS195AN</v>
      </c>
      <c r="B9522" s="3" t="str">
        <f>HYPERLINK("https://www.773grp.com/manufacturer/onsemi?pageNo=85", "Onsemi")</f>
        <v>Onsemi</v>
      </c>
      <c r="C9522" s="6">
        <v>3504</v>
      </c>
      <c r="D9522" s="7">
        <v>1.06</v>
      </c>
      <c r="E9522" t="s">
        <v>28</v>
      </c>
    </row>
    <row r="9523" spans="1:5" x14ac:dyDescent="0.25">
      <c r="A9523" t="str">
        <f>HYPERLINK("https://www.773grp.com/globalSearch/SN74LS243D/page-1", "SN74LS243D")</f>
        <v>SN74LS243D</v>
      </c>
      <c r="B9523" s="3" t="str">
        <f>HYPERLINK("https://www.773grp.com/manufacturer/onsemi?pageNo=86", "Onsemi")</f>
        <v>Onsemi</v>
      </c>
      <c r="C9523" s="6">
        <v>1020</v>
      </c>
      <c r="D9523" s="7">
        <v>1.06</v>
      </c>
      <c r="E9523" t="s">
        <v>11</v>
      </c>
    </row>
    <row r="9524" spans="1:5" x14ac:dyDescent="0.25">
      <c r="A9524" t="str">
        <f>HYPERLINK("https://www.773grp.com/globalSearch/SN74LS245DW/page-1", "SN74LS245DW")</f>
        <v>SN74LS245DW</v>
      </c>
      <c r="B9524" s="3" t="str">
        <f>HYPERLINK("https://www.773grp.com/manufacturer/onsemi?pageNo=87", "Onsemi")</f>
        <v>Onsemi</v>
      </c>
      <c r="C9524" s="6">
        <v>13134</v>
      </c>
      <c r="D9524" s="7">
        <v>1.06</v>
      </c>
      <c r="E9524" t="s">
        <v>11</v>
      </c>
    </row>
    <row r="9525" spans="1:5" x14ac:dyDescent="0.25">
      <c r="A9525" t="str">
        <f>HYPERLINK("https://www.773grp.com/globalSearch/SN74LS273DW/page-1", "SN74LS273DW")</f>
        <v>SN74LS273DW</v>
      </c>
      <c r="B9525" s="3" t="str">
        <f>HYPERLINK("https://www.773grp.com/manufacturer/onsemi?pageNo=88", "Onsemi")</f>
        <v>Onsemi</v>
      </c>
      <c r="C9525" s="6">
        <v>9001</v>
      </c>
      <c r="D9525" s="7">
        <v>1.06</v>
      </c>
      <c r="E9525" t="s">
        <v>31</v>
      </c>
    </row>
    <row r="9526" spans="1:5" x14ac:dyDescent="0.25">
      <c r="A9526" t="str">
        <f>HYPERLINK("https://www.773grp.com/globalSearch/SN74LS273N/page-1", "SN74LS273N")</f>
        <v>SN74LS273N</v>
      </c>
      <c r="B9526" s="3" t="str">
        <f>HYPERLINK("https://www.773grp.com/manufacturer/onsemi?pageNo=89", "Onsemi")</f>
        <v>Onsemi</v>
      </c>
      <c r="C9526" s="6">
        <v>11759</v>
      </c>
      <c r="D9526" s="7">
        <v>1.06</v>
      </c>
      <c r="E9526" t="s">
        <v>31</v>
      </c>
    </row>
    <row r="9527" spans="1:5" x14ac:dyDescent="0.25">
      <c r="A9527" t="str">
        <f>HYPERLINK("https://www.773grp.com/globalSearch/SN74LS298N/page-1", "SN74LS298N")</f>
        <v>SN74LS298N</v>
      </c>
      <c r="B9527" s="3" t="str">
        <f>HYPERLINK("https://www.773grp.com/manufacturer/onsemi?pageNo=90", "Onsemi")</f>
        <v>Onsemi</v>
      </c>
      <c r="C9527" s="6">
        <v>530</v>
      </c>
      <c r="D9527" s="7">
        <v>1.06</v>
      </c>
      <c r="E9527" t="s">
        <v>31</v>
      </c>
    </row>
    <row r="9528" spans="1:5" x14ac:dyDescent="0.25">
      <c r="A9528" t="str">
        <f>HYPERLINK("https://www.773grp.com/globalSearch/SN74LS374DW/page-1", "SN74LS374DW")</f>
        <v>SN74LS374DW</v>
      </c>
      <c r="B9528" s="3" t="str">
        <f>HYPERLINK("https://www.773grp.com/manufacturer/onsemi?pageNo=91", "Onsemi")</f>
        <v>Onsemi</v>
      </c>
      <c r="C9528" s="6">
        <v>4872</v>
      </c>
      <c r="D9528" s="7">
        <v>1.06</v>
      </c>
      <c r="E9528" t="s">
        <v>11</v>
      </c>
    </row>
    <row r="9529" spans="1:5" x14ac:dyDescent="0.25">
      <c r="A9529" t="str">
        <f>HYPERLINK("https://www.773grp.com/globalSearch/SN74LS374DW2/page-1", "SN74LS374DW2")</f>
        <v>SN74LS374DW2</v>
      </c>
      <c r="B9529" s="3" t="str">
        <f>HYPERLINK("https://www.773grp.com/manufacturer/onsemi?pageNo=92", "Onsemi")</f>
        <v>Onsemi</v>
      </c>
      <c r="C9529" s="6">
        <v>9000</v>
      </c>
      <c r="D9529" s="7">
        <v>1.06</v>
      </c>
    </row>
    <row r="9530" spans="1:5" x14ac:dyDescent="0.25">
      <c r="A9530" t="str">
        <f>HYPERLINK("https://www.773grp.com/globalSearch/SN74LS374DWR2/page-1", "SN74LS374DWR2")</f>
        <v>SN74LS374DWR2</v>
      </c>
      <c r="B9530" s="3" t="str">
        <f>HYPERLINK("https://www.773grp.com/manufacturer/onsemi?pageNo=93", "Onsemi")</f>
        <v>Onsemi</v>
      </c>
      <c r="C9530" s="6">
        <v>89000</v>
      </c>
      <c r="D9530" s="7">
        <v>1.06</v>
      </c>
      <c r="E9530" t="s">
        <v>11</v>
      </c>
    </row>
    <row r="9531" spans="1:5" x14ac:dyDescent="0.25">
      <c r="A9531" t="str">
        <f>HYPERLINK("https://www.773grp.com/globalSearch/SN74LS374N/page-1", "SN74LS374N")</f>
        <v>SN74LS374N</v>
      </c>
      <c r="B9531" s="3" t="str">
        <f>HYPERLINK("https://www.773grp.com/manufacturer/onsemi?pageNo=94", "Onsemi")</f>
        <v>Onsemi</v>
      </c>
      <c r="C9531" s="6">
        <v>8255</v>
      </c>
      <c r="D9531" s="7">
        <v>1.06</v>
      </c>
      <c r="E9531" t="s">
        <v>11</v>
      </c>
    </row>
    <row r="9532" spans="1:5" x14ac:dyDescent="0.25">
      <c r="A9532" t="str">
        <f>HYPERLINK("https://www.773grp.com/globalSearch/SN74LS374N/page-1", "SN74LS374N")</f>
        <v>SN74LS374N</v>
      </c>
      <c r="B9532" s="3" t="str">
        <f>HYPERLINK("https://www.773grp.com/manufacturer/onsemi?pageNo=95", "Onsemi")</f>
        <v>Onsemi</v>
      </c>
      <c r="C9532" s="6">
        <v>26764</v>
      </c>
      <c r="D9532" s="7">
        <v>1.06</v>
      </c>
      <c r="E9532" t="s">
        <v>11</v>
      </c>
    </row>
    <row r="9533" spans="1:5" x14ac:dyDescent="0.25">
      <c r="A9533" t="str">
        <f>HYPERLINK("https://www.773grp.com/globalSearch/SN74LS377N/page-1", "SN74LS377N")</f>
        <v>SN74LS377N</v>
      </c>
      <c r="B9533" s="3" t="str">
        <f>HYPERLINK("https://www.773grp.com/manufacturer/onsemi?pageNo=96", "Onsemi")</f>
        <v>Onsemi</v>
      </c>
      <c r="C9533" s="6">
        <v>198</v>
      </c>
      <c r="D9533" s="7">
        <v>1.06</v>
      </c>
      <c r="E9533" t="s">
        <v>31</v>
      </c>
    </row>
    <row r="9534" spans="1:5" x14ac:dyDescent="0.25">
      <c r="A9534" t="str">
        <f>HYPERLINK("https://www.773grp.com/globalSearch/TIP120G/page-1", "TIP120G")</f>
        <v>TIP120G</v>
      </c>
      <c r="B9534" s="3" t="str">
        <f>HYPERLINK("https://www.773grp.com/manufacturer/onsemi?pageNo=97", "Onsemi")</f>
        <v>Onsemi</v>
      </c>
      <c r="C9534" s="6">
        <v>23127</v>
      </c>
      <c r="D9534" s="7">
        <v>1.06</v>
      </c>
      <c r="E9534" t="s">
        <v>47</v>
      </c>
    </row>
    <row r="9535" spans="1:5" x14ac:dyDescent="0.25">
      <c r="A9535" t="str">
        <f>HYPERLINK("https://www.773grp.com/globalSearch/TIP121G/page-1", "TIP121G")</f>
        <v>TIP121G</v>
      </c>
      <c r="B9535" s="3" t="str">
        <f>HYPERLINK("https://www.773grp.com/manufacturer/onsemi?pageNo=98", "Onsemi")</f>
        <v>Onsemi</v>
      </c>
      <c r="C9535" s="6">
        <v>8266</v>
      </c>
      <c r="D9535" s="7">
        <v>1.06</v>
      </c>
      <c r="E9535" t="s">
        <v>47</v>
      </c>
    </row>
    <row r="9536" spans="1:5" x14ac:dyDescent="0.25">
      <c r="A9536" t="str">
        <f>HYPERLINK("https://www.773grp.com/globalSearch/TIP122G/page-1", "TIP122G")</f>
        <v>TIP122G</v>
      </c>
      <c r="B9536" s="3" t="str">
        <f>HYPERLINK("https://www.773grp.com/manufacturer/onsemi?pageNo=99", "Onsemi")</f>
        <v>Onsemi</v>
      </c>
      <c r="C9536" s="6">
        <v>62835</v>
      </c>
      <c r="D9536" s="7">
        <v>1.06</v>
      </c>
      <c r="E9536" t="s">
        <v>47</v>
      </c>
    </row>
    <row r="9537" spans="1:5" x14ac:dyDescent="0.25">
      <c r="A9537" t="str">
        <f>HYPERLINK("https://www.773grp.com/globalSearch/TL081ACD/page-1", "TL081ACD")</f>
        <v>TL081ACD</v>
      </c>
      <c r="B9537" s="3" t="str">
        <f>HYPERLINK("https://www.773grp.com/manufacturer/onsemi?pageNo=100", "Onsemi")</f>
        <v>Onsemi</v>
      </c>
      <c r="C9537" s="6">
        <v>1953</v>
      </c>
      <c r="D9537" s="7">
        <v>1.06</v>
      </c>
      <c r="E9537" t="s">
        <v>10</v>
      </c>
    </row>
    <row r="9538" spans="1:5" x14ac:dyDescent="0.25">
      <c r="A9538" t="str">
        <f>HYPERLINK("https://www.773grp.com/globalSearch/TL081ACP/page-1", "TL081ACP")</f>
        <v>TL081ACP</v>
      </c>
      <c r="B9538" s="3" t="str">
        <f>HYPERLINK("https://www.773grp.com/manufacturer/onsemi?pageNo=101", "Onsemi")</f>
        <v>Onsemi</v>
      </c>
      <c r="C9538" s="6">
        <v>879</v>
      </c>
      <c r="D9538" s="7">
        <v>1.06</v>
      </c>
      <c r="E9538" t="s">
        <v>10</v>
      </c>
    </row>
    <row r="9539" spans="1:5" x14ac:dyDescent="0.25">
      <c r="A9539" t="str">
        <f>HYPERLINK("https://www.773grp.com/globalSearch/TL082CDR2/page-1", "TL082CDR2")</f>
        <v>TL082CDR2</v>
      </c>
      <c r="B9539" s="3" t="str">
        <f>HYPERLINK("https://www.773grp.com/manufacturer/onsemi?pageNo=102", "Onsemi")</f>
        <v>Onsemi</v>
      </c>
      <c r="C9539" s="6">
        <v>2270</v>
      </c>
      <c r="D9539" s="7">
        <v>1.06</v>
      </c>
      <c r="E9539" t="s">
        <v>10</v>
      </c>
    </row>
    <row r="9540" spans="1:5" x14ac:dyDescent="0.25">
      <c r="A9540" t="str">
        <f>HYPERLINK("https://www.773grp.com/globalSearch/TL082CP/page-1", "TL082CP")</f>
        <v>TL082CP</v>
      </c>
      <c r="B9540" s="3" t="str">
        <f>HYPERLINK("https://www.773grp.com/manufacturer/onsemi?pageNo=103", "Onsemi")</f>
        <v>Onsemi</v>
      </c>
      <c r="C9540" s="6">
        <v>2286</v>
      </c>
      <c r="D9540" s="7">
        <v>1.06</v>
      </c>
      <c r="E9540" t="s">
        <v>10</v>
      </c>
    </row>
    <row r="9541" spans="1:5" x14ac:dyDescent="0.25">
      <c r="A9541" t="str">
        <f>HYPERLINK("https://www.773grp.com/globalSearch/TL494CN/page-1", "TL494CN")</f>
        <v>TL494CN</v>
      </c>
      <c r="B9541" s="3" t="str">
        <f>HYPERLINK("https://www.773grp.com/manufacturer/onsemi?pageNo=104", "Onsemi")</f>
        <v>Onsemi</v>
      </c>
      <c r="C9541" s="6">
        <v>20</v>
      </c>
      <c r="D9541" s="7">
        <v>1.06</v>
      </c>
      <c r="E9541" t="s">
        <v>5</v>
      </c>
    </row>
    <row r="9542" spans="1:5" x14ac:dyDescent="0.25">
      <c r="A9542" t="str">
        <f>HYPERLINK("https://www.773grp.com/globalSearch/UC2842BD/page-1", "UC2842BD")</f>
        <v>UC2842BD</v>
      </c>
      <c r="B9542" s="3" t="str">
        <f>HYPERLINK("https://www.773grp.com/manufacturer/onsemi?pageNo=105", "Onsemi")</f>
        <v>Onsemi</v>
      </c>
      <c r="C9542" s="6">
        <v>605</v>
      </c>
      <c r="D9542" s="7">
        <v>1.06</v>
      </c>
      <c r="E9542" t="s">
        <v>5</v>
      </c>
    </row>
    <row r="9543" spans="1:5" x14ac:dyDescent="0.25">
      <c r="A9543" t="str">
        <f>HYPERLINK("https://www.773grp.com/globalSearch/UC2842BD1/page-1", "UC2842BD1")</f>
        <v>UC2842BD1</v>
      </c>
      <c r="B9543" s="3" t="str">
        <f>HYPERLINK("https://www.773grp.com/manufacturer/onsemi?pageNo=106", "Onsemi")</f>
        <v>Onsemi</v>
      </c>
      <c r="C9543" s="6">
        <v>676</v>
      </c>
      <c r="D9543" s="7">
        <v>1.06</v>
      </c>
      <c r="E9543" t="s">
        <v>5</v>
      </c>
    </row>
    <row r="9544" spans="1:5" x14ac:dyDescent="0.25">
      <c r="A9544" t="str">
        <f>HYPERLINK("https://www.773grp.com/globalSearch/UC2843BN/page-1", "UC2843BN")</f>
        <v>UC2843BN</v>
      </c>
      <c r="B9544" s="3" t="str">
        <f>HYPERLINK("https://www.773grp.com/manufacturer/onsemi?pageNo=107", "Onsemi")</f>
        <v>Onsemi</v>
      </c>
      <c r="C9544" s="6">
        <v>6100</v>
      </c>
      <c r="D9544" s="7">
        <v>1.06</v>
      </c>
      <c r="E9544" t="s">
        <v>5</v>
      </c>
    </row>
    <row r="9545" spans="1:5" x14ac:dyDescent="0.25">
      <c r="A9545" t="str">
        <f>HYPERLINK("https://www.773grp.com/globalSearch/UC2845BD/page-1", "UC2845BD")</f>
        <v>UC2845BD</v>
      </c>
      <c r="B9545" s="3" t="str">
        <f>HYPERLINK("https://www.773grp.com/manufacturer/onsemi?pageNo=108", "Onsemi")</f>
        <v>Onsemi</v>
      </c>
      <c r="C9545" s="6">
        <v>935</v>
      </c>
      <c r="D9545" s="7">
        <v>1.06</v>
      </c>
      <c r="E9545" t="s">
        <v>5</v>
      </c>
    </row>
    <row r="9546" spans="1:5" x14ac:dyDescent="0.25">
      <c r="A9546" t="str">
        <f>HYPERLINK("https://www.773grp.com/globalSearch/UC3842BVD1G/page-1", "UC3842BVD1G")</f>
        <v>UC3842BVD1G</v>
      </c>
      <c r="B9546" s="3" t="str">
        <f>HYPERLINK("https://www.773grp.com/manufacturer/onsemi?pageNo=109", "Onsemi")</f>
        <v>Onsemi</v>
      </c>
      <c r="C9546" s="6">
        <v>384</v>
      </c>
      <c r="D9546" s="7">
        <v>1.06</v>
      </c>
      <c r="E9546" t="s">
        <v>5</v>
      </c>
    </row>
    <row r="9547" spans="1:5" x14ac:dyDescent="0.25">
      <c r="A9547" t="str">
        <f>HYPERLINK("https://www.773grp.com/globalSearch/UC3842BVDR2G/page-1", "UC3842BVDR2G")</f>
        <v>UC3842BVDR2G</v>
      </c>
      <c r="B9547" s="3" t="str">
        <f>HYPERLINK("https://www.773grp.com/manufacturer/onsemi?pageNo=110", "Onsemi")</f>
        <v>Onsemi</v>
      </c>
      <c r="C9547" s="6">
        <v>5100</v>
      </c>
      <c r="D9547" s="7">
        <v>1.06</v>
      </c>
    </row>
    <row r="9548" spans="1:5" x14ac:dyDescent="0.25">
      <c r="A9548" t="str">
        <f>HYPERLINK("https://www.773grp.com/globalSearch/UC3843BVD1G/page-1", "UC3843BVD1G")</f>
        <v>UC3843BVD1G</v>
      </c>
      <c r="B9548" s="3" t="str">
        <f>HYPERLINK("https://www.773grp.com/manufacturer/onsemi?pageNo=111", "Onsemi")</f>
        <v>Onsemi</v>
      </c>
      <c r="C9548" s="6">
        <v>490</v>
      </c>
      <c r="D9548" s="7">
        <v>1.06</v>
      </c>
    </row>
    <row r="9549" spans="1:5" x14ac:dyDescent="0.25">
      <c r="A9549" t="str">
        <f>HYPERLINK("https://www.773grp.com/globalSearch/UC3844BVD1G/page-1", "UC3844BVD1G")</f>
        <v>UC3844BVD1G</v>
      </c>
      <c r="B9549" s="3" t="str">
        <f>HYPERLINK("https://www.773grp.com/manufacturer/onsemi?pageNo=112", "Onsemi")</f>
        <v>Onsemi</v>
      </c>
      <c r="C9549" s="6">
        <v>19</v>
      </c>
      <c r="D9549" s="7">
        <v>1.06</v>
      </c>
    </row>
    <row r="9550" spans="1:5" x14ac:dyDescent="0.25">
      <c r="A9550" t="str">
        <f>HYPERLINK("https://www.773grp.com/globalSearch/UC3844BVDG/page-1", "UC3844BVDG")</f>
        <v>UC3844BVDG</v>
      </c>
      <c r="B9550" s="3" t="str">
        <f>HYPERLINK("https://www.773grp.com/manufacturer/onsemi?pageNo=113", "Onsemi")</f>
        <v>Onsemi</v>
      </c>
      <c r="C9550" s="6">
        <v>2121</v>
      </c>
      <c r="D9550" s="7">
        <v>1.06</v>
      </c>
      <c r="E9550" t="s">
        <v>5</v>
      </c>
    </row>
    <row r="9551" spans="1:5" x14ac:dyDescent="0.25">
      <c r="A9551" t="str">
        <f>HYPERLINK("https://www.773grp.com/globalSearch/UC3844BVDR2G/page-1", "UC3844BVDR2G")</f>
        <v>UC3844BVDR2G</v>
      </c>
      <c r="B9551" s="3" t="str">
        <f>HYPERLINK("https://www.773grp.com/manufacturer/onsemi?pageNo=114", "Onsemi")</f>
        <v>Onsemi</v>
      </c>
      <c r="C9551" s="6">
        <v>2165</v>
      </c>
      <c r="D9551" s="7">
        <v>1.06</v>
      </c>
    </row>
    <row r="9552" spans="1:5" x14ac:dyDescent="0.25">
      <c r="A9552" t="str">
        <f>HYPERLINK("https://www.773grp.com/globalSearch/UC3844BVNG/page-1", "UC3844BVNG")</f>
        <v>UC3844BVNG</v>
      </c>
      <c r="B9552" s="3" t="str">
        <f>HYPERLINK("https://www.773grp.com/manufacturer/onsemi?pageNo=115", "Onsemi")</f>
        <v>Onsemi</v>
      </c>
      <c r="C9552" s="6">
        <v>6000</v>
      </c>
      <c r="D9552" s="7">
        <v>1.06</v>
      </c>
      <c r="E9552" t="s">
        <v>5</v>
      </c>
    </row>
    <row r="9553" spans="1:5" x14ac:dyDescent="0.25">
      <c r="A9553" t="str">
        <f>HYPERLINK("https://www.773grp.com/globalSearch/UC3845BVD1G/page-1", "UC3845BVD1G")</f>
        <v>UC3845BVD1G</v>
      </c>
      <c r="B9553" s="3" t="str">
        <f>HYPERLINK("https://www.773grp.com/manufacturer/onsemi?pageNo=116", "Onsemi")</f>
        <v>Onsemi</v>
      </c>
      <c r="C9553" s="6">
        <v>2016</v>
      </c>
      <c r="D9553" s="7">
        <v>1.06</v>
      </c>
      <c r="E9553" t="s">
        <v>5</v>
      </c>
    </row>
    <row r="9554" spans="1:5" x14ac:dyDescent="0.25">
      <c r="A9554" t="str">
        <f>HYPERLINK("https://www.773grp.com/globalSearch/UC3845BVDG/page-1", "UC3845BVDG")</f>
        <v>UC3845BVDG</v>
      </c>
      <c r="B9554" s="3" t="str">
        <f>HYPERLINK("https://www.773grp.com/manufacturer/onsemi?pageNo=117", "Onsemi")</f>
        <v>Onsemi</v>
      </c>
      <c r="C9554" s="6">
        <v>2660</v>
      </c>
      <c r="D9554" s="7">
        <v>1.06</v>
      </c>
      <c r="E9554" t="s">
        <v>5</v>
      </c>
    </row>
    <row r="9555" spans="1:5" x14ac:dyDescent="0.25">
      <c r="A9555" t="str">
        <f>HYPERLINK("https://www.773grp.com/globalSearch/UC3845BVDR2G/page-1", "UC3845BVDR2G")</f>
        <v>UC3845BVDR2G</v>
      </c>
      <c r="B9555" s="3" t="str">
        <f>HYPERLINK("https://www.773grp.com/manufacturer/onsemi?pageNo=118", "Onsemi")</f>
        <v>Onsemi</v>
      </c>
      <c r="C9555" s="6">
        <v>8572</v>
      </c>
      <c r="D9555" s="7">
        <v>1.06</v>
      </c>
    </row>
    <row r="9556" spans="1:5" x14ac:dyDescent="0.25">
      <c r="A9556" t="str">
        <f>HYPERLINK("https://www.773grp.com/globalSearch/UC3845BVNG/page-1", "UC3845BVNG")</f>
        <v>UC3845BVNG</v>
      </c>
      <c r="B9556" s="3" t="str">
        <f>HYPERLINK("https://www.773grp.com/manufacturer/onsemi?pageNo=119", "Onsemi")</f>
        <v>Onsemi</v>
      </c>
      <c r="C9556" s="6">
        <v>2121</v>
      </c>
      <c r="D9556" s="7">
        <v>1.06</v>
      </c>
      <c r="E9556" t="s">
        <v>5</v>
      </c>
    </row>
    <row r="9557" spans="1:5" x14ac:dyDescent="0.25">
      <c r="A9557" t="str">
        <f>HYPERLINK("https://www.773grp.com/globalSearch/ULN2003ADR2G/page-1", "ULN2003ADR2G")</f>
        <v>ULN2003ADR2G</v>
      </c>
      <c r="B9557" s="3" t="str">
        <f>HYPERLINK("https://www.773grp.com/manufacturer/onsemi?pageNo=120", "Onsemi")</f>
        <v>Onsemi</v>
      </c>
      <c r="C9557" s="6">
        <v>30000</v>
      </c>
      <c r="D9557" s="7">
        <v>1.06</v>
      </c>
      <c r="E9557" t="s">
        <v>57</v>
      </c>
    </row>
    <row r="9558" spans="1:5" x14ac:dyDescent="0.25">
      <c r="A9558" t="str">
        <f>HYPERLINK("https://www.773grp.com/globalSearch/1SMB12CAT3G/page-1", "1SMB12CAT3G")</f>
        <v>1SMB12CAT3G</v>
      </c>
      <c r="B9558" s="3" t="str">
        <f>HYPERLINK("https://www.773grp.com/manufacturer/onsemi?pageNo=121", "Onsemi")</f>
        <v>Onsemi</v>
      </c>
      <c r="C9558" s="6">
        <v>29637</v>
      </c>
      <c r="D9558" s="7">
        <v>1.1100000000000001</v>
      </c>
      <c r="E9558" t="s">
        <v>75</v>
      </c>
    </row>
    <row r="9559" spans="1:5" x14ac:dyDescent="0.25">
      <c r="A9559" t="str">
        <f>HYPERLINK("https://www.773grp.com/globalSearch/1SMB15CAT3G/page-1", "1SMB15CAT3G")</f>
        <v>1SMB15CAT3G</v>
      </c>
      <c r="B9559" s="3" t="str">
        <f>HYPERLINK("https://www.773grp.com/manufacturer/onsemi?pageNo=122", "Onsemi")</f>
        <v>Onsemi</v>
      </c>
      <c r="C9559" s="6">
        <v>2500</v>
      </c>
      <c r="D9559" s="7">
        <v>1.1100000000000001</v>
      </c>
      <c r="E9559" t="s">
        <v>75</v>
      </c>
    </row>
    <row r="9560" spans="1:5" x14ac:dyDescent="0.25">
      <c r="A9560" t="str">
        <f>HYPERLINK("https://www.773grp.com/globalSearch/1SMB16CAT3G/page-1", "1SMB16CAT3G")</f>
        <v>1SMB16CAT3G</v>
      </c>
      <c r="B9560" s="3" t="str">
        <f>HYPERLINK("https://www.773grp.com/manufacturer/onsemi?pageNo=123", "Onsemi")</f>
        <v>Onsemi</v>
      </c>
      <c r="C9560" s="6">
        <v>48740</v>
      </c>
      <c r="D9560" s="7">
        <v>1.1100000000000001</v>
      </c>
      <c r="E9560" t="s">
        <v>75</v>
      </c>
    </row>
    <row r="9561" spans="1:5" x14ac:dyDescent="0.25">
      <c r="A9561" t="str">
        <f>HYPERLINK("https://www.773grp.com/globalSearch/1SMB20CAT3G/page-1", "1SMB20CAT3G")</f>
        <v>1SMB20CAT3G</v>
      </c>
      <c r="B9561" s="3" t="str">
        <f>HYPERLINK("https://www.773grp.com/manufacturer/onsemi?pageNo=124", "Onsemi")</f>
        <v>Onsemi</v>
      </c>
      <c r="C9561" s="6">
        <v>67500</v>
      </c>
      <c r="D9561" s="7">
        <v>1.1100000000000001</v>
      </c>
      <c r="E9561" t="s">
        <v>75</v>
      </c>
    </row>
    <row r="9562" spans="1:5" x14ac:dyDescent="0.25">
      <c r="A9562" t="str">
        <f>HYPERLINK("https://www.773grp.com/globalSearch/1SMB24CAT3G/page-1", "1SMB24CAT3G")</f>
        <v>1SMB24CAT3G</v>
      </c>
      <c r="B9562" s="3" t="str">
        <f>HYPERLINK("https://www.773grp.com/manufacturer/onsemi?pageNo=125", "Onsemi")</f>
        <v>Onsemi</v>
      </c>
      <c r="C9562" s="6">
        <v>12500</v>
      </c>
      <c r="D9562" s="7">
        <v>1.1100000000000001</v>
      </c>
      <c r="E9562" t="s">
        <v>75</v>
      </c>
    </row>
    <row r="9563" spans="1:5" x14ac:dyDescent="0.25">
      <c r="A9563" t="str">
        <f>HYPERLINK("https://www.773grp.com/globalSearch/1SMB30CAT3G/page-1", "1SMB30CAT3G")</f>
        <v>1SMB30CAT3G</v>
      </c>
      <c r="B9563" s="3" t="str">
        <f>HYPERLINK("https://www.773grp.com/manufacturer/onsemi?pageNo=126", "Onsemi")</f>
        <v>Onsemi</v>
      </c>
      <c r="C9563" s="6">
        <v>20000</v>
      </c>
      <c r="D9563" s="7">
        <v>1.1100000000000001</v>
      </c>
    </row>
    <row r="9564" spans="1:5" x14ac:dyDescent="0.25">
      <c r="A9564" t="str">
        <f>HYPERLINK("https://www.773grp.com/globalSearch/1SMB33CAT3G/page-1", "1SMB33CAT3G")</f>
        <v>1SMB33CAT3G</v>
      </c>
      <c r="B9564" s="3" t="str">
        <f>HYPERLINK("https://www.773grp.com/manufacturer/onsemi?pageNo=127", "Onsemi")</f>
        <v>Onsemi</v>
      </c>
      <c r="C9564" s="6">
        <v>2500</v>
      </c>
      <c r="D9564" s="7">
        <v>1.1100000000000001</v>
      </c>
      <c r="E9564" t="s">
        <v>75</v>
      </c>
    </row>
    <row r="9565" spans="1:5" x14ac:dyDescent="0.25">
      <c r="A9565" t="str">
        <f>HYPERLINK("https://www.773grp.com/globalSearch/1SMB36CAT3G/page-1", "1SMB36CAT3G")</f>
        <v>1SMB36CAT3G</v>
      </c>
      <c r="B9565" s="3" t="str">
        <f>HYPERLINK("https://www.773grp.com/manufacturer/onsemi?pageNo=128", "Onsemi")</f>
        <v>Onsemi</v>
      </c>
      <c r="C9565" s="6">
        <v>147366</v>
      </c>
      <c r="D9565" s="7">
        <v>1.1100000000000001</v>
      </c>
      <c r="E9565" t="s">
        <v>75</v>
      </c>
    </row>
    <row r="9566" spans="1:5" x14ac:dyDescent="0.25">
      <c r="A9566" t="str">
        <f>HYPERLINK("https://www.773grp.com/globalSearch/1SMB48CAT3G/page-1", "1SMB48CAT3G")</f>
        <v>1SMB48CAT3G</v>
      </c>
      <c r="B9566" s="3" t="str">
        <f>HYPERLINK("https://www.773grp.com/manufacturer/onsemi?pageNo=129", "Onsemi")</f>
        <v>Onsemi</v>
      </c>
      <c r="C9566" s="6">
        <v>5820</v>
      </c>
      <c r="D9566" s="7">
        <v>1.1100000000000001</v>
      </c>
      <c r="E9566" t="s">
        <v>75</v>
      </c>
    </row>
    <row r="9567" spans="1:5" x14ac:dyDescent="0.25">
      <c r="A9567" t="str">
        <f>HYPERLINK("https://www.773grp.com/globalSearch/2SA2126-S-TL-E/page-1", "2SA2126-S-TL-E")</f>
        <v>2SA2126-S-TL-E</v>
      </c>
      <c r="B9567" s="3" t="str">
        <f>HYPERLINK("https://www.773grp.com/manufacturer/onsemi?pageNo=130", "Onsemi")</f>
        <v>Onsemi</v>
      </c>
      <c r="C9567" s="6">
        <v>27300</v>
      </c>
      <c r="D9567" s="7">
        <v>1.1100000000000001</v>
      </c>
    </row>
    <row r="9568" spans="1:5" x14ac:dyDescent="0.25">
      <c r="A9568" t="str">
        <f>HYPERLINK("https://www.773grp.com/globalSearch/2SB1202S-TL-E/page-1", "2SB1202S-TL-E")</f>
        <v>2SB1202S-TL-E</v>
      </c>
      <c r="B9568" s="3" t="str">
        <f>HYPERLINK("https://www.773grp.com/manufacturer/onsemi?pageNo=131", "Onsemi")</f>
        <v>Onsemi</v>
      </c>
      <c r="C9568" s="6">
        <v>14700</v>
      </c>
      <c r="D9568" s="7">
        <v>1.1100000000000001</v>
      </c>
    </row>
    <row r="9569" spans="1:5" x14ac:dyDescent="0.25">
      <c r="A9569" t="str">
        <f>HYPERLINK("https://www.773grp.com/globalSearch/2SK4120LS/page-1", "2SK4120LS")</f>
        <v>2SK4120LS</v>
      </c>
      <c r="B9569" s="3" t="str">
        <f>HYPERLINK("https://www.773grp.com/manufacturer/onsemi?pageNo=132", "Onsemi")</f>
        <v>Onsemi</v>
      </c>
      <c r="C9569" s="6">
        <v>2700</v>
      </c>
      <c r="D9569" s="7">
        <v>1.1100000000000001</v>
      </c>
    </row>
    <row r="9570" spans="1:5" x14ac:dyDescent="0.25">
      <c r="A9570" t="str">
        <f>HYPERLINK("https://www.773grp.com/globalSearch/74FST3400DTR2/page-1", "74FST3400DTR2")</f>
        <v>74FST3400DTR2</v>
      </c>
      <c r="B9570" s="3" t="str">
        <f>HYPERLINK("https://www.773grp.com/manufacturer/onsemi?pageNo=133", "Onsemi")</f>
        <v>Onsemi</v>
      </c>
      <c r="C9570" s="6">
        <v>15000</v>
      </c>
      <c r="D9570" s="7">
        <v>1.1100000000000001</v>
      </c>
      <c r="E9570" t="s">
        <v>11</v>
      </c>
    </row>
    <row r="9571" spans="1:5" x14ac:dyDescent="0.25">
      <c r="A9571" t="str">
        <f>HYPERLINK("https://www.773grp.com/globalSearch/74FST3400DW/page-1", "74FST3400DW")</f>
        <v>74FST3400DW</v>
      </c>
      <c r="B9571" s="3" t="str">
        <f>HYPERLINK("https://www.773grp.com/manufacturer/onsemi?pageNo=134", "Onsemi")</f>
        <v>Onsemi</v>
      </c>
      <c r="C9571" s="6">
        <v>12594</v>
      </c>
      <c r="D9571" s="7">
        <v>1.1100000000000001</v>
      </c>
      <c r="E9571" t="s">
        <v>11</v>
      </c>
    </row>
    <row r="9572" spans="1:5" x14ac:dyDescent="0.25">
      <c r="A9572" t="str">
        <f>HYPERLINK("https://www.773grp.com/globalSearch/74FST3400DWR2/page-1", "74FST3400DWR2")</f>
        <v>74FST3400DWR2</v>
      </c>
      <c r="B9572" s="3" t="str">
        <f>HYPERLINK("https://www.773grp.com/manufacturer/onsemi?pageNo=135", "Onsemi")</f>
        <v>Onsemi</v>
      </c>
      <c r="C9572" s="6">
        <v>7000</v>
      </c>
      <c r="D9572" s="7">
        <v>1.1100000000000001</v>
      </c>
      <c r="E9572" t="s">
        <v>11</v>
      </c>
    </row>
    <row r="9573" spans="1:5" x14ac:dyDescent="0.25">
      <c r="A9573" t="str">
        <f>HYPERLINK("https://www.773grp.com/globalSearch/74FST3861DT/page-1", "74FST3861DT")</f>
        <v>74FST3861DT</v>
      </c>
      <c r="B9573" s="3" t="str">
        <f>HYPERLINK("https://www.773grp.com/manufacturer/onsemi?pageNo=136", "Onsemi")</f>
        <v>Onsemi</v>
      </c>
      <c r="C9573" s="6">
        <v>491</v>
      </c>
      <c r="D9573" s="7">
        <v>1.1100000000000001</v>
      </c>
      <c r="E9573" t="s">
        <v>11</v>
      </c>
    </row>
    <row r="9574" spans="1:5" x14ac:dyDescent="0.25">
      <c r="A9574" t="str">
        <f>HYPERLINK("https://www.773grp.com/globalSearch/74FST3861DW/page-1", "74FST3861DW")</f>
        <v>74FST3861DW</v>
      </c>
      <c r="B9574" s="3" t="str">
        <f>HYPERLINK("https://www.773grp.com/manufacturer/onsemi?pageNo=137", "Onsemi")</f>
        <v>Onsemi</v>
      </c>
      <c r="C9574" s="6">
        <v>12180</v>
      </c>
      <c r="D9574" s="7">
        <v>1.1100000000000001</v>
      </c>
      <c r="E9574" t="s">
        <v>11</v>
      </c>
    </row>
    <row r="9575" spans="1:5" x14ac:dyDescent="0.25">
      <c r="A9575" t="str">
        <f>HYPERLINK("https://www.773grp.com/globalSearch/74FST3861DWR2/page-1", "74FST3861DWR2")</f>
        <v>74FST3861DWR2</v>
      </c>
      <c r="B9575" s="3" t="str">
        <f>HYPERLINK("https://www.773grp.com/manufacturer/onsemi?pageNo=138", "Onsemi")</f>
        <v>Onsemi</v>
      </c>
      <c r="C9575" s="6">
        <v>7000</v>
      </c>
      <c r="D9575" s="7">
        <v>1.1100000000000001</v>
      </c>
      <c r="E9575" t="s">
        <v>11</v>
      </c>
    </row>
    <row r="9576" spans="1:5" x14ac:dyDescent="0.25">
      <c r="A9576" t="str">
        <f>HYPERLINK("https://www.773grp.com/globalSearch/74FST3861QS/page-1", "74FST3861QS")</f>
        <v>74FST3861QS</v>
      </c>
      <c r="B9576" s="3" t="str">
        <f>HYPERLINK("https://www.773grp.com/manufacturer/onsemi?pageNo=139", "Onsemi")</f>
        <v>Onsemi</v>
      </c>
      <c r="C9576" s="6">
        <v>8030</v>
      </c>
      <c r="D9576" s="7">
        <v>1.1100000000000001</v>
      </c>
      <c r="E9576" t="s">
        <v>11</v>
      </c>
    </row>
    <row r="9577" spans="1:5" x14ac:dyDescent="0.25">
      <c r="A9577" t="str">
        <f>HYPERLINK("https://www.773grp.com/globalSearch/74FST3861QSR/page-1", "74FST3861QSR")</f>
        <v>74FST3861QSR</v>
      </c>
      <c r="B9577" s="3" t="str">
        <f>HYPERLINK("https://www.773grp.com/manufacturer/onsemi?pageNo=140", "Onsemi")</f>
        <v>Onsemi</v>
      </c>
      <c r="C9577" s="6">
        <v>28090</v>
      </c>
      <c r="D9577" s="7">
        <v>1.1100000000000001</v>
      </c>
      <c r="E9577" t="s">
        <v>11</v>
      </c>
    </row>
    <row r="9578" spans="1:5" x14ac:dyDescent="0.25">
      <c r="A9578" t="str">
        <f>HYPERLINK("https://www.773grp.com/globalSearch/74FST6800DT/page-1", "74FST6800DT")</f>
        <v>74FST6800DT</v>
      </c>
      <c r="B9578" s="3" t="str">
        <f>HYPERLINK("https://www.773grp.com/manufacturer/onsemi?pageNo=141", "Onsemi")</f>
        <v>Onsemi</v>
      </c>
      <c r="C9578" s="6">
        <v>10574</v>
      </c>
      <c r="D9578" s="7">
        <v>1.1100000000000001</v>
      </c>
      <c r="E9578" t="s">
        <v>11</v>
      </c>
    </row>
    <row r="9579" spans="1:5" x14ac:dyDescent="0.25">
      <c r="A9579" t="str">
        <f>HYPERLINK("https://www.773grp.com/globalSearch/74FST6800DTR2/page-1", "74FST6800DTR2")</f>
        <v>74FST6800DTR2</v>
      </c>
      <c r="B9579" s="3" t="str">
        <f>HYPERLINK("https://www.773grp.com/manufacturer/onsemi?pageNo=142", "Onsemi")</f>
        <v>Onsemi</v>
      </c>
      <c r="C9579" s="6">
        <v>22500</v>
      </c>
      <c r="D9579" s="7">
        <v>1.1100000000000001</v>
      </c>
      <c r="E9579" t="s">
        <v>11</v>
      </c>
    </row>
    <row r="9580" spans="1:5" x14ac:dyDescent="0.25">
      <c r="A9580" t="str">
        <f>HYPERLINK("https://www.773grp.com/globalSearch/74FST6800DW/page-1", "74FST6800DW")</f>
        <v>74FST6800DW</v>
      </c>
      <c r="B9580" s="3" t="str">
        <f>HYPERLINK("https://www.773grp.com/manufacturer/onsemi?pageNo=143", "Onsemi")</f>
        <v>Onsemi</v>
      </c>
      <c r="C9580" s="6">
        <v>12780</v>
      </c>
      <c r="D9580" s="7">
        <v>1.1100000000000001</v>
      </c>
      <c r="E9580" t="s">
        <v>11</v>
      </c>
    </row>
    <row r="9581" spans="1:5" x14ac:dyDescent="0.25">
      <c r="A9581" t="str">
        <f>HYPERLINK("https://www.773grp.com/globalSearch/74FST6800DWR2/page-1", "74FST6800DWR2")</f>
        <v>74FST6800DWR2</v>
      </c>
      <c r="B9581" s="3" t="str">
        <f>HYPERLINK("https://www.773grp.com/manufacturer/onsemi?pageNo=144", "Onsemi")</f>
        <v>Onsemi</v>
      </c>
      <c r="C9581" s="6">
        <v>6000</v>
      </c>
      <c r="D9581" s="7">
        <v>1.1100000000000001</v>
      </c>
      <c r="E9581" t="s">
        <v>11</v>
      </c>
    </row>
    <row r="9582" spans="1:5" x14ac:dyDescent="0.25">
      <c r="A9582" t="str">
        <f>HYPERLINK("https://www.773grp.com/globalSearch/74FST6800QS/page-1", "74FST6800QS")</f>
        <v>74FST6800QS</v>
      </c>
      <c r="B9582" s="3" t="str">
        <f>HYPERLINK("https://www.773grp.com/manufacturer/onsemi?pageNo=145", "Onsemi")</f>
        <v>Onsemi</v>
      </c>
      <c r="C9582" s="6">
        <v>11110</v>
      </c>
      <c r="D9582" s="7">
        <v>1.1100000000000001</v>
      </c>
      <c r="E9582" t="s">
        <v>11</v>
      </c>
    </row>
    <row r="9583" spans="1:5" x14ac:dyDescent="0.25">
      <c r="A9583" t="str">
        <f>HYPERLINK("https://www.773grp.com/globalSearch/74FST6800QSR/page-1", "74FST6800QSR")</f>
        <v>74FST6800QSR</v>
      </c>
      <c r="B9583" s="3" t="str">
        <f>HYPERLINK("https://www.773grp.com/manufacturer/onsemi?pageNo=146", "Onsemi")</f>
        <v>Onsemi</v>
      </c>
      <c r="C9583" s="6">
        <v>17500</v>
      </c>
      <c r="D9583" s="7">
        <v>1.1100000000000001</v>
      </c>
      <c r="E9583" t="s">
        <v>11</v>
      </c>
    </row>
    <row r="9584" spans="1:5" x14ac:dyDescent="0.25">
      <c r="A9584" t="str">
        <f>HYPERLINK("https://www.773grp.com/globalSearch/ADP3419JRMZ-REEL/page-1", "ADP3419JRMZ-REEL")</f>
        <v>ADP3419JRMZ-REEL</v>
      </c>
      <c r="B9584" s="3" t="str">
        <f>HYPERLINK("https://www.773grp.com/manufacturer/onsemi?pageNo=147", "Onsemi")</f>
        <v>Onsemi</v>
      </c>
      <c r="C9584" s="6">
        <v>75851</v>
      </c>
      <c r="D9584" s="7">
        <v>1.1100000000000001</v>
      </c>
      <c r="E9584" t="s">
        <v>12</v>
      </c>
    </row>
    <row r="9585" spans="1:5" x14ac:dyDescent="0.25">
      <c r="A9585" t="str">
        <f>HYPERLINK("https://www.773grp.com/globalSearch/BD243B/page-1", "BD243B")</f>
        <v>BD243B</v>
      </c>
      <c r="B9585" s="3" t="str">
        <f>HYPERLINK("https://www.773grp.com/manufacturer/onsemi?pageNo=148", "Onsemi")</f>
        <v>Onsemi</v>
      </c>
      <c r="C9585" s="6">
        <v>2718</v>
      </c>
      <c r="D9585" s="7">
        <v>1.1100000000000001</v>
      </c>
      <c r="E9585" t="s">
        <v>47</v>
      </c>
    </row>
    <row r="9586" spans="1:5" x14ac:dyDescent="0.25">
      <c r="A9586" t="str">
        <f>HYPERLINK("https://www.773grp.com/globalSearch/BD243BG/page-1", "BD243BG")</f>
        <v>BD243BG</v>
      </c>
      <c r="B9586" s="3" t="str">
        <f>HYPERLINK("https://www.773grp.com/manufacturer/onsemi?pageNo=149", "Onsemi")</f>
        <v>Onsemi</v>
      </c>
      <c r="C9586" s="6">
        <v>900</v>
      </c>
      <c r="D9586" s="7">
        <v>1.1100000000000001</v>
      </c>
      <c r="E9586" t="s">
        <v>47</v>
      </c>
    </row>
    <row r="9587" spans="1:5" x14ac:dyDescent="0.25">
      <c r="A9587" t="str">
        <f>HYPERLINK("https://www.773grp.com/globalSearch/BF199RL1/page-1", "BF199RL1")</f>
        <v>BF199RL1</v>
      </c>
      <c r="B9587" s="3" t="str">
        <f>HYPERLINK("https://www.773grp.com/manufacturer/onsemi?pageNo=150", "Onsemi")</f>
        <v>Onsemi</v>
      </c>
      <c r="C9587" s="6">
        <v>4000</v>
      </c>
      <c r="D9587" s="7">
        <v>1.1100000000000001</v>
      </c>
      <c r="E9587" t="s">
        <v>49</v>
      </c>
    </row>
    <row r="9588" spans="1:5" x14ac:dyDescent="0.25">
      <c r="A9588" t="str">
        <f>HYPERLINK("https://www.773grp.com/globalSearch/BSP52T1G/page-1", "BSP52T1G")</f>
        <v>BSP52T1G</v>
      </c>
      <c r="B9588" s="3" t="str">
        <f>HYPERLINK("https://www.773grp.com/manufacturer/onsemi?pageNo=151", "Onsemi")</f>
        <v>Onsemi</v>
      </c>
      <c r="C9588" s="6">
        <v>88</v>
      </c>
      <c r="D9588" s="7">
        <v>1.1100000000000001</v>
      </c>
      <c r="E9588" t="s">
        <v>57</v>
      </c>
    </row>
    <row r="9589" spans="1:5" x14ac:dyDescent="0.25">
      <c r="A9589" t="str">
        <f>HYPERLINK("https://www.773grp.com/globalSearch/BUD43B/page-1", "BUD43B")</f>
        <v>BUD43B</v>
      </c>
      <c r="B9589" s="3" t="str">
        <f>HYPERLINK("https://www.773grp.com/manufacturer/onsemi?pageNo=152", "Onsemi")</f>
        <v>Onsemi</v>
      </c>
      <c r="C9589" s="6">
        <v>3000</v>
      </c>
      <c r="D9589" s="7">
        <v>1.1100000000000001</v>
      </c>
      <c r="E9589" t="s">
        <v>47</v>
      </c>
    </row>
    <row r="9590" spans="1:5" x14ac:dyDescent="0.25">
      <c r="A9590" t="str">
        <f>HYPERLINK("https://www.773grp.com/globalSearch/BUL44/page-1", "BUL44")</f>
        <v>BUL44</v>
      </c>
      <c r="B9590" s="3" t="str">
        <f>HYPERLINK("https://www.773grp.com/manufacturer/onsemi?pageNo=153", "Onsemi")</f>
        <v>Onsemi</v>
      </c>
      <c r="C9590" s="6">
        <v>609</v>
      </c>
      <c r="D9590" s="7">
        <v>1.1100000000000001</v>
      </c>
      <c r="E9590" t="s">
        <v>47</v>
      </c>
    </row>
    <row r="9591" spans="1:5" x14ac:dyDescent="0.25">
      <c r="A9591" t="str">
        <f>HYPERLINK("https://www.773grp.com/globalSearch/BUL44G/page-1", "BUL44G")</f>
        <v>BUL44G</v>
      </c>
      <c r="B9591" s="3" t="str">
        <f>HYPERLINK("https://www.773grp.com/manufacturer/onsemi?pageNo=154", "Onsemi")</f>
        <v>Onsemi</v>
      </c>
      <c r="C9591" s="6">
        <v>14776</v>
      </c>
      <c r="D9591" s="7">
        <v>1.1100000000000001</v>
      </c>
      <c r="E9591" t="s">
        <v>47</v>
      </c>
    </row>
    <row r="9592" spans="1:5" x14ac:dyDescent="0.25">
      <c r="A9592" t="str">
        <f>HYPERLINK("https://www.773grp.com/globalSearch/BYW80-200/page-1", "BYW80-200")</f>
        <v>BYW80-200</v>
      </c>
      <c r="B9592" s="3" t="str">
        <f>HYPERLINK("https://www.773grp.com/manufacturer/onsemi?pageNo=155", "Onsemi")</f>
        <v>Onsemi</v>
      </c>
      <c r="C9592" s="6">
        <v>849</v>
      </c>
      <c r="D9592" s="7">
        <v>1.1100000000000001</v>
      </c>
      <c r="E9592" t="s">
        <v>82</v>
      </c>
    </row>
    <row r="9593" spans="1:5" x14ac:dyDescent="0.25">
      <c r="A9593" t="str">
        <f>HYPERLINK("https://www.773grp.com/globalSearch/CAT24C01ZI-G/page-1", "CAT24C01ZI-G")</f>
        <v>CAT24C01ZI-G</v>
      </c>
      <c r="B9593" s="3" t="str">
        <f>HYPERLINK("https://www.773grp.com/manufacturer/onsemi?pageNo=156", "Onsemi")</f>
        <v>Onsemi</v>
      </c>
      <c r="C9593" s="6">
        <v>1444</v>
      </c>
      <c r="D9593" s="7">
        <v>1.1100000000000001</v>
      </c>
    </row>
    <row r="9594" spans="1:5" x14ac:dyDescent="0.25">
      <c r="A9594" t="str">
        <f>HYPERLINK("https://www.773grp.com/globalSearch/CAT24C128WI-GT3/page-1", "CAT24C128WI-GT3")</f>
        <v>CAT24C128WI-GT3</v>
      </c>
      <c r="B9594" s="3" t="str">
        <f>HYPERLINK("https://www.773grp.com/manufacturer/onsemi?pageNo=157", "Onsemi")</f>
        <v>Onsemi</v>
      </c>
      <c r="C9594" s="6">
        <v>12000</v>
      </c>
      <c r="D9594" s="7">
        <v>1.1100000000000001</v>
      </c>
      <c r="E9594" t="s">
        <v>52</v>
      </c>
    </row>
    <row r="9595" spans="1:5" x14ac:dyDescent="0.25">
      <c r="A9595" t="str">
        <f>HYPERLINK("https://www.773grp.com/globalSearch/CAT24C128WI-GT3/page-1", "CAT24C128WI-GT3")</f>
        <v>CAT24C128WI-GT3</v>
      </c>
      <c r="B9595" s="3" t="str">
        <f>HYPERLINK("https://www.773grp.com/manufacturer/onsemi?pageNo=158", "Onsemi")</f>
        <v>Onsemi</v>
      </c>
      <c r="C9595" s="6">
        <v>32695</v>
      </c>
      <c r="D9595" s="7">
        <v>1.1100000000000001</v>
      </c>
      <c r="E9595" t="s">
        <v>52</v>
      </c>
    </row>
    <row r="9596" spans="1:5" x14ac:dyDescent="0.25">
      <c r="A9596" t="str">
        <f>HYPERLINK("https://www.773grp.com/globalSearch/CAT24C128YI-GT3/page-1", "CAT24C128YI-GT3")</f>
        <v>CAT24C128YI-GT3</v>
      </c>
      <c r="B9596" s="3" t="str">
        <f>HYPERLINK("https://www.773grp.com/manufacturer/onsemi?pageNo=159", "Onsemi")</f>
        <v>Onsemi</v>
      </c>
      <c r="C9596" s="6">
        <v>44840</v>
      </c>
      <c r="D9596" s="7">
        <v>1.1100000000000001</v>
      </c>
    </row>
    <row r="9597" spans="1:5" x14ac:dyDescent="0.25">
      <c r="A9597" t="str">
        <f>HYPERLINK("https://www.773grp.com/globalSearch/CAT24C64VP2I-GT3/page-1", "CAT24C64VP2I-GT3")</f>
        <v>CAT24C64VP2I-GT3</v>
      </c>
      <c r="B9597" s="3" t="str">
        <f>HYPERLINK("https://www.773grp.com/manufacturer/onsemi?pageNo=160", "Onsemi")</f>
        <v>Onsemi</v>
      </c>
      <c r="C9597" s="6">
        <v>12000</v>
      </c>
      <c r="D9597" s="7">
        <v>1.1100000000000001</v>
      </c>
      <c r="E9597" t="s">
        <v>52</v>
      </c>
    </row>
    <row r="9598" spans="1:5" x14ac:dyDescent="0.25">
      <c r="A9598" t="str">
        <f>HYPERLINK("https://www.773grp.com/globalSearch/CAT25080VE-G/page-1", "CAT25080VE-G")</f>
        <v>CAT25080VE-G</v>
      </c>
      <c r="B9598" s="3" t="str">
        <f>HYPERLINK("https://www.773grp.com/manufacturer/onsemi?pageNo=161", "Onsemi")</f>
        <v>Onsemi</v>
      </c>
      <c r="C9598" s="6">
        <v>2900</v>
      </c>
      <c r="D9598" s="7">
        <v>1.1100000000000001</v>
      </c>
    </row>
    <row r="9599" spans="1:5" x14ac:dyDescent="0.25">
      <c r="A9599" t="str">
        <f>HYPERLINK("https://www.773grp.com/globalSearch/CAT25160YI-G/page-1", "CAT25160YI-G")</f>
        <v>CAT25160YI-G</v>
      </c>
      <c r="B9599" s="3" t="str">
        <f>HYPERLINK("https://www.773grp.com/manufacturer/onsemi?pageNo=162", "Onsemi")</f>
        <v>Onsemi</v>
      </c>
      <c r="C9599" s="6">
        <v>3600</v>
      </c>
      <c r="D9599" s="7">
        <v>1.1100000000000001</v>
      </c>
    </row>
    <row r="9600" spans="1:5" x14ac:dyDescent="0.25">
      <c r="A9600" t="str">
        <f>HYPERLINK("https://www.773grp.com/globalSearch/CAT25640VI-GT3/page-1", "CAT25640VI-GT3")</f>
        <v>CAT25640VI-GT3</v>
      </c>
      <c r="B9600" s="3" t="str">
        <f>HYPERLINK("https://www.773grp.com/manufacturer/onsemi?pageNo=163", "Onsemi")</f>
        <v>Onsemi</v>
      </c>
      <c r="C9600" s="6">
        <v>8856</v>
      </c>
      <c r="D9600" s="7">
        <v>1.1100000000000001</v>
      </c>
    </row>
    <row r="9601" spans="1:5" x14ac:dyDescent="0.25">
      <c r="A9601" t="str">
        <f>HYPERLINK("https://www.773grp.com/globalSearch/CAT25640YI-GT3/page-1", "CAT25640YI-GT3")</f>
        <v>CAT25640YI-GT3</v>
      </c>
      <c r="B9601" s="3" t="str">
        <f>HYPERLINK("https://www.773grp.com/manufacturer/onsemi?pageNo=164", "Onsemi")</f>
        <v>Onsemi</v>
      </c>
      <c r="C9601" s="6">
        <v>3000</v>
      </c>
      <c r="D9601" s="7">
        <v>1.1100000000000001</v>
      </c>
      <c r="E9601" t="s">
        <v>52</v>
      </c>
    </row>
    <row r="9602" spans="1:5" x14ac:dyDescent="0.25">
      <c r="A9602" t="str">
        <f>HYPERLINK("https://www.773grp.com/globalSearch/CAT34C02VP2I-GT3/page-1", "CAT34C02VP2I-GT3")</f>
        <v>CAT34C02VP2I-GT3</v>
      </c>
      <c r="B9602" s="3" t="str">
        <f>HYPERLINK("https://www.773grp.com/manufacturer/onsemi?pageNo=165", "Onsemi")</f>
        <v>Onsemi</v>
      </c>
      <c r="C9602" s="6">
        <v>2000000</v>
      </c>
      <c r="D9602" s="7">
        <v>1.1100000000000001</v>
      </c>
      <c r="E9602" t="s">
        <v>52</v>
      </c>
    </row>
    <row r="9603" spans="1:5" x14ac:dyDescent="0.25">
      <c r="A9603" t="str">
        <f>HYPERLINK("https://www.773grp.com/globalSearch/CAT34C02VP2I-GT4/page-1", "CAT34C02VP2I-GT4")</f>
        <v>CAT34C02VP2I-GT4</v>
      </c>
      <c r="B9603" s="3" t="str">
        <f>HYPERLINK("https://www.773grp.com/manufacturer/onsemi?pageNo=166", "Onsemi")</f>
        <v>Onsemi</v>
      </c>
      <c r="C9603" s="6">
        <v>8000</v>
      </c>
      <c r="D9603" s="7">
        <v>1.1100000000000001</v>
      </c>
      <c r="E9603" t="s">
        <v>52</v>
      </c>
    </row>
    <row r="9604" spans="1:5" x14ac:dyDescent="0.25">
      <c r="A9604" t="str">
        <f>HYPERLINK("https://www.773grp.com/globalSearch/CAT93C56XI/page-1", "CAT93C56XI")</f>
        <v>CAT93C56XI</v>
      </c>
      <c r="B9604" s="3" t="str">
        <f>HYPERLINK("https://www.773grp.com/manufacturer/onsemi?pageNo=167", "Onsemi")</f>
        <v>Onsemi</v>
      </c>
      <c r="C9604" s="6">
        <v>14382</v>
      </c>
      <c r="D9604" s="7">
        <v>1.1100000000000001</v>
      </c>
      <c r="E9604" t="s">
        <v>52</v>
      </c>
    </row>
    <row r="9605" spans="1:5" x14ac:dyDescent="0.25">
      <c r="A9605" t="str">
        <f>HYPERLINK("https://www.773grp.com/globalSearch/CAT93C57XI/page-1", "CAT93C57XI")</f>
        <v>CAT93C57XI</v>
      </c>
      <c r="B9605" s="3" t="str">
        <f>HYPERLINK("https://www.773grp.com/manufacturer/onsemi?pageNo=168", "Onsemi")</f>
        <v>Onsemi</v>
      </c>
      <c r="C9605" s="6">
        <v>137</v>
      </c>
      <c r="D9605" s="7">
        <v>1.1100000000000001</v>
      </c>
      <c r="E9605" t="s">
        <v>52</v>
      </c>
    </row>
    <row r="9606" spans="1:5" x14ac:dyDescent="0.25">
      <c r="A9606" t="str">
        <f>HYPERLINK("https://www.773grp.com/globalSearch/CM1223-04SO/page-1", "CM1223-04SO")</f>
        <v>CM1223-04SO</v>
      </c>
      <c r="B9606" s="3" t="str">
        <f>HYPERLINK("https://www.773grp.com/manufacturer/onsemi?pageNo=169", "Onsemi")</f>
        <v>Onsemi</v>
      </c>
      <c r="C9606" s="6">
        <v>3000</v>
      </c>
      <c r="D9606" s="7">
        <v>1.1100000000000001</v>
      </c>
    </row>
    <row r="9607" spans="1:5" x14ac:dyDescent="0.25">
      <c r="A9607" t="str">
        <f>HYPERLINK("https://www.773grp.com/globalSearch/D44H11/page-1", "D44H11")</f>
        <v>D44H11</v>
      </c>
      <c r="B9607" s="3" t="str">
        <f>HYPERLINK("https://www.773grp.com/manufacturer/onsemi?pageNo=170", "Onsemi")</f>
        <v>Onsemi</v>
      </c>
      <c r="C9607" s="6">
        <v>14226</v>
      </c>
      <c r="D9607" s="7">
        <v>1.1100000000000001</v>
      </c>
      <c r="E9607" t="s">
        <v>47</v>
      </c>
    </row>
    <row r="9608" spans="1:5" x14ac:dyDescent="0.25">
      <c r="A9608" t="str">
        <f>HYPERLINK("https://www.773grp.com/globalSearch/D44H8/page-1", "D44H8")</f>
        <v>D44H8</v>
      </c>
      <c r="B9608" s="3" t="str">
        <f>HYPERLINK("https://www.773grp.com/manufacturer/onsemi?pageNo=171", "Onsemi")</f>
        <v>Onsemi</v>
      </c>
      <c r="C9608" s="6">
        <v>232</v>
      </c>
      <c r="D9608" s="7">
        <v>1.1100000000000001</v>
      </c>
      <c r="E9608" t="s">
        <v>47</v>
      </c>
    </row>
    <row r="9609" spans="1:5" x14ac:dyDescent="0.25">
      <c r="A9609" t="str">
        <f>HYPERLINK("https://www.773grp.com/globalSearch/D45H11/page-1", "D45H11")</f>
        <v>D45H11</v>
      </c>
      <c r="B9609" s="3" t="str">
        <f>HYPERLINK("https://www.773grp.com/manufacturer/onsemi?pageNo=172", "Onsemi")</f>
        <v>Onsemi</v>
      </c>
      <c r="C9609" s="6">
        <v>4249</v>
      </c>
      <c r="D9609" s="7">
        <v>1.1100000000000001</v>
      </c>
      <c r="E9609" t="s">
        <v>47</v>
      </c>
    </row>
    <row r="9610" spans="1:5" x14ac:dyDescent="0.25">
      <c r="A9610" t="str">
        <f>HYPERLINK("https://www.773grp.com/globalSearch/D45H8/page-1", "D45H8")</f>
        <v>D45H8</v>
      </c>
      <c r="B9610" s="3" t="str">
        <f>HYPERLINK("https://www.773grp.com/manufacturer/onsemi?pageNo=173", "Onsemi")</f>
        <v>Onsemi</v>
      </c>
      <c r="C9610" s="6">
        <v>3667</v>
      </c>
      <c r="D9610" s="7">
        <v>1.1100000000000001</v>
      </c>
      <c r="E9610" t="s">
        <v>47</v>
      </c>
    </row>
    <row r="9611" spans="1:5" x14ac:dyDescent="0.25">
      <c r="A9611" t="str">
        <f>HYPERLINK("https://www.773grp.com/globalSearch/ECH8675-TL-H/page-1", "ECH8675-TL-H")</f>
        <v>ECH8675-TL-H</v>
      </c>
      <c r="B9611" s="3" t="str">
        <f>HYPERLINK("https://www.773grp.com/manufacturer/onsemi?pageNo=174", "Onsemi")</f>
        <v>Onsemi</v>
      </c>
      <c r="C9611" s="6">
        <v>3000</v>
      </c>
      <c r="D9611" s="7">
        <v>1.1100000000000001</v>
      </c>
    </row>
    <row r="9612" spans="1:5" x14ac:dyDescent="0.25">
      <c r="A9612" t="str">
        <f>HYPERLINK("https://www.773grp.com/globalSearch/ESD11L5.0DT5G/page-1", "ESD11L5.0DT5G")</f>
        <v>ESD11L5.0DT5G</v>
      </c>
      <c r="B9612" s="3" t="str">
        <f>HYPERLINK("https://www.773grp.com/manufacturer/onsemi?pageNo=175", "Onsemi")</f>
        <v>Onsemi</v>
      </c>
      <c r="C9612" s="6">
        <v>8000</v>
      </c>
      <c r="D9612" s="7">
        <v>1.1100000000000001</v>
      </c>
    </row>
    <row r="9613" spans="1:5" x14ac:dyDescent="0.25">
      <c r="A9613" t="str">
        <f>HYPERLINK("https://www.773grp.com/globalSearch/LB11961-TLM-H/page-1", "LB11961-TLM-H")</f>
        <v>LB11961-TLM-H</v>
      </c>
      <c r="B9613" s="3" t="str">
        <f>HYPERLINK("https://www.773grp.com/manufacturer/onsemi?pageNo=176", "Onsemi")</f>
        <v>Onsemi</v>
      </c>
      <c r="C9613" s="6">
        <v>12000</v>
      </c>
      <c r="D9613" s="7">
        <v>1.1100000000000001</v>
      </c>
    </row>
    <row r="9614" spans="1:5" x14ac:dyDescent="0.25">
      <c r="A9614" t="str">
        <f>HYPERLINK("https://www.773grp.com/globalSearch/LE25FU206AMBW00TLM-H/page-1", "LE25FU206AMBW00TLM-H")</f>
        <v>LE25FU206AMBW00TLM-H</v>
      </c>
      <c r="B9614" s="3" t="str">
        <f>HYPERLINK("https://www.773grp.com/manufacturer/onsemi?pageNo=177", "Onsemi")</f>
        <v>Onsemi</v>
      </c>
      <c r="C9614" s="6">
        <v>90000</v>
      </c>
      <c r="D9614" s="7">
        <v>1.1100000000000001</v>
      </c>
    </row>
    <row r="9615" spans="1:5" x14ac:dyDescent="0.25">
      <c r="A9615" t="str">
        <f>HYPERLINK("https://www.773grp.com/globalSearch/LF353N/page-1", "LF353N")</f>
        <v>LF353N</v>
      </c>
      <c r="B9615" s="3" t="str">
        <f>HYPERLINK("https://www.773grp.com/manufacturer/onsemi?pageNo=178", "Onsemi")</f>
        <v>Onsemi</v>
      </c>
      <c r="C9615" s="6">
        <v>5402</v>
      </c>
      <c r="D9615" s="7">
        <v>1.1100000000000001</v>
      </c>
      <c r="E9615" t="s">
        <v>10</v>
      </c>
    </row>
    <row r="9616" spans="1:5" x14ac:dyDescent="0.25">
      <c r="A9616" t="str">
        <f>HYPERLINK("https://www.773grp.com/globalSearch/LM2931ACD/page-1", "LM2931ACD")</f>
        <v>LM2931ACD</v>
      </c>
      <c r="B9616" s="3" t="str">
        <f>HYPERLINK("https://www.773grp.com/manufacturer/onsemi?pageNo=179", "Onsemi")</f>
        <v>Onsemi</v>
      </c>
      <c r="C9616" s="6">
        <v>2308</v>
      </c>
      <c r="D9616" s="7">
        <v>1.1100000000000001</v>
      </c>
      <c r="E9616" t="s">
        <v>21</v>
      </c>
    </row>
    <row r="9617" spans="1:5" x14ac:dyDescent="0.25">
      <c r="A9617" t="str">
        <f>HYPERLINK("https://www.773grp.com/globalSearch/LM2931AT-5.0/page-1", "LM2931AT-5.0")</f>
        <v>LM2931AT-5.0</v>
      </c>
      <c r="B9617" s="3" t="str">
        <f>HYPERLINK("https://www.773grp.com/manufacturer/onsemi?pageNo=180", "Onsemi")</f>
        <v>Onsemi</v>
      </c>
      <c r="C9617" s="6">
        <v>4792</v>
      </c>
      <c r="D9617" s="7">
        <v>1.1100000000000001</v>
      </c>
      <c r="E9617" t="s">
        <v>15</v>
      </c>
    </row>
    <row r="9618" spans="1:5" x14ac:dyDescent="0.25">
      <c r="A9618" t="str">
        <f>HYPERLINK("https://www.773grp.com/globalSearch/LM2931CD/page-1", "LM2931CD")</f>
        <v>LM2931CD</v>
      </c>
      <c r="B9618" s="3" t="str">
        <f>HYPERLINK("https://www.773grp.com/manufacturer/onsemi?pageNo=181", "Onsemi")</f>
        <v>Onsemi</v>
      </c>
      <c r="C9618" s="6">
        <v>3333</v>
      </c>
      <c r="D9618" s="7">
        <v>1.1100000000000001</v>
      </c>
      <c r="E9618" t="s">
        <v>21</v>
      </c>
    </row>
    <row r="9619" spans="1:5" x14ac:dyDescent="0.25">
      <c r="A9619" t="str">
        <f>HYPERLINK("https://www.773grp.com/globalSearch/LP2951CD-3.0G/page-1", "LP2951CD-3.0G")</f>
        <v>LP2951CD-3.0G</v>
      </c>
      <c r="B9619" s="3" t="str">
        <f>HYPERLINK("https://www.773grp.com/manufacturer/onsemi?pageNo=182", "Onsemi")</f>
        <v>Onsemi</v>
      </c>
      <c r="C9619" s="6">
        <v>6174</v>
      </c>
      <c r="D9619" s="7">
        <v>1.1100000000000001</v>
      </c>
      <c r="E9619" t="s">
        <v>23</v>
      </c>
    </row>
    <row r="9620" spans="1:5" x14ac:dyDescent="0.25">
      <c r="A9620" t="str">
        <f>HYPERLINK("https://www.773grp.com/globalSearch/LP2951CD-3.0R2G/page-1", "LP2951CD-3.0R2G")</f>
        <v>LP2951CD-3.0R2G</v>
      </c>
      <c r="B9620" s="3" t="str">
        <f>HYPERLINK("https://www.773grp.com/manufacturer/onsemi?pageNo=183", "Onsemi")</f>
        <v>Onsemi</v>
      </c>
      <c r="C9620" s="6">
        <v>9359</v>
      </c>
      <c r="D9620" s="7">
        <v>1.1100000000000001</v>
      </c>
      <c r="E9620" t="s">
        <v>15</v>
      </c>
    </row>
    <row r="9621" spans="1:5" x14ac:dyDescent="0.25">
      <c r="A9621" t="str">
        <f>HYPERLINK("https://www.773grp.com/globalSearch/LP2951CD-3.3G/page-1", "LP2951CD-3.3G")</f>
        <v>LP2951CD-3.3G</v>
      </c>
      <c r="B9621" s="3" t="str">
        <f>HYPERLINK("https://www.773grp.com/manufacturer/onsemi?pageNo=184", "Onsemi")</f>
        <v>Onsemi</v>
      </c>
      <c r="C9621" s="6">
        <v>5305</v>
      </c>
      <c r="D9621" s="7">
        <v>1.1100000000000001</v>
      </c>
      <c r="E9621" t="s">
        <v>23</v>
      </c>
    </row>
    <row r="9622" spans="1:5" x14ac:dyDescent="0.25">
      <c r="A9622" t="str">
        <f>HYPERLINK("https://www.773grp.com/globalSearch/LP2951CD-3.3R2G/page-1", "LP2951CD-3.3R2G")</f>
        <v>LP2951CD-3.3R2G</v>
      </c>
      <c r="B9622" s="3" t="str">
        <f>HYPERLINK("https://www.773grp.com/manufacturer/onsemi?pageNo=185", "Onsemi")</f>
        <v>Onsemi</v>
      </c>
      <c r="C9622" s="6">
        <v>415946</v>
      </c>
      <c r="D9622" s="7">
        <v>1.1100000000000001</v>
      </c>
      <c r="E9622" t="s">
        <v>15</v>
      </c>
    </row>
    <row r="9623" spans="1:5" x14ac:dyDescent="0.25">
      <c r="A9623" t="str">
        <f>HYPERLINK("https://www.773grp.com/globalSearch/LP2951CDG/page-1", "LP2951CDG")</f>
        <v>LP2951CDG</v>
      </c>
      <c r="B9623" s="3" t="str">
        <f>HYPERLINK("https://www.773grp.com/manufacturer/onsemi?pageNo=186", "Onsemi")</f>
        <v>Onsemi</v>
      </c>
      <c r="C9623" s="6">
        <v>9895</v>
      </c>
      <c r="D9623" s="7">
        <v>1.1100000000000001</v>
      </c>
      <c r="E9623" t="s">
        <v>23</v>
      </c>
    </row>
    <row r="9624" spans="1:5" x14ac:dyDescent="0.25">
      <c r="A9624" t="str">
        <f>HYPERLINK("https://www.773grp.com/globalSearch/LP2951CDR2G/page-1", "LP2951CDR2G")</f>
        <v>LP2951CDR2G</v>
      </c>
      <c r="B9624" s="3" t="str">
        <f>HYPERLINK("https://www.773grp.com/manufacturer/onsemi?pageNo=187", "Onsemi")</f>
        <v>Onsemi</v>
      </c>
      <c r="C9624" s="6">
        <v>38692</v>
      </c>
      <c r="D9624" s="7">
        <v>1.1100000000000001</v>
      </c>
      <c r="E9624" t="s">
        <v>23</v>
      </c>
    </row>
    <row r="9625" spans="1:5" x14ac:dyDescent="0.25">
      <c r="A9625" t="str">
        <f>HYPERLINK("https://www.773grp.com/globalSearch/MAC12HCD/page-1", "MAC12HCD")</f>
        <v>MAC12HCD</v>
      </c>
      <c r="B9625" s="3" t="str">
        <f>HYPERLINK("https://www.773grp.com/manufacturer/onsemi?pageNo=188", "Onsemi")</f>
        <v>Onsemi</v>
      </c>
      <c r="C9625" s="6">
        <v>2500</v>
      </c>
      <c r="D9625" s="7">
        <v>1.1100000000000001</v>
      </c>
      <c r="E9625" t="s">
        <v>81</v>
      </c>
    </row>
    <row r="9626" spans="1:5" x14ac:dyDescent="0.25">
      <c r="A9626" t="str">
        <f>HYPERLINK("https://www.773grp.com/globalSearch/MAC12HCM/page-1", "MAC12HCM")</f>
        <v>MAC12HCM</v>
      </c>
      <c r="B9626" s="3" t="str">
        <f>HYPERLINK("https://www.773grp.com/manufacturer/onsemi?pageNo=189", "Onsemi")</f>
        <v>Onsemi</v>
      </c>
      <c r="C9626" s="6">
        <v>23243</v>
      </c>
      <c r="D9626" s="7">
        <v>1.1100000000000001</v>
      </c>
      <c r="E9626" t="s">
        <v>81</v>
      </c>
    </row>
    <row r="9627" spans="1:5" x14ac:dyDescent="0.25">
      <c r="A9627" t="str">
        <f>HYPERLINK("https://www.773grp.com/globalSearch/MAC12SM/page-1", "MAC12SM")</f>
        <v>MAC12SM</v>
      </c>
      <c r="B9627" s="3" t="str">
        <f>HYPERLINK("https://www.773grp.com/manufacturer/onsemi?pageNo=190", "Onsemi")</f>
        <v>Onsemi</v>
      </c>
      <c r="C9627" s="6">
        <v>500</v>
      </c>
      <c r="D9627" s="7">
        <v>1.1100000000000001</v>
      </c>
      <c r="E9627" t="s">
        <v>81</v>
      </c>
    </row>
    <row r="9628" spans="1:5" x14ac:dyDescent="0.25">
      <c r="A9628" t="str">
        <f>HYPERLINK("https://www.773grp.com/globalSearch/MAC12SN/page-1", "MAC12SN")</f>
        <v>MAC12SN</v>
      </c>
      <c r="B9628" s="3" t="str">
        <f>HYPERLINK("https://www.773grp.com/manufacturer/onsemi?pageNo=191", "Onsemi")</f>
        <v>Onsemi</v>
      </c>
      <c r="C9628" s="6">
        <v>215</v>
      </c>
      <c r="D9628" s="7">
        <v>1.1100000000000001</v>
      </c>
      <c r="E9628" t="s">
        <v>81</v>
      </c>
    </row>
    <row r="9629" spans="1:5" x14ac:dyDescent="0.25">
      <c r="A9629" t="str">
        <f>HYPERLINK("https://www.773grp.com/globalSearch/MAX828EUK/page-1", "MAX828EUK")</f>
        <v>MAX828EUK</v>
      </c>
      <c r="B9629" s="3" t="str">
        <f>HYPERLINK("https://www.773grp.com/manufacturer/onsemi?pageNo=192", "Onsemi")</f>
        <v>Onsemi</v>
      </c>
      <c r="C9629" s="6">
        <v>26900</v>
      </c>
      <c r="D9629" s="7">
        <v>1.1100000000000001</v>
      </c>
      <c r="E9629" t="s">
        <v>5</v>
      </c>
    </row>
    <row r="9630" spans="1:5" x14ac:dyDescent="0.25">
      <c r="A9630" t="str">
        <f>HYPERLINK("https://www.773grp.com/globalSearch/MC14015BDG/page-1", "MC14015BDG")</f>
        <v>MC14015BDG</v>
      </c>
      <c r="B9630" s="3" t="str">
        <f>HYPERLINK("https://www.773grp.com/manufacturer/onsemi?pageNo=193", "Onsemi")</f>
        <v>Onsemi</v>
      </c>
      <c r="C9630" s="6">
        <v>7869</v>
      </c>
      <c r="D9630" s="7">
        <v>1.1100000000000001</v>
      </c>
      <c r="E9630" t="s">
        <v>28</v>
      </c>
    </row>
    <row r="9631" spans="1:5" x14ac:dyDescent="0.25">
      <c r="A9631" t="str">
        <f>HYPERLINK("https://www.773grp.com/globalSearch/MC14015BDR2G/page-1", "MC14015BDR2G")</f>
        <v>MC14015BDR2G</v>
      </c>
      <c r="B9631" s="3" t="str">
        <f>HYPERLINK("https://www.773grp.com/manufacturer/onsemi?pageNo=194", "Onsemi")</f>
        <v>Onsemi</v>
      </c>
      <c r="C9631" s="6">
        <v>30928</v>
      </c>
      <c r="D9631" s="7">
        <v>1.1100000000000001</v>
      </c>
      <c r="E9631" t="s">
        <v>28</v>
      </c>
    </row>
    <row r="9632" spans="1:5" x14ac:dyDescent="0.25">
      <c r="A9632" t="str">
        <f>HYPERLINK("https://www.773grp.com/globalSearch/MC14018BDG/page-1", "MC14018BDG")</f>
        <v>MC14018BDG</v>
      </c>
      <c r="B9632" s="3" t="str">
        <f>HYPERLINK("https://www.773grp.com/manufacturer/onsemi?pageNo=195", "Onsemi")</f>
        <v>Onsemi</v>
      </c>
      <c r="C9632" s="6">
        <v>1084</v>
      </c>
      <c r="D9632" s="7">
        <v>1.1100000000000001</v>
      </c>
      <c r="E9632" t="s">
        <v>22</v>
      </c>
    </row>
    <row r="9633" spans="1:5" x14ac:dyDescent="0.25">
      <c r="A9633" t="str">
        <f>HYPERLINK("https://www.773grp.com/globalSearch/MC14018BDR2G/page-1", "MC14018BDR2G")</f>
        <v>MC14018BDR2G</v>
      </c>
      <c r="B9633" s="3" t="str">
        <f>HYPERLINK("https://www.773grp.com/manufacturer/onsemi?pageNo=196", "Onsemi")</f>
        <v>Onsemi</v>
      </c>
      <c r="C9633" s="6">
        <v>6770</v>
      </c>
      <c r="D9633" s="7">
        <v>1.1100000000000001</v>
      </c>
      <c r="E9633" t="s">
        <v>22</v>
      </c>
    </row>
    <row r="9634" spans="1:5" x14ac:dyDescent="0.25">
      <c r="A9634" t="str">
        <f>HYPERLINK("https://www.773grp.com/globalSearch/MC14040BDG/page-1", "MC14040BDG")</f>
        <v>MC14040BDG</v>
      </c>
      <c r="B9634" s="3" t="str">
        <f>HYPERLINK("https://www.773grp.com/manufacturer/onsemi?pageNo=197", "Onsemi")</f>
        <v>Onsemi</v>
      </c>
      <c r="C9634" s="6">
        <v>10840</v>
      </c>
      <c r="D9634" s="7">
        <v>1.1100000000000001</v>
      </c>
    </row>
    <row r="9635" spans="1:5" x14ac:dyDescent="0.25">
      <c r="A9635" t="str">
        <f>HYPERLINK("https://www.773grp.com/globalSearch/MC14040BDR2/page-1", "MC14040BDR2")</f>
        <v>MC14040BDR2</v>
      </c>
      <c r="B9635" s="3" t="str">
        <f>HYPERLINK("https://www.773grp.com/manufacturer/onsemi?pageNo=198", "Onsemi")</f>
        <v>Onsemi</v>
      </c>
      <c r="C9635" s="6">
        <v>2500</v>
      </c>
      <c r="D9635" s="7">
        <v>1.1100000000000001</v>
      </c>
      <c r="E9635" t="s">
        <v>22</v>
      </c>
    </row>
    <row r="9636" spans="1:5" x14ac:dyDescent="0.25">
      <c r="A9636" t="str">
        <f>HYPERLINK("https://www.773grp.com/globalSearch/MC14040BDR2G/page-1", "MC14040BDR2G")</f>
        <v>MC14040BDR2G</v>
      </c>
      <c r="B9636" s="3" t="str">
        <f>HYPERLINK("https://www.773grp.com/manufacturer/onsemi?pageNo=199", "Onsemi")</f>
        <v>Onsemi</v>
      </c>
      <c r="C9636" s="6">
        <v>400509</v>
      </c>
      <c r="D9636" s="7">
        <v>1.1100000000000001</v>
      </c>
      <c r="E9636" t="s">
        <v>22</v>
      </c>
    </row>
    <row r="9637" spans="1:5" x14ac:dyDescent="0.25">
      <c r="A9637" t="str">
        <f>HYPERLINK("https://www.773grp.com/globalSearch/MC14040BDTR2G/page-1", "MC14040BDTR2G")</f>
        <v>MC14040BDTR2G</v>
      </c>
      <c r="B9637" s="3" t="str">
        <f>HYPERLINK("https://www.773grp.com/manufacturer/onsemi?pageNo=200", "Onsemi")</f>
        <v>Onsemi</v>
      </c>
      <c r="C9637" s="6">
        <v>984</v>
      </c>
      <c r="D9637" s="7">
        <v>1.1100000000000001</v>
      </c>
    </row>
    <row r="9638" spans="1:5" x14ac:dyDescent="0.25">
      <c r="A9638" t="str">
        <f>HYPERLINK("https://www.773grp.com/globalSearch/MC14042BDG/page-1", "MC14042BDG")</f>
        <v>MC14042BDG</v>
      </c>
      <c r="B9638" s="3" t="str">
        <f>HYPERLINK("https://www.773grp.com/manufacturer/onsemi?pageNo=201", "Onsemi")</f>
        <v>Onsemi</v>
      </c>
      <c r="C9638" s="6">
        <v>1600</v>
      </c>
      <c r="D9638" s="7">
        <v>1.1100000000000001</v>
      </c>
      <c r="E9638" t="s">
        <v>31</v>
      </c>
    </row>
    <row r="9639" spans="1:5" x14ac:dyDescent="0.25">
      <c r="A9639" t="str">
        <f>HYPERLINK("https://www.773grp.com/globalSearch/MC14042BDR2G/page-1", "MC14042BDR2G")</f>
        <v>MC14042BDR2G</v>
      </c>
      <c r="B9639" s="3" t="str">
        <f>HYPERLINK("https://www.773grp.com/manufacturer/onsemi?pageNo=202", "Onsemi")</f>
        <v>Onsemi</v>
      </c>
      <c r="C9639" s="6">
        <v>26968</v>
      </c>
      <c r="D9639" s="7">
        <v>1.1100000000000001</v>
      </c>
      <c r="E9639" t="s">
        <v>31</v>
      </c>
    </row>
    <row r="9640" spans="1:5" x14ac:dyDescent="0.25">
      <c r="A9640" t="str">
        <f>HYPERLINK("https://www.773grp.com/globalSearch/MC14052BCPG/page-1", "MC14052BCPG")</f>
        <v>MC14052BCPG</v>
      </c>
      <c r="B9640" s="3" t="str">
        <f>HYPERLINK("https://www.773grp.com/manufacturer/onsemi?pageNo=203", "Onsemi")</f>
        <v>Onsemi</v>
      </c>
      <c r="C9640" s="6">
        <v>28507</v>
      </c>
      <c r="D9640" s="7">
        <v>1.1100000000000001</v>
      </c>
      <c r="E9640" t="s">
        <v>46</v>
      </c>
    </row>
    <row r="9641" spans="1:5" x14ac:dyDescent="0.25">
      <c r="A9641" t="str">
        <f>HYPERLINK("https://www.773grp.com/globalSearch/MC14052BFG/page-1", "MC14052BFG")</f>
        <v>MC14052BFG</v>
      </c>
      <c r="B9641" s="3" t="str">
        <f>HYPERLINK("https://www.773grp.com/manufacturer/onsemi?pageNo=204", "Onsemi")</f>
        <v>Onsemi</v>
      </c>
      <c r="C9641" s="6">
        <v>4375</v>
      </c>
      <c r="D9641" s="7">
        <v>1.1100000000000001</v>
      </c>
      <c r="E9641" t="s">
        <v>46</v>
      </c>
    </row>
    <row r="9642" spans="1:5" x14ac:dyDescent="0.25">
      <c r="A9642" t="str">
        <f>HYPERLINK("https://www.773grp.com/globalSearch/MC14053BCPG/page-1", "MC14053BCPG")</f>
        <v>MC14053BCPG</v>
      </c>
      <c r="B9642" s="3" t="str">
        <f>HYPERLINK("https://www.773grp.com/manufacturer/onsemi?pageNo=205", "Onsemi")</f>
        <v>Onsemi</v>
      </c>
      <c r="C9642" s="6">
        <v>53675</v>
      </c>
      <c r="D9642" s="7">
        <v>1.1100000000000001</v>
      </c>
      <c r="E9642" t="s">
        <v>46</v>
      </c>
    </row>
    <row r="9643" spans="1:5" x14ac:dyDescent="0.25">
      <c r="A9643" t="str">
        <f>HYPERLINK("https://www.773grp.com/globalSearch/MC14060BDG/page-1", "MC14060BDG")</f>
        <v>MC14060BDG</v>
      </c>
      <c r="B9643" s="3" t="str">
        <f>HYPERLINK("https://www.773grp.com/manufacturer/onsemi?pageNo=206", "Onsemi")</f>
        <v>Onsemi</v>
      </c>
      <c r="C9643" s="6">
        <v>4512</v>
      </c>
      <c r="D9643" s="7">
        <v>1.1100000000000001</v>
      </c>
      <c r="E9643" t="s">
        <v>22</v>
      </c>
    </row>
    <row r="9644" spans="1:5" x14ac:dyDescent="0.25">
      <c r="A9644" t="str">
        <f>HYPERLINK("https://www.773grp.com/globalSearch/MC14060BDR2/page-1", "MC14060BDR2")</f>
        <v>MC14060BDR2</v>
      </c>
      <c r="B9644" s="3" t="str">
        <f>HYPERLINK("https://www.773grp.com/manufacturer/onsemi?pageNo=207", "Onsemi")</f>
        <v>Onsemi</v>
      </c>
      <c r="C9644" s="6">
        <v>1004</v>
      </c>
      <c r="D9644" s="7">
        <v>1.1100000000000001</v>
      </c>
      <c r="E9644" t="s">
        <v>22</v>
      </c>
    </row>
    <row r="9645" spans="1:5" x14ac:dyDescent="0.25">
      <c r="A9645" t="str">
        <f>HYPERLINK("https://www.773grp.com/globalSearch/MC14060BDR2G/page-1", "MC14060BDR2G")</f>
        <v>MC14060BDR2G</v>
      </c>
      <c r="B9645" s="3" t="str">
        <f>HYPERLINK("https://www.773grp.com/manufacturer/onsemi?pageNo=208", "Onsemi")</f>
        <v>Onsemi</v>
      </c>
      <c r="C9645" s="6">
        <v>90246</v>
      </c>
      <c r="D9645" s="7">
        <v>1.1100000000000001</v>
      </c>
      <c r="E9645" t="s">
        <v>22</v>
      </c>
    </row>
    <row r="9646" spans="1:5" x14ac:dyDescent="0.25">
      <c r="A9646" t="str">
        <f>HYPERLINK("https://www.773grp.com/globalSearch/MC14175BDG/page-1", "MC14175BDG")</f>
        <v>MC14175BDG</v>
      </c>
      <c r="B9646" s="3" t="str">
        <f>HYPERLINK("https://www.773grp.com/manufacturer/onsemi?pageNo=209", "Onsemi")</f>
        <v>Onsemi</v>
      </c>
      <c r="C9646" s="6">
        <v>13246</v>
      </c>
      <c r="D9646" s="7">
        <v>1.1100000000000001</v>
      </c>
      <c r="E9646" t="s">
        <v>31</v>
      </c>
    </row>
    <row r="9647" spans="1:5" x14ac:dyDescent="0.25">
      <c r="A9647" t="str">
        <f>HYPERLINK("https://www.773grp.com/globalSearch/MC14175BDR2G/page-1", "MC14175BDR2G")</f>
        <v>MC14175BDR2G</v>
      </c>
      <c r="B9647" s="3" t="str">
        <f>HYPERLINK("https://www.773grp.com/manufacturer/onsemi?pageNo=210", "Onsemi")</f>
        <v>Onsemi</v>
      </c>
      <c r="C9647" s="6">
        <v>32314</v>
      </c>
      <c r="D9647" s="7">
        <v>1.1100000000000001</v>
      </c>
      <c r="E9647" t="s">
        <v>31</v>
      </c>
    </row>
    <row r="9648" spans="1:5" x14ac:dyDescent="0.25">
      <c r="A9648" t="str">
        <f>HYPERLINK("https://www.773grp.com/globalSearch/MC14511BDG/page-1", "MC14511BDG")</f>
        <v>MC14511BDG</v>
      </c>
      <c r="B9648" s="3" t="str">
        <f>HYPERLINK("https://www.773grp.com/manufacturer/onsemi?pageNo=211", "Onsemi")</f>
        <v>Onsemi</v>
      </c>
      <c r="C9648" s="6">
        <v>4238</v>
      </c>
      <c r="D9648" s="7">
        <v>1.1100000000000001</v>
      </c>
      <c r="E9648" t="s">
        <v>32</v>
      </c>
    </row>
    <row r="9649" spans="1:5" x14ac:dyDescent="0.25">
      <c r="A9649" t="str">
        <f>HYPERLINK("https://www.773grp.com/globalSearch/MC1455DG/page-1", "MC1455DG")</f>
        <v>MC1455DG</v>
      </c>
      <c r="B9649" s="3" t="str">
        <f>HYPERLINK("https://www.773grp.com/manufacturer/onsemi?pageNo=212", "Onsemi")</f>
        <v>Onsemi</v>
      </c>
      <c r="C9649" s="6">
        <v>13567</v>
      </c>
      <c r="D9649" s="7">
        <v>1.1100000000000001</v>
      </c>
      <c r="E9649" t="s">
        <v>25</v>
      </c>
    </row>
    <row r="9650" spans="1:5" x14ac:dyDescent="0.25">
      <c r="A9650" t="str">
        <f>HYPERLINK("https://www.773grp.com/globalSearch/MC1455DR2/page-1", "MC1455DR2")</f>
        <v>MC1455DR2</v>
      </c>
      <c r="B9650" s="3" t="str">
        <f>HYPERLINK("https://www.773grp.com/manufacturer/onsemi?pageNo=213", "Onsemi")</f>
        <v>Onsemi</v>
      </c>
      <c r="C9650" s="6">
        <v>22108</v>
      </c>
      <c r="D9650" s="7">
        <v>1.1100000000000001</v>
      </c>
    </row>
    <row r="9651" spans="1:5" x14ac:dyDescent="0.25">
      <c r="A9651" t="str">
        <f>HYPERLINK("https://www.773grp.com/globalSearch/MC1455DR2G/page-1", "MC1455DR2G")</f>
        <v>MC1455DR2G</v>
      </c>
      <c r="B9651" s="3" t="str">
        <f>HYPERLINK("https://www.773grp.com/manufacturer/onsemi?pageNo=214", "Onsemi")</f>
        <v>Onsemi</v>
      </c>
      <c r="C9651" s="6">
        <v>26260</v>
      </c>
      <c r="D9651" s="7">
        <v>1.1100000000000001</v>
      </c>
      <c r="E9651" t="s">
        <v>25</v>
      </c>
    </row>
    <row r="9652" spans="1:5" x14ac:dyDescent="0.25">
      <c r="A9652" t="str">
        <f>HYPERLINK("https://www.773grp.com/globalSearch/MC1455P1/page-1", "MC1455P1")</f>
        <v>MC1455P1</v>
      </c>
      <c r="B9652" s="3" t="str">
        <f>HYPERLINK("https://www.773grp.com/manufacturer/onsemi?pageNo=215", "Onsemi")</f>
        <v>Onsemi</v>
      </c>
      <c r="C9652" s="6">
        <v>70</v>
      </c>
      <c r="D9652" s="7">
        <v>1.1100000000000001</v>
      </c>
      <c r="E9652" t="s">
        <v>25</v>
      </c>
    </row>
    <row r="9653" spans="1:5" x14ac:dyDescent="0.25">
      <c r="A9653" t="str">
        <f>HYPERLINK("https://www.773grp.com/globalSearch/MC33460SQ-09ATR/page-1", "MC33460SQ-09ATR")</f>
        <v>MC33460SQ-09ATR</v>
      </c>
      <c r="B9653" s="3" t="str">
        <f>HYPERLINK("https://www.773grp.com/manufacturer/onsemi?pageNo=216", "Onsemi")</f>
        <v>Onsemi</v>
      </c>
      <c r="C9653" s="6">
        <v>3120</v>
      </c>
      <c r="D9653" s="7">
        <v>1.1100000000000001</v>
      </c>
      <c r="E9653" t="s">
        <v>26</v>
      </c>
    </row>
    <row r="9654" spans="1:5" x14ac:dyDescent="0.25">
      <c r="A9654" t="str">
        <f>HYPERLINK("https://www.773grp.com/globalSearch/MC33460SQ-32ATR/page-1", "MC33460SQ-32ATR")</f>
        <v>MC33460SQ-32ATR</v>
      </c>
      <c r="B9654" s="3" t="str">
        <f>HYPERLINK("https://www.773grp.com/manufacturer/onsemi?pageNo=217", "Onsemi")</f>
        <v>Onsemi</v>
      </c>
      <c r="C9654" s="6">
        <v>100</v>
      </c>
      <c r="D9654" s="7">
        <v>1.1100000000000001</v>
      </c>
      <c r="E9654" t="s">
        <v>26</v>
      </c>
    </row>
    <row r="9655" spans="1:5" x14ac:dyDescent="0.25">
      <c r="A9655" t="str">
        <f>HYPERLINK("https://www.773grp.com/globalSearch/MC33460SQ-45ATR/page-1", "MC33460SQ-45ATR")</f>
        <v>MC33460SQ-45ATR</v>
      </c>
      <c r="B9655" s="3" t="str">
        <f>HYPERLINK("https://www.773grp.com/manufacturer/onsemi?pageNo=218", "Onsemi")</f>
        <v>Onsemi</v>
      </c>
      <c r="C9655" s="6">
        <v>28</v>
      </c>
      <c r="D9655" s="7">
        <v>1.1100000000000001</v>
      </c>
      <c r="E9655" t="s">
        <v>26</v>
      </c>
    </row>
    <row r="9656" spans="1:5" x14ac:dyDescent="0.25">
      <c r="A9656" t="str">
        <f>HYPERLINK("https://www.773grp.com/globalSearch/MC33461SQ-20CTR/page-1", "MC33461SQ-20CTR")</f>
        <v>MC33461SQ-20CTR</v>
      </c>
      <c r="B9656" s="3" t="str">
        <f>HYPERLINK("https://www.773grp.com/manufacturer/onsemi?pageNo=219", "Onsemi")</f>
        <v>Onsemi</v>
      </c>
      <c r="C9656" s="6">
        <v>9000</v>
      </c>
      <c r="D9656" s="7">
        <v>1.1100000000000001</v>
      </c>
      <c r="E9656" t="s">
        <v>26</v>
      </c>
    </row>
    <row r="9657" spans="1:5" x14ac:dyDescent="0.25">
      <c r="A9657" t="str">
        <f>HYPERLINK("https://www.773grp.com/globalSearch/MC33461SQ-27CTR/page-1", "MC33461SQ-27CTR")</f>
        <v>MC33461SQ-27CTR</v>
      </c>
      <c r="B9657" s="3" t="str">
        <f>HYPERLINK("https://www.773grp.com/manufacturer/onsemi?pageNo=220", "Onsemi")</f>
        <v>Onsemi</v>
      </c>
      <c r="C9657" s="6">
        <v>30000</v>
      </c>
      <c r="D9657" s="7">
        <v>1.1100000000000001</v>
      </c>
      <c r="E9657" t="s">
        <v>26</v>
      </c>
    </row>
    <row r="9658" spans="1:5" x14ac:dyDescent="0.25">
      <c r="A9658" t="str">
        <f>HYPERLINK("https://www.773grp.com/globalSearch/MC33461SQ-30CTR/page-1", "MC33461SQ-30CTR")</f>
        <v>MC33461SQ-30CTR</v>
      </c>
      <c r="B9658" s="3" t="str">
        <f>HYPERLINK("https://www.773grp.com/manufacturer/onsemi?pageNo=221", "Onsemi")</f>
        <v>Onsemi</v>
      </c>
      <c r="C9658" s="6">
        <v>160</v>
      </c>
      <c r="D9658" s="7">
        <v>1.1100000000000001</v>
      </c>
      <c r="E9658" t="s">
        <v>26</v>
      </c>
    </row>
    <row r="9659" spans="1:5" x14ac:dyDescent="0.25">
      <c r="A9659" t="str">
        <f>HYPERLINK("https://www.773grp.com/globalSearch/MC33461SQ-32CTR/page-1", "MC33461SQ-32CTR")</f>
        <v>MC33461SQ-32CTR</v>
      </c>
      <c r="B9659" s="3" t="str">
        <f>HYPERLINK("https://www.773grp.com/manufacturer/onsemi?pageNo=222", "Onsemi")</f>
        <v>Onsemi</v>
      </c>
      <c r="C9659" s="6">
        <v>111280</v>
      </c>
      <c r="D9659" s="7">
        <v>1.1100000000000001</v>
      </c>
      <c r="E9659" t="s">
        <v>26</v>
      </c>
    </row>
    <row r="9660" spans="1:5" x14ac:dyDescent="0.25">
      <c r="A9660" t="str">
        <f>HYPERLINK("https://www.773grp.com/globalSearch/MC33465N-09ATR/page-1", "MC33465N-09ATR")</f>
        <v>MC33465N-09ATR</v>
      </c>
      <c r="B9660" s="3" t="str">
        <f>HYPERLINK("https://www.773grp.com/manufacturer/onsemi?pageNo=223", "Onsemi")</f>
        <v>Onsemi</v>
      </c>
      <c r="C9660" s="6">
        <v>2380</v>
      </c>
      <c r="D9660" s="7">
        <v>1.1100000000000001</v>
      </c>
      <c r="E9660" t="s">
        <v>26</v>
      </c>
    </row>
    <row r="9661" spans="1:5" x14ac:dyDescent="0.25">
      <c r="A9661" t="str">
        <f>HYPERLINK("https://www.773grp.com/globalSearch/MC33465N-20ATR/page-1", "MC33465N-20ATR")</f>
        <v>MC33465N-20ATR</v>
      </c>
      <c r="B9661" s="3" t="str">
        <f>HYPERLINK("https://www.773grp.com/manufacturer/onsemi?pageNo=224", "Onsemi")</f>
        <v>Onsemi</v>
      </c>
      <c r="C9661" s="6">
        <v>170540</v>
      </c>
      <c r="D9661" s="7">
        <v>1.1100000000000001</v>
      </c>
      <c r="E9661" t="s">
        <v>26</v>
      </c>
    </row>
    <row r="9662" spans="1:5" x14ac:dyDescent="0.25">
      <c r="A9662" t="str">
        <f>HYPERLINK("https://www.773grp.com/globalSearch/MC33465N-20CTR/page-1", "MC33465N-20CTR")</f>
        <v>MC33465N-20CTR</v>
      </c>
      <c r="B9662" s="3" t="str">
        <f>HYPERLINK("https://www.773grp.com/manufacturer/onsemi?pageNo=225", "Onsemi")</f>
        <v>Onsemi</v>
      </c>
      <c r="C9662" s="6">
        <v>5315</v>
      </c>
      <c r="D9662" s="7">
        <v>1.1100000000000001</v>
      </c>
      <c r="E9662" t="s">
        <v>26</v>
      </c>
    </row>
    <row r="9663" spans="1:5" x14ac:dyDescent="0.25">
      <c r="A9663" t="str">
        <f>HYPERLINK("https://www.773grp.com/globalSearch/MC33465N-22ATR/page-1", "MC33465N-22ATR")</f>
        <v>MC33465N-22ATR</v>
      </c>
      <c r="B9663" s="3" t="str">
        <f>HYPERLINK("https://www.773grp.com/manufacturer/onsemi?pageNo=226", "Onsemi")</f>
        <v>Onsemi</v>
      </c>
      <c r="C9663" s="6">
        <v>185955</v>
      </c>
      <c r="D9663" s="7">
        <v>1.1100000000000001</v>
      </c>
      <c r="E9663" t="s">
        <v>26</v>
      </c>
    </row>
    <row r="9664" spans="1:5" x14ac:dyDescent="0.25">
      <c r="A9664" t="str">
        <f>HYPERLINK("https://www.773grp.com/globalSearch/MC33465N-27ATR/page-1", "MC33465N-27ATR")</f>
        <v>MC33465N-27ATR</v>
      </c>
      <c r="B9664" s="3" t="str">
        <f>HYPERLINK("https://www.773grp.com/manufacturer/onsemi?pageNo=227", "Onsemi")</f>
        <v>Onsemi</v>
      </c>
      <c r="C9664" s="6">
        <v>138160</v>
      </c>
      <c r="D9664" s="7">
        <v>1.1100000000000001</v>
      </c>
      <c r="E9664" t="s">
        <v>26</v>
      </c>
    </row>
    <row r="9665" spans="1:5" x14ac:dyDescent="0.25">
      <c r="A9665" t="str">
        <f>HYPERLINK("https://www.773grp.com/globalSearch/MC33465N-27CTR/page-1", "MC33465N-27CTR")</f>
        <v>MC33465N-27CTR</v>
      </c>
      <c r="B9665" s="3" t="str">
        <f>HYPERLINK("https://www.773grp.com/manufacturer/onsemi?pageNo=228", "Onsemi")</f>
        <v>Onsemi</v>
      </c>
      <c r="C9665" s="6">
        <v>2814</v>
      </c>
      <c r="D9665" s="7">
        <v>1.1100000000000001</v>
      </c>
      <c r="E9665" t="s">
        <v>26</v>
      </c>
    </row>
    <row r="9666" spans="1:5" x14ac:dyDescent="0.25">
      <c r="A9666" t="str">
        <f>HYPERLINK("https://www.773grp.com/globalSearch/MC33465N-28ATR/page-1", "MC33465N-28ATR")</f>
        <v>MC33465N-28ATR</v>
      </c>
      <c r="B9666" s="3" t="str">
        <f>HYPERLINK("https://www.773grp.com/manufacturer/onsemi?pageNo=229", "Onsemi")</f>
        <v>Onsemi</v>
      </c>
      <c r="C9666" s="6">
        <v>282050</v>
      </c>
      <c r="D9666" s="7">
        <v>1.1100000000000001</v>
      </c>
      <c r="E9666" t="s">
        <v>26</v>
      </c>
    </row>
    <row r="9667" spans="1:5" x14ac:dyDescent="0.25">
      <c r="A9667" t="str">
        <f>HYPERLINK("https://www.773grp.com/globalSearch/MC33465N-30ATR/page-1", "MC33465N-30ATR")</f>
        <v>MC33465N-30ATR</v>
      </c>
      <c r="B9667" s="3" t="str">
        <f>HYPERLINK("https://www.773grp.com/manufacturer/onsemi?pageNo=230", "Onsemi")</f>
        <v>Onsemi</v>
      </c>
      <c r="C9667" s="6">
        <v>239725</v>
      </c>
      <c r="D9667" s="7">
        <v>1.1100000000000001</v>
      </c>
      <c r="E9667" t="s">
        <v>26</v>
      </c>
    </row>
    <row r="9668" spans="1:5" x14ac:dyDescent="0.25">
      <c r="A9668" t="str">
        <f>HYPERLINK("https://www.773grp.com/globalSearch/MC33465N-30CTR/page-1", "MC33465N-30CTR")</f>
        <v>MC33465N-30CTR</v>
      </c>
      <c r="B9668" s="3" t="str">
        <f>HYPERLINK("https://www.773grp.com/manufacturer/onsemi?pageNo=231", "Onsemi")</f>
        <v>Onsemi</v>
      </c>
      <c r="C9668" s="6">
        <v>139508</v>
      </c>
      <c r="D9668" s="7">
        <v>1.1100000000000001</v>
      </c>
      <c r="E9668" t="s">
        <v>26</v>
      </c>
    </row>
    <row r="9669" spans="1:5" x14ac:dyDescent="0.25">
      <c r="A9669" t="str">
        <f>HYPERLINK("https://www.773grp.com/globalSearch/MC33465N-32ATR/page-1", "MC33465N-32ATR")</f>
        <v>MC33465N-32ATR</v>
      </c>
      <c r="B9669" s="3" t="str">
        <f>HYPERLINK("https://www.773grp.com/manufacturer/onsemi?pageNo=232", "Onsemi")</f>
        <v>Onsemi</v>
      </c>
      <c r="C9669" s="6">
        <v>33088</v>
      </c>
      <c r="D9669" s="7">
        <v>1.1100000000000001</v>
      </c>
      <c r="E9669" t="s">
        <v>26</v>
      </c>
    </row>
    <row r="9670" spans="1:5" x14ac:dyDescent="0.25">
      <c r="A9670" t="str">
        <f>HYPERLINK("https://www.773grp.com/globalSearch/MC33465N-34ATR/page-1", "MC33465N-34ATR")</f>
        <v>MC33465N-34ATR</v>
      </c>
      <c r="B9670" s="3" t="str">
        <f>HYPERLINK("https://www.773grp.com/manufacturer/onsemi?pageNo=233", "Onsemi")</f>
        <v>Onsemi</v>
      </c>
      <c r="C9670" s="6">
        <v>9178</v>
      </c>
      <c r="D9670" s="7">
        <v>1.1100000000000001</v>
      </c>
      <c r="E9670" t="s">
        <v>26</v>
      </c>
    </row>
    <row r="9671" spans="1:5" x14ac:dyDescent="0.25">
      <c r="A9671" t="str">
        <f>HYPERLINK("https://www.773grp.com/globalSearch/MC33465N-43CTR/page-1", "MC33465N-43CTR")</f>
        <v>MC33465N-43CTR</v>
      </c>
      <c r="B9671" s="3" t="str">
        <f>HYPERLINK("https://www.773grp.com/manufacturer/onsemi?pageNo=234", "Onsemi")</f>
        <v>Onsemi</v>
      </c>
      <c r="C9671" s="6">
        <v>65</v>
      </c>
      <c r="D9671" s="7">
        <v>1.1100000000000001</v>
      </c>
      <c r="E9671" t="s">
        <v>26</v>
      </c>
    </row>
    <row r="9672" spans="1:5" x14ac:dyDescent="0.25">
      <c r="A9672" t="str">
        <f>HYPERLINK("https://www.773grp.com/globalSearch/MC33465N-45ATR/page-1", "MC33465N-45ATR")</f>
        <v>MC33465N-45ATR</v>
      </c>
      <c r="B9672" s="3" t="str">
        <f>HYPERLINK("https://www.773grp.com/manufacturer/onsemi?pageNo=235", "Onsemi")</f>
        <v>Onsemi</v>
      </c>
      <c r="C9672" s="6">
        <v>371139</v>
      </c>
      <c r="D9672" s="7">
        <v>1.1100000000000001</v>
      </c>
      <c r="E9672" t="s">
        <v>26</v>
      </c>
    </row>
    <row r="9673" spans="1:5" x14ac:dyDescent="0.25">
      <c r="A9673" t="str">
        <f>HYPERLINK("https://www.773grp.com/globalSearch/MC33465N-45ATR/page-1", "MC33465N-45ATR")</f>
        <v>MC33465N-45ATR</v>
      </c>
      <c r="B9673" s="3" t="str">
        <f>HYPERLINK("https://www.773grp.com/manufacturer/onsemi?pageNo=236", "Onsemi")</f>
        <v>Onsemi</v>
      </c>
      <c r="C9673" s="6">
        <v>30850</v>
      </c>
      <c r="D9673" s="7">
        <v>1.1100000000000001</v>
      </c>
      <c r="E9673" t="s">
        <v>26</v>
      </c>
    </row>
    <row r="9674" spans="1:5" x14ac:dyDescent="0.25">
      <c r="A9674" t="str">
        <f>HYPERLINK("https://www.773grp.com/globalSearch/MC33465N-48CTR/page-1", "MC33465N-48CTR")</f>
        <v>MC33465N-48CTR</v>
      </c>
      <c r="B9674" s="3" t="str">
        <f>HYPERLINK("https://www.773grp.com/manufacturer/onsemi?pageNo=237", "Onsemi")</f>
        <v>Onsemi</v>
      </c>
      <c r="C9674" s="6">
        <v>3000</v>
      </c>
      <c r="D9674" s="7">
        <v>1.1100000000000001</v>
      </c>
    </row>
    <row r="9675" spans="1:5" x14ac:dyDescent="0.25">
      <c r="A9675" t="str">
        <f>HYPERLINK("https://www.773grp.com/globalSearch/MC33761SNT1-028G/page-1", "MC33761SNT1-028G")</f>
        <v>MC33761SNT1-028G</v>
      </c>
      <c r="B9675" s="3" t="str">
        <f>HYPERLINK("https://www.773grp.com/manufacturer/onsemi?pageNo=238", "Onsemi")</f>
        <v>Onsemi</v>
      </c>
      <c r="C9675" s="6">
        <v>13935</v>
      </c>
      <c r="D9675" s="7">
        <v>1.1100000000000001</v>
      </c>
      <c r="E9675" t="s">
        <v>15</v>
      </c>
    </row>
    <row r="9676" spans="1:5" x14ac:dyDescent="0.25">
      <c r="A9676" t="str">
        <f>HYPERLINK("https://www.773grp.com/globalSearch/MC34002BD/page-1", "MC34002BD")</f>
        <v>MC34002BD</v>
      </c>
      <c r="B9676" s="3" t="str">
        <f>HYPERLINK("https://www.773grp.com/manufacturer/onsemi?pageNo=239", "Onsemi")</f>
        <v>Onsemi</v>
      </c>
      <c r="C9676" s="6">
        <v>88</v>
      </c>
      <c r="D9676" s="7">
        <v>1.1100000000000001</v>
      </c>
      <c r="E9676" t="s">
        <v>10</v>
      </c>
    </row>
    <row r="9677" spans="1:5" x14ac:dyDescent="0.25">
      <c r="A9677" t="str">
        <f>HYPERLINK("https://www.773grp.com/globalSearch/MC34074P/page-1", "MC34074P")</f>
        <v>MC34074P</v>
      </c>
      <c r="B9677" s="3" t="str">
        <f>HYPERLINK("https://www.773grp.com/manufacturer/onsemi?pageNo=240", "Onsemi")</f>
        <v>Onsemi</v>
      </c>
      <c r="C9677" s="6">
        <v>3146</v>
      </c>
      <c r="D9677" s="7">
        <v>1.1100000000000001</v>
      </c>
      <c r="E9677" t="s">
        <v>10</v>
      </c>
    </row>
    <row r="9678" spans="1:5" x14ac:dyDescent="0.25">
      <c r="A9678" t="str">
        <f>HYPERLINK("https://www.773grp.com/globalSearch/MC34152D/page-1", "MC34152D")</f>
        <v>MC34152D</v>
      </c>
      <c r="B9678" s="3" t="str">
        <f>HYPERLINK("https://www.773grp.com/manufacturer/onsemi?pageNo=241", "Onsemi")</f>
        <v>Onsemi</v>
      </c>
      <c r="C9678" s="6">
        <v>25</v>
      </c>
      <c r="D9678" s="7">
        <v>1.1100000000000001</v>
      </c>
      <c r="E9678" t="s">
        <v>12</v>
      </c>
    </row>
    <row r="9679" spans="1:5" x14ac:dyDescent="0.25">
      <c r="A9679" t="str">
        <f>HYPERLINK("https://www.773grp.com/globalSearch/MC34268D/page-1", "MC34268D")</f>
        <v>MC34268D</v>
      </c>
      <c r="B9679" s="3" t="str">
        <f>HYPERLINK("https://www.773grp.com/manufacturer/onsemi?pageNo=242", "Onsemi")</f>
        <v>Onsemi</v>
      </c>
      <c r="C9679" s="6">
        <v>4258</v>
      </c>
      <c r="D9679" s="7">
        <v>1.1100000000000001</v>
      </c>
      <c r="E9679" t="s">
        <v>20</v>
      </c>
    </row>
    <row r="9680" spans="1:5" x14ac:dyDescent="0.25">
      <c r="A9680" t="str">
        <f>HYPERLINK("https://www.773grp.com/globalSearch/MC34268DR2/page-1", "MC34268DR2")</f>
        <v>MC34268DR2</v>
      </c>
      <c r="B9680" s="3" t="str">
        <f>HYPERLINK("https://www.773grp.com/manufacturer/onsemi?pageNo=243", "Onsemi")</f>
        <v>Onsemi</v>
      </c>
      <c r="C9680" s="6">
        <v>2500</v>
      </c>
      <c r="D9680" s="7">
        <v>1.1100000000000001</v>
      </c>
      <c r="E9680" t="s">
        <v>20</v>
      </c>
    </row>
    <row r="9681" spans="1:5" x14ac:dyDescent="0.25">
      <c r="A9681" t="str">
        <f>HYPERLINK("https://www.773grp.com/globalSearch/MC34268DTG/page-1", "MC34268DTG")</f>
        <v>MC34268DTG</v>
      </c>
      <c r="B9681" s="3" t="str">
        <f>HYPERLINK("https://www.773grp.com/manufacturer/onsemi?pageNo=244", "Onsemi")</f>
        <v>Onsemi</v>
      </c>
      <c r="C9681" s="6">
        <v>2175</v>
      </c>
      <c r="D9681" s="7">
        <v>1.1100000000000001</v>
      </c>
      <c r="E9681" t="s">
        <v>20</v>
      </c>
    </row>
    <row r="9682" spans="1:5" x14ac:dyDescent="0.25">
      <c r="A9682" t="str">
        <f>HYPERLINK("https://www.773grp.com/globalSearch/MC34268DTRK/page-1", "MC34268DTRK")</f>
        <v>MC34268DTRK</v>
      </c>
      <c r="B9682" s="3" t="str">
        <f>HYPERLINK("https://www.773grp.com/manufacturer/onsemi?pageNo=245", "Onsemi")</f>
        <v>Onsemi</v>
      </c>
      <c r="C9682" s="6">
        <v>9932</v>
      </c>
      <c r="D9682" s="7">
        <v>1.1100000000000001</v>
      </c>
      <c r="E9682" t="s">
        <v>20</v>
      </c>
    </row>
    <row r="9683" spans="1:5" x14ac:dyDescent="0.25">
      <c r="A9683" t="str">
        <f>HYPERLINK("https://www.773grp.com/globalSearch/MC34268DTRKG/page-1", "MC34268DTRKG")</f>
        <v>MC34268DTRKG</v>
      </c>
      <c r="B9683" s="3" t="str">
        <f>HYPERLINK("https://www.773grp.com/manufacturer/onsemi?pageNo=246", "Onsemi")</f>
        <v>Onsemi</v>
      </c>
      <c r="C9683" s="6">
        <v>7500</v>
      </c>
      <c r="D9683" s="7">
        <v>1.1100000000000001</v>
      </c>
      <c r="E9683" t="s">
        <v>20</v>
      </c>
    </row>
    <row r="9684" spans="1:5" x14ac:dyDescent="0.25">
      <c r="A9684" t="str">
        <f>HYPERLINK("https://www.773grp.com/globalSearch/MC74AC138MELG/page-1", "MC74AC138MELG")</f>
        <v>MC74AC138MELG</v>
      </c>
      <c r="B9684" s="3" t="str">
        <f>HYPERLINK("https://www.773grp.com/manufacturer/onsemi?pageNo=247", "Onsemi")</f>
        <v>Onsemi</v>
      </c>
      <c r="C9684" s="6">
        <v>4582</v>
      </c>
      <c r="D9684" s="7">
        <v>1.1100000000000001</v>
      </c>
      <c r="E9684" t="s">
        <v>32</v>
      </c>
    </row>
    <row r="9685" spans="1:5" x14ac:dyDescent="0.25">
      <c r="A9685" t="str">
        <f>HYPERLINK("https://www.773grp.com/globalSearch/MC74AC241DW/page-1", "MC74AC241DW")</f>
        <v>MC74AC241DW</v>
      </c>
      <c r="B9685" s="3" t="str">
        <f>HYPERLINK("https://www.773grp.com/manufacturer/onsemi?pageNo=248", "Onsemi")</f>
        <v>Onsemi</v>
      </c>
      <c r="C9685" s="6">
        <v>3658</v>
      </c>
      <c r="D9685" s="7">
        <v>1.1100000000000001</v>
      </c>
      <c r="E9685" t="s">
        <v>11</v>
      </c>
    </row>
    <row r="9686" spans="1:5" x14ac:dyDescent="0.25">
      <c r="A9686" t="str">
        <f>HYPERLINK("https://www.773grp.com/globalSearch/MC74AC241M/page-1", "MC74AC241M")</f>
        <v>MC74AC241M</v>
      </c>
      <c r="B9686" s="3" t="str">
        <f>HYPERLINK("https://www.773grp.com/manufacturer/onsemi?pageNo=249", "Onsemi")</f>
        <v>Onsemi</v>
      </c>
      <c r="C9686" s="6">
        <v>870</v>
      </c>
      <c r="D9686" s="7">
        <v>1.1100000000000001</v>
      </c>
    </row>
    <row r="9687" spans="1:5" x14ac:dyDescent="0.25">
      <c r="A9687" t="str">
        <f>HYPERLINK("https://www.773grp.com/globalSearch/MC74AC241MEL/page-1", "MC74AC241MEL")</f>
        <v>MC74AC241MEL</v>
      </c>
      <c r="B9687" s="3" t="str">
        <f>HYPERLINK("https://www.773grp.com/manufacturer/onsemi?pageNo=250", "Onsemi")</f>
        <v>Onsemi</v>
      </c>
      <c r="C9687" s="6">
        <v>2000</v>
      </c>
      <c r="D9687" s="7">
        <v>1.1100000000000001</v>
      </c>
    </row>
    <row r="9688" spans="1:5" x14ac:dyDescent="0.25">
      <c r="A9688" t="str">
        <f>HYPERLINK("https://www.773grp.com/globalSearch/MC74ACT139MELG/page-1", "MC74ACT139MELG")</f>
        <v>MC74ACT139MELG</v>
      </c>
      <c r="B9688" s="3" t="str">
        <f>HYPERLINK("https://www.773grp.com/manufacturer/onsemi?pageNo=251", "Onsemi")</f>
        <v>Onsemi</v>
      </c>
      <c r="C9688" s="6">
        <v>27527</v>
      </c>
      <c r="D9688" s="7">
        <v>1.1100000000000001</v>
      </c>
      <c r="E9688" t="s">
        <v>32</v>
      </c>
    </row>
    <row r="9689" spans="1:5" x14ac:dyDescent="0.25">
      <c r="A9689" t="str">
        <f>HYPERLINK("https://www.773grp.com/globalSearch/MC74F112M/page-1", "MC74F112M")</f>
        <v>MC74F112M</v>
      </c>
      <c r="B9689" s="3" t="str">
        <f>HYPERLINK("https://www.773grp.com/manufacturer/onsemi?pageNo=252", "Onsemi")</f>
        <v>Onsemi</v>
      </c>
      <c r="C9689" s="6">
        <v>3093</v>
      </c>
      <c r="D9689" s="7">
        <v>1.1100000000000001</v>
      </c>
    </row>
    <row r="9690" spans="1:5" x14ac:dyDescent="0.25">
      <c r="A9690" t="str">
        <f>HYPERLINK("https://www.773grp.com/globalSearch/MC74F112ML1/page-1", "MC74F112ML1")</f>
        <v>MC74F112ML1</v>
      </c>
      <c r="B9690" s="3" t="str">
        <f>HYPERLINK("https://www.773grp.com/manufacturer/onsemi?pageNo=253", "Onsemi")</f>
        <v>Onsemi</v>
      </c>
      <c r="C9690" s="6">
        <v>3000</v>
      </c>
      <c r="D9690" s="7">
        <v>1.1100000000000001</v>
      </c>
    </row>
    <row r="9691" spans="1:5" x14ac:dyDescent="0.25">
      <c r="A9691" t="str">
        <f>HYPERLINK("https://www.773grp.com/globalSearch/MC74F112MR1/page-1", "MC74F112MR1")</f>
        <v>MC74F112MR1</v>
      </c>
      <c r="B9691" s="3" t="str">
        <f>HYPERLINK("https://www.773grp.com/manufacturer/onsemi?pageNo=254", "Onsemi")</f>
        <v>Onsemi</v>
      </c>
      <c r="C9691" s="6">
        <v>3000</v>
      </c>
      <c r="D9691" s="7">
        <v>1.1100000000000001</v>
      </c>
    </row>
    <row r="9692" spans="1:5" x14ac:dyDescent="0.25">
      <c r="A9692" t="str">
        <f>HYPERLINK("https://www.773grp.com/globalSearch/MC74F125DR2/page-1", "MC74F125DR2")</f>
        <v>MC74F125DR2</v>
      </c>
      <c r="B9692" s="3" t="str">
        <f>HYPERLINK("https://www.773grp.com/manufacturer/onsemi?pageNo=255", "Onsemi")</f>
        <v>Onsemi</v>
      </c>
      <c r="C9692" s="6">
        <v>9230</v>
      </c>
      <c r="D9692" s="7">
        <v>1.1100000000000001</v>
      </c>
      <c r="E9692" t="s">
        <v>11</v>
      </c>
    </row>
    <row r="9693" spans="1:5" x14ac:dyDescent="0.25">
      <c r="A9693" t="str">
        <f>HYPERLINK("https://www.773grp.com/globalSearch/MC74F125M/page-1", "MC74F125M")</f>
        <v>MC74F125M</v>
      </c>
      <c r="B9693" s="3" t="str">
        <f>HYPERLINK("https://www.773grp.com/manufacturer/onsemi?pageNo=256", "Onsemi")</f>
        <v>Onsemi</v>
      </c>
      <c r="C9693" s="6">
        <v>4902</v>
      </c>
      <c r="D9693" s="7">
        <v>1.1100000000000001</v>
      </c>
    </row>
    <row r="9694" spans="1:5" x14ac:dyDescent="0.25">
      <c r="A9694" t="str">
        <f>HYPERLINK("https://www.773grp.com/globalSearch/MC74F125ML1/page-1", "MC74F125ML1")</f>
        <v>MC74F125ML1</v>
      </c>
      <c r="B9694" s="3" t="str">
        <f>HYPERLINK("https://www.773grp.com/manufacturer/onsemi?pageNo=257", "Onsemi")</f>
        <v>Onsemi</v>
      </c>
      <c r="C9694" s="6">
        <v>1000</v>
      </c>
      <c r="D9694" s="7">
        <v>1.1100000000000001</v>
      </c>
    </row>
    <row r="9695" spans="1:5" x14ac:dyDescent="0.25">
      <c r="A9695" t="str">
        <f>HYPERLINK("https://www.773grp.com/globalSearch/MC74F125N/page-1", "MC74F125N")</f>
        <v>MC74F125N</v>
      </c>
      <c r="B9695" s="3" t="str">
        <f>HYPERLINK("https://www.773grp.com/manufacturer/onsemi?pageNo=258", "Onsemi")</f>
        <v>Onsemi</v>
      </c>
      <c r="C9695" s="6">
        <v>23932</v>
      </c>
      <c r="D9695" s="7">
        <v>1.1100000000000001</v>
      </c>
      <c r="E9695" t="s">
        <v>11</v>
      </c>
    </row>
    <row r="9696" spans="1:5" x14ac:dyDescent="0.25">
      <c r="A9696" t="str">
        <f>HYPERLINK("https://www.773grp.com/globalSearch/MC74F126D/page-1", "MC74F126D")</f>
        <v>MC74F126D</v>
      </c>
      <c r="B9696" s="3" t="str">
        <f>HYPERLINK("https://www.773grp.com/manufacturer/onsemi?pageNo=259", "Onsemi")</f>
        <v>Onsemi</v>
      </c>
      <c r="C9696" s="6">
        <v>6850</v>
      </c>
      <c r="D9696" s="7">
        <v>1.1100000000000001</v>
      </c>
      <c r="E9696" t="s">
        <v>11</v>
      </c>
    </row>
    <row r="9697" spans="1:5" x14ac:dyDescent="0.25">
      <c r="A9697" t="str">
        <f>HYPERLINK("https://www.773grp.com/globalSearch/MC74F126N/page-1", "MC74F126N")</f>
        <v>MC74F126N</v>
      </c>
      <c r="B9697" s="3" t="str">
        <f>HYPERLINK("https://www.773grp.com/manufacturer/onsemi?pageNo=260", "Onsemi")</f>
        <v>Onsemi</v>
      </c>
      <c r="C9697" s="6">
        <v>844</v>
      </c>
      <c r="D9697" s="7">
        <v>1.1100000000000001</v>
      </c>
      <c r="E9697" t="s">
        <v>11</v>
      </c>
    </row>
    <row r="9698" spans="1:5" x14ac:dyDescent="0.25">
      <c r="A9698" t="str">
        <f>HYPERLINK("https://www.773grp.com/globalSearch/MC74F132D/page-1", "MC74F132D")</f>
        <v>MC74F132D</v>
      </c>
      <c r="B9698" s="3" t="str">
        <f>HYPERLINK("https://www.773grp.com/manufacturer/onsemi?pageNo=261", "Onsemi")</f>
        <v>Onsemi</v>
      </c>
      <c r="C9698" s="6">
        <v>7309</v>
      </c>
      <c r="D9698" s="7">
        <v>1.1100000000000001</v>
      </c>
      <c r="E9698" t="s">
        <v>27</v>
      </c>
    </row>
    <row r="9699" spans="1:5" x14ac:dyDescent="0.25">
      <c r="A9699" t="str">
        <f>HYPERLINK("https://www.773grp.com/globalSearch/MC74F132DR2/page-1", "MC74F132DR2")</f>
        <v>MC74F132DR2</v>
      </c>
      <c r="B9699" s="3" t="str">
        <f>HYPERLINK("https://www.773grp.com/manufacturer/onsemi?pageNo=262", "Onsemi")</f>
        <v>Onsemi</v>
      </c>
      <c r="C9699" s="6">
        <v>10000</v>
      </c>
      <c r="D9699" s="7">
        <v>1.1100000000000001</v>
      </c>
      <c r="E9699" t="s">
        <v>27</v>
      </c>
    </row>
    <row r="9700" spans="1:5" x14ac:dyDescent="0.25">
      <c r="A9700" t="str">
        <f>HYPERLINK("https://www.773grp.com/globalSearch/MC74F148D/page-1", "MC74F148D")</f>
        <v>MC74F148D</v>
      </c>
      <c r="B9700" s="3" t="str">
        <f>HYPERLINK("https://www.773grp.com/manufacturer/onsemi?pageNo=263", "Onsemi")</f>
        <v>Onsemi</v>
      </c>
      <c r="C9700" s="6">
        <v>8525</v>
      </c>
      <c r="D9700" s="7">
        <v>1.1100000000000001</v>
      </c>
      <c r="E9700" t="s">
        <v>38</v>
      </c>
    </row>
    <row r="9701" spans="1:5" x14ac:dyDescent="0.25">
      <c r="A9701" t="str">
        <f>HYPERLINK("https://www.773grp.com/globalSearch/MC74F148DR2/page-1", "MC74F148DR2")</f>
        <v>MC74F148DR2</v>
      </c>
      <c r="B9701" s="3" t="str">
        <f>HYPERLINK("https://www.773grp.com/manufacturer/onsemi?pageNo=264", "Onsemi")</f>
        <v>Onsemi</v>
      </c>
      <c r="C9701" s="6">
        <v>5000</v>
      </c>
      <c r="D9701" s="7">
        <v>1.1100000000000001</v>
      </c>
      <c r="E9701" t="s">
        <v>38</v>
      </c>
    </row>
    <row r="9702" spans="1:5" x14ac:dyDescent="0.25">
      <c r="A9702" t="str">
        <f>HYPERLINK("https://www.773grp.com/globalSearch/MC74F148M/page-1", "MC74F148M")</f>
        <v>MC74F148M</v>
      </c>
      <c r="B9702" s="3" t="str">
        <f>HYPERLINK("https://www.773grp.com/manufacturer/onsemi?pageNo=265", "Onsemi")</f>
        <v>Onsemi</v>
      </c>
      <c r="C9702" s="6">
        <v>8800</v>
      </c>
      <c r="D9702" s="7">
        <v>1.1100000000000001</v>
      </c>
    </row>
    <row r="9703" spans="1:5" x14ac:dyDescent="0.25">
      <c r="A9703" t="str">
        <f>HYPERLINK("https://www.773grp.com/globalSearch/MC74F148MEL/page-1", "MC74F148MEL")</f>
        <v>MC74F148MEL</v>
      </c>
      <c r="B9703" s="3" t="str">
        <f>HYPERLINK("https://www.773grp.com/manufacturer/onsemi?pageNo=266", "Onsemi")</f>
        <v>Onsemi</v>
      </c>
      <c r="C9703" s="6">
        <v>2000</v>
      </c>
      <c r="D9703" s="7">
        <v>1.1100000000000001</v>
      </c>
    </row>
    <row r="9704" spans="1:5" x14ac:dyDescent="0.25">
      <c r="A9704" t="str">
        <f>HYPERLINK("https://www.773grp.com/globalSearch/MC74F251D/page-1", "MC74F251D")</f>
        <v>MC74F251D</v>
      </c>
      <c r="B9704" s="3" t="str">
        <f>HYPERLINK("https://www.773grp.com/manufacturer/onsemi?pageNo=267", "Onsemi")</f>
        <v>Onsemi</v>
      </c>
      <c r="C9704" s="6">
        <v>10220</v>
      </c>
      <c r="D9704" s="7">
        <v>1.1100000000000001</v>
      </c>
      <c r="E9704" t="s">
        <v>16</v>
      </c>
    </row>
    <row r="9705" spans="1:5" x14ac:dyDescent="0.25">
      <c r="A9705" t="str">
        <f>HYPERLINK("https://www.773grp.com/globalSearch/MC74F251MEL/page-1", "MC74F251MEL")</f>
        <v>MC74F251MEL</v>
      </c>
      <c r="B9705" s="3" t="str">
        <f>HYPERLINK("https://www.773grp.com/manufacturer/onsemi?pageNo=268", "Onsemi")</f>
        <v>Onsemi</v>
      </c>
      <c r="C9705" s="6">
        <v>4000</v>
      </c>
      <c r="D9705" s="7">
        <v>1.1100000000000001</v>
      </c>
    </row>
    <row r="9706" spans="1:5" x14ac:dyDescent="0.25">
      <c r="A9706" t="str">
        <f>HYPERLINK("https://www.773grp.com/globalSearch/MC74HC240ADTR2G/page-1", "MC74HC240ADTR2G")</f>
        <v>MC74HC240ADTR2G</v>
      </c>
      <c r="B9706" s="3" t="str">
        <f>HYPERLINK("https://www.773grp.com/manufacturer/onsemi?pageNo=269", "Onsemi")</f>
        <v>Onsemi</v>
      </c>
      <c r="C9706" s="6">
        <v>5841</v>
      </c>
      <c r="D9706" s="7">
        <v>1.1100000000000001</v>
      </c>
      <c r="E9706" t="s">
        <v>11</v>
      </c>
    </row>
    <row r="9707" spans="1:5" x14ac:dyDescent="0.25">
      <c r="A9707" t="str">
        <f>HYPERLINK("https://www.773grp.com/globalSearch/MC74HC240ADW/page-1", "MC74HC240ADW")</f>
        <v>MC74HC240ADW</v>
      </c>
      <c r="B9707" s="3" t="str">
        <f>HYPERLINK("https://www.773grp.com/manufacturer/onsemi?pageNo=270", "Onsemi")</f>
        <v>Onsemi</v>
      </c>
      <c r="C9707" s="6">
        <v>1000</v>
      </c>
      <c r="D9707" s="7">
        <v>1.1100000000000001</v>
      </c>
      <c r="E9707" t="s">
        <v>11</v>
      </c>
    </row>
    <row r="9708" spans="1:5" x14ac:dyDescent="0.25">
      <c r="A9708" t="str">
        <f>HYPERLINK("https://www.773grp.com/globalSearch/MC74HC240ADWG/page-1", "MC74HC240ADWG")</f>
        <v>MC74HC240ADWG</v>
      </c>
      <c r="B9708" s="3" t="str">
        <f>HYPERLINK("https://www.773grp.com/manufacturer/onsemi?pageNo=271", "Onsemi")</f>
        <v>Onsemi</v>
      </c>
      <c r="C9708" s="6">
        <v>17827</v>
      </c>
      <c r="D9708" s="7">
        <v>1.1100000000000001</v>
      </c>
      <c r="E9708" t="s">
        <v>11</v>
      </c>
    </row>
    <row r="9709" spans="1:5" x14ac:dyDescent="0.25">
      <c r="A9709" t="str">
        <f>HYPERLINK("https://www.773grp.com/globalSearch/MC74HC240ADWR2G/page-1", "MC74HC240ADWR2G")</f>
        <v>MC74HC240ADWR2G</v>
      </c>
      <c r="B9709" s="3" t="str">
        <f>HYPERLINK("https://www.773grp.com/manufacturer/onsemi?pageNo=272", "Onsemi")</f>
        <v>Onsemi</v>
      </c>
      <c r="C9709" s="6">
        <v>50780</v>
      </c>
      <c r="D9709" s="7">
        <v>1.1100000000000001</v>
      </c>
      <c r="E9709" t="s">
        <v>11</v>
      </c>
    </row>
    <row r="9710" spans="1:5" x14ac:dyDescent="0.25">
      <c r="A9710" t="str">
        <f>HYPERLINK("https://www.773grp.com/globalSearch/MC74HC244ADTG/page-1", "MC74HC244ADTG")</f>
        <v>MC74HC244ADTG</v>
      </c>
      <c r="B9710" s="3" t="str">
        <f>HYPERLINK("https://www.773grp.com/manufacturer/onsemi?pageNo=273", "Onsemi")</f>
        <v>Onsemi</v>
      </c>
      <c r="C9710" s="6">
        <v>2210</v>
      </c>
      <c r="D9710" s="7">
        <v>1.1100000000000001</v>
      </c>
      <c r="E9710" t="s">
        <v>11</v>
      </c>
    </row>
    <row r="9711" spans="1:5" x14ac:dyDescent="0.25">
      <c r="A9711" t="str">
        <f>HYPERLINK("https://www.773grp.com/globalSearch/MC74HC244ADTR2G/page-1", "MC74HC244ADTR2G")</f>
        <v>MC74HC244ADTR2G</v>
      </c>
      <c r="B9711" s="3" t="str">
        <f>HYPERLINK("https://www.773grp.com/manufacturer/onsemi?pageNo=274", "Onsemi")</f>
        <v>Onsemi</v>
      </c>
      <c r="C9711" s="6">
        <v>172497</v>
      </c>
      <c r="D9711" s="7">
        <v>1.1100000000000001</v>
      </c>
      <c r="E9711" t="s">
        <v>11</v>
      </c>
    </row>
    <row r="9712" spans="1:5" x14ac:dyDescent="0.25">
      <c r="A9712" t="str">
        <f>HYPERLINK("https://www.773grp.com/globalSearch/MC74HC244ADW/page-1", "MC74HC244ADW")</f>
        <v>MC74HC244ADW</v>
      </c>
      <c r="B9712" s="3" t="str">
        <f>HYPERLINK("https://www.773grp.com/manufacturer/onsemi?pageNo=275", "Onsemi")</f>
        <v>Onsemi</v>
      </c>
      <c r="C9712" s="6">
        <v>27742</v>
      </c>
      <c r="D9712" s="7">
        <v>1.1100000000000001</v>
      </c>
      <c r="E9712" t="s">
        <v>11</v>
      </c>
    </row>
    <row r="9713" spans="1:5" x14ac:dyDescent="0.25">
      <c r="A9713" t="str">
        <f>HYPERLINK("https://www.773grp.com/globalSearch/MC74HC244ADWG/page-1", "MC74HC244ADWG")</f>
        <v>MC74HC244ADWG</v>
      </c>
      <c r="B9713" s="3" t="str">
        <f>HYPERLINK("https://www.773grp.com/manufacturer/onsemi?pageNo=276", "Onsemi")</f>
        <v>Onsemi</v>
      </c>
      <c r="C9713" s="6">
        <v>13961</v>
      </c>
      <c r="D9713" s="7">
        <v>1.1100000000000001</v>
      </c>
      <c r="E9713" t="s">
        <v>11</v>
      </c>
    </row>
    <row r="9714" spans="1:5" x14ac:dyDescent="0.25">
      <c r="A9714" t="str">
        <f>HYPERLINK("https://www.773grp.com/globalSearch/MC74HC244ADWR2G/page-1", "MC74HC244ADWR2G")</f>
        <v>MC74HC244ADWR2G</v>
      </c>
      <c r="B9714" s="3" t="str">
        <f>HYPERLINK("https://www.773grp.com/manufacturer/onsemi?pageNo=277", "Onsemi")</f>
        <v>Onsemi</v>
      </c>
      <c r="C9714" s="6">
        <v>23944</v>
      </c>
      <c r="D9714" s="7">
        <v>1.1100000000000001</v>
      </c>
      <c r="E9714" t="s">
        <v>11</v>
      </c>
    </row>
    <row r="9715" spans="1:5" x14ac:dyDescent="0.25">
      <c r="A9715" t="str">
        <f>HYPERLINK("https://www.773grp.com/globalSearch/MC74HC245ADTG/page-1", "MC74HC245ADTG")</f>
        <v>MC74HC245ADTG</v>
      </c>
      <c r="B9715" s="3" t="str">
        <f>HYPERLINK("https://www.773grp.com/manufacturer/onsemi?pageNo=278", "Onsemi")</f>
        <v>Onsemi</v>
      </c>
      <c r="C9715" s="6">
        <v>20327</v>
      </c>
      <c r="D9715" s="7">
        <v>1.1100000000000001</v>
      </c>
      <c r="E9715" t="s">
        <v>11</v>
      </c>
    </row>
    <row r="9716" spans="1:5" x14ac:dyDescent="0.25">
      <c r="A9716" t="str">
        <f>HYPERLINK("https://www.773grp.com/globalSearch/MC74HC245ADTR2G/page-1", "MC74HC245ADTR2G")</f>
        <v>MC74HC245ADTR2G</v>
      </c>
      <c r="B9716" s="3" t="str">
        <f>HYPERLINK("https://www.773grp.com/manufacturer/onsemi?pageNo=279", "Onsemi")</f>
        <v>Onsemi</v>
      </c>
      <c r="C9716" s="6">
        <v>826422</v>
      </c>
      <c r="D9716" s="7">
        <v>1.1100000000000001</v>
      </c>
      <c r="E9716" t="s">
        <v>11</v>
      </c>
    </row>
    <row r="9717" spans="1:5" x14ac:dyDescent="0.25">
      <c r="A9717" t="str">
        <f>HYPERLINK("https://www.773grp.com/globalSearch/MC74HC245ADW/page-1", "MC74HC245ADW")</f>
        <v>MC74HC245ADW</v>
      </c>
      <c r="B9717" s="3" t="str">
        <f>HYPERLINK("https://www.773grp.com/manufacturer/onsemi?pageNo=280", "Onsemi")</f>
        <v>Onsemi</v>
      </c>
      <c r="C9717" s="6">
        <v>22838</v>
      </c>
      <c r="D9717" s="7">
        <v>1.1100000000000001</v>
      </c>
      <c r="E9717" t="s">
        <v>11</v>
      </c>
    </row>
    <row r="9718" spans="1:5" x14ac:dyDescent="0.25">
      <c r="A9718" t="str">
        <f>HYPERLINK("https://www.773grp.com/globalSearch/MC74HC245ADWG/page-1", "MC74HC245ADWG")</f>
        <v>MC74HC245ADWG</v>
      </c>
      <c r="B9718" s="3" t="str">
        <f>HYPERLINK("https://www.773grp.com/manufacturer/onsemi?pageNo=281", "Onsemi")</f>
        <v>Onsemi</v>
      </c>
      <c r="C9718" s="6">
        <v>8740</v>
      </c>
      <c r="D9718" s="7">
        <v>1.1100000000000001</v>
      </c>
      <c r="E9718" t="s">
        <v>11</v>
      </c>
    </row>
    <row r="9719" spans="1:5" x14ac:dyDescent="0.25">
      <c r="A9719" t="str">
        <f>HYPERLINK("https://www.773grp.com/globalSearch/MC74HC245ADWR2G/page-1", "MC74HC245ADWR2G")</f>
        <v>MC74HC245ADWR2G</v>
      </c>
      <c r="B9719" s="3" t="str">
        <f>HYPERLINK("https://www.773grp.com/manufacturer/onsemi?pageNo=282", "Onsemi")</f>
        <v>Onsemi</v>
      </c>
      <c r="C9719" s="6">
        <v>133010</v>
      </c>
      <c r="D9719" s="7">
        <v>1.1100000000000001</v>
      </c>
      <c r="E9719" t="s">
        <v>11</v>
      </c>
    </row>
    <row r="9720" spans="1:5" x14ac:dyDescent="0.25">
      <c r="A9720" t="str">
        <f>HYPERLINK("https://www.773grp.com/globalSearch/MC74HC273ADTG/page-1", "MC74HC273ADTG")</f>
        <v>MC74HC273ADTG</v>
      </c>
      <c r="B9720" s="3" t="str">
        <f>HYPERLINK("https://www.773grp.com/manufacturer/onsemi?pageNo=283", "Onsemi")</f>
        <v>Onsemi</v>
      </c>
      <c r="C9720" s="6">
        <v>3263</v>
      </c>
      <c r="D9720" s="7">
        <v>1.1100000000000001</v>
      </c>
      <c r="E9720" t="s">
        <v>31</v>
      </c>
    </row>
    <row r="9721" spans="1:5" x14ac:dyDescent="0.25">
      <c r="A9721" t="str">
        <f>HYPERLINK("https://www.773grp.com/globalSearch/MC74HC273ADTR2G/page-1", "MC74HC273ADTR2G")</f>
        <v>MC74HC273ADTR2G</v>
      </c>
      <c r="B9721" s="3" t="str">
        <f>HYPERLINK("https://www.773grp.com/manufacturer/onsemi?pageNo=284", "Onsemi")</f>
        <v>Onsemi</v>
      </c>
      <c r="C9721" s="6">
        <v>25625</v>
      </c>
      <c r="D9721" s="7">
        <v>1.1100000000000001</v>
      </c>
      <c r="E9721" t="s">
        <v>31</v>
      </c>
    </row>
    <row r="9722" spans="1:5" x14ac:dyDescent="0.25">
      <c r="A9722" t="str">
        <f>HYPERLINK("https://www.773grp.com/globalSearch/MC74HC273ADWG/page-1", "MC74HC273ADWG")</f>
        <v>MC74HC273ADWG</v>
      </c>
      <c r="B9722" s="3" t="str">
        <f>HYPERLINK("https://www.773grp.com/manufacturer/onsemi?pageNo=285", "Onsemi")</f>
        <v>Onsemi</v>
      </c>
      <c r="C9722" s="6">
        <v>12508</v>
      </c>
      <c r="D9722" s="7">
        <v>1.1100000000000001</v>
      </c>
      <c r="E9722" t="s">
        <v>31</v>
      </c>
    </row>
    <row r="9723" spans="1:5" x14ac:dyDescent="0.25">
      <c r="A9723" t="str">
        <f>HYPERLINK("https://www.773grp.com/globalSearch/MC74HC273ADWR2G/page-1", "MC74HC273ADWR2G")</f>
        <v>MC74HC273ADWR2G</v>
      </c>
      <c r="B9723" s="3" t="str">
        <f>HYPERLINK("https://www.773grp.com/manufacturer/onsemi?pageNo=286", "Onsemi")</f>
        <v>Onsemi</v>
      </c>
      <c r="C9723" s="6">
        <v>40811</v>
      </c>
      <c r="D9723" s="7">
        <v>1.1100000000000001</v>
      </c>
      <c r="E9723" t="s">
        <v>31</v>
      </c>
    </row>
    <row r="9724" spans="1:5" x14ac:dyDescent="0.25">
      <c r="A9724" t="str">
        <f>HYPERLINK("https://www.773grp.com/globalSearch/MC74HC368F/page-1", "MC74HC368F")</f>
        <v>MC74HC368F</v>
      </c>
      <c r="B9724" s="3" t="str">
        <f>HYPERLINK("https://www.773grp.com/manufacturer/onsemi?pageNo=287", "Onsemi")</f>
        <v>Onsemi</v>
      </c>
      <c r="C9724" s="6">
        <v>1540</v>
      </c>
      <c r="D9724" s="7">
        <v>1.1100000000000001</v>
      </c>
    </row>
    <row r="9725" spans="1:5" x14ac:dyDescent="0.25">
      <c r="A9725" t="str">
        <f>HYPERLINK("https://www.773grp.com/globalSearch/MC74HC368N/page-1", "MC74HC368N")</f>
        <v>MC74HC368N</v>
      </c>
      <c r="B9725" s="3" t="str">
        <f>HYPERLINK("https://www.773grp.com/manufacturer/onsemi?pageNo=288", "Onsemi")</f>
        <v>Onsemi</v>
      </c>
      <c r="C9725" s="6">
        <v>4528</v>
      </c>
      <c r="D9725" s="7">
        <v>1.1100000000000001</v>
      </c>
      <c r="E9725" t="s">
        <v>11</v>
      </c>
    </row>
    <row r="9726" spans="1:5" x14ac:dyDescent="0.25">
      <c r="A9726" t="str">
        <f>HYPERLINK("https://www.773grp.com/globalSearch/MC74HC373ADTG/page-1", "MC74HC373ADTG")</f>
        <v>MC74HC373ADTG</v>
      </c>
      <c r="B9726" s="3" t="str">
        <f>HYPERLINK("https://www.773grp.com/manufacturer/onsemi?pageNo=289", "Onsemi")</f>
        <v>Onsemi</v>
      </c>
      <c r="C9726" s="6">
        <v>2013</v>
      </c>
      <c r="D9726" s="7">
        <v>1.1100000000000001</v>
      </c>
      <c r="E9726" t="s">
        <v>11</v>
      </c>
    </row>
    <row r="9727" spans="1:5" x14ac:dyDescent="0.25">
      <c r="A9727" t="str">
        <f>HYPERLINK("https://www.773grp.com/globalSearch/MC74HC373ADTR2G/page-1", "MC74HC373ADTR2G")</f>
        <v>MC74HC373ADTR2G</v>
      </c>
      <c r="B9727" s="3" t="str">
        <f>HYPERLINK("https://www.773grp.com/manufacturer/onsemi?pageNo=290", "Onsemi")</f>
        <v>Onsemi</v>
      </c>
      <c r="C9727" s="6">
        <v>62490</v>
      </c>
      <c r="D9727" s="7">
        <v>1.1100000000000001</v>
      </c>
      <c r="E9727" t="s">
        <v>11</v>
      </c>
    </row>
    <row r="9728" spans="1:5" x14ac:dyDescent="0.25">
      <c r="A9728" t="str">
        <f>HYPERLINK("https://www.773grp.com/globalSearch/MC74HC373ADWG/page-1", "MC74HC373ADWG")</f>
        <v>MC74HC373ADWG</v>
      </c>
      <c r="B9728" s="3" t="str">
        <f>HYPERLINK("https://www.773grp.com/manufacturer/onsemi?pageNo=291", "Onsemi")</f>
        <v>Onsemi</v>
      </c>
      <c r="C9728" s="6">
        <v>6370</v>
      </c>
      <c r="D9728" s="7">
        <v>1.1100000000000001</v>
      </c>
      <c r="E9728" t="s">
        <v>11</v>
      </c>
    </row>
    <row r="9729" spans="1:5" x14ac:dyDescent="0.25">
      <c r="A9729" t="str">
        <f>HYPERLINK("https://www.773grp.com/globalSearch/MC74HC373ADWR2G/page-1", "MC74HC373ADWR2G")</f>
        <v>MC74HC373ADWR2G</v>
      </c>
      <c r="B9729" s="3" t="str">
        <f>HYPERLINK("https://www.773grp.com/manufacturer/onsemi?pageNo=292", "Onsemi")</f>
        <v>Onsemi</v>
      </c>
      <c r="C9729" s="6">
        <v>163650</v>
      </c>
      <c r="D9729" s="7">
        <v>1.1100000000000001</v>
      </c>
      <c r="E9729" t="s">
        <v>11</v>
      </c>
    </row>
    <row r="9730" spans="1:5" x14ac:dyDescent="0.25">
      <c r="A9730" t="str">
        <f>HYPERLINK("https://www.773grp.com/globalSearch/MC74HC374ADTG/page-1", "MC74HC374ADTG")</f>
        <v>MC74HC374ADTG</v>
      </c>
      <c r="B9730" s="3" t="str">
        <f>HYPERLINK("https://www.773grp.com/manufacturer/onsemi?pageNo=293", "Onsemi")</f>
        <v>Onsemi</v>
      </c>
      <c r="C9730" s="6">
        <v>22250</v>
      </c>
      <c r="D9730" s="7">
        <v>1.1100000000000001</v>
      </c>
      <c r="E9730" t="s">
        <v>11</v>
      </c>
    </row>
    <row r="9731" spans="1:5" x14ac:dyDescent="0.25">
      <c r="A9731" t="str">
        <f>HYPERLINK("https://www.773grp.com/globalSearch/MC74HC374ADTR2G/page-1", "MC74HC374ADTR2G")</f>
        <v>MC74HC374ADTR2G</v>
      </c>
      <c r="B9731" s="3" t="str">
        <f>HYPERLINK("https://www.773grp.com/manufacturer/onsemi?pageNo=294", "Onsemi")</f>
        <v>Onsemi</v>
      </c>
      <c r="C9731" s="6">
        <v>82656</v>
      </c>
      <c r="D9731" s="7">
        <v>1.1100000000000001</v>
      </c>
      <c r="E9731" t="s">
        <v>11</v>
      </c>
    </row>
    <row r="9732" spans="1:5" x14ac:dyDescent="0.25">
      <c r="A9732" t="str">
        <f>HYPERLINK("https://www.773grp.com/globalSearch/MC74HC374ADWG/page-1", "MC74HC374ADWG")</f>
        <v>MC74HC374ADWG</v>
      </c>
      <c r="B9732" s="3" t="str">
        <f>HYPERLINK("https://www.773grp.com/manufacturer/onsemi?pageNo=295", "Onsemi")</f>
        <v>Onsemi</v>
      </c>
      <c r="C9732" s="6">
        <v>2214</v>
      </c>
      <c r="D9732" s="7">
        <v>1.1100000000000001</v>
      </c>
      <c r="E9732" t="s">
        <v>11</v>
      </c>
    </row>
    <row r="9733" spans="1:5" x14ac:dyDescent="0.25">
      <c r="A9733" t="str">
        <f>HYPERLINK("https://www.773grp.com/globalSearch/MC74HC374ADWR2G/page-1", "MC74HC374ADWR2G")</f>
        <v>MC74HC374ADWR2G</v>
      </c>
      <c r="B9733" s="3" t="str">
        <f>HYPERLINK("https://www.773grp.com/manufacturer/onsemi?pageNo=296", "Onsemi")</f>
        <v>Onsemi</v>
      </c>
      <c r="C9733" s="6">
        <v>228684</v>
      </c>
      <c r="D9733" s="7">
        <v>1.1100000000000001</v>
      </c>
      <c r="E9733" t="s">
        <v>11</v>
      </c>
    </row>
    <row r="9734" spans="1:5" x14ac:dyDescent="0.25">
      <c r="A9734" t="str">
        <f>HYPERLINK("https://www.773grp.com/globalSearch/MC74HC4046AFG/page-1", "MC74HC4046AFG")</f>
        <v>MC74HC4046AFG</v>
      </c>
      <c r="B9734" s="3" t="str">
        <f>HYPERLINK("https://www.773grp.com/manufacturer/onsemi?pageNo=297", "Onsemi")</f>
        <v>Onsemi</v>
      </c>
      <c r="C9734" s="6">
        <v>29</v>
      </c>
      <c r="D9734" s="7">
        <v>1.1100000000000001</v>
      </c>
      <c r="E9734" t="s">
        <v>34</v>
      </c>
    </row>
    <row r="9735" spans="1:5" x14ac:dyDescent="0.25">
      <c r="A9735" t="str">
        <f>HYPERLINK("https://www.773grp.com/globalSearch/MC74HC573ADTG/page-1", "MC74HC573ADTG")</f>
        <v>MC74HC573ADTG</v>
      </c>
      <c r="B9735" s="3" t="str">
        <f>HYPERLINK("https://www.773grp.com/manufacturer/onsemi?pageNo=298", "Onsemi")</f>
        <v>Onsemi</v>
      </c>
      <c r="C9735" s="6">
        <v>12975</v>
      </c>
      <c r="D9735" s="7">
        <v>1.1100000000000001</v>
      </c>
      <c r="E9735" t="s">
        <v>11</v>
      </c>
    </row>
    <row r="9736" spans="1:5" x14ac:dyDescent="0.25">
      <c r="A9736" t="str">
        <f>HYPERLINK("https://www.773grp.com/globalSearch/MC74HC573ADTR2G/page-1", "MC74HC573ADTR2G")</f>
        <v>MC74HC573ADTR2G</v>
      </c>
      <c r="B9736" s="3" t="str">
        <f>HYPERLINK("https://www.773grp.com/manufacturer/onsemi?pageNo=299", "Onsemi")</f>
        <v>Onsemi</v>
      </c>
      <c r="C9736" s="6">
        <v>21755</v>
      </c>
      <c r="D9736" s="7">
        <v>1.1100000000000001</v>
      </c>
      <c r="E9736" t="s">
        <v>11</v>
      </c>
    </row>
    <row r="9737" spans="1:5" x14ac:dyDescent="0.25">
      <c r="A9737" t="str">
        <f>HYPERLINK("https://www.773grp.com/globalSearch/MC74HC573ADWG/page-1", "MC74HC573ADWG")</f>
        <v>MC74HC573ADWG</v>
      </c>
      <c r="B9737" s="3" t="str">
        <f>HYPERLINK("https://www.773grp.com/manufacturer/onsemi?pageNo=300", "Onsemi")</f>
        <v>Onsemi</v>
      </c>
      <c r="C9737" s="6">
        <v>24506</v>
      </c>
      <c r="D9737" s="7">
        <v>1.1100000000000001</v>
      </c>
      <c r="E9737" t="s">
        <v>11</v>
      </c>
    </row>
    <row r="9738" spans="1:5" x14ac:dyDescent="0.25">
      <c r="A9738" t="str">
        <f>HYPERLINK("https://www.773grp.com/globalSearch/MC74HC573ADWR2G/page-1", "MC74HC573ADWR2G")</f>
        <v>MC74HC573ADWR2G</v>
      </c>
      <c r="B9738" s="3" t="str">
        <f>HYPERLINK("https://www.773grp.com/manufacturer/onsemi?pageNo=301", "Onsemi")</f>
        <v>Onsemi</v>
      </c>
      <c r="C9738" s="6">
        <v>62550</v>
      </c>
      <c r="D9738" s="7">
        <v>1.1100000000000001</v>
      </c>
      <c r="E9738" t="s">
        <v>11</v>
      </c>
    </row>
    <row r="9739" spans="1:5" x14ac:dyDescent="0.25">
      <c r="A9739" t="str">
        <f>HYPERLINK("https://www.773grp.com/globalSearch/MC74HC574ADTR2G/page-1", "MC74HC574ADTR2G")</f>
        <v>MC74HC574ADTR2G</v>
      </c>
      <c r="B9739" s="3" t="str">
        <f>HYPERLINK("https://www.773grp.com/manufacturer/onsemi?pageNo=302", "Onsemi")</f>
        <v>Onsemi</v>
      </c>
      <c r="C9739" s="6">
        <v>221198</v>
      </c>
      <c r="D9739" s="7">
        <v>1.1100000000000001</v>
      </c>
      <c r="E9739" t="s">
        <v>11</v>
      </c>
    </row>
    <row r="9740" spans="1:5" x14ac:dyDescent="0.25">
      <c r="A9740" t="str">
        <f>HYPERLINK("https://www.773grp.com/globalSearch/MC74HC574ADWG/page-1", "MC74HC574ADWG")</f>
        <v>MC74HC574ADWG</v>
      </c>
      <c r="B9740" s="3" t="str">
        <f>HYPERLINK("https://www.773grp.com/manufacturer/onsemi?pageNo=303", "Onsemi")</f>
        <v>Onsemi</v>
      </c>
      <c r="C9740" s="6">
        <v>1673</v>
      </c>
      <c r="D9740" s="7">
        <v>1.1100000000000001</v>
      </c>
      <c r="E9740" t="s">
        <v>11</v>
      </c>
    </row>
    <row r="9741" spans="1:5" x14ac:dyDescent="0.25">
      <c r="A9741" t="str">
        <f>HYPERLINK("https://www.773grp.com/globalSearch/MC74HC574ADWR2G/page-1", "MC74HC574ADWR2G")</f>
        <v>MC74HC574ADWR2G</v>
      </c>
      <c r="B9741" s="3" t="str">
        <f>HYPERLINK("https://www.773grp.com/manufacturer/onsemi?pageNo=304", "Onsemi")</f>
        <v>Onsemi</v>
      </c>
      <c r="C9741" s="6">
        <v>53481</v>
      </c>
      <c r="D9741" s="7">
        <v>1.1100000000000001</v>
      </c>
      <c r="E9741" t="s">
        <v>11</v>
      </c>
    </row>
    <row r="9742" spans="1:5" x14ac:dyDescent="0.25">
      <c r="A9742" t="str">
        <f>HYPERLINK("https://www.773grp.com/globalSearch/MC74HC595AFELG/page-1", "MC74HC595AFELG")</f>
        <v>MC74HC595AFELG</v>
      </c>
      <c r="B9742" s="3" t="str">
        <f>HYPERLINK("https://www.773grp.com/manufacturer/onsemi?pageNo=305", "Onsemi")</f>
        <v>Onsemi</v>
      </c>
      <c r="C9742" s="6">
        <v>6399</v>
      </c>
      <c r="D9742" s="7">
        <v>1.1100000000000001</v>
      </c>
      <c r="E9742" t="s">
        <v>28</v>
      </c>
    </row>
    <row r="9743" spans="1:5" x14ac:dyDescent="0.25">
      <c r="A9743" t="str">
        <f>HYPERLINK("https://www.773grp.com/globalSearch/MC74HCT240ADT1R2/page-1", "MC74HCT240ADT1R2")</f>
        <v>MC74HCT240ADT1R2</v>
      </c>
      <c r="B9743" s="3" t="str">
        <f>HYPERLINK("https://www.773grp.com/manufacturer/onsemi?pageNo=306", "Onsemi")</f>
        <v>Onsemi</v>
      </c>
      <c r="C9743" s="6">
        <v>5000</v>
      </c>
      <c r="D9743" s="7">
        <v>1.1100000000000001</v>
      </c>
    </row>
    <row r="9744" spans="1:5" x14ac:dyDescent="0.25">
      <c r="A9744" t="str">
        <f>HYPERLINK("https://www.773grp.com/globalSearch/MC74HCT240AF/page-1", "MC74HCT240AF")</f>
        <v>MC74HCT240AF</v>
      </c>
      <c r="B9744" s="3" t="str">
        <f>HYPERLINK("https://www.773grp.com/manufacturer/onsemi?pageNo=307", "Onsemi")</f>
        <v>Onsemi</v>
      </c>
      <c r="C9744" s="6">
        <v>1847</v>
      </c>
      <c r="D9744" s="7">
        <v>1.1100000000000001</v>
      </c>
    </row>
    <row r="9745" spans="1:5" x14ac:dyDescent="0.25">
      <c r="A9745" t="str">
        <f>HYPERLINK("https://www.773grp.com/globalSearch/MC74HCT240AFL1/page-1", "MC74HCT240AFL1")</f>
        <v>MC74HCT240AFL1</v>
      </c>
      <c r="B9745" s="3" t="str">
        <f>HYPERLINK("https://www.773grp.com/manufacturer/onsemi?pageNo=308", "Onsemi")</f>
        <v>Onsemi</v>
      </c>
      <c r="C9745" s="6">
        <v>2000</v>
      </c>
      <c r="D9745" s="7">
        <v>1.1100000000000001</v>
      </c>
    </row>
    <row r="9746" spans="1:5" x14ac:dyDescent="0.25">
      <c r="A9746" t="str">
        <f>HYPERLINK("https://www.773grp.com/globalSearch/MC74HCT241ADTG/page-1", "MC74HCT241ADTG")</f>
        <v>MC74HCT241ADTG</v>
      </c>
      <c r="B9746" s="3" t="str">
        <f>HYPERLINK("https://www.773grp.com/manufacturer/onsemi?pageNo=309", "Onsemi")</f>
        <v>Onsemi</v>
      </c>
      <c r="C9746" s="6">
        <v>28040</v>
      </c>
      <c r="D9746" s="7">
        <v>1.1100000000000001</v>
      </c>
    </row>
    <row r="9747" spans="1:5" x14ac:dyDescent="0.25">
      <c r="A9747" t="str">
        <f>HYPERLINK("https://www.773grp.com/globalSearch/MC74HCT241ADTR2G/page-1", "MC74HCT241ADTR2G")</f>
        <v>MC74HCT241ADTR2G</v>
      </c>
      <c r="B9747" s="3" t="str">
        <f>HYPERLINK("https://www.773grp.com/manufacturer/onsemi?pageNo=310", "Onsemi")</f>
        <v>Onsemi</v>
      </c>
      <c r="C9747" s="6">
        <v>7500</v>
      </c>
      <c r="D9747" s="7">
        <v>1.1100000000000001</v>
      </c>
      <c r="E9747" t="s">
        <v>11</v>
      </c>
    </row>
    <row r="9748" spans="1:5" x14ac:dyDescent="0.25">
      <c r="A9748" t="str">
        <f>HYPERLINK("https://www.773grp.com/globalSearch/MC74HCT241ADWG/page-1", "MC74HCT241ADWG")</f>
        <v>MC74HCT241ADWG</v>
      </c>
      <c r="B9748" s="3" t="str">
        <f>HYPERLINK("https://www.773grp.com/manufacturer/onsemi?pageNo=311", "Onsemi")</f>
        <v>Onsemi</v>
      </c>
      <c r="C9748" s="6">
        <v>16834</v>
      </c>
      <c r="D9748" s="7">
        <v>1.1100000000000001</v>
      </c>
      <c r="E9748" t="s">
        <v>11</v>
      </c>
    </row>
    <row r="9749" spans="1:5" x14ac:dyDescent="0.25">
      <c r="A9749" t="str">
        <f>HYPERLINK("https://www.773grp.com/globalSearch/MC74HCT241ADWR2G/page-1", "MC74HCT241ADWR2G")</f>
        <v>MC74HCT241ADWR2G</v>
      </c>
      <c r="B9749" s="3" t="str">
        <f>HYPERLINK("https://www.773grp.com/manufacturer/onsemi?pageNo=312", "Onsemi")</f>
        <v>Onsemi</v>
      </c>
      <c r="C9749" s="6">
        <v>15856</v>
      </c>
      <c r="D9749" s="7">
        <v>1.1100000000000001</v>
      </c>
      <c r="E9749" t="s">
        <v>11</v>
      </c>
    </row>
    <row r="9750" spans="1:5" x14ac:dyDescent="0.25">
      <c r="A9750" t="str">
        <f>HYPERLINK("https://www.773grp.com/globalSearch/MC74HCT244ADTR2G/page-1", "MC74HCT244ADTR2G")</f>
        <v>MC74HCT244ADTR2G</v>
      </c>
      <c r="B9750" s="3" t="str">
        <f>HYPERLINK("https://www.773grp.com/manufacturer/onsemi?pageNo=313", "Onsemi")</f>
        <v>Onsemi</v>
      </c>
      <c r="C9750" s="6">
        <v>17139</v>
      </c>
      <c r="D9750" s="7">
        <v>1.1100000000000001</v>
      </c>
      <c r="E9750" t="s">
        <v>11</v>
      </c>
    </row>
    <row r="9751" spans="1:5" x14ac:dyDescent="0.25">
      <c r="A9751" t="str">
        <f>HYPERLINK("https://www.773grp.com/globalSearch/MC74HCT244ADWG/page-1", "MC74HCT244ADWG")</f>
        <v>MC74HCT244ADWG</v>
      </c>
      <c r="B9751" s="3" t="str">
        <f>HYPERLINK("https://www.773grp.com/manufacturer/onsemi?pageNo=314", "Onsemi")</f>
        <v>Onsemi</v>
      </c>
      <c r="C9751" s="6">
        <v>7043</v>
      </c>
      <c r="D9751" s="7">
        <v>1.1100000000000001</v>
      </c>
      <c r="E9751" t="s">
        <v>11</v>
      </c>
    </row>
    <row r="9752" spans="1:5" x14ac:dyDescent="0.25">
      <c r="A9752" t="str">
        <f>HYPERLINK("https://www.773grp.com/globalSearch/MC74HCT244ADWR2/page-1", "MC74HCT244ADWR2")</f>
        <v>MC74HCT244ADWR2</v>
      </c>
      <c r="B9752" s="3" t="str">
        <f>HYPERLINK("https://www.773grp.com/manufacturer/onsemi?pageNo=315", "Onsemi")</f>
        <v>Onsemi</v>
      </c>
      <c r="C9752" s="6">
        <v>2631</v>
      </c>
      <c r="D9752" s="7">
        <v>1.1100000000000001</v>
      </c>
      <c r="E9752" t="s">
        <v>11</v>
      </c>
    </row>
    <row r="9753" spans="1:5" x14ac:dyDescent="0.25">
      <c r="A9753" t="str">
        <f>HYPERLINK("https://www.773grp.com/globalSearch/MC74HCT244ADWR2G/page-1", "MC74HCT244ADWR2G")</f>
        <v>MC74HCT244ADWR2G</v>
      </c>
      <c r="B9753" s="3" t="str">
        <f>HYPERLINK("https://www.773grp.com/manufacturer/onsemi?pageNo=316", "Onsemi")</f>
        <v>Onsemi</v>
      </c>
      <c r="C9753" s="6">
        <v>5000</v>
      </c>
      <c r="D9753" s="7">
        <v>1.1100000000000001</v>
      </c>
    </row>
    <row r="9754" spans="1:5" x14ac:dyDescent="0.25">
      <c r="A9754" t="str">
        <f>HYPERLINK("https://www.773grp.com/globalSearch/MC74HCT245ADTG/page-1", "MC74HCT245ADTG")</f>
        <v>MC74HCT245ADTG</v>
      </c>
      <c r="B9754" s="3" t="str">
        <f>HYPERLINK("https://www.773grp.com/manufacturer/onsemi?pageNo=317", "Onsemi")</f>
        <v>Onsemi</v>
      </c>
      <c r="C9754" s="6">
        <v>745</v>
      </c>
      <c r="D9754" s="7">
        <v>1.1100000000000001</v>
      </c>
      <c r="E9754" t="s">
        <v>11</v>
      </c>
    </row>
    <row r="9755" spans="1:5" x14ac:dyDescent="0.25">
      <c r="A9755" t="str">
        <f>HYPERLINK("https://www.773grp.com/globalSearch/MC74HCT245ADTR2G/page-1", "MC74HCT245ADTR2G")</f>
        <v>MC74HCT245ADTR2G</v>
      </c>
      <c r="B9755" s="3" t="str">
        <f>HYPERLINK("https://www.773grp.com/manufacturer/onsemi?pageNo=318", "Onsemi")</f>
        <v>Onsemi</v>
      </c>
      <c r="C9755" s="6">
        <v>2500</v>
      </c>
      <c r="D9755" s="7">
        <v>1.1100000000000001</v>
      </c>
      <c r="E9755" t="s">
        <v>11</v>
      </c>
    </row>
    <row r="9756" spans="1:5" x14ac:dyDescent="0.25">
      <c r="A9756" t="str">
        <f>HYPERLINK("https://www.773grp.com/globalSearch/MC74HCT245ADWG/page-1", "MC74HCT245ADWG")</f>
        <v>MC74HCT245ADWG</v>
      </c>
      <c r="B9756" s="3" t="str">
        <f>HYPERLINK("https://www.773grp.com/manufacturer/onsemi?pageNo=319", "Onsemi")</f>
        <v>Onsemi</v>
      </c>
      <c r="C9756" s="6">
        <v>3388</v>
      </c>
      <c r="D9756" s="7">
        <v>1.1100000000000001</v>
      </c>
      <c r="E9756" t="s">
        <v>11</v>
      </c>
    </row>
    <row r="9757" spans="1:5" x14ac:dyDescent="0.25">
      <c r="A9757" t="str">
        <f>HYPERLINK("https://www.773grp.com/globalSearch/MC74HCT245ADWR2/page-1", "MC74HCT245ADWR2")</f>
        <v>MC74HCT245ADWR2</v>
      </c>
      <c r="B9757" s="3" t="str">
        <f>HYPERLINK("https://www.773grp.com/manufacturer/onsemi?pageNo=320", "Onsemi")</f>
        <v>Onsemi</v>
      </c>
      <c r="C9757" s="6">
        <v>9000</v>
      </c>
      <c r="D9757" s="7">
        <v>1.1100000000000001</v>
      </c>
    </row>
    <row r="9758" spans="1:5" x14ac:dyDescent="0.25">
      <c r="A9758" t="str">
        <f>HYPERLINK("https://www.773grp.com/globalSearch/MC74HCT245ADWR2G/page-1", "MC74HCT245ADWR2G")</f>
        <v>MC74HCT245ADWR2G</v>
      </c>
      <c r="B9758" s="3" t="str">
        <f>HYPERLINK("https://www.773grp.com/manufacturer/onsemi?pageNo=321", "Onsemi")</f>
        <v>Onsemi</v>
      </c>
      <c r="C9758" s="6">
        <v>7310</v>
      </c>
      <c r="D9758" s="7">
        <v>1.1100000000000001</v>
      </c>
      <c r="E9758" t="s">
        <v>11</v>
      </c>
    </row>
    <row r="9759" spans="1:5" x14ac:dyDescent="0.25">
      <c r="A9759" t="str">
        <f>HYPERLINK("https://www.773grp.com/globalSearch/MC74HCT273ADTR2G/page-1", "MC74HCT273ADTR2G")</f>
        <v>MC74HCT273ADTR2G</v>
      </c>
      <c r="B9759" s="3" t="str">
        <f>HYPERLINK("https://www.773grp.com/manufacturer/onsemi?pageNo=322", "Onsemi")</f>
        <v>Onsemi</v>
      </c>
      <c r="C9759" s="6">
        <v>2209</v>
      </c>
      <c r="D9759" s="7">
        <v>1.1100000000000001</v>
      </c>
    </row>
    <row r="9760" spans="1:5" x14ac:dyDescent="0.25">
      <c r="A9760" t="str">
        <f>HYPERLINK("https://www.773grp.com/globalSearch/MC74HCT273ADW/page-1", "MC74HCT273ADW")</f>
        <v>MC74HCT273ADW</v>
      </c>
      <c r="B9760" s="3" t="str">
        <f>HYPERLINK("https://www.773grp.com/manufacturer/onsemi?pageNo=323", "Onsemi")</f>
        <v>Onsemi</v>
      </c>
      <c r="C9760" s="6">
        <v>324</v>
      </c>
      <c r="D9760" s="7">
        <v>1.1100000000000001</v>
      </c>
      <c r="E9760" t="s">
        <v>31</v>
      </c>
    </row>
    <row r="9761" spans="1:5" x14ac:dyDescent="0.25">
      <c r="A9761" t="str">
        <f>HYPERLINK("https://www.773grp.com/globalSearch/MC74HCT273ADWG/page-1", "MC74HCT273ADWG")</f>
        <v>MC74HCT273ADWG</v>
      </c>
      <c r="B9761" s="3" t="str">
        <f>HYPERLINK("https://www.773grp.com/manufacturer/onsemi?pageNo=324", "Onsemi")</f>
        <v>Onsemi</v>
      </c>
      <c r="C9761" s="6">
        <v>19718</v>
      </c>
      <c r="D9761" s="7">
        <v>1.1100000000000001</v>
      </c>
      <c r="E9761" t="s">
        <v>31</v>
      </c>
    </row>
    <row r="9762" spans="1:5" x14ac:dyDescent="0.25">
      <c r="A9762" t="str">
        <f>HYPERLINK("https://www.773grp.com/globalSearch/MC74HCT273ADWR2G/page-1", "MC74HCT273ADWR2G")</f>
        <v>MC74HCT273ADWR2G</v>
      </c>
      <c r="B9762" s="3" t="str">
        <f>HYPERLINK("https://www.773grp.com/manufacturer/onsemi?pageNo=325", "Onsemi")</f>
        <v>Onsemi</v>
      </c>
      <c r="C9762" s="6">
        <v>23591</v>
      </c>
      <c r="D9762" s="7">
        <v>1.1100000000000001</v>
      </c>
      <c r="E9762" t="s">
        <v>31</v>
      </c>
    </row>
    <row r="9763" spans="1:5" x14ac:dyDescent="0.25">
      <c r="A9763" t="str">
        <f>HYPERLINK("https://www.773grp.com/globalSearch/MC74HCT373ADTR2G/page-1", "MC74HCT373ADTR2G")</f>
        <v>MC74HCT373ADTR2G</v>
      </c>
      <c r="B9763" s="3" t="str">
        <f>HYPERLINK("https://www.773grp.com/manufacturer/onsemi?pageNo=326", "Onsemi")</f>
        <v>Onsemi</v>
      </c>
      <c r="C9763" s="6">
        <v>81025</v>
      </c>
      <c r="D9763" s="7">
        <v>1.1100000000000001</v>
      </c>
    </row>
    <row r="9764" spans="1:5" x14ac:dyDescent="0.25">
      <c r="A9764" t="str">
        <f>HYPERLINK("https://www.773grp.com/globalSearch/MC74HCT373ADWG/page-1", "MC74HCT373ADWG")</f>
        <v>MC74HCT373ADWG</v>
      </c>
      <c r="B9764" s="3" t="str">
        <f>HYPERLINK("https://www.773grp.com/manufacturer/onsemi?pageNo=327", "Onsemi")</f>
        <v>Onsemi</v>
      </c>
      <c r="C9764" s="6">
        <v>15414</v>
      </c>
      <c r="D9764" s="7">
        <v>1.1100000000000001</v>
      </c>
      <c r="E9764" t="s">
        <v>11</v>
      </c>
    </row>
    <row r="9765" spans="1:5" x14ac:dyDescent="0.25">
      <c r="A9765" t="str">
        <f>HYPERLINK("https://www.773grp.com/globalSearch/MC74HCT373ADWR2G/page-1", "MC74HCT373ADWR2G")</f>
        <v>MC74HCT373ADWR2G</v>
      </c>
      <c r="B9765" s="3" t="str">
        <f>HYPERLINK("https://www.773grp.com/manufacturer/onsemi?pageNo=328", "Onsemi")</f>
        <v>Onsemi</v>
      </c>
      <c r="C9765" s="6">
        <v>12000</v>
      </c>
      <c r="D9765" s="7">
        <v>1.1100000000000001</v>
      </c>
      <c r="E9765" t="s">
        <v>11</v>
      </c>
    </row>
    <row r="9766" spans="1:5" x14ac:dyDescent="0.25">
      <c r="A9766" t="str">
        <f>HYPERLINK("https://www.773grp.com/globalSearch/MC74HCT374ADTR2G/page-1", "MC74HCT374ADTR2G")</f>
        <v>MC74HCT374ADTR2G</v>
      </c>
      <c r="B9766" s="3" t="str">
        <f>HYPERLINK("https://www.773grp.com/manufacturer/onsemi?pageNo=329", "Onsemi")</f>
        <v>Onsemi</v>
      </c>
      <c r="C9766" s="6">
        <v>2164</v>
      </c>
      <c r="D9766" s="7">
        <v>1.1100000000000001</v>
      </c>
    </row>
    <row r="9767" spans="1:5" x14ac:dyDescent="0.25">
      <c r="A9767" t="str">
        <f>HYPERLINK("https://www.773grp.com/globalSearch/MC74HCT374ADWG/page-1", "MC74HCT374ADWG")</f>
        <v>MC74HCT374ADWG</v>
      </c>
      <c r="B9767" s="3" t="str">
        <f>HYPERLINK("https://www.773grp.com/manufacturer/onsemi?pageNo=330", "Onsemi")</f>
        <v>Onsemi</v>
      </c>
      <c r="C9767" s="6">
        <v>36781</v>
      </c>
      <c r="D9767" s="7">
        <v>1.1100000000000001</v>
      </c>
      <c r="E9767" t="s">
        <v>11</v>
      </c>
    </row>
    <row r="9768" spans="1:5" x14ac:dyDescent="0.25">
      <c r="A9768" t="str">
        <f>HYPERLINK("https://www.773grp.com/globalSearch/MC74HCT374ADWR2G/page-1", "MC74HCT374ADWR2G")</f>
        <v>MC74HCT374ADWR2G</v>
      </c>
      <c r="B9768" s="3" t="str">
        <f>HYPERLINK("https://www.773grp.com/manufacturer/onsemi?pageNo=331", "Onsemi")</f>
        <v>Onsemi</v>
      </c>
      <c r="C9768" s="6">
        <v>5004</v>
      </c>
      <c r="D9768" s="7">
        <v>1.1100000000000001</v>
      </c>
      <c r="E9768" t="s">
        <v>11</v>
      </c>
    </row>
    <row r="9769" spans="1:5" x14ac:dyDescent="0.25">
      <c r="A9769" t="str">
        <f>HYPERLINK("https://www.773grp.com/globalSearch/MC74HCT573ADTR2G/page-1", "MC74HCT573ADTR2G")</f>
        <v>MC74HCT573ADTR2G</v>
      </c>
      <c r="B9769" s="3" t="str">
        <f>HYPERLINK("https://www.773grp.com/manufacturer/onsemi?pageNo=332", "Onsemi")</f>
        <v>Onsemi</v>
      </c>
      <c r="C9769" s="6">
        <v>7510</v>
      </c>
      <c r="D9769" s="7">
        <v>1.1100000000000001</v>
      </c>
      <c r="E9769" t="s">
        <v>11</v>
      </c>
    </row>
    <row r="9770" spans="1:5" x14ac:dyDescent="0.25">
      <c r="A9770" t="str">
        <f>HYPERLINK("https://www.773grp.com/globalSearch/MC74HCT573ADWG/page-1", "MC74HCT573ADWG")</f>
        <v>MC74HCT573ADWG</v>
      </c>
      <c r="B9770" s="3" t="str">
        <f>HYPERLINK("https://www.773grp.com/manufacturer/onsemi?pageNo=333", "Onsemi")</f>
        <v>Onsemi</v>
      </c>
      <c r="C9770" s="6">
        <v>1828</v>
      </c>
      <c r="D9770" s="7">
        <v>1.1100000000000001</v>
      </c>
      <c r="E9770" t="s">
        <v>11</v>
      </c>
    </row>
    <row r="9771" spans="1:5" x14ac:dyDescent="0.25">
      <c r="A9771" t="str">
        <f>HYPERLINK("https://www.773grp.com/globalSearch/MC74HCT573ADWR2G/page-1", "MC74HCT573ADWR2G")</f>
        <v>MC74HCT573ADWR2G</v>
      </c>
      <c r="B9771" s="3" t="str">
        <f>HYPERLINK("https://www.773grp.com/manufacturer/onsemi?pageNo=334", "Onsemi")</f>
        <v>Onsemi</v>
      </c>
      <c r="C9771" s="6">
        <v>2570</v>
      </c>
      <c r="D9771" s="7">
        <v>1.1100000000000001</v>
      </c>
      <c r="E9771" t="s">
        <v>11</v>
      </c>
    </row>
    <row r="9772" spans="1:5" x14ac:dyDescent="0.25">
      <c r="A9772" t="str">
        <f>HYPERLINK("https://www.773grp.com/globalSearch/MC74HCT574ADTR2G/page-1", "MC74HCT574ADTR2G")</f>
        <v>MC74HCT574ADTR2G</v>
      </c>
      <c r="B9772" s="3" t="str">
        <f>HYPERLINK("https://www.773grp.com/manufacturer/onsemi?pageNo=335", "Onsemi")</f>
        <v>Onsemi</v>
      </c>
      <c r="C9772" s="6">
        <v>2500</v>
      </c>
      <c r="D9772" s="7">
        <v>1.1100000000000001</v>
      </c>
      <c r="E9772" t="s">
        <v>11</v>
      </c>
    </row>
    <row r="9773" spans="1:5" x14ac:dyDescent="0.25">
      <c r="A9773" t="str">
        <f>HYPERLINK("https://www.773grp.com/globalSearch/MC74HCT574ADWG/page-1", "MC74HCT574ADWG")</f>
        <v>MC74HCT574ADWG</v>
      </c>
      <c r="B9773" s="3" t="str">
        <f>HYPERLINK("https://www.773grp.com/manufacturer/onsemi?pageNo=336", "Onsemi")</f>
        <v>Onsemi</v>
      </c>
      <c r="C9773" s="6">
        <v>7471</v>
      </c>
      <c r="D9773" s="7">
        <v>1.1100000000000001</v>
      </c>
      <c r="E9773" t="s">
        <v>11</v>
      </c>
    </row>
    <row r="9774" spans="1:5" x14ac:dyDescent="0.25">
      <c r="A9774" t="str">
        <f>HYPERLINK("https://www.773grp.com/globalSearch/MC74HCT574ADWR2G/page-1", "MC74HCT574ADWR2G")</f>
        <v>MC74HCT574ADWR2G</v>
      </c>
      <c r="B9774" s="3" t="str">
        <f>HYPERLINK("https://www.773grp.com/manufacturer/onsemi?pageNo=337", "Onsemi")</f>
        <v>Onsemi</v>
      </c>
      <c r="C9774" s="6">
        <v>2600</v>
      </c>
      <c r="D9774" s="7">
        <v>1.1100000000000001</v>
      </c>
      <c r="E9774" t="s">
        <v>11</v>
      </c>
    </row>
    <row r="9775" spans="1:5" x14ac:dyDescent="0.25">
      <c r="A9775" t="str">
        <f>HYPERLINK("https://www.773grp.com/globalSearch/MC74LVX4051DG/page-1", "MC74LVX4051DG")</f>
        <v>MC74LVX4051DG</v>
      </c>
      <c r="B9775" s="3" t="str">
        <f>HYPERLINK("https://www.773grp.com/manufacturer/onsemi?pageNo=338", "Onsemi")</f>
        <v>Onsemi</v>
      </c>
      <c r="C9775" s="6">
        <v>23797</v>
      </c>
      <c r="D9775" s="7">
        <v>1.1100000000000001</v>
      </c>
      <c r="E9775" t="s">
        <v>46</v>
      </c>
    </row>
    <row r="9776" spans="1:5" x14ac:dyDescent="0.25">
      <c r="A9776" t="str">
        <f>HYPERLINK("https://www.773grp.com/globalSearch/MC74LVX4051DR2G/page-1", "MC74LVX4051DR2G")</f>
        <v>MC74LVX4051DR2G</v>
      </c>
      <c r="B9776" s="3" t="str">
        <f>HYPERLINK("https://www.773grp.com/manufacturer/onsemi?pageNo=339", "Onsemi")</f>
        <v>Onsemi</v>
      </c>
      <c r="C9776" s="6">
        <v>7145</v>
      </c>
      <c r="D9776" s="7">
        <v>1.1100000000000001</v>
      </c>
      <c r="E9776" t="s">
        <v>46</v>
      </c>
    </row>
    <row r="9777" spans="1:5" x14ac:dyDescent="0.25">
      <c r="A9777" t="str">
        <f>HYPERLINK("https://www.773grp.com/globalSearch/MC74LVX4051DTG/page-1", "MC74LVX4051DTG")</f>
        <v>MC74LVX4051DTG</v>
      </c>
      <c r="B9777" s="3" t="str">
        <f>HYPERLINK("https://www.773grp.com/manufacturer/onsemi?pageNo=340", "Onsemi")</f>
        <v>Onsemi</v>
      </c>
      <c r="C9777" s="6">
        <v>254</v>
      </c>
      <c r="D9777" s="7">
        <v>1.1100000000000001</v>
      </c>
      <c r="E9777" t="s">
        <v>46</v>
      </c>
    </row>
    <row r="9778" spans="1:5" x14ac:dyDescent="0.25">
      <c r="A9778" t="str">
        <f>HYPERLINK("https://www.773grp.com/globalSearch/MC74LVX4051DTR2G/page-1", "MC74LVX4051DTR2G")</f>
        <v>MC74LVX4051DTR2G</v>
      </c>
      <c r="B9778" s="3" t="str">
        <f>HYPERLINK("https://www.773grp.com/manufacturer/onsemi?pageNo=341", "Onsemi")</f>
        <v>Onsemi</v>
      </c>
      <c r="C9778" s="6">
        <v>2988</v>
      </c>
      <c r="D9778" s="7">
        <v>1.1100000000000001</v>
      </c>
    </row>
    <row r="9779" spans="1:5" x14ac:dyDescent="0.25">
      <c r="A9779" t="str">
        <f>HYPERLINK("https://www.773grp.com/globalSearch/MC74LVX4052DG/page-1", "MC74LVX4052DG")</f>
        <v>MC74LVX4052DG</v>
      </c>
      <c r="B9779" s="3" t="str">
        <f>HYPERLINK("https://www.773grp.com/manufacturer/onsemi?pageNo=342", "Onsemi")</f>
        <v>Onsemi</v>
      </c>
      <c r="C9779" s="6">
        <v>23621</v>
      </c>
      <c r="D9779" s="7">
        <v>1.1100000000000001</v>
      </c>
      <c r="E9779" t="s">
        <v>46</v>
      </c>
    </row>
    <row r="9780" spans="1:5" x14ac:dyDescent="0.25">
      <c r="A9780" t="str">
        <f>HYPERLINK("https://www.773grp.com/globalSearch/MC74LVX4052DR2G/page-1", "MC74LVX4052DR2G")</f>
        <v>MC74LVX4052DR2G</v>
      </c>
      <c r="B9780" s="3" t="str">
        <f>HYPERLINK("https://www.773grp.com/manufacturer/onsemi?pageNo=343", "Onsemi")</f>
        <v>Onsemi</v>
      </c>
      <c r="C9780" s="6">
        <v>6724</v>
      </c>
      <c r="D9780" s="7">
        <v>1.1100000000000001</v>
      </c>
      <c r="E9780" t="s">
        <v>46</v>
      </c>
    </row>
    <row r="9781" spans="1:5" x14ac:dyDescent="0.25">
      <c r="A9781" t="str">
        <f>HYPERLINK("https://www.773grp.com/globalSearch/MC74LVX4052DTG/page-1", "MC74LVX4052DTG")</f>
        <v>MC74LVX4052DTG</v>
      </c>
      <c r="B9781" s="3" t="str">
        <f>HYPERLINK("https://www.773grp.com/manufacturer/onsemi?pageNo=344", "Onsemi")</f>
        <v>Onsemi</v>
      </c>
      <c r="C9781" s="6">
        <v>319</v>
      </c>
      <c r="D9781" s="7">
        <v>1.1100000000000001</v>
      </c>
    </row>
    <row r="9782" spans="1:5" x14ac:dyDescent="0.25">
      <c r="A9782" t="str">
        <f>HYPERLINK("https://www.773grp.com/globalSearch/MC74LVX4052DTR2G/page-1", "MC74LVX4052DTR2G")</f>
        <v>MC74LVX4052DTR2G</v>
      </c>
      <c r="B9782" s="3" t="str">
        <f>HYPERLINK("https://www.773grp.com/manufacturer/onsemi?pageNo=345", "Onsemi")</f>
        <v>Onsemi</v>
      </c>
      <c r="C9782" s="6">
        <v>7500</v>
      </c>
      <c r="D9782" s="7">
        <v>1.1100000000000001</v>
      </c>
    </row>
    <row r="9783" spans="1:5" x14ac:dyDescent="0.25">
      <c r="A9783" t="str">
        <f>HYPERLINK("https://www.773grp.com/globalSearch/MC74LVX4053DG/page-1", "MC74LVX4053DG")</f>
        <v>MC74LVX4053DG</v>
      </c>
      <c r="B9783" s="3" t="str">
        <f>HYPERLINK("https://www.773grp.com/manufacturer/onsemi?pageNo=346", "Onsemi")</f>
        <v>Onsemi</v>
      </c>
      <c r="C9783" s="6">
        <v>21216</v>
      </c>
      <c r="D9783" s="7">
        <v>1.1100000000000001</v>
      </c>
      <c r="E9783" t="s">
        <v>46</v>
      </c>
    </row>
    <row r="9784" spans="1:5" x14ac:dyDescent="0.25">
      <c r="A9784" t="str">
        <f>HYPERLINK("https://www.773grp.com/globalSearch/MC74LVX4053DR2G/page-1", "MC74LVX4053DR2G")</f>
        <v>MC74LVX4053DR2G</v>
      </c>
      <c r="B9784" s="3" t="str">
        <f>HYPERLINK("https://www.773grp.com/manufacturer/onsemi?pageNo=347", "Onsemi")</f>
        <v>Onsemi</v>
      </c>
      <c r="C9784" s="6">
        <v>7703</v>
      </c>
      <c r="D9784" s="7">
        <v>1.1100000000000001</v>
      </c>
      <c r="E9784" t="s">
        <v>46</v>
      </c>
    </row>
    <row r="9785" spans="1:5" x14ac:dyDescent="0.25">
      <c r="A9785" t="str">
        <f>HYPERLINK("https://www.773grp.com/globalSearch/MC74LVX4053DTR2G/page-1", "MC74LVX4053DTR2G")</f>
        <v>MC74LVX4053DTR2G</v>
      </c>
      <c r="B9785" s="3" t="str">
        <f>HYPERLINK("https://www.773grp.com/manufacturer/onsemi?pageNo=348", "Onsemi")</f>
        <v>Onsemi</v>
      </c>
      <c r="C9785" s="6">
        <v>12500</v>
      </c>
      <c r="D9785" s="7">
        <v>1.1100000000000001</v>
      </c>
      <c r="E9785" t="s">
        <v>46</v>
      </c>
    </row>
    <row r="9786" spans="1:5" x14ac:dyDescent="0.25">
      <c r="A9786" t="str">
        <f>HYPERLINK("https://www.773grp.com/globalSearch/MC74LVX4066D/page-1", "MC74LVX4066D")</f>
        <v>MC74LVX4066D</v>
      </c>
      <c r="B9786" s="3" t="str">
        <f>HYPERLINK("https://www.773grp.com/manufacturer/onsemi?pageNo=349", "Onsemi")</f>
        <v>Onsemi</v>
      </c>
      <c r="C9786" s="6">
        <v>3520</v>
      </c>
      <c r="D9786" s="7">
        <v>1.1100000000000001</v>
      </c>
      <c r="E9786" t="s">
        <v>46</v>
      </c>
    </row>
    <row r="9787" spans="1:5" x14ac:dyDescent="0.25">
      <c r="A9787" t="str">
        <f>HYPERLINK("https://www.773grp.com/globalSearch/MC74LVX4066DR2G/page-1", "MC74LVX4066DR2G")</f>
        <v>MC74LVX4066DR2G</v>
      </c>
      <c r="B9787" s="3" t="str">
        <f>HYPERLINK("https://www.773grp.com/manufacturer/onsemi?pageNo=350", "Onsemi")</f>
        <v>Onsemi</v>
      </c>
      <c r="C9787" s="6">
        <v>3878</v>
      </c>
      <c r="D9787" s="7">
        <v>1.1100000000000001</v>
      </c>
      <c r="E9787" t="s">
        <v>46</v>
      </c>
    </row>
    <row r="9788" spans="1:5" x14ac:dyDescent="0.25">
      <c r="A9788" t="str">
        <f>HYPERLINK("https://www.773grp.com/globalSearch/MC74LVX4066DT/page-1", "MC74LVX4066DT")</f>
        <v>MC74LVX4066DT</v>
      </c>
      <c r="B9788" s="3" t="str">
        <f>HYPERLINK("https://www.773grp.com/manufacturer/onsemi?pageNo=351", "Onsemi")</f>
        <v>Onsemi</v>
      </c>
      <c r="C9788" s="6">
        <v>192</v>
      </c>
      <c r="D9788" s="7">
        <v>1.1100000000000001</v>
      </c>
      <c r="E9788" t="s">
        <v>46</v>
      </c>
    </row>
    <row r="9789" spans="1:5" x14ac:dyDescent="0.25">
      <c r="A9789" t="str">
        <f>HYPERLINK("https://www.773grp.com/globalSearch/MC74LVX4066DTR2G/page-1", "MC74LVX4066DTR2G")</f>
        <v>MC74LVX4066DTR2G</v>
      </c>
      <c r="B9789" s="3" t="str">
        <f>HYPERLINK("https://www.773grp.com/manufacturer/onsemi?pageNo=352", "Onsemi")</f>
        <v>Onsemi</v>
      </c>
      <c r="C9789" s="6">
        <v>138935</v>
      </c>
      <c r="D9789" s="7">
        <v>1.1100000000000001</v>
      </c>
      <c r="E9789" t="s">
        <v>46</v>
      </c>
    </row>
    <row r="9790" spans="1:5" x14ac:dyDescent="0.25">
      <c r="A9790" t="str">
        <f>HYPERLINK("https://www.773grp.com/globalSearch/MC74LVX541DTR2G/page-1", "MC74LVX541DTR2G")</f>
        <v>MC74LVX541DTR2G</v>
      </c>
      <c r="B9790" s="3" t="str">
        <f>HYPERLINK("https://www.773grp.com/manufacturer/onsemi?pageNo=353", "Onsemi")</f>
        <v>Onsemi</v>
      </c>
      <c r="C9790" s="6">
        <v>5287</v>
      </c>
      <c r="D9790" s="7">
        <v>1.1100000000000001</v>
      </c>
      <c r="E9790" t="s">
        <v>11</v>
      </c>
    </row>
    <row r="9791" spans="1:5" x14ac:dyDescent="0.25">
      <c r="A9791" t="str">
        <f>HYPERLINK("https://www.773grp.com/globalSearch/MC74LVX8051D/page-1", "MC74LVX8051D")</f>
        <v>MC74LVX8051D</v>
      </c>
      <c r="B9791" s="3" t="str">
        <f>HYPERLINK("https://www.773grp.com/manufacturer/onsemi?pageNo=354", "Onsemi")</f>
        <v>Onsemi</v>
      </c>
      <c r="C9791" s="6">
        <v>1344</v>
      </c>
      <c r="D9791" s="7">
        <v>1.1100000000000001</v>
      </c>
      <c r="E9791" t="s">
        <v>46</v>
      </c>
    </row>
    <row r="9792" spans="1:5" x14ac:dyDescent="0.25">
      <c r="A9792" t="str">
        <f>HYPERLINK("https://www.773grp.com/globalSearch/MC74LVX8051D/page-1", "MC74LVX8051D")</f>
        <v>MC74LVX8051D</v>
      </c>
      <c r="B9792" s="3" t="str">
        <f>HYPERLINK("https://www.773grp.com/manufacturer/onsemi?pageNo=355", "Onsemi")</f>
        <v>Onsemi</v>
      </c>
      <c r="C9792" s="6">
        <v>2112</v>
      </c>
      <c r="D9792" s="7">
        <v>1.1100000000000001</v>
      </c>
      <c r="E9792" t="s">
        <v>46</v>
      </c>
    </row>
    <row r="9793" spans="1:5" x14ac:dyDescent="0.25">
      <c r="A9793" t="str">
        <f>HYPERLINK("https://www.773grp.com/globalSearch/MC74LVX8053D/page-1", "MC74LVX8053D")</f>
        <v>MC74LVX8053D</v>
      </c>
      <c r="B9793" s="3" t="str">
        <f>HYPERLINK("https://www.773grp.com/manufacturer/onsemi?pageNo=356", "Onsemi")</f>
        <v>Onsemi</v>
      </c>
      <c r="C9793" s="6">
        <v>8544</v>
      </c>
      <c r="D9793" s="7">
        <v>1.1100000000000001</v>
      </c>
      <c r="E9793" t="s">
        <v>46</v>
      </c>
    </row>
    <row r="9794" spans="1:5" x14ac:dyDescent="0.25">
      <c r="A9794" t="str">
        <f>HYPERLINK("https://www.773grp.com/globalSearch/MC74LVXT4051DG/page-1", "MC74LVXT4051DG")</f>
        <v>MC74LVXT4051DG</v>
      </c>
      <c r="B9794" s="3" t="str">
        <f>HYPERLINK("https://www.773grp.com/manufacturer/onsemi?pageNo=357", "Onsemi")</f>
        <v>Onsemi</v>
      </c>
      <c r="C9794" s="6">
        <v>3284</v>
      </c>
      <c r="D9794" s="7">
        <v>1.1100000000000001</v>
      </c>
      <c r="E9794" t="s">
        <v>46</v>
      </c>
    </row>
    <row r="9795" spans="1:5" x14ac:dyDescent="0.25">
      <c r="A9795" t="str">
        <f>HYPERLINK("https://www.773grp.com/globalSearch/MC74LVXT4051DR2G/page-1", "MC74LVXT4051DR2G")</f>
        <v>MC74LVXT4051DR2G</v>
      </c>
      <c r="B9795" s="3" t="str">
        <f>HYPERLINK("https://www.773grp.com/manufacturer/onsemi?pageNo=358", "Onsemi")</f>
        <v>Onsemi</v>
      </c>
      <c r="C9795" s="6">
        <v>6880</v>
      </c>
      <c r="D9795" s="7">
        <v>1.1100000000000001</v>
      </c>
      <c r="E9795" t="s">
        <v>46</v>
      </c>
    </row>
    <row r="9796" spans="1:5" x14ac:dyDescent="0.25">
      <c r="A9796" t="str">
        <f>HYPERLINK("https://www.773grp.com/globalSearch/MC74LVXT4051DTG/page-1", "MC74LVXT4051DTG")</f>
        <v>MC74LVXT4051DTG</v>
      </c>
      <c r="B9796" s="3" t="str">
        <f>HYPERLINK("https://www.773grp.com/manufacturer/onsemi?pageNo=359", "Onsemi")</f>
        <v>Onsemi</v>
      </c>
      <c r="C9796" s="6">
        <v>21456</v>
      </c>
      <c r="D9796" s="7">
        <v>1.1100000000000001</v>
      </c>
      <c r="E9796" t="s">
        <v>46</v>
      </c>
    </row>
    <row r="9797" spans="1:5" x14ac:dyDescent="0.25">
      <c r="A9797" t="str">
        <f>HYPERLINK("https://www.773grp.com/globalSearch/MC74LVXT4051DTRG/page-1", "MC74LVXT4051DTRG")</f>
        <v>MC74LVXT4051DTRG</v>
      </c>
      <c r="B9797" s="3" t="str">
        <f>HYPERLINK("https://www.773grp.com/manufacturer/onsemi?pageNo=360", "Onsemi")</f>
        <v>Onsemi</v>
      </c>
      <c r="C9797" s="6">
        <v>4950</v>
      </c>
      <c r="D9797" s="7">
        <v>1.1100000000000001</v>
      </c>
      <c r="E9797" t="s">
        <v>46</v>
      </c>
    </row>
    <row r="9798" spans="1:5" x14ac:dyDescent="0.25">
      <c r="A9798" t="str">
        <f>HYPERLINK("https://www.773grp.com/globalSearch/MC74LVXT4052DG/page-1", "MC74LVXT4052DG")</f>
        <v>MC74LVXT4052DG</v>
      </c>
      <c r="B9798" s="3" t="str">
        <f>HYPERLINK("https://www.773grp.com/manufacturer/onsemi?pageNo=361", "Onsemi")</f>
        <v>Onsemi</v>
      </c>
      <c r="C9798" s="6">
        <v>1824</v>
      </c>
      <c r="D9798" s="7">
        <v>1.1100000000000001</v>
      </c>
      <c r="E9798" t="s">
        <v>46</v>
      </c>
    </row>
    <row r="9799" spans="1:5" x14ac:dyDescent="0.25">
      <c r="A9799" t="str">
        <f>HYPERLINK("https://www.773grp.com/globalSearch/MC74LVXT4052DR2G/page-1", "MC74LVXT4052DR2G")</f>
        <v>MC74LVXT4052DR2G</v>
      </c>
      <c r="B9799" s="3" t="str">
        <f>HYPERLINK("https://www.773grp.com/manufacturer/onsemi?pageNo=362", "Onsemi")</f>
        <v>Onsemi</v>
      </c>
      <c r="C9799" s="6">
        <v>42500</v>
      </c>
      <c r="D9799" s="7">
        <v>1.1100000000000001</v>
      </c>
    </row>
    <row r="9800" spans="1:5" x14ac:dyDescent="0.25">
      <c r="A9800" t="str">
        <f>HYPERLINK("https://www.773grp.com/globalSearch/MC74LVXT4052DTG/page-1", "MC74LVXT4052DTG")</f>
        <v>MC74LVXT4052DTG</v>
      </c>
      <c r="B9800" s="3" t="str">
        <f>HYPERLINK("https://www.773grp.com/manufacturer/onsemi?pageNo=363", "Onsemi")</f>
        <v>Onsemi</v>
      </c>
      <c r="C9800" s="6">
        <v>3456</v>
      </c>
      <c r="D9800" s="7">
        <v>1.1100000000000001</v>
      </c>
      <c r="E9800" t="s">
        <v>46</v>
      </c>
    </row>
    <row r="9801" spans="1:5" x14ac:dyDescent="0.25">
      <c r="A9801" t="str">
        <f>HYPERLINK("https://www.773grp.com/globalSearch/MC74LVXT4053DG/page-1", "MC74LVXT4053DG")</f>
        <v>MC74LVXT4053DG</v>
      </c>
      <c r="B9801" s="3" t="str">
        <f>HYPERLINK("https://www.773grp.com/manufacturer/onsemi?pageNo=364", "Onsemi")</f>
        <v>Onsemi</v>
      </c>
      <c r="C9801" s="6">
        <v>1824</v>
      </c>
      <c r="D9801" s="7">
        <v>1.1100000000000001</v>
      </c>
      <c r="E9801" t="s">
        <v>46</v>
      </c>
    </row>
    <row r="9802" spans="1:5" x14ac:dyDescent="0.25">
      <c r="A9802" t="str">
        <f>HYPERLINK("https://www.773grp.com/globalSearch/MC74LVXT4053DR2G/page-1", "MC74LVXT4053DR2G")</f>
        <v>MC74LVXT4053DR2G</v>
      </c>
      <c r="B9802" s="3" t="str">
        <f>HYPERLINK("https://www.773grp.com/manufacturer/onsemi?pageNo=365", "Onsemi")</f>
        <v>Onsemi</v>
      </c>
      <c r="C9802" s="6">
        <v>9740</v>
      </c>
      <c r="D9802" s="7">
        <v>1.1100000000000001</v>
      </c>
      <c r="E9802" t="s">
        <v>46</v>
      </c>
    </row>
    <row r="9803" spans="1:5" x14ac:dyDescent="0.25">
      <c r="A9803" t="str">
        <f>HYPERLINK("https://www.773grp.com/globalSearch/MC74LVXT4053DTG/page-1", "MC74LVXT4053DTG")</f>
        <v>MC74LVXT4053DTG</v>
      </c>
      <c r="B9803" s="3" t="str">
        <f>HYPERLINK("https://www.773grp.com/manufacturer/onsemi?pageNo=366", "Onsemi")</f>
        <v>Onsemi</v>
      </c>
      <c r="C9803" s="6">
        <v>18488</v>
      </c>
      <c r="D9803" s="7">
        <v>1.1100000000000001</v>
      </c>
      <c r="E9803" t="s">
        <v>46</v>
      </c>
    </row>
    <row r="9804" spans="1:5" x14ac:dyDescent="0.25">
      <c r="A9804" t="str">
        <f>HYPERLINK("https://www.773grp.com/globalSearch/MC74LVXT4053DTRG/page-1", "MC74LVXT4053DTRG")</f>
        <v>MC74LVXT4053DTRG</v>
      </c>
      <c r="B9804" s="3" t="str">
        <f>HYPERLINK("https://www.773grp.com/manufacturer/onsemi?pageNo=367", "Onsemi")</f>
        <v>Onsemi</v>
      </c>
      <c r="C9804" s="6">
        <v>28616</v>
      </c>
      <c r="D9804" s="7">
        <v>1.1100000000000001</v>
      </c>
      <c r="E9804" t="s">
        <v>46</v>
      </c>
    </row>
    <row r="9805" spans="1:5" x14ac:dyDescent="0.25">
      <c r="A9805" t="str">
        <f>HYPERLINK("https://www.773grp.com/globalSearch/MC74LVXT4066D/page-1", "MC74LVXT4066D")</f>
        <v>MC74LVXT4066D</v>
      </c>
      <c r="B9805" s="3" t="str">
        <f>HYPERLINK("https://www.773grp.com/manufacturer/onsemi?pageNo=368", "Onsemi")</f>
        <v>Onsemi</v>
      </c>
      <c r="C9805" s="6">
        <v>8470</v>
      </c>
      <c r="D9805" s="7">
        <v>1.1100000000000001</v>
      </c>
      <c r="E9805" t="s">
        <v>46</v>
      </c>
    </row>
    <row r="9806" spans="1:5" x14ac:dyDescent="0.25">
      <c r="A9806" t="str">
        <f>HYPERLINK("https://www.773grp.com/globalSearch/MC74LVXT4066DR2G/page-1", "MC74LVXT4066DR2G")</f>
        <v>MC74LVXT4066DR2G</v>
      </c>
      <c r="B9806" s="3" t="str">
        <f>HYPERLINK("https://www.773grp.com/manufacturer/onsemi?pageNo=369", "Onsemi")</f>
        <v>Onsemi</v>
      </c>
      <c r="C9806" s="6">
        <v>35445</v>
      </c>
      <c r="D9806" s="7">
        <v>1.1100000000000001</v>
      </c>
      <c r="E9806" t="s">
        <v>46</v>
      </c>
    </row>
    <row r="9807" spans="1:5" x14ac:dyDescent="0.25">
      <c r="A9807" t="str">
        <f>HYPERLINK("https://www.773grp.com/globalSearch/MC74LVXT8053DT/page-1", "MC74LVXT8053DT")</f>
        <v>MC74LVXT8053DT</v>
      </c>
      <c r="B9807" s="3" t="str">
        <f>HYPERLINK("https://www.773grp.com/manufacturer/onsemi?pageNo=370", "Onsemi")</f>
        <v>Onsemi</v>
      </c>
      <c r="C9807" s="6">
        <v>7008</v>
      </c>
      <c r="D9807" s="7">
        <v>1.1100000000000001</v>
      </c>
      <c r="E9807" t="s">
        <v>46</v>
      </c>
    </row>
    <row r="9808" spans="1:5" x14ac:dyDescent="0.25">
      <c r="A9808" t="str">
        <f>HYPERLINK("https://www.773grp.com/globalSearch/MC74VHC540DTR2G/page-1", "MC74VHC540DTR2G")</f>
        <v>MC74VHC540DTR2G</v>
      </c>
      <c r="B9808" s="3" t="str">
        <f>HYPERLINK("https://www.773grp.com/manufacturer/onsemi?pageNo=371", "Onsemi")</f>
        <v>Onsemi</v>
      </c>
      <c r="C9808" s="6">
        <v>2500</v>
      </c>
      <c r="D9808" s="7">
        <v>1.1100000000000001</v>
      </c>
    </row>
    <row r="9809" spans="1:5" x14ac:dyDescent="0.25">
      <c r="A9809" t="str">
        <f>HYPERLINK("https://www.773grp.com/globalSearch/MC74VHC541DTG/page-1", "MC74VHC541DTG")</f>
        <v>MC74VHC541DTG</v>
      </c>
      <c r="B9809" s="3" t="str">
        <f>HYPERLINK("https://www.773grp.com/manufacturer/onsemi?pageNo=372", "Onsemi")</f>
        <v>Onsemi</v>
      </c>
      <c r="C9809" s="6">
        <v>53950</v>
      </c>
      <c r="D9809" s="7">
        <v>1.1100000000000001</v>
      </c>
      <c r="E9809" t="s">
        <v>11</v>
      </c>
    </row>
    <row r="9810" spans="1:5" x14ac:dyDescent="0.25">
      <c r="A9810" t="str">
        <f>HYPERLINK("https://www.773grp.com/globalSearch/MC74VHC541DTR2G/page-1", "MC74VHC541DTR2G")</f>
        <v>MC74VHC541DTR2G</v>
      </c>
      <c r="B9810" s="3" t="str">
        <f>HYPERLINK("https://www.773grp.com/manufacturer/onsemi?pageNo=373", "Onsemi")</f>
        <v>Onsemi</v>
      </c>
      <c r="C9810" s="6">
        <v>7403</v>
      </c>
      <c r="D9810" s="7">
        <v>1.1100000000000001</v>
      </c>
      <c r="E9810" t="s">
        <v>11</v>
      </c>
    </row>
    <row r="9811" spans="1:5" x14ac:dyDescent="0.25">
      <c r="A9811" t="str">
        <f>HYPERLINK("https://www.773grp.com/globalSearch/MC74VHCT541ADTG/page-1", "MC74VHCT541ADTG")</f>
        <v>MC74VHCT541ADTG</v>
      </c>
      <c r="B9811" s="3" t="str">
        <f>HYPERLINK("https://www.773grp.com/manufacturer/onsemi?pageNo=374", "Onsemi")</f>
        <v>Onsemi</v>
      </c>
      <c r="C9811" s="6">
        <v>3861</v>
      </c>
      <c r="D9811" s="7">
        <v>1.1100000000000001</v>
      </c>
    </row>
    <row r="9812" spans="1:5" x14ac:dyDescent="0.25">
      <c r="A9812" t="str">
        <f>HYPERLINK("https://www.773grp.com/globalSearch/MC74VHCT541ADTRG/page-1", "MC74VHCT541ADTRG")</f>
        <v>MC74VHCT541ADTRG</v>
      </c>
      <c r="B9812" s="3" t="str">
        <f>HYPERLINK("https://www.773grp.com/manufacturer/onsemi?pageNo=375", "Onsemi")</f>
        <v>Onsemi</v>
      </c>
      <c r="C9812" s="6">
        <v>16328</v>
      </c>
      <c r="D9812" s="7">
        <v>1.1100000000000001</v>
      </c>
    </row>
    <row r="9813" spans="1:5" x14ac:dyDescent="0.25">
      <c r="A9813" t="str">
        <f>HYPERLINK("https://www.773grp.com/globalSearch/MC78FC40HT1/page-1", "MC78FC40HT1")</f>
        <v>MC78FC40HT1</v>
      </c>
      <c r="B9813" s="3" t="str">
        <f>HYPERLINK("https://www.773grp.com/manufacturer/onsemi?pageNo=376", "Onsemi")</f>
        <v>Onsemi</v>
      </c>
      <c r="C9813" s="6">
        <v>18000</v>
      </c>
      <c r="D9813" s="7">
        <v>1.1100000000000001</v>
      </c>
      <c r="E9813" t="s">
        <v>15</v>
      </c>
    </row>
    <row r="9814" spans="1:5" x14ac:dyDescent="0.25">
      <c r="A9814" t="str">
        <f>HYPERLINK("https://www.773grp.com/globalSearch/MC78FC50HT1/page-1", "MC78FC50HT1")</f>
        <v>MC78FC50HT1</v>
      </c>
      <c r="B9814" s="3" t="str">
        <f>HYPERLINK("https://www.773grp.com/manufacturer/onsemi?pageNo=377", "Onsemi")</f>
        <v>Onsemi</v>
      </c>
      <c r="C9814" s="6">
        <v>52000</v>
      </c>
      <c r="D9814" s="7">
        <v>1.1100000000000001</v>
      </c>
      <c r="E9814" t="s">
        <v>15</v>
      </c>
    </row>
    <row r="9815" spans="1:5" x14ac:dyDescent="0.25">
      <c r="A9815" t="str">
        <f>HYPERLINK("https://www.773grp.com/globalSearch/MC78M05ACDTG/page-1", "MC78M05ACDTG")</f>
        <v>MC78M05ACDTG</v>
      </c>
      <c r="B9815" s="3" t="str">
        <f>HYPERLINK("https://www.773grp.com/manufacturer/onsemi?pageNo=378", "Onsemi")</f>
        <v>Onsemi</v>
      </c>
      <c r="C9815" s="6">
        <v>16799</v>
      </c>
      <c r="D9815" s="7">
        <v>1.1100000000000001</v>
      </c>
      <c r="E9815" t="s">
        <v>24</v>
      </c>
    </row>
    <row r="9816" spans="1:5" x14ac:dyDescent="0.25">
      <c r="A9816" t="str">
        <f>HYPERLINK("https://www.773grp.com/globalSearch/MC78M05ACDTRK/page-1", "MC78M05ACDTRK")</f>
        <v>MC78M05ACDTRK</v>
      </c>
      <c r="B9816" s="3" t="str">
        <f>HYPERLINK("https://www.773grp.com/manufacturer/onsemi?pageNo=379", "Onsemi")</f>
        <v>Onsemi</v>
      </c>
      <c r="C9816" s="6">
        <v>15000</v>
      </c>
      <c r="D9816" s="7">
        <v>1.1100000000000001</v>
      </c>
      <c r="E9816" t="s">
        <v>24</v>
      </c>
    </row>
    <row r="9817" spans="1:5" x14ac:dyDescent="0.25">
      <c r="A9817" t="str">
        <f>HYPERLINK("https://www.773grp.com/globalSearch/MC78M05ACDTRKG/page-1", "MC78M05ACDTRKG")</f>
        <v>MC78M05ACDTRKG</v>
      </c>
      <c r="B9817" s="3" t="str">
        <f>HYPERLINK("https://www.773grp.com/manufacturer/onsemi?pageNo=380", "Onsemi")</f>
        <v>Onsemi</v>
      </c>
      <c r="C9817" s="6">
        <v>34855</v>
      </c>
      <c r="D9817" s="7">
        <v>1.1100000000000001</v>
      </c>
      <c r="E9817" t="s">
        <v>24</v>
      </c>
    </row>
    <row r="9818" spans="1:5" x14ac:dyDescent="0.25">
      <c r="A9818" t="str">
        <f>HYPERLINK("https://www.773grp.com/globalSearch/MC78M05BDT/page-1", "MC78M05BDT")</f>
        <v>MC78M05BDT</v>
      </c>
      <c r="B9818" s="3" t="str">
        <f>HYPERLINK("https://www.773grp.com/manufacturer/onsemi?pageNo=381", "Onsemi")</f>
        <v>Onsemi</v>
      </c>
      <c r="C9818" s="6">
        <v>1567</v>
      </c>
      <c r="D9818" s="7">
        <v>1.1100000000000001</v>
      </c>
      <c r="E9818" t="s">
        <v>24</v>
      </c>
    </row>
    <row r="9819" spans="1:5" x14ac:dyDescent="0.25">
      <c r="A9819" t="str">
        <f>HYPERLINK("https://www.773grp.com/globalSearch/MC78M05BDTG/page-1", "MC78M05BDTG")</f>
        <v>MC78M05BDTG</v>
      </c>
      <c r="B9819" s="3" t="str">
        <f>HYPERLINK("https://www.773grp.com/manufacturer/onsemi?pageNo=382", "Onsemi")</f>
        <v>Onsemi</v>
      </c>
      <c r="C9819" s="6">
        <v>19309</v>
      </c>
      <c r="D9819" s="7">
        <v>1.1100000000000001</v>
      </c>
      <c r="E9819" t="s">
        <v>24</v>
      </c>
    </row>
    <row r="9820" spans="1:5" x14ac:dyDescent="0.25">
      <c r="A9820" t="str">
        <f>HYPERLINK("https://www.773grp.com/globalSearch/MC78M05BDTRKG/page-1", "MC78M05BDTRKG")</f>
        <v>MC78M05BDTRKG</v>
      </c>
      <c r="B9820" s="3" t="str">
        <f>HYPERLINK("https://www.773grp.com/manufacturer/onsemi?pageNo=383", "Onsemi")</f>
        <v>Onsemi</v>
      </c>
      <c r="C9820" s="6">
        <v>24128</v>
      </c>
      <c r="D9820" s="7">
        <v>1.1100000000000001</v>
      </c>
    </row>
    <row r="9821" spans="1:5" x14ac:dyDescent="0.25">
      <c r="A9821" t="str">
        <f>HYPERLINK("https://www.773grp.com/globalSearch/MC78M08ACDTG/page-1", "MC78M08ACDTG")</f>
        <v>MC78M08ACDTG</v>
      </c>
      <c r="B9821" s="3" t="str">
        <f>HYPERLINK("https://www.773grp.com/manufacturer/onsemi?pageNo=384", "Onsemi")</f>
        <v>Onsemi</v>
      </c>
      <c r="C9821" s="6">
        <v>2700</v>
      </c>
      <c r="D9821" s="7">
        <v>1.1100000000000001</v>
      </c>
      <c r="E9821" t="s">
        <v>24</v>
      </c>
    </row>
    <row r="9822" spans="1:5" x14ac:dyDescent="0.25">
      <c r="A9822" t="str">
        <f>HYPERLINK("https://www.773grp.com/globalSearch/MC78M08BDTG/page-1", "MC78M08BDTG")</f>
        <v>MC78M08BDTG</v>
      </c>
      <c r="B9822" s="3" t="str">
        <f>HYPERLINK("https://www.773grp.com/manufacturer/onsemi?pageNo=385", "Onsemi")</f>
        <v>Onsemi</v>
      </c>
      <c r="C9822" s="6">
        <v>9850</v>
      </c>
      <c r="D9822" s="7">
        <v>1.1100000000000001</v>
      </c>
      <c r="E9822" t="s">
        <v>24</v>
      </c>
    </row>
    <row r="9823" spans="1:5" x14ac:dyDescent="0.25">
      <c r="A9823" t="str">
        <f>HYPERLINK("https://www.773grp.com/globalSearch/MC78M09BDTG/page-1", "MC78M09BDTG")</f>
        <v>MC78M09BDTG</v>
      </c>
      <c r="B9823" s="3" t="str">
        <f>HYPERLINK("https://www.773grp.com/manufacturer/onsemi?pageNo=386", "Onsemi")</f>
        <v>Onsemi</v>
      </c>
      <c r="C9823" s="6">
        <v>975</v>
      </c>
      <c r="D9823" s="7">
        <v>1.1100000000000001</v>
      </c>
      <c r="E9823" t="s">
        <v>24</v>
      </c>
    </row>
    <row r="9824" spans="1:5" x14ac:dyDescent="0.25">
      <c r="A9824" t="str">
        <f>HYPERLINK("https://www.773grp.com/globalSearch/MC78M09BDTRKG/page-1", "MC78M09BDTRKG")</f>
        <v>MC78M09BDTRKG</v>
      </c>
      <c r="B9824" s="3" t="str">
        <f>HYPERLINK("https://www.773grp.com/manufacturer/onsemi?pageNo=387", "Onsemi")</f>
        <v>Onsemi</v>
      </c>
      <c r="C9824" s="6">
        <v>43364</v>
      </c>
      <c r="D9824" s="7">
        <v>1.1100000000000001</v>
      </c>
      <c r="E9824" t="s">
        <v>24</v>
      </c>
    </row>
    <row r="9825" spans="1:5" x14ac:dyDescent="0.25">
      <c r="A9825" t="str">
        <f>HYPERLINK("https://www.773grp.com/globalSearch/MC78M12ACDTG/page-1", "MC78M12ACDTG")</f>
        <v>MC78M12ACDTG</v>
      </c>
      <c r="B9825" s="3" t="str">
        <f>HYPERLINK("https://www.773grp.com/manufacturer/onsemi?pageNo=388", "Onsemi")</f>
        <v>Onsemi</v>
      </c>
      <c r="C9825" s="6">
        <v>1550</v>
      </c>
      <c r="D9825" s="7">
        <v>1.1100000000000001</v>
      </c>
      <c r="E9825" t="s">
        <v>24</v>
      </c>
    </row>
    <row r="9826" spans="1:5" x14ac:dyDescent="0.25">
      <c r="A9826" t="str">
        <f>HYPERLINK("https://www.773grp.com/globalSearch/MC78M12ACDTRKG/page-1", "MC78M12ACDTRKG")</f>
        <v>MC78M12ACDTRKG</v>
      </c>
      <c r="B9826" s="3" t="str">
        <f>HYPERLINK("https://www.773grp.com/manufacturer/onsemi?pageNo=389", "Onsemi")</f>
        <v>Onsemi</v>
      </c>
      <c r="C9826" s="6">
        <v>5000</v>
      </c>
      <c r="D9826" s="7">
        <v>1.1100000000000001</v>
      </c>
      <c r="E9826" t="s">
        <v>24</v>
      </c>
    </row>
    <row r="9827" spans="1:5" x14ac:dyDescent="0.25">
      <c r="A9827" t="str">
        <f>HYPERLINK("https://www.773grp.com/globalSearch/MC78M12BDTG/page-1", "MC78M12BDTG")</f>
        <v>MC78M12BDTG</v>
      </c>
      <c r="B9827" s="3" t="str">
        <f>HYPERLINK("https://www.773grp.com/manufacturer/onsemi?pageNo=390", "Onsemi")</f>
        <v>Onsemi</v>
      </c>
      <c r="C9827" s="6">
        <v>18275</v>
      </c>
      <c r="D9827" s="7">
        <v>1.1100000000000001</v>
      </c>
      <c r="E9827" t="s">
        <v>24</v>
      </c>
    </row>
    <row r="9828" spans="1:5" x14ac:dyDescent="0.25">
      <c r="A9828" t="str">
        <f>HYPERLINK("https://www.773grp.com/globalSearch/MC78M12BDTRK/page-1", "MC78M12BDTRK")</f>
        <v>MC78M12BDTRK</v>
      </c>
      <c r="B9828" s="3" t="str">
        <f>HYPERLINK("https://www.773grp.com/manufacturer/onsemi?pageNo=391", "Onsemi")</f>
        <v>Onsemi</v>
      </c>
      <c r="C9828" s="6">
        <v>7500</v>
      </c>
      <c r="D9828" s="7">
        <v>1.1100000000000001</v>
      </c>
      <c r="E9828" t="s">
        <v>24</v>
      </c>
    </row>
    <row r="9829" spans="1:5" x14ac:dyDescent="0.25">
      <c r="A9829" t="str">
        <f>HYPERLINK("https://www.773grp.com/globalSearch/MC78M12BDTRKG/page-1", "MC78M12BDTRKG")</f>
        <v>MC78M12BDTRKG</v>
      </c>
      <c r="B9829" s="3" t="str">
        <f>HYPERLINK("https://www.773grp.com/manufacturer/onsemi?pageNo=392", "Onsemi")</f>
        <v>Onsemi</v>
      </c>
      <c r="C9829" s="6">
        <v>10000</v>
      </c>
      <c r="D9829" s="7">
        <v>1.1100000000000001</v>
      </c>
      <c r="E9829" t="s">
        <v>24</v>
      </c>
    </row>
    <row r="9830" spans="1:5" x14ac:dyDescent="0.25">
      <c r="A9830" t="str">
        <f>HYPERLINK("https://www.773grp.com/globalSearch/MC78M15ACDTG/page-1", "MC78M15ACDTG")</f>
        <v>MC78M15ACDTG</v>
      </c>
      <c r="B9830" s="3" t="str">
        <f>HYPERLINK("https://www.773grp.com/manufacturer/onsemi?pageNo=393", "Onsemi")</f>
        <v>Onsemi</v>
      </c>
      <c r="C9830" s="6">
        <v>8190</v>
      </c>
      <c r="D9830" s="7">
        <v>1.1100000000000001</v>
      </c>
      <c r="E9830" t="s">
        <v>24</v>
      </c>
    </row>
    <row r="9831" spans="1:5" x14ac:dyDescent="0.25">
      <c r="A9831" t="str">
        <f>HYPERLINK("https://www.773grp.com/globalSearch/MC78M15ACDTRKG/page-1", "MC78M15ACDTRKG")</f>
        <v>MC78M15ACDTRKG</v>
      </c>
      <c r="B9831" s="3" t="str">
        <f>HYPERLINK("https://www.773grp.com/manufacturer/onsemi?pageNo=394", "Onsemi")</f>
        <v>Onsemi</v>
      </c>
      <c r="C9831" s="6">
        <v>12455</v>
      </c>
      <c r="D9831" s="7">
        <v>1.1100000000000001</v>
      </c>
      <c r="E9831" t="s">
        <v>24</v>
      </c>
    </row>
    <row r="9832" spans="1:5" x14ac:dyDescent="0.25">
      <c r="A9832" t="str">
        <f>HYPERLINK("https://www.773grp.com/globalSearch/MC78M15BDTG/page-1", "MC78M15BDTG")</f>
        <v>MC78M15BDTG</v>
      </c>
      <c r="B9832" s="3" t="str">
        <f>HYPERLINK("https://www.773grp.com/manufacturer/onsemi?pageNo=395", "Onsemi")</f>
        <v>Onsemi</v>
      </c>
      <c r="C9832" s="6">
        <v>6375</v>
      </c>
      <c r="D9832" s="7">
        <v>1.1100000000000001</v>
      </c>
      <c r="E9832" t="s">
        <v>24</v>
      </c>
    </row>
    <row r="9833" spans="1:5" x14ac:dyDescent="0.25">
      <c r="A9833" t="str">
        <f>HYPERLINK("https://www.773grp.com/globalSearch/MC78M15BDTRKG/page-1", "MC78M15BDTRKG")</f>
        <v>MC78M15BDTRKG</v>
      </c>
      <c r="B9833" s="3" t="str">
        <f>HYPERLINK("https://www.773grp.com/manufacturer/onsemi?pageNo=396", "Onsemi")</f>
        <v>Onsemi</v>
      </c>
      <c r="C9833" s="6">
        <v>71010</v>
      </c>
      <c r="D9833" s="7">
        <v>1.1100000000000001</v>
      </c>
      <c r="E9833" t="s">
        <v>24</v>
      </c>
    </row>
    <row r="9834" spans="1:5" x14ac:dyDescent="0.25">
      <c r="A9834" t="str">
        <f>HYPERLINK("https://www.773grp.com/globalSearch/MC78PC25NTRG/page-1", "MC78PC25NTRG")</f>
        <v>MC78PC25NTRG</v>
      </c>
      <c r="B9834" s="3" t="str">
        <f>HYPERLINK("https://www.773grp.com/manufacturer/onsemi?pageNo=397", "Onsemi")</f>
        <v>Onsemi</v>
      </c>
      <c r="C9834" s="6">
        <v>8696</v>
      </c>
      <c r="D9834" s="7">
        <v>1.1100000000000001</v>
      </c>
      <c r="E9834" t="s">
        <v>15</v>
      </c>
    </row>
    <row r="9835" spans="1:5" x14ac:dyDescent="0.25">
      <c r="A9835" t="str">
        <f>HYPERLINK("https://www.773grp.com/globalSearch/MC78PC28NTRG/page-1", "MC78PC28NTRG")</f>
        <v>MC78PC28NTRG</v>
      </c>
      <c r="B9835" s="3" t="str">
        <f>HYPERLINK("https://www.773grp.com/manufacturer/onsemi?pageNo=398", "Onsemi")</f>
        <v>Onsemi</v>
      </c>
      <c r="C9835" s="6">
        <v>8690</v>
      </c>
      <c r="D9835" s="7">
        <v>1.1100000000000001</v>
      </c>
      <c r="E9835" t="s">
        <v>15</v>
      </c>
    </row>
    <row r="9836" spans="1:5" x14ac:dyDescent="0.25">
      <c r="A9836" t="str">
        <f>HYPERLINK("https://www.773grp.com/globalSearch/MC78PC30NTRG/page-1", "MC78PC30NTRG")</f>
        <v>MC78PC30NTRG</v>
      </c>
      <c r="B9836" s="3" t="str">
        <f>HYPERLINK("https://www.773grp.com/manufacturer/onsemi?pageNo=399", "Onsemi")</f>
        <v>Onsemi</v>
      </c>
      <c r="C9836" s="6">
        <v>157758</v>
      </c>
      <c r="D9836" s="7">
        <v>1.1100000000000001</v>
      </c>
      <c r="E9836" t="s">
        <v>15</v>
      </c>
    </row>
    <row r="9837" spans="1:5" x14ac:dyDescent="0.25">
      <c r="A9837" t="str">
        <f>HYPERLINK("https://www.773grp.com/globalSearch/MC78PC33NTRG/page-1", "MC78PC33NTRG")</f>
        <v>MC78PC33NTRG</v>
      </c>
      <c r="B9837" s="3" t="str">
        <f>HYPERLINK("https://www.773grp.com/manufacturer/onsemi?pageNo=400", "Onsemi")</f>
        <v>Onsemi</v>
      </c>
      <c r="C9837" s="6">
        <v>274728</v>
      </c>
      <c r="D9837" s="7">
        <v>1.1100000000000001</v>
      </c>
      <c r="E9837" t="s">
        <v>15</v>
      </c>
    </row>
    <row r="9838" spans="1:5" x14ac:dyDescent="0.25">
      <c r="A9838" t="str">
        <f>HYPERLINK("https://www.773grp.com/globalSearch/MC78PC50NTRG/page-1", "MC78PC50NTRG")</f>
        <v>MC78PC50NTRG</v>
      </c>
      <c r="B9838" s="3" t="str">
        <f>HYPERLINK("https://www.773grp.com/manufacturer/onsemi?pageNo=401", "Onsemi")</f>
        <v>Onsemi</v>
      </c>
      <c r="C9838" s="6">
        <v>2730</v>
      </c>
      <c r="D9838" s="7">
        <v>1.1100000000000001</v>
      </c>
      <c r="E9838" t="s">
        <v>15</v>
      </c>
    </row>
    <row r="9839" spans="1:5" x14ac:dyDescent="0.25">
      <c r="A9839" t="str">
        <f>HYPERLINK("https://www.773grp.com/globalSearch/MC79M05BDTG/page-1", "MC79M05BDTG")</f>
        <v>MC79M05BDTG</v>
      </c>
      <c r="B9839" s="3" t="str">
        <f>HYPERLINK("https://www.773grp.com/manufacturer/onsemi?pageNo=402", "Onsemi")</f>
        <v>Onsemi</v>
      </c>
      <c r="C9839" s="6">
        <v>29560</v>
      </c>
      <c r="D9839" s="7">
        <v>1.1100000000000001</v>
      </c>
      <c r="E9839" t="s">
        <v>53</v>
      </c>
    </row>
    <row r="9840" spans="1:5" x14ac:dyDescent="0.25">
      <c r="A9840" t="str">
        <f>HYPERLINK("https://www.773grp.com/globalSearch/MC79M05BDTRK/page-1", "MC79M05BDTRK")</f>
        <v>MC79M05BDTRK</v>
      </c>
      <c r="B9840" s="3" t="str">
        <f>HYPERLINK("https://www.773grp.com/manufacturer/onsemi?pageNo=403", "Onsemi")</f>
        <v>Onsemi</v>
      </c>
      <c r="C9840" s="6">
        <v>2500</v>
      </c>
      <c r="D9840" s="7">
        <v>1.1100000000000001</v>
      </c>
      <c r="E9840" t="s">
        <v>53</v>
      </c>
    </row>
    <row r="9841" spans="1:5" x14ac:dyDescent="0.25">
      <c r="A9841" t="str">
        <f>HYPERLINK("https://www.773grp.com/globalSearch/MC79M05BDTRKG/page-1", "MC79M05BDTRKG")</f>
        <v>MC79M05BDTRKG</v>
      </c>
      <c r="B9841" s="3" t="str">
        <f>HYPERLINK("https://www.773grp.com/manufacturer/onsemi?pageNo=404", "Onsemi")</f>
        <v>Onsemi</v>
      </c>
      <c r="C9841" s="6">
        <v>55000</v>
      </c>
      <c r="D9841" s="7">
        <v>1.1100000000000001</v>
      </c>
      <c r="E9841" t="s">
        <v>53</v>
      </c>
    </row>
    <row r="9842" spans="1:5" x14ac:dyDescent="0.25">
      <c r="A9842" t="str">
        <f>HYPERLINK("https://www.773grp.com/globalSearch/MC79M08BDTG/page-1", "MC79M08BDTG")</f>
        <v>MC79M08BDTG</v>
      </c>
      <c r="B9842" s="3" t="str">
        <f>HYPERLINK("https://www.773grp.com/manufacturer/onsemi?pageNo=405", "Onsemi")</f>
        <v>Onsemi</v>
      </c>
      <c r="C9842" s="6">
        <v>1700</v>
      </c>
      <c r="D9842" s="7">
        <v>1.1100000000000001</v>
      </c>
    </row>
    <row r="9843" spans="1:5" x14ac:dyDescent="0.25">
      <c r="A9843" t="str">
        <f>HYPERLINK("https://www.773grp.com/globalSearch/MC79M08BDTRKG/page-1", "MC79M08BDTRKG")</f>
        <v>MC79M08BDTRKG</v>
      </c>
      <c r="B9843" s="3" t="str">
        <f>HYPERLINK("https://www.773grp.com/manufacturer/onsemi?pageNo=406", "Onsemi")</f>
        <v>Onsemi</v>
      </c>
      <c r="C9843" s="6">
        <v>5000</v>
      </c>
      <c r="D9843" s="7">
        <v>1.1100000000000001</v>
      </c>
    </row>
    <row r="9844" spans="1:5" x14ac:dyDescent="0.25">
      <c r="A9844" t="str">
        <f>HYPERLINK("https://www.773grp.com/globalSearch/MC79M12BDTG/page-1", "MC79M12BDTG")</f>
        <v>MC79M12BDTG</v>
      </c>
      <c r="B9844" s="3" t="str">
        <f>HYPERLINK("https://www.773grp.com/manufacturer/onsemi?pageNo=407", "Onsemi")</f>
        <v>Onsemi</v>
      </c>
      <c r="C9844" s="6">
        <v>9799</v>
      </c>
      <c r="D9844" s="7">
        <v>1.1100000000000001</v>
      </c>
      <c r="E9844" t="s">
        <v>53</v>
      </c>
    </row>
    <row r="9845" spans="1:5" x14ac:dyDescent="0.25">
      <c r="A9845" t="str">
        <f>HYPERLINK("https://www.773grp.com/globalSearch/MC79M12BDTRKG/page-1", "MC79M12BDTRKG")</f>
        <v>MC79M12BDTRKG</v>
      </c>
      <c r="B9845" s="3" t="str">
        <f>HYPERLINK("https://www.773grp.com/manufacturer/onsemi?pageNo=408", "Onsemi")</f>
        <v>Onsemi</v>
      </c>
      <c r="C9845" s="6">
        <v>8574</v>
      </c>
      <c r="D9845" s="7">
        <v>1.1100000000000001</v>
      </c>
      <c r="E9845" t="s">
        <v>53</v>
      </c>
    </row>
    <row r="9846" spans="1:5" x14ac:dyDescent="0.25">
      <c r="A9846" t="str">
        <f>HYPERLINK("https://www.773grp.com/globalSearch/MC79M15BDTG/page-1", "MC79M15BDTG")</f>
        <v>MC79M15BDTG</v>
      </c>
      <c r="B9846" s="3" t="str">
        <f>HYPERLINK("https://www.773grp.com/manufacturer/onsemi?pageNo=409", "Onsemi")</f>
        <v>Onsemi</v>
      </c>
      <c r="C9846" s="6">
        <v>2370</v>
      </c>
      <c r="D9846" s="7">
        <v>1.1100000000000001</v>
      </c>
      <c r="E9846" t="s">
        <v>53</v>
      </c>
    </row>
    <row r="9847" spans="1:5" x14ac:dyDescent="0.25">
      <c r="A9847" t="str">
        <f>HYPERLINK("https://www.773grp.com/globalSearch/MC79M15BDTRKG/page-1", "MC79M15BDTRKG")</f>
        <v>MC79M15BDTRKG</v>
      </c>
      <c r="B9847" s="3" t="str">
        <f>HYPERLINK("https://www.773grp.com/manufacturer/onsemi?pageNo=410", "Onsemi")</f>
        <v>Onsemi</v>
      </c>
      <c r="C9847" s="6">
        <v>49841</v>
      </c>
      <c r="D9847" s="7">
        <v>1.1100000000000001</v>
      </c>
      <c r="E9847" t="s">
        <v>53</v>
      </c>
    </row>
    <row r="9848" spans="1:5" x14ac:dyDescent="0.25">
      <c r="A9848" t="str">
        <f>HYPERLINK("https://www.773grp.com/globalSearch/MJD47G/page-1", "MJD47G")</f>
        <v>MJD47G</v>
      </c>
      <c r="B9848" s="3" t="str">
        <f>HYPERLINK("https://www.773grp.com/manufacturer/onsemi?pageNo=411", "Onsemi")</f>
        <v>Onsemi</v>
      </c>
      <c r="C9848" s="6">
        <v>17250</v>
      </c>
      <c r="D9848" s="7">
        <v>1.1100000000000001</v>
      </c>
      <c r="E9848" t="s">
        <v>47</v>
      </c>
    </row>
    <row r="9849" spans="1:5" x14ac:dyDescent="0.25">
      <c r="A9849" t="str">
        <f>HYPERLINK("https://www.773grp.com/globalSearch/MJD47T4G/page-1", "MJD47T4G")</f>
        <v>MJD47T4G</v>
      </c>
      <c r="B9849" s="3" t="str">
        <f>HYPERLINK("https://www.773grp.com/manufacturer/onsemi?pageNo=412", "Onsemi")</f>
        <v>Onsemi</v>
      </c>
      <c r="C9849" s="6">
        <v>12500</v>
      </c>
      <c r="D9849" s="7">
        <v>1.1100000000000001</v>
      </c>
    </row>
    <row r="9850" spans="1:5" x14ac:dyDescent="0.25">
      <c r="A9850" t="str">
        <f>HYPERLINK("https://www.773grp.com/globalSearch/MJD50G/page-1", "MJD50G")</f>
        <v>MJD50G</v>
      </c>
      <c r="B9850" s="3" t="str">
        <f>HYPERLINK("https://www.773grp.com/manufacturer/onsemi?pageNo=413", "Onsemi")</f>
        <v>Onsemi</v>
      </c>
      <c r="C9850" s="6">
        <v>2150</v>
      </c>
      <c r="D9850" s="7">
        <v>1.1100000000000001</v>
      </c>
    </row>
    <row r="9851" spans="1:5" x14ac:dyDescent="0.25">
      <c r="A9851" t="str">
        <f>HYPERLINK("https://www.773grp.com/globalSearch/MJD50T4G/page-1", "MJD50T4G")</f>
        <v>MJD50T4G</v>
      </c>
      <c r="B9851" s="3" t="str">
        <f>HYPERLINK("https://www.773grp.com/manufacturer/onsemi?pageNo=414", "Onsemi")</f>
        <v>Onsemi</v>
      </c>
      <c r="C9851" s="6">
        <v>30000</v>
      </c>
      <c r="D9851" s="7">
        <v>1.1100000000000001</v>
      </c>
      <c r="E9851" t="s">
        <v>47</v>
      </c>
    </row>
    <row r="9852" spans="1:5" x14ac:dyDescent="0.25">
      <c r="A9852" t="str">
        <f>HYPERLINK("https://www.773grp.com/globalSearch/MJD5731T4/page-1", "MJD5731T4")</f>
        <v>MJD5731T4</v>
      </c>
      <c r="B9852" s="3" t="str">
        <f>HYPERLINK("https://www.773grp.com/manufacturer/onsemi?pageNo=415", "Onsemi")</f>
        <v>Onsemi</v>
      </c>
      <c r="C9852" s="6">
        <v>2500</v>
      </c>
      <c r="D9852" s="7">
        <v>1.1100000000000001</v>
      </c>
      <c r="E9852" t="s">
        <v>47</v>
      </c>
    </row>
    <row r="9853" spans="1:5" x14ac:dyDescent="0.25">
      <c r="A9853" t="str">
        <f>HYPERLINK("https://www.773grp.com/globalSearch/MMDF1300R2/page-1", "MMDF1300R2")</f>
        <v>MMDF1300R2</v>
      </c>
      <c r="B9853" s="3" t="str">
        <f>HYPERLINK("https://www.773grp.com/manufacturer/onsemi?pageNo=416", "Onsemi")</f>
        <v>Onsemi</v>
      </c>
      <c r="C9853" s="6">
        <v>132280</v>
      </c>
      <c r="D9853" s="7">
        <v>1.1100000000000001</v>
      </c>
      <c r="E9853" t="s">
        <v>84</v>
      </c>
    </row>
    <row r="9854" spans="1:5" x14ac:dyDescent="0.25">
      <c r="A9854" t="str">
        <f>HYPERLINK("https://www.773grp.com/globalSearch/MTD5P06VT4G/page-1", "MTD5P06VT4G")</f>
        <v>MTD5P06VT4G</v>
      </c>
      <c r="B9854" s="3" t="str">
        <f>HYPERLINK("https://www.773grp.com/manufacturer/onsemi?pageNo=417", "Onsemi")</f>
        <v>Onsemi</v>
      </c>
      <c r="C9854" s="6">
        <v>2500</v>
      </c>
      <c r="D9854" s="7">
        <v>1.1100000000000001</v>
      </c>
    </row>
    <row r="9855" spans="1:5" x14ac:dyDescent="0.25">
      <c r="A9855" t="str">
        <f>HYPERLINK("https://www.773grp.com/globalSearch/MTD5P06VT4GV/page-1", "MTD5P06VT4GV")</f>
        <v>MTD5P06VT4GV</v>
      </c>
      <c r="B9855" s="3" t="str">
        <f>HYPERLINK("https://www.773grp.com/manufacturer/onsemi?pageNo=418", "Onsemi")</f>
        <v>Onsemi</v>
      </c>
      <c r="C9855" s="6">
        <v>2500</v>
      </c>
      <c r="D9855" s="7">
        <v>1.1100000000000001</v>
      </c>
    </row>
    <row r="9856" spans="1:5" x14ac:dyDescent="0.25">
      <c r="A9856" t="str">
        <f>HYPERLINK("https://www.773grp.com/globalSearch/MUR810/page-1", "MUR810")</f>
        <v>MUR810</v>
      </c>
      <c r="B9856" s="3" t="str">
        <f>HYPERLINK("https://www.773grp.com/manufacturer/onsemi?pageNo=419", "Onsemi")</f>
        <v>Onsemi</v>
      </c>
      <c r="C9856" s="6">
        <v>242</v>
      </c>
      <c r="D9856" s="7">
        <v>1.1100000000000001</v>
      </c>
      <c r="E9856" t="s">
        <v>82</v>
      </c>
    </row>
    <row r="9857" spans="1:5" x14ac:dyDescent="0.25">
      <c r="A9857" t="str">
        <f>HYPERLINK("https://www.773grp.com/globalSearch/MURD320T4G/page-1", "MURD320T4G")</f>
        <v>MURD320T4G</v>
      </c>
      <c r="B9857" s="3" t="str">
        <f>HYPERLINK("https://www.773grp.com/manufacturer/onsemi?pageNo=420", "Onsemi")</f>
        <v>Onsemi</v>
      </c>
      <c r="C9857" s="6">
        <v>42500</v>
      </c>
      <c r="D9857" s="7">
        <v>1.1100000000000001</v>
      </c>
      <c r="E9857" t="s">
        <v>82</v>
      </c>
    </row>
    <row r="9858" spans="1:5" x14ac:dyDescent="0.25">
      <c r="A9858" t="str">
        <f>HYPERLINK("https://www.773grp.com/globalSearch/NCP1012ST130T3/page-1", "NCP1012ST130T3")</f>
        <v>NCP1012ST130T3</v>
      </c>
      <c r="B9858" s="3" t="str">
        <f>HYPERLINK("https://www.773grp.com/manufacturer/onsemi?pageNo=421", "Onsemi")</f>
        <v>Onsemi</v>
      </c>
      <c r="C9858" s="6">
        <v>4000</v>
      </c>
      <c r="D9858" s="7">
        <v>1.1100000000000001</v>
      </c>
      <c r="E9858" t="s">
        <v>5</v>
      </c>
    </row>
    <row r="9859" spans="1:5" x14ac:dyDescent="0.25">
      <c r="A9859" t="str">
        <f>HYPERLINK("https://www.773grp.com/globalSearch/NCP1050P100/page-1", "NCP1050P100")</f>
        <v>NCP1050P100</v>
      </c>
      <c r="B9859" s="3" t="str">
        <f>HYPERLINK("https://www.773grp.com/manufacturer/onsemi?pageNo=422", "Onsemi")</f>
        <v>Onsemi</v>
      </c>
      <c r="C9859" s="6">
        <v>105800</v>
      </c>
      <c r="D9859" s="7">
        <v>1.1100000000000001</v>
      </c>
      <c r="E9859" t="s">
        <v>5</v>
      </c>
    </row>
    <row r="9860" spans="1:5" x14ac:dyDescent="0.25">
      <c r="A9860" t="str">
        <f>HYPERLINK("https://www.773grp.com/globalSearch/NCP1050P136/page-1", "NCP1050P136")</f>
        <v>NCP1050P136</v>
      </c>
      <c r="B9860" s="3" t="str">
        <f>HYPERLINK("https://www.773grp.com/manufacturer/onsemi?pageNo=423", "Onsemi")</f>
        <v>Onsemi</v>
      </c>
      <c r="C9860" s="6">
        <v>2985</v>
      </c>
      <c r="D9860" s="7">
        <v>1.1100000000000001</v>
      </c>
      <c r="E9860" t="s">
        <v>5</v>
      </c>
    </row>
    <row r="9861" spans="1:5" x14ac:dyDescent="0.25">
      <c r="A9861" t="str">
        <f>HYPERLINK("https://www.773grp.com/globalSearch/NCP1050P44/page-1", "NCP1050P44")</f>
        <v>NCP1050P44</v>
      </c>
      <c r="B9861" s="3" t="str">
        <f>HYPERLINK("https://www.773grp.com/manufacturer/onsemi?pageNo=424", "Onsemi")</f>
        <v>Onsemi</v>
      </c>
      <c r="C9861" s="6">
        <v>3000</v>
      </c>
      <c r="D9861" s="7">
        <v>1.1100000000000001</v>
      </c>
      <c r="E9861" t="s">
        <v>5</v>
      </c>
    </row>
    <row r="9862" spans="1:5" x14ac:dyDescent="0.25">
      <c r="A9862" t="str">
        <f>HYPERLINK("https://www.773grp.com/globalSearch/NCP1051P44/page-1", "NCP1051P44")</f>
        <v>NCP1051P44</v>
      </c>
      <c r="B9862" s="3" t="str">
        <f>HYPERLINK("https://www.773grp.com/manufacturer/onsemi?pageNo=425", "Onsemi")</f>
        <v>Onsemi</v>
      </c>
      <c r="C9862" s="6">
        <v>93</v>
      </c>
      <c r="D9862" s="7">
        <v>1.1100000000000001</v>
      </c>
      <c r="E9862" t="s">
        <v>5</v>
      </c>
    </row>
    <row r="9863" spans="1:5" x14ac:dyDescent="0.25">
      <c r="A9863" t="str">
        <f>HYPERLINK("https://www.773grp.com/globalSearch/NCP1052P136/page-1", "NCP1052P136")</f>
        <v>NCP1052P136</v>
      </c>
      <c r="B9863" s="3" t="str">
        <f>HYPERLINK("https://www.773grp.com/manufacturer/onsemi?pageNo=426", "Onsemi")</f>
        <v>Onsemi</v>
      </c>
      <c r="C9863" s="6">
        <v>9000</v>
      </c>
      <c r="D9863" s="7">
        <v>1.1100000000000001</v>
      </c>
      <c r="E9863" t="s">
        <v>5</v>
      </c>
    </row>
    <row r="9864" spans="1:5" x14ac:dyDescent="0.25">
      <c r="A9864" t="str">
        <f>HYPERLINK("https://www.773grp.com/globalSearch/NCP1052P44/page-1", "NCP1052P44")</f>
        <v>NCP1052P44</v>
      </c>
      <c r="B9864" s="3" t="str">
        <f>HYPERLINK("https://www.773grp.com/manufacturer/onsemi?pageNo=427", "Onsemi")</f>
        <v>Onsemi</v>
      </c>
      <c r="C9864" s="6">
        <v>5900</v>
      </c>
      <c r="D9864" s="7">
        <v>1.1100000000000001</v>
      </c>
      <c r="E9864" t="s">
        <v>5</v>
      </c>
    </row>
    <row r="9865" spans="1:5" x14ac:dyDescent="0.25">
      <c r="A9865" t="str">
        <f>HYPERLINK("https://www.773grp.com/globalSearch/NCP1086T-ADJ/page-1", "NCP1086T-ADJ")</f>
        <v>NCP1086T-ADJ</v>
      </c>
      <c r="B9865" s="3" t="str">
        <f>HYPERLINK("https://www.773grp.com/manufacturer/onsemi?pageNo=428", "Onsemi")</f>
        <v>Onsemi</v>
      </c>
      <c r="C9865" s="6">
        <v>18411</v>
      </c>
      <c r="D9865" s="7">
        <v>1.1100000000000001</v>
      </c>
      <c r="E9865" t="s">
        <v>21</v>
      </c>
    </row>
    <row r="9866" spans="1:5" x14ac:dyDescent="0.25">
      <c r="A9866" t="str">
        <f>HYPERLINK("https://www.773grp.com/globalSearch/NCP1117DT12G/page-1", "NCP1117DT12G")</f>
        <v>NCP1117DT12G</v>
      </c>
      <c r="B9866" s="3" t="str">
        <f>HYPERLINK("https://www.773grp.com/manufacturer/onsemi?pageNo=429", "Onsemi")</f>
        <v>Onsemi</v>
      </c>
      <c r="C9866" s="6">
        <v>3200</v>
      </c>
      <c r="D9866" s="7">
        <v>1.1100000000000001</v>
      </c>
      <c r="E9866" t="s">
        <v>15</v>
      </c>
    </row>
    <row r="9867" spans="1:5" x14ac:dyDescent="0.25">
      <c r="A9867" t="str">
        <f>HYPERLINK("https://www.773grp.com/globalSearch/NCP1117DT12RKG/page-1", "NCP1117DT12RKG")</f>
        <v>NCP1117DT12RKG</v>
      </c>
      <c r="B9867" s="3" t="str">
        <f>HYPERLINK("https://www.773grp.com/manufacturer/onsemi?pageNo=430", "Onsemi")</f>
        <v>Onsemi</v>
      </c>
      <c r="C9867" s="6">
        <v>1876</v>
      </c>
      <c r="D9867" s="7">
        <v>1.1100000000000001</v>
      </c>
      <c r="E9867" t="s">
        <v>15</v>
      </c>
    </row>
    <row r="9868" spans="1:5" x14ac:dyDescent="0.25">
      <c r="A9868" t="str">
        <f>HYPERLINK("https://www.773grp.com/globalSearch/NCP1117DT15G/page-1", "NCP1117DT15G")</f>
        <v>NCP1117DT15G</v>
      </c>
      <c r="B9868" s="3" t="str">
        <f>HYPERLINK("https://www.773grp.com/manufacturer/onsemi?pageNo=431", "Onsemi")</f>
        <v>Onsemi</v>
      </c>
      <c r="C9868" s="6">
        <v>7475</v>
      </c>
      <c r="D9868" s="7">
        <v>1.1100000000000001</v>
      </c>
      <c r="E9868" t="s">
        <v>15</v>
      </c>
    </row>
    <row r="9869" spans="1:5" x14ac:dyDescent="0.25">
      <c r="A9869" t="str">
        <f>HYPERLINK("https://www.773grp.com/globalSearch/NCP1117DT15RKG/page-1", "NCP1117DT15RKG")</f>
        <v>NCP1117DT15RKG</v>
      </c>
      <c r="B9869" s="3" t="str">
        <f>HYPERLINK("https://www.773grp.com/manufacturer/onsemi?pageNo=432", "Onsemi")</f>
        <v>Onsemi</v>
      </c>
      <c r="C9869" s="6">
        <v>65260</v>
      </c>
      <c r="D9869" s="7">
        <v>1.1100000000000001</v>
      </c>
      <c r="E9869" t="s">
        <v>15</v>
      </c>
    </row>
    <row r="9870" spans="1:5" x14ac:dyDescent="0.25">
      <c r="A9870" t="str">
        <f>HYPERLINK("https://www.773grp.com/globalSearch/NCP1117DT18G/page-1", "NCP1117DT18G")</f>
        <v>NCP1117DT18G</v>
      </c>
      <c r="B9870" s="3" t="str">
        <f>HYPERLINK("https://www.773grp.com/manufacturer/onsemi?pageNo=433", "Onsemi")</f>
        <v>Onsemi</v>
      </c>
      <c r="C9870" s="6">
        <v>4887</v>
      </c>
      <c r="D9870" s="7">
        <v>1.1100000000000001</v>
      </c>
      <c r="E9870" t="s">
        <v>15</v>
      </c>
    </row>
    <row r="9871" spans="1:5" x14ac:dyDescent="0.25">
      <c r="A9871" t="str">
        <f>HYPERLINK("https://www.773grp.com/globalSearch/NCP1117DT18RKG/page-1", "NCP1117DT18RKG")</f>
        <v>NCP1117DT18RKG</v>
      </c>
      <c r="B9871" s="3" t="str">
        <f>HYPERLINK("https://www.773grp.com/manufacturer/onsemi?pageNo=434", "Onsemi")</f>
        <v>Onsemi</v>
      </c>
      <c r="C9871" s="6">
        <v>18086</v>
      </c>
      <c r="D9871" s="7">
        <v>1.1100000000000001</v>
      </c>
      <c r="E9871" t="s">
        <v>15</v>
      </c>
    </row>
    <row r="9872" spans="1:5" x14ac:dyDescent="0.25">
      <c r="A9872" t="str">
        <f>HYPERLINK("https://www.773grp.com/globalSearch/NCP1117DT18T5G/page-1", "NCP1117DT18T5G")</f>
        <v>NCP1117DT18T5G</v>
      </c>
      <c r="B9872" s="3" t="str">
        <f>HYPERLINK("https://www.773grp.com/manufacturer/onsemi?pageNo=435", "Onsemi")</f>
        <v>Onsemi</v>
      </c>
      <c r="C9872" s="6">
        <v>20554</v>
      </c>
      <c r="D9872" s="7">
        <v>1.1100000000000001</v>
      </c>
    </row>
    <row r="9873" spans="1:5" x14ac:dyDescent="0.25">
      <c r="A9873" t="str">
        <f>HYPERLINK("https://www.773grp.com/globalSearch/NCP1117DT20G/page-1", "NCP1117DT20G")</f>
        <v>NCP1117DT20G</v>
      </c>
      <c r="B9873" s="3" t="str">
        <f>HYPERLINK("https://www.773grp.com/manufacturer/onsemi?pageNo=436", "Onsemi")</f>
        <v>Onsemi</v>
      </c>
      <c r="C9873" s="6">
        <v>1350</v>
      </c>
      <c r="D9873" s="7">
        <v>1.1100000000000001</v>
      </c>
      <c r="E9873" t="s">
        <v>15</v>
      </c>
    </row>
    <row r="9874" spans="1:5" x14ac:dyDescent="0.25">
      <c r="A9874" t="str">
        <f>HYPERLINK("https://www.773grp.com/globalSearch/NCP1117DT20RKG/page-1", "NCP1117DT20RKG")</f>
        <v>NCP1117DT20RKG</v>
      </c>
      <c r="B9874" s="3" t="str">
        <f>HYPERLINK("https://www.773grp.com/manufacturer/onsemi?pageNo=437", "Onsemi")</f>
        <v>Onsemi</v>
      </c>
      <c r="C9874" s="6">
        <v>29391</v>
      </c>
      <c r="D9874" s="7">
        <v>1.1100000000000001</v>
      </c>
      <c r="E9874" t="s">
        <v>15</v>
      </c>
    </row>
    <row r="9875" spans="1:5" x14ac:dyDescent="0.25">
      <c r="A9875" t="str">
        <f>HYPERLINK("https://www.773grp.com/globalSearch/NCP1117DT25G/page-1", "NCP1117DT25G")</f>
        <v>NCP1117DT25G</v>
      </c>
      <c r="B9875" s="3" t="str">
        <f>HYPERLINK("https://www.773grp.com/manufacturer/onsemi?pageNo=438", "Onsemi")</f>
        <v>Onsemi</v>
      </c>
      <c r="C9875" s="6">
        <v>26928</v>
      </c>
      <c r="D9875" s="7">
        <v>1.1100000000000001</v>
      </c>
      <c r="E9875" t="s">
        <v>15</v>
      </c>
    </row>
    <row r="9876" spans="1:5" x14ac:dyDescent="0.25">
      <c r="A9876" t="str">
        <f>HYPERLINK("https://www.773grp.com/globalSearch/NCP1117DT25RKG/page-1", "NCP1117DT25RKG")</f>
        <v>NCP1117DT25RKG</v>
      </c>
      <c r="B9876" s="3" t="str">
        <f>HYPERLINK("https://www.773grp.com/manufacturer/onsemi?pageNo=439", "Onsemi")</f>
        <v>Onsemi</v>
      </c>
      <c r="C9876" s="6">
        <v>272493</v>
      </c>
      <c r="D9876" s="7">
        <v>1.1100000000000001</v>
      </c>
      <c r="E9876" t="s">
        <v>15</v>
      </c>
    </row>
    <row r="9877" spans="1:5" x14ac:dyDescent="0.25">
      <c r="A9877" t="str">
        <f>HYPERLINK("https://www.773grp.com/globalSearch/NCP1117DT285G/page-1", "NCP1117DT285G")</f>
        <v>NCP1117DT285G</v>
      </c>
      <c r="B9877" s="3" t="str">
        <f>HYPERLINK("https://www.773grp.com/manufacturer/onsemi?pageNo=440", "Onsemi")</f>
        <v>Onsemi</v>
      </c>
      <c r="C9877" s="6">
        <v>296</v>
      </c>
      <c r="D9877" s="7">
        <v>1.1100000000000001</v>
      </c>
      <c r="E9877" t="s">
        <v>15</v>
      </c>
    </row>
    <row r="9878" spans="1:5" x14ac:dyDescent="0.25">
      <c r="A9878" t="str">
        <f>HYPERLINK("https://www.773grp.com/globalSearch/NCP1117DT285RKG/page-1", "NCP1117DT285RKG")</f>
        <v>NCP1117DT285RKG</v>
      </c>
      <c r="B9878" s="3" t="str">
        <f>HYPERLINK("https://www.773grp.com/manufacturer/onsemi?pageNo=441", "Onsemi")</f>
        <v>Onsemi</v>
      </c>
      <c r="C9878" s="6">
        <v>7234</v>
      </c>
      <c r="D9878" s="7">
        <v>1.1100000000000001</v>
      </c>
      <c r="E9878" t="s">
        <v>15</v>
      </c>
    </row>
    <row r="9879" spans="1:5" x14ac:dyDescent="0.25">
      <c r="A9879" t="str">
        <f>HYPERLINK("https://www.773grp.com/globalSearch/NCP1117DT33G/page-1", "NCP1117DT33G")</f>
        <v>NCP1117DT33G</v>
      </c>
      <c r="B9879" s="3" t="str">
        <f>HYPERLINK("https://www.773grp.com/manufacturer/onsemi?pageNo=442", "Onsemi")</f>
        <v>Onsemi</v>
      </c>
      <c r="C9879" s="6">
        <v>6595</v>
      </c>
      <c r="D9879" s="7">
        <v>1.1100000000000001</v>
      </c>
      <c r="E9879" t="s">
        <v>15</v>
      </c>
    </row>
    <row r="9880" spans="1:5" x14ac:dyDescent="0.25">
      <c r="A9880" t="str">
        <f>HYPERLINK("https://www.773grp.com/globalSearch/NCP1117DT33RKG/page-1", "NCP1117DT33RKG")</f>
        <v>NCP1117DT33RKG</v>
      </c>
      <c r="B9880" s="3" t="str">
        <f>HYPERLINK("https://www.773grp.com/manufacturer/onsemi?pageNo=443", "Onsemi")</f>
        <v>Onsemi</v>
      </c>
      <c r="C9880" s="6">
        <v>76101</v>
      </c>
      <c r="D9880" s="7">
        <v>1.1100000000000001</v>
      </c>
      <c r="E9880" t="s">
        <v>15</v>
      </c>
    </row>
    <row r="9881" spans="1:5" x14ac:dyDescent="0.25">
      <c r="A9881" t="str">
        <f>HYPERLINK("https://www.773grp.com/globalSearch/NCP1117DT33T5G/page-1", "NCP1117DT33T5G")</f>
        <v>NCP1117DT33T5G</v>
      </c>
      <c r="B9881" s="3" t="str">
        <f>HYPERLINK("https://www.773grp.com/manufacturer/onsemi?pageNo=444", "Onsemi")</f>
        <v>Onsemi</v>
      </c>
      <c r="C9881" s="6">
        <v>136421</v>
      </c>
      <c r="D9881" s="7">
        <v>1.1100000000000001</v>
      </c>
      <c r="E9881" t="s">
        <v>15</v>
      </c>
    </row>
    <row r="9882" spans="1:5" x14ac:dyDescent="0.25">
      <c r="A9882" t="str">
        <f>HYPERLINK("https://www.773grp.com/globalSearch/NCP1117DT50RKG/page-1", "NCP1117DT50RKG")</f>
        <v>NCP1117DT50RKG</v>
      </c>
      <c r="B9882" s="3" t="str">
        <f>HYPERLINK("https://www.773grp.com/manufacturer/onsemi?pageNo=445", "Onsemi")</f>
        <v>Onsemi</v>
      </c>
      <c r="C9882" s="6">
        <v>162349</v>
      </c>
      <c r="D9882" s="7">
        <v>1.1100000000000001</v>
      </c>
    </row>
    <row r="9883" spans="1:5" x14ac:dyDescent="0.25">
      <c r="A9883" t="str">
        <f>HYPERLINK("https://www.773grp.com/globalSearch/NCP1117DTAG/page-1", "NCP1117DTAG")</f>
        <v>NCP1117DTAG</v>
      </c>
      <c r="B9883" s="3" t="str">
        <f>HYPERLINK("https://www.773grp.com/manufacturer/onsemi?pageNo=446", "Onsemi")</f>
        <v>Onsemi</v>
      </c>
      <c r="C9883" s="6">
        <v>2980</v>
      </c>
      <c r="D9883" s="7">
        <v>1.1100000000000001</v>
      </c>
      <c r="E9883" t="s">
        <v>21</v>
      </c>
    </row>
    <row r="9884" spans="1:5" x14ac:dyDescent="0.25">
      <c r="A9884" t="str">
        <f>HYPERLINK("https://www.773grp.com/globalSearch/NCP1117DTARKG/page-1", "NCP1117DTARKG")</f>
        <v>NCP1117DTARKG</v>
      </c>
      <c r="B9884" s="3" t="str">
        <f>HYPERLINK("https://www.773grp.com/manufacturer/onsemi?pageNo=447", "Onsemi")</f>
        <v>Onsemi</v>
      </c>
      <c r="C9884" s="6">
        <v>284517</v>
      </c>
      <c r="D9884" s="7">
        <v>1.1100000000000001</v>
      </c>
      <c r="E9884" t="s">
        <v>21</v>
      </c>
    </row>
    <row r="9885" spans="1:5" x14ac:dyDescent="0.25">
      <c r="A9885" t="str">
        <f>HYPERLINK("https://www.773grp.com/globalSearch/NCP1117DTAT5G/page-1", "NCP1117DTAT5G")</f>
        <v>NCP1117DTAT5G</v>
      </c>
      <c r="B9885" s="3" t="str">
        <f>HYPERLINK("https://www.773grp.com/manufacturer/onsemi?pageNo=448", "Onsemi")</f>
        <v>Onsemi</v>
      </c>
      <c r="C9885" s="6">
        <v>10421</v>
      </c>
      <c r="D9885" s="7">
        <v>1.1100000000000001</v>
      </c>
      <c r="E9885" t="s">
        <v>21</v>
      </c>
    </row>
    <row r="9886" spans="1:5" x14ac:dyDescent="0.25">
      <c r="A9886" t="str">
        <f>HYPERLINK("https://www.773grp.com/globalSearch/NCP1403SNT1/page-1", "NCP1403SNT1")</f>
        <v>NCP1403SNT1</v>
      </c>
      <c r="B9886" s="3" t="str">
        <f>HYPERLINK("https://www.773grp.com/manufacturer/onsemi?pageNo=449", "Onsemi")</f>
        <v>Onsemi</v>
      </c>
      <c r="C9886" s="6">
        <v>4000</v>
      </c>
      <c r="D9886" s="7">
        <v>1.1100000000000001</v>
      </c>
      <c r="E9886" t="s">
        <v>5</v>
      </c>
    </row>
    <row r="9887" spans="1:5" x14ac:dyDescent="0.25">
      <c r="A9887" t="str">
        <f>HYPERLINK("https://www.773grp.com/globalSearch/NCP1521BSNT1G/page-1", "NCP1521BSNT1G")</f>
        <v>NCP1521BSNT1G</v>
      </c>
      <c r="B9887" s="3" t="str">
        <f>HYPERLINK("https://www.773grp.com/manufacturer/onsemi?pageNo=450", "Onsemi")</f>
        <v>Onsemi</v>
      </c>
      <c r="C9887" s="6">
        <v>46221</v>
      </c>
      <c r="D9887" s="7">
        <v>1.1100000000000001</v>
      </c>
      <c r="E9887" t="s">
        <v>5</v>
      </c>
    </row>
    <row r="9888" spans="1:5" x14ac:dyDescent="0.25">
      <c r="A9888" t="str">
        <f>HYPERLINK("https://www.773grp.com/globalSearch/NCP1522BSNT1G/page-1", "NCP1522BSNT1G")</f>
        <v>NCP1522BSNT1G</v>
      </c>
      <c r="B9888" s="3" t="str">
        <f>HYPERLINK("https://www.773grp.com/manufacturer/onsemi?pageNo=451", "Onsemi")</f>
        <v>Onsemi</v>
      </c>
      <c r="C9888" s="6">
        <v>56750</v>
      </c>
      <c r="D9888" s="7">
        <v>1.1100000000000001</v>
      </c>
      <c r="E9888" t="s">
        <v>5</v>
      </c>
    </row>
    <row r="9889" spans="1:5" x14ac:dyDescent="0.25">
      <c r="A9889" t="str">
        <f>HYPERLINK("https://www.773grp.com/globalSearch/NCP2860DM277R2/page-1", "NCP2860DM277R2")</f>
        <v>NCP2860DM277R2</v>
      </c>
      <c r="B9889" s="3" t="str">
        <f>HYPERLINK("https://www.773grp.com/manufacturer/onsemi?pageNo=452", "Onsemi")</f>
        <v>Onsemi</v>
      </c>
      <c r="C9889" s="6">
        <v>11580</v>
      </c>
      <c r="D9889" s="7">
        <v>1.1100000000000001</v>
      </c>
      <c r="E9889" t="s">
        <v>23</v>
      </c>
    </row>
    <row r="9890" spans="1:5" x14ac:dyDescent="0.25">
      <c r="A9890" t="str">
        <f>HYPERLINK("https://www.773grp.com/globalSearch/NCP304LSQ28T1/page-1", "NCP304LSQ28T1")</f>
        <v>NCP304LSQ28T1</v>
      </c>
      <c r="B9890" s="3" t="str">
        <f>HYPERLINK("https://www.773grp.com/manufacturer/onsemi?pageNo=453", "Onsemi")</f>
        <v>Onsemi</v>
      </c>
      <c r="C9890" s="6">
        <v>17550</v>
      </c>
      <c r="D9890" s="7">
        <v>1.1100000000000001</v>
      </c>
      <c r="E9890" t="s">
        <v>26</v>
      </c>
    </row>
    <row r="9891" spans="1:5" x14ac:dyDescent="0.25">
      <c r="A9891" t="str">
        <f>HYPERLINK("https://www.773grp.com/globalSearch/NCP304LSQ34T1/page-1", "NCP304LSQ34T1")</f>
        <v>NCP304LSQ34T1</v>
      </c>
      <c r="B9891" s="3" t="str">
        <f>HYPERLINK("https://www.773grp.com/manufacturer/onsemi?pageNo=454", "Onsemi")</f>
        <v>Onsemi</v>
      </c>
      <c r="C9891" s="6">
        <v>22440</v>
      </c>
      <c r="D9891" s="7">
        <v>1.1100000000000001</v>
      </c>
      <c r="E9891" t="s">
        <v>26</v>
      </c>
    </row>
    <row r="9892" spans="1:5" x14ac:dyDescent="0.25">
      <c r="A9892" t="str">
        <f>HYPERLINK("https://www.773grp.com/globalSearch/NCP3418BMNR2G/page-1", "NCP3418BMNR2G")</f>
        <v>NCP3418BMNR2G</v>
      </c>
      <c r="B9892" s="3" t="str">
        <f>HYPERLINK("https://www.773grp.com/manufacturer/onsemi?pageNo=455", "Onsemi")</f>
        <v>Onsemi</v>
      </c>
      <c r="C9892" s="6">
        <v>94466</v>
      </c>
      <c r="D9892" s="7">
        <v>1.1100000000000001</v>
      </c>
      <c r="E9892" t="s">
        <v>12</v>
      </c>
    </row>
    <row r="9893" spans="1:5" x14ac:dyDescent="0.25">
      <c r="A9893" t="str">
        <f>HYPERLINK("https://www.773grp.com/globalSearch/NCP4300ADG/page-1", "NCP4300ADG")</f>
        <v>NCP4300ADG</v>
      </c>
      <c r="B9893" s="3" t="str">
        <f>HYPERLINK("https://www.773grp.com/manufacturer/onsemi?pageNo=456", "Onsemi")</f>
        <v>Onsemi</v>
      </c>
      <c r="C9893" s="6">
        <v>56</v>
      </c>
      <c r="D9893" s="7">
        <v>1.1100000000000001</v>
      </c>
      <c r="E9893" t="s">
        <v>10</v>
      </c>
    </row>
    <row r="9894" spans="1:5" x14ac:dyDescent="0.25">
      <c r="A9894" t="str">
        <f>HYPERLINK("https://www.773grp.com/globalSearch/NCP4355BDR2G/page-1", "NCP4355BDR2G")</f>
        <v>NCP4355BDR2G</v>
      </c>
      <c r="B9894" s="3" t="str">
        <f>HYPERLINK("https://www.773grp.com/manufacturer/onsemi?pageNo=457", "Onsemi")</f>
        <v>Onsemi</v>
      </c>
      <c r="C9894" s="6">
        <v>10000</v>
      </c>
      <c r="D9894" s="7">
        <v>1.1100000000000001</v>
      </c>
    </row>
    <row r="9895" spans="1:5" x14ac:dyDescent="0.25">
      <c r="A9895" t="str">
        <f>HYPERLINK("https://www.773grp.com/globalSearch/NCP4680DMX10TCG/page-1", "NCP4680DMX10TCG")</f>
        <v>NCP4680DMX10TCG</v>
      </c>
      <c r="B9895" s="3" t="str">
        <f>HYPERLINK("https://www.773grp.com/manufacturer/onsemi?pageNo=458", "Onsemi")</f>
        <v>Onsemi</v>
      </c>
      <c r="C9895" s="6">
        <v>30000</v>
      </c>
      <c r="D9895" s="7">
        <v>1.1100000000000001</v>
      </c>
    </row>
    <row r="9896" spans="1:5" x14ac:dyDescent="0.25">
      <c r="A9896" t="str">
        <f>HYPERLINK("https://www.773grp.com/globalSearch/NCP4680DMX12TCG/page-1", "NCP4680DMX12TCG")</f>
        <v>NCP4680DMX12TCG</v>
      </c>
      <c r="B9896" s="3" t="str">
        <f>HYPERLINK("https://www.773grp.com/manufacturer/onsemi?pageNo=459", "Onsemi")</f>
        <v>Onsemi</v>
      </c>
      <c r="C9896" s="6">
        <v>20000</v>
      </c>
      <c r="D9896" s="7">
        <v>1.1100000000000001</v>
      </c>
    </row>
    <row r="9897" spans="1:5" x14ac:dyDescent="0.25">
      <c r="A9897" t="str">
        <f>HYPERLINK("https://www.773grp.com/globalSearch/NCP4680DMX15TCG/page-1", "NCP4680DMX15TCG")</f>
        <v>NCP4680DMX15TCG</v>
      </c>
      <c r="B9897" s="3" t="str">
        <f>HYPERLINK("https://www.773grp.com/manufacturer/onsemi?pageNo=460", "Onsemi")</f>
        <v>Onsemi</v>
      </c>
      <c r="C9897" s="6">
        <v>10000</v>
      </c>
      <c r="D9897" s="7">
        <v>1.1100000000000001</v>
      </c>
    </row>
    <row r="9898" spans="1:5" x14ac:dyDescent="0.25">
      <c r="A9898" t="str">
        <f>HYPERLINK("https://www.773grp.com/globalSearch/NCP4680DMX18TCG/page-1", "NCP4680DMX18TCG")</f>
        <v>NCP4680DMX18TCG</v>
      </c>
      <c r="B9898" s="3" t="str">
        <f>HYPERLINK("https://www.773grp.com/manufacturer/onsemi?pageNo=461", "Onsemi")</f>
        <v>Onsemi</v>
      </c>
      <c r="C9898" s="6">
        <v>29765</v>
      </c>
      <c r="D9898" s="7">
        <v>1.1100000000000001</v>
      </c>
    </row>
    <row r="9899" spans="1:5" x14ac:dyDescent="0.25">
      <c r="A9899" t="str">
        <f>HYPERLINK("https://www.773grp.com/globalSearch/NCP4680DMX28TCG/page-1", "NCP4680DMX28TCG")</f>
        <v>NCP4680DMX28TCG</v>
      </c>
      <c r="B9899" s="3" t="str">
        <f>HYPERLINK("https://www.773grp.com/manufacturer/onsemi?pageNo=462", "Onsemi")</f>
        <v>Onsemi</v>
      </c>
      <c r="C9899" s="6">
        <v>20000</v>
      </c>
      <c r="D9899" s="7">
        <v>1.1100000000000001</v>
      </c>
    </row>
    <row r="9900" spans="1:5" x14ac:dyDescent="0.25">
      <c r="A9900" t="str">
        <f>HYPERLINK("https://www.773grp.com/globalSearch/NCP4680DMX30TCG/page-1", "NCP4680DMX30TCG")</f>
        <v>NCP4680DMX30TCG</v>
      </c>
      <c r="B9900" s="3" t="str">
        <f>HYPERLINK("https://www.773grp.com/manufacturer/onsemi?pageNo=463", "Onsemi")</f>
        <v>Onsemi</v>
      </c>
      <c r="C9900" s="6">
        <v>20000</v>
      </c>
      <c r="D9900" s="7">
        <v>1.1100000000000001</v>
      </c>
    </row>
    <row r="9901" spans="1:5" x14ac:dyDescent="0.25">
      <c r="A9901" t="str">
        <f>HYPERLINK("https://www.773grp.com/globalSearch/NCP4680DMX33TCG/page-1", "NCP4680DMX33TCG")</f>
        <v>NCP4680DMX33TCG</v>
      </c>
      <c r="B9901" s="3" t="str">
        <f>HYPERLINK("https://www.773grp.com/manufacturer/onsemi?pageNo=464", "Onsemi")</f>
        <v>Onsemi</v>
      </c>
      <c r="C9901" s="6">
        <v>10000</v>
      </c>
      <c r="D9901" s="7">
        <v>1.1100000000000001</v>
      </c>
    </row>
    <row r="9902" spans="1:5" x14ac:dyDescent="0.25">
      <c r="A9902" t="str">
        <f>HYPERLINK("https://www.773grp.com/globalSearch/NCP571MN08TBG/page-1", "NCP571MN08TBG")</f>
        <v>NCP571MN08TBG</v>
      </c>
      <c r="B9902" s="3" t="str">
        <f>HYPERLINK("https://www.773grp.com/manufacturer/onsemi?pageNo=465", "Onsemi")</f>
        <v>Onsemi</v>
      </c>
      <c r="C9902" s="6">
        <v>3000</v>
      </c>
      <c r="D9902" s="7">
        <v>1.1100000000000001</v>
      </c>
    </row>
    <row r="9903" spans="1:5" x14ac:dyDescent="0.25">
      <c r="A9903" t="str">
        <f>HYPERLINK("https://www.773grp.com/globalSearch/NCP571MN09TBG/page-1", "NCP571MN09TBG")</f>
        <v>NCP571MN09TBG</v>
      </c>
      <c r="B9903" s="3" t="str">
        <f>HYPERLINK("https://www.773grp.com/manufacturer/onsemi?pageNo=466", "Onsemi")</f>
        <v>Onsemi</v>
      </c>
      <c r="C9903" s="6">
        <v>7996</v>
      </c>
      <c r="D9903" s="7">
        <v>1.1100000000000001</v>
      </c>
    </row>
    <row r="9904" spans="1:5" x14ac:dyDescent="0.25">
      <c r="A9904" t="str">
        <f>HYPERLINK("https://www.773grp.com/globalSearch/NCP571MN10TBG/page-1", "NCP571MN10TBG")</f>
        <v>NCP571MN10TBG</v>
      </c>
      <c r="B9904" s="3" t="str">
        <f>HYPERLINK("https://www.773grp.com/manufacturer/onsemi?pageNo=467", "Onsemi")</f>
        <v>Onsemi</v>
      </c>
      <c r="C9904" s="6">
        <v>9000</v>
      </c>
      <c r="D9904" s="7">
        <v>1.1100000000000001</v>
      </c>
      <c r="E9904" t="s">
        <v>15</v>
      </c>
    </row>
    <row r="9905" spans="1:5" x14ac:dyDescent="0.25">
      <c r="A9905" t="str">
        <f>HYPERLINK("https://www.773grp.com/globalSearch/NCP571MN12TBG/page-1", "NCP571MN12TBG")</f>
        <v>NCP571MN12TBG</v>
      </c>
      <c r="B9905" s="3" t="str">
        <f>HYPERLINK("https://www.773grp.com/manufacturer/onsemi?pageNo=468", "Onsemi")</f>
        <v>Onsemi</v>
      </c>
      <c r="C9905" s="6">
        <v>10950</v>
      </c>
      <c r="D9905" s="7">
        <v>1.1100000000000001</v>
      </c>
    </row>
    <row r="9906" spans="1:5" x14ac:dyDescent="0.25">
      <c r="A9906" t="str">
        <f>HYPERLINK("https://www.773grp.com/globalSearch/NCP702SN18T1G/page-1", "NCP702SN18T1G")</f>
        <v>NCP702SN18T1G</v>
      </c>
      <c r="B9906" s="3" t="str">
        <f>HYPERLINK("https://www.773grp.com/manufacturer/onsemi?pageNo=469", "Onsemi")</f>
        <v>Onsemi</v>
      </c>
      <c r="C9906" s="6">
        <v>3000</v>
      </c>
      <c r="D9906" s="7">
        <v>1.1100000000000001</v>
      </c>
    </row>
    <row r="9907" spans="1:5" x14ac:dyDescent="0.25">
      <c r="A9907" t="str">
        <f>HYPERLINK("https://www.773grp.com/globalSearch/NCP702SN30T1G/page-1", "NCP702SN30T1G")</f>
        <v>NCP702SN30T1G</v>
      </c>
      <c r="B9907" s="3" t="str">
        <f>HYPERLINK("https://www.773grp.com/manufacturer/onsemi?pageNo=470", "Onsemi")</f>
        <v>Onsemi</v>
      </c>
      <c r="C9907" s="6">
        <v>3000</v>
      </c>
      <c r="D9907" s="7">
        <v>1.1100000000000001</v>
      </c>
    </row>
    <row r="9908" spans="1:5" x14ac:dyDescent="0.25">
      <c r="A9908" t="str">
        <f>HYPERLINK("https://www.773grp.com/globalSearch/NCP702SN33T1G/page-1", "NCP702SN33T1G")</f>
        <v>NCP702SN33T1G</v>
      </c>
      <c r="B9908" s="3" t="str">
        <f>HYPERLINK("https://www.773grp.com/manufacturer/onsemi?pageNo=471", "Onsemi")</f>
        <v>Onsemi</v>
      </c>
      <c r="C9908" s="6">
        <v>3000</v>
      </c>
      <c r="D9908" s="7">
        <v>1.1100000000000001</v>
      </c>
    </row>
    <row r="9909" spans="1:5" x14ac:dyDescent="0.25">
      <c r="A9909" t="str">
        <f>HYPERLINK("https://www.773grp.com/globalSearch/NCP78M06CTG/page-1", "NCP78M06CTG")</f>
        <v>NCP78M06CTG</v>
      </c>
      <c r="B9909" s="3" t="str">
        <f>HYPERLINK("https://www.773grp.com/manufacturer/onsemi?pageNo=472", "Onsemi")</f>
        <v>Onsemi</v>
      </c>
      <c r="C9909" s="6">
        <v>32000</v>
      </c>
      <c r="D9909" s="7">
        <v>1.1100000000000001</v>
      </c>
    </row>
    <row r="9910" spans="1:5" x14ac:dyDescent="0.25">
      <c r="A9910" t="str">
        <f>HYPERLINK("https://www.773grp.com/globalSearch/NCP78M12CTG/page-1", "NCP78M12CTG")</f>
        <v>NCP78M12CTG</v>
      </c>
      <c r="B9910" s="3" t="str">
        <f>HYPERLINK("https://www.773grp.com/manufacturer/onsemi?pageNo=473", "Onsemi")</f>
        <v>Onsemi</v>
      </c>
      <c r="C9910" s="6">
        <v>5000</v>
      </c>
      <c r="D9910" s="7">
        <v>1.1100000000000001</v>
      </c>
    </row>
    <row r="9911" spans="1:5" x14ac:dyDescent="0.25">
      <c r="A9911" t="str">
        <f>HYPERLINK("https://www.773grp.com/globalSearch/NCS7101SN1T1/page-1", "NCS7101SN1T1")</f>
        <v>NCS7101SN1T1</v>
      </c>
      <c r="B9911" s="3" t="str">
        <f>HYPERLINK("https://www.773grp.com/manufacturer/onsemi?pageNo=474", "Onsemi")</f>
        <v>Onsemi</v>
      </c>
      <c r="C9911" s="6">
        <v>155428</v>
      </c>
      <c r="D9911" s="7">
        <v>1.1100000000000001</v>
      </c>
      <c r="E9911" t="s">
        <v>10</v>
      </c>
    </row>
    <row r="9912" spans="1:5" x14ac:dyDescent="0.25">
      <c r="A9912" t="str">
        <f>HYPERLINK("https://www.773grp.com/globalSearch/NCV431AIDMR2G/page-1", "NCV431AIDMR2G")</f>
        <v>NCV431AIDMR2G</v>
      </c>
      <c r="B9912" s="3" t="str">
        <f>HYPERLINK("https://www.773grp.com/manufacturer/onsemi?pageNo=475", "Onsemi")</f>
        <v>Onsemi</v>
      </c>
      <c r="C9912" s="6">
        <v>4905</v>
      </c>
      <c r="D9912" s="7">
        <v>1.1100000000000001</v>
      </c>
    </row>
    <row r="9913" spans="1:5" x14ac:dyDescent="0.25">
      <c r="A9913" t="str">
        <f>HYPERLINK("https://www.773grp.com/globalSearch/NCV431AIDR2G/page-1", "NCV431AIDR2G")</f>
        <v>NCV431AIDR2G</v>
      </c>
      <c r="B9913" s="3" t="str">
        <f>HYPERLINK("https://www.773grp.com/manufacturer/onsemi?pageNo=476", "Onsemi")</f>
        <v>Onsemi</v>
      </c>
      <c r="C9913" s="6">
        <v>14226</v>
      </c>
      <c r="D9913" s="7">
        <v>1.1100000000000001</v>
      </c>
      <c r="E9913" t="s">
        <v>13</v>
      </c>
    </row>
    <row r="9914" spans="1:5" x14ac:dyDescent="0.25">
      <c r="A9914" t="str">
        <f>HYPERLINK("https://www.773grp.com/globalSearch/NCV551SN25T1G/page-1", "NCV551SN25T1G")</f>
        <v>NCV551SN25T1G</v>
      </c>
      <c r="B9914" s="3" t="str">
        <f>HYPERLINK("https://www.773grp.com/manufacturer/onsemi?pageNo=477", "Onsemi")</f>
        <v>Onsemi</v>
      </c>
      <c r="C9914" s="6">
        <v>26527</v>
      </c>
      <c r="D9914" s="7">
        <v>1.1100000000000001</v>
      </c>
      <c r="E9914" t="s">
        <v>15</v>
      </c>
    </row>
    <row r="9915" spans="1:5" x14ac:dyDescent="0.25">
      <c r="A9915" t="str">
        <f>HYPERLINK("https://www.773grp.com/globalSearch/NCV551SN27T1G/page-1", "NCV551SN27T1G")</f>
        <v>NCV551SN27T1G</v>
      </c>
      <c r="B9915" s="3" t="str">
        <f>HYPERLINK("https://www.773grp.com/manufacturer/onsemi?pageNo=478", "Onsemi")</f>
        <v>Onsemi</v>
      </c>
      <c r="C9915" s="6">
        <v>7536</v>
      </c>
      <c r="D9915" s="7">
        <v>1.1100000000000001</v>
      </c>
      <c r="E9915" t="s">
        <v>15</v>
      </c>
    </row>
    <row r="9916" spans="1:5" x14ac:dyDescent="0.25">
      <c r="A9916" t="str">
        <f>HYPERLINK("https://www.773grp.com/globalSearch/NCV551SN28T1G/page-1", "NCV551SN28T1G")</f>
        <v>NCV551SN28T1G</v>
      </c>
      <c r="B9916" s="3" t="str">
        <f>HYPERLINK("https://www.773grp.com/manufacturer/onsemi?pageNo=479", "Onsemi")</f>
        <v>Onsemi</v>
      </c>
      <c r="C9916" s="6">
        <v>4992</v>
      </c>
      <c r="D9916" s="7">
        <v>1.1100000000000001</v>
      </c>
    </row>
    <row r="9917" spans="1:5" x14ac:dyDescent="0.25">
      <c r="A9917" t="str">
        <f>HYPERLINK("https://www.773grp.com/globalSearch/NCV551SN30T1G/page-1", "NCV551SN30T1G")</f>
        <v>NCV551SN30T1G</v>
      </c>
      <c r="B9917" s="3" t="str">
        <f>HYPERLINK("https://www.773grp.com/manufacturer/onsemi?pageNo=480", "Onsemi")</f>
        <v>Onsemi</v>
      </c>
      <c r="C9917" s="6">
        <v>10040</v>
      </c>
      <c r="D9917" s="7">
        <v>1.1100000000000001</v>
      </c>
      <c r="E9917" t="s">
        <v>15</v>
      </c>
    </row>
    <row r="9918" spans="1:5" x14ac:dyDescent="0.25">
      <c r="A9918" t="str">
        <f>HYPERLINK("https://www.773grp.com/globalSearch/NCV551SN31T1G/page-1", "NCV551SN31T1G")</f>
        <v>NCV551SN31T1G</v>
      </c>
      <c r="B9918" s="3" t="str">
        <f>HYPERLINK("https://www.773grp.com/manufacturer/onsemi?pageNo=481", "Onsemi")</f>
        <v>Onsemi</v>
      </c>
      <c r="C9918" s="6">
        <v>23854</v>
      </c>
      <c r="D9918" s="7">
        <v>1.1100000000000001</v>
      </c>
      <c r="E9918" t="s">
        <v>15</v>
      </c>
    </row>
    <row r="9919" spans="1:5" x14ac:dyDescent="0.25">
      <c r="A9919" t="str">
        <f>HYPERLINK("https://www.773grp.com/globalSearch/NCV551SN32T1G/page-1", "NCV551SN32T1G")</f>
        <v>NCV551SN32T1G</v>
      </c>
      <c r="B9919" s="3" t="str">
        <f>HYPERLINK("https://www.773grp.com/manufacturer/onsemi?pageNo=482", "Onsemi")</f>
        <v>Onsemi</v>
      </c>
      <c r="C9919" s="6">
        <v>12142</v>
      </c>
      <c r="D9919" s="7">
        <v>1.1100000000000001</v>
      </c>
      <c r="E9919" t="s">
        <v>15</v>
      </c>
    </row>
    <row r="9920" spans="1:5" x14ac:dyDescent="0.25">
      <c r="A9920" t="str">
        <f>HYPERLINK("https://www.773grp.com/globalSearch/NCV551SN33T1G/page-1", "NCV551SN33T1G")</f>
        <v>NCV551SN33T1G</v>
      </c>
      <c r="B9920" s="3" t="str">
        <f>HYPERLINK("https://www.773grp.com/manufacturer/onsemi?pageNo=483", "Onsemi")</f>
        <v>Onsemi</v>
      </c>
      <c r="C9920" s="6">
        <v>2789</v>
      </c>
      <c r="D9920" s="7">
        <v>1.1100000000000001</v>
      </c>
      <c r="E9920" t="s">
        <v>15</v>
      </c>
    </row>
    <row r="9921" spans="1:5" x14ac:dyDescent="0.25">
      <c r="A9921" t="str">
        <f>HYPERLINK("https://www.773grp.com/globalSearch/NCV562SQ33T1G/page-1", "NCV562SQ33T1G")</f>
        <v>NCV562SQ33T1G</v>
      </c>
      <c r="B9921" s="3" t="str">
        <f>HYPERLINK("https://www.773grp.com/manufacturer/onsemi?pageNo=484", "Onsemi")</f>
        <v>Onsemi</v>
      </c>
      <c r="C9921" s="6">
        <v>2986</v>
      </c>
      <c r="D9921" s="7">
        <v>1.1100000000000001</v>
      </c>
    </row>
    <row r="9922" spans="1:5" x14ac:dyDescent="0.25">
      <c r="A9922" t="str">
        <f>HYPERLINK("https://www.773grp.com/globalSearch/NDD03N60Z-1G/page-1", "NDD03N60Z-1G")</f>
        <v>NDD03N60Z-1G</v>
      </c>
      <c r="B9922" s="3" t="str">
        <f>HYPERLINK("https://www.773grp.com/manufacturer/onsemi?pageNo=485", "Onsemi")</f>
        <v>Onsemi</v>
      </c>
      <c r="C9922" s="6">
        <v>1575</v>
      </c>
      <c r="D9922" s="7">
        <v>1.1100000000000001</v>
      </c>
      <c r="E9922" t="s">
        <v>84</v>
      </c>
    </row>
    <row r="9923" spans="1:5" x14ac:dyDescent="0.25">
      <c r="A9923" t="str">
        <f>HYPERLINK("https://www.773grp.com/globalSearch/NDD03N60ZT4G/page-1", "NDD03N60ZT4G")</f>
        <v>NDD03N60ZT4G</v>
      </c>
      <c r="B9923" s="3" t="str">
        <f>HYPERLINK("https://www.773grp.com/manufacturer/onsemi?pageNo=486", "Onsemi")</f>
        <v>Onsemi</v>
      </c>
      <c r="C9923" s="6">
        <v>4840</v>
      </c>
      <c r="D9923" s="7">
        <v>1.1100000000000001</v>
      </c>
    </row>
    <row r="9924" spans="1:5" x14ac:dyDescent="0.25">
      <c r="A9924" t="str">
        <f>HYPERLINK("https://www.773grp.com/globalSearch/NDD04N50Z-1G/page-1", "NDD04N50Z-1G")</f>
        <v>NDD04N50Z-1G</v>
      </c>
      <c r="B9924" s="3" t="str">
        <f>HYPERLINK("https://www.773grp.com/manufacturer/onsemi?pageNo=487", "Onsemi")</f>
        <v>Onsemi</v>
      </c>
      <c r="C9924" s="6">
        <v>22875</v>
      </c>
      <c r="D9924" s="7">
        <v>1.1100000000000001</v>
      </c>
      <c r="E9924" t="s">
        <v>84</v>
      </c>
    </row>
    <row r="9925" spans="1:5" x14ac:dyDescent="0.25">
      <c r="A9925" t="str">
        <f>HYPERLINK("https://www.773grp.com/globalSearch/NDD04N50ZT4G/page-1", "NDD04N50ZT4G")</f>
        <v>NDD04N50ZT4G</v>
      </c>
      <c r="B9925" s="3" t="str">
        <f>HYPERLINK("https://www.773grp.com/manufacturer/onsemi?pageNo=488", "Onsemi")</f>
        <v>Onsemi</v>
      </c>
      <c r="C9925" s="6">
        <v>13996</v>
      </c>
      <c r="D9925" s="7">
        <v>1.1100000000000001</v>
      </c>
      <c r="E9925" t="s">
        <v>84</v>
      </c>
    </row>
    <row r="9926" spans="1:5" x14ac:dyDescent="0.25">
      <c r="A9926" t="str">
        <f>HYPERLINK("https://www.773grp.com/globalSearch/NDF02N60ZG/page-1", "NDF02N60ZG")</f>
        <v>NDF02N60ZG</v>
      </c>
      <c r="B9926" s="3" t="str">
        <f>HYPERLINK("https://www.773grp.com/manufacturer/onsemi?pageNo=489", "Onsemi")</f>
        <v>Onsemi</v>
      </c>
      <c r="C9926" s="6">
        <v>71850</v>
      </c>
      <c r="D9926" s="7">
        <v>1.1100000000000001</v>
      </c>
      <c r="E9926" t="s">
        <v>84</v>
      </c>
    </row>
    <row r="9927" spans="1:5" x14ac:dyDescent="0.25">
      <c r="A9927" t="str">
        <f>HYPERLINK("https://www.773grp.com/globalSearch/NDF04N62ZG/page-1", "NDF04N62ZG")</f>
        <v>NDF04N62ZG</v>
      </c>
      <c r="B9927" s="3" t="str">
        <f>HYPERLINK("https://www.773grp.com/manufacturer/onsemi?pageNo=490", "Onsemi")</f>
        <v>Onsemi</v>
      </c>
      <c r="C9927" s="6">
        <v>7050</v>
      </c>
      <c r="D9927" s="7">
        <v>1.1100000000000001</v>
      </c>
      <c r="E9927" t="s">
        <v>84</v>
      </c>
    </row>
    <row r="9928" spans="1:5" x14ac:dyDescent="0.25">
      <c r="A9928" t="str">
        <f>HYPERLINK("https://www.773grp.com/globalSearch/NJVTIP31CG/page-1", "NJVTIP31CG")</f>
        <v>NJVTIP31CG</v>
      </c>
      <c r="B9928" s="3" t="str">
        <f>HYPERLINK("https://www.773grp.com/manufacturer/onsemi?pageNo=491", "Onsemi")</f>
        <v>Onsemi</v>
      </c>
      <c r="C9928" s="6">
        <v>14120</v>
      </c>
      <c r="D9928" s="7">
        <v>1.1100000000000001</v>
      </c>
    </row>
    <row r="9929" spans="1:5" x14ac:dyDescent="0.25">
      <c r="A9929" t="str">
        <f>HYPERLINK("https://www.773grp.com/globalSearch/NJVTIP31G/page-1", "NJVTIP31G")</f>
        <v>NJVTIP31G</v>
      </c>
      <c r="B9929" s="3" t="str">
        <f>HYPERLINK("https://www.773grp.com/manufacturer/onsemi?pageNo=492", "Onsemi")</f>
        <v>Onsemi</v>
      </c>
      <c r="C9929" s="6">
        <v>6600</v>
      </c>
      <c r="D9929" s="7">
        <v>1.1100000000000001</v>
      </c>
    </row>
    <row r="9930" spans="1:5" x14ac:dyDescent="0.25">
      <c r="A9930" t="str">
        <f>HYPERLINK("https://www.773grp.com/globalSearch/NLSV1T34AMUTCG/page-1", "NLSV1T34AMUTCG")</f>
        <v>NLSV1T34AMUTCG</v>
      </c>
      <c r="B9930" s="3" t="str">
        <f>HYPERLINK("https://www.773grp.com/manufacturer/onsemi?pageNo=493", "Onsemi")</f>
        <v>Onsemi</v>
      </c>
      <c r="C9930" s="6">
        <v>5900</v>
      </c>
      <c r="D9930" s="7">
        <v>1.1100000000000001</v>
      </c>
      <c r="E9930" t="s">
        <v>11</v>
      </c>
    </row>
    <row r="9931" spans="1:5" x14ac:dyDescent="0.25">
      <c r="A9931" t="str">
        <f>HYPERLINK("https://www.773grp.com/globalSearch/NLSV1T34AMX1TCG/page-1", "NLSV1T34AMX1TCG")</f>
        <v>NLSV1T34AMX1TCG</v>
      </c>
      <c r="B9931" s="3" t="str">
        <f>HYPERLINK("https://www.773grp.com/manufacturer/onsemi?pageNo=494", "Onsemi")</f>
        <v>Onsemi</v>
      </c>
      <c r="C9931" s="6">
        <v>6156000</v>
      </c>
      <c r="D9931" s="7">
        <v>1.1100000000000001</v>
      </c>
      <c r="E9931" t="s">
        <v>11</v>
      </c>
    </row>
    <row r="9932" spans="1:5" x14ac:dyDescent="0.25">
      <c r="A9932" t="str">
        <f>HYPERLINK("https://www.773grp.com/globalSearch/NLSV1T34DFT2G/page-1", "NLSV1T34DFT2G")</f>
        <v>NLSV1T34DFT2G</v>
      </c>
      <c r="B9932" s="3" t="str">
        <f>HYPERLINK("https://www.773grp.com/manufacturer/onsemi?pageNo=495", "Onsemi")</f>
        <v>Onsemi</v>
      </c>
      <c r="C9932" s="6">
        <v>59300</v>
      </c>
      <c r="D9932" s="7">
        <v>1.1100000000000001</v>
      </c>
    </row>
    <row r="9933" spans="1:5" x14ac:dyDescent="0.25">
      <c r="A9933" t="str">
        <f>HYPERLINK("https://www.773grp.com/globalSearch/NLSV1T34MUTBG/page-1", "NLSV1T34MUTBG")</f>
        <v>NLSV1T34MUTBG</v>
      </c>
      <c r="B9933" s="3" t="str">
        <f>HYPERLINK("https://www.773grp.com/manufacturer/onsemi?pageNo=496", "Onsemi")</f>
        <v>Onsemi</v>
      </c>
      <c r="C9933" s="6">
        <v>309430</v>
      </c>
      <c r="D9933" s="7">
        <v>1.1100000000000001</v>
      </c>
      <c r="E9933" t="s">
        <v>11</v>
      </c>
    </row>
    <row r="9934" spans="1:5" x14ac:dyDescent="0.25">
      <c r="A9934" t="str">
        <f>HYPERLINK("https://www.773grp.com/globalSearch/NLV14028BDR2G/page-1", "NLV14028BDR2G")</f>
        <v>NLV14028BDR2G</v>
      </c>
      <c r="B9934" s="3" t="str">
        <f>HYPERLINK("https://www.773grp.com/manufacturer/onsemi?pageNo=497", "Onsemi")</f>
        <v>Onsemi</v>
      </c>
      <c r="C9934" s="6">
        <v>20000</v>
      </c>
      <c r="D9934" s="7">
        <v>1.1100000000000001</v>
      </c>
    </row>
    <row r="9935" spans="1:5" x14ac:dyDescent="0.25">
      <c r="A9935" t="str">
        <f>HYPERLINK("https://www.773grp.com/globalSearch/NLV14043BDG/page-1", "NLV14043BDG")</f>
        <v>NLV14043BDG</v>
      </c>
      <c r="B9935" s="3" t="str">
        <f>HYPERLINK("https://www.773grp.com/manufacturer/onsemi?pageNo=498", "Onsemi")</f>
        <v>Onsemi</v>
      </c>
      <c r="C9935" s="6">
        <v>33</v>
      </c>
      <c r="D9935" s="7">
        <v>1.1100000000000001</v>
      </c>
    </row>
    <row r="9936" spans="1:5" x14ac:dyDescent="0.25">
      <c r="A9936" t="str">
        <f>HYPERLINK("https://www.773grp.com/globalSearch/NLV14043BDR2G/page-1", "NLV14043BDR2G")</f>
        <v>NLV14043BDR2G</v>
      </c>
      <c r="B9936" s="3" t="str">
        <f>HYPERLINK("https://www.773grp.com/manufacturer/onsemi?pageNo=499", "Onsemi")</f>
        <v>Onsemi</v>
      </c>
      <c r="C9936" s="6">
        <v>4590</v>
      </c>
      <c r="D9936" s="7">
        <v>1.1100000000000001</v>
      </c>
    </row>
    <row r="9937" spans="1:5" x14ac:dyDescent="0.25">
      <c r="A9937" t="str">
        <f>HYPERLINK("https://www.773grp.com/globalSearch/NLV14044BDR2G/page-1", "NLV14044BDR2G")</f>
        <v>NLV14044BDR2G</v>
      </c>
      <c r="B9937" s="3" t="str">
        <f>HYPERLINK("https://www.773grp.com/manufacturer/onsemi?pageNo=500", "Onsemi")</f>
        <v>Onsemi</v>
      </c>
      <c r="C9937" s="6">
        <v>4500</v>
      </c>
      <c r="D9937" s="7">
        <v>1.1100000000000001</v>
      </c>
    </row>
    <row r="9938" spans="1:5" x14ac:dyDescent="0.25">
      <c r="A9938" t="str">
        <f>HYPERLINK("https://www.773grp.com/globalSearch/NLV14051BDR2G/page-1", "NLV14051BDR2G")</f>
        <v>NLV14051BDR2G</v>
      </c>
      <c r="B9938" s="3" t="str">
        <f>HYPERLINK("https://www.773grp.com/manufacturer/onsemi?pageNo=501", "Onsemi")</f>
        <v>Onsemi</v>
      </c>
      <c r="C9938" s="6">
        <v>1781</v>
      </c>
      <c r="D9938" s="7">
        <v>1.1100000000000001</v>
      </c>
    </row>
    <row r="9939" spans="1:5" x14ac:dyDescent="0.25">
      <c r="A9939" t="str">
        <f>HYPERLINK("https://www.773grp.com/globalSearch/NLV14052BDG/page-1", "NLV14052BDG")</f>
        <v>NLV14052BDG</v>
      </c>
      <c r="B9939" s="3" t="str">
        <f>HYPERLINK("https://www.773grp.com/manufacturer/onsemi?pageNo=502", "Onsemi")</f>
        <v>Onsemi</v>
      </c>
      <c r="C9939" s="6">
        <v>2688</v>
      </c>
      <c r="D9939" s="7">
        <v>1.1100000000000001</v>
      </c>
    </row>
    <row r="9940" spans="1:5" x14ac:dyDescent="0.25">
      <c r="A9940" t="str">
        <f>HYPERLINK("https://www.773grp.com/globalSearch/NLV14052BDR2G/page-1", "NLV14052BDR2G")</f>
        <v>NLV14052BDR2G</v>
      </c>
      <c r="B9940" s="3" t="str">
        <f>HYPERLINK("https://www.773grp.com/manufacturer/onsemi?pageNo=503", "Onsemi")</f>
        <v>Onsemi</v>
      </c>
      <c r="C9940" s="6">
        <v>183745</v>
      </c>
      <c r="D9940" s="7">
        <v>1.1100000000000001</v>
      </c>
    </row>
    <row r="9941" spans="1:5" x14ac:dyDescent="0.25">
      <c r="A9941" t="str">
        <f>HYPERLINK("https://www.773grp.com/globalSearch/NLV14053BDG/page-1", "NLV14053BDG")</f>
        <v>NLV14053BDG</v>
      </c>
      <c r="B9941" s="3" t="str">
        <f>HYPERLINK("https://www.773grp.com/manufacturer/onsemi?pageNo=504", "Onsemi")</f>
        <v>Onsemi</v>
      </c>
      <c r="C9941" s="6">
        <v>288</v>
      </c>
      <c r="D9941" s="7">
        <v>1.1100000000000001</v>
      </c>
    </row>
    <row r="9942" spans="1:5" x14ac:dyDescent="0.25">
      <c r="A9942" t="str">
        <f>HYPERLINK("https://www.773grp.com/globalSearch/NLV14053BDTR2G/page-1", "NLV14053BDTR2G")</f>
        <v>NLV14053BDTR2G</v>
      </c>
      <c r="B9942" s="3" t="str">
        <f>HYPERLINK("https://www.773grp.com/manufacturer/onsemi?pageNo=505", "Onsemi")</f>
        <v>Onsemi</v>
      </c>
      <c r="C9942" s="6">
        <v>493</v>
      </c>
      <c r="D9942" s="7">
        <v>1.1100000000000001</v>
      </c>
    </row>
    <row r="9943" spans="1:5" x14ac:dyDescent="0.25">
      <c r="A9943" t="str">
        <f>HYPERLINK("https://www.773grp.com/globalSearch/NLVHCT245ADTR2G/page-1", "NLVHCT245ADTR2G")</f>
        <v>NLVHCT245ADTR2G</v>
      </c>
      <c r="B9943" s="3" t="str">
        <f>HYPERLINK("https://www.773grp.com/manufacturer/onsemi?pageNo=506", "Onsemi")</f>
        <v>Onsemi</v>
      </c>
      <c r="C9943" s="6">
        <v>2175</v>
      </c>
      <c r="D9943" s="7">
        <v>1.1100000000000001</v>
      </c>
    </row>
    <row r="9944" spans="1:5" x14ac:dyDescent="0.25">
      <c r="A9944" t="str">
        <f>HYPERLINK("https://www.773grp.com/globalSearch/NP3100SB1G/page-1", "NP3100SB1G")</f>
        <v>NP3100SB1G</v>
      </c>
      <c r="B9944" s="3" t="str">
        <f>HYPERLINK("https://www.773grp.com/manufacturer/onsemi?pageNo=507", "Onsemi")</f>
        <v>Onsemi</v>
      </c>
      <c r="C9944" s="6">
        <v>2500</v>
      </c>
      <c r="D9944" s="7">
        <v>1.1100000000000001</v>
      </c>
    </row>
    <row r="9945" spans="1:5" x14ac:dyDescent="0.25">
      <c r="A9945" t="str">
        <f>HYPERLINK("https://www.773grp.com/globalSearch/NSI45060DDT4G/page-1", "NSI45060DDT4G")</f>
        <v>NSI45060DDT4G</v>
      </c>
      <c r="B9945" s="3" t="str">
        <f>HYPERLINK("https://www.773grp.com/manufacturer/onsemi?pageNo=508", "Onsemi")</f>
        <v>Onsemi</v>
      </c>
      <c r="C9945" s="6">
        <v>75000</v>
      </c>
      <c r="D9945" s="7">
        <v>1.1100000000000001</v>
      </c>
      <c r="E9945" t="s">
        <v>7</v>
      </c>
    </row>
    <row r="9946" spans="1:5" x14ac:dyDescent="0.25">
      <c r="A9946" t="str">
        <f>HYPERLINK("https://www.773grp.com/globalSearch/NSI45090DDT4G/page-1", "NSI45090DDT4G")</f>
        <v>NSI45090DDT4G</v>
      </c>
      <c r="B9946" s="3" t="str">
        <f>HYPERLINK("https://www.773grp.com/manufacturer/onsemi?pageNo=509", "Onsemi")</f>
        <v>Onsemi</v>
      </c>
      <c r="C9946" s="6">
        <v>156060</v>
      </c>
      <c r="D9946" s="7">
        <v>1.1100000000000001</v>
      </c>
      <c r="E9946" t="s">
        <v>7</v>
      </c>
    </row>
    <row r="9947" spans="1:5" x14ac:dyDescent="0.25">
      <c r="A9947" t="str">
        <f>HYPERLINK("https://www.773grp.com/globalSearch/NSS40200UW6T1G/page-1", "NSS40200UW6T1G")</f>
        <v>NSS40200UW6T1G</v>
      </c>
      <c r="B9947" s="3" t="str">
        <f>HYPERLINK("https://www.773grp.com/manufacturer/onsemi?pageNo=510", "Onsemi")</f>
        <v>Onsemi</v>
      </c>
      <c r="C9947" s="6">
        <v>215975</v>
      </c>
      <c r="D9947" s="7">
        <v>1.1100000000000001</v>
      </c>
      <c r="E9947" t="s">
        <v>57</v>
      </c>
    </row>
    <row r="9948" spans="1:5" x14ac:dyDescent="0.25">
      <c r="A9948" t="str">
        <f>HYPERLINK("https://www.773grp.com/globalSearch/NTD30N02T4G/page-1", "NTD30N02T4G")</f>
        <v>NTD30N02T4G</v>
      </c>
      <c r="B9948" s="3" t="str">
        <f>HYPERLINK("https://www.773grp.com/manufacturer/onsemi?pageNo=511", "Onsemi")</f>
        <v>Onsemi</v>
      </c>
      <c r="C9948" s="6">
        <v>22500</v>
      </c>
      <c r="D9948" s="7">
        <v>1.1100000000000001</v>
      </c>
      <c r="E9948" t="s">
        <v>84</v>
      </c>
    </row>
    <row r="9949" spans="1:5" x14ac:dyDescent="0.25">
      <c r="A9949" t="str">
        <f>HYPERLINK("https://www.773grp.com/globalSearch/NTD4855N-1G/page-1", "NTD4855N-1G")</f>
        <v>NTD4855N-1G</v>
      </c>
      <c r="B9949" s="3" t="str">
        <f>HYPERLINK("https://www.773grp.com/manufacturer/onsemi?pageNo=512", "Onsemi")</f>
        <v>Onsemi</v>
      </c>
      <c r="C9949" s="6">
        <v>10425</v>
      </c>
      <c r="D9949" s="7">
        <v>1.1100000000000001</v>
      </c>
      <c r="E9949" t="s">
        <v>84</v>
      </c>
    </row>
    <row r="9950" spans="1:5" x14ac:dyDescent="0.25">
      <c r="A9950" t="str">
        <f>HYPERLINK("https://www.773grp.com/globalSearch/NTD4904N-1G/page-1", "NTD4904N-1G")</f>
        <v>NTD4904N-1G</v>
      </c>
      <c r="B9950" s="3" t="str">
        <f>HYPERLINK("https://www.773grp.com/manufacturer/onsemi?pageNo=513", "Onsemi")</f>
        <v>Onsemi</v>
      </c>
      <c r="C9950" s="6">
        <v>20</v>
      </c>
      <c r="D9950" s="7">
        <v>1.1100000000000001</v>
      </c>
    </row>
    <row r="9951" spans="1:5" x14ac:dyDescent="0.25">
      <c r="A9951" t="str">
        <f>HYPERLINK("https://www.773grp.com/globalSearch/NTD4904NT4G/page-1", "NTD4904NT4G")</f>
        <v>NTD4904NT4G</v>
      </c>
      <c r="B9951" s="3" t="str">
        <f>HYPERLINK("https://www.773grp.com/manufacturer/onsemi?pageNo=514", "Onsemi")</f>
        <v>Onsemi</v>
      </c>
      <c r="C9951" s="6">
        <v>2500</v>
      </c>
      <c r="D9951" s="7">
        <v>1.1100000000000001</v>
      </c>
      <c r="E9951" t="s">
        <v>84</v>
      </c>
    </row>
    <row r="9952" spans="1:5" x14ac:dyDescent="0.25">
      <c r="A9952" t="str">
        <f>HYPERLINK("https://www.773grp.com/globalSearch/NTD65N03R/page-1", "NTD65N03R")</f>
        <v>NTD65N03R</v>
      </c>
      <c r="B9952" s="3" t="str">
        <f>HYPERLINK("https://www.773grp.com/manufacturer/onsemi?pageNo=515", "Onsemi")</f>
        <v>Onsemi</v>
      </c>
      <c r="C9952" s="6">
        <v>2250</v>
      </c>
      <c r="D9952" s="7">
        <v>1.1100000000000001</v>
      </c>
      <c r="E9952" t="s">
        <v>84</v>
      </c>
    </row>
    <row r="9953" spans="1:5" x14ac:dyDescent="0.25">
      <c r="A9953" t="str">
        <f>HYPERLINK("https://www.773grp.com/globalSearch/NTF3055-100T3G/page-1", "NTF3055-100T3G")</f>
        <v>NTF3055-100T3G</v>
      </c>
      <c r="B9953" s="3" t="str">
        <f>HYPERLINK("https://www.773grp.com/manufacturer/onsemi?pageNo=516", "Onsemi")</f>
        <v>Onsemi</v>
      </c>
      <c r="C9953" s="6">
        <v>1</v>
      </c>
      <c r="D9953" s="7">
        <v>1.1100000000000001</v>
      </c>
      <c r="E9953" t="s">
        <v>84</v>
      </c>
    </row>
    <row r="9954" spans="1:5" x14ac:dyDescent="0.25">
      <c r="A9954" t="str">
        <f>HYPERLINK("https://www.773grp.com/globalSearch/NTGD3133PT1G/page-1", "NTGD3133PT1G")</f>
        <v>NTGD3133PT1G</v>
      </c>
      <c r="B9954" s="3" t="str">
        <f>HYPERLINK("https://www.773grp.com/manufacturer/onsemi?pageNo=517", "Onsemi")</f>
        <v>Onsemi</v>
      </c>
      <c r="C9954" s="6">
        <v>9000</v>
      </c>
      <c r="D9954" s="7">
        <v>1.1100000000000001</v>
      </c>
      <c r="E9954" t="s">
        <v>85</v>
      </c>
    </row>
    <row r="9955" spans="1:5" x14ac:dyDescent="0.25">
      <c r="A9955" t="str">
        <f>HYPERLINK("https://www.773grp.com/globalSearch/NTGD3133PT1H/page-1", "NTGD3133PT1H")</f>
        <v>NTGD3133PT1H</v>
      </c>
      <c r="B9955" s="3" t="str">
        <f>HYPERLINK("https://www.773grp.com/manufacturer/onsemi?pageNo=518", "Onsemi")</f>
        <v>Onsemi</v>
      </c>
      <c r="C9955" s="6">
        <v>15000</v>
      </c>
      <c r="D9955" s="7">
        <v>1.1100000000000001</v>
      </c>
    </row>
    <row r="9956" spans="1:5" x14ac:dyDescent="0.25">
      <c r="A9956" t="str">
        <f>HYPERLINK("https://www.773grp.com/globalSearch/NTLJS4149PTBG/page-1", "NTLJS4149PTBG")</f>
        <v>NTLJS4149PTBG</v>
      </c>
      <c r="B9956" s="3" t="str">
        <f>HYPERLINK("https://www.773grp.com/manufacturer/onsemi?pageNo=519", "Onsemi")</f>
        <v>Onsemi</v>
      </c>
      <c r="C9956" s="6">
        <v>309000</v>
      </c>
      <c r="D9956" s="7">
        <v>1.1100000000000001</v>
      </c>
      <c r="E9956" t="s">
        <v>85</v>
      </c>
    </row>
    <row r="9957" spans="1:5" x14ac:dyDescent="0.25">
      <c r="A9957" t="str">
        <f>HYPERLINK("https://www.773grp.com/globalSearch/NTMD6N04R2G/page-1", "NTMD6N04R2G")</f>
        <v>NTMD6N04R2G</v>
      </c>
      <c r="B9957" s="3" t="str">
        <f>HYPERLINK("https://www.773grp.com/manufacturer/onsemi?pageNo=520", "Onsemi")</f>
        <v>Onsemi</v>
      </c>
      <c r="C9957" s="6">
        <v>64799</v>
      </c>
      <c r="D9957" s="7">
        <v>1.1100000000000001</v>
      </c>
      <c r="E9957" t="s">
        <v>84</v>
      </c>
    </row>
    <row r="9958" spans="1:5" x14ac:dyDescent="0.25">
      <c r="A9958" t="str">
        <f>HYPERLINK("https://www.773grp.com/globalSearch/NTMS4704NR2G/page-1", "NTMS4704NR2G")</f>
        <v>NTMS4704NR2G</v>
      </c>
      <c r="B9958" s="3" t="str">
        <f>HYPERLINK("https://www.773grp.com/manufacturer/onsemi?pageNo=521", "Onsemi")</f>
        <v>Onsemi</v>
      </c>
      <c r="C9958" s="6">
        <v>7500</v>
      </c>
      <c r="D9958" s="7">
        <v>1.1100000000000001</v>
      </c>
      <c r="E9958" t="s">
        <v>85</v>
      </c>
    </row>
    <row r="9959" spans="1:5" x14ac:dyDescent="0.25">
      <c r="A9959" t="str">
        <f>HYPERLINK("https://www.773grp.com/globalSearch/NTMS4920NR2G/page-1", "NTMS4920NR2G")</f>
        <v>NTMS4920NR2G</v>
      </c>
      <c r="B9959" s="3" t="str">
        <f>HYPERLINK("https://www.773grp.com/manufacturer/onsemi?pageNo=522", "Onsemi")</f>
        <v>Onsemi</v>
      </c>
      <c r="C9959" s="6">
        <v>64000</v>
      </c>
      <c r="D9959" s="7">
        <v>1.1100000000000001</v>
      </c>
    </row>
    <row r="9960" spans="1:5" x14ac:dyDescent="0.25">
      <c r="A9960" t="str">
        <f>HYPERLINK("https://www.773grp.com/globalSearch/NTP75N03RG/page-1", "NTP75N03RG")</f>
        <v>NTP75N03RG</v>
      </c>
      <c r="B9960" s="3" t="str">
        <f>HYPERLINK("https://www.773grp.com/manufacturer/onsemi?pageNo=523", "Onsemi")</f>
        <v>Onsemi</v>
      </c>
      <c r="C9960" s="6">
        <v>4012</v>
      </c>
      <c r="D9960" s="7">
        <v>1.1100000000000001</v>
      </c>
      <c r="E9960" t="s">
        <v>84</v>
      </c>
    </row>
    <row r="9961" spans="1:5" x14ac:dyDescent="0.25">
      <c r="A9961" t="str">
        <f>HYPERLINK("https://www.773grp.com/globalSearch/NTSJ20120CTG/page-1", "NTSJ20120CTG")</f>
        <v>NTSJ20120CTG</v>
      </c>
      <c r="B9961" s="3" t="str">
        <f>HYPERLINK("https://www.773grp.com/manufacturer/onsemi?pageNo=524", "Onsemi")</f>
        <v>Onsemi</v>
      </c>
      <c r="C9961" s="6">
        <v>300</v>
      </c>
      <c r="D9961" s="7">
        <v>1.1100000000000001</v>
      </c>
    </row>
    <row r="9962" spans="1:5" x14ac:dyDescent="0.25">
      <c r="A9962" t="str">
        <f>HYPERLINK("https://www.773grp.com/globalSearch/NTSV20100CTG/page-1", "NTSV20100CTG")</f>
        <v>NTSV20100CTG</v>
      </c>
      <c r="B9962" s="3" t="str">
        <f>HYPERLINK("https://www.773grp.com/manufacturer/onsemi?pageNo=525", "Onsemi")</f>
        <v>Onsemi</v>
      </c>
      <c r="C9962" s="6">
        <v>84100</v>
      </c>
      <c r="D9962" s="7">
        <v>1.1100000000000001</v>
      </c>
    </row>
    <row r="9963" spans="1:5" x14ac:dyDescent="0.25">
      <c r="A9963" t="str">
        <f>HYPERLINK("https://www.773grp.com/globalSearch/P6SMB18CAT3/page-1", "P6SMB18CAT3")</f>
        <v>P6SMB18CAT3</v>
      </c>
      <c r="B9963" s="3" t="str">
        <f>HYPERLINK("https://www.773grp.com/manufacturer/onsemi?pageNo=526", "Onsemi")</f>
        <v>Onsemi</v>
      </c>
      <c r="C9963" s="6">
        <v>2500</v>
      </c>
      <c r="D9963" s="7">
        <v>1.1100000000000001</v>
      </c>
      <c r="E9963" t="s">
        <v>75</v>
      </c>
    </row>
    <row r="9964" spans="1:5" x14ac:dyDescent="0.25">
      <c r="A9964" t="str">
        <f>HYPERLINK("https://www.773grp.com/globalSearch/P6SMB33CAT3G/page-1", "P6SMB33CAT3G")</f>
        <v>P6SMB33CAT3G</v>
      </c>
      <c r="B9964" s="3" t="str">
        <f>HYPERLINK("https://www.773grp.com/manufacturer/onsemi?pageNo=527", "Onsemi")</f>
        <v>Onsemi</v>
      </c>
      <c r="C9964" s="6">
        <v>62500</v>
      </c>
      <c r="D9964" s="7">
        <v>1.1100000000000001</v>
      </c>
      <c r="E9964" t="s">
        <v>75</v>
      </c>
    </row>
    <row r="9965" spans="1:5" x14ac:dyDescent="0.25">
      <c r="A9965" t="str">
        <f>HYPERLINK("https://www.773grp.com/globalSearch/PACDN009MR/page-1", "PACDN009MR")</f>
        <v>PACDN009MR</v>
      </c>
      <c r="B9965" s="3" t="str">
        <f>HYPERLINK("https://www.773grp.com/manufacturer/onsemi?pageNo=528", "Onsemi")</f>
        <v>Onsemi</v>
      </c>
      <c r="C9965" s="6">
        <v>8344</v>
      </c>
      <c r="D9965" s="7">
        <v>1.1100000000000001</v>
      </c>
      <c r="E9965" t="s">
        <v>75</v>
      </c>
    </row>
    <row r="9966" spans="1:5" x14ac:dyDescent="0.25">
      <c r="A9966" t="str">
        <f>HYPERLINK("https://www.773grp.com/globalSearch/SC224DR2G/page-1", "SC224DR2G")</f>
        <v>SC224DR2G</v>
      </c>
      <c r="B9966" s="3" t="str">
        <f>HYPERLINK("https://www.773grp.com/manufacturer/onsemi?pageNo=529", "Onsemi")</f>
        <v>Onsemi</v>
      </c>
      <c r="C9966" s="6">
        <v>3682</v>
      </c>
      <c r="D9966" s="7">
        <v>1.1100000000000001</v>
      </c>
    </row>
    <row r="9967" spans="1:5" x14ac:dyDescent="0.25">
      <c r="A9967" t="str">
        <f>HYPERLINK("https://www.773grp.com/globalSearch/SC239DR2G/page-1", "SC239DR2G")</f>
        <v>SC239DR2G</v>
      </c>
      <c r="B9967" s="3" t="str">
        <f>HYPERLINK("https://www.773grp.com/manufacturer/onsemi?pageNo=530", "Onsemi")</f>
        <v>Onsemi</v>
      </c>
      <c r="C9967" s="6">
        <v>4386</v>
      </c>
      <c r="D9967" s="7">
        <v>1.1100000000000001</v>
      </c>
    </row>
    <row r="9968" spans="1:5" x14ac:dyDescent="0.25">
      <c r="A9968" t="str">
        <f>HYPERLINK("https://www.773grp.com/globalSearch/SC2903DR2/page-1", "SC2903DR2")</f>
        <v>SC2903DR2</v>
      </c>
      <c r="B9968" s="3" t="str">
        <f>HYPERLINK("https://www.773grp.com/manufacturer/onsemi?pageNo=531", "Onsemi")</f>
        <v>Onsemi</v>
      </c>
      <c r="C9968" s="6">
        <v>15272</v>
      </c>
      <c r="D9968" s="7">
        <v>1.1100000000000001</v>
      </c>
    </row>
    <row r="9969" spans="1:5" x14ac:dyDescent="0.25">
      <c r="A9969" t="str">
        <f>HYPERLINK("https://www.773grp.com/globalSearch/SCY1117DT33RK/page-1", "SCY1117DT33RK")</f>
        <v>SCY1117DT33RK</v>
      </c>
      <c r="B9969" s="3" t="str">
        <f>HYPERLINK("https://www.773grp.com/manufacturer/onsemi?pageNo=532", "Onsemi")</f>
        <v>Onsemi</v>
      </c>
      <c r="C9969" s="6">
        <v>97500</v>
      </c>
      <c r="D9969" s="7">
        <v>1.1100000000000001</v>
      </c>
    </row>
    <row r="9970" spans="1:5" x14ac:dyDescent="0.25">
      <c r="A9970" t="str">
        <f>HYPERLINK("https://www.773grp.com/globalSearch/SN74LS193D/page-1", "SN74LS193D")</f>
        <v>SN74LS193D</v>
      </c>
      <c r="B9970" s="3" t="str">
        <f>HYPERLINK("https://www.773grp.com/manufacturer/onsemi?pageNo=533", "Onsemi")</f>
        <v>Onsemi</v>
      </c>
      <c r="C9970" s="6">
        <v>4013</v>
      </c>
      <c r="D9970" s="7">
        <v>1.1100000000000001</v>
      </c>
      <c r="E9970" t="s">
        <v>22</v>
      </c>
    </row>
    <row r="9971" spans="1:5" x14ac:dyDescent="0.25">
      <c r="A9971" t="str">
        <f>HYPERLINK("https://www.773grp.com/globalSearch/SN74LS486M/page-1", "SN74LS486M")</f>
        <v>SN74LS486M</v>
      </c>
      <c r="B9971" s="3" t="str">
        <f>HYPERLINK("https://www.773grp.com/manufacturer/onsemi?pageNo=534", "Onsemi")</f>
        <v>Onsemi</v>
      </c>
      <c r="C9971" s="6">
        <v>1687</v>
      </c>
      <c r="D9971" s="7">
        <v>1.1100000000000001</v>
      </c>
    </row>
    <row r="9972" spans="1:5" x14ac:dyDescent="0.25">
      <c r="A9972" t="str">
        <f>HYPERLINK("https://www.773grp.com/globalSearch/SPQ2026/page-1", "SPQ2026")</f>
        <v>SPQ2026</v>
      </c>
      <c r="B9972" s="3" t="str">
        <f>HYPERLINK("https://www.773grp.com/manufacturer/onsemi?pageNo=535", "Onsemi")</f>
        <v>Onsemi</v>
      </c>
      <c r="C9972" s="6">
        <v>29</v>
      </c>
      <c r="D9972" s="7">
        <v>1.1100000000000001</v>
      </c>
    </row>
    <row r="9973" spans="1:5" x14ac:dyDescent="0.25">
      <c r="A9973" t="str">
        <f>HYPERLINK("https://www.773grp.com/globalSearch/SZ1SMA16CAT3G/page-1", "SZ1SMA16CAT3G")</f>
        <v>SZ1SMA16CAT3G</v>
      </c>
      <c r="B9973" s="3" t="str">
        <f>HYPERLINK("https://www.773grp.com/manufacturer/onsemi?pageNo=536", "Onsemi")</f>
        <v>Onsemi</v>
      </c>
      <c r="C9973" s="6">
        <v>4072</v>
      </c>
      <c r="D9973" s="7">
        <v>1.1100000000000001</v>
      </c>
    </row>
    <row r="9974" spans="1:5" x14ac:dyDescent="0.25">
      <c r="A9974" t="str">
        <f>HYPERLINK("https://www.773grp.com/globalSearch/TIP31AG/page-1", "TIP31AG")</f>
        <v>TIP31AG</v>
      </c>
      <c r="B9974" s="3" t="str">
        <f>HYPERLINK("https://www.773grp.com/manufacturer/onsemi?pageNo=537", "Onsemi")</f>
        <v>Onsemi</v>
      </c>
      <c r="C9974" s="6">
        <v>12141</v>
      </c>
      <c r="D9974" s="7">
        <v>1.1100000000000001</v>
      </c>
      <c r="E9974" t="s">
        <v>47</v>
      </c>
    </row>
    <row r="9975" spans="1:5" x14ac:dyDescent="0.25">
      <c r="A9975" t="str">
        <f>HYPERLINK("https://www.773grp.com/globalSearch/TIP31BG/page-1", "TIP31BG")</f>
        <v>TIP31BG</v>
      </c>
      <c r="B9975" s="3" t="str">
        <f>HYPERLINK("https://www.773grp.com/manufacturer/onsemi?pageNo=538", "Onsemi")</f>
        <v>Onsemi</v>
      </c>
      <c r="C9975" s="6">
        <v>36806</v>
      </c>
      <c r="D9975" s="7">
        <v>1.1100000000000001</v>
      </c>
      <c r="E9975" t="s">
        <v>47</v>
      </c>
    </row>
    <row r="9976" spans="1:5" x14ac:dyDescent="0.25">
      <c r="A9976" t="str">
        <f>HYPERLINK("https://www.773grp.com/globalSearch/TIP31C/page-1", "TIP31C")</f>
        <v>TIP31C</v>
      </c>
      <c r="B9976" s="3" t="str">
        <f>HYPERLINK("https://www.773grp.com/manufacturer/onsemi?pageNo=539", "Onsemi")</f>
        <v>Onsemi</v>
      </c>
      <c r="C9976" s="6">
        <v>33185</v>
      </c>
      <c r="D9976" s="7">
        <v>1.1100000000000001</v>
      </c>
      <c r="E9976" t="s">
        <v>47</v>
      </c>
    </row>
    <row r="9977" spans="1:5" x14ac:dyDescent="0.25">
      <c r="A9977" t="str">
        <f>HYPERLINK("https://www.773grp.com/globalSearch/TIP31CG/page-1", "TIP31CG")</f>
        <v>TIP31CG</v>
      </c>
      <c r="B9977" s="3" t="str">
        <f>HYPERLINK("https://www.773grp.com/manufacturer/onsemi?pageNo=540", "Onsemi")</f>
        <v>Onsemi</v>
      </c>
      <c r="C9977" s="6">
        <v>24530</v>
      </c>
      <c r="D9977" s="7">
        <v>1.1100000000000001</v>
      </c>
      <c r="E9977" t="s">
        <v>47</v>
      </c>
    </row>
    <row r="9978" spans="1:5" x14ac:dyDescent="0.25">
      <c r="A9978" t="str">
        <f>HYPERLINK("https://www.773grp.com/globalSearch/TIP31G/page-1", "TIP31G")</f>
        <v>TIP31G</v>
      </c>
      <c r="B9978" s="3" t="str">
        <f>HYPERLINK("https://www.773grp.com/manufacturer/onsemi?pageNo=541", "Onsemi")</f>
        <v>Onsemi</v>
      </c>
      <c r="C9978" s="6">
        <v>13603</v>
      </c>
      <c r="D9978" s="7">
        <v>1.1100000000000001</v>
      </c>
      <c r="E9978" t="s">
        <v>47</v>
      </c>
    </row>
    <row r="9979" spans="1:5" x14ac:dyDescent="0.25">
      <c r="A9979" t="str">
        <f>HYPERLINK("https://www.773grp.com/globalSearch/TL062ACD/page-1", "TL062ACD")</f>
        <v>TL062ACD</v>
      </c>
      <c r="B9979" s="3" t="str">
        <f>HYPERLINK("https://www.773grp.com/manufacturer/onsemi?pageNo=542", "Onsemi")</f>
        <v>Onsemi</v>
      </c>
      <c r="C9979" s="6">
        <v>6076</v>
      </c>
      <c r="D9979" s="7">
        <v>1.1100000000000001</v>
      </c>
      <c r="E9979" t="s">
        <v>10</v>
      </c>
    </row>
    <row r="9980" spans="1:5" x14ac:dyDescent="0.25">
      <c r="A9980" t="str">
        <f>HYPERLINK("https://www.773grp.com/globalSearch/TL062ACP/page-1", "TL062ACP")</f>
        <v>TL062ACP</v>
      </c>
      <c r="B9980" s="3" t="str">
        <f>HYPERLINK("https://www.773grp.com/manufacturer/onsemi?pageNo=543", "Onsemi")</f>
        <v>Onsemi</v>
      </c>
      <c r="C9980" s="6">
        <v>77</v>
      </c>
      <c r="D9980" s="7">
        <v>1.1100000000000001</v>
      </c>
      <c r="E9980" t="s">
        <v>10</v>
      </c>
    </row>
    <row r="9981" spans="1:5" x14ac:dyDescent="0.25">
      <c r="A9981" t="str">
        <f>HYPERLINK("https://www.773grp.com/globalSearch/TL071ACP/page-1", "TL071ACP")</f>
        <v>TL071ACP</v>
      </c>
      <c r="B9981" s="3" t="str">
        <f>HYPERLINK("https://www.773grp.com/manufacturer/onsemi?pageNo=544", "Onsemi")</f>
        <v>Onsemi</v>
      </c>
      <c r="C9981" s="6">
        <v>1114</v>
      </c>
      <c r="D9981" s="7">
        <v>1.1100000000000001</v>
      </c>
      <c r="E9981" t="s">
        <v>10</v>
      </c>
    </row>
    <row r="9982" spans="1:5" x14ac:dyDescent="0.25">
      <c r="A9982" t="str">
        <f>HYPERLINK("https://www.773grp.com/globalSearch/TL072ACD/page-1", "TL072ACD")</f>
        <v>TL072ACD</v>
      </c>
      <c r="B9982" s="3" t="str">
        <f>HYPERLINK("https://www.773grp.com/manufacturer/onsemi?pageNo=545", "Onsemi")</f>
        <v>Onsemi</v>
      </c>
      <c r="C9982" s="6">
        <v>1965</v>
      </c>
      <c r="D9982" s="7">
        <v>1.1100000000000001</v>
      </c>
      <c r="E9982" t="s">
        <v>10</v>
      </c>
    </row>
    <row r="9983" spans="1:5" x14ac:dyDescent="0.25">
      <c r="A9983" t="str">
        <f>HYPERLINK("https://www.773grp.com/globalSearch/TL072ACP/page-1", "TL072ACP")</f>
        <v>TL072ACP</v>
      </c>
      <c r="B9983" s="3" t="str">
        <f>HYPERLINK("https://www.773grp.com/manufacturer/onsemi?pageNo=546", "Onsemi")</f>
        <v>Onsemi</v>
      </c>
      <c r="C9983" s="6">
        <v>439</v>
      </c>
      <c r="D9983" s="7">
        <v>1.1100000000000001</v>
      </c>
      <c r="E9983" t="s">
        <v>10</v>
      </c>
    </row>
    <row r="9984" spans="1:5" x14ac:dyDescent="0.25">
      <c r="A9984" t="str">
        <f>HYPERLINK("https://www.773grp.com/globalSearch/TL072CP/page-1", "TL072CP")</f>
        <v>TL072CP</v>
      </c>
      <c r="B9984" s="3" t="str">
        <f>HYPERLINK("https://www.773grp.com/manufacturer/onsemi?pageNo=547", "Onsemi")</f>
        <v>Onsemi</v>
      </c>
      <c r="C9984" s="6">
        <v>251754</v>
      </c>
      <c r="D9984" s="7">
        <v>1.1100000000000001</v>
      </c>
      <c r="E9984" t="s">
        <v>10</v>
      </c>
    </row>
    <row r="9985" spans="1:5" x14ac:dyDescent="0.25">
      <c r="A9985" t="str">
        <f>HYPERLINK("https://www.773grp.com/globalSearch/TL594CDR2/page-1", "TL594CDR2")</f>
        <v>TL594CDR2</v>
      </c>
      <c r="B9985" s="3" t="str">
        <f>HYPERLINK("https://www.773grp.com/manufacturer/onsemi?pageNo=548", "Onsemi")</f>
        <v>Onsemi</v>
      </c>
      <c r="C9985" s="6">
        <v>2500</v>
      </c>
      <c r="D9985" s="7">
        <v>1.1100000000000001</v>
      </c>
      <c r="E9985" t="s">
        <v>5</v>
      </c>
    </row>
    <row r="9986" spans="1:5" x14ac:dyDescent="0.25">
      <c r="A9986" t="str">
        <f>HYPERLINK("https://www.773grp.com/globalSearch/UC3843BVD/page-1", "UC3843BVD")</f>
        <v>UC3843BVD</v>
      </c>
      <c r="B9986" s="3" t="str">
        <f>HYPERLINK("https://www.773grp.com/manufacturer/onsemi?pageNo=549", "Onsemi")</f>
        <v>Onsemi</v>
      </c>
      <c r="C9986" s="6">
        <v>1695</v>
      </c>
      <c r="D9986" s="7">
        <v>1.1100000000000001</v>
      </c>
      <c r="E9986" t="s">
        <v>5</v>
      </c>
    </row>
    <row r="9987" spans="1:5" x14ac:dyDescent="0.25">
      <c r="A9987" t="str">
        <f>HYPERLINK("https://www.773grp.com/globalSearch/UC3844BVN/page-1", "UC3844BVN")</f>
        <v>UC3844BVN</v>
      </c>
      <c r="B9987" s="3" t="str">
        <f>HYPERLINK("https://www.773grp.com/manufacturer/onsemi?pageNo=550", "Onsemi")</f>
        <v>Onsemi</v>
      </c>
      <c r="C9987" s="6">
        <v>50</v>
      </c>
      <c r="D9987" s="7">
        <v>1.1100000000000001</v>
      </c>
      <c r="E9987" t="s">
        <v>5</v>
      </c>
    </row>
    <row r="9988" spans="1:5" x14ac:dyDescent="0.25">
      <c r="A9988" t="str">
        <f>HYPERLINK("https://www.773grp.com/globalSearch/1SMB100AT3G/page-1", "1SMB100AT3G")</f>
        <v>1SMB100AT3G</v>
      </c>
      <c r="B9988" s="3" t="str">
        <f>HYPERLINK("https://www.773grp.com/manufacturer/onsemi?pageNo=551", "Onsemi")</f>
        <v>Onsemi</v>
      </c>
      <c r="C9988" s="6">
        <v>2500</v>
      </c>
      <c r="D9988" s="7">
        <v>1.1599999999999999</v>
      </c>
      <c r="E9988" t="s">
        <v>75</v>
      </c>
    </row>
    <row r="9989" spans="1:5" x14ac:dyDescent="0.25">
      <c r="A9989" t="str">
        <f>HYPERLINK("https://www.773grp.com/globalSearch/1SMB110AT3G/page-1", "1SMB110AT3G")</f>
        <v>1SMB110AT3G</v>
      </c>
      <c r="B9989" s="3" t="str">
        <f>HYPERLINK("https://www.773grp.com/manufacturer/onsemi?pageNo=552", "Onsemi")</f>
        <v>Onsemi</v>
      </c>
      <c r="C9989" s="6">
        <v>2500</v>
      </c>
      <c r="D9989" s="7">
        <v>1.1599999999999999</v>
      </c>
    </row>
    <row r="9990" spans="1:5" x14ac:dyDescent="0.25">
      <c r="A9990" t="str">
        <f>HYPERLINK("https://www.773grp.com/globalSearch/1SMB130AT3G/page-1", "1SMB130AT3G")</f>
        <v>1SMB130AT3G</v>
      </c>
      <c r="B9990" s="3" t="str">
        <f>HYPERLINK("https://www.773grp.com/manufacturer/onsemi?pageNo=553", "Onsemi")</f>
        <v>Onsemi</v>
      </c>
      <c r="C9990" s="6">
        <v>19568</v>
      </c>
      <c r="D9990" s="7">
        <v>1.1599999999999999</v>
      </c>
      <c r="E9990" t="s">
        <v>75</v>
      </c>
    </row>
    <row r="9991" spans="1:5" x14ac:dyDescent="0.25">
      <c r="A9991" t="str">
        <f>HYPERLINK("https://www.773grp.com/globalSearch/1SMB150AT3G/page-1", "1SMB150AT3G")</f>
        <v>1SMB150AT3G</v>
      </c>
      <c r="B9991" s="3" t="str">
        <f>HYPERLINK("https://www.773grp.com/manufacturer/onsemi?pageNo=554", "Onsemi")</f>
        <v>Onsemi</v>
      </c>
      <c r="C9991" s="6">
        <v>5000</v>
      </c>
      <c r="D9991" s="7">
        <v>1.1599999999999999</v>
      </c>
    </row>
    <row r="9992" spans="1:5" x14ac:dyDescent="0.25">
      <c r="A9992" t="str">
        <f>HYPERLINK("https://www.773grp.com/globalSearch/1SMB160AT3G/page-1", "1SMB160AT3G")</f>
        <v>1SMB160AT3G</v>
      </c>
      <c r="B9992" s="3" t="str">
        <f>HYPERLINK("https://www.773grp.com/manufacturer/onsemi?pageNo=555", "Onsemi")</f>
        <v>Onsemi</v>
      </c>
      <c r="C9992" s="6">
        <v>15000</v>
      </c>
      <c r="D9992" s="7">
        <v>1.1599999999999999</v>
      </c>
    </row>
    <row r="9993" spans="1:5" x14ac:dyDescent="0.25">
      <c r="A9993" t="str">
        <f>HYPERLINK("https://www.773grp.com/globalSearch/1SMB170AT3G/page-1", "1SMB170AT3G")</f>
        <v>1SMB170AT3G</v>
      </c>
      <c r="B9993" s="3" t="str">
        <f>HYPERLINK("https://www.773grp.com/manufacturer/onsemi?pageNo=556", "Onsemi")</f>
        <v>Onsemi</v>
      </c>
      <c r="C9993" s="6">
        <v>64647</v>
      </c>
      <c r="D9993" s="7">
        <v>1.1599999999999999</v>
      </c>
      <c r="E9993" t="s">
        <v>75</v>
      </c>
    </row>
    <row r="9994" spans="1:5" x14ac:dyDescent="0.25">
      <c r="A9994" t="str">
        <f>HYPERLINK("https://www.773grp.com/globalSearch/1SMB85AT3G/page-1", "1SMB85AT3G")</f>
        <v>1SMB85AT3G</v>
      </c>
      <c r="B9994" s="3" t="str">
        <f>HYPERLINK("https://www.773grp.com/manufacturer/onsemi?pageNo=557", "Onsemi")</f>
        <v>Onsemi</v>
      </c>
      <c r="C9994" s="6">
        <v>80574</v>
      </c>
      <c r="D9994" s="7">
        <v>1.1599999999999999</v>
      </c>
      <c r="E9994" t="s">
        <v>75</v>
      </c>
    </row>
    <row r="9995" spans="1:5" x14ac:dyDescent="0.25">
      <c r="A9995" t="str">
        <f>HYPERLINK("https://www.773grp.com/globalSearch/1SMB90AT3G/page-1", "1SMB90AT3G")</f>
        <v>1SMB90AT3G</v>
      </c>
      <c r="B9995" s="3" t="str">
        <f>HYPERLINK("https://www.773grp.com/manufacturer/onsemi?pageNo=558", "Onsemi")</f>
        <v>Onsemi</v>
      </c>
      <c r="C9995" s="6">
        <v>7500</v>
      </c>
      <c r="D9995" s="7">
        <v>1.1599999999999999</v>
      </c>
      <c r="E9995" t="s">
        <v>75</v>
      </c>
    </row>
    <row r="9996" spans="1:5" x14ac:dyDescent="0.25">
      <c r="A9996" t="str">
        <f>HYPERLINK("https://www.773grp.com/globalSearch/2N6071AG/page-1", "2N6071AG")</f>
        <v>2N6071AG</v>
      </c>
      <c r="B9996" s="3" t="str">
        <f>HYPERLINK("https://www.773grp.com/manufacturer/onsemi?pageNo=559", "Onsemi")</f>
        <v>Onsemi</v>
      </c>
      <c r="C9996" s="6">
        <v>5505</v>
      </c>
      <c r="D9996" s="7">
        <v>1.1599999999999999</v>
      </c>
      <c r="E9996" t="s">
        <v>81</v>
      </c>
    </row>
    <row r="9997" spans="1:5" x14ac:dyDescent="0.25">
      <c r="A9997" t="str">
        <f>HYPERLINK("https://www.773grp.com/globalSearch/2N6071ATG/page-1", "2N6071ATG")</f>
        <v>2N6071ATG</v>
      </c>
      <c r="B9997" s="3" t="str">
        <f>HYPERLINK("https://www.773grp.com/manufacturer/onsemi?pageNo=560", "Onsemi")</f>
        <v>Onsemi</v>
      </c>
      <c r="C9997" s="6">
        <v>4450</v>
      </c>
      <c r="D9997" s="7">
        <v>1.1599999999999999</v>
      </c>
      <c r="E9997" t="s">
        <v>81</v>
      </c>
    </row>
    <row r="9998" spans="1:5" x14ac:dyDescent="0.25">
      <c r="A9998" t="str">
        <f>HYPERLINK("https://www.773grp.com/globalSearch/2N6071BG/page-1", "2N6071BG")</f>
        <v>2N6071BG</v>
      </c>
      <c r="B9998" s="3" t="str">
        <f>HYPERLINK("https://www.773grp.com/manufacturer/onsemi?pageNo=561", "Onsemi")</f>
        <v>Onsemi</v>
      </c>
      <c r="C9998" s="6">
        <v>500</v>
      </c>
      <c r="D9998" s="7">
        <v>1.1599999999999999</v>
      </c>
      <c r="E9998" t="s">
        <v>81</v>
      </c>
    </row>
    <row r="9999" spans="1:5" x14ac:dyDescent="0.25">
      <c r="A9999" t="str">
        <f>HYPERLINK("https://www.773grp.com/globalSearch/2N6071BTG/page-1", "2N6071BTG")</f>
        <v>2N6071BTG</v>
      </c>
      <c r="B9999" s="3" t="str">
        <f>HYPERLINK("https://www.773grp.com/manufacturer/onsemi?pageNo=562", "Onsemi")</f>
        <v>Onsemi</v>
      </c>
      <c r="C9999" s="6">
        <v>18450</v>
      </c>
      <c r="D9999" s="7">
        <v>1.1599999999999999</v>
      </c>
      <c r="E9999" t="s">
        <v>81</v>
      </c>
    </row>
    <row r="10000" spans="1:5" x14ac:dyDescent="0.25">
      <c r="A10000" t="str">
        <f>HYPERLINK("https://www.773grp.com/globalSearch/2N6073BG/page-1", "2N6073BG")</f>
        <v>2N6073BG</v>
      </c>
      <c r="B10000" s="3" t="str">
        <f>HYPERLINK("https://www.773grp.com/manufacturer/onsemi?pageNo=563", "Onsemi")</f>
        <v>Onsemi</v>
      </c>
      <c r="C10000" s="6">
        <v>500</v>
      </c>
      <c r="D10000" s="7">
        <v>1.1599999999999999</v>
      </c>
    </row>
    <row r="10001" spans="1:5" x14ac:dyDescent="0.25">
      <c r="A10001" t="str">
        <f>HYPERLINK("https://www.773grp.com/globalSearch/2N6075AG/page-1", "2N6075AG")</f>
        <v>2N6075AG</v>
      </c>
      <c r="B10001" s="3" t="str">
        <f>HYPERLINK("https://www.773grp.com/manufacturer/onsemi?pageNo=564", "Onsemi")</f>
        <v>Onsemi</v>
      </c>
      <c r="C10001" s="6">
        <v>100000</v>
      </c>
      <c r="D10001" s="7">
        <v>1.1599999999999999</v>
      </c>
    </row>
    <row r="10002" spans="1:5" x14ac:dyDescent="0.25">
      <c r="A10002" t="str">
        <f>HYPERLINK("https://www.773grp.com/globalSearch/2N6075B/page-1", "2N6075B")</f>
        <v>2N6075B</v>
      </c>
      <c r="B10002" s="3" t="str">
        <f>HYPERLINK("https://www.773grp.com/manufacturer/onsemi?pageNo=565", "Onsemi")</f>
        <v>Onsemi</v>
      </c>
      <c r="C10002" s="6">
        <v>500</v>
      </c>
      <c r="D10002" s="7">
        <v>1.1599999999999999</v>
      </c>
      <c r="E10002" t="s">
        <v>81</v>
      </c>
    </row>
    <row r="10003" spans="1:5" x14ac:dyDescent="0.25">
      <c r="A10003" t="str">
        <f>HYPERLINK("https://www.773grp.com/globalSearch/2N6075BG/page-1", "2N6075BG")</f>
        <v>2N6075BG</v>
      </c>
      <c r="B10003" s="3" t="str">
        <f>HYPERLINK("https://www.773grp.com/manufacturer/onsemi?pageNo=566", "Onsemi")</f>
        <v>Onsemi</v>
      </c>
      <c r="C10003" s="6">
        <v>188700</v>
      </c>
      <c r="D10003" s="7">
        <v>1.1599999999999999</v>
      </c>
      <c r="E10003" t="s">
        <v>81</v>
      </c>
    </row>
    <row r="10004" spans="1:5" x14ac:dyDescent="0.25">
      <c r="A10004" t="str">
        <f>HYPERLINK("https://www.773grp.com/globalSearch/2SC3902T/page-1", "2SC3902T")</f>
        <v>2SC3902T</v>
      </c>
      <c r="B10004" s="3" t="str">
        <f>HYPERLINK("https://www.773grp.com/manufacturer/onsemi?pageNo=567", "Onsemi")</f>
        <v>Onsemi</v>
      </c>
      <c r="C10004" s="6">
        <v>2000</v>
      </c>
      <c r="D10004" s="7">
        <v>1.1599999999999999</v>
      </c>
    </row>
    <row r="10005" spans="1:5" x14ac:dyDescent="0.25">
      <c r="A10005" t="str">
        <f>HYPERLINK("https://www.773grp.com/globalSearch/2SC6097-TL-E/page-1", "2SC6097-TL-E")</f>
        <v>2SC6097-TL-E</v>
      </c>
      <c r="B10005" s="3" t="str">
        <f>HYPERLINK("https://www.773grp.com/manufacturer/onsemi?pageNo=568", "Onsemi")</f>
        <v>Onsemi</v>
      </c>
      <c r="C10005" s="6">
        <v>83300</v>
      </c>
      <c r="D10005" s="7">
        <v>1.1599999999999999</v>
      </c>
    </row>
    <row r="10006" spans="1:5" x14ac:dyDescent="0.25">
      <c r="A10006" t="str">
        <f>HYPERLINK("https://www.773grp.com/globalSearch/2SD1683S/page-1", "2SD1683S")</f>
        <v>2SD1683S</v>
      </c>
      <c r="B10006" s="3" t="str">
        <f>HYPERLINK("https://www.773grp.com/manufacturer/onsemi?pageNo=569", "Onsemi")</f>
        <v>Onsemi</v>
      </c>
      <c r="C10006" s="6">
        <v>2000</v>
      </c>
      <c r="D10006" s="7">
        <v>1.1599999999999999</v>
      </c>
    </row>
    <row r="10007" spans="1:5" x14ac:dyDescent="0.25">
      <c r="A10007" t="str">
        <f>HYPERLINK("https://www.773grp.com/globalSearch/2SD1683T/page-1", "2SD1683T")</f>
        <v>2SD1683T</v>
      </c>
      <c r="B10007" s="3" t="str">
        <f>HYPERLINK("https://www.773grp.com/manufacturer/onsemi?pageNo=570", "Onsemi")</f>
        <v>Onsemi</v>
      </c>
      <c r="C10007" s="6">
        <v>600</v>
      </c>
      <c r="D10007" s="7">
        <v>1.1599999999999999</v>
      </c>
    </row>
    <row r="10008" spans="1:5" x14ac:dyDescent="0.25">
      <c r="A10008" t="str">
        <f>HYPERLINK("https://www.773grp.com/globalSearch/BYW29-100/page-1", "BYW29-100")</f>
        <v>BYW29-100</v>
      </c>
      <c r="B10008" s="3" t="str">
        <f>HYPERLINK("https://www.773grp.com/manufacturer/onsemi?pageNo=571", "Onsemi")</f>
        <v>Onsemi</v>
      </c>
      <c r="C10008" s="6">
        <v>650</v>
      </c>
      <c r="D10008" s="7">
        <v>1.1599999999999999</v>
      </c>
      <c r="E10008" t="s">
        <v>82</v>
      </c>
    </row>
    <row r="10009" spans="1:5" x14ac:dyDescent="0.25">
      <c r="A10009" t="str">
        <f>HYPERLINK("https://www.773grp.com/globalSearch/CAT24C128YI-G/page-1", "CAT24C128YI-G")</f>
        <v>CAT24C128YI-G</v>
      </c>
      <c r="B10009" s="3" t="str">
        <f>HYPERLINK("https://www.773grp.com/manufacturer/onsemi?pageNo=572", "Onsemi")</f>
        <v>Onsemi</v>
      </c>
      <c r="C10009" s="6">
        <v>300</v>
      </c>
      <c r="D10009" s="7">
        <v>1.1599999999999999</v>
      </c>
    </row>
    <row r="10010" spans="1:5" x14ac:dyDescent="0.25">
      <c r="A10010" t="str">
        <f>HYPERLINK("https://www.773grp.com/globalSearch/CAT25160VP2I-GT3/page-1", "CAT25160VP2I-GT3")</f>
        <v>CAT25160VP2I-GT3</v>
      </c>
      <c r="B10010" s="3" t="str">
        <f>HYPERLINK("https://www.773grp.com/manufacturer/onsemi?pageNo=573", "Onsemi")</f>
        <v>Onsemi</v>
      </c>
      <c r="C10010" s="6">
        <v>9000</v>
      </c>
      <c r="D10010" s="7">
        <v>1.1599999999999999</v>
      </c>
      <c r="E10010" t="s">
        <v>52</v>
      </c>
    </row>
    <row r="10011" spans="1:5" x14ac:dyDescent="0.25">
      <c r="A10011" t="str">
        <f>HYPERLINK("https://www.773grp.com/globalSearch/CAT6217-150TDGT3/page-1", "CAT6217-150TDGT3")</f>
        <v>CAT6217-150TDGT3</v>
      </c>
      <c r="B10011" s="3" t="str">
        <f>HYPERLINK("https://www.773grp.com/manufacturer/onsemi?pageNo=574", "Onsemi")</f>
        <v>Onsemi</v>
      </c>
      <c r="C10011" s="6">
        <v>15000</v>
      </c>
      <c r="D10011" s="7">
        <v>1.1599999999999999</v>
      </c>
    </row>
    <row r="10012" spans="1:5" x14ac:dyDescent="0.25">
      <c r="A10012" t="str">
        <f>HYPERLINK("https://www.773grp.com/globalSearch/CAT6217-250TDGT3/page-1", "CAT6217-250TDGT3")</f>
        <v>CAT6217-250TDGT3</v>
      </c>
      <c r="B10012" s="3" t="str">
        <f>HYPERLINK("https://www.773grp.com/manufacturer/onsemi?pageNo=575", "Onsemi")</f>
        <v>Onsemi</v>
      </c>
      <c r="C10012" s="6">
        <v>168000</v>
      </c>
      <c r="D10012" s="7">
        <v>1.1599999999999999</v>
      </c>
    </row>
    <row r="10013" spans="1:5" x14ac:dyDescent="0.25">
      <c r="A10013" t="str">
        <f>HYPERLINK("https://www.773grp.com/globalSearch/CAT6217-285TDGT3/page-1", "CAT6217-285TDGT3")</f>
        <v>CAT6217-285TDGT3</v>
      </c>
      <c r="B10013" s="3" t="str">
        <f>HYPERLINK("https://www.773grp.com/manufacturer/onsemi?pageNo=576", "Onsemi")</f>
        <v>Onsemi</v>
      </c>
      <c r="C10013" s="6">
        <v>129000</v>
      </c>
      <c r="D10013" s="7">
        <v>1.1599999999999999</v>
      </c>
    </row>
    <row r="10014" spans="1:5" x14ac:dyDescent="0.25">
      <c r="A10014" t="str">
        <f>HYPERLINK("https://www.773grp.com/globalSearch/CAT6217-330TDGT3/page-1", "CAT6217-330TDGT3")</f>
        <v>CAT6217-330TDGT3</v>
      </c>
      <c r="B10014" s="3" t="str">
        <f>HYPERLINK("https://www.773grp.com/manufacturer/onsemi?pageNo=577", "Onsemi")</f>
        <v>Onsemi</v>
      </c>
      <c r="C10014" s="6">
        <v>21000</v>
      </c>
      <c r="D10014" s="7">
        <v>1.1599999999999999</v>
      </c>
      <c r="E10014" t="s">
        <v>15</v>
      </c>
    </row>
    <row r="10015" spans="1:5" x14ac:dyDescent="0.25">
      <c r="A10015" t="str">
        <f>HYPERLINK("https://www.773grp.com/globalSearch/CAT823LTDI-GT3/page-1", "CAT823LTDI-GT3")</f>
        <v>CAT823LTDI-GT3</v>
      </c>
      <c r="B10015" s="3" t="str">
        <f>HYPERLINK("https://www.773grp.com/manufacturer/onsemi?pageNo=578", "Onsemi")</f>
        <v>Onsemi</v>
      </c>
      <c r="C10015" s="6">
        <v>12000</v>
      </c>
      <c r="D10015" s="7">
        <v>1.1599999999999999</v>
      </c>
    </row>
    <row r="10016" spans="1:5" x14ac:dyDescent="0.25">
      <c r="A10016" t="str">
        <f>HYPERLINK("https://www.773grp.com/globalSearch/CAT823MTDI-GT3/page-1", "CAT823MTDI-GT3")</f>
        <v>CAT823MTDI-GT3</v>
      </c>
      <c r="B10016" s="3" t="str">
        <f>HYPERLINK("https://www.773grp.com/manufacturer/onsemi?pageNo=579", "Onsemi")</f>
        <v>Onsemi</v>
      </c>
      <c r="C10016" s="6">
        <v>18000</v>
      </c>
      <c r="D10016" s="7">
        <v>1.1599999999999999</v>
      </c>
    </row>
    <row r="10017" spans="1:5" x14ac:dyDescent="0.25">
      <c r="A10017" t="str">
        <f>HYPERLINK("https://www.773grp.com/globalSearch/CAT823RTDI-GT3/page-1", "CAT823RTDI-GT3")</f>
        <v>CAT823RTDI-GT3</v>
      </c>
      <c r="B10017" s="3" t="str">
        <f>HYPERLINK("https://www.773grp.com/manufacturer/onsemi?pageNo=580", "Onsemi")</f>
        <v>Onsemi</v>
      </c>
      <c r="C10017" s="6">
        <v>12000</v>
      </c>
      <c r="D10017" s="7">
        <v>1.1599999999999999</v>
      </c>
    </row>
    <row r="10018" spans="1:5" x14ac:dyDescent="0.25">
      <c r="A10018" t="str">
        <f>HYPERLINK("https://www.773grp.com/globalSearch/CAT823TSDI-GT3/page-1", "CAT823TSDI-GT3")</f>
        <v>CAT823TSDI-GT3</v>
      </c>
      <c r="B10018" s="3" t="str">
        <f>HYPERLINK("https://www.773grp.com/manufacturer/onsemi?pageNo=581", "Onsemi")</f>
        <v>Onsemi</v>
      </c>
      <c r="C10018" s="6">
        <v>6000</v>
      </c>
      <c r="D10018" s="7">
        <v>1.1599999999999999</v>
      </c>
    </row>
    <row r="10019" spans="1:5" x14ac:dyDescent="0.25">
      <c r="A10019" t="str">
        <f>HYPERLINK("https://www.773grp.com/globalSearch/CAT823TTDI-GT3/page-1", "CAT823TTDI-GT3")</f>
        <v>CAT823TTDI-GT3</v>
      </c>
      <c r="B10019" s="3" t="str">
        <f>HYPERLINK("https://www.773grp.com/manufacturer/onsemi?pageNo=582", "Onsemi")</f>
        <v>Onsemi</v>
      </c>
      <c r="C10019" s="6">
        <v>14058</v>
      </c>
      <c r="D10019" s="7">
        <v>1.1599999999999999</v>
      </c>
    </row>
    <row r="10020" spans="1:5" x14ac:dyDescent="0.25">
      <c r="A10020" t="str">
        <f>HYPERLINK("https://www.773grp.com/globalSearch/CAT823YTDI-GT3/page-1", "CAT823YTDI-GT3")</f>
        <v>CAT823YTDI-GT3</v>
      </c>
      <c r="B10020" s="3" t="str">
        <f>HYPERLINK("https://www.773grp.com/manufacturer/onsemi?pageNo=583", "Onsemi")</f>
        <v>Onsemi</v>
      </c>
      <c r="C10020" s="6">
        <v>3000</v>
      </c>
      <c r="D10020" s="7">
        <v>1.1599999999999999</v>
      </c>
    </row>
    <row r="10021" spans="1:5" x14ac:dyDescent="0.25">
      <c r="A10021" t="str">
        <f>HYPERLINK("https://www.773grp.com/globalSearch/CAT823ZSDI-GT3/page-1", "CAT823ZSDI-GT3")</f>
        <v>CAT823ZSDI-GT3</v>
      </c>
      <c r="B10021" s="3" t="str">
        <f>HYPERLINK("https://www.773grp.com/manufacturer/onsemi?pageNo=584", "Onsemi")</f>
        <v>Onsemi</v>
      </c>
      <c r="C10021" s="6">
        <v>6000</v>
      </c>
      <c r="D10021" s="7">
        <v>1.1599999999999999</v>
      </c>
      <c r="E10021" t="s">
        <v>26</v>
      </c>
    </row>
    <row r="10022" spans="1:5" x14ac:dyDescent="0.25">
      <c r="A10022" t="str">
        <f>HYPERLINK("https://www.773grp.com/globalSearch/CAT824LTDI-GT3/page-1", "CAT824LTDI-GT3")</f>
        <v>CAT824LTDI-GT3</v>
      </c>
      <c r="B10022" s="3" t="str">
        <f>HYPERLINK("https://www.773grp.com/manufacturer/onsemi?pageNo=585", "Onsemi")</f>
        <v>Onsemi</v>
      </c>
      <c r="C10022" s="6">
        <v>3000</v>
      </c>
      <c r="D10022" s="7">
        <v>1.1599999999999999</v>
      </c>
      <c r="E10022" t="s">
        <v>26</v>
      </c>
    </row>
    <row r="10023" spans="1:5" x14ac:dyDescent="0.25">
      <c r="A10023" t="str">
        <f>HYPERLINK("https://www.773grp.com/globalSearch/CAT824RSDI-GT3/page-1", "CAT824RSDI-GT3")</f>
        <v>CAT824RSDI-GT3</v>
      </c>
      <c r="B10023" s="3" t="str">
        <f>HYPERLINK("https://www.773grp.com/manufacturer/onsemi?pageNo=586", "Onsemi")</f>
        <v>Onsemi</v>
      </c>
      <c r="C10023" s="6">
        <v>18000</v>
      </c>
      <c r="D10023" s="7">
        <v>1.1599999999999999</v>
      </c>
    </row>
    <row r="10024" spans="1:5" x14ac:dyDescent="0.25">
      <c r="A10024" t="str">
        <f>HYPERLINK("https://www.773grp.com/globalSearch/CAT824TTDI-GT3/page-1", "CAT824TTDI-GT3")</f>
        <v>CAT824TTDI-GT3</v>
      </c>
      <c r="B10024" s="3" t="str">
        <f>HYPERLINK("https://www.773grp.com/manufacturer/onsemi?pageNo=587", "Onsemi")</f>
        <v>Onsemi</v>
      </c>
      <c r="C10024" s="6">
        <v>11000</v>
      </c>
      <c r="D10024" s="7">
        <v>1.1599999999999999</v>
      </c>
    </row>
    <row r="10025" spans="1:5" x14ac:dyDescent="0.25">
      <c r="A10025" t="str">
        <f>HYPERLINK("https://www.773grp.com/globalSearch/CAT825STDI-GT3/page-1", "CAT825STDI-GT3")</f>
        <v>CAT825STDI-GT3</v>
      </c>
      <c r="B10025" s="3" t="str">
        <f>HYPERLINK("https://www.773grp.com/manufacturer/onsemi?pageNo=588", "Onsemi")</f>
        <v>Onsemi</v>
      </c>
      <c r="C10025" s="6">
        <v>5900</v>
      </c>
      <c r="D10025" s="7">
        <v>1.1599999999999999</v>
      </c>
    </row>
    <row r="10026" spans="1:5" x14ac:dyDescent="0.25">
      <c r="A10026" t="str">
        <f>HYPERLINK("https://www.773grp.com/globalSearch/CAT825YTDI-GT3/page-1", "CAT825YTDI-GT3")</f>
        <v>CAT825YTDI-GT3</v>
      </c>
      <c r="B10026" s="3" t="str">
        <f>HYPERLINK("https://www.773grp.com/manufacturer/onsemi?pageNo=589", "Onsemi")</f>
        <v>Onsemi</v>
      </c>
      <c r="C10026" s="6">
        <v>3000</v>
      </c>
      <c r="D10026" s="7">
        <v>1.1599999999999999</v>
      </c>
    </row>
    <row r="10027" spans="1:5" x14ac:dyDescent="0.25">
      <c r="A10027" t="str">
        <f>HYPERLINK("https://www.773grp.com/globalSearch/CAT93C86VI-G/page-1", "CAT93C86VI-G")</f>
        <v>CAT93C86VI-G</v>
      </c>
      <c r="B10027" s="3" t="str">
        <f>HYPERLINK("https://www.773grp.com/manufacturer/onsemi?pageNo=590", "Onsemi")</f>
        <v>Onsemi</v>
      </c>
      <c r="C10027" s="6">
        <v>3413</v>
      </c>
      <c r="D10027" s="7">
        <v>1.1599999999999999</v>
      </c>
    </row>
    <row r="10028" spans="1:5" x14ac:dyDescent="0.25">
      <c r="A10028" t="str">
        <f>HYPERLINK("https://www.773grp.com/globalSearch/CD8447DR2/page-1", "CD8447DR2")</f>
        <v>CD8447DR2</v>
      </c>
      <c r="B10028" s="3" t="str">
        <f>HYPERLINK("https://www.773grp.com/manufacturer/onsemi?pageNo=591", "Onsemi")</f>
        <v>Onsemi</v>
      </c>
      <c r="C10028" s="6">
        <v>35000</v>
      </c>
      <c r="D10028" s="7">
        <v>1.1599999999999999</v>
      </c>
    </row>
    <row r="10029" spans="1:5" x14ac:dyDescent="0.25">
      <c r="A10029" t="str">
        <f>HYPERLINK("https://www.773grp.com/globalSearch/CM1692-08DE/page-1", "CM1692-08DE")</f>
        <v>CM1692-08DE</v>
      </c>
      <c r="B10029" s="3" t="str">
        <f>HYPERLINK("https://www.773grp.com/manufacturer/onsemi?pageNo=592", "Onsemi")</f>
        <v>Onsemi</v>
      </c>
      <c r="C10029" s="6">
        <v>381940</v>
      </c>
      <c r="D10029" s="7">
        <v>1.1599999999999999</v>
      </c>
    </row>
    <row r="10030" spans="1:5" x14ac:dyDescent="0.25">
      <c r="A10030" t="str">
        <f>HYPERLINK("https://www.773grp.com/globalSearch/ECH8308-TL-H/page-1", "ECH8308-TL-H")</f>
        <v>ECH8308-TL-H</v>
      </c>
      <c r="B10030" s="3" t="str">
        <f>HYPERLINK("https://www.773grp.com/manufacturer/onsemi?pageNo=593", "Onsemi")</f>
        <v>Onsemi</v>
      </c>
      <c r="C10030" s="6">
        <v>6000</v>
      </c>
      <c r="D10030" s="7">
        <v>1.1599999999999999</v>
      </c>
    </row>
    <row r="10031" spans="1:5" x14ac:dyDescent="0.25">
      <c r="A10031" t="str">
        <f>HYPERLINK("https://www.773grp.com/globalSearch/EMI4182MTTAG/page-1", "EMI4182MTTAG")</f>
        <v>EMI4182MTTAG</v>
      </c>
      <c r="B10031" s="3" t="str">
        <f>HYPERLINK("https://www.773grp.com/manufacturer/onsemi?pageNo=594", "Onsemi")</f>
        <v>Onsemi</v>
      </c>
      <c r="C10031" s="6">
        <v>3000</v>
      </c>
      <c r="D10031" s="7">
        <v>1.1599999999999999</v>
      </c>
    </row>
    <row r="10032" spans="1:5" x14ac:dyDescent="0.25">
      <c r="A10032" t="str">
        <f>HYPERLINK("https://www.773grp.com/globalSearch/LM2901VDTBR2G/page-1", "LM2901VDTBR2G")</f>
        <v>LM2901VDTBR2G</v>
      </c>
      <c r="B10032" s="3" t="str">
        <f>HYPERLINK("https://www.773grp.com/manufacturer/onsemi?pageNo=595", "Onsemi")</f>
        <v>Onsemi</v>
      </c>
      <c r="C10032" s="6">
        <v>1115</v>
      </c>
      <c r="D10032" s="7">
        <v>1.1599999999999999</v>
      </c>
    </row>
    <row r="10033" spans="1:5" x14ac:dyDescent="0.25">
      <c r="A10033" t="str">
        <f>HYPERLINK("https://www.773grp.com/globalSearch/LM2902VDTBG/page-1", "LM2902VDTBG")</f>
        <v>LM2902VDTBG</v>
      </c>
      <c r="B10033" s="3" t="str">
        <f>HYPERLINK("https://www.773grp.com/manufacturer/onsemi?pageNo=596", "Onsemi")</f>
        <v>Onsemi</v>
      </c>
      <c r="C10033" s="6">
        <v>7929</v>
      </c>
      <c r="D10033" s="7">
        <v>1.1599999999999999</v>
      </c>
      <c r="E10033" t="s">
        <v>10</v>
      </c>
    </row>
    <row r="10034" spans="1:5" x14ac:dyDescent="0.25">
      <c r="A10034" t="str">
        <f>HYPERLINK("https://www.773grp.com/globalSearch/LM2902VDTBR2G/page-1", "LM2902VDTBR2G")</f>
        <v>LM2902VDTBR2G</v>
      </c>
      <c r="B10034" s="3" t="str">
        <f>HYPERLINK("https://www.773grp.com/manufacturer/onsemi?pageNo=597", "Onsemi")</f>
        <v>Onsemi</v>
      </c>
      <c r="C10034" s="6">
        <v>2500</v>
      </c>
      <c r="D10034" s="7">
        <v>1.1599999999999999</v>
      </c>
    </row>
    <row r="10035" spans="1:5" x14ac:dyDescent="0.25">
      <c r="A10035" t="str">
        <f>HYPERLINK("https://www.773grp.com/globalSearch/LM2931ACTV/page-1", "LM2931ACTV")</f>
        <v>LM2931ACTV</v>
      </c>
      <c r="B10035" s="3" t="str">
        <f>HYPERLINK("https://www.773grp.com/manufacturer/onsemi?pageNo=598", "Onsemi")</f>
        <v>Onsemi</v>
      </c>
      <c r="C10035" s="6">
        <v>2940</v>
      </c>
      <c r="D10035" s="7">
        <v>1.1599999999999999</v>
      </c>
      <c r="E10035" t="s">
        <v>21</v>
      </c>
    </row>
    <row r="10036" spans="1:5" x14ac:dyDescent="0.25">
      <c r="A10036" t="str">
        <f>HYPERLINK("https://www.773grp.com/globalSearch/LMV358DMR2G/page-1", "LMV358DMR2G")</f>
        <v>LMV358DMR2G</v>
      </c>
      <c r="B10036" s="3" t="str">
        <f>HYPERLINK("https://www.773grp.com/manufacturer/onsemi?pageNo=599", "Onsemi")</f>
        <v>Onsemi</v>
      </c>
      <c r="C10036" s="6">
        <v>4144</v>
      </c>
      <c r="D10036" s="7">
        <v>1.1599999999999999</v>
      </c>
      <c r="E10036" t="s">
        <v>10</v>
      </c>
    </row>
    <row r="10037" spans="1:5" x14ac:dyDescent="0.25">
      <c r="A10037" t="str">
        <f>HYPERLINK("https://www.773grp.com/globalSearch/LMV358DR2G/page-1", "LMV358DR2G")</f>
        <v>LMV358DR2G</v>
      </c>
      <c r="B10037" s="3" t="str">
        <f>HYPERLINK("https://www.773grp.com/manufacturer/onsemi?pageNo=600", "Onsemi")</f>
        <v>Onsemi</v>
      </c>
      <c r="C10037" s="6">
        <v>435000</v>
      </c>
      <c r="D10037" s="7">
        <v>1.1599999999999999</v>
      </c>
      <c r="E10037" t="s">
        <v>10</v>
      </c>
    </row>
    <row r="10038" spans="1:5" x14ac:dyDescent="0.25">
      <c r="A10038" t="str">
        <f>HYPERLINK("https://www.773grp.com/globalSearch/LMV358MUTAG/page-1", "LMV358MUTAG")</f>
        <v>LMV358MUTAG</v>
      </c>
      <c r="B10038" s="3" t="str">
        <f>HYPERLINK("https://www.773grp.com/manufacturer/onsemi?pageNo=601", "Onsemi")</f>
        <v>Onsemi</v>
      </c>
      <c r="C10038" s="6">
        <v>69000</v>
      </c>
      <c r="D10038" s="7">
        <v>1.1599999999999999</v>
      </c>
    </row>
    <row r="10039" spans="1:5" x14ac:dyDescent="0.25">
      <c r="A10039" t="str">
        <f>HYPERLINK("https://www.773grp.com/globalSearch/LMV393DMR2G/page-1", "LMV393DMR2G")</f>
        <v>LMV393DMR2G</v>
      </c>
      <c r="B10039" s="3" t="str">
        <f>HYPERLINK("https://www.773grp.com/manufacturer/onsemi?pageNo=602", "Onsemi")</f>
        <v>Onsemi</v>
      </c>
      <c r="C10039" s="6">
        <v>24000</v>
      </c>
      <c r="D10039" s="7">
        <v>1.1599999999999999</v>
      </c>
      <c r="E10039" t="s">
        <v>6</v>
      </c>
    </row>
    <row r="10040" spans="1:5" x14ac:dyDescent="0.25">
      <c r="A10040" t="str">
        <f>HYPERLINK("https://www.773grp.com/globalSearch/LMV393DR2G/page-1", "LMV393DR2G")</f>
        <v>LMV393DR2G</v>
      </c>
      <c r="B10040" s="3" t="str">
        <f>HYPERLINK("https://www.773grp.com/manufacturer/onsemi?pageNo=603", "Onsemi")</f>
        <v>Onsemi</v>
      </c>
      <c r="C10040" s="6">
        <v>53000</v>
      </c>
      <c r="D10040" s="7">
        <v>1.1599999999999999</v>
      </c>
      <c r="E10040" t="s">
        <v>6</v>
      </c>
    </row>
    <row r="10041" spans="1:5" x14ac:dyDescent="0.25">
      <c r="A10041" t="str">
        <f>HYPERLINK("https://www.773grp.com/globalSearch/LMV393MUTAG/page-1", "LMV393MUTAG")</f>
        <v>LMV393MUTAG</v>
      </c>
      <c r="B10041" s="3" t="str">
        <f>HYPERLINK("https://www.773grp.com/manufacturer/onsemi?pageNo=604", "Onsemi")</f>
        <v>Onsemi</v>
      </c>
      <c r="C10041" s="6">
        <v>8900</v>
      </c>
      <c r="D10041" s="7">
        <v>1.1599999999999999</v>
      </c>
      <c r="E10041" t="s">
        <v>6</v>
      </c>
    </row>
    <row r="10042" spans="1:5" x14ac:dyDescent="0.25">
      <c r="A10042" t="str">
        <f>HYPERLINK("https://www.773grp.com/globalSearch/LP2951ACD-3.0G/page-1", "LP2951ACD-3.0G")</f>
        <v>LP2951ACD-3.0G</v>
      </c>
      <c r="B10042" s="3" t="str">
        <f>HYPERLINK("https://www.773grp.com/manufacturer/onsemi?pageNo=605", "Onsemi")</f>
        <v>Onsemi</v>
      </c>
      <c r="C10042" s="6">
        <v>4254</v>
      </c>
      <c r="D10042" s="7">
        <v>1.1599999999999999</v>
      </c>
      <c r="E10042" t="s">
        <v>23</v>
      </c>
    </row>
    <row r="10043" spans="1:5" x14ac:dyDescent="0.25">
      <c r="A10043" t="str">
        <f>HYPERLINK("https://www.773grp.com/globalSearch/LP2951ACD-3.0R2G/page-1", "LP2951ACD-3.0R2G")</f>
        <v>LP2951ACD-3.0R2G</v>
      </c>
      <c r="B10043" s="3" t="str">
        <f>HYPERLINK("https://www.773grp.com/manufacturer/onsemi?pageNo=606", "Onsemi")</f>
        <v>Onsemi</v>
      </c>
      <c r="C10043" s="6">
        <v>34888</v>
      </c>
      <c r="D10043" s="7">
        <v>1.1599999999999999</v>
      </c>
      <c r="E10043" t="s">
        <v>23</v>
      </c>
    </row>
    <row r="10044" spans="1:5" x14ac:dyDescent="0.25">
      <c r="A10044" t="str">
        <f>HYPERLINK("https://www.773grp.com/globalSearch/LP2951ACD-3.3G/page-1", "LP2951ACD-3.3G")</f>
        <v>LP2951ACD-3.3G</v>
      </c>
      <c r="B10044" s="3" t="str">
        <f>HYPERLINK("https://www.773grp.com/manufacturer/onsemi?pageNo=607", "Onsemi")</f>
        <v>Onsemi</v>
      </c>
      <c r="C10044" s="6">
        <v>1874</v>
      </c>
      <c r="D10044" s="7">
        <v>1.1599999999999999</v>
      </c>
      <c r="E10044" t="s">
        <v>23</v>
      </c>
    </row>
    <row r="10045" spans="1:5" x14ac:dyDescent="0.25">
      <c r="A10045" t="str">
        <f>HYPERLINK("https://www.773grp.com/globalSearch/LP2951ACD3.3R2G/page-1", "LP2951ACD3.3R2G")</f>
        <v>LP2951ACD3.3R2G</v>
      </c>
      <c r="B10045" s="3" t="str">
        <f>HYPERLINK("https://www.773grp.com/manufacturer/onsemi?pageNo=608", "Onsemi")</f>
        <v>Onsemi</v>
      </c>
      <c r="C10045" s="6">
        <v>973</v>
      </c>
      <c r="D10045" s="7">
        <v>1.1599999999999999</v>
      </c>
    </row>
    <row r="10046" spans="1:5" x14ac:dyDescent="0.25">
      <c r="A10046" t="str">
        <f>HYPERLINK("https://www.773grp.com/globalSearch/LP2951ACD-3.3R2G/page-1", "LP2951ACD-3.3R2G")</f>
        <v>LP2951ACD-3.3R2G</v>
      </c>
      <c r="B10046" s="3" t="str">
        <f>HYPERLINK("https://www.773grp.com/manufacturer/onsemi?pageNo=609", "Onsemi")</f>
        <v>Onsemi</v>
      </c>
      <c r="C10046" s="6">
        <v>135615</v>
      </c>
      <c r="D10046" s="7">
        <v>1.1599999999999999</v>
      </c>
      <c r="E10046" t="s">
        <v>15</v>
      </c>
    </row>
    <row r="10047" spans="1:5" x14ac:dyDescent="0.25">
      <c r="A10047" t="str">
        <f>HYPERLINK("https://www.773grp.com/globalSearch/LP2951ACD-3.3R2R/page-1", "LP2951ACD-3.3R2R")</f>
        <v>LP2951ACD-3.3R2R</v>
      </c>
      <c r="B10047" s="3" t="str">
        <f>HYPERLINK("https://www.773grp.com/manufacturer/onsemi?pageNo=610", "Onsemi")</f>
        <v>Onsemi</v>
      </c>
      <c r="C10047" s="6">
        <v>175</v>
      </c>
      <c r="D10047" s="7">
        <v>1.1599999999999999</v>
      </c>
    </row>
    <row r="10048" spans="1:5" x14ac:dyDescent="0.25">
      <c r="A10048" t="str">
        <f>HYPERLINK("https://www.773grp.com/globalSearch/LP2951ACDG/page-1", "LP2951ACDG")</f>
        <v>LP2951ACDG</v>
      </c>
      <c r="B10048" s="3" t="str">
        <f>HYPERLINK("https://www.773grp.com/manufacturer/onsemi?pageNo=611", "Onsemi")</f>
        <v>Onsemi</v>
      </c>
      <c r="C10048" s="6">
        <v>2548</v>
      </c>
      <c r="D10048" s="7">
        <v>1.1599999999999999</v>
      </c>
      <c r="E10048" t="s">
        <v>23</v>
      </c>
    </row>
    <row r="10049" spans="1:5" x14ac:dyDescent="0.25">
      <c r="A10049" t="str">
        <f>HYPERLINK("https://www.773grp.com/globalSearch/LP2951ACDM-3.0RG/page-1", "LP2951ACDM-3.0RG")</f>
        <v>LP2951ACDM-3.0RG</v>
      </c>
      <c r="B10049" s="3" t="str">
        <f>HYPERLINK("https://www.773grp.com/manufacturer/onsemi?pageNo=612", "Onsemi")</f>
        <v>Onsemi</v>
      </c>
      <c r="C10049" s="6">
        <v>8000</v>
      </c>
      <c r="D10049" s="7">
        <v>1.1599999999999999</v>
      </c>
      <c r="E10049" t="s">
        <v>15</v>
      </c>
    </row>
    <row r="10050" spans="1:5" x14ac:dyDescent="0.25">
      <c r="A10050" t="str">
        <f>HYPERLINK("https://www.773grp.com/globalSearch/LP2951ACDMR2G/page-1", "LP2951ACDMR2G")</f>
        <v>LP2951ACDMR2G</v>
      </c>
      <c r="B10050" s="3" t="str">
        <f>HYPERLINK("https://www.773grp.com/manufacturer/onsemi?pageNo=613", "Onsemi")</f>
        <v>Onsemi</v>
      </c>
      <c r="C10050" s="6">
        <v>103985</v>
      </c>
      <c r="D10050" s="7">
        <v>1.1599999999999999</v>
      </c>
      <c r="E10050" t="s">
        <v>23</v>
      </c>
    </row>
    <row r="10051" spans="1:5" x14ac:dyDescent="0.25">
      <c r="A10051" t="str">
        <f>HYPERLINK("https://www.773grp.com/globalSearch/LP2951ACDR2G/page-1", "LP2951ACDR2G")</f>
        <v>LP2951ACDR2G</v>
      </c>
      <c r="B10051" s="3" t="str">
        <f>HYPERLINK("https://www.773grp.com/manufacturer/onsemi?pageNo=614", "Onsemi")</f>
        <v>Onsemi</v>
      </c>
      <c r="C10051" s="6">
        <v>650757</v>
      </c>
      <c r="D10051" s="7">
        <v>1.1599999999999999</v>
      </c>
      <c r="E10051" t="s">
        <v>23</v>
      </c>
    </row>
    <row r="10052" spans="1:5" x14ac:dyDescent="0.25">
      <c r="A10052" t="str">
        <f>HYPERLINK("https://www.773grp.com/globalSearch/LP2951ACN-3.3G/page-1", "LP2951ACN-3.3G")</f>
        <v>LP2951ACN-3.3G</v>
      </c>
      <c r="B10052" s="3" t="str">
        <f>HYPERLINK("https://www.773grp.com/manufacturer/onsemi?pageNo=615", "Onsemi")</f>
        <v>Onsemi</v>
      </c>
      <c r="C10052" s="6">
        <v>1035</v>
      </c>
      <c r="D10052" s="7">
        <v>1.1599999999999999</v>
      </c>
      <c r="E10052" t="s">
        <v>23</v>
      </c>
    </row>
    <row r="10053" spans="1:5" x14ac:dyDescent="0.25">
      <c r="A10053" t="str">
        <f>HYPERLINK("https://www.773grp.com/globalSearch/LP2951CN-3.0G/page-1", "LP2951CN-3.0G")</f>
        <v>LP2951CN-3.0G</v>
      </c>
      <c r="B10053" s="3" t="str">
        <f>HYPERLINK("https://www.773grp.com/manufacturer/onsemi?pageNo=616", "Onsemi")</f>
        <v>Onsemi</v>
      </c>
      <c r="C10053" s="6">
        <v>2398</v>
      </c>
      <c r="D10053" s="7">
        <v>1.1599999999999999</v>
      </c>
      <c r="E10053" t="s">
        <v>23</v>
      </c>
    </row>
    <row r="10054" spans="1:5" x14ac:dyDescent="0.25">
      <c r="A10054" t="str">
        <f>HYPERLINK("https://www.773grp.com/globalSearch/MC14008BCPG/page-1", "MC14008BCPG")</f>
        <v>MC14008BCPG</v>
      </c>
      <c r="B10054" s="3" t="str">
        <f>HYPERLINK("https://www.773grp.com/manufacturer/onsemi?pageNo=617", "Onsemi")</f>
        <v>Onsemi</v>
      </c>
      <c r="C10054" s="6">
        <v>35313</v>
      </c>
      <c r="D10054" s="7">
        <v>1.1599999999999999</v>
      </c>
      <c r="E10054" t="s">
        <v>38</v>
      </c>
    </row>
    <row r="10055" spans="1:5" x14ac:dyDescent="0.25">
      <c r="A10055" t="str">
        <f>HYPERLINK("https://www.773grp.com/globalSearch/MC14008BDR2G/page-1", "MC14008BDR2G")</f>
        <v>MC14008BDR2G</v>
      </c>
      <c r="B10055" s="3" t="str">
        <f>HYPERLINK("https://www.773grp.com/manufacturer/onsemi?pageNo=618", "Onsemi")</f>
        <v>Onsemi</v>
      </c>
      <c r="C10055" s="6">
        <v>305</v>
      </c>
      <c r="D10055" s="7">
        <v>1.1599999999999999</v>
      </c>
      <c r="E10055" t="s">
        <v>38</v>
      </c>
    </row>
    <row r="10056" spans="1:5" x14ac:dyDescent="0.25">
      <c r="A10056" t="str">
        <f>HYPERLINK("https://www.773grp.com/globalSearch/MC14015BCPG/page-1", "MC14015BCPG")</f>
        <v>MC14015BCPG</v>
      </c>
      <c r="B10056" s="3" t="str">
        <f>HYPERLINK("https://www.773grp.com/manufacturer/onsemi?pageNo=619", "Onsemi")</f>
        <v>Onsemi</v>
      </c>
      <c r="C10056" s="6">
        <v>9740</v>
      </c>
      <c r="D10056" s="7">
        <v>1.1599999999999999</v>
      </c>
      <c r="E10056" t="s">
        <v>28</v>
      </c>
    </row>
    <row r="10057" spans="1:5" x14ac:dyDescent="0.25">
      <c r="A10057" t="str">
        <f>HYPERLINK("https://www.773grp.com/globalSearch/MC14017BFELG/page-1", "MC14017BFELG")</f>
        <v>MC14017BFELG</v>
      </c>
      <c r="B10057" s="3" t="str">
        <f>HYPERLINK("https://www.773grp.com/manufacturer/onsemi?pageNo=620", "Onsemi")</f>
        <v>Onsemi</v>
      </c>
      <c r="C10057" s="6">
        <v>21095</v>
      </c>
      <c r="D10057" s="7">
        <v>1.1599999999999999</v>
      </c>
      <c r="E10057" t="s">
        <v>22</v>
      </c>
    </row>
    <row r="10058" spans="1:5" x14ac:dyDescent="0.25">
      <c r="A10058" t="str">
        <f>HYPERLINK("https://www.773grp.com/globalSearch/MC14020BDG/page-1", "MC14020BDG")</f>
        <v>MC14020BDG</v>
      </c>
      <c r="B10058" s="3" t="str">
        <f>HYPERLINK("https://www.773grp.com/manufacturer/onsemi?pageNo=621", "Onsemi")</f>
        <v>Onsemi</v>
      </c>
      <c r="C10058" s="6">
        <v>5770</v>
      </c>
      <c r="D10058" s="7">
        <v>1.1599999999999999</v>
      </c>
    </row>
    <row r="10059" spans="1:5" x14ac:dyDescent="0.25">
      <c r="A10059" t="str">
        <f>HYPERLINK("https://www.773grp.com/globalSearch/MC14020BDR2G/page-1", "MC14020BDR2G")</f>
        <v>MC14020BDR2G</v>
      </c>
      <c r="B10059" s="3" t="str">
        <f>HYPERLINK("https://www.773grp.com/manufacturer/onsemi?pageNo=622", "Onsemi")</f>
        <v>Onsemi</v>
      </c>
      <c r="C10059" s="6">
        <v>83234</v>
      </c>
      <c r="D10059" s="7">
        <v>1.1599999999999999</v>
      </c>
      <c r="E10059" t="s">
        <v>22</v>
      </c>
    </row>
    <row r="10060" spans="1:5" x14ac:dyDescent="0.25">
      <c r="A10060" t="str">
        <f>HYPERLINK("https://www.773grp.com/globalSearch/MC14021BDR2/page-1", "MC14021BDR2")</f>
        <v>MC14021BDR2</v>
      </c>
      <c r="B10060" s="3" t="str">
        <f>HYPERLINK("https://www.773grp.com/manufacturer/onsemi?pageNo=623", "Onsemi")</f>
        <v>Onsemi</v>
      </c>
      <c r="C10060" s="6">
        <v>13994</v>
      </c>
      <c r="D10060" s="7">
        <v>1.1599999999999999</v>
      </c>
      <c r="E10060" t="s">
        <v>28</v>
      </c>
    </row>
    <row r="10061" spans="1:5" x14ac:dyDescent="0.25">
      <c r="A10061" t="str">
        <f>HYPERLINK("https://www.773grp.com/globalSearch/MC14022BDG/page-1", "MC14022BDG")</f>
        <v>MC14022BDG</v>
      </c>
      <c r="B10061" s="3" t="str">
        <f>HYPERLINK("https://www.773grp.com/manufacturer/onsemi?pageNo=624", "Onsemi")</f>
        <v>Onsemi</v>
      </c>
      <c r="C10061" s="6">
        <v>8188</v>
      </c>
      <c r="D10061" s="7">
        <v>1.1599999999999999</v>
      </c>
      <c r="E10061" t="s">
        <v>22</v>
      </c>
    </row>
    <row r="10062" spans="1:5" x14ac:dyDescent="0.25">
      <c r="A10062" t="str">
        <f>HYPERLINK("https://www.773grp.com/globalSearch/MC14022BDR2G/page-1", "MC14022BDR2G")</f>
        <v>MC14022BDR2G</v>
      </c>
      <c r="B10062" s="3" t="str">
        <f>HYPERLINK("https://www.773grp.com/manufacturer/onsemi?pageNo=625", "Onsemi")</f>
        <v>Onsemi</v>
      </c>
      <c r="C10062" s="6">
        <v>11358</v>
      </c>
      <c r="D10062" s="7">
        <v>1.1599999999999999</v>
      </c>
      <c r="E10062" t="s">
        <v>22</v>
      </c>
    </row>
    <row r="10063" spans="1:5" x14ac:dyDescent="0.25">
      <c r="A10063" t="str">
        <f>HYPERLINK("https://www.773grp.com/globalSearch/MC14028BCP/page-1", "MC14028BCP")</f>
        <v>MC14028BCP</v>
      </c>
      <c r="B10063" s="3" t="str">
        <f>HYPERLINK("https://www.773grp.com/manufacturer/onsemi?pageNo=626", "Onsemi")</f>
        <v>Onsemi</v>
      </c>
      <c r="C10063" s="6">
        <v>675</v>
      </c>
      <c r="D10063" s="7">
        <v>1.1599999999999999</v>
      </c>
      <c r="E10063" t="s">
        <v>32</v>
      </c>
    </row>
    <row r="10064" spans="1:5" x14ac:dyDescent="0.25">
      <c r="A10064" t="str">
        <f>HYPERLINK("https://www.773grp.com/globalSearch/MC14028BCPG/page-1", "MC14028BCPG")</f>
        <v>MC14028BCPG</v>
      </c>
      <c r="B10064" s="3" t="str">
        <f>HYPERLINK("https://www.773grp.com/manufacturer/onsemi?pageNo=627", "Onsemi")</f>
        <v>Onsemi</v>
      </c>
      <c r="C10064" s="6">
        <v>55650</v>
      </c>
      <c r="D10064" s="7">
        <v>1.1599999999999999</v>
      </c>
      <c r="E10064" t="s">
        <v>32</v>
      </c>
    </row>
    <row r="10065" spans="1:5" x14ac:dyDescent="0.25">
      <c r="A10065" t="str">
        <f>HYPERLINK("https://www.773grp.com/globalSearch/MC14028BCPG/page-1", "MC14028BCPG")</f>
        <v>MC14028BCPG</v>
      </c>
      <c r="B10065" s="3" t="str">
        <f>HYPERLINK("https://www.773grp.com/manufacturer/onsemi?pageNo=628", "Onsemi")</f>
        <v>Onsemi</v>
      </c>
      <c r="C10065" s="6">
        <v>2709</v>
      </c>
      <c r="D10065" s="7">
        <v>1.1599999999999999</v>
      </c>
      <c r="E10065" t="s">
        <v>32</v>
      </c>
    </row>
    <row r="10066" spans="1:5" x14ac:dyDescent="0.25">
      <c r="A10066" t="str">
        <f>HYPERLINK("https://www.773grp.com/globalSearch/MC14040BCPG/page-1", "MC14040BCPG")</f>
        <v>MC14040BCPG</v>
      </c>
      <c r="B10066" s="3" t="str">
        <f>HYPERLINK("https://www.773grp.com/manufacturer/onsemi?pageNo=629", "Onsemi")</f>
        <v>Onsemi</v>
      </c>
      <c r="C10066" s="6">
        <v>60</v>
      </c>
      <c r="D10066" s="7">
        <v>1.1599999999999999</v>
      </c>
      <c r="E10066" t="s">
        <v>22</v>
      </c>
    </row>
    <row r="10067" spans="1:5" x14ac:dyDescent="0.25">
      <c r="A10067" t="str">
        <f>HYPERLINK("https://www.773grp.com/globalSearch/MC14042BCP/page-1", "MC14042BCP")</f>
        <v>MC14042BCP</v>
      </c>
      <c r="B10067" s="3" t="str">
        <f>HYPERLINK("https://www.773grp.com/manufacturer/onsemi?pageNo=630", "Onsemi")</f>
        <v>Onsemi</v>
      </c>
      <c r="C10067" s="6">
        <v>6700</v>
      </c>
      <c r="D10067" s="7">
        <v>1.1599999999999999</v>
      </c>
      <c r="E10067" t="s">
        <v>31</v>
      </c>
    </row>
    <row r="10068" spans="1:5" x14ac:dyDescent="0.25">
      <c r="A10068" t="str">
        <f>HYPERLINK("https://www.773grp.com/globalSearch/MC14042BCPG/page-1", "MC14042BCPG")</f>
        <v>MC14042BCPG</v>
      </c>
      <c r="B10068" s="3" t="str">
        <f>HYPERLINK("https://www.773grp.com/manufacturer/onsemi?pageNo=631", "Onsemi")</f>
        <v>Onsemi</v>
      </c>
      <c r="C10068" s="6">
        <v>35191</v>
      </c>
      <c r="D10068" s="7">
        <v>1.1599999999999999</v>
      </c>
      <c r="E10068" t="s">
        <v>31</v>
      </c>
    </row>
    <row r="10069" spans="1:5" x14ac:dyDescent="0.25">
      <c r="A10069" t="str">
        <f>HYPERLINK("https://www.773grp.com/globalSearch/MC14043BCPG/page-1", "MC14043BCPG")</f>
        <v>MC14043BCPG</v>
      </c>
      <c r="B10069" s="3" t="str">
        <f>HYPERLINK("https://www.773grp.com/manufacturer/onsemi?pageNo=632", "Onsemi")</f>
        <v>Onsemi</v>
      </c>
      <c r="C10069" s="6">
        <v>3770</v>
      </c>
      <c r="D10069" s="7">
        <v>1.1599999999999999</v>
      </c>
      <c r="E10069" t="s">
        <v>31</v>
      </c>
    </row>
    <row r="10070" spans="1:5" x14ac:dyDescent="0.25">
      <c r="A10070" t="str">
        <f>HYPERLINK("https://www.773grp.com/globalSearch/MC14044BCP/page-1", "MC14044BCP")</f>
        <v>MC14044BCP</v>
      </c>
      <c r="B10070" s="3" t="str">
        <f>HYPERLINK("https://www.773grp.com/manufacturer/onsemi?pageNo=633", "Onsemi")</f>
        <v>Onsemi</v>
      </c>
      <c r="C10070" s="6">
        <v>3911</v>
      </c>
      <c r="D10070" s="7">
        <v>1.1599999999999999</v>
      </c>
      <c r="E10070" t="s">
        <v>31</v>
      </c>
    </row>
    <row r="10071" spans="1:5" x14ac:dyDescent="0.25">
      <c r="A10071" t="str">
        <f>HYPERLINK("https://www.773grp.com/globalSearch/MC14044BCPG/page-1", "MC14044BCPG")</f>
        <v>MC14044BCPG</v>
      </c>
      <c r="B10071" s="3" t="str">
        <f>HYPERLINK("https://www.773grp.com/manufacturer/onsemi?pageNo=634", "Onsemi")</f>
        <v>Onsemi</v>
      </c>
      <c r="C10071" s="6">
        <v>12880</v>
      </c>
      <c r="D10071" s="7">
        <v>1.1599999999999999</v>
      </c>
      <c r="E10071" t="s">
        <v>31</v>
      </c>
    </row>
    <row r="10072" spans="1:5" x14ac:dyDescent="0.25">
      <c r="A10072" t="str">
        <f>HYPERLINK("https://www.773grp.com/globalSearch/MC14046BFG/page-1", "MC14046BFG")</f>
        <v>MC14046BFG</v>
      </c>
      <c r="B10072" s="3" t="str">
        <f>HYPERLINK("https://www.773grp.com/manufacturer/onsemi?pageNo=635", "Onsemi")</f>
        <v>Onsemi</v>
      </c>
      <c r="C10072" s="6">
        <v>12955</v>
      </c>
      <c r="D10072" s="7">
        <v>1.1599999999999999</v>
      </c>
      <c r="E10072" t="s">
        <v>34</v>
      </c>
    </row>
    <row r="10073" spans="1:5" x14ac:dyDescent="0.25">
      <c r="A10073" t="str">
        <f>HYPERLINK("https://www.773grp.com/globalSearch/MC14066BFELG/page-1", "MC14066BFELG")</f>
        <v>MC14066BFELG</v>
      </c>
      <c r="B10073" s="3" t="str">
        <f>HYPERLINK("https://www.773grp.com/manufacturer/onsemi?pageNo=636", "Onsemi")</f>
        <v>Onsemi</v>
      </c>
      <c r="C10073" s="6">
        <v>1080</v>
      </c>
      <c r="D10073" s="7">
        <v>1.1599999999999999</v>
      </c>
      <c r="E10073" t="s">
        <v>46</v>
      </c>
    </row>
    <row r="10074" spans="1:5" x14ac:dyDescent="0.25">
      <c r="A10074" t="str">
        <f>HYPERLINK("https://www.773grp.com/globalSearch/MC14076BDG/page-1", "MC14076BDG")</f>
        <v>MC14076BDG</v>
      </c>
      <c r="B10074" s="3" t="str">
        <f>HYPERLINK("https://www.773grp.com/manufacturer/onsemi?pageNo=637", "Onsemi")</f>
        <v>Onsemi</v>
      </c>
      <c r="C10074" s="6">
        <v>6579</v>
      </c>
      <c r="D10074" s="7">
        <v>1.1599999999999999</v>
      </c>
      <c r="E10074" t="s">
        <v>31</v>
      </c>
    </row>
    <row r="10075" spans="1:5" x14ac:dyDescent="0.25">
      <c r="A10075" t="str">
        <f>HYPERLINK("https://www.773grp.com/globalSearch/MC14076BDR2G/page-1", "MC14076BDR2G")</f>
        <v>MC14076BDR2G</v>
      </c>
      <c r="B10075" s="3" t="str">
        <f>HYPERLINK("https://www.773grp.com/manufacturer/onsemi?pageNo=638", "Onsemi")</f>
        <v>Onsemi</v>
      </c>
      <c r="C10075" s="6">
        <v>700</v>
      </c>
      <c r="D10075" s="7">
        <v>1.1599999999999999</v>
      </c>
    </row>
    <row r="10076" spans="1:5" x14ac:dyDescent="0.25">
      <c r="A10076" t="str">
        <f>HYPERLINK("https://www.773grp.com/globalSearch/MC14094BCPG/page-1", "MC14094BCPG")</f>
        <v>MC14094BCPG</v>
      </c>
      <c r="B10076" s="3" t="str">
        <f>HYPERLINK("https://www.773grp.com/manufacturer/onsemi?pageNo=639", "Onsemi")</f>
        <v>Onsemi</v>
      </c>
      <c r="C10076" s="6">
        <v>580</v>
      </c>
      <c r="D10076" s="7">
        <v>1.1599999999999999</v>
      </c>
      <c r="E10076" t="s">
        <v>28</v>
      </c>
    </row>
    <row r="10077" spans="1:5" x14ac:dyDescent="0.25">
      <c r="A10077" t="str">
        <f>HYPERLINK("https://www.773grp.com/globalSearch/MC14094BFG/page-1", "MC14094BFG")</f>
        <v>MC14094BFG</v>
      </c>
      <c r="B10077" s="3" t="str">
        <f>HYPERLINK("https://www.773grp.com/manufacturer/onsemi?pageNo=640", "Onsemi")</f>
        <v>Onsemi</v>
      </c>
      <c r="C10077" s="6">
        <v>5815</v>
      </c>
      <c r="D10077" s="7">
        <v>1.1599999999999999</v>
      </c>
      <c r="E10077" t="s">
        <v>28</v>
      </c>
    </row>
    <row r="10078" spans="1:5" x14ac:dyDescent="0.25">
      <c r="A10078" t="str">
        <f>HYPERLINK("https://www.773grp.com/globalSearch/MC14099BFL1/page-1", "MC14099BFL1")</f>
        <v>MC14099BFL1</v>
      </c>
      <c r="B10078" s="3" t="str">
        <f>HYPERLINK("https://www.773grp.com/manufacturer/onsemi?pageNo=641", "Onsemi")</f>
        <v>Onsemi</v>
      </c>
      <c r="C10078" s="6">
        <v>1000</v>
      </c>
      <c r="D10078" s="7">
        <v>1.1599999999999999</v>
      </c>
      <c r="E10078" t="s">
        <v>31</v>
      </c>
    </row>
    <row r="10079" spans="1:5" x14ac:dyDescent="0.25">
      <c r="A10079" t="str">
        <f>HYPERLINK("https://www.773grp.com/globalSearch/MC14175BCPG/page-1", "MC14175BCPG")</f>
        <v>MC14175BCPG</v>
      </c>
      <c r="B10079" s="3" t="str">
        <f>HYPERLINK("https://www.773grp.com/manufacturer/onsemi?pageNo=642", "Onsemi")</f>
        <v>Onsemi</v>
      </c>
      <c r="C10079" s="6">
        <v>7367</v>
      </c>
      <c r="D10079" s="7">
        <v>1.1599999999999999</v>
      </c>
      <c r="E10079" t="s">
        <v>31</v>
      </c>
    </row>
    <row r="10080" spans="1:5" x14ac:dyDescent="0.25">
      <c r="A10080" t="str">
        <f>HYPERLINK("https://www.773grp.com/globalSearch/MC14175BFELG/page-1", "MC14175BFELG")</f>
        <v>MC14175BFELG</v>
      </c>
      <c r="B10080" s="3" t="str">
        <f>HYPERLINK("https://www.773grp.com/manufacturer/onsemi?pageNo=643", "Onsemi")</f>
        <v>Onsemi</v>
      </c>
      <c r="C10080" s="6">
        <v>7599</v>
      </c>
      <c r="D10080" s="7">
        <v>1.1599999999999999</v>
      </c>
      <c r="E10080" t="s">
        <v>31</v>
      </c>
    </row>
    <row r="10081" spans="1:5" x14ac:dyDescent="0.25">
      <c r="A10081" t="str">
        <f>HYPERLINK("https://www.773grp.com/globalSearch/MC1436D/page-1", "MC1436D")</f>
        <v>MC1436D</v>
      </c>
      <c r="B10081" s="3" t="str">
        <f>HYPERLINK("https://www.773grp.com/manufacturer/onsemi?pageNo=644", "Onsemi")</f>
        <v>Onsemi</v>
      </c>
      <c r="C10081" s="6">
        <v>813</v>
      </c>
      <c r="D10081" s="7">
        <v>1.1599999999999999</v>
      </c>
      <c r="E10081" t="s">
        <v>10</v>
      </c>
    </row>
    <row r="10082" spans="1:5" x14ac:dyDescent="0.25">
      <c r="A10082" t="str">
        <f>HYPERLINK("https://www.773grp.com/globalSearch/MC14503BCP/page-1", "MC14503BCP")</f>
        <v>MC14503BCP</v>
      </c>
      <c r="B10082" s="3" t="str">
        <f>HYPERLINK("https://www.773grp.com/manufacturer/onsemi?pageNo=645", "Onsemi")</f>
        <v>Onsemi</v>
      </c>
      <c r="C10082" s="6">
        <v>1526</v>
      </c>
      <c r="D10082" s="7">
        <v>1.1599999999999999</v>
      </c>
      <c r="E10082" t="s">
        <v>11</v>
      </c>
    </row>
    <row r="10083" spans="1:5" x14ac:dyDescent="0.25">
      <c r="A10083" t="str">
        <f>HYPERLINK("https://www.773grp.com/globalSearch/MC14503BCPG/page-1", "MC14503BCPG")</f>
        <v>MC14503BCPG</v>
      </c>
      <c r="B10083" s="3" t="str">
        <f>HYPERLINK("https://www.773grp.com/manufacturer/onsemi?pageNo=646", "Onsemi")</f>
        <v>Onsemi</v>
      </c>
      <c r="C10083" s="6">
        <v>7760</v>
      </c>
      <c r="D10083" s="7">
        <v>1.1599999999999999</v>
      </c>
      <c r="E10083" t="s">
        <v>11</v>
      </c>
    </row>
    <row r="10084" spans="1:5" x14ac:dyDescent="0.25">
      <c r="A10084" t="str">
        <f>HYPERLINK("https://www.773grp.com/globalSearch/MC14526BFR1/page-1", "MC14526BFR1")</f>
        <v>MC14526BFR1</v>
      </c>
      <c r="B10084" s="3" t="str">
        <f>HYPERLINK("https://www.773grp.com/manufacturer/onsemi?pageNo=647", "Onsemi")</f>
        <v>Onsemi</v>
      </c>
      <c r="C10084" s="6">
        <v>3000</v>
      </c>
      <c r="D10084" s="7">
        <v>1.1599999999999999</v>
      </c>
      <c r="E10084" t="s">
        <v>22</v>
      </c>
    </row>
    <row r="10085" spans="1:5" x14ac:dyDescent="0.25">
      <c r="A10085" t="str">
        <f>HYPERLINK("https://www.773grp.com/globalSearch/MC14532BF/page-1", "MC14532BF")</f>
        <v>MC14532BF</v>
      </c>
      <c r="B10085" s="3" t="str">
        <f>HYPERLINK("https://www.773grp.com/manufacturer/onsemi?pageNo=648", "Onsemi")</f>
        <v>Onsemi</v>
      </c>
      <c r="C10085" s="6">
        <v>1664</v>
      </c>
      <c r="D10085" s="7">
        <v>1.1599999999999999</v>
      </c>
      <c r="E10085" t="s">
        <v>38</v>
      </c>
    </row>
    <row r="10086" spans="1:5" x14ac:dyDescent="0.25">
      <c r="A10086" t="str">
        <f>HYPERLINK("https://www.773grp.com/globalSearch/MC14538BD/page-1", "MC14538BD")</f>
        <v>MC14538BD</v>
      </c>
      <c r="B10086" s="3" t="str">
        <f>HYPERLINK("https://www.773grp.com/manufacturer/onsemi?pageNo=649", "Onsemi")</f>
        <v>Onsemi</v>
      </c>
      <c r="C10086" s="6">
        <v>2089</v>
      </c>
      <c r="D10086" s="7">
        <v>1.1599999999999999</v>
      </c>
      <c r="E10086" t="s">
        <v>44</v>
      </c>
    </row>
    <row r="10087" spans="1:5" x14ac:dyDescent="0.25">
      <c r="A10087" t="str">
        <f>HYPERLINK("https://www.773grp.com/globalSearch/MC14538BDR2/page-1", "MC14538BDR2")</f>
        <v>MC14538BDR2</v>
      </c>
      <c r="B10087" s="3" t="str">
        <f>HYPERLINK("https://www.773grp.com/manufacturer/onsemi?pageNo=650", "Onsemi")</f>
        <v>Onsemi</v>
      </c>
      <c r="C10087" s="6">
        <v>938</v>
      </c>
      <c r="D10087" s="7">
        <v>1.1599999999999999</v>
      </c>
    </row>
    <row r="10088" spans="1:5" x14ac:dyDescent="0.25">
      <c r="A10088" t="str">
        <f>HYPERLINK("https://www.773grp.com/globalSearch/MC1455BD/page-1", "MC1455BD")</f>
        <v>MC1455BD</v>
      </c>
      <c r="B10088" s="3" t="str">
        <f>HYPERLINK("https://www.773grp.com/manufacturer/onsemi?pageNo=651", "Onsemi")</f>
        <v>Onsemi</v>
      </c>
      <c r="C10088" s="6">
        <v>14896</v>
      </c>
      <c r="D10088" s="7">
        <v>1.1599999999999999</v>
      </c>
      <c r="E10088" t="s">
        <v>25</v>
      </c>
    </row>
    <row r="10089" spans="1:5" x14ac:dyDescent="0.25">
      <c r="A10089" t="str">
        <f>HYPERLINK("https://www.773grp.com/globalSearch/MC1455BDR2G/page-1", "MC1455BDR2G")</f>
        <v>MC1455BDR2G</v>
      </c>
      <c r="B10089" s="3" t="str">
        <f>HYPERLINK("https://www.773grp.com/manufacturer/onsemi?pageNo=652", "Onsemi")</f>
        <v>Onsemi</v>
      </c>
      <c r="C10089" s="6">
        <v>59695</v>
      </c>
      <c r="D10089" s="7">
        <v>1.1599999999999999</v>
      </c>
      <c r="E10089" t="s">
        <v>25</v>
      </c>
    </row>
    <row r="10090" spans="1:5" x14ac:dyDescent="0.25">
      <c r="A10090" t="str">
        <f>HYPERLINK("https://www.773grp.com/globalSearch/MC1455BP1/page-1", "MC1455BP1")</f>
        <v>MC1455BP1</v>
      </c>
      <c r="B10090" s="3" t="str">
        <f>HYPERLINK("https://www.773grp.com/manufacturer/onsemi?pageNo=653", "Onsemi")</f>
        <v>Onsemi</v>
      </c>
      <c r="C10090" s="6">
        <v>3657</v>
      </c>
      <c r="D10090" s="7">
        <v>1.1599999999999999</v>
      </c>
      <c r="E10090" t="s">
        <v>25</v>
      </c>
    </row>
    <row r="10091" spans="1:5" x14ac:dyDescent="0.25">
      <c r="A10091" t="str">
        <f>HYPERLINK("https://www.773grp.com/globalSearch/MC1455BP1G/page-1", "MC1455BP1G")</f>
        <v>MC1455BP1G</v>
      </c>
      <c r="B10091" s="3" t="str">
        <f>HYPERLINK("https://www.773grp.com/manufacturer/onsemi?pageNo=654", "Onsemi")</f>
        <v>Onsemi</v>
      </c>
      <c r="C10091" s="6">
        <v>6073</v>
      </c>
      <c r="D10091" s="7">
        <v>1.1599999999999999</v>
      </c>
      <c r="E10091" t="s">
        <v>25</v>
      </c>
    </row>
    <row r="10092" spans="1:5" x14ac:dyDescent="0.25">
      <c r="A10092" t="str">
        <f>HYPERLINK("https://www.773grp.com/globalSearch/MC14572UBDG/page-1", "MC14572UBDG")</f>
        <v>MC14572UBDG</v>
      </c>
      <c r="B10092" s="3" t="str">
        <f>HYPERLINK("https://www.773grp.com/manufacturer/onsemi?pageNo=655", "Onsemi")</f>
        <v>Onsemi</v>
      </c>
      <c r="C10092" s="6">
        <v>4934</v>
      </c>
      <c r="D10092" s="7">
        <v>1.1599999999999999</v>
      </c>
      <c r="E10092" t="s">
        <v>27</v>
      </c>
    </row>
    <row r="10093" spans="1:5" x14ac:dyDescent="0.25">
      <c r="A10093" t="str">
        <f>HYPERLINK("https://www.773grp.com/globalSearch/MC14572UBDR2G/page-1", "MC14572UBDR2G")</f>
        <v>MC14572UBDR2G</v>
      </c>
      <c r="B10093" s="3" t="str">
        <f>HYPERLINK("https://www.773grp.com/manufacturer/onsemi?pageNo=656", "Onsemi")</f>
        <v>Onsemi</v>
      </c>
      <c r="C10093" s="6">
        <v>1173</v>
      </c>
      <c r="D10093" s="7">
        <v>1.1599999999999999</v>
      </c>
    </row>
    <row r="10094" spans="1:5" x14ac:dyDescent="0.25">
      <c r="A10094" t="str">
        <f>HYPERLINK("https://www.773grp.com/globalSearch/MC14585BDG/page-1", "MC14585BDG")</f>
        <v>MC14585BDG</v>
      </c>
      <c r="B10094" s="3" t="str">
        <f>HYPERLINK("https://www.773grp.com/manufacturer/onsemi?pageNo=657", "Onsemi")</f>
        <v>Onsemi</v>
      </c>
      <c r="C10094" s="6">
        <v>4384</v>
      </c>
      <c r="D10094" s="7">
        <v>1.1599999999999999</v>
      </c>
    </row>
    <row r="10095" spans="1:5" x14ac:dyDescent="0.25">
      <c r="A10095" t="str">
        <f>HYPERLINK("https://www.773grp.com/globalSearch/MC14585BDR2G/page-1", "MC14585BDR2G")</f>
        <v>MC14585BDR2G</v>
      </c>
      <c r="B10095" s="3" t="str">
        <f>HYPERLINK("https://www.773grp.com/manufacturer/onsemi?pageNo=658", "Onsemi")</f>
        <v>Onsemi</v>
      </c>
      <c r="C10095" s="6">
        <v>1958</v>
      </c>
      <c r="D10095" s="7">
        <v>1.1599999999999999</v>
      </c>
      <c r="E10095" t="s">
        <v>38</v>
      </c>
    </row>
    <row r="10096" spans="1:5" x14ac:dyDescent="0.25">
      <c r="A10096" t="str">
        <f>HYPERLINK("https://www.773grp.com/globalSearch/MC33269D-012G/page-1", "MC33269D-012G")</f>
        <v>MC33269D-012G</v>
      </c>
      <c r="B10096" s="3" t="str">
        <f>HYPERLINK("https://www.773grp.com/manufacturer/onsemi?pageNo=659", "Onsemi")</f>
        <v>Onsemi</v>
      </c>
      <c r="C10096" s="6">
        <v>4387</v>
      </c>
      <c r="D10096" s="7">
        <v>1.1599999999999999</v>
      </c>
      <c r="E10096" t="s">
        <v>15</v>
      </c>
    </row>
    <row r="10097" spans="1:5" x14ac:dyDescent="0.25">
      <c r="A10097" t="str">
        <f>HYPERLINK("https://www.773grp.com/globalSearch/MC34161P/page-1", "MC34161P")</f>
        <v>MC34161P</v>
      </c>
      <c r="B10097" s="3" t="str">
        <f>HYPERLINK("https://www.773grp.com/manufacturer/onsemi?pageNo=660", "Onsemi")</f>
        <v>Onsemi</v>
      </c>
      <c r="C10097" s="6">
        <v>25361</v>
      </c>
      <c r="D10097" s="7">
        <v>1.1599999999999999</v>
      </c>
      <c r="E10097" t="s">
        <v>26</v>
      </c>
    </row>
    <row r="10098" spans="1:5" x14ac:dyDescent="0.25">
      <c r="A10098" t="str">
        <f>HYPERLINK("https://www.773grp.com/globalSearch/MC74F112MEL/page-1", "MC74F112MEL")</f>
        <v>MC74F112MEL</v>
      </c>
      <c r="B10098" s="3" t="str">
        <f>HYPERLINK("https://www.773grp.com/manufacturer/onsemi?pageNo=661", "Onsemi")</f>
        <v>Onsemi</v>
      </c>
      <c r="C10098" s="6">
        <v>2000</v>
      </c>
      <c r="D10098" s="7">
        <v>1.1599999999999999</v>
      </c>
    </row>
    <row r="10099" spans="1:5" x14ac:dyDescent="0.25">
      <c r="A10099" t="str">
        <f>HYPERLINK("https://www.773grp.com/globalSearch/MC74F241DW/page-1", "MC74F241DW")</f>
        <v>MC74F241DW</v>
      </c>
      <c r="B10099" s="3" t="str">
        <f>HYPERLINK("https://www.773grp.com/manufacturer/onsemi?pageNo=662", "Onsemi")</f>
        <v>Onsemi</v>
      </c>
      <c r="C10099" s="6">
        <v>1216</v>
      </c>
      <c r="D10099" s="7">
        <v>1.1599999999999999</v>
      </c>
      <c r="E10099" t="s">
        <v>11</v>
      </c>
    </row>
    <row r="10100" spans="1:5" x14ac:dyDescent="0.25">
      <c r="A10100" t="str">
        <f>HYPERLINK("https://www.773grp.com/globalSearch/MC74F241M/page-1", "MC74F241M")</f>
        <v>MC74F241M</v>
      </c>
      <c r="B10100" s="3" t="str">
        <f>HYPERLINK("https://www.773grp.com/manufacturer/onsemi?pageNo=663", "Onsemi")</f>
        <v>Onsemi</v>
      </c>
      <c r="C10100" s="6">
        <v>620</v>
      </c>
      <c r="D10100" s="7">
        <v>1.1599999999999999</v>
      </c>
    </row>
    <row r="10101" spans="1:5" x14ac:dyDescent="0.25">
      <c r="A10101" t="str">
        <f>HYPERLINK("https://www.773grp.com/globalSearch/MC74F243M/page-1", "MC74F243M")</f>
        <v>MC74F243M</v>
      </c>
      <c r="B10101" s="3" t="str">
        <f>HYPERLINK("https://www.773grp.com/manufacturer/onsemi?pageNo=664", "Onsemi")</f>
        <v>Onsemi</v>
      </c>
      <c r="C10101" s="6">
        <v>1880</v>
      </c>
      <c r="D10101" s="7">
        <v>1.1599999999999999</v>
      </c>
    </row>
    <row r="10102" spans="1:5" x14ac:dyDescent="0.25">
      <c r="A10102" t="str">
        <f>HYPERLINK("https://www.773grp.com/globalSearch/MC74F243ML1/page-1", "MC74F243ML1")</f>
        <v>MC74F243ML1</v>
      </c>
      <c r="B10102" s="3" t="str">
        <f>HYPERLINK("https://www.773grp.com/manufacturer/onsemi?pageNo=665", "Onsemi")</f>
        <v>Onsemi</v>
      </c>
      <c r="C10102" s="6">
        <v>2000</v>
      </c>
      <c r="D10102" s="7">
        <v>1.1599999999999999</v>
      </c>
    </row>
    <row r="10103" spans="1:5" x14ac:dyDescent="0.25">
      <c r="A10103" t="str">
        <f>HYPERLINK("https://www.773grp.com/globalSearch/MC74F251N/page-1", "MC74F251N")</f>
        <v>MC74F251N</v>
      </c>
      <c r="B10103" s="3" t="str">
        <f>HYPERLINK("https://www.773grp.com/manufacturer/onsemi?pageNo=666", "Onsemi")</f>
        <v>Onsemi</v>
      </c>
      <c r="C10103" s="6">
        <v>4105</v>
      </c>
      <c r="D10103" s="7">
        <v>1.1599999999999999</v>
      </c>
      <c r="E10103" t="s">
        <v>16</v>
      </c>
    </row>
    <row r="10104" spans="1:5" x14ac:dyDescent="0.25">
      <c r="A10104" t="str">
        <f>HYPERLINK("https://www.773grp.com/globalSearch/MC74HC125ADTG/page-1", "MC74HC125ADTG")</f>
        <v>MC74HC125ADTG</v>
      </c>
      <c r="B10104" s="3" t="str">
        <f>HYPERLINK("https://www.773grp.com/manufacturer/onsemi?pageNo=667", "Onsemi")</f>
        <v>Onsemi</v>
      </c>
      <c r="C10104" s="6">
        <v>40678</v>
      </c>
      <c r="D10104" s="7">
        <v>1.1599999999999999</v>
      </c>
      <c r="E10104" t="s">
        <v>11</v>
      </c>
    </row>
    <row r="10105" spans="1:5" x14ac:dyDescent="0.25">
      <c r="A10105" t="str">
        <f>HYPERLINK("https://www.773grp.com/globalSearch/MC74HC125ADTR2G/page-1", "MC74HC125ADTR2G")</f>
        <v>MC74HC125ADTR2G</v>
      </c>
      <c r="B10105" s="3" t="str">
        <f>HYPERLINK("https://www.773grp.com/manufacturer/onsemi?pageNo=668", "Onsemi")</f>
        <v>Onsemi</v>
      </c>
      <c r="C10105" s="6">
        <v>36497</v>
      </c>
      <c r="D10105" s="7">
        <v>1.1599999999999999</v>
      </c>
      <c r="E10105" t="s">
        <v>11</v>
      </c>
    </row>
    <row r="10106" spans="1:5" x14ac:dyDescent="0.25">
      <c r="A10106" t="str">
        <f>HYPERLINK("https://www.773grp.com/globalSearch/MC74HC126ADTR2G/page-1", "MC74HC126ADTR2G")</f>
        <v>MC74HC126ADTR2G</v>
      </c>
      <c r="B10106" s="3" t="str">
        <f>HYPERLINK("https://www.773grp.com/manufacturer/onsemi?pageNo=669", "Onsemi")</f>
        <v>Onsemi</v>
      </c>
      <c r="C10106" s="6">
        <v>25000</v>
      </c>
      <c r="D10106" s="7">
        <v>1.1599999999999999</v>
      </c>
      <c r="E10106" t="s">
        <v>11</v>
      </c>
    </row>
    <row r="10107" spans="1:5" x14ac:dyDescent="0.25">
      <c r="A10107" t="str">
        <f>HYPERLINK("https://www.773grp.com/globalSearch/MC74HC132ADTG/page-1", "MC74HC132ADTG")</f>
        <v>MC74HC132ADTG</v>
      </c>
      <c r="B10107" s="3" t="str">
        <f>HYPERLINK("https://www.773grp.com/manufacturer/onsemi?pageNo=670", "Onsemi")</f>
        <v>Onsemi</v>
      </c>
      <c r="C10107" s="6">
        <v>17248</v>
      </c>
      <c r="D10107" s="7">
        <v>1.1599999999999999</v>
      </c>
      <c r="E10107" t="s">
        <v>27</v>
      </c>
    </row>
    <row r="10108" spans="1:5" x14ac:dyDescent="0.25">
      <c r="A10108" t="str">
        <f>HYPERLINK("https://www.773grp.com/globalSearch/MC74HC132ADTR2G/page-1", "MC74HC132ADTR2G")</f>
        <v>MC74HC132ADTR2G</v>
      </c>
      <c r="B10108" s="3" t="str">
        <f>HYPERLINK("https://www.773grp.com/manufacturer/onsemi?pageNo=671", "Onsemi")</f>
        <v>Onsemi</v>
      </c>
      <c r="C10108" s="6">
        <v>7500</v>
      </c>
      <c r="D10108" s="7">
        <v>1.1599999999999999</v>
      </c>
      <c r="E10108" t="s">
        <v>27</v>
      </c>
    </row>
    <row r="10109" spans="1:5" x14ac:dyDescent="0.25">
      <c r="A10109" t="str">
        <f>HYPERLINK("https://www.773grp.com/globalSearch/MC74HC138ADG/page-1", "MC74HC138ADG")</f>
        <v>MC74HC138ADG</v>
      </c>
      <c r="B10109" s="3" t="str">
        <f>HYPERLINK("https://www.773grp.com/manufacturer/onsemi?pageNo=672", "Onsemi")</f>
        <v>Onsemi</v>
      </c>
      <c r="C10109" s="6">
        <v>25436</v>
      </c>
      <c r="D10109" s="7">
        <v>1.1599999999999999</v>
      </c>
      <c r="E10109" t="s">
        <v>32</v>
      </c>
    </row>
    <row r="10110" spans="1:5" x14ac:dyDescent="0.25">
      <c r="A10110" t="str">
        <f>HYPERLINK("https://www.773grp.com/globalSearch/MC74HC138ADR2G/page-1", "MC74HC138ADR2G")</f>
        <v>MC74HC138ADR2G</v>
      </c>
      <c r="B10110" s="3" t="str">
        <f>HYPERLINK("https://www.773grp.com/manufacturer/onsemi?pageNo=673", "Onsemi")</f>
        <v>Onsemi</v>
      </c>
      <c r="C10110" s="6">
        <v>429095</v>
      </c>
      <c r="D10110" s="7">
        <v>1.1599999999999999</v>
      </c>
      <c r="E10110" t="s">
        <v>32</v>
      </c>
    </row>
    <row r="10111" spans="1:5" x14ac:dyDescent="0.25">
      <c r="A10111" t="str">
        <f>HYPERLINK("https://www.773grp.com/globalSearch/MC74HC138ADTR2G/page-1", "MC74HC138ADTR2G")</f>
        <v>MC74HC138ADTR2G</v>
      </c>
      <c r="B10111" s="3" t="str">
        <f>HYPERLINK("https://www.773grp.com/manufacturer/onsemi?pageNo=674", "Onsemi")</f>
        <v>Onsemi</v>
      </c>
      <c r="C10111" s="6">
        <v>19568</v>
      </c>
      <c r="D10111" s="7">
        <v>1.1599999999999999</v>
      </c>
      <c r="E10111" t="s">
        <v>32</v>
      </c>
    </row>
    <row r="10112" spans="1:5" x14ac:dyDescent="0.25">
      <c r="A10112" t="str">
        <f>HYPERLINK("https://www.773grp.com/globalSearch/MC74HC139ADG/page-1", "MC74HC139ADG")</f>
        <v>MC74HC139ADG</v>
      </c>
      <c r="B10112" s="3" t="str">
        <f>HYPERLINK("https://www.773grp.com/manufacturer/onsemi?pageNo=675", "Onsemi")</f>
        <v>Onsemi</v>
      </c>
      <c r="C10112" s="6">
        <v>24773</v>
      </c>
      <c r="D10112" s="7">
        <v>1.1599999999999999</v>
      </c>
      <c r="E10112" t="s">
        <v>32</v>
      </c>
    </row>
    <row r="10113" spans="1:5" x14ac:dyDescent="0.25">
      <c r="A10113" t="str">
        <f>HYPERLINK("https://www.773grp.com/globalSearch/MC74HC139ADR2G/page-1", "MC74HC139ADR2G")</f>
        <v>MC74HC139ADR2G</v>
      </c>
      <c r="B10113" s="3" t="str">
        <f>HYPERLINK("https://www.773grp.com/manufacturer/onsemi?pageNo=676", "Onsemi")</f>
        <v>Onsemi</v>
      </c>
      <c r="C10113" s="6">
        <v>87623</v>
      </c>
      <c r="D10113" s="7">
        <v>1.1599999999999999</v>
      </c>
      <c r="E10113" t="s">
        <v>32</v>
      </c>
    </row>
    <row r="10114" spans="1:5" x14ac:dyDescent="0.25">
      <c r="A10114" t="str">
        <f>HYPERLINK("https://www.773grp.com/globalSearch/MC74HC151ADG/page-1", "MC74HC151ADG")</f>
        <v>MC74HC151ADG</v>
      </c>
      <c r="B10114" s="3" t="str">
        <f>HYPERLINK("https://www.773grp.com/manufacturer/onsemi?pageNo=677", "Onsemi")</f>
        <v>Onsemi</v>
      </c>
      <c r="C10114" s="6">
        <v>17280</v>
      </c>
      <c r="D10114" s="7">
        <v>1.1599999999999999</v>
      </c>
    </row>
    <row r="10115" spans="1:5" x14ac:dyDescent="0.25">
      <c r="A10115" t="str">
        <f>HYPERLINK("https://www.773grp.com/globalSearch/MC74HC151ADR2G/page-1", "MC74HC151ADR2G")</f>
        <v>MC74HC151ADR2G</v>
      </c>
      <c r="B10115" s="3" t="str">
        <f>HYPERLINK("https://www.773grp.com/manufacturer/onsemi?pageNo=678", "Onsemi")</f>
        <v>Onsemi</v>
      </c>
      <c r="C10115" s="6">
        <v>42480</v>
      </c>
      <c r="D10115" s="7">
        <v>1.1599999999999999</v>
      </c>
      <c r="E10115" t="s">
        <v>16</v>
      </c>
    </row>
    <row r="10116" spans="1:5" x14ac:dyDescent="0.25">
      <c r="A10116" t="str">
        <f>HYPERLINK("https://www.773grp.com/globalSearch/MC74HC153ADG/page-1", "MC74HC153ADG")</f>
        <v>MC74HC153ADG</v>
      </c>
      <c r="B10116" s="3" t="str">
        <f>HYPERLINK("https://www.773grp.com/manufacturer/onsemi?pageNo=679", "Onsemi")</f>
        <v>Onsemi</v>
      </c>
      <c r="C10116" s="6">
        <v>24240</v>
      </c>
      <c r="D10116" s="7">
        <v>1.1599999999999999</v>
      </c>
    </row>
    <row r="10117" spans="1:5" x14ac:dyDescent="0.25">
      <c r="A10117" t="str">
        <f>HYPERLINK("https://www.773grp.com/globalSearch/MC74HC153ADR2G/page-1", "MC74HC153ADR2G")</f>
        <v>MC74HC153ADR2G</v>
      </c>
      <c r="B10117" s="3" t="str">
        <f>HYPERLINK("https://www.773grp.com/manufacturer/onsemi?pageNo=680", "Onsemi")</f>
        <v>Onsemi</v>
      </c>
      <c r="C10117" s="6">
        <v>75000</v>
      </c>
      <c r="D10117" s="7">
        <v>1.1599999999999999</v>
      </c>
      <c r="E10117" t="s">
        <v>16</v>
      </c>
    </row>
    <row r="10118" spans="1:5" x14ac:dyDescent="0.25">
      <c r="A10118" t="str">
        <f>HYPERLINK("https://www.773grp.com/globalSearch/MC74HC153ADTG/page-1", "MC74HC153ADTG")</f>
        <v>MC74HC153ADTG</v>
      </c>
      <c r="B10118" s="3" t="str">
        <f>HYPERLINK("https://www.773grp.com/manufacturer/onsemi?pageNo=681", "Onsemi")</f>
        <v>Onsemi</v>
      </c>
      <c r="C10118" s="6">
        <v>5472</v>
      </c>
      <c r="D10118" s="7">
        <v>1.1599999999999999</v>
      </c>
    </row>
    <row r="10119" spans="1:5" x14ac:dyDescent="0.25">
      <c r="A10119" t="str">
        <f>HYPERLINK("https://www.773grp.com/globalSearch/MC74HC153ADTR2G/page-1", "MC74HC153ADTR2G")</f>
        <v>MC74HC153ADTR2G</v>
      </c>
      <c r="B10119" s="3" t="str">
        <f>HYPERLINK("https://www.773grp.com/manufacturer/onsemi?pageNo=682", "Onsemi")</f>
        <v>Onsemi</v>
      </c>
      <c r="C10119" s="6">
        <v>20166</v>
      </c>
      <c r="D10119" s="7">
        <v>1.1599999999999999</v>
      </c>
      <c r="E10119" t="s">
        <v>16</v>
      </c>
    </row>
    <row r="10120" spans="1:5" x14ac:dyDescent="0.25">
      <c r="A10120" t="str">
        <f>HYPERLINK("https://www.773grp.com/globalSearch/MC74HC157ADG/page-1", "MC74HC157ADG")</f>
        <v>MC74HC157ADG</v>
      </c>
      <c r="B10120" s="3" t="str">
        <f>HYPERLINK("https://www.773grp.com/manufacturer/onsemi?pageNo=683", "Onsemi")</f>
        <v>Onsemi</v>
      </c>
      <c r="C10120" s="6">
        <v>21320</v>
      </c>
      <c r="D10120" s="7">
        <v>1.1599999999999999</v>
      </c>
      <c r="E10120" t="s">
        <v>16</v>
      </c>
    </row>
    <row r="10121" spans="1:5" x14ac:dyDescent="0.25">
      <c r="A10121" t="str">
        <f>HYPERLINK("https://www.773grp.com/globalSearch/MC74HC157ADR2G/page-1", "MC74HC157ADR2G")</f>
        <v>MC74HC157ADR2G</v>
      </c>
      <c r="B10121" s="3" t="str">
        <f>HYPERLINK("https://www.773grp.com/manufacturer/onsemi?pageNo=684", "Onsemi")</f>
        <v>Onsemi</v>
      </c>
      <c r="C10121" s="6">
        <v>11611</v>
      </c>
      <c r="D10121" s="7">
        <v>1.1599999999999999</v>
      </c>
      <c r="E10121" t="s">
        <v>16</v>
      </c>
    </row>
    <row r="10122" spans="1:5" x14ac:dyDescent="0.25">
      <c r="A10122" t="str">
        <f>HYPERLINK("https://www.773grp.com/globalSearch/MC74HC157ADTR2G/page-1", "MC74HC157ADTR2G")</f>
        <v>MC74HC157ADTR2G</v>
      </c>
      <c r="B10122" s="3" t="str">
        <f>HYPERLINK("https://www.773grp.com/manufacturer/onsemi?pageNo=685", "Onsemi")</f>
        <v>Onsemi</v>
      </c>
      <c r="C10122" s="6">
        <v>6288</v>
      </c>
      <c r="D10122" s="7">
        <v>1.1599999999999999</v>
      </c>
      <c r="E10122" t="s">
        <v>16</v>
      </c>
    </row>
    <row r="10123" spans="1:5" x14ac:dyDescent="0.25">
      <c r="A10123" t="str">
        <f>HYPERLINK("https://www.773grp.com/globalSearch/MC74HC164ADTR2G/page-1", "MC74HC164ADTR2G")</f>
        <v>MC74HC164ADTR2G</v>
      </c>
      <c r="B10123" s="3" t="str">
        <f>HYPERLINK("https://www.773grp.com/manufacturer/onsemi?pageNo=686", "Onsemi")</f>
        <v>Onsemi</v>
      </c>
      <c r="C10123" s="6">
        <v>130190</v>
      </c>
      <c r="D10123" s="7">
        <v>1.1599999999999999</v>
      </c>
      <c r="E10123" t="s">
        <v>28</v>
      </c>
    </row>
    <row r="10124" spans="1:5" x14ac:dyDescent="0.25">
      <c r="A10124" t="str">
        <f>HYPERLINK("https://www.773grp.com/globalSearch/MC74HC165ADG/page-1", "MC74HC165ADG")</f>
        <v>MC74HC165ADG</v>
      </c>
      <c r="B10124" s="3" t="str">
        <f>HYPERLINK("https://www.773grp.com/manufacturer/onsemi?pageNo=687", "Onsemi")</f>
        <v>Onsemi</v>
      </c>
      <c r="C10124" s="6">
        <v>10944</v>
      </c>
      <c r="D10124" s="7">
        <v>1.1599999999999999</v>
      </c>
    </row>
    <row r="10125" spans="1:5" x14ac:dyDescent="0.25">
      <c r="A10125" t="str">
        <f>HYPERLINK("https://www.773grp.com/globalSearch/MC74HC165ADR2G/page-1", "MC74HC165ADR2G")</f>
        <v>MC74HC165ADR2G</v>
      </c>
      <c r="B10125" s="3" t="str">
        <f>HYPERLINK("https://www.773grp.com/manufacturer/onsemi?pageNo=688", "Onsemi")</f>
        <v>Onsemi</v>
      </c>
      <c r="C10125" s="6">
        <v>173922</v>
      </c>
      <c r="D10125" s="7">
        <v>1.1599999999999999</v>
      </c>
      <c r="E10125" t="s">
        <v>28</v>
      </c>
    </row>
    <row r="10126" spans="1:5" x14ac:dyDescent="0.25">
      <c r="A10126" t="str">
        <f>HYPERLINK("https://www.773grp.com/globalSearch/MC74HC165ADTR2G/page-1", "MC74HC165ADTR2G")</f>
        <v>MC74HC165ADTR2G</v>
      </c>
      <c r="B10126" s="3" t="str">
        <f>HYPERLINK("https://www.773grp.com/manufacturer/onsemi?pageNo=689", "Onsemi")</f>
        <v>Onsemi</v>
      </c>
      <c r="C10126" s="6">
        <v>42120</v>
      </c>
      <c r="D10126" s="7">
        <v>1.1599999999999999</v>
      </c>
      <c r="E10126" t="s">
        <v>28</v>
      </c>
    </row>
    <row r="10127" spans="1:5" x14ac:dyDescent="0.25">
      <c r="A10127" t="str">
        <f>HYPERLINK("https://www.773grp.com/globalSearch/MC74HC174ADG/page-1", "MC74HC174ADG")</f>
        <v>MC74HC174ADG</v>
      </c>
      <c r="B10127" s="3" t="str">
        <f>HYPERLINK("https://www.773grp.com/manufacturer/onsemi?pageNo=690", "Onsemi")</f>
        <v>Onsemi</v>
      </c>
      <c r="C10127" s="6">
        <v>12653</v>
      </c>
      <c r="D10127" s="7">
        <v>1.1599999999999999</v>
      </c>
      <c r="E10127" t="s">
        <v>31</v>
      </c>
    </row>
    <row r="10128" spans="1:5" x14ac:dyDescent="0.25">
      <c r="A10128" t="str">
        <f>HYPERLINK("https://www.773grp.com/globalSearch/MC74HC174ADR2G/page-1", "MC74HC174ADR2G")</f>
        <v>MC74HC174ADR2G</v>
      </c>
      <c r="B10128" s="3" t="str">
        <f>HYPERLINK("https://www.773grp.com/manufacturer/onsemi?pageNo=691", "Onsemi")</f>
        <v>Onsemi</v>
      </c>
      <c r="C10128" s="6">
        <v>1020</v>
      </c>
      <c r="D10128" s="7">
        <v>1.1599999999999999</v>
      </c>
      <c r="E10128" t="s">
        <v>31</v>
      </c>
    </row>
    <row r="10129" spans="1:5" x14ac:dyDescent="0.25">
      <c r="A10129" t="str">
        <f>HYPERLINK("https://www.773grp.com/globalSearch/MC74HC174ADTR2G/page-1", "MC74HC174ADTR2G")</f>
        <v>MC74HC174ADTR2G</v>
      </c>
      <c r="B10129" s="3" t="str">
        <f>HYPERLINK("https://www.773grp.com/manufacturer/onsemi?pageNo=692", "Onsemi")</f>
        <v>Onsemi</v>
      </c>
      <c r="C10129" s="6">
        <v>7238</v>
      </c>
      <c r="D10129" s="7">
        <v>1.1599999999999999</v>
      </c>
      <c r="E10129" t="s">
        <v>31</v>
      </c>
    </row>
    <row r="10130" spans="1:5" x14ac:dyDescent="0.25">
      <c r="A10130" t="str">
        <f>HYPERLINK("https://www.773grp.com/globalSearch/MC74HC175ADG/page-1", "MC74HC175ADG")</f>
        <v>MC74HC175ADG</v>
      </c>
      <c r="B10130" s="3" t="str">
        <f>HYPERLINK("https://www.773grp.com/manufacturer/onsemi?pageNo=693", "Onsemi")</f>
        <v>Onsemi</v>
      </c>
      <c r="C10130" s="6">
        <v>10500</v>
      </c>
      <c r="D10130" s="7">
        <v>1.1599999999999999</v>
      </c>
      <c r="E10130" t="s">
        <v>31</v>
      </c>
    </row>
    <row r="10131" spans="1:5" x14ac:dyDescent="0.25">
      <c r="A10131" t="str">
        <f>HYPERLINK("https://www.773grp.com/globalSearch/MC74HC175ADR2G/page-1", "MC74HC175ADR2G")</f>
        <v>MC74HC175ADR2G</v>
      </c>
      <c r="B10131" s="3" t="str">
        <f>HYPERLINK("https://www.773grp.com/manufacturer/onsemi?pageNo=694", "Onsemi")</f>
        <v>Onsemi</v>
      </c>
      <c r="C10131" s="6">
        <v>21252</v>
      </c>
      <c r="D10131" s="7">
        <v>1.1599999999999999</v>
      </c>
      <c r="E10131" t="s">
        <v>31</v>
      </c>
    </row>
    <row r="10132" spans="1:5" x14ac:dyDescent="0.25">
      <c r="A10132" t="str">
        <f>HYPERLINK("https://www.773grp.com/globalSearch/MC74HC175ADTR2G/page-1", "MC74HC175ADTR2G")</f>
        <v>MC74HC175ADTR2G</v>
      </c>
      <c r="B10132" s="3" t="str">
        <f>HYPERLINK("https://www.773grp.com/manufacturer/onsemi?pageNo=695", "Onsemi")</f>
        <v>Onsemi</v>
      </c>
      <c r="C10132" s="6">
        <v>10000</v>
      </c>
      <c r="D10132" s="7">
        <v>1.1599999999999999</v>
      </c>
      <c r="E10132" t="s">
        <v>31</v>
      </c>
    </row>
    <row r="10133" spans="1:5" x14ac:dyDescent="0.25">
      <c r="A10133" t="str">
        <f>HYPERLINK("https://www.773grp.com/globalSearch/MC74HC251ADG/page-1", "MC74HC251ADG")</f>
        <v>MC74HC251ADG</v>
      </c>
      <c r="B10133" s="3" t="str">
        <f>HYPERLINK("https://www.773grp.com/manufacturer/onsemi?pageNo=696", "Onsemi")</f>
        <v>Onsemi</v>
      </c>
      <c r="C10133" s="6">
        <v>21312</v>
      </c>
      <c r="D10133" s="7">
        <v>1.1599999999999999</v>
      </c>
    </row>
    <row r="10134" spans="1:5" x14ac:dyDescent="0.25">
      <c r="A10134" t="str">
        <f>HYPERLINK("https://www.773grp.com/globalSearch/MC74HC251ADR2G/page-1", "MC74HC251ADR2G")</f>
        <v>MC74HC251ADR2G</v>
      </c>
      <c r="B10134" s="3" t="str">
        <f>HYPERLINK("https://www.773grp.com/manufacturer/onsemi?pageNo=697", "Onsemi")</f>
        <v>Onsemi</v>
      </c>
      <c r="C10134" s="6">
        <v>10000</v>
      </c>
      <c r="D10134" s="7">
        <v>1.1599999999999999</v>
      </c>
    </row>
    <row r="10135" spans="1:5" x14ac:dyDescent="0.25">
      <c r="A10135" t="str">
        <f>HYPERLINK("https://www.773grp.com/globalSearch/MC74HC251ADTG/page-1", "MC74HC251ADTG")</f>
        <v>MC74HC251ADTG</v>
      </c>
      <c r="B10135" s="3" t="str">
        <f>HYPERLINK("https://www.773grp.com/manufacturer/onsemi?pageNo=698", "Onsemi")</f>
        <v>Onsemi</v>
      </c>
      <c r="C10135" s="6">
        <v>28358</v>
      </c>
      <c r="D10135" s="7">
        <v>1.1599999999999999</v>
      </c>
    </row>
    <row r="10136" spans="1:5" x14ac:dyDescent="0.25">
      <c r="A10136" t="str">
        <f>HYPERLINK("https://www.773grp.com/globalSearch/MC74HC251ADTR2G/page-1", "MC74HC251ADTR2G")</f>
        <v>MC74HC251ADTR2G</v>
      </c>
      <c r="B10136" s="3" t="str">
        <f>HYPERLINK("https://www.773grp.com/manufacturer/onsemi?pageNo=699", "Onsemi")</f>
        <v>Onsemi</v>
      </c>
      <c r="C10136" s="6">
        <v>10244</v>
      </c>
      <c r="D10136" s="7">
        <v>1.1599999999999999</v>
      </c>
      <c r="E10136" t="s">
        <v>16</v>
      </c>
    </row>
    <row r="10137" spans="1:5" x14ac:dyDescent="0.25">
      <c r="A10137" t="str">
        <f>HYPERLINK("https://www.773grp.com/globalSearch/MC74HC259ADG/page-1", "MC74HC259ADG")</f>
        <v>MC74HC259ADG</v>
      </c>
      <c r="B10137" s="3" t="str">
        <f>HYPERLINK("https://www.773grp.com/manufacturer/onsemi?pageNo=700", "Onsemi")</f>
        <v>Onsemi</v>
      </c>
      <c r="C10137" s="6">
        <v>29568</v>
      </c>
      <c r="D10137" s="7">
        <v>1.1599999999999999</v>
      </c>
    </row>
    <row r="10138" spans="1:5" x14ac:dyDescent="0.25">
      <c r="A10138" t="str">
        <f>HYPERLINK("https://www.773grp.com/globalSearch/MC74HC259ADTG/page-1", "MC74HC259ADTG")</f>
        <v>MC74HC259ADTG</v>
      </c>
      <c r="B10138" s="3" t="str">
        <f>HYPERLINK("https://www.773grp.com/manufacturer/onsemi?pageNo=701", "Onsemi")</f>
        <v>Onsemi</v>
      </c>
      <c r="C10138" s="6">
        <v>4800</v>
      </c>
      <c r="D10138" s="7">
        <v>1.1599999999999999</v>
      </c>
    </row>
    <row r="10139" spans="1:5" x14ac:dyDescent="0.25">
      <c r="A10139" t="str">
        <f>HYPERLINK("https://www.773grp.com/globalSearch/MC74HC259ADTR2G/page-1", "MC74HC259ADTR2G")</f>
        <v>MC74HC259ADTR2G</v>
      </c>
      <c r="B10139" s="3" t="str">
        <f>HYPERLINK("https://www.773grp.com/manufacturer/onsemi?pageNo=702", "Onsemi")</f>
        <v>Onsemi</v>
      </c>
      <c r="C10139" s="6">
        <v>5000</v>
      </c>
      <c r="D10139" s="7">
        <v>1.1599999999999999</v>
      </c>
      <c r="E10139" t="s">
        <v>31</v>
      </c>
    </row>
    <row r="10140" spans="1:5" x14ac:dyDescent="0.25">
      <c r="A10140" t="str">
        <f>HYPERLINK("https://www.773grp.com/globalSearch/MC74HC365AD/page-1", "MC74HC365AD")</f>
        <v>MC74HC365AD</v>
      </c>
      <c r="B10140" s="3" t="str">
        <f>HYPERLINK("https://www.773grp.com/manufacturer/onsemi?pageNo=703", "Onsemi")</f>
        <v>Onsemi</v>
      </c>
      <c r="C10140" s="6">
        <v>8832</v>
      </c>
      <c r="D10140" s="7">
        <v>1.1599999999999999</v>
      </c>
      <c r="E10140" t="s">
        <v>11</v>
      </c>
    </row>
    <row r="10141" spans="1:5" x14ac:dyDescent="0.25">
      <c r="A10141" t="str">
        <f>HYPERLINK("https://www.773grp.com/globalSearch/MC74HC365ADR2/page-1", "MC74HC365ADR2")</f>
        <v>MC74HC365ADR2</v>
      </c>
      <c r="B10141" s="3" t="str">
        <f>HYPERLINK("https://www.773grp.com/manufacturer/onsemi?pageNo=704", "Onsemi")</f>
        <v>Onsemi</v>
      </c>
      <c r="C10141" s="6">
        <v>15000</v>
      </c>
      <c r="D10141" s="7">
        <v>1.1599999999999999</v>
      </c>
    </row>
    <row r="10142" spans="1:5" x14ac:dyDescent="0.25">
      <c r="A10142" t="str">
        <f>HYPERLINK("https://www.773grp.com/globalSearch/MC74HC365ADT/page-1", "MC74HC365ADT")</f>
        <v>MC74HC365ADT</v>
      </c>
      <c r="B10142" s="3" t="str">
        <f>HYPERLINK("https://www.773grp.com/manufacturer/onsemi?pageNo=705", "Onsemi")</f>
        <v>Onsemi</v>
      </c>
      <c r="C10142" s="6">
        <v>3147</v>
      </c>
      <c r="D10142" s="7">
        <v>1.1599999999999999</v>
      </c>
      <c r="E10142" t="s">
        <v>11</v>
      </c>
    </row>
    <row r="10143" spans="1:5" x14ac:dyDescent="0.25">
      <c r="A10143" t="str">
        <f>HYPERLINK("https://www.773grp.com/globalSearch/MC74HC365AF/page-1", "MC74HC365AF")</f>
        <v>MC74HC365AF</v>
      </c>
      <c r="B10143" s="3" t="str">
        <f>HYPERLINK("https://www.773grp.com/manufacturer/onsemi?pageNo=706", "Onsemi")</f>
        <v>Onsemi</v>
      </c>
      <c r="C10143" s="6">
        <v>1585</v>
      </c>
      <c r="D10143" s="7">
        <v>1.1599999999999999</v>
      </c>
    </row>
    <row r="10144" spans="1:5" x14ac:dyDescent="0.25">
      <c r="A10144" t="str">
        <f>HYPERLINK("https://www.773grp.com/globalSearch/MC74HC390AFELG/page-1", "MC74HC390AFELG")</f>
        <v>MC74HC390AFELG</v>
      </c>
      <c r="B10144" s="3" t="str">
        <f>HYPERLINK("https://www.773grp.com/manufacturer/onsemi?pageNo=707", "Onsemi")</f>
        <v>Onsemi</v>
      </c>
      <c r="C10144" s="6">
        <v>2761</v>
      </c>
      <c r="D10144" s="7">
        <v>1.1599999999999999</v>
      </c>
      <c r="E10144" t="s">
        <v>22</v>
      </c>
    </row>
    <row r="10145" spans="1:5" x14ac:dyDescent="0.25">
      <c r="A10145" t="str">
        <f>HYPERLINK("https://www.773grp.com/globalSearch/MC74HC390AFG/page-1", "MC74HC390AFG")</f>
        <v>MC74HC390AFG</v>
      </c>
      <c r="B10145" s="3" t="str">
        <f>HYPERLINK("https://www.773grp.com/manufacturer/onsemi?pageNo=708", "Onsemi")</f>
        <v>Onsemi</v>
      </c>
      <c r="C10145" s="6">
        <v>2350</v>
      </c>
      <c r="D10145" s="7">
        <v>1.1599999999999999</v>
      </c>
      <c r="E10145" t="s">
        <v>22</v>
      </c>
    </row>
    <row r="10146" spans="1:5" x14ac:dyDescent="0.25">
      <c r="A10146" t="str">
        <f>HYPERLINK("https://www.773grp.com/globalSearch/MC74HC4053AFELG/page-1", "MC74HC4053AFELG")</f>
        <v>MC74HC4053AFELG</v>
      </c>
      <c r="B10146" s="3" t="str">
        <f>HYPERLINK("https://www.773grp.com/manufacturer/onsemi?pageNo=709", "Onsemi")</f>
        <v>Onsemi</v>
      </c>
      <c r="C10146" s="6">
        <v>9819</v>
      </c>
      <c r="D10146" s="7">
        <v>1.1599999999999999</v>
      </c>
      <c r="E10146" t="s">
        <v>46</v>
      </c>
    </row>
    <row r="10147" spans="1:5" x14ac:dyDescent="0.25">
      <c r="A10147" t="str">
        <f>HYPERLINK("https://www.773grp.com/globalSearch/MC74HC4316AFELG/page-1", "MC74HC4316AFELG")</f>
        <v>MC74HC4316AFELG</v>
      </c>
      <c r="B10147" s="3" t="str">
        <f>HYPERLINK("https://www.773grp.com/manufacturer/onsemi?pageNo=710", "Onsemi")</f>
        <v>Onsemi</v>
      </c>
      <c r="C10147" s="6">
        <v>15548</v>
      </c>
      <c r="D10147" s="7">
        <v>1.1599999999999999</v>
      </c>
      <c r="E10147" t="s">
        <v>46</v>
      </c>
    </row>
    <row r="10148" spans="1:5" x14ac:dyDescent="0.25">
      <c r="A10148" t="str">
        <f>HYPERLINK("https://www.773grp.com/globalSearch/MC74HC4511F/page-1", "MC74HC4511F")</f>
        <v>MC74HC4511F</v>
      </c>
      <c r="B10148" s="3" t="str">
        <f>HYPERLINK("https://www.773grp.com/manufacturer/onsemi?pageNo=711", "Onsemi")</f>
        <v>Onsemi</v>
      </c>
      <c r="C10148" s="6">
        <v>1907</v>
      </c>
      <c r="D10148" s="7">
        <v>1.1599999999999999</v>
      </c>
    </row>
    <row r="10149" spans="1:5" x14ac:dyDescent="0.25">
      <c r="A10149" t="str">
        <f>HYPERLINK("https://www.773grp.com/globalSearch/MC74HC4511FEL/page-1", "MC74HC4511FEL")</f>
        <v>MC74HC4511FEL</v>
      </c>
      <c r="B10149" s="3" t="str">
        <f>HYPERLINK("https://www.773grp.com/manufacturer/onsemi?pageNo=712", "Onsemi")</f>
        <v>Onsemi</v>
      </c>
      <c r="C10149" s="6">
        <v>34000</v>
      </c>
      <c r="D10149" s="7">
        <v>1.1599999999999999</v>
      </c>
    </row>
    <row r="10150" spans="1:5" x14ac:dyDescent="0.25">
      <c r="A10150" t="str">
        <f>HYPERLINK("https://www.773grp.com/globalSearch/MC74HC4538ADR2/page-1", "MC74HC4538ADR2")</f>
        <v>MC74HC4538ADR2</v>
      </c>
      <c r="B10150" s="3" t="str">
        <f>HYPERLINK("https://www.773grp.com/manufacturer/onsemi?pageNo=713", "Onsemi")</f>
        <v>Onsemi</v>
      </c>
      <c r="C10150" s="6">
        <v>3763</v>
      </c>
      <c r="D10150" s="7">
        <v>1.1599999999999999</v>
      </c>
      <c r="E10150" t="s">
        <v>44</v>
      </c>
    </row>
    <row r="10151" spans="1:5" x14ac:dyDescent="0.25">
      <c r="A10151" t="str">
        <f>HYPERLINK("https://www.773grp.com/globalSearch/MC74HC4538ADR2G/page-1", "MC74HC4538ADR2G")</f>
        <v>MC74HC4538ADR2G</v>
      </c>
      <c r="B10151" s="3" t="str">
        <f>HYPERLINK("https://www.773grp.com/manufacturer/onsemi?pageNo=714", "Onsemi")</f>
        <v>Onsemi</v>
      </c>
      <c r="C10151" s="6">
        <v>49546</v>
      </c>
      <c r="D10151" s="7">
        <v>1.1599999999999999</v>
      </c>
      <c r="E10151" t="s">
        <v>44</v>
      </c>
    </row>
    <row r="10152" spans="1:5" x14ac:dyDescent="0.25">
      <c r="A10152" t="str">
        <f>HYPERLINK("https://www.773grp.com/globalSearch/MC74HCT132ADTG/page-1", "MC74HCT132ADTG")</f>
        <v>MC74HCT132ADTG</v>
      </c>
      <c r="B10152" s="3" t="str">
        <f>HYPERLINK("https://www.773grp.com/manufacturer/onsemi?pageNo=715", "Onsemi")</f>
        <v>Onsemi</v>
      </c>
      <c r="C10152" s="6">
        <v>3933</v>
      </c>
      <c r="D10152" s="7">
        <v>1.1599999999999999</v>
      </c>
    </row>
    <row r="10153" spans="1:5" x14ac:dyDescent="0.25">
      <c r="A10153" t="str">
        <f>HYPERLINK("https://www.773grp.com/globalSearch/MC74HCT132ADTR2G/page-1", "MC74HCT132ADTR2G")</f>
        <v>MC74HCT132ADTR2G</v>
      </c>
      <c r="B10153" s="3" t="str">
        <f>HYPERLINK("https://www.773grp.com/manufacturer/onsemi?pageNo=716", "Onsemi")</f>
        <v>Onsemi</v>
      </c>
      <c r="C10153" s="6">
        <v>38168</v>
      </c>
      <c r="D10153" s="7">
        <v>1.1599999999999999</v>
      </c>
      <c r="E10153" t="s">
        <v>27</v>
      </c>
    </row>
    <row r="10154" spans="1:5" x14ac:dyDescent="0.25">
      <c r="A10154" t="str">
        <f>HYPERLINK("https://www.773grp.com/globalSearch/MC74LCX138MELG/page-1", "MC74LCX138MELG")</f>
        <v>MC74LCX138MELG</v>
      </c>
      <c r="B10154" s="3" t="str">
        <f>HYPERLINK("https://www.773grp.com/manufacturer/onsemi?pageNo=717", "Onsemi")</f>
        <v>Onsemi</v>
      </c>
      <c r="C10154" s="6">
        <v>25205</v>
      </c>
      <c r="D10154" s="7">
        <v>1.1599999999999999</v>
      </c>
      <c r="E10154" t="s">
        <v>32</v>
      </c>
    </row>
    <row r="10155" spans="1:5" x14ac:dyDescent="0.25">
      <c r="A10155" t="str">
        <f>HYPERLINK("https://www.773grp.com/globalSearch/MC74LCX158DTR2G/page-1", "MC74LCX158DTR2G")</f>
        <v>MC74LCX158DTR2G</v>
      </c>
      <c r="B10155" s="3" t="str">
        <f>HYPERLINK("https://www.773grp.com/manufacturer/onsemi?pageNo=718", "Onsemi")</f>
        <v>Onsemi</v>
      </c>
      <c r="C10155" s="6">
        <v>2500</v>
      </c>
      <c r="D10155" s="7">
        <v>1.1599999999999999</v>
      </c>
      <c r="E10155" t="s">
        <v>16</v>
      </c>
    </row>
    <row r="10156" spans="1:5" x14ac:dyDescent="0.25">
      <c r="A10156" t="str">
        <f>HYPERLINK("https://www.773grp.com/globalSearch/MC74LCX244DWG/page-1", "MC74LCX244DWG")</f>
        <v>MC74LCX244DWG</v>
      </c>
      <c r="B10156" s="3" t="str">
        <f>HYPERLINK("https://www.773grp.com/manufacturer/onsemi?pageNo=719", "Onsemi")</f>
        <v>Onsemi</v>
      </c>
      <c r="C10156" s="6">
        <v>2318</v>
      </c>
      <c r="D10156" s="7">
        <v>1.1599999999999999</v>
      </c>
      <c r="E10156" t="s">
        <v>11</v>
      </c>
    </row>
    <row r="10157" spans="1:5" x14ac:dyDescent="0.25">
      <c r="A10157" t="str">
        <f>HYPERLINK("https://www.773grp.com/globalSearch/MC74LCX244DWR2G/page-1", "MC74LCX244DWR2G")</f>
        <v>MC74LCX244DWR2G</v>
      </c>
      <c r="B10157" s="3" t="str">
        <f>HYPERLINK("https://www.773grp.com/manufacturer/onsemi?pageNo=720", "Onsemi")</f>
        <v>Onsemi</v>
      </c>
      <c r="C10157" s="6">
        <v>8738</v>
      </c>
      <c r="D10157" s="7">
        <v>1.1599999999999999</v>
      </c>
      <c r="E10157" t="s">
        <v>11</v>
      </c>
    </row>
    <row r="10158" spans="1:5" x14ac:dyDescent="0.25">
      <c r="A10158" t="str">
        <f>HYPERLINK("https://www.773grp.com/globalSearch/MC74LCX245DWG/page-1", "MC74LCX245DWG")</f>
        <v>MC74LCX245DWG</v>
      </c>
      <c r="B10158" s="3" t="str">
        <f>HYPERLINK("https://www.773grp.com/manufacturer/onsemi?pageNo=721", "Onsemi")</f>
        <v>Onsemi</v>
      </c>
      <c r="C10158" s="6">
        <v>1353</v>
      </c>
      <c r="D10158" s="7">
        <v>1.1599999999999999</v>
      </c>
      <c r="E10158" t="s">
        <v>11</v>
      </c>
    </row>
    <row r="10159" spans="1:5" x14ac:dyDescent="0.25">
      <c r="A10159" t="str">
        <f>HYPERLINK("https://www.773grp.com/globalSearch/MC74LCX245DWR2G/page-1", "MC74LCX245DWR2G")</f>
        <v>MC74LCX245DWR2G</v>
      </c>
      <c r="B10159" s="3" t="str">
        <f>HYPERLINK("https://www.773grp.com/manufacturer/onsemi?pageNo=722", "Onsemi")</f>
        <v>Onsemi</v>
      </c>
      <c r="C10159" s="6">
        <v>2049</v>
      </c>
      <c r="D10159" s="7">
        <v>1.1599999999999999</v>
      </c>
      <c r="E10159" t="s">
        <v>11</v>
      </c>
    </row>
    <row r="10160" spans="1:5" x14ac:dyDescent="0.25">
      <c r="A10160" t="str">
        <f>HYPERLINK("https://www.773grp.com/globalSearch/MC74LCX257MELG/page-1", "MC74LCX257MELG")</f>
        <v>MC74LCX257MELG</v>
      </c>
      <c r="B10160" s="3" t="str">
        <f>HYPERLINK("https://www.773grp.com/manufacturer/onsemi?pageNo=723", "Onsemi")</f>
        <v>Onsemi</v>
      </c>
      <c r="C10160" s="6">
        <v>18000</v>
      </c>
      <c r="D10160" s="7">
        <v>1.1599999999999999</v>
      </c>
      <c r="E10160" t="s">
        <v>16</v>
      </c>
    </row>
    <row r="10161" spans="1:5" x14ac:dyDescent="0.25">
      <c r="A10161" t="str">
        <f>HYPERLINK("https://www.773grp.com/globalSearch/MC74LCX373DWR2G/page-1", "MC74LCX373DWR2G")</f>
        <v>MC74LCX373DWR2G</v>
      </c>
      <c r="B10161" s="3" t="str">
        <f>HYPERLINK("https://www.773grp.com/manufacturer/onsemi?pageNo=724", "Onsemi")</f>
        <v>Onsemi</v>
      </c>
      <c r="C10161" s="6">
        <v>11000</v>
      </c>
      <c r="D10161" s="7">
        <v>1.1599999999999999</v>
      </c>
      <c r="E10161" t="s">
        <v>11</v>
      </c>
    </row>
    <row r="10162" spans="1:5" x14ac:dyDescent="0.25">
      <c r="A10162" t="str">
        <f>HYPERLINK("https://www.773grp.com/globalSearch/MC74LCX374DWR2G/page-1", "MC74LCX374DWR2G")</f>
        <v>MC74LCX374DWR2G</v>
      </c>
      <c r="B10162" s="3" t="str">
        <f>HYPERLINK("https://www.773grp.com/manufacturer/onsemi?pageNo=725", "Onsemi")</f>
        <v>Onsemi</v>
      </c>
      <c r="C10162" s="6">
        <v>8429</v>
      </c>
      <c r="D10162" s="7">
        <v>1.1599999999999999</v>
      </c>
      <c r="E10162" t="s">
        <v>11</v>
      </c>
    </row>
    <row r="10163" spans="1:5" x14ac:dyDescent="0.25">
      <c r="A10163" t="str">
        <f>HYPERLINK("https://www.773grp.com/globalSearch/MC74LCX573DWG/page-1", "MC74LCX573DWG")</f>
        <v>MC74LCX573DWG</v>
      </c>
      <c r="B10163" s="3" t="str">
        <f>HYPERLINK("https://www.773grp.com/manufacturer/onsemi?pageNo=726", "Onsemi")</f>
        <v>Onsemi</v>
      </c>
      <c r="C10163" s="6">
        <v>20791</v>
      </c>
      <c r="D10163" s="7">
        <v>1.1599999999999999</v>
      </c>
      <c r="E10163" t="s">
        <v>11</v>
      </c>
    </row>
    <row r="10164" spans="1:5" x14ac:dyDescent="0.25">
      <c r="A10164" t="str">
        <f>HYPERLINK("https://www.773grp.com/globalSearch/MC74LCX573DWR2G/page-1", "MC74LCX573DWR2G")</f>
        <v>MC74LCX573DWR2G</v>
      </c>
      <c r="B10164" s="3" t="str">
        <f>HYPERLINK("https://www.773grp.com/manufacturer/onsemi?pageNo=727", "Onsemi")</f>
        <v>Onsemi</v>
      </c>
      <c r="C10164" s="6">
        <v>17702</v>
      </c>
      <c r="D10164" s="7">
        <v>1.1599999999999999</v>
      </c>
      <c r="E10164" t="s">
        <v>11</v>
      </c>
    </row>
    <row r="10165" spans="1:5" x14ac:dyDescent="0.25">
      <c r="A10165" t="str">
        <f>HYPERLINK("https://www.773grp.com/globalSearch/MC74LCX574DWR2G/page-1", "MC74LCX574DWR2G")</f>
        <v>MC74LCX574DWR2G</v>
      </c>
      <c r="B10165" s="3" t="str">
        <f>HYPERLINK("https://www.773grp.com/manufacturer/onsemi?pageNo=728", "Onsemi")</f>
        <v>Onsemi</v>
      </c>
      <c r="C10165" s="6">
        <v>7215</v>
      </c>
      <c r="D10165" s="7">
        <v>1.1599999999999999</v>
      </c>
      <c r="E10165" t="s">
        <v>11</v>
      </c>
    </row>
    <row r="10166" spans="1:5" x14ac:dyDescent="0.25">
      <c r="A10166" t="str">
        <f>HYPERLINK("https://www.773grp.com/globalSearch/MC74LVX125MELG/page-1", "MC74LVX125MELG")</f>
        <v>MC74LVX125MELG</v>
      </c>
      <c r="B10166" s="3" t="str">
        <f>HYPERLINK("https://www.773grp.com/manufacturer/onsemi?pageNo=729", "Onsemi")</f>
        <v>Onsemi</v>
      </c>
      <c r="C10166" s="6">
        <v>50000</v>
      </c>
      <c r="D10166" s="7">
        <v>1.1599999999999999</v>
      </c>
      <c r="E10166" t="s">
        <v>11</v>
      </c>
    </row>
    <row r="10167" spans="1:5" x14ac:dyDescent="0.25">
      <c r="A10167" t="str">
        <f>HYPERLINK("https://www.773grp.com/globalSearch/MC74LVX125MG/page-1", "MC74LVX125MG")</f>
        <v>MC74LVX125MG</v>
      </c>
      <c r="B10167" s="3" t="str">
        <f>HYPERLINK("https://www.773grp.com/manufacturer/onsemi?pageNo=730", "Onsemi")</f>
        <v>Onsemi</v>
      </c>
      <c r="C10167" s="6">
        <v>1700</v>
      </c>
      <c r="D10167" s="7">
        <v>1.1599999999999999</v>
      </c>
      <c r="E10167" t="s">
        <v>11</v>
      </c>
    </row>
    <row r="10168" spans="1:5" x14ac:dyDescent="0.25">
      <c r="A10168" t="str">
        <f>HYPERLINK("https://www.773grp.com/globalSearch/MC74LVX126MELG/page-1", "MC74LVX126MELG")</f>
        <v>MC74LVX126MELG</v>
      </c>
      <c r="B10168" s="3" t="str">
        <f>HYPERLINK("https://www.773grp.com/manufacturer/onsemi?pageNo=731", "Onsemi")</f>
        <v>Onsemi</v>
      </c>
      <c r="C10168" s="6">
        <v>47522</v>
      </c>
      <c r="D10168" s="7">
        <v>1.1599999999999999</v>
      </c>
      <c r="E10168" t="s">
        <v>11</v>
      </c>
    </row>
    <row r="10169" spans="1:5" x14ac:dyDescent="0.25">
      <c r="A10169" t="str">
        <f>HYPERLINK("https://www.773grp.com/globalSearch/MC74LVX126MG/page-1", "MC74LVX126MG")</f>
        <v>MC74LVX126MG</v>
      </c>
      <c r="B10169" s="3" t="str">
        <f>HYPERLINK("https://www.773grp.com/manufacturer/onsemi?pageNo=732", "Onsemi")</f>
        <v>Onsemi</v>
      </c>
      <c r="C10169" s="6">
        <v>1450</v>
      </c>
      <c r="D10169" s="7">
        <v>1.1599999999999999</v>
      </c>
      <c r="E10169" t="s">
        <v>11</v>
      </c>
    </row>
    <row r="10170" spans="1:5" x14ac:dyDescent="0.25">
      <c r="A10170" t="str">
        <f>HYPERLINK("https://www.773grp.com/globalSearch/MC74LVX132MELG/page-1", "MC74LVX132MELG")</f>
        <v>MC74LVX132MELG</v>
      </c>
      <c r="B10170" s="3" t="str">
        <f>HYPERLINK("https://www.773grp.com/manufacturer/onsemi?pageNo=733", "Onsemi")</f>
        <v>Onsemi</v>
      </c>
      <c r="C10170" s="6">
        <v>20000</v>
      </c>
      <c r="D10170" s="7">
        <v>1.1599999999999999</v>
      </c>
      <c r="E10170" t="s">
        <v>27</v>
      </c>
    </row>
    <row r="10171" spans="1:5" x14ac:dyDescent="0.25">
      <c r="A10171" t="str">
        <f>HYPERLINK("https://www.773grp.com/globalSearch/MC74LVX132MG/page-1", "MC74LVX132MG")</f>
        <v>MC74LVX132MG</v>
      </c>
      <c r="B10171" s="3" t="str">
        <f>HYPERLINK("https://www.773grp.com/manufacturer/onsemi?pageNo=734", "Onsemi")</f>
        <v>Onsemi</v>
      </c>
      <c r="C10171" s="6">
        <v>1550</v>
      </c>
      <c r="D10171" s="7">
        <v>1.1599999999999999</v>
      </c>
      <c r="E10171" t="s">
        <v>27</v>
      </c>
    </row>
    <row r="10172" spans="1:5" x14ac:dyDescent="0.25">
      <c r="A10172" t="str">
        <f>HYPERLINK("https://www.773grp.com/globalSearch/MC74LVX240DWR/page-1", "MC74LVX240DWR")</f>
        <v>MC74LVX240DWR</v>
      </c>
      <c r="B10172" s="3" t="str">
        <f>HYPERLINK("https://www.773grp.com/manufacturer/onsemi?pageNo=735", "Onsemi")</f>
        <v>Onsemi</v>
      </c>
      <c r="C10172" s="6">
        <v>1000</v>
      </c>
      <c r="D10172" s="7">
        <v>1.1599999999999999</v>
      </c>
    </row>
    <row r="10173" spans="1:5" x14ac:dyDescent="0.25">
      <c r="A10173" t="str">
        <f>HYPERLINK("https://www.773grp.com/globalSearch/MC74LVX240DWR2G/page-1", "MC74LVX240DWR2G")</f>
        <v>MC74LVX240DWR2G</v>
      </c>
      <c r="B10173" s="3" t="str">
        <f>HYPERLINK("https://www.773grp.com/manufacturer/onsemi?pageNo=736", "Onsemi")</f>
        <v>Onsemi</v>
      </c>
      <c r="C10173" s="6">
        <v>22498</v>
      </c>
      <c r="D10173" s="7">
        <v>1.1599999999999999</v>
      </c>
      <c r="E10173" t="s">
        <v>11</v>
      </c>
    </row>
    <row r="10174" spans="1:5" x14ac:dyDescent="0.25">
      <c r="A10174" t="str">
        <f>HYPERLINK("https://www.773grp.com/globalSearch/MC74LVX244DWR2G/page-1", "MC74LVX244DWR2G")</f>
        <v>MC74LVX244DWR2G</v>
      </c>
      <c r="B10174" s="3" t="str">
        <f>HYPERLINK("https://www.773grp.com/manufacturer/onsemi?pageNo=737", "Onsemi")</f>
        <v>Onsemi</v>
      </c>
      <c r="C10174" s="6">
        <v>17383</v>
      </c>
      <c r="D10174" s="7">
        <v>1.1599999999999999</v>
      </c>
      <c r="E10174" t="s">
        <v>11</v>
      </c>
    </row>
    <row r="10175" spans="1:5" x14ac:dyDescent="0.25">
      <c r="A10175" t="str">
        <f>HYPERLINK("https://www.773grp.com/globalSearch/MC74LVX245DWR2G/page-1", "MC74LVX245DWR2G")</f>
        <v>MC74LVX245DWR2G</v>
      </c>
      <c r="B10175" s="3" t="str">
        <f>HYPERLINK("https://www.773grp.com/manufacturer/onsemi?pageNo=738", "Onsemi")</f>
        <v>Onsemi</v>
      </c>
      <c r="C10175" s="6">
        <v>39824</v>
      </c>
      <c r="D10175" s="7">
        <v>1.1599999999999999</v>
      </c>
      <c r="E10175" t="s">
        <v>11</v>
      </c>
    </row>
    <row r="10176" spans="1:5" x14ac:dyDescent="0.25">
      <c r="A10176" t="str">
        <f>HYPERLINK("https://www.773grp.com/globalSearch/MC74LVX573DWR2G/page-1", "MC74LVX573DWR2G")</f>
        <v>MC74LVX573DWR2G</v>
      </c>
      <c r="B10176" s="3" t="str">
        <f>HYPERLINK("https://www.773grp.com/manufacturer/onsemi?pageNo=739", "Onsemi")</f>
        <v>Onsemi</v>
      </c>
      <c r="C10176" s="6">
        <v>9000</v>
      </c>
      <c r="D10176" s="7">
        <v>1.1599999999999999</v>
      </c>
    </row>
    <row r="10177" spans="1:5" x14ac:dyDescent="0.25">
      <c r="A10177" t="str">
        <f>HYPERLINK("https://www.773grp.com/globalSearch/MC74LVX574DWR2G/page-1", "MC74LVX574DWR2G")</f>
        <v>MC74LVX574DWR2G</v>
      </c>
      <c r="B10177" s="3" t="str">
        <f>HYPERLINK("https://www.773grp.com/manufacturer/onsemi?pageNo=740", "Onsemi")</f>
        <v>Onsemi</v>
      </c>
      <c r="C10177" s="6">
        <v>10540</v>
      </c>
      <c r="D10177" s="7">
        <v>1.1599999999999999</v>
      </c>
      <c r="E10177" t="s">
        <v>11</v>
      </c>
    </row>
    <row r="10178" spans="1:5" x14ac:dyDescent="0.25">
      <c r="A10178" t="str">
        <f>HYPERLINK("https://www.773grp.com/globalSearch/MC74VHC125MEL/page-1", "MC74VHC125MEL")</f>
        <v>MC74VHC125MEL</v>
      </c>
      <c r="B10178" s="3" t="str">
        <f>HYPERLINK("https://www.773grp.com/manufacturer/onsemi?pageNo=741", "Onsemi")</f>
        <v>Onsemi</v>
      </c>
      <c r="C10178" s="6">
        <v>2000</v>
      </c>
      <c r="D10178" s="7">
        <v>1.1599999999999999</v>
      </c>
      <c r="E10178" t="s">
        <v>11</v>
      </c>
    </row>
    <row r="10179" spans="1:5" x14ac:dyDescent="0.25">
      <c r="A10179" t="str">
        <f>HYPERLINK("https://www.773grp.com/globalSearch/MC74VHC125MELG/page-1", "MC74VHC125MELG")</f>
        <v>MC74VHC125MELG</v>
      </c>
      <c r="B10179" s="3" t="str">
        <f>HYPERLINK("https://www.773grp.com/manufacturer/onsemi?pageNo=742", "Onsemi")</f>
        <v>Onsemi</v>
      </c>
      <c r="C10179" s="6">
        <v>46000</v>
      </c>
      <c r="D10179" s="7">
        <v>1.1599999999999999</v>
      </c>
      <c r="E10179" t="s">
        <v>11</v>
      </c>
    </row>
    <row r="10180" spans="1:5" x14ac:dyDescent="0.25">
      <c r="A10180" t="str">
        <f>HYPERLINK("https://www.773grp.com/globalSearch/MC74VHC132MELG/page-1", "MC74VHC132MELG")</f>
        <v>MC74VHC132MELG</v>
      </c>
      <c r="B10180" s="3" t="str">
        <f>HYPERLINK("https://www.773grp.com/manufacturer/onsemi?pageNo=743", "Onsemi")</f>
        <v>Onsemi</v>
      </c>
      <c r="C10180" s="6">
        <v>31978</v>
      </c>
      <c r="D10180" s="7">
        <v>1.1599999999999999</v>
      </c>
      <c r="E10180" t="s">
        <v>27</v>
      </c>
    </row>
    <row r="10181" spans="1:5" x14ac:dyDescent="0.25">
      <c r="A10181" t="str">
        <f>HYPERLINK("https://www.773grp.com/globalSearch/MC74VHCT125AMELG/page-1", "MC74VHCT125AMELG")</f>
        <v>MC74VHCT125AMELG</v>
      </c>
      <c r="B10181" s="3" t="str">
        <f>HYPERLINK("https://www.773grp.com/manufacturer/onsemi?pageNo=744", "Onsemi")</f>
        <v>Onsemi</v>
      </c>
      <c r="C10181" s="6">
        <v>22000</v>
      </c>
      <c r="D10181" s="7">
        <v>1.1599999999999999</v>
      </c>
      <c r="E10181" t="s">
        <v>11</v>
      </c>
    </row>
    <row r="10182" spans="1:5" x14ac:dyDescent="0.25">
      <c r="A10182" t="str">
        <f>HYPERLINK("https://www.773grp.com/globalSearch/MC74VHCT126AMG/page-1", "MC74VHCT126AMG")</f>
        <v>MC74VHCT126AMG</v>
      </c>
      <c r="B10182" s="3" t="str">
        <f>HYPERLINK("https://www.773grp.com/manufacturer/onsemi?pageNo=745", "Onsemi")</f>
        <v>Onsemi</v>
      </c>
      <c r="C10182" s="6">
        <v>24750</v>
      </c>
      <c r="D10182" s="7">
        <v>1.1599999999999999</v>
      </c>
      <c r="E10182" t="s">
        <v>11</v>
      </c>
    </row>
    <row r="10183" spans="1:5" x14ac:dyDescent="0.25">
      <c r="A10183" t="str">
        <f>HYPERLINK("https://www.773grp.com/globalSearch/MC74VHCT373ADW/page-1", "MC74VHCT373ADW")</f>
        <v>MC74VHCT373ADW</v>
      </c>
      <c r="B10183" s="3" t="str">
        <f>HYPERLINK("https://www.773grp.com/manufacturer/onsemi?pageNo=746", "Onsemi")</f>
        <v>Onsemi</v>
      </c>
      <c r="C10183" s="6">
        <v>3990</v>
      </c>
      <c r="D10183" s="7">
        <v>1.1599999999999999</v>
      </c>
      <c r="E10183" t="s">
        <v>11</v>
      </c>
    </row>
    <row r="10184" spans="1:5" x14ac:dyDescent="0.25">
      <c r="A10184" t="str">
        <f>HYPERLINK("https://www.773grp.com/globalSearch/MC74VHCT50AMELG/page-1", "MC74VHCT50AMELG")</f>
        <v>MC74VHCT50AMELG</v>
      </c>
      <c r="B10184" s="3" t="str">
        <f>HYPERLINK("https://www.773grp.com/manufacturer/onsemi?pageNo=747", "Onsemi")</f>
        <v>Onsemi</v>
      </c>
      <c r="C10184" s="6">
        <v>52000</v>
      </c>
      <c r="D10184" s="7">
        <v>1.1599999999999999</v>
      </c>
      <c r="E10184" t="s">
        <v>27</v>
      </c>
    </row>
    <row r="10185" spans="1:5" x14ac:dyDescent="0.25">
      <c r="A10185" t="str">
        <f>HYPERLINK("https://www.773grp.com/globalSearch/MC74VHCT50AMG/page-1", "MC74VHCT50AMG")</f>
        <v>MC74VHCT50AMG</v>
      </c>
      <c r="B10185" s="3" t="str">
        <f>HYPERLINK("https://www.773grp.com/manufacturer/onsemi?pageNo=748", "Onsemi")</f>
        <v>Onsemi</v>
      </c>
      <c r="C10185" s="6">
        <v>28270</v>
      </c>
      <c r="D10185" s="7">
        <v>1.1599999999999999</v>
      </c>
      <c r="E10185" t="s">
        <v>27</v>
      </c>
    </row>
    <row r="10186" spans="1:5" x14ac:dyDescent="0.25">
      <c r="A10186" t="str">
        <f>HYPERLINK("https://www.773grp.com/globalSearch/MJD127T4/page-1", "MJD127T4")</f>
        <v>MJD127T4</v>
      </c>
      <c r="B10186" s="3" t="str">
        <f>HYPERLINK("https://www.773grp.com/manufacturer/onsemi?pageNo=749", "Onsemi")</f>
        <v>Onsemi</v>
      </c>
      <c r="C10186" s="6">
        <v>2500</v>
      </c>
      <c r="D10186" s="7">
        <v>1.1599999999999999</v>
      </c>
      <c r="E10186" t="s">
        <v>47</v>
      </c>
    </row>
    <row r="10187" spans="1:5" x14ac:dyDescent="0.25">
      <c r="A10187" t="str">
        <f>HYPERLINK("https://www.773grp.com/globalSearch/MJD44H11/page-1", "MJD44H11")</f>
        <v>MJD44H11</v>
      </c>
      <c r="B10187" s="3" t="str">
        <f>HYPERLINK("https://www.773grp.com/manufacturer/onsemi?pageNo=750", "Onsemi")</f>
        <v>Onsemi</v>
      </c>
      <c r="C10187" s="6">
        <v>5800</v>
      </c>
      <c r="D10187" s="7">
        <v>1.1599999999999999</v>
      </c>
    </row>
    <row r="10188" spans="1:5" x14ac:dyDescent="0.25">
      <c r="A10188" t="str">
        <f>HYPERLINK("https://www.773grp.com/globalSearch/MJD44H11G/page-1", "MJD44H11G")</f>
        <v>MJD44H11G</v>
      </c>
      <c r="B10188" s="3" t="str">
        <f>HYPERLINK("https://www.773grp.com/manufacturer/onsemi?pageNo=751", "Onsemi")</f>
        <v>Onsemi</v>
      </c>
      <c r="C10188" s="6">
        <v>6619</v>
      </c>
      <c r="D10188" s="7">
        <v>1.1599999999999999</v>
      </c>
      <c r="E10188" t="s">
        <v>47</v>
      </c>
    </row>
    <row r="10189" spans="1:5" x14ac:dyDescent="0.25">
      <c r="A10189" t="str">
        <f>HYPERLINK("https://www.773grp.com/globalSearch/MJD44H11T4G/page-1", "MJD44H11T4G")</f>
        <v>MJD44H11T4G</v>
      </c>
      <c r="B10189" s="3" t="str">
        <f>HYPERLINK("https://www.773grp.com/manufacturer/onsemi?pageNo=752", "Onsemi")</f>
        <v>Onsemi</v>
      </c>
      <c r="C10189" s="6">
        <v>10000</v>
      </c>
      <c r="D10189" s="7">
        <v>1.1599999999999999</v>
      </c>
    </row>
    <row r="10190" spans="1:5" x14ac:dyDescent="0.25">
      <c r="A10190" t="str">
        <f>HYPERLINK("https://www.773grp.com/globalSearch/MJD44H11T5G/page-1", "MJD44H11T5G")</f>
        <v>MJD44H11T5G</v>
      </c>
      <c r="B10190" s="3" t="str">
        <f>HYPERLINK("https://www.773grp.com/manufacturer/onsemi?pageNo=753", "Onsemi")</f>
        <v>Onsemi</v>
      </c>
      <c r="C10190" s="6">
        <v>2500</v>
      </c>
      <c r="D10190" s="7">
        <v>1.1599999999999999</v>
      </c>
    </row>
    <row r="10191" spans="1:5" x14ac:dyDescent="0.25">
      <c r="A10191" t="str">
        <f>HYPERLINK("https://www.773grp.com/globalSearch/MJD45H11RL/page-1", "MJD45H11RL")</f>
        <v>MJD45H11RL</v>
      </c>
      <c r="B10191" s="3" t="str">
        <f>HYPERLINK("https://www.773grp.com/manufacturer/onsemi?pageNo=754", "Onsemi")</f>
        <v>Onsemi</v>
      </c>
      <c r="C10191" s="6">
        <v>7200</v>
      </c>
      <c r="D10191" s="7">
        <v>1.1599999999999999</v>
      </c>
    </row>
    <row r="10192" spans="1:5" x14ac:dyDescent="0.25">
      <c r="A10192" t="str">
        <f>HYPERLINK("https://www.773grp.com/globalSearch/MJD45H11RLG/page-1", "MJD45H11RLG")</f>
        <v>MJD45H11RLG</v>
      </c>
      <c r="B10192" s="3" t="str">
        <f>HYPERLINK("https://www.773grp.com/manufacturer/onsemi?pageNo=755", "Onsemi")</f>
        <v>Onsemi</v>
      </c>
      <c r="C10192" s="6">
        <v>3400</v>
      </c>
      <c r="D10192" s="7">
        <v>1.1599999999999999</v>
      </c>
    </row>
    <row r="10193" spans="1:5" x14ac:dyDescent="0.25">
      <c r="A10193" t="str">
        <f>HYPERLINK("https://www.773grp.com/globalSearch/MJE340/page-1", "MJE340")</f>
        <v>MJE340</v>
      </c>
      <c r="B10193" s="3" t="str">
        <f>HYPERLINK("https://www.773grp.com/manufacturer/onsemi?pageNo=756", "Onsemi")</f>
        <v>Onsemi</v>
      </c>
      <c r="C10193" s="6">
        <v>3990</v>
      </c>
      <c r="D10193" s="7">
        <v>1.1599999999999999</v>
      </c>
      <c r="E10193" t="s">
        <v>47</v>
      </c>
    </row>
    <row r="10194" spans="1:5" x14ac:dyDescent="0.25">
      <c r="A10194" t="str">
        <f>HYPERLINK("https://www.773grp.com/globalSearch/MJE340G/page-1", "MJE340G")</f>
        <v>MJE340G</v>
      </c>
      <c r="B10194" s="3" t="str">
        <f>HYPERLINK("https://www.773grp.com/manufacturer/onsemi?pageNo=757", "Onsemi")</f>
        <v>Onsemi</v>
      </c>
      <c r="C10194" s="6">
        <v>67000</v>
      </c>
      <c r="D10194" s="7">
        <v>1.1599999999999999</v>
      </c>
      <c r="E10194" t="s">
        <v>47</v>
      </c>
    </row>
    <row r="10195" spans="1:5" x14ac:dyDescent="0.25">
      <c r="A10195" t="str">
        <f>HYPERLINK("https://www.773grp.com/globalSearch/MKP1V120RLG/page-1", "MKP1V120RLG")</f>
        <v>MKP1V120RLG</v>
      </c>
      <c r="B10195" s="3" t="str">
        <f>HYPERLINK("https://www.773grp.com/manufacturer/onsemi?pageNo=758", "Onsemi")</f>
        <v>Onsemi</v>
      </c>
      <c r="C10195" s="6">
        <v>5000</v>
      </c>
      <c r="D10195" s="7">
        <v>1.1599999999999999</v>
      </c>
      <c r="E10195" t="s">
        <v>90</v>
      </c>
    </row>
    <row r="10196" spans="1:5" x14ac:dyDescent="0.25">
      <c r="A10196" t="str">
        <f>HYPERLINK("https://www.773grp.com/globalSearch/MKP1V130RLG/page-1", "MKP1V130RLG")</f>
        <v>MKP1V130RLG</v>
      </c>
      <c r="B10196" s="3" t="str">
        <f>HYPERLINK("https://www.773grp.com/manufacturer/onsemi?pageNo=759", "Onsemi")</f>
        <v>Onsemi</v>
      </c>
      <c r="C10196" s="6">
        <v>3414</v>
      </c>
      <c r="D10196" s="7">
        <v>1.1599999999999999</v>
      </c>
      <c r="E10196" t="s">
        <v>90</v>
      </c>
    </row>
    <row r="10197" spans="1:5" x14ac:dyDescent="0.25">
      <c r="A10197" t="str">
        <f>HYPERLINK("https://www.773grp.com/globalSearch/MKP1V240RLG/page-1", "MKP1V240RLG")</f>
        <v>MKP1V240RLG</v>
      </c>
      <c r="B10197" s="3" t="str">
        <f>HYPERLINK("https://www.773grp.com/manufacturer/onsemi?pageNo=760", "Onsemi")</f>
        <v>Onsemi</v>
      </c>
      <c r="C10197" s="6">
        <v>5000</v>
      </c>
      <c r="D10197" s="7">
        <v>1.1599999999999999</v>
      </c>
    </row>
    <row r="10198" spans="1:5" x14ac:dyDescent="0.25">
      <c r="A10198" t="str">
        <f>HYPERLINK("https://www.773grp.com/globalSearch/MKP9V160RLG/page-1", "MKP9V160RLG")</f>
        <v>MKP9V160RLG</v>
      </c>
      <c r="B10198" s="3" t="str">
        <f>HYPERLINK("https://www.773grp.com/manufacturer/onsemi?pageNo=761", "Onsemi")</f>
        <v>Onsemi</v>
      </c>
      <c r="C10198" s="6">
        <v>74875</v>
      </c>
      <c r="D10198" s="7">
        <v>1.1599999999999999</v>
      </c>
      <c r="E10198" t="s">
        <v>91</v>
      </c>
    </row>
    <row r="10199" spans="1:5" x14ac:dyDescent="0.25">
      <c r="A10199" t="str">
        <f>HYPERLINK("https://www.773grp.com/globalSearch/MMDF3N06VLR2/page-1", "MMDF3N06VLR2")</f>
        <v>MMDF3N06VLR2</v>
      </c>
      <c r="B10199" s="3" t="str">
        <f>HYPERLINK("https://www.773grp.com/manufacturer/onsemi?pageNo=762", "Onsemi")</f>
        <v>Onsemi</v>
      </c>
      <c r="C10199" s="6">
        <v>118</v>
      </c>
      <c r="D10199" s="7">
        <v>1.1599999999999999</v>
      </c>
      <c r="E10199" t="s">
        <v>84</v>
      </c>
    </row>
    <row r="10200" spans="1:5" x14ac:dyDescent="0.25">
      <c r="A10200" t="str">
        <f>HYPERLINK("https://www.773grp.com/globalSearch/MMFT1N10ET1/page-1", "MMFT1N10ET1")</f>
        <v>MMFT1N10ET1</v>
      </c>
      <c r="B10200" s="3" t="str">
        <f>HYPERLINK("https://www.773grp.com/manufacturer/onsemi?pageNo=763", "Onsemi")</f>
        <v>Onsemi</v>
      </c>
      <c r="C10200" s="6">
        <v>22155</v>
      </c>
      <c r="D10200" s="7">
        <v>1.1599999999999999</v>
      </c>
      <c r="E10200" t="s">
        <v>85</v>
      </c>
    </row>
    <row r="10201" spans="1:5" x14ac:dyDescent="0.25">
      <c r="A10201" t="str">
        <f>HYPERLINK("https://www.773grp.com/globalSearch/MMFT2N25ET3/page-1", "MMFT2N25ET3")</f>
        <v>MMFT2N25ET3</v>
      </c>
      <c r="B10201" s="3" t="str">
        <f>HYPERLINK("https://www.773grp.com/manufacturer/onsemi?pageNo=764", "Onsemi")</f>
        <v>Onsemi</v>
      </c>
      <c r="C10201" s="6">
        <v>4000</v>
      </c>
      <c r="D10201" s="7">
        <v>1.1599999999999999</v>
      </c>
      <c r="E10201" t="s">
        <v>85</v>
      </c>
    </row>
    <row r="10202" spans="1:5" x14ac:dyDescent="0.25">
      <c r="A10202" t="str">
        <f>HYPERLINK("https://www.773grp.com/globalSearch/MTD20P03HDL1/page-1", "MTD20P03HDL1")</f>
        <v>MTD20P03HDL1</v>
      </c>
      <c r="B10202" s="3" t="str">
        <f>HYPERLINK("https://www.773grp.com/manufacturer/onsemi?pageNo=765", "Onsemi")</f>
        <v>Onsemi</v>
      </c>
      <c r="C10202" s="6">
        <v>3334</v>
      </c>
      <c r="D10202" s="7">
        <v>1.1599999999999999</v>
      </c>
      <c r="E10202" t="s">
        <v>84</v>
      </c>
    </row>
    <row r="10203" spans="1:5" x14ac:dyDescent="0.25">
      <c r="A10203" t="str">
        <f>HYPERLINK("https://www.773grp.com/globalSearch/MTDF1C02HDR2/page-1", "MTDF1C02HDR2")</f>
        <v>MTDF1C02HDR2</v>
      </c>
      <c r="B10203" s="3" t="str">
        <f>HYPERLINK("https://www.773grp.com/manufacturer/onsemi?pageNo=766", "Onsemi")</f>
        <v>Onsemi</v>
      </c>
      <c r="C10203" s="6">
        <v>3930</v>
      </c>
      <c r="D10203" s="7">
        <v>1.1599999999999999</v>
      </c>
      <c r="E10203" t="s">
        <v>85</v>
      </c>
    </row>
    <row r="10204" spans="1:5" x14ac:dyDescent="0.25">
      <c r="A10204" t="str">
        <f>HYPERLINK("https://www.773grp.com/globalSearch/NCP1050ST100T3/page-1", "NCP1050ST100T3")</f>
        <v>NCP1050ST100T3</v>
      </c>
      <c r="B10204" s="3" t="str">
        <f>HYPERLINK("https://www.773grp.com/manufacturer/onsemi?pageNo=767", "Onsemi")</f>
        <v>Onsemi</v>
      </c>
      <c r="C10204" s="6">
        <v>28898</v>
      </c>
      <c r="D10204" s="7">
        <v>1.1599999999999999</v>
      </c>
      <c r="E10204" t="s">
        <v>5</v>
      </c>
    </row>
    <row r="10205" spans="1:5" x14ac:dyDescent="0.25">
      <c r="A10205" t="str">
        <f>HYPERLINK("https://www.773grp.com/globalSearch/NCP1050ST136T3/page-1", "NCP1050ST136T3")</f>
        <v>NCP1050ST136T3</v>
      </c>
      <c r="B10205" s="3" t="str">
        <f>HYPERLINK("https://www.773grp.com/manufacturer/onsemi?pageNo=768", "Onsemi")</f>
        <v>Onsemi</v>
      </c>
      <c r="C10205" s="6">
        <v>99967</v>
      </c>
      <c r="D10205" s="7">
        <v>1.1599999999999999</v>
      </c>
      <c r="E10205" t="s">
        <v>5</v>
      </c>
    </row>
    <row r="10206" spans="1:5" x14ac:dyDescent="0.25">
      <c r="A10206" t="str">
        <f>HYPERLINK("https://www.773grp.com/globalSearch/NCP1051ST44T3/page-1", "NCP1051ST44T3")</f>
        <v>NCP1051ST44T3</v>
      </c>
      <c r="B10206" s="3" t="str">
        <f>HYPERLINK("https://www.773grp.com/manufacturer/onsemi?pageNo=769", "Onsemi")</f>
        <v>Onsemi</v>
      </c>
      <c r="C10206" s="6">
        <v>7995</v>
      </c>
      <c r="D10206" s="7">
        <v>1.1599999999999999</v>
      </c>
      <c r="E10206" t="s">
        <v>5</v>
      </c>
    </row>
    <row r="10207" spans="1:5" x14ac:dyDescent="0.25">
      <c r="A10207" t="str">
        <f>HYPERLINK("https://www.773grp.com/globalSearch/NCP1052ST100T3/page-1", "NCP1052ST100T3")</f>
        <v>NCP1052ST100T3</v>
      </c>
      <c r="B10207" s="3" t="str">
        <f>HYPERLINK("https://www.773grp.com/manufacturer/onsemi?pageNo=770", "Onsemi")</f>
        <v>Onsemi</v>
      </c>
      <c r="C10207" s="6">
        <v>7930</v>
      </c>
      <c r="D10207" s="7">
        <v>1.1599999999999999</v>
      </c>
      <c r="E10207" t="s">
        <v>5</v>
      </c>
    </row>
    <row r="10208" spans="1:5" x14ac:dyDescent="0.25">
      <c r="A10208" t="str">
        <f>HYPERLINK("https://www.773grp.com/globalSearch/NCP2809BMUTXG/page-1", "NCP2809BMUTXG")</f>
        <v>NCP2809BMUTXG</v>
      </c>
      <c r="B10208" s="3" t="str">
        <f>HYPERLINK("https://www.773grp.com/manufacturer/onsemi?pageNo=771", "Onsemi")</f>
        <v>Onsemi</v>
      </c>
      <c r="C10208" s="6">
        <v>114000</v>
      </c>
      <c r="D10208" s="7">
        <v>1.1599999999999999</v>
      </c>
      <c r="E10208" t="s">
        <v>14</v>
      </c>
    </row>
    <row r="10209" spans="1:5" x14ac:dyDescent="0.25">
      <c r="A10209" t="str">
        <f>HYPERLINK("https://www.773grp.com/globalSearch/NCP349MNAETBG/page-1", "NCP349MNAETBG")</f>
        <v>NCP349MNAETBG</v>
      </c>
      <c r="B10209" s="3" t="str">
        <f>HYPERLINK("https://www.773grp.com/manufacturer/onsemi?pageNo=772", "Onsemi")</f>
        <v>Onsemi</v>
      </c>
      <c r="C10209" s="6">
        <v>36000</v>
      </c>
      <c r="D10209" s="7">
        <v>1.1599999999999999</v>
      </c>
    </row>
    <row r="10210" spans="1:5" x14ac:dyDescent="0.25">
      <c r="A10210" t="str">
        <f>HYPERLINK("https://www.773grp.com/globalSearch/NCP382HD15AAR2G/page-1", "NCP382HD15AAR2G")</f>
        <v>NCP382HD15AAR2G</v>
      </c>
      <c r="B10210" s="3" t="str">
        <f>HYPERLINK("https://www.773grp.com/manufacturer/onsemi?pageNo=773", "Onsemi")</f>
        <v>Onsemi</v>
      </c>
      <c r="C10210" s="6">
        <v>2500</v>
      </c>
      <c r="D10210" s="7">
        <v>1.1599999999999999</v>
      </c>
    </row>
    <row r="10211" spans="1:5" x14ac:dyDescent="0.25">
      <c r="A10211" t="str">
        <f>HYPERLINK("https://www.773grp.com/globalSearch/NCP382LD10AAR2G/page-1", "NCP382LD10AAR2G")</f>
        <v>NCP382LD10AAR2G</v>
      </c>
      <c r="B10211" s="3" t="str">
        <f>HYPERLINK("https://www.773grp.com/manufacturer/onsemi?pageNo=774", "Onsemi")</f>
        <v>Onsemi</v>
      </c>
      <c r="C10211" s="6">
        <v>330323</v>
      </c>
      <c r="D10211" s="7">
        <v>1.1599999999999999</v>
      </c>
    </row>
    <row r="10212" spans="1:5" x14ac:dyDescent="0.25">
      <c r="A10212" t="str">
        <f>HYPERLINK("https://www.773grp.com/globalSearch/NCP382LD15AAR2G/page-1", "NCP382LD15AAR2G")</f>
        <v>NCP382LD15AAR2G</v>
      </c>
      <c r="B10212" s="3" t="str">
        <f>HYPERLINK("https://www.773grp.com/manufacturer/onsemi?pageNo=775", "Onsemi")</f>
        <v>Onsemi</v>
      </c>
      <c r="C10212" s="6">
        <v>40000</v>
      </c>
      <c r="D10212" s="7">
        <v>1.1599999999999999</v>
      </c>
    </row>
    <row r="10213" spans="1:5" x14ac:dyDescent="0.25">
      <c r="A10213" t="str">
        <f>HYPERLINK("https://www.773grp.com/globalSearch/NCP4587DSN12T1G/page-1", "NCP4587DSN12T1G")</f>
        <v>NCP4587DSN12T1G</v>
      </c>
      <c r="B10213" s="3" t="str">
        <f>HYPERLINK("https://www.773grp.com/manufacturer/onsemi?pageNo=776", "Onsemi")</f>
        <v>Onsemi</v>
      </c>
      <c r="C10213" s="6">
        <v>6000</v>
      </c>
      <c r="D10213" s="7">
        <v>1.1599999999999999</v>
      </c>
    </row>
    <row r="10214" spans="1:5" x14ac:dyDescent="0.25">
      <c r="A10214" t="str">
        <f>HYPERLINK("https://www.773grp.com/globalSearch/NCP4587DSN18T1G/page-1", "NCP4587DSN18T1G")</f>
        <v>NCP4587DSN18T1G</v>
      </c>
      <c r="B10214" s="3" t="str">
        <f>HYPERLINK("https://www.773grp.com/manufacturer/onsemi?pageNo=777", "Onsemi")</f>
        <v>Onsemi</v>
      </c>
      <c r="C10214" s="6">
        <v>3000</v>
      </c>
      <c r="D10214" s="7">
        <v>1.1599999999999999</v>
      </c>
    </row>
    <row r="10215" spans="1:5" x14ac:dyDescent="0.25">
      <c r="A10215" t="str">
        <f>HYPERLINK("https://www.773grp.com/globalSearch/NCP4587DSN28T1G/page-1", "NCP4587DSN28T1G")</f>
        <v>NCP4587DSN28T1G</v>
      </c>
      <c r="B10215" s="3" t="str">
        <f>HYPERLINK("https://www.773grp.com/manufacturer/onsemi?pageNo=778", "Onsemi")</f>
        <v>Onsemi</v>
      </c>
      <c r="C10215" s="6">
        <v>6000</v>
      </c>
      <c r="D10215" s="7">
        <v>1.1599999999999999</v>
      </c>
    </row>
    <row r="10216" spans="1:5" x14ac:dyDescent="0.25">
      <c r="A10216" t="str">
        <f>HYPERLINK("https://www.773grp.com/globalSearch/NCP4587DSN33T1G/page-1", "NCP4587DSN33T1G")</f>
        <v>NCP4587DSN33T1G</v>
      </c>
      <c r="B10216" s="3" t="str">
        <f>HYPERLINK("https://www.773grp.com/manufacturer/onsemi?pageNo=779", "Onsemi")</f>
        <v>Onsemi</v>
      </c>
      <c r="C10216" s="6">
        <v>3000</v>
      </c>
      <c r="D10216" s="7">
        <v>1.1599999999999999</v>
      </c>
    </row>
    <row r="10217" spans="1:5" x14ac:dyDescent="0.25">
      <c r="A10217" t="str">
        <f>HYPERLINK("https://www.773grp.com/globalSearch/NCP4894DMR2G/page-1", "NCP4894DMR2G")</f>
        <v>NCP4894DMR2G</v>
      </c>
      <c r="B10217" s="3" t="str">
        <f>HYPERLINK("https://www.773grp.com/manufacturer/onsemi?pageNo=780", "Onsemi")</f>
        <v>Onsemi</v>
      </c>
      <c r="C10217" s="6">
        <v>4000</v>
      </c>
      <c r="D10217" s="7">
        <v>1.1599999999999999</v>
      </c>
    </row>
    <row r="10218" spans="1:5" x14ac:dyDescent="0.25">
      <c r="A10218" t="str">
        <f>HYPERLINK("https://www.773grp.com/globalSearch/NCP4894FCT1G/page-1", "NCP4894FCT1G")</f>
        <v>NCP4894FCT1G</v>
      </c>
      <c r="B10218" s="3" t="str">
        <f>HYPERLINK("https://www.773grp.com/manufacturer/onsemi?pageNo=781", "Onsemi")</f>
        <v>Onsemi</v>
      </c>
      <c r="C10218" s="6">
        <v>1471970</v>
      </c>
      <c r="D10218" s="7">
        <v>1.1599999999999999</v>
      </c>
      <c r="E10218" t="s">
        <v>14</v>
      </c>
    </row>
    <row r="10219" spans="1:5" x14ac:dyDescent="0.25">
      <c r="A10219" t="str">
        <f>HYPERLINK("https://www.773grp.com/globalSearch/NCP4894MNR2G/page-1", "NCP4894MNR2G")</f>
        <v>NCP4894MNR2G</v>
      </c>
      <c r="B10219" s="3" t="str">
        <f>HYPERLINK("https://www.773grp.com/manufacturer/onsemi?pageNo=782", "Onsemi")</f>
        <v>Onsemi</v>
      </c>
      <c r="C10219" s="6">
        <v>68980</v>
      </c>
      <c r="D10219" s="7">
        <v>1.1599999999999999</v>
      </c>
      <c r="E10219" t="s">
        <v>14</v>
      </c>
    </row>
    <row r="10220" spans="1:5" x14ac:dyDescent="0.25">
      <c r="A10220" t="str">
        <f>HYPERLINK("https://www.773grp.com/globalSearch/NCP502SQ30T1G/page-1", "NCP502SQ30T1G")</f>
        <v>NCP502SQ30T1G</v>
      </c>
      <c r="B10220" s="3" t="str">
        <f>HYPERLINK("https://www.773grp.com/manufacturer/onsemi?pageNo=783", "Onsemi")</f>
        <v>Onsemi</v>
      </c>
      <c r="C10220" s="6">
        <v>3000</v>
      </c>
      <c r="D10220" s="7">
        <v>1.1599999999999999</v>
      </c>
      <c r="E10220" t="s">
        <v>15</v>
      </c>
    </row>
    <row r="10221" spans="1:5" x14ac:dyDescent="0.25">
      <c r="A10221" t="str">
        <f>HYPERLINK("https://www.773grp.com/globalSearch/NCP5351DR2/page-1", "NCP5351DR2")</f>
        <v>NCP5351DR2</v>
      </c>
      <c r="B10221" s="3" t="str">
        <f>HYPERLINK("https://www.773grp.com/manufacturer/onsemi?pageNo=784", "Onsemi")</f>
        <v>Onsemi</v>
      </c>
      <c r="C10221" s="6">
        <v>5000</v>
      </c>
      <c r="D10221" s="7">
        <v>1.1599999999999999</v>
      </c>
      <c r="E10221" t="s">
        <v>12</v>
      </c>
    </row>
    <row r="10222" spans="1:5" x14ac:dyDescent="0.25">
      <c r="A10222" t="str">
        <f>HYPERLINK("https://www.773grp.com/globalSearch/NCP5355D/page-1", "NCP5355D")</f>
        <v>NCP5355D</v>
      </c>
      <c r="B10222" s="3" t="str">
        <f>HYPERLINK("https://www.773grp.com/manufacturer/onsemi?pageNo=785", "Onsemi")</f>
        <v>Onsemi</v>
      </c>
      <c r="C10222" s="6">
        <v>98</v>
      </c>
      <c r="D10222" s="7">
        <v>1.1599999999999999</v>
      </c>
      <c r="E10222" t="s">
        <v>12</v>
      </c>
    </row>
    <row r="10223" spans="1:5" x14ac:dyDescent="0.25">
      <c r="A10223" t="str">
        <f>HYPERLINK("https://www.773grp.com/globalSearch/NCP5355DR2/page-1", "NCP5355DR2")</f>
        <v>NCP5355DR2</v>
      </c>
      <c r="B10223" s="3" t="str">
        <f>HYPERLINK("https://www.773grp.com/manufacturer/onsemi?pageNo=786", "Onsemi")</f>
        <v>Onsemi</v>
      </c>
      <c r="C10223" s="6">
        <v>748875</v>
      </c>
      <c r="D10223" s="7">
        <v>1.1599999999999999</v>
      </c>
      <c r="E10223" t="s">
        <v>12</v>
      </c>
    </row>
    <row r="10224" spans="1:5" x14ac:dyDescent="0.25">
      <c r="A10224" t="str">
        <f>HYPERLINK("https://www.773grp.com/globalSearch/NCS2001SQ1T1/page-1", "NCS2001SQ1T1")</f>
        <v>NCS2001SQ1T1</v>
      </c>
      <c r="B10224" s="3" t="str">
        <f>HYPERLINK("https://www.773grp.com/manufacturer/onsemi?pageNo=787", "Onsemi")</f>
        <v>Onsemi</v>
      </c>
      <c r="C10224" s="6">
        <v>7000</v>
      </c>
      <c r="D10224" s="7">
        <v>1.1599999999999999</v>
      </c>
      <c r="E10224" t="s">
        <v>10</v>
      </c>
    </row>
    <row r="10225" spans="1:5" x14ac:dyDescent="0.25">
      <c r="A10225" t="str">
        <f>HYPERLINK("https://www.773grp.com/globalSearch/NCS2554DTBR2G/page-1", "NCS2554DTBR2G")</f>
        <v>NCS2554DTBR2G</v>
      </c>
      <c r="B10225" s="3" t="str">
        <f>HYPERLINK("https://www.773grp.com/manufacturer/onsemi?pageNo=788", "Onsemi")</f>
        <v>Onsemi</v>
      </c>
      <c r="C10225" s="6">
        <v>2500</v>
      </c>
      <c r="D10225" s="7">
        <v>1.1599999999999999</v>
      </c>
      <c r="E10225" t="s">
        <v>19</v>
      </c>
    </row>
    <row r="10226" spans="1:5" x14ac:dyDescent="0.25">
      <c r="A10226" t="str">
        <f>HYPERLINK("https://www.773grp.com/globalSearch/NCV2931AZ-5.0G/page-1", "NCV2931AZ-5.0G")</f>
        <v>NCV2931AZ-5.0G</v>
      </c>
      <c r="B10226" s="3" t="str">
        <f>HYPERLINK("https://www.773grp.com/manufacturer/onsemi?pageNo=789", "Onsemi")</f>
        <v>Onsemi</v>
      </c>
      <c r="C10226" s="6">
        <v>62000</v>
      </c>
      <c r="D10226" s="7">
        <v>1.1599999999999999</v>
      </c>
      <c r="E10226" t="s">
        <v>15</v>
      </c>
    </row>
    <row r="10227" spans="1:5" x14ac:dyDescent="0.25">
      <c r="A10227" t="str">
        <f>HYPERLINK("https://www.773grp.com/globalSearch/NCV2931AZ-5.0RAG/page-1", "NCV2931AZ-5.0RAG")</f>
        <v>NCV2931AZ-5.0RAG</v>
      </c>
      <c r="B10227" s="3" t="str">
        <f>HYPERLINK("https://www.773grp.com/manufacturer/onsemi?pageNo=790", "Onsemi")</f>
        <v>Onsemi</v>
      </c>
      <c r="C10227" s="6">
        <v>2000</v>
      </c>
      <c r="D10227" s="7">
        <v>1.1599999999999999</v>
      </c>
    </row>
    <row r="10228" spans="1:5" x14ac:dyDescent="0.25">
      <c r="A10228" t="str">
        <f>HYPERLINK("https://www.773grp.com/globalSearch/NCV571MN08TBG/page-1", "NCV571MN08TBG")</f>
        <v>NCV571MN08TBG</v>
      </c>
      <c r="B10228" s="3" t="str">
        <f>HYPERLINK("https://www.773grp.com/manufacturer/onsemi?pageNo=791", "Onsemi")</f>
        <v>Onsemi</v>
      </c>
      <c r="C10228" s="6">
        <v>9000</v>
      </c>
      <c r="D10228" s="7">
        <v>1.1599999999999999</v>
      </c>
    </row>
    <row r="10229" spans="1:5" x14ac:dyDescent="0.25">
      <c r="A10229" t="str">
        <f>HYPERLINK("https://www.773grp.com/globalSearch/NCV571MN09TBG/page-1", "NCV571MN09TBG")</f>
        <v>NCV571MN09TBG</v>
      </c>
      <c r="B10229" s="3" t="str">
        <f>HYPERLINK("https://www.773grp.com/manufacturer/onsemi?pageNo=792", "Onsemi")</f>
        <v>Onsemi</v>
      </c>
      <c r="C10229" s="6">
        <v>18000</v>
      </c>
      <c r="D10229" s="7">
        <v>1.1599999999999999</v>
      </c>
      <c r="E10229" t="s">
        <v>15</v>
      </c>
    </row>
    <row r="10230" spans="1:5" x14ac:dyDescent="0.25">
      <c r="A10230" t="str">
        <f>HYPERLINK("https://www.773grp.com/globalSearch/NCV571MN10TBG/page-1", "NCV571MN10TBG")</f>
        <v>NCV571MN10TBG</v>
      </c>
      <c r="B10230" s="3" t="str">
        <f>HYPERLINK("https://www.773grp.com/manufacturer/onsemi?pageNo=793", "Onsemi")</f>
        <v>Onsemi</v>
      </c>
      <c r="C10230" s="6">
        <v>9000</v>
      </c>
      <c r="D10230" s="7">
        <v>1.1599999999999999</v>
      </c>
    </row>
    <row r="10231" spans="1:5" x14ac:dyDescent="0.25">
      <c r="A10231" t="str">
        <f>HYPERLINK("https://www.773grp.com/globalSearch/NCV571MN12TBG/page-1", "NCV571MN12TBG")</f>
        <v>NCV571MN12TBG</v>
      </c>
      <c r="B10231" s="3" t="str">
        <f>HYPERLINK("https://www.773grp.com/manufacturer/onsemi?pageNo=794", "Onsemi")</f>
        <v>Onsemi</v>
      </c>
      <c r="C10231" s="6">
        <v>9000</v>
      </c>
      <c r="D10231" s="7">
        <v>1.1599999999999999</v>
      </c>
    </row>
    <row r="10232" spans="1:5" x14ac:dyDescent="0.25">
      <c r="A10232" t="str">
        <f>HYPERLINK("https://www.773grp.com/globalSearch/NDF03N60ZG/page-1", "NDF03N60ZG")</f>
        <v>NDF03N60ZG</v>
      </c>
      <c r="B10232" s="3" t="str">
        <f>HYPERLINK("https://www.773grp.com/manufacturer/onsemi?pageNo=795", "Onsemi")</f>
        <v>Onsemi</v>
      </c>
      <c r="C10232" s="6">
        <v>1472</v>
      </c>
      <c r="D10232" s="7">
        <v>1.1599999999999999</v>
      </c>
      <c r="E10232" t="s">
        <v>84</v>
      </c>
    </row>
    <row r="10233" spans="1:5" x14ac:dyDescent="0.25">
      <c r="A10233" t="str">
        <f>HYPERLINK("https://www.773grp.com/globalSearch/NLAS4052D/page-1", "NLAS4052D")</f>
        <v>NLAS4052D</v>
      </c>
      <c r="B10233" s="3" t="str">
        <f>HYPERLINK("https://www.773grp.com/manufacturer/onsemi?pageNo=796", "Onsemi")</f>
        <v>Onsemi</v>
      </c>
      <c r="C10233" s="6">
        <v>480</v>
      </c>
      <c r="D10233" s="7">
        <v>1.1599999999999999</v>
      </c>
    </row>
    <row r="10234" spans="1:5" x14ac:dyDescent="0.25">
      <c r="A10234" t="str">
        <f>HYPERLINK("https://www.773grp.com/globalSearch/NLAS4052DR2/page-1", "NLAS4052DR2")</f>
        <v>NLAS4052DR2</v>
      </c>
      <c r="B10234" s="3" t="str">
        <f>HYPERLINK("https://www.773grp.com/manufacturer/onsemi?pageNo=797", "Onsemi")</f>
        <v>Onsemi</v>
      </c>
      <c r="C10234" s="6">
        <v>56355</v>
      </c>
      <c r="D10234" s="7">
        <v>1.1599999999999999</v>
      </c>
      <c r="E10234" t="s">
        <v>46</v>
      </c>
    </row>
    <row r="10235" spans="1:5" x14ac:dyDescent="0.25">
      <c r="A10235" t="str">
        <f>HYPERLINK("https://www.773grp.com/globalSearch/NLAS4053QSR/page-1", "NLAS4053QSR")</f>
        <v>NLAS4053QSR</v>
      </c>
      <c r="B10235" s="3" t="str">
        <f>HYPERLINK("https://www.773grp.com/manufacturer/onsemi?pageNo=798", "Onsemi")</f>
        <v>Onsemi</v>
      </c>
      <c r="C10235" s="6">
        <v>12500</v>
      </c>
      <c r="D10235" s="7">
        <v>1.1599999999999999</v>
      </c>
      <c r="E10235" t="s">
        <v>46</v>
      </c>
    </row>
    <row r="10236" spans="1:5" x14ac:dyDescent="0.25">
      <c r="A10236" t="str">
        <f>HYPERLINK("https://www.773grp.com/globalSearch/NLAST4051DR2/page-1", "NLAST4051DR2")</f>
        <v>NLAST4051DR2</v>
      </c>
      <c r="B10236" s="3" t="str">
        <f>HYPERLINK("https://www.773grp.com/manufacturer/onsemi?pageNo=799", "Onsemi")</f>
        <v>Onsemi</v>
      </c>
      <c r="C10236" s="6">
        <v>30388</v>
      </c>
      <c r="D10236" s="7">
        <v>1.1599999999999999</v>
      </c>
      <c r="E10236" t="s">
        <v>46</v>
      </c>
    </row>
    <row r="10237" spans="1:5" x14ac:dyDescent="0.25">
      <c r="A10237" t="str">
        <f>HYPERLINK("https://www.773grp.com/globalSearch/NLAST4052DR2/page-1", "NLAST4052DR2")</f>
        <v>NLAST4052DR2</v>
      </c>
      <c r="B10237" s="3" t="str">
        <f>HYPERLINK("https://www.773grp.com/manufacturer/onsemi?pageNo=800", "Onsemi")</f>
        <v>Onsemi</v>
      </c>
      <c r="C10237" s="6">
        <v>2175</v>
      </c>
      <c r="D10237" s="7">
        <v>1.1599999999999999</v>
      </c>
      <c r="E10237" t="s">
        <v>46</v>
      </c>
    </row>
    <row r="10238" spans="1:5" x14ac:dyDescent="0.25">
      <c r="A10238" t="str">
        <f>HYPERLINK("https://www.773grp.com/globalSearch/NLAST4053DR2/page-1", "NLAST4053DR2")</f>
        <v>NLAST4053DR2</v>
      </c>
      <c r="B10238" s="3" t="str">
        <f>HYPERLINK("https://www.773grp.com/manufacturer/onsemi?pageNo=801", "Onsemi")</f>
        <v>Onsemi</v>
      </c>
      <c r="C10238" s="6">
        <v>51000</v>
      </c>
      <c r="D10238" s="7">
        <v>1.1599999999999999</v>
      </c>
      <c r="E10238" t="s">
        <v>46</v>
      </c>
    </row>
    <row r="10239" spans="1:5" x14ac:dyDescent="0.25">
      <c r="A10239" t="str">
        <f>HYPERLINK("https://www.773grp.com/globalSearch/NLAST4053QSR/page-1", "NLAST4053QSR")</f>
        <v>NLAST4053QSR</v>
      </c>
      <c r="B10239" s="3" t="str">
        <f>HYPERLINK("https://www.773grp.com/manufacturer/onsemi?pageNo=802", "Onsemi")</f>
        <v>Onsemi</v>
      </c>
      <c r="C10239" s="6">
        <v>7500</v>
      </c>
      <c r="D10239" s="7">
        <v>1.1599999999999999</v>
      </c>
      <c r="E10239" t="s">
        <v>46</v>
      </c>
    </row>
    <row r="10240" spans="1:5" x14ac:dyDescent="0.25">
      <c r="A10240" t="str">
        <f>HYPERLINK("https://www.773grp.com/globalSearch/NLV14017BDG/page-1", "NLV14017BDG")</f>
        <v>NLV14017BDG</v>
      </c>
      <c r="B10240" s="3" t="str">
        <f>HYPERLINK("https://www.773grp.com/manufacturer/onsemi?pageNo=803", "Onsemi")</f>
        <v>Onsemi</v>
      </c>
      <c r="C10240" s="6">
        <v>1478</v>
      </c>
      <c r="D10240" s="7">
        <v>1.1599999999999999</v>
      </c>
    </row>
    <row r="10241" spans="1:5" x14ac:dyDescent="0.25">
      <c r="A10241" t="str">
        <f>HYPERLINK("https://www.773grp.com/globalSearch/NLV14017BDR2G/page-1", "NLV14017BDR2G")</f>
        <v>NLV14017BDR2G</v>
      </c>
      <c r="B10241" s="3" t="str">
        <f>HYPERLINK("https://www.773grp.com/manufacturer/onsemi?pageNo=804", "Onsemi")</f>
        <v>Onsemi</v>
      </c>
      <c r="C10241" s="6">
        <v>2160</v>
      </c>
      <c r="D10241" s="7">
        <v>1.1599999999999999</v>
      </c>
    </row>
    <row r="10242" spans="1:5" x14ac:dyDescent="0.25">
      <c r="A10242" t="str">
        <f>HYPERLINK("https://www.773grp.com/globalSearch/NLV14094BDG/page-1", "NLV14094BDG")</f>
        <v>NLV14094BDG</v>
      </c>
      <c r="B10242" s="3" t="str">
        <f>HYPERLINK("https://www.773grp.com/manufacturer/onsemi?pageNo=805", "Onsemi")</f>
        <v>Onsemi</v>
      </c>
      <c r="C10242" s="6">
        <v>6091</v>
      </c>
      <c r="D10242" s="7">
        <v>1.1599999999999999</v>
      </c>
    </row>
    <row r="10243" spans="1:5" x14ac:dyDescent="0.25">
      <c r="A10243" t="str">
        <f>HYPERLINK("https://www.773grp.com/globalSearch/NLV14094BDR2G/page-1", "NLV14094BDR2G")</f>
        <v>NLV14094BDR2G</v>
      </c>
      <c r="B10243" s="3" t="str">
        <f>HYPERLINK("https://www.773grp.com/manufacturer/onsemi?pageNo=806", "Onsemi")</f>
        <v>Onsemi</v>
      </c>
      <c r="C10243" s="6">
        <v>3345</v>
      </c>
      <c r="D10243" s="7">
        <v>1.1599999999999999</v>
      </c>
    </row>
    <row r="10244" spans="1:5" x14ac:dyDescent="0.25">
      <c r="A10244" t="str">
        <f>HYPERLINK("https://www.773grp.com/globalSearch/NLV14094BDTR2G/page-1", "NLV14094BDTR2G")</f>
        <v>NLV14094BDTR2G</v>
      </c>
      <c r="B10244" s="3" t="str">
        <f>HYPERLINK("https://www.773grp.com/manufacturer/onsemi?pageNo=807", "Onsemi")</f>
        <v>Onsemi</v>
      </c>
      <c r="C10244" s="6">
        <v>1547</v>
      </c>
      <c r="D10244" s="7">
        <v>1.1599999999999999</v>
      </c>
    </row>
    <row r="10245" spans="1:5" x14ac:dyDescent="0.25">
      <c r="A10245" t="str">
        <f>HYPERLINK("https://www.773grp.com/globalSearch/NLV27WZ16DFT2G/page-1", "NLV27WZ16DFT2G")</f>
        <v>NLV27WZ16DFT2G</v>
      </c>
      <c r="B10245" s="3" t="str">
        <f>HYPERLINK("https://www.773grp.com/manufacturer/onsemi?pageNo=808", "Onsemi")</f>
        <v>Onsemi</v>
      </c>
      <c r="C10245" s="6">
        <v>3000</v>
      </c>
      <c r="D10245" s="7">
        <v>1.1599999999999999</v>
      </c>
    </row>
    <row r="10246" spans="1:5" x14ac:dyDescent="0.25">
      <c r="A10246" t="str">
        <f>HYPERLINK("https://www.773grp.com/globalSearch/NP0640SCMCT3G/page-1", "NP0640SCMCT3G")</f>
        <v>NP0640SCMCT3G</v>
      </c>
      <c r="B10246" s="3" t="str">
        <f>HYPERLINK("https://www.773grp.com/manufacturer/onsemi?pageNo=809", "Onsemi")</f>
        <v>Onsemi</v>
      </c>
      <c r="C10246" s="6">
        <v>175000</v>
      </c>
      <c r="D10246" s="7">
        <v>1.1599999999999999</v>
      </c>
      <c r="E10246" t="s">
        <v>88</v>
      </c>
    </row>
    <row r="10247" spans="1:5" x14ac:dyDescent="0.25">
      <c r="A10247" t="str">
        <f>HYPERLINK("https://www.773grp.com/globalSearch/NP0720SCMCT3G/page-1", "NP0720SCMCT3G")</f>
        <v>NP0720SCMCT3G</v>
      </c>
      <c r="B10247" s="3" t="str">
        <f>HYPERLINK("https://www.773grp.com/manufacturer/onsemi?pageNo=810", "Onsemi")</f>
        <v>Onsemi</v>
      </c>
      <c r="C10247" s="6">
        <v>36</v>
      </c>
      <c r="D10247" s="7">
        <v>1.1599999999999999</v>
      </c>
    </row>
    <row r="10248" spans="1:5" x14ac:dyDescent="0.25">
      <c r="A10248" t="str">
        <f>HYPERLINK("https://www.773grp.com/globalSearch/NSS12500UW3T2G/page-1", "NSS12500UW3T2G")</f>
        <v>NSS12500UW3T2G</v>
      </c>
      <c r="B10248" s="3" t="str">
        <f>HYPERLINK("https://www.773grp.com/manufacturer/onsemi?pageNo=811", "Onsemi")</f>
        <v>Onsemi</v>
      </c>
      <c r="C10248" s="6">
        <v>489000</v>
      </c>
      <c r="D10248" s="7">
        <v>1.1599999999999999</v>
      </c>
      <c r="E10248" t="s">
        <v>57</v>
      </c>
    </row>
    <row r="10249" spans="1:5" x14ac:dyDescent="0.25">
      <c r="A10249" t="str">
        <f>HYPERLINK("https://www.773grp.com/globalSearch/NSS12501UW3T2G/page-1", "NSS12501UW3T2G")</f>
        <v>NSS12501UW3T2G</v>
      </c>
      <c r="B10249" s="3" t="str">
        <f>HYPERLINK("https://www.773grp.com/manufacturer/onsemi?pageNo=812", "Onsemi")</f>
        <v>Onsemi</v>
      </c>
      <c r="C10249" s="6">
        <v>318537</v>
      </c>
      <c r="D10249" s="7">
        <v>1.1599999999999999</v>
      </c>
      <c r="E10249" t="s">
        <v>57</v>
      </c>
    </row>
    <row r="10250" spans="1:5" x14ac:dyDescent="0.25">
      <c r="A10250" t="str">
        <f>HYPERLINK("https://www.773grp.com/globalSearch/NSS20500UW3T2G/page-1", "NSS20500UW3T2G")</f>
        <v>NSS20500UW3T2G</v>
      </c>
      <c r="B10250" s="3" t="str">
        <f>HYPERLINK("https://www.773grp.com/manufacturer/onsemi?pageNo=813", "Onsemi")</f>
        <v>Onsemi</v>
      </c>
      <c r="C10250" s="6">
        <v>312000</v>
      </c>
      <c r="D10250" s="7">
        <v>1.1599999999999999</v>
      </c>
      <c r="E10250" t="s">
        <v>57</v>
      </c>
    </row>
    <row r="10251" spans="1:5" x14ac:dyDescent="0.25">
      <c r="A10251" t="str">
        <f>HYPERLINK("https://www.773grp.com/globalSearch/NSS20501UW3T2G/page-1", "NSS20501UW3T2G")</f>
        <v>NSS20501UW3T2G</v>
      </c>
      <c r="B10251" s="3" t="str">
        <f>HYPERLINK("https://www.773grp.com/manufacturer/onsemi?pageNo=814", "Onsemi")</f>
        <v>Onsemi</v>
      </c>
      <c r="C10251" s="6">
        <v>249010</v>
      </c>
      <c r="D10251" s="7">
        <v>1.1599999999999999</v>
      </c>
      <c r="E10251" t="s">
        <v>57</v>
      </c>
    </row>
    <row r="10252" spans="1:5" x14ac:dyDescent="0.25">
      <c r="A10252" t="str">
        <f>HYPERLINK("https://www.773grp.com/globalSearch/NSS40501UW3T2G/page-1", "NSS40501UW3T2G")</f>
        <v>NSS40501UW3T2G</v>
      </c>
      <c r="B10252" s="3" t="str">
        <f>HYPERLINK("https://www.773grp.com/manufacturer/onsemi?pageNo=815", "Onsemi")</f>
        <v>Onsemi</v>
      </c>
      <c r="C10252" s="6">
        <v>317950</v>
      </c>
      <c r="D10252" s="7">
        <v>1.1599999999999999</v>
      </c>
      <c r="E10252" t="s">
        <v>57</v>
      </c>
    </row>
    <row r="10253" spans="1:5" x14ac:dyDescent="0.25">
      <c r="A10253" t="str">
        <f>HYPERLINK("https://www.773grp.com/globalSearch/NTB30N06G/page-1", "NTB30N06G")</f>
        <v>NTB30N06G</v>
      </c>
      <c r="B10253" s="3" t="str">
        <f>HYPERLINK("https://www.773grp.com/manufacturer/onsemi?pageNo=816", "Onsemi")</f>
        <v>Onsemi</v>
      </c>
      <c r="C10253" s="6">
        <v>100</v>
      </c>
      <c r="D10253" s="7">
        <v>1.1599999999999999</v>
      </c>
      <c r="E10253" t="s">
        <v>84</v>
      </c>
    </row>
    <row r="10254" spans="1:5" x14ac:dyDescent="0.25">
      <c r="A10254" t="str">
        <f>HYPERLINK("https://www.773grp.com/globalSearch/NTB30N06T4/page-1", "NTB30N06T4")</f>
        <v>NTB30N06T4</v>
      </c>
      <c r="B10254" s="3" t="str">
        <f>HYPERLINK("https://www.773grp.com/manufacturer/onsemi?pageNo=817", "Onsemi")</f>
        <v>Onsemi</v>
      </c>
      <c r="C10254" s="6">
        <v>760</v>
      </c>
      <c r="D10254" s="7">
        <v>1.1599999999999999</v>
      </c>
      <c r="E10254" t="s">
        <v>84</v>
      </c>
    </row>
    <row r="10255" spans="1:5" x14ac:dyDescent="0.25">
      <c r="A10255" t="str">
        <f>HYPERLINK("https://www.773grp.com/globalSearch/NTD18N06T4G/page-1", "NTD18N06T4G")</f>
        <v>NTD18N06T4G</v>
      </c>
      <c r="B10255" s="3" t="str">
        <f>HYPERLINK("https://www.773grp.com/manufacturer/onsemi?pageNo=818", "Onsemi")</f>
        <v>Onsemi</v>
      </c>
      <c r="C10255" s="6">
        <v>2500</v>
      </c>
      <c r="D10255" s="7">
        <v>1.1599999999999999</v>
      </c>
      <c r="E10255" t="s">
        <v>84</v>
      </c>
    </row>
    <row r="10256" spans="1:5" x14ac:dyDescent="0.25">
      <c r="A10256" t="str">
        <f>HYPERLINK("https://www.773grp.com/globalSearch/NTD20N03L27-1G/page-1", "NTD20N03L27-1G")</f>
        <v>NTD20N03L27-1G</v>
      </c>
      <c r="B10256" s="3" t="str">
        <f>HYPERLINK("https://www.773grp.com/manufacturer/onsemi?pageNo=819", "Onsemi")</f>
        <v>Onsemi</v>
      </c>
      <c r="C10256" s="6">
        <v>23614</v>
      </c>
      <c r="D10256" s="7">
        <v>1.1599999999999999</v>
      </c>
      <c r="E10256" t="s">
        <v>84</v>
      </c>
    </row>
    <row r="10257" spans="1:5" x14ac:dyDescent="0.25">
      <c r="A10257" t="str">
        <f>HYPERLINK("https://www.773grp.com/globalSearch/NTD4805N-35G/page-1", "NTD4805N-35G")</f>
        <v>NTD4805N-35G</v>
      </c>
      <c r="B10257" s="3" t="str">
        <f>HYPERLINK("https://www.773grp.com/manufacturer/onsemi?pageNo=820", "Onsemi")</f>
        <v>Onsemi</v>
      </c>
      <c r="C10257" s="6">
        <v>3950</v>
      </c>
      <c r="D10257" s="7">
        <v>1.1599999999999999</v>
      </c>
      <c r="E10257" t="s">
        <v>84</v>
      </c>
    </row>
    <row r="10258" spans="1:5" x14ac:dyDescent="0.25">
      <c r="A10258" t="str">
        <f>HYPERLINK("https://www.773grp.com/globalSearch/NTD4805NT4G/page-1", "NTD4805NT4G")</f>
        <v>NTD4805NT4G</v>
      </c>
      <c r="B10258" s="3" t="str">
        <f>HYPERLINK("https://www.773grp.com/manufacturer/onsemi?pageNo=821", "Onsemi")</f>
        <v>Onsemi</v>
      </c>
      <c r="C10258" s="6">
        <v>397500</v>
      </c>
      <c r="D10258" s="7">
        <v>1.1599999999999999</v>
      </c>
      <c r="E10258" t="s">
        <v>84</v>
      </c>
    </row>
    <row r="10259" spans="1:5" x14ac:dyDescent="0.25">
      <c r="A10259" t="str">
        <f>HYPERLINK("https://www.773grp.com/globalSearch/NTD4856N-1G/page-1", "NTD4856N-1G")</f>
        <v>NTD4856N-1G</v>
      </c>
      <c r="B10259" s="3" t="str">
        <f>HYPERLINK("https://www.773grp.com/manufacturer/onsemi?pageNo=822", "Onsemi")</f>
        <v>Onsemi</v>
      </c>
      <c r="C10259" s="6">
        <v>3150</v>
      </c>
      <c r="D10259" s="7">
        <v>1.1599999999999999</v>
      </c>
      <c r="E10259" t="s">
        <v>84</v>
      </c>
    </row>
    <row r="10260" spans="1:5" x14ac:dyDescent="0.25">
      <c r="A10260" t="str">
        <f>HYPERLINK("https://www.773grp.com/globalSearch/NTD4856N-35G/page-1", "NTD4856N-35G")</f>
        <v>NTD4856N-35G</v>
      </c>
      <c r="B10260" s="3" t="str">
        <f>HYPERLINK("https://www.773grp.com/manufacturer/onsemi?pageNo=823", "Onsemi")</f>
        <v>Onsemi</v>
      </c>
      <c r="C10260" s="6">
        <v>2550</v>
      </c>
      <c r="D10260" s="7">
        <v>1.1599999999999999</v>
      </c>
      <c r="E10260" t="s">
        <v>84</v>
      </c>
    </row>
    <row r="10261" spans="1:5" x14ac:dyDescent="0.25">
      <c r="A10261" t="str">
        <f>HYPERLINK("https://www.773grp.com/globalSearch/NTD4860NT4G/page-1", "NTD4860NT4G")</f>
        <v>NTD4860NT4G</v>
      </c>
      <c r="B10261" s="3" t="str">
        <f>HYPERLINK("https://www.773grp.com/manufacturer/onsemi?pageNo=824", "Onsemi")</f>
        <v>Onsemi</v>
      </c>
      <c r="C10261" s="6">
        <v>40660</v>
      </c>
      <c r="D10261" s="7">
        <v>1.1599999999999999</v>
      </c>
      <c r="E10261" t="s">
        <v>84</v>
      </c>
    </row>
    <row r="10262" spans="1:5" x14ac:dyDescent="0.25">
      <c r="A10262" t="str">
        <f>HYPERLINK("https://www.773grp.com/globalSearch/NTD4860NT4H/page-1", "NTD4860NT4H")</f>
        <v>NTD4860NT4H</v>
      </c>
      <c r="B10262" s="3" t="str">
        <f>HYPERLINK("https://www.773grp.com/manufacturer/onsemi?pageNo=825", "Onsemi")</f>
        <v>Onsemi</v>
      </c>
      <c r="C10262" s="6">
        <v>12500</v>
      </c>
      <c r="D10262" s="7">
        <v>1.1599999999999999</v>
      </c>
    </row>
    <row r="10263" spans="1:5" x14ac:dyDescent="0.25">
      <c r="A10263" t="str">
        <f>HYPERLINK("https://www.773grp.com/globalSearch/NTGS3130NT1G/page-1", "NTGS3130NT1G")</f>
        <v>NTGS3130NT1G</v>
      </c>
      <c r="B10263" s="3" t="str">
        <f>HYPERLINK("https://www.773grp.com/manufacturer/onsemi?pageNo=826", "Onsemi")</f>
        <v>Onsemi</v>
      </c>
      <c r="C10263" s="6">
        <v>19746</v>
      </c>
      <c r="D10263" s="7">
        <v>1.1599999999999999</v>
      </c>
      <c r="E10263" t="s">
        <v>85</v>
      </c>
    </row>
    <row r="10264" spans="1:5" x14ac:dyDescent="0.25">
      <c r="A10264" t="str">
        <f>HYPERLINK("https://www.773grp.com/globalSearch/NTMFS4744NT1G/page-1", "NTMFS4744NT1G")</f>
        <v>NTMFS4744NT1G</v>
      </c>
      <c r="B10264" s="3" t="str">
        <f>HYPERLINK("https://www.773grp.com/manufacturer/onsemi?pageNo=827", "Onsemi")</f>
        <v>Onsemi</v>
      </c>
      <c r="C10264" s="6">
        <v>153685</v>
      </c>
      <c r="D10264" s="7">
        <v>1.1599999999999999</v>
      </c>
      <c r="E10264" t="s">
        <v>84</v>
      </c>
    </row>
    <row r="10265" spans="1:5" x14ac:dyDescent="0.25">
      <c r="A10265" t="str">
        <f>HYPERLINK("https://www.773grp.com/globalSearch/NTMFS4837NT1G/page-1", "NTMFS4837NT1G")</f>
        <v>NTMFS4837NT1G</v>
      </c>
      <c r="B10265" s="3" t="str">
        <f>HYPERLINK("https://www.773grp.com/manufacturer/onsemi?pageNo=828", "Onsemi")</f>
        <v>Onsemi</v>
      </c>
      <c r="C10265" s="6">
        <v>219215</v>
      </c>
      <c r="D10265" s="7">
        <v>1.1599999999999999</v>
      </c>
      <c r="E10265" t="s">
        <v>84</v>
      </c>
    </row>
    <row r="10266" spans="1:5" x14ac:dyDescent="0.25">
      <c r="A10266" t="str">
        <f>HYPERLINK("https://www.773grp.com/globalSearch/NTMFS4936NT1G/page-1", "NTMFS4936NT1G")</f>
        <v>NTMFS4936NT1G</v>
      </c>
      <c r="B10266" s="3" t="str">
        <f>HYPERLINK("https://www.773grp.com/manufacturer/onsemi?pageNo=829", "Onsemi")</f>
        <v>Onsemi</v>
      </c>
      <c r="C10266" s="6">
        <v>87000</v>
      </c>
      <c r="D10266" s="7">
        <v>1.1599999999999999</v>
      </c>
      <c r="E10266" t="s">
        <v>84</v>
      </c>
    </row>
    <row r="10267" spans="1:5" x14ac:dyDescent="0.25">
      <c r="A10267" t="str">
        <f>HYPERLINK("https://www.773grp.com/globalSearch/NTTS2P02R2G/page-1", "NTTS2P02R2G")</f>
        <v>NTTS2P02R2G</v>
      </c>
      <c r="B10267" s="3" t="str">
        <f>HYPERLINK("https://www.773grp.com/manufacturer/onsemi?pageNo=830", "Onsemi")</f>
        <v>Onsemi</v>
      </c>
      <c r="C10267" s="6">
        <v>19960</v>
      </c>
      <c r="D10267" s="7">
        <v>1.1599999999999999</v>
      </c>
      <c r="E10267" t="s">
        <v>85</v>
      </c>
    </row>
    <row r="10268" spans="1:5" x14ac:dyDescent="0.25">
      <c r="A10268" t="str">
        <f>HYPERLINK("https://www.773grp.com/globalSearch/NVD5865NLT4G/page-1", "NVD5865NLT4G")</f>
        <v>NVD5865NLT4G</v>
      </c>
      <c r="B10268" s="3" t="str">
        <f>HYPERLINK("https://www.773grp.com/manufacturer/onsemi?pageNo=831", "Onsemi")</f>
        <v>Onsemi</v>
      </c>
      <c r="C10268" s="6">
        <v>10000</v>
      </c>
      <c r="D10268" s="7">
        <v>1.1599999999999999</v>
      </c>
    </row>
    <row r="10269" spans="1:5" x14ac:dyDescent="0.25">
      <c r="A10269" t="str">
        <f>HYPERLINK("https://www.773grp.com/globalSearch/P6SMB100AT3G/page-1", "P6SMB100AT3G")</f>
        <v>P6SMB100AT3G</v>
      </c>
      <c r="B10269" s="3" t="str">
        <f>HYPERLINK("https://www.773grp.com/manufacturer/onsemi?pageNo=832", "Onsemi")</f>
        <v>Onsemi</v>
      </c>
      <c r="C10269" s="6">
        <v>20000</v>
      </c>
      <c r="D10269" s="7">
        <v>1.1599999999999999</v>
      </c>
    </row>
    <row r="10270" spans="1:5" x14ac:dyDescent="0.25">
      <c r="A10270" t="str">
        <f>HYPERLINK("https://www.773grp.com/globalSearch/P6SMB150AT3G/page-1", "P6SMB150AT3G")</f>
        <v>P6SMB150AT3G</v>
      </c>
      <c r="B10270" s="3" t="str">
        <f>HYPERLINK("https://www.773grp.com/manufacturer/onsemi?pageNo=833", "Onsemi")</f>
        <v>Onsemi</v>
      </c>
      <c r="C10270" s="6">
        <v>2500</v>
      </c>
      <c r="D10270" s="7">
        <v>1.1599999999999999</v>
      </c>
    </row>
    <row r="10271" spans="1:5" x14ac:dyDescent="0.25">
      <c r="A10271" t="str">
        <f>HYPERLINK("https://www.773grp.com/globalSearch/P6SMB160AT3G/page-1", "P6SMB160AT3G")</f>
        <v>P6SMB160AT3G</v>
      </c>
      <c r="B10271" s="3" t="str">
        <f>HYPERLINK("https://www.773grp.com/manufacturer/onsemi?pageNo=834", "Onsemi")</f>
        <v>Onsemi</v>
      </c>
      <c r="C10271" s="6">
        <v>80753</v>
      </c>
      <c r="D10271" s="7">
        <v>1.1599999999999999</v>
      </c>
      <c r="E10271" t="s">
        <v>75</v>
      </c>
    </row>
    <row r="10272" spans="1:5" x14ac:dyDescent="0.25">
      <c r="A10272" t="str">
        <f>HYPERLINK("https://www.773grp.com/globalSearch/P6SMB180AT3G/page-1", "P6SMB180AT3G")</f>
        <v>P6SMB180AT3G</v>
      </c>
      <c r="B10272" s="3" t="str">
        <f>HYPERLINK("https://www.773grp.com/manufacturer/onsemi?pageNo=835", "Onsemi")</f>
        <v>Onsemi</v>
      </c>
      <c r="C10272" s="6">
        <v>15000</v>
      </c>
      <c r="D10272" s="7">
        <v>1.1599999999999999</v>
      </c>
      <c r="E10272" t="s">
        <v>75</v>
      </c>
    </row>
    <row r="10273" spans="1:5" x14ac:dyDescent="0.25">
      <c r="A10273" t="str">
        <f>HYPERLINK("https://www.773grp.com/globalSearch/P6SMB200AT3G/page-1", "P6SMB200AT3G")</f>
        <v>P6SMB200AT3G</v>
      </c>
      <c r="B10273" s="3" t="str">
        <f>HYPERLINK("https://www.773grp.com/manufacturer/onsemi?pageNo=836", "Onsemi")</f>
        <v>Onsemi</v>
      </c>
      <c r="C10273" s="6">
        <v>15000</v>
      </c>
      <c r="D10273" s="7">
        <v>1.1599999999999999</v>
      </c>
    </row>
    <row r="10274" spans="1:5" x14ac:dyDescent="0.25">
      <c r="A10274" t="str">
        <f>HYPERLINK("https://www.773grp.com/globalSearch/P6SMB91AT3G/page-1", "P6SMB91AT3G")</f>
        <v>P6SMB91AT3G</v>
      </c>
      <c r="B10274" s="3" t="str">
        <f>HYPERLINK("https://www.773grp.com/manufacturer/onsemi?pageNo=837", "Onsemi")</f>
        <v>Onsemi</v>
      </c>
      <c r="C10274" s="6">
        <v>12500</v>
      </c>
      <c r="D10274" s="7">
        <v>1.1599999999999999</v>
      </c>
      <c r="E10274" t="s">
        <v>75</v>
      </c>
    </row>
    <row r="10275" spans="1:5" x14ac:dyDescent="0.25">
      <c r="A10275" t="str">
        <f>HYPERLINK("https://www.773grp.com/globalSearch/SC2903VDR2/page-1", "SC2903VDR2")</f>
        <v>SC2903VDR2</v>
      </c>
      <c r="B10275" s="3" t="str">
        <f>HYPERLINK("https://www.773grp.com/manufacturer/onsemi?pageNo=838", "Onsemi")</f>
        <v>Onsemi</v>
      </c>
      <c r="C10275" s="6">
        <v>4110</v>
      </c>
      <c r="D10275" s="7">
        <v>1.1599999999999999</v>
      </c>
    </row>
    <row r="10276" spans="1:5" x14ac:dyDescent="0.25">
      <c r="A10276" t="str">
        <f>HYPERLINK("https://www.773grp.com/globalSearch/SC324ADR2G/page-1", "SC324ADR2G")</f>
        <v>SC324ADR2G</v>
      </c>
      <c r="B10276" s="3" t="str">
        <f>HYPERLINK("https://www.773grp.com/manufacturer/onsemi?pageNo=839", "Onsemi")</f>
        <v>Onsemi</v>
      </c>
      <c r="C10276" s="6">
        <v>836</v>
      </c>
      <c r="D10276" s="7">
        <v>1.1599999999999999</v>
      </c>
    </row>
    <row r="10277" spans="1:5" x14ac:dyDescent="0.25">
      <c r="A10277" t="str">
        <f>HYPERLINK("https://www.773grp.com/globalSearch/SJE5331LFVE/page-1", "SJE5331LFVE")</f>
        <v>SJE5331LFVE</v>
      </c>
      <c r="B10277" s="3" t="str">
        <f>HYPERLINK("https://www.773grp.com/manufacturer/onsemi?pageNo=840", "Onsemi")</f>
        <v>Onsemi</v>
      </c>
      <c r="C10277" s="6">
        <v>59950</v>
      </c>
      <c r="D10277" s="7">
        <v>1.1599999999999999</v>
      </c>
    </row>
    <row r="10278" spans="1:5" x14ac:dyDescent="0.25">
      <c r="A10278" t="str">
        <f>HYPERLINK("https://www.773grp.com/globalSearch/SJE5332LFVE/page-1", "SJE5332LFVE")</f>
        <v>SJE5332LFVE</v>
      </c>
      <c r="B10278" s="3" t="str">
        <f>HYPERLINK("https://www.773grp.com/manufacturer/onsemi?pageNo=841", "Onsemi")</f>
        <v>Onsemi</v>
      </c>
      <c r="C10278" s="6">
        <v>11045</v>
      </c>
      <c r="D10278" s="7">
        <v>1.1599999999999999</v>
      </c>
    </row>
    <row r="10279" spans="1:5" x14ac:dyDescent="0.25">
      <c r="A10279" t="str">
        <f>HYPERLINK("https://www.773grp.com/globalSearch/SN74LS193N/page-1", "SN74LS193N")</f>
        <v>SN74LS193N</v>
      </c>
      <c r="B10279" s="3" t="str">
        <f>HYPERLINK("https://www.773grp.com/manufacturer/onsemi?pageNo=842", "Onsemi")</f>
        <v>Onsemi</v>
      </c>
      <c r="C10279" s="6">
        <v>5095</v>
      </c>
      <c r="D10279" s="7">
        <v>1.1599999999999999</v>
      </c>
      <c r="E10279" t="s">
        <v>22</v>
      </c>
    </row>
    <row r="10280" spans="1:5" x14ac:dyDescent="0.25">
      <c r="A10280" t="str">
        <f>HYPERLINK("https://www.773grp.com/globalSearch/TE02454/page-1", "TE02454")</f>
        <v>TE02454</v>
      </c>
      <c r="B10280" s="3" t="str">
        <f>HYPERLINK("https://www.773grp.com/manufacturer/onsemi?pageNo=843", "Onsemi")</f>
        <v>Onsemi</v>
      </c>
      <c r="C10280" s="6">
        <v>1020</v>
      </c>
      <c r="D10280" s="7">
        <v>1.1599999999999999</v>
      </c>
    </row>
    <row r="10281" spans="1:5" x14ac:dyDescent="0.25">
      <c r="A10281" t="str">
        <f>HYPERLINK("https://www.773grp.com/globalSearch/TIG065E8-TL-H/page-1", "TIG065E8-TL-H")</f>
        <v>TIG065E8-TL-H</v>
      </c>
      <c r="B10281" s="3" t="str">
        <f>HYPERLINK("https://www.773grp.com/manufacturer/onsemi?pageNo=844", "Onsemi")</f>
        <v>Onsemi</v>
      </c>
      <c r="C10281" s="6">
        <v>96000</v>
      </c>
      <c r="D10281" s="7">
        <v>1.1599999999999999</v>
      </c>
    </row>
    <row r="10282" spans="1:5" x14ac:dyDescent="0.25">
      <c r="A10282" t="str">
        <f>HYPERLINK("https://www.773grp.com/globalSearch/TL594CDTBR2G/page-1", "TL594CDTBR2G")</f>
        <v>TL594CDTBR2G</v>
      </c>
      <c r="B10282" s="3" t="str">
        <f>HYPERLINK("https://www.773grp.com/manufacturer/onsemi?pageNo=845", "Onsemi")</f>
        <v>Onsemi</v>
      </c>
      <c r="C10282" s="6">
        <v>69</v>
      </c>
      <c r="D10282" s="7">
        <v>1.1599999999999999</v>
      </c>
    </row>
    <row r="10283" spans="1:5" x14ac:dyDescent="0.25">
      <c r="A10283" t="str">
        <f>HYPERLINK("https://www.773grp.com/globalSearch/TR00278/page-1", "TR00278")</f>
        <v>TR00278</v>
      </c>
      <c r="B10283" s="3" t="str">
        <f>HYPERLINK("https://www.773grp.com/manufacturer/onsemi?pageNo=846", "Onsemi")</f>
        <v>Onsemi</v>
      </c>
      <c r="C10283" s="6">
        <v>20000</v>
      </c>
      <c r="D10283" s="7">
        <v>1.1599999999999999</v>
      </c>
    </row>
    <row r="10284" spans="1:5" x14ac:dyDescent="0.25">
      <c r="A10284" t="str">
        <f>HYPERLINK("https://www.773grp.com/globalSearch/UC3843AD/page-1", "UC3843AD")</f>
        <v>UC3843AD</v>
      </c>
      <c r="B10284" s="3" t="str">
        <f>HYPERLINK("https://www.773grp.com/manufacturer/onsemi?pageNo=847", "Onsemi")</f>
        <v>Onsemi</v>
      </c>
      <c r="C10284" s="6">
        <v>610</v>
      </c>
      <c r="D10284" s="7">
        <v>1.1599999999999999</v>
      </c>
      <c r="E10284" t="s">
        <v>5</v>
      </c>
    </row>
    <row r="10285" spans="1:5" x14ac:dyDescent="0.25">
      <c r="A10285" t="str">
        <f>HYPERLINK("https://www.773grp.com/globalSearch/UC3845D/page-1", "UC3845D")</f>
        <v>UC3845D</v>
      </c>
      <c r="B10285" s="3" t="str">
        <f>HYPERLINK("https://www.773grp.com/manufacturer/onsemi?pageNo=848", "Onsemi")</f>
        <v>Onsemi</v>
      </c>
      <c r="C10285" s="6">
        <v>270</v>
      </c>
      <c r="D10285" s="7">
        <v>1.1599999999999999</v>
      </c>
      <c r="E10285" t="s">
        <v>5</v>
      </c>
    </row>
    <row r="10286" spans="1:5" x14ac:dyDescent="0.25">
      <c r="A10286" t="str">
        <f>HYPERLINK("https://www.773grp.com/globalSearch/XCY99008BR2/page-1", "XCY99008BR2")</f>
        <v>XCY99008BR2</v>
      </c>
      <c r="B10286" s="3" t="str">
        <f>HYPERLINK("https://www.773grp.com/manufacturer/onsemi?pageNo=849", "Onsemi")</f>
        <v>Onsemi</v>
      </c>
      <c r="C10286" s="6">
        <v>35000</v>
      </c>
      <c r="D10286" s="7">
        <v>1.1599999999999999</v>
      </c>
    </row>
    <row r="10287" spans="1:5" x14ac:dyDescent="0.25">
      <c r="A10287" t="str">
        <f>HYPERLINK("https://www.773grp.com/globalSearch/2N5194G/page-1", "2N5194G")</f>
        <v>2N5194G</v>
      </c>
      <c r="B10287" s="3" t="str">
        <f>HYPERLINK("https://www.773grp.com/manufacturer/onsemi?pageNo=850", "Onsemi")</f>
        <v>Onsemi</v>
      </c>
      <c r="C10287" s="6">
        <v>5485</v>
      </c>
      <c r="D10287" s="7">
        <v>1.21</v>
      </c>
      <c r="E10287" t="s">
        <v>47</v>
      </c>
    </row>
    <row r="10288" spans="1:5" x14ac:dyDescent="0.25">
      <c r="A10288" t="str">
        <f>HYPERLINK("https://www.773grp.com/globalSearch/2N5195G/page-1", "2N5195G")</f>
        <v>2N5195G</v>
      </c>
      <c r="B10288" s="3" t="str">
        <f>HYPERLINK("https://www.773grp.com/manufacturer/onsemi?pageNo=851", "Onsemi")</f>
        <v>Onsemi</v>
      </c>
      <c r="C10288" s="6">
        <v>3893</v>
      </c>
      <c r="D10288" s="7">
        <v>1.21</v>
      </c>
      <c r="E10288" t="s">
        <v>47</v>
      </c>
    </row>
    <row r="10289" spans="1:5" x14ac:dyDescent="0.25">
      <c r="A10289" t="str">
        <f>HYPERLINK("https://www.773grp.com/globalSearch/2N6038G/page-1", "2N6038G")</f>
        <v>2N6038G</v>
      </c>
      <c r="B10289" s="3" t="str">
        <f>HYPERLINK("https://www.773grp.com/manufacturer/onsemi?pageNo=852", "Onsemi")</f>
        <v>Onsemi</v>
      </c>
      <c r="C10289" s="6">
        <v>11033</v>
      </c>
      <c r="D10289" s="7">
        <v>1.21</v>
      </c>
      <c r="E10289" t="s">
        <v>47</v>
      </c>
    </row>
    <row r="10290" spans="1:5" x14ac:dyDescent="0.25">
      <c r="A10290" t="str">
        <f>HYPERLINK("https://www.773grp.com/globalSearch/2N6039/page-1", "2N6039")</f>
        <v>2N6039</v>
      </c>
      <c r="B10290" s="3" t="str">
        <f>HYPERLINK("https://www.773grp.com/manufacturer/onsemi?pageNo=853", "Onsemi")</f>
        <v>Onsemi</v>
      </c>
      <c r="C10290" s="6">
        <v>3000</v>
      </c>
      <c r="D10290" s="7">
        <v>1.21</v>
      </c>
      <c r="E10290" t="s">
        <v>47</v>
      </c>
    </row>
    <row r="10291" spans="1:5" x14ac:dyDescent="0.25">
      <c r="A10291" t="str">
        <f>HYPERLINK("https://www.773grp.com/globalSearch/2N6039G/page-1", "2N6039G")</f>
        <v>2N6039G</v>
      </c>
      <c r="B10291" s="3" t="str">
        <f>HYPERLINK("https://www.773grp.com/manufacturer/onsemi?pageNo=854", "Onsemi")</f>
        <v>Onsemi</v>
      </c>
      <c r="C10291" s="6">
        <v>26000</v>
      </c>
      <c r="D10291" s="7">
        <v>1.21</v>
      </c>
      <c r="E10291" t="s">
        <v>47</v>
      </c>
    </row>
    <row r="10292" spans="1:5" x14ac:dyDescent="0.25">
      <c r="A10292" t="str">
        <f>HYPERLINK("https://www.773grp.com/globalSearch/2SB1205T-TL-E/page-1", "2SB1205T-TL-E")</f>
        <v>2SB1205T-TL-E</v>
      </c>
      <c r="B10292" s="3" t="str">
        <f>HYPERLINK("https://www.773grp.com/manufacturer/onsemi?pageNo=855", "Onsemi")</f>
        <v>Onsemi</v>
      </c>
      <c r="C10292" s="6">
        <v>2100</v>
      </c>
      <c r="D10292" s="7">
        <v>1.21</v>
      </c>
    </row>
    <row r="10293" spans="1:5" x14ac:dyDescent="0.25">
      <c r="A10293" t="str">
        <f>HYPERLINK("https://www.773grp.com/globalSearch/BD435G/page-1", "BD435G")</f>
        <v>BD435G</v>
      </c>
      <c r="B10293" s="3" t="str">
        <f>HYPERLINK("https://www.773grp.com/manufacturer/onsemi?pageNo=856", "Onsemi")</f>
        <v>Onsemi</v>
      </c>
      <c r="C10293" s="6">
        <v>5600</v>
      </c>
      <c r="D10293" s="7">
        <v>1.21</v>
      </c>
      <c r="E10293" t="s">
        <v>47</v>
      </c>
    </row>
    <row r="10294" spans="1:5" x14ac:dyDescent="0.25">
      <c r="A10294" t="str">
        <f>HYPERLINK("https://www.773grp.com/globalSearch/BD437G/page-1", "BD437G")</f>
        <v>BD437G</v>
      </c>
      <c r="B10294" s="3" t="str">
        <f>HYPERLINK("https://www.773grp.com/manufacturer/onsemi?pageNo=857", "Onsemi")</f>
        <v>Onsemi</v>
      </c>
      <c r="C10294" s="6">
        <v>2340</v>
      </c>
      <c r="D10294" s="7">
        <v>1.21</v>
      </c>
    </row>
    <row r="10295" spans="1:5" x14ac:dyDescent="0.25">
      <c r="A10295" t="str">
        <f>HYPERLINK("https://www.773grp.com/globalSearch/BD437TG/page-1", "BD437TG")</f>
        <v>BD437TG</v>
      </c>
      <c r="B10295" s="3" t="str">
        <f>HYPERLINK("https://www.773grp.com/manufacturer/onsemi?pageNo=858", "Onsemi")</f>
        <v>Onsemi</v>
      </c>
      <c r="C10295" s="6">
        <v>6500</v>
      </c>
      <c r="D10295" s="7">
        <v>1.21</v>
      </c>
      <c r="E10295" t="s">
        <v>47</v>
      </c>
    </row>
    <row r="10296" spans="1:5" x14ac:dyDescent="0.25">
      <c r="A10296" t="str">
        <f>HYPERLINK("https://www.773grp.com/globalSearch/BD439G/page-1", "BD439G")</f>
        <v>BD439G</v>
      </c>
      <c r="B10296" s="3" t="str">
        <f>HYPERLINK("https://www.773grp.com/manufacturer/onsemi?pageNo=859", "Onsemi")</f>
        <v>Onsemi</v>
      </c>
      <c r="C10296" s="6">
        <v>3500</v>
      </c>
      <c r="D10296" s="7">
        <v>1.21</v>
      </c>
      <c r="E10296" t="s">
        <v>47</v>
      </c>
    </row>
    <row r="10297" spans="1:5" x14ac:dyDescent="0.25">
      <c r="A10297" t="str">
        <f>HYPERLINK("https://www.773grp.com/globalSearch/BD441G/page-1", "BD441G")</f>
        <v>BD441G</v>
      </c>
      <c r="B10297" s="3" t="str">
        <f>HYPERLINK("https://www.773grp.com/manufacturer/onsemi?pageNo=860", "Onsemi")</f>
        <v>Onsemi</v>
      </c>
      <c r="C10297" s="6">
        <v>500</v>
      </c>
      <c r="D10297" s="7">
        <v>1.21</v>
      </c>
    </row>
    <row r="10298" spans="1:5" x14ac:dyDescent="0.25">
      <c r="A10298" t="str">
        <f>HYPERLINK("https://www.773grp.com/globalSearch/BD442G/page-1", "BD442G")</f>
        <v>BD442G</v>
      </c>
      <c r="B10298" s="3" t="str">
        <f>HYPERLINK("https://www.773grp.com/manufacturer/onsemi?pageNo=861", "Onsemi")</f>
        <v>Onsemi</v>
      </c>
      <c r="C10298" s="6">
        <v>4000</v>
      </c>
      <c r="D10298" s="7">
        <v>1.21</v>
      </c>
      <c r="E10298" t="s">
        <v>47</v>
      </c>
    </row>
    <row r="10299" spans="1:5" x14ac:dyDescent="0.25">
      <c r="A10299" t="str">
        <f>HYPERLINK("https://www.773grp.com/globalSearch/BD675AG/page-1", "BD675AG")</f>
        <v>BD675AG</v>
      </c>
      <c r="B10299" s="3" t="str">
        <f>HYPERLINK("https://www.773grp.com/manufacturer/onsemi?pageNo=862", "Onsemi")</f>
        <v>Onsemi</v>
      </c>
      <c r="C10299" s="6">
        <v>3000</v>
      </c>
      <c r="D10299" s="7">
        <v>1.21</v>
      </c>
      <c r="E10299" t="s">
        <v>47</v>
      </c>
    </row>
    <row r="10300" spans="1:5" x14ac:dyDescent="0.25">
      <c r="A10300" t="str">
        <f>HYPERLINK("https://www.773grp.com/globalSearch/BD675G/page-1", "BD675G")</f>
        <v>BD675G</v>
      </c>
      <c r="B10300" s="3" t="str">
        <f>HYPERLINK("https://www.773grp.com/manufacturer/onsemi?pageNo=863", "Onsemi")</f>
        <v>Onsemi</v>
      </c>
      <c r="C10300" s="6">
        <v>1630</v>
      </c>
      <c r="D10300" s="7">
        <v>1.21</v>
      </c>
      <c r="E10300" t="s">
        <v>47</v>
      </c>
    </row>
    <row r="10301" spans="1:5" x14ac:dyDescent="0.25">
      <c r="A10301" t="str">
        <f>HYPERLINK("https://www.773grp.com/globalSearch/BD677AG/page-1", "BD677AG")</f>
        <v>BD677AG</v>
      </c>
      <c r="B10301" s="3" t="str">
        <f>HYPERLINK("https://www.773grp.com/manufacturer/onsemi?pageNo=864", "Onsemi")</f>
        <v>Onsemi</v>
      </c>
      <c r="C10301" s="6">
        <v>7693</v>
      </c>
      <c r="D10301" s="7">
        <v>1.21</v>
      </c>
      <c r="E10301" t="s">
        <v>47</v>
      </c>
    </row>
    <row r="10302" spans="1:5" x14ac:dyDescent="0.25">
      <c r="A10302" t="str">
        <f>HYPERLINK("https://www.773grp.com/globalSearch/BD677G/page-1", "BD677G")</f>
        <v>BD677G</v>
      </c>
      <c r="B10302" s="3" t="str">
        <f>HYPERLINK("https://www.773grp.com/manufacturer/onsemi?pageNo=865", "Onsemi")</f>
        <v>Onsemi</v>
      </c>
      <c r="C10302" s="6">
        <v>2700</v>
      </c>
      <c r="D10302" s="7">
        <v>1.21</v>
      </c>
      <c r="E10302" t="s">
        <v>47</v>
      </c>
    </row>
    <row r="10303" spans="1:5" x14ac:dyDescent="0.25">
      <c r="A10303" t="str">
        <f>HYPERLINK("https://www.773grp.com/globalSearch/BD679AG/page-1", "BD679AG")</f>
        <v>BD679AG</v>
      </c>
      <c r="B10303" s="3" t="str">
        <f>HYPERLINK("https://www.773grp.com/manufacturer/onsemi?pageNo=866", "Onsemi")</f>
        <v>Onsemi</v>
      </c>
      <c r="C10303" s="6">
        <v>3900</v>
      </c>
      <c r="D10303" s="7">
        <v>1.21</v>
      </c>
      <c r="E10303" t="s">
        <v>47</v>
      </c>
    </row>
    <row r="10304" spans="1:5" x14ac:dyDescent="0.25">
      <c r="A10304" t="str">
        <f>HYPERLINK("https://www.773grp.com/globalSearch/BD679G/page-1", "BD679G")</f>
        <v>BD679G</v>
      </c>
      <c r="B10304" s="3" t="str">
        <f>HYPERLINK("https://www.773grp.com/manufacturer/onsemi?pageNo=867", "Onsemi")</f>
        <v>Onsemi</v>
      </c>
      <c r="C10304" s="6">
        <v>1172</v>
      </c>
      <c r="D10304" s="7">
        <v>1.21</v>
      </c>
    </row>
    <row r="10305" spans="1:5" x14ac:dyDescent="0.25">
      <c r="A10305" t="str">
        <f>HYPERLINK("https://www.773grp.com/globalSearch/BD681G/page-1", "BD681G")</f>
        <v>BD681G</v>
      </c>
      <c r="B10305" s="3" t="str">
        <f>HYPERLINK("https://www.773grp.com/manufacturer/onsemi?pageNo=868", "Onsemi")</f>
        <v>Onsemi</v>
      </c>
      <c r="C10305" s="6">
        <v>7732</v>
      </c>
      <c r="D10305" s="7">
        <v>1.21</v>
      </c>
      <c r="E10305" t="s">
        <v>47</v>
      </c>
    </row>
    <row r="10306" spans="1:5" x14ac:dyDescent="0.25">
      <c r="A10306" t="str">
        <f>HYPERLINK("https://www.773grp.com/globalSearch/BU407G/page-1", "BU407G")</f>
        <v>BU407G</v>
      </c>
      <c r="B10306" s="3" t="str">
        <f>HYPERLINK("https://www.773grp.com/manufacturer/onsemi?pageNo=869", "Onsemi")</f>
        <v>Onsemi</v>
      </c>
      <c r="C10306" s="6">
        <v>230</v>
      </c>
      <c r="D10306" s="7">
        <v>1.21</v>
      </c>
      <c r="E10306" t="s">
        <v>47</v>
      </c>
    </row>
    <row r="10307" spans="1:5" x14ac:dyDescent="0.25">
      <c r="A10307" t="str">
        <f>HYPERLINK("https://www.773grp.com/globalSearch/BUD42DG/page-1", "BUD42DG")</f>
        <v>BUD42DG</v>
      </c>
      <c r="B10307" s="3" t="str">
        <f>HYPERLINK("https://www.773grp.com/manufacturer/onsemi?pageNo=870", "Onsemi")</f>
        <v>Onsemi</v>
      </c>
      <c r="C10307" s="6">
        <v>3000</v>
      </c>
      <c r="D10307" s="7">
        <v>1.21</v>
      </c>
      <c r="E10307" t="s">
        <v>47</v>
      </c>
    </row>
    <row r="10308" spans="1:5" x14ac:dyDescent="0.25">
      <c r="A10308" t="str">
        <f>HYPERLINK("https://www.773grp.com/globalSearch/CAT24C128LI-G/page-1", "CAT24C128LI-G")</f>
        <v>CAT24C128LI-G</v>
      </c>
      <c r="B10308" s="3" t="str">
        <f>HYPERLINK("https://www.773grp.com/manufacturer/onsemi?pageNo=871", "Onsemi")</f>
        <v>Onsemi</v>
      </c>
      <c r="C10308" s="6">
        <v>1240</v>
      </c>
      <c r="D10308" s="7">
        <v>1.21</v>
      </c>
    </row>
    <row r="10309" spans="1:5" x14ac:dyDescent="0.25">
      <c r="A10309" t="str">
        <f>HYPERLINK("https://www.773grp.com/globalSearch/CAT25020VE-GT3/page-1", "CAT25020VE-GT3")</f>
        <v>CAT25020VE-GT3</v>
      </c>
      <c r="B10309" s="3" t="str">
        <f>HYPERLINK("https://www.773grp.com/manufacturer/onsemi?pageNo=872", "Onsemi")</f>
        <v>Onsemi</v>
      </c>
      <c r="C10309" s="6">
        <v>15000</v>
      </c>
      <c r="D10309" s="7">
        <v>1.21</v>
      </c>
      <c r="E10309" t="s">
        <v>52</v>
      </c>
    </row>
    <row r="10310" spans="1:5" x14ac:dyDescent="0.25">
      <c r="A10310" t="str">
        <f>HYPERLINK("https://www.773grp.com/globalSearch/CAT25320VI-G/page-1", "CAT25320VI-G")</f>
        <v>CAT25320VI-G</v>
      </c>
      <c r="B10310" s="3" t="str">
        <f>HYPERLINK("https://www.773grp.com/manufacturer/onsemi?pageNo=873", "Onsemi")</f>
        <v>Onsemi</v>
      </c>
      <c r="C10310" s="6">
        <v>14500</v>
      </c>
      <c r="D10310" s="7">
        <v>1.21</v>
      </c>
    </row>
    <row r="10311" spans="1:5" x14ac:dyDescent="0.25">
      <c r="A10311" t="str">
        <f>HYPERLINK("https://www.773grp.com/globalSearch/CAT25640LI-G/page-1", "CAT25640LI-G")</f>
        <v>CAT25640LI-G</v>
      </c>
      <c r="B10311" s="3" t="str">
        <f>HYPERLINK("https://www.773grp.com/manufacturer/onsemi?pageNo=874", "Onsemi")</f>
        <v>Onsemi</v>
      </c>
      <c r="C10311" s="6">
        <v>400</v>
      </c>
      <c r="D10311" s="7">
        <v>1.21</v>
      </c>
    </row>
    <row r="10312" spans="1:5" x14ac:dyDescent="0.25">
      <c r="A10312" t="str">
        <f>HYPERLINK("https://www.773grp.com/globalSearch/CAT93C86L/page-1", "CAT93C86L")</f>
        <v>CAT93C86L</v>
      </c>
      <c r="B10312" s="3" t="str">
        <f>HYPERLINK("https://www.773grp.com/manufacturer/onsemi?pageNo=875", "Onsemi")</f>
        <v>Onsemi</v>
      </c>
      <c r="C10312" s="6">
        <v>39</v>
      </c>
      <c r="D10312" s="7">
        <v>1.21</v>
      </c>
      <c r="E10312" t="s">
        <v>52</v>
      </c>
    </row>
    <row r="10313" spans="1:5" x14ac:dyDescent="0.25">
      <c r="A10313" t="str">
        <f>HYPERLINK("https://www.773grp.com/globalSearch/CAT93C86LI-G/page-1", "CAT93C86LI-G")</f>
        <v>CAT93C86LI-G</v>
      </c>
      <c r="B10313" s="3" t="str">
        <f>HYPERLINK("https://www.773grp.com/manufacturer/onsemi?pageNo=876", "Onsemi")</f>
        <v>Onsemi</v>
      </c>
      <c r="C10313" s="6">
        <v>1700</v>
      </c>
      <c r="D10313" s="7">
        <v>1.21</v>
      </c>
    </row>
    <row r="10314" spans="1:5" x14ac:dyDescent="0.25">
      <c r="A10314" t="str">
        <f>HYPERLINK("https://www.773grp.com/globalSearch/CM1241-04D4/page-1", "CM1241-04D4")</f>
        <v>CM1241-04D4</v>
      </c>
      <c r="B10314" s="3" t="str">
        <f>HYPERLINK("https://www.773grp.com/manufacturer/onsemi?pageNo=877", "Onsemi")</f>
        <v>Onsemi</v>
      </c>
      <c r="C10314" s="6">
        <v>5995</v>
      </c>
      <c r="D10314" s="7">
        <v>1.21</v>
      </c>
    </row>
    <row r="10315" spans="1:5" x14ac:dyDescent="0.25">
      <c r="A10315" t="str">
        <f>HYPERLINK("https://www.773grp.com/globalSearch/CM1405-03CP/page-1", "CM1405-03CP")</f>
        <v>CM1405-03CP</v>
      </c>
      <c r="B10315" s="3" t="str">
        <f>HYPERLINK("https://www.773grp.com/manufacturer/onsemi?pageNo=878", "Onsemi")</f>
        <v>Onsemi</v>
      </c>
      <c r="C10315" s="6">
        <v>14000</v>
      </c>
      <c r="D10315" s="7">
        <v>1.21</v>
      </c>
      <c r="E10315" t="s">
        <v>79</v>
      </c>
    </row>
    <row r="10316" spans="1:5" x14ac:dyDescent="0.25">
      <c r="A10316" t="str">
        <f>HYPERLINK("https://www.773grp.com/globalSearch/CM1451-08CP/page-1", "CM1451-08CP")</f>
        <v>CM1451-08CP</v>
      </c>
      <c r="B10316" s="3" t="str">
        <f>HYPERLINK("https://www.773grp.com/manufacturer/onsemi?pageNo=879", "Onsemi")</f>
        <v>Onsemi</v>
      </c>
      <c r="C10316" s="6">
        <v>45500</v>
      </c>
      <c r="D10316" s="7">
        <v>1.21</v>
      </c>
      <c r="E10316" t="s">
        <v>79</v>
      </c>
    </row>
    <row r="10317" spans="1:5" x14ac:dyDescent="0.25">
      <c r="A10317" t="str">
        <f>HYPERLINK("https://www.773grp.com/globalSearch/CM1451-08CP/page-1", "CM1451-08CP")</f>
        <v>CM1451-08CP</v>
      </c>
      <c r="B10317" s="3" t="str">
        <f>HYPERLINK("https://www.773grp.com/manufacturer/onsemi?pageNo=880", "Onsemi")</f>
        <v>Onsemi</v>
      </c>
      <c r="C10317" s="6">
        <v>2500</v>
      </c>
      <c r="D10317" s="7">
        <v>1.21</v>
      </c>
      <c r="E10317" t="s">
        <v>79</v>
      </c>
    </row>
    <row r="10318" spans="1:5" x14ac:dyDescent="0.25">
      <c r="A10318" t="str">
        <f>HYPERLINK("https://www.773grp.com/globalSearch/ECH8653-TL-H/page-1", "ECH8653-TL-H")</f>
        <v>ECH8653-TL-H</v>
      </c>
      <c r="B10318" s="3" t="str">
        <f>HYPERLINK("https://www.773grp.com/manufacturer/onsemi?pageNo=881", "Onsemi")</f>
        <v>Onsemi</v>
      </c>
      <c r="C10318" s="6">
        <v>3000</v>
      </c>
      <c r="D10318" s="7">
        <v>1.21</v>
      </c>
    </row>
    <row r="10319" spans="1:5" x14ac:dyDescent="0.25">
      <c r="A10319" t="str">
        <f>HYPERLINK("https://www.773grp.com/globalSearch/ECH8667-TL-H/page-1", "ECH8667-TL-H")</f>
        <v>ECH8667-TL-H</v>
      </c>
      <c r="B10319" s="3" t="str">
        <f>HYPERLINK("https://www.773grp.com/manufacturer/onsemi?pageNo=882", "Onsemi")</f>
        <v>Onsemi</v>
      </c>
      <c r="C10319" s="6">
        <v>1500</v>
      </c>
      <c r="D10319" s="7">
        <v>1.21</v>
      </c>
    </row>
    <row r="10320" spans="1:5" x14ac:dyDescent="0.25">
      <c r="A10320" t="str">
        <f>HYPERLINK("https://www.773grp.com/globalSearch/ICTE-15RL4G/page-1", "ICTE-15RL4G")</f>
        <v>ICTE-15RL4G</v>
      </c>
      <c r="B10320" s="3" t="str">
        <f>HYPERLINK("https://www.773grp.com/manufacturer/onsemi?pageNo=883", "Onsemi")</f>
        <v>Onsemi</v>
      </c>
      <c r="C10320" s="6">
        <v>4984</v>
      </c>
      <c r="D10320" s="7">
        <v>1.21</v>
      </c>
      <c r="E10320" t="s">
        <v>75</v>
      </c>
    </row>
    <row r="10321" spans="1:5" x14ac:dyDescent="0.25">
      <c r="A10321" t="str">
        <f>HYPERLINK("https://www.773grp.com/globalSearch/ICTE-18RL4G/page-1", "ICTE-18RL4G")</f>
        <v>ICTE-18RL4G</v>
      </c>
      <c r="B10321" s="3" t="str">
        <f>HYPERLINK("https://www.773grp.com/manufacturer/onsemi?pageNo=884", "Onsemi")</f>
        <v>Onsemi</v>
      </c>
      <c r="C10321" s="6">
        <v>5330</v>
      </c>
      <c r="D10321" s="7">
        <v>1.21</v>
      </c>
      <c r="E10321" t="s">
        <v>75</v>
      </c>
    </row>
    <row r="10322" spans="1:5" x14ac:dyDescent="0.25">
      <c r="A10322" t="str">
        <f>HYPERLINK("https://www.773grp.com/globalSearch/ICTE-36RL4G/page-1", "ICTE-36RL4G")</f>
        <v>ICTE-36RL4G</v>
      </c>
      <c r="B10322" s="3" t="str">
        <f>HYPERLINK("https://www.773grp.com/manufacturer/onsemi?pageNo=885", "Onsemi")</f>
        <v>Onsemi</v>
      </c>
      <c r="C10322" s="6">
        <v>4154</v>
      </c>
      <c r="D10322" s="7">
        <v>1.21</v>
      </c>
      <c r="E10322" t="s">
        <v>75</v>
      </c>
    </row>
    <row r="10323" spans="1:5" x14ac:dyDescent="0.25">
      <c r="A10323" t="str">
        <f>HYPERLINK("https://www.773grp.com/globalSearch/ICTE-5RL4G/page-1", "ICTE-5RL4G")</f>
        <v>ICTE-5RL4G</v>
      </c>
      <c r="B10323" s="3" t="str">
        <f>HYPERLINK("https://www.773grp.com/manufacturer/onsemi?pageNo=886", "Onsemi")</f>
        <v>Onsemi</v>
      </c>
      <c r="C10323" s="6">
        <v>5000</v>
      </c>
      <c r="D10323" s="7">
        <v>1.21</v>
      </c>
      <c r="E10323" t="s">
        <v>75</v>
      </c>
    </row>
    <row r="10324" spans="1:5" x14ac:dyDescent="0.25">
      <c r="A10324" t="str">
        <f>HYPERLINK("https://www.773grp.com/globalSearch/LM2904ADMR2G/page-1", "LM2904ADMR2G")</f>
        <v>LM2904ADMR2G</v>
      </c>
      <c r="B10324" s="3" t="str">
        <f>HYPERLINK("https://www.773grp.com/manufacturer/onsemi?pageNo=887", "Onsemi")</f>
        <v>Onsemi</v>
      </c>
      <c r="C10324" s="6">
        <v>299820</v>
      </c>
      <c r="D10324" s="7">
        <v>1.21</v>
      </c>
    </row>
    <row r="10325" spans="1:5" x14ac:dyDescent="0.25">
      <c r="A10325" t="str">
        <f>HYPERLINK("https://www.773grp.com/globalSearch/LM2904ANG/page-1", "LM2904ANG")</f>
        <v>LM2904ANG</v>
      </c>
      <c r="B10325" s="3" t="str">
        <f>HYPERLINK("https://www.773grp.com/manufacturer/onsemi?pageNo=888", "Onsemi")</f>
        <v>Onsemi</v>
      </c>
      <c r="C10325" s="6">
        <v>20877</v>
      </c>
      <c r="D10325" s="7">
        <v>1.21</v>
      </c>
      <c r="E10325" t="s">
        <v>10</v>
      </c>
    </row>
    <row r="10326" spans="1:5" x14ac:dyDescent="0.25">
      <c r="A10326" t="str">
        <f>HYPERLINK("https://www.773grp.com/globalSearch/LM337T/page-1", "LM337T")</f>
        <v>LM337T</v>
      </c>
      <c r="B10326" s="3" t="str">
        <f>HYPERLINK("https://www.773grp.com/manufacturer/onsemi?pageNo=889", "Onsemi")</f>
        <v>Onsemi</v>
      </c>
      <c r="C10326" s="6">
        <v>6412</v>
      </c>
      <c r="D10326" s="7">
        <v>1.21</v>
      </c>
      <c r="E10326" t="s">
        <v>33</v>
      </c>
    </row>
    <row r="10327" spans="1:5" x14ac:dyDescent="0.25">
      <c r="A10327" t="str">
        <f>HYPERLINK("https://www.773grp.com/globalSearch/LP2951CN-3.3G/page-1", "LP2951CN-3.3G")</f>
        <v>LP2951CN-3.3G</v>
      </c>
      <c r="B10327" s="3" t="str">
        <f>HYPERLINK("https://www.773grp.com/manufacturer/onsemi?pageNo=890", "Onsemi")</f>
        <v>Onsemi</v>
      </c>
      <c r="C10327" s="6">
        <v>90601</v>
      </c>
      <c r="D10327" s="7">
        <v>1.21</v>
      </c>
      <c r="E10327" t="s">
        <v>23</v>
      </c>
    </row>
    <row r="10328" spans="1:5" x14ac:dyDescent="0.25">
      <c r="A10328" t="str">
        <f>HYPERLINK("https://www.773grp.com/globalSearch/LP2951CNG/page-1", "LP2951CNG")</f>
        <v>LP2951CNG</v>
      </c>
      <c r="B10328" s="3" t="str">
        <f>HYPERLINK("https://www.773grp.com/manufacturer/onsemi?pageNo=891", "Onsemi")</f>
        <v>Onsemi</v>
      </c>
      <c r="C10328" s="6">
        <v>1759</v>
      </c>
      <c r="D10328" s="7">
        <v>1.21</v>
      </c>
      <c r="E10328" t="s">
        <v>23</v>
      </c>
    </row>
    <row r="10329" spans="1:5" x14ac:dyDescent="0.25">
      <c r="A10329" t="str">
        <f>HYPERLINK("https://www.773grp.com/globalSearch/MAC08BT1G/page-1", "MAC08BT1G")</f>
        <v>MAC08BT1G</v>
      </c>
      <c r="B10329" s="3" t="str">
        <f>HYPERLINK("https://www.773grp.com/manufacturer/onsemi?pageNo=892", "Onsemi")</f>
        <v>Onsemi</v>
      </c>
      <c r="C10329" s="6">
        <v>2000</v>
      </c>
      <c r="D10329" s="7">
        <v>1.21</v>
      </c>
      <c r="E10329" t="s">
        <v>81</v>
      </c>
    </row>
    <row r="10330" spans="1:5" x14ac:dyDescent="0.25">
      <c r="A10330" t="str">
        <f>HYPERLINK("https://www.773grp.com/globalSearch/MAX809JTR/page-1", "MAX809JTR")</f>
        <v>MAX809JTR</v>
      </c>
      <c r="B10330" s="3" t="str">
        <f>HYPERLINK("https://www.773grp.com/manufacturer/onsemi?pageNo=893", "Onsemi")</f>
        <v>Onsemi</v>
      </c>
      <c r="C10330" s="6">
        <v>2884</v>
      </c>
      <c r="D10330" s="7">
        <v>1.21</v>
      </c>
      <c r="E10330" t="s">
        <v>26</v>
      </c>
    </row>
    <row r="10331" spans="1:5" x14ac:dyDescent="0.25">
      <c r="A10331" t="str">
        <f>HYPERLINK("https://www.773grp.com/globalSearch/MBR2045CT/page-1", "MBR2045CT")</f>
        <v>MBR2045CT</v>
      </c>
      <c r="B10331" s="3" t="str">
        <f>HYPERLINK("https://www.773grp.com/manufacturer/onsemi?pageNo=894", "Onsemi")</f>
        <v>Onsemi</v>
      </c>
      <c r="C10331" s="6">
        <v>100176</v>
      </c>
      <c r="D10331" s="7">
        <v>1.21</v>
      </c>
      <c r="E10331" t="s">
        <v>82</v>
      </c>
    </row>
    <row r="10332" spans="1:5" x14ac:dyDescent="0.25">
      <c r="A10332" t="str">
        <f>HYPERLINK("https://www.773grp.com/globalSearch/MBRD320G/page-1", "MBRD320G")</f>
        <v>MBRD320G</v>
      </c>
      <c r="B10332" s="3" t="str">
        <f>HYPERLINK("https://www.773grp.com/manufacturer/onsemi?pageNo=895", "Onsemi")</f>
        <v>Onsemi</v>
      </c>
      <c r="C10332" s="6">
        <v>4445</v>
      </c>
      <c r="D10332" s="7">
        <v>1.21</v>
      </c>
      <c r="E10332" t="s">
        <v>82</v>
      </c>
    </row>
    <row r="10333" spans="1:5" x14ac:dyDescent="0.25">
      <c r="A10333" t="str">
        <f>HYPERLINK("https://www.773grp.com/globalSearch/MBRD320RLG/page-1", "MBRD320RLG")</f>
        <v>MBRD320RLG</v>
      </c>
      <c r="B10333" s="3" t="str">
        <f>HYPERLINK("https://www.773grp.com/manufacturer/onsemi?pageNo=896", "Onsemi")</f>
        <v>Onsemi</v>
      </c>
      <c r="C10333" s="6">
        <v>1800</v>
      </c>
      <c r="D10333" s="7">
        <v>1.21</v>
      </c>
      <c r="E10333" t="s">
        <v>82</v>
      </c>
    </row>
    <row r="10334" spans="1:5" x14ac:dyDescent="0.25">
      <c r="A10334" t="str">
        <f>HYPERLINK("https://www.773grp.com/globalSearch/MBRD320T4G/page-1", "MBRD320T4G")</f>
        <v>MBRD320T4G</v>
      </c>
      <c r="B10334" s="3" t="str">
        <f>HYPERLINK("https://www.773grp.com/manufacturer/onsemi?pageNo=897", "Onsemi")</f>
        <v>Onsemi</v>
      </c>
      <c r="C10334" s="6">
        <v>142276</v>
      </c>
      <c r="D10334" s="7">
        <v>1.21</v>
      </c>
      <c r="E10334" t="s">
        <v>82</v>
      </c>
    </row>
    <row r="10335" spans="1:5" x14ac:dyDescent="0.25">
      <c r="A10335" t="str">
        <f>HYPERLINK("https://www.773grp.com/globalSearch/MBRD330G/page-1", "MBRD330G")</f>
        <v>MBRD330G</v>
      </c>
      <c r="B10335" s="3" t="str">
        <f>HYPERLINK("https://www.773grp.com/manufacturer/onsemi?pageNo=898", "Onsemi")</f>
        <v>Onsemi</v>
      </c>
      <c r="C10335" s="6">
        <v>11700</v>
      </c>
      <c r="D10335" s="7">
        <v>1.21</v>
      </c>
    </row>
    <row r="10336" spans="1:5" x14ac:dyDescent="0.25">
      <c r="A10336" t="str">
        <f>HYPERLINK("https://www.773grp.com/globalSearch/MBRD330RLG/page-1", "MBRD330RLG")</f>
        <v>MBRD330RLG</v>
      </c>
      <c r="B10336" s="3" t="str">
        <f>HYPERLINK("https://www.773grp.com/manufacturer/onsemi?pageNo=899", "Onsemi")</f>
        <v>Onsemi</v>
      </c>
      <c r="C10336" s="6">
        <v>2641</v>
      </c>
      <c r="D10336" s="7">
        <v>1.21</v>
      </c>
      <c r="E10336" t="s">
        <v>82</v>
      </c>
    </row>
    <row r="10337" spans="1:5" x14ac:dyDescent="0.25">
      <c r="A10337" t="str">
        <f>HYPERLINK("https://www.773grp.com/globalSearch/MBRD330T4G/page-1", "MBRD330T4G")</f>
        <v>MBRD330T4G</v>
      </c>
      <c r="B10337" s="3" t="str">
        <f>HYPERLINK("https://www.773grp.com/manufacturer/onsemi?pageNo=900", "Onsemi")</f>
        <v>Onsemi</v>
      </c>
      <c r="C10337" s="6">
        <v>17500</v>
      </c>
      <c r="D10337" s="7">
        <v>1.21</v>
      </c>
    </row>
    <row r="10338" spans="1:5" x14ac:dyDescent="0.25">
      <c r="A10338" t="str">
        <f>HYPERLINK("https://www.773grp.com/globalSearch/MBRD340G/page-1", "MBRD340G")</f>
        <v>MBRD340G</v>
      </c>
      <c r="B10338" s="3" t="str">
        <f>HYPERLINK("https://www.773grp.com/manufacturer/onsemi?pageNo=901", "Onsemi")</f>
        <v>Onsemi</v>
      </c>
      <c r="C10338" s="6">
        <v>3209</v>
      </c>
      <c r="D10338" s="7">
        <v>1.21</v>
      </c>
      <c r="E10338" t="s">
        <v>82</v>
      </c>
    </row>
    <row r="10339" spans="1:5" x14ac:dyDescent="0.25">
      <c r="A10339" t="str">
        <f>HYPERLINK("https://www.773grp.com/globalSearch/MBRD340RLG/page-1", "MBRD340RLG")</f>
        <v>MBRD340RLG</v>
      </c>
      <c r="B10339" s="3" t="str">
        <f>HYPERLINK("https://www.773grp.com/manufacturer/onsemi?pageNo=902", "Onsemi")</f>
        <v>Onsemi</v>
      </c>
      <c r="C10339" s="6">
        <v>9000</v>
      </c>
      <c r="D10339" s="7">
        <v>1.21</v>
      </c>
      <c r="E10339" t="s">
        <v>82</v>
      </c>
    </row>
    <row r="10340" spans="1:5" x14ac:dyDescent="0.25">
      <c r="A10340" t="str">
        <f>HYPERLINK("https://www.773grp.com/globalSearch/MBRD340T4G/page-1", "MBRD340T4G")</f>
        <v>MBRD340T4G</v>
      </c>
      <c r="B10340" s="3" t="str">
        <f>HYPERLINK("https://www.773grp.com/manufacturer/onsemi?pageNo=903", "Onsemi")</f>
        <v>Onsemi</v>
      </c>
      <c r="C10340" s="6">
        <v>5241</v>
      </c>
      <c r="D10340" s="7">
        <v>1.21</v>
      </c>
      <c r="E10340" t="s">
        <v>82</v>
      </c>
    </row>
    <row r="10341" spans="1:5" x14ac:dyDescent="0.25">
      <c r="A10341" t="str">
        <f>HYPERLINK("https://www.773grp.com/globalSearch/MBRD350RLG/page-1", "MBRD350RLG")</f>
        <v>MBRD350RLG</v>
      </c>
      <c r="B10341" s="3" t="str">
        <f>HYPERLINK("https://www.773grp.com/manufacturer/onsemi?pageNo=904", "Onsemi")</f>
        <v>Onsemi</v>
      </c>
      <c r="C10341" s="6">
        <v>3600</v>
      </c>
      <c r="D10341" s="7">
        <v>1.21</v>
      </c>
    </row>
    <row r="10342" spans="1:5" x14ac:dyDescent="0.25">
      <c r="A10342" t="str">
        <f>HYPERLINK("https://www.773grp.com/globalSearch/MBRD360G/page-1", "MBRD360G")</f>
        <v>MBRD360G</v>
      </c>
      <c r="B10342" s="3" t="str">
        <f>HYPERLINK("https://www.773grp.com/manufacturer/onsemi?pageNo=905", "Onsemi")</f>
        <v>Onsemi</v>
      </c>
      <c r="C10342" s="6">
        <v>1200</v>
      </c>
      <c r="D10342" s="7">
        <v>1.21</v>
      </c>
    </row>
    <row r="10343" spans="1:5" x14ac:dyDescent="0.25">
      <c r="A10343" t="str">
        <f>HYPERLINK("https://www.773grp.com/globalSearch/MBRD360RLG/page-1", "MBRD360RLG")</f>
        <v>MBRD360RLG</v>
      </c>
      <c r="B10343" s="3" t="str">
        <f>HYPERLINK("https://www.773grp.com/manufacturer/onsemi?pageNo=906", "Onsemi")</f>
        <v>Onsemi</v>
      </c>
      <c r="C10343" s="6">
        <v>9000</v>
      </c>
      <c r="D10343" s="7">
        <v>1.21</v>
      </c>
      <c r="E10343" t="s">
        <v>82</v>
      </c>
    </row>
    <row r="10344" spans="1:5" x14ac:dyDescent="0.25">
      <c r="A10344" t="str">
        <f>HYPERLINK("https://www.773grp.com/globalSearch/MBRD360T4G/page-1", "MBRD360T4G")</f>
        <v>MBRD360T4G</v>
      </c>
      <c r="B10344" s="3" t="str">
        <f>HYPERLINK("https://www.773grp.com/manufacturer/onsemi?pageNo=907", "Onsemi")</f>
        <v>Onsemi</v>
      </c>
      <c r="C10344" s="6">
        <v>27000</v>
      </c>
      <c r="D10344" s="7">
        <v>1.21</v>
      </c>
    </row>
    <row r="10345" spans="1:5" x14ac:dyDescent="0.25">
      <c r="A10345" t="str">
        <f>HYPERLINK("https://www.773grp.com/globalSearch/MBRS3100T3G/page-1", "MBRS3100T3G")</f>
        <v>MBRS3100T3G</v>
      </c>
      <c r="B10345" s="3" t="str">
        <f>HYPERLINK("https://www.773grp.com/manufacturer/onsemi?pageNo=908", "Onsemi")</f>
        <v>Onsemi</v>
      </c>
      <c r="C10345" s="6">
        <v>102360</v>
      </c>
      <c r="D10345" s="7">
        <v>1.21</v>
      </c>
      <c r="E10345" t="s">
        <v>82</v>
      </c>
    </row>
    <row r="10346" spans="1:5" x14ac:dyDescent="0.25">
      <c r="A10346" t="str">
        <f>HYPERLINK("https://www.773grp.com/globalSearch/MC14051BFG/page-1", "MC14051BFG")</f>
        <v>MC14051BFG</v>
      </c>
      <c r="B10346" s="3" t="str">
        <f>HYPERLINK("https://www.773grp.com/manufacturer/onsemi?pageNo=909", "Onsemi")</f>
        <v>Onsemi</v>
      </c>
      <c r="C10346" s="6">
        <v>7760</v>
      </c>
      <c r="D10346" s="7">
        <v>1.21</v>
      </c>
      <c r="E10346" t="s">
        <v>46</v>
      </c>
    </row>
    <row r="10347" spans="1:5" x14ac:dyDescent="0.25">
      <c r="A10347" t="str">
        <f>HYPERLINK("https://www.773grp.com/globalSearch/MC14053BFG/page-1", "MC14053BFG")</f>
        <v>MC14053BFG</v>
      </c>
      <c r="B10347" s="3" t="str">
        <f>HYPERLINK("https://www.773grp.com/manufacturer/onsemi?pageNo=910", "Onsemi")</f>
        <v>Onsemi</v>
      </c>
      <c r="C10347" s="6">
        <v>4992</v>
      </c>
      <c r="D10347" s="7">
        <v>1.21</v>
      </c>
      <c r="E10347" t="s">
        <v>46</v>
      </c>
    </row>
    <row r="10348" spans="1:5" x14ac:dyDescent="0.25">
      <c r="A10348" t="str">
        <f>HYPERLINK("https://www.773grp.com/globalSearch/MC1413D/page-1", "MC1413D")</f>
        <v>MC1413D</v>
      </c>
      <c r="B10348" s="3" t="str">
        <f>HYPERLINK("https://www.773grp.com/manufacturer/onsemi?pageNo=911", "Onsemi")</f>
        <v>Onsemi</v>
      </c>
      <c r="C10348" s="6">
        <v>3743</v>
      </c>
      <c r="D10348" s="7">
        <v>1.21</v>
      </c>
      <c r="E10348" t="s">
        <v>47</v>
      </c>
    </row>
    <row r="10349" spans="1:5" x14ac:dyDescent="0.25">
      <c r="A10349" t="str">
        <f>HYPERLINK("https://www.773grp.com/globalSearch/MC1413DG/page-1", "MC1413DG")</f>
        <v>MC1413DG</v>
      </c>
      <c r="B10349" s="3" t="str">
        <f>HYPERLINK("https://www.773grp.com/manufacturer/onsemi?pageNo=912", "Onsemi")</f>
        <v>Onsemi</v>
      </c>
      <c r="C10349" s="6">
        <v>1646</v>
      </c>
      <c r="D10349" s="7">
        <v>1.21</v>
      </c>
    </row>
    <row r="10350" spans="1:5" x14ac:dyDescent="0.25">
      <c r="A10350" t="str">
        <f>HYPERLINK("https://www.773grp.com/globalSearch/MC1413DR2/page-1", "MC1413DR2")</f>
        <v>MC1413DR2</v>
      </c>
      <c r="B10350" s="3" t="str">
        <f>HYPERLINK("https://www.773grp.com/manufacturer/onsemi?pageNo=913", "Onsemi")</f>
        <v>Onsemi</v>
      </c>
      <c r="C10350" s="6">
        <v>11521</v>
      </c>
      <c r="D10350" s="7">
        <v>1.21</v>
      </c>
      <c r="E10350" t="s">
        <v>47</v>
      </c>
    </row>
    <row r="10351" spans="1:5" x14ac:dyDescent="0.25">
      <c r="A10351" t="str">
        <f>HYPERLINK("https://www.773grp.com/globalSearch/MC1413DR2G/page-1", "MC1413DR2G")</f>
        <v>MC1413DR2G</v>
      </c>
      <c r="B10351" s="3" t="str">
        <f>HYPERLINK("https://www.773grp.com/manufacturer/onsemi?pageNo=914", "Onsemi")</f>
        <v>Onsemi</v>
      </c>
      <c r="C10351" s="6">
        <v>50839</v>
      </c>
      <c r="D10351" s="7">
        <v>1.21</v>
      </c>
      <c r="E10351" t="s">
        <v>47</v>
      </c>
    </row>
    <row r="10352" spans="1:5" x14ac:dyDescent="0.25">
      <c r="A10352" t="str">
        <f>HYPERLINK("https://www.773grp.com/globalSearch/MC14502BDW/page-1", "MC14502BDW")</f>
        <v>MC14502BDW</v>
      </c>
      <c r="B10352" s="3" t="str">
        <f>HYPERLINK("https://www.773grp.com/manufacturer/onsemi?pageNo=915", "Onsemi")</f>
        <v>Onsemi</v>
      </c>
      <c r="C10352" s="6">
        <v>1928</v>
      </c>
      <c r="D10352" s="7">
        <v>1.21</v>
      </c>
      <c r="E10352" t="s">
        <v>11</v>
      </c>
    </row>
    <row r="10353" spans="1:5" x14ac:dyDescent="0.25">
      <c r="A10353" t="str">
        <f>HYPERLINK("https://www.773grp.com/globalSearch/MC14511BFG/page-1", "MC14511BFG")</f>
        <v>MC14511BFG</v>
      </c>
      <c r="B10353" s="3" t="str">
        <f>HYPERLINK("https://www.773grp.com/manufacturer/onsemi?pageNo=916", "Onsemi")</f>
        <v>Onsemi</v>
      </c>
      <c r="C10353" s="6">
        <v>50</v>
      </c>
      <c r="D10353" s="7">
        <v>1.21</v>
      </c>
      <c r="E10353" t="s">
        <v>32</v>
      </c>
    </row>
    <row r="10354" spans="1:5" x14ac:dyDescent="0.25">
      <c r="A10354" t="str">
        <f>HYPERLINK("https://www.773grp.com/globalSearch/MC14585BCP/page-1", "MC14585BCP")</f>
        <v>MC14585BCP</v>
      </c>
      <c r="B10354" s="3" t="str">
        <f>HYPERLINK("https://www.773grp.com/manufacturer/onsemi?pageNo=917", "Onsemi")</f>
        <v>Onsemi</v>
      </c>
      <c r="C10354" s="6">
        <v>1716</v>
      </c>
      <c r="D10354" s="7">
        <v>1.21</v>
      </c>
      <c r="E10354" t="s">
        <v>38</v>
      </c>
    </row>
    <row r="10355" spans="1:5" x14ac:dyDescent="0.25">
      <c r="A10355" t="str">
        <f>HYPERLINK("https://www.773grp.com/globalSearch/MC14585BCPG/page-1", "MC14585BCPG")</f>
        <v>MC14585BCPG</v>
      </c>
      <c r="B10355" s="3" t="str">
        <f>HYPERLINK("https://www.773grp.com/manufacturer/onsemi?pageNo=918", "Onsemi")</f>
        <v>Onsemi</v>
      </c>
      <c r="C10355" s="6">
        <v>175</v>
      </c>
      <c r="D10355" s="7">
        <v>1.21</v>
      </c>
      <c r="E10355" t="s">
        <v>38</v>
      </c>
    </row>
    <row r="10356" spans="1:5" x14ac:dyDescent="0.25">
      <c r="A10356" t="str">
        <f>HYPERLINK("https://www.773grp.com/globalSearch/MC1489PG/page-1", "MC1489PG")</f>
        <v>MC1489PG</v>
      </c>
      <c r="B10356" s="3" t="str">
        <f>HYPERLINK("https://www.773grp.com/manufacturer/onsemi?pageNo=919", "Onsemi")</f>
        <v>Onsemi</v>
      </c>
      <c r="C10356" s="6">
        <v>11121</v>
      </c>
      <c r="D10356" s="7">
        <v>1.21</v>
      </c>
      <c r="E10356" t="s">
        <v>17</v>
      </c>
    </row>
    <row r="10357" spans="1:5" x14ac:dyDescent="0.25">
      <c r="A10357" t="str">
        <f>HYPERLINK("https://www.773grp.com/globalSearch/MC1723BD/page-1", "MC1723BD")</f>
        <v>MC1723BD</v>
      </c>
      <c r="B10357" s="3" t="str">
        <f>HYPERLINK("https://www.773grp.com/manufacturer/onsemi?pageNo=920", "Onsemi")</f>
        <v>Onsemi</v>
      </c>
      <c r="C10357" s="6">
        <v>4243</v>
      </c>
      <c r="D10357" s="7">
        <v>1.21</v>
      </c>
      <c r="E10357" t="s">
        <v>18</v>
      </c>
    </row>
    <row r="10358" spans="1:5" x14ac:dyDescent="0.25">
      <c r="A10358" t="str">
        <f>HYPERLINK("https://www.773grp.com/globalSearch/MC33077P/page-1", "MC33077P")</f>
        <v>MC33077P</v>
      </c>
      <c r="B10358" s="3" t="str">
        <f>HYPERLINK("https://www.773grp.com/manufacturer/onsemi?pageNo=921", "Onsemi")</f>
        <v>Onsemi</v>
      </c>
      <c r="C10358" s="6">
        <v>4200</v>
      </c>
      <c r="D10358" s="7">
        <v>1.21</v>
      </c>
      <c r="E10358" t="s">
        <v>10</v>
      </c>
    </row>
    <row r="10359" spans="1:5" x14ac:dyDescent="0.25">
      <c r="A10359" t="str">
        <f>HYPERLINK("https://www.773grp.com/globalSearch/MC33078DG/page-1", "MC33078DG")</f>
        <v>MC33078DG</v>
      </c>
      <c r="B10359" s="3" t="str">
        <f>HYPERLINK("https://www.773grp.com/manufacturer/onsemi?pageNo=922", "Onsemi")</f>
        <v>Onsemi</v>
      </c>
      <c r="C10359" s="6">
        <v>11007</v>
      </c>
      <c r="D10359" s="7">
        <v>1.21</v>
      </c>
      <c r="E10359" t="s">
        <v>10</v>
      </c>
    </row>
    <row r="10360" spans="1:5" x14ac:dyDescent="0.25">
      <c r="A10360" t="str">
        <f>HYPERLINK("https://www.773grp.com/globalSearch/MC33078DR2G/page-1", "MC33078DR2G")</f>
        <v>MC33078DR2G</v>
      </c>
      <c r="B10360" s="3" t="str">
        <f>HYPERLINK("https://www.773grp.com/manufacturer/onsemi?pageNo=923", "Onsemi")</f>
        <v>Onsemi</v>
      </c>
      <c r="C10360" s="6">
        <v>24879</v>
      </c>
      <c r="D10360" s="7">
        <v>1.21</v>
      </c>
      <c r="E10360" t="s">
        <v>10</v>
      </c>
    </row>
    <row r="10361" spans="1:5" x14ac:dyDescent="0.25">
      <c r="A10361" t="str">
        <f>HYPERLINK("https://www.773grp.com/globalSearch/MC33079DG/page-1", "MC33079DG")</f>
        <v>MC33079DG</v>
      </c>
      <c r="B10361" s="3" t="str">
        <f>HYPERLINK("https://www.773grp.com/manufacturer/onsemi?pageNo=924", "Onsemi")</f>
        <v>Onsemi</v>
      </c>
      <c r="C10361" s="6">
        <v>3130</v>
      </c>
      <c r="D10361" s="7">
        <v>1.21</v>
      </c>
      <c r="E10361" t="s">
        <v>10</v>
      </c>
    </row>
    <row r="10362" spans="1:5" x14ac:dyDescent="0.25">
      <c r="A10362" t="str">
        <f>HYPERLINK("https://www.773grp.com/globalSearch/MC33079DR2G/page-1", "MC33079DR2G")</f>
        <v>MC33079DR2G</v>
      </c>
      <c r="B10362" s="3" t="str">
        <f>HYPERLINK("https://www.773grp.com/manufacturer/onsemi?pageNo=925", "Onsemi")</f>
        <v>Onsemi</v>
      </c>
      <c r="C10362" s="6">
        <v>60096</v>
      </c>
      <c r="D10362" s="7">
        <v>1.21</v>
      </c>
    </row>
    <row r="10363" spans="1:5" x14ac:dyDescent="0.25">
      <c r="A10363" t="str">
        <f>HYPERLINK("https://www.773grp.com/globalSearch/MC33174VP/page-1", "MC33174VP")</f>
        <v>MC33174VP</v>
      </c>
      <c r="B10363" s="3" t="str">
        <f>HYPERLINK("https://www.773grp.com/manufacturer/onsemi?pageNo=926", "Onsemi")</f>
        <v>Onsemi</v>
      </c>
      <c r="C10363" s="6">
        <v>73</v>
      </c>
      <c r="D10363" s="7">
        <v>1.21</v>
      </c>
      <c r="E10363" t="s">
        <v>10</v>
      </c>
    </row>
    <row r="10364" spans="1:5" x14ac:dyDescent="0.25">
      <c r="A10364" t="str">
        <f>HYPERLINK("https://www.773grp.com/globalSearch/MC3488AD/page-1", "MC3488AD")</f>
        <v>MC3488AD</v>
      </c>
      <c r="B10364" s="3" t="str">
        <f>HYPERLINK("https://www.773grp.com/manufacturer/onsemi?pageNo=927", "Onsemi")</f>
        <v>Onsemi</v>
      </c>
      <c r="C10364" s="6">
        <v>490</v>
      </c>
      <c r="D10364" s="7">
        <v>1.21</v>
      </c>
      <c r="E10364" t="s">
        <v>17</v>
      </c>
    </row>
    <row r="10365" spans="1:5" x14ac:dyDescent="0.25">
      <c r="A10365" t="str">
        <f>HYPERLINK("https://www.773grp.com/globalSearch/MC3488ADR2/page-1", "MC3488ADR2")</f>
        <v>MC3488ADR2</v>
      </c>
      <c r="B10365" s="3" t="str">
        <f>HYPERLINK("https://www.773grp.com/manufacturer/onsemi?pageNo=928", "Onsemi")</f>
        <v>Onsemi</v>
      </c>
      <c r="C10365" s="6">
        <v>988</v>
      </c>
      <c r="D10365" s="7">
        <v>1.21</v>
      </c>
      <c r="E10365" t="s">
        <v>17</v>
      </c>
    </row>
    <row r="10366" spans="1:5" x14ac:dyDescent="0.25">
      <c r="A10366" t="str">
        <f>HYPERLINK("https://www.773grp.com/globalSearch/MC3488AP1/page-1", "MC3488AP1")</f>
        <v>MC3488AP1</v>
      </c>
      <c r="B10366" s="3" t="str">
        <f>HYPERLINK("https://www.773grp.com/manufacturer/onsemi?pageNo=929", "Onsemi")</f>
        <v>Onsemi</v>
      </c>
      <c r="C10366" s="6">
        <v>2819</v>
      </c>
      <c r="D10366" s="7">
        <v>1.21</v>
      </c>
      <c r="E10366" t="s">
        <v>17</v>
      </c>
    </row>
    <row r="10367" spans="1:5" x14ac:dyDescent="0.25">
      <c r="A10367" t="str">
        <f>HYPERLINK("https://www.773grp.com/globalSearch/MC74AC157MELG/page-1", "MC74AC157MELG")</f>
        <v>MC74AC157MELG</v>
      </c>
      <c r="B10367" s="3" t="str">
        <f>HYPERLINK("https://www.773grp.com/manufacturer/onsemi?pageNo=930", "Onsemi")</f>
        <v>Onsemi</v>
      </c>
      <c r="C10367" s="6">
        <v>7012</v>
      </c>
      <c r="D10367" s="7">
        <v>1.21</v>
      </c>
      <c r="E10367" t="s">
        <v>16</v>
      </c>
    </row>
    <row r="10368" spans="1:5" x14ac:dyDescent="0.25">
      <c r="A10368" t="str">
        <f>HYPERLINK("https://www.773grp.com/globalSearch/MC74AC157NG/page-1", "MC74AC157NG")</f>
        <v>MC74AC157NG</v>
      </c>
      <c r="B10368" s="3" t="str">
        <f>HYPERLINK("https://www.773grp.com/manufacturer/onsemi?pageNo=931", "Onsemi")</f>
        <v>Onsemi</v>
      </c>
      <c r="C10368" s="6">
        <v>7075</v>
      </c>
      <c r="D10368" s="7">
        <v>1.21</v>
      </c>
      <c r="E10368" t="s">
        <v>16</v>
      </c>
    </row>
    <row r="10369" spans="1:5" x14ac:dyDescent="0.25">
      <c r="A10369" t="str">
        <f>HYPERLINK("https://www.773grp.com/globalSearch/MC74AC161NG/page-1", "MC74AC161NG")</f>
        <v>MC74AC161NG</v>
      </c>
      <c r="B10369" s="3" t="str">
        <f>HYPERLINK("https://www.773grp.com/manufacturer/onsemi?pageNo=932", "Onsemi")</f>
        <v>Onsemi</v>
      </c>
      <c r="C10369" s="6">
        <v>3651</v>
      </c>
      <c r="D10369" s="7">
        <v>1.21</v>
      </c>
      <c r="E10369" t="s">
        <v>22</v>
      </c>
    </row>
    <row r="10370" spans="1:5" x14ac:dyDescent="0.25">
      <c r="A10370" t="str">
        <f>HYPERLINK("https://www.773grp.com/globalSearch/MC74AC244N/page-1", "MC74AC244N")</f>
        <v>MC74AC244N</v>
      </c>
      <c r="B10370" s="3" t="str">
        <f>HYPERLINK("https://www.773grp.com/manufacturer/onsemi?pageNo=933", "Onsemi")</f>
        <v>Onsemi</v>
      </c>
      <c r="C10370" s="6">
        <v>7410</v>
      </c>
      <c r="D10370" s="7">
        <v>1.21</v>
      </c>
    </row>
    <row r="10371" spans="1:5" x14ac:dyDescent="0.25">
      <c r="A10371" t="str">
        <f>HYPERLINK("https://www.773grp.com/globalSearch/MC74ACT157NG/page-1", "MC74ACT157NG")</f>
        <v>MC74ACT157NG</v>
      </c>
      <c r="B10371" s="3" t="str">
        <f>HYPERLINK("https://www.773grp.com/manufacturer/onsemi?pageNo=934", "Onsemi")</f>
        <v>Onsemi</v>
      </c>
      <c r="C10371" s="6">
        <v>9175</v>
      </c>
      <c r="D10371" s="7">
        <v>1.21</v>
      </c>
      <c r="E10371" t="s">
        <v>16</v>
      </c>
    </row>
    <row r="10372" spans="1:5" x14ac:dyDescent="0.25">
      <c r="A10372" t="str">
        <f>HYPERLINK("https://www.773grp.com/globalSearch/MC74ACT158D/page-1", "MC74ACT158D")</f>
        <v>MC74ACT158D</v>
      </c>
      <c r="B10372" s="3" t="str">
        <f>HYPERLINK("https://www.773grp.com/manufacturer/onsemi?pageNo=935", "Onsemi")</f>
        <v>Onsemi</v>
      </c>
      <c r="C10372" s="6">
        <v>38</v>
      </c>
      <c r="D10372" s="7">
        <v>1.21</v>
      </c>
      <c r="E10372" t="s">
        <v>16</v>
      </c>
    </row>
    <row r="10373" spans="1:5" x14ac:dyDescent="0.25">
      <c r="A10373" t="str">
        <f>HYPERLINK("https://www.773grp.com/globalSearch/MC74ACT158DR2/page-1", "MC74ACT158DR2")</f>
        <v>MC74ACT158DR2</v>
      </c>
      <c r="B10373" s="3" t="str">
        <f>HYPERLINK("https://www.773grp.com/manufacturer/onsemi?pageNo=936", "Onsemi")</f>
        <v>Onsemi</v>
      </c>
      <c r="C10373" s="6">
        <v>5000</v>
      </c>
      <c r="D10373" s="7">
        <v>1.21</v>
      </c>
      <c r="E10373" t="s">
        <v>16</v>
      </c>
    </row>
    <row r="10374" spans="1:5" x14ac:dyDescent="0.25">
      <c r="A10374" t="str">
        <f>HYPERLINK("https://www.773grp.com/globalSearch/MC74ACT158M/page-1", "MC74ACT158M")</f>
        <v>MC74ACT158M</v>
      </c>
      <c r="B10374" s="3" t="str">
        <f>HYPERLINK("https://www.773grp.com/manufacturer/onsemi?pageNo=937", "Onsemi")</f>
        <v>Onsemi</v>
      </c>
      <c r="C10374" s="6">
        <v>837</v>
      </c>
      <c r="D10374" s="7">
        <v>1.21</v>
      </c>
    </row>
    <row r="10375" spans="1:5" x14ac:dyDescent="0.25">
      <c r="A10375" t="str">
        <f>HYPERLINK("https://www.773grp.com/globalSearch/MC74ACT161NG/page-1", "MC74ACT161NG")</f>
        <v>MC74ACT161NG</v>
      </c>
      <c r="B10375" s="3" t="str">
        <f>HYPERLINK("https://www.773grp.com/manufacturer/onsemi?pageNo=938", "Onsemi")</f>
        <v>Onsemi</v>
      </c>
      <c r="C10375" s="6">
        <v>8690</v>
      </c>
      <c r="D10375" s="7">
        <v>1.21</v>
      </c>
      <c r="E10375" t="s">
        <v>22</v>
      </c>
    </row>
    <row r="10376" spans="1:5" x14ac:dyDescent="0.25">
      <c r="A10376" t="str">
        <f>HYPERLINK("https://www.773grp.com/globalSearch/MC74HC165AFG/page-1", "MC74HC165AFG")</f>
        <v>MC74HC165AFG</v>
      </c>
      <c r="B10376" s="3" t="str">
        <f>HYPERLINK("https://www.773grp.com/manufacturer/onsemi?pageNo=939", "Onsemi")</f>
        <v>Onsemi</v>
      </c>
      <c r="C10376" s="6">
        <v>40</v>
      </c>
      <c r="D10376" s="7">
        <v>1.21</v>
      </c>
    </row>
    <row r="10377" spans="1:5" x14ac:dyDescent="0.25">
      <c r="A10377" t="str">
        <f>HYPERLINK("https://www.773grp.com/globalSearch/MC74HC4040AFELG/page-1", "MC74HC4040AFELG")</f>
        <v>MC74HC4040AFELG</v>
      </c>
      <c r="B10377" s="3" t="str">
        <f>HYPERLINK("https://www.773grp.com/manufacturer/onsemi?pageNo=940", "Onsemi")</f>
        <v>Onsemi</v>
      </c>
      <c r="C10377" s="6">
        <v>7542</v>
      </c>
      <c r="D10377" s="7">
        <v>1.21</v>
      </c>
      <c r="E10377" t="s">
        <v>22</v>
      </c>
    </row>
    <row r="10378" spans="1:5" x14ac:dyDescent="0.25">
      <c r="A10378" t="str">
        <f>HYPERLINK("https://www.773grp.com/globalSearch/MC74HC4040AFG/page-1", "MC74HC4040AFG")</f>
        <v>MC74HC4040AFG</v>
      </c>
      <c r="B10378" s="3" t="str">
        <f>HYPERLINK("https://www.773grp.com/manufacturer/onsemi?pageNo=941", "Onsemi")</f>
        <v>Onsemi</v>
      </c>
      <c r="C10378" s="6">
        <v>7640</v>
      </c>
      <c r="D10378" s="7">
        <v>1.21</v>
      </c>
      <c r="E10378" t="s">
        <v>22</v>
      </c>
    </row>
    <row r="10379" spans="1:5" x14ac:dyDescent="0.25">
      <c r="A10379" t="str">
        <f>HYPERLINK("https://www.773grp.com/globalSearch/MC74HC4051AFELG/page-1", "MC74HC4051AFELG")</f>
        <v>MC74HC4051AFELG</v>
      </c>
      <c r="B10379" s="3" t="str">
        <f>HYPERLINK("https://www.773grp.com/manufacturer/onsemi?pageNo=942", "Onsemi")</f>
        <v>Onsemi</v>
      </c>
      <c r="C10379" s="6">
        <v>9650</v>
      </c>
      <c r="D10379" s="7">
        <v>1.21</v>
      </c>
    </row>
    <row r="10380" spans="1:5" x14ac:dyDescent="0.25">
      <c r="A10380" t="str">
        <f>HYPERLINK("https://www.773grp.com/globalSearch/MC74HC4052AFELG/page-1", "MC74HC4052AFELG")</f>
        <v>MC74HC4052AFELG</v>
      </c>
      <c r="B10380" s="3" t="str">
        <f>HYPERLINK("https://www.773grp.com/manufacturer/onsemi?pageNo=943", "Onsemi")</f>
        <v>Onsemi</v>
      </c>
      <c r="C10380" s="6">
        <v>3986</v>
      </c>
      <c r="D10380" s="7">
        <v>1.21</v>
      </c>
      <c r="E10380" t="s">
        <v>46</v>
      </c>
    </row>
    <row r="10381" spans="1:5" x14ac:dyDescent="0.25">
      <c r="A10381" t="str">
        <f>HYPERLINK("https://www.773grp.com/globalSearch/MC74HC4052AFG/page-1", "MC74HC4052AFG")</f>
        <v>MC74HC4052AFG</v>
      </c>
      <c r="B10381" s="3" t="str">
        <f>HYPERLINK("https://www.773grp.com/manufacturer/onsemi?pageNo=944", "Onsemi")</f>
        <v>Onsemi</v>
      </c>
      <c r="C10381" s="6">
        <v>4726</v>
      </c>
      <c r="D10381" s="7">
        <v>1.21</v>
      </c>
      <c r="E10381" t="s">
        <v>46</v>
      </c>
    </row>
    <row r="10382" spans="1:5" x14ac:dyDescent="0.25">
      <c r="A10382" t="str">
        <f>HYPERLINK("https://www.773grp.com/globalSearch/MC74HC4053AFG/page-1", "MC74HC4053AFG")</f>
        <v>MC74HC4053AFG</v>
      </c>
      <c r="B10382" s="3" t="str">
        <f>HYPERLINK("https://www.773grp.com/manufacturer/onsemi?pageNo=945", "Onsemi")</f>
        <v>Onsemi</v>
      </c>
      <c r="C10382" s="6">
        <v>248</v>
      </c>
      <c r="D10382" s="7">
        <v>1.21</v>
      </c>
      <c r="E10382" t="s">
        <v>46</v>
      </c>
    </row>
    <row r="10383" spans="1:5" x14ac:dyDescent="0.25">
      <c r="A10383" t="str">
        <f>HYPERLINK("https://www.773grp.com/globalSearch/MC74HC4060AFELG/page-1", "MC74HC4060AFELG")</f>
        <v>MC74HC4060AFELG</v>
      </c>
      <c r="B10383" s="3" t="str">
        <f>HYPERLINK("https://www.773grp.com/manufacturer/onsemi?pageNo=946", "Onsemi")</f>
        <v>Onsemi</v>
      </c>
      <c r="C10383" s="6">
        <v>17268</v>
      </c>
      <c r="D10383" s="7">
        <v>1.21</v>
      </c>
      <c r="E10383" t="s">
        <v>22</v>
      </c>
    </row>
    <row r="10384" spans="1:5" x14ac:dyDescent="0.25">
      <c r="A10384" t="str">
        <f>HYPERLINK("https://www.773grp.com/globalSearch/MC74HC4538AFELG/page-1", "MC74HC4538AFELG")</f>
        <v>MC74HC4538AFELG</v>
      </c>
      <c r="B10384" s="3" t="str">
        <f>HYPERLINK("https://www.773grp.com/manufacturer/onsemi?pageNo=947", "Onsemi")</f>
        <v>Onsemi</v>
      </c>
      <c r="C10384" s="6">
        <v>6000</v>
      </c>
      <c r="D10384" s="7">
        <v>1.21</v>
      </c>
      <c r="E10384" t="s">
        <v>44</v>
      </c>
    </row>
    <row r="10385" spans="1:5" x14ac:dyDescent="0.25">
      <c r="A10385" t="str">
        <f>HYPERLINK("https://www.773grp.com/globalSearch/MC74HC4538AFG/page-1", "MC74HC4538AFG")</f>
        <v>MC74HC4538AFG</v>
      </c>
      <c r="B10385" s="3" t="str">
        <f>HYPERLINK("https://www.773grp.com/manufacturer/onsemi?pageNo=948", "Onsemi")</f>
        <v>Onsemi</v>
      </c>
      <c r="C10385" s="6">
        <v>2238</v>
      </c>
      <c r="D10385" s="7">
        <v>1.21</v>
      </c>
      <c r="E10385" t="s">
        <v>44</v>
      </c>
    </row>
    <row r="10386" spans="1:5" x14ac:dyDescent="0.25">
      <c r="A10386" t="str">
        <f>HYPERLINK("https://www.773grp.com/globalSearch/MC74HCT573AF/page-1", "MC74HCT573AF")</f>
        <v>MC74HCT573AF</v>
      </c>
      <c r="B10386" s="3" t="str">
        <f>HYPERLINK("https://www.773grp.com/manufacturer/onsemi?pageNo=949", "Onsemi")</f>
        <v>Onsemi</v>
      </c>
      <c r="C10386" s="6">
        <v>4320</v>
      </c>
      <c r="D10386" s="7">
        <v>1.21</v>
      </c>
    </row>
    <row r="10387" spans="1:5" x14ac:dyDescent="0.25">
      <c r="A10387" t="str">
        <f>HYPERLINK("https://www.773grp.com/globalSearch/MC74VHC595DR2G/page-1", "MC74VHC595DR2G")</f>
        <v>MC74VHC595DR2G</v>
      </c>
      <c r="B10387" s="3" t="str">
        <f>HYPERLINK("https://www.773grp.com/manufacturer/onsemi?pageNo=950", "Onsemi")</f>
        <v>Onsemi</v>
      </c>
      <c r="C10387" s="6">
        <v>57784</v>
      </c>
      <c r="D10387" s="7">
        <v>1.21</v>
      </c>
      <c r="E10387" t="s">
        <v>28</v>
      </c>
    </row>
    <row r="10388" spans="1:5" x14ac:dyDescent="0.25">
      <c r="A10388" t="str">
        <f>HYPERLINK("https://www.773grp.com/globalSearch/MC74VHC595DTR2G/page-1", "MC74VHC595DTR2G")</f>
        <v>MC74VHC595DTR2G</v>
      </c>
      <c r="B10388" s="3" t="str">
        <f>HYPERLINK("https://www.773grp.com/manufacturer/onsemi?pageNo=951", "Onsemi")</f>
        <v>Onsemi</v>
      </c>
      <c r="C10388" s="6">
        <v>3096</v>
      </c>
      <c r="D10388" s="7">
        <v>1.21</v>
      </c>
    </row>
    <row r="10389" spans="1:5" x14ac:dyDescent="0.25">
      <c r="A10389" t="str">
        <f>HYPERLINK("https://www.773grp.com/globalSearch/MC7660DR2/page-1", "MC7660DR2")</f>
        <v>MC7660DR2</v>
      </c>
      <c r="B10389" s="3" t="str">
        <f>HYPERLINK("https://www.773grp.com/manufacturer/onsemi?pageNo=952", "Onsemi")</f>
        <v>Onsemi</v>
      </c>
      <c r="C10389" s="6">
        <v>1779478</v>
      </c>
      <c r="D10389" s="7">
        <v>1.21</v>
      </c>
      <c r="E10389" t="s">
        <v>5</v>
      </c>
    </row>
    <row r="10390" spans="1:5" x14ac:dyDescent="0.25">
      <c r="A10390" t="str">
        <f>HYPERLINK("https://www.773grp.com/globalSearch/MC78M05ABDTG/page-1", "MC78M05ABDTG")</f>
        <v>MC78M05ABDTG</v>
      </c>
      <c r="B10390" s="3" t="str">
        <f>HYPERLINK("https://www.773grp.com/manufacturer/onsemi?pageNo=953", "Onsemi")</f>
        <v>Onsemi</v>
      </c>
      <c r="C10390" s="6">
        <v>4486</v>
      </c>
      <c r="D10390" s="7">
        <v>1.21</v>
      </c>
      <c r="E10390" t="s">
        <v>24</v>
      </c>
    </row>
    <row r="10391" spans="1:5" x14ac:dyDescent="0.25">
      <c r="A10391" t="str">
        <f>HYPERLINK("https://www.773grp.com/globalSearch/MC78M05ABDTRKG/page-1", "MC78M05ABDTRKG")</f>
        <v>MC78M05ABDTRKG</v>
      </c>
      <c r="B10391" s="3" t="str">
        <f>HYPERLINK("https://www.773grp.com/manufacturer/onsemi?pageNo=954", "Onsemi")</f>
        <v>Onsemi</v>
      </c>
      <c r="C10391" s="6">
        <v>19830</v>
      </c>
      <c r="D10391" s="7">
        <v>1.21</v>
      </c>
      <c r="E10391" t="s">
        <v>24</v>
      </c>
    </row>
    <row r="10392" spans="1:5" x14ac:dyDescent="0.25">
      <c r="A10392" t="str">
        <f>HYPERLINK("https://www.773grp.com/globalSearch/MC78M05CTG/page-1", "MC78M05CTG")</f>
        <v>MC78M05CTG</v>
      </c>
      <c r="B10392" s="3" t="str">
        <f>HYPERLINK("https://www.773grp.com/manufacturer/onsemi?pageNo=955", "Onsemi")</f>
        <v>Onsemi</v>
      </c>
      <c r="C10392" s="6">
        <v>22976</v>
      </c>
      <c r="D10392" s="7">
        <v>1.21</v>
      </c>
      <c r="E10392" t="s">
        <v>24</v>
      </c>
    </row>
    <row r="10393" spans="1:5" x14ac:dyDescent="0.25">
      <c r="A10393" t="str">
        <f>HYPERLINK("https://www.773grp.com/globalSearch/MC78M06CTG/page-1", "MC78M06CTG")</f>
        <v>MC78M06CTG</v>
      </c>
      <c r="B10393" s="3" t="str">
        <f>HYPERLINK("https://www.773grp.com/manufacturer/onsemi?pageNo=956", "Onsemi")</f>
        <v>Onsemi</v>
      </c>
      <c r="C10393" s="6">
        <v>9212</v>
      </c>
      <c r="D10393" s="7">
        <v>1.21</v>
      </c>
      <c r="E10393" t="s">
        <v>24</v>
      </c>
    </row>
    <row r="10394" spans="1:5" x14ac:dyDescent="0.25">
      <c r="A10394" t="str">
        <f>HYPERLINK("https://www.773grp.com/globalSearch/MC78M08ABDTG/page-1", "MC78M08ABDTG")</f>
        <v>MC78M08ABDTG</v>
      </c>
      <c r="B10394" s="3" t="str">
        <f>HYPERLINK("https://www.773grp.com/manufacturer/onsemi?pageNo=957", "Onsemi")</f>
        <v>Onsemi</v>
      </c>
      <c r="C10394" s="6">
        <v>1305</v>
      </c>
      <c r="D10394" s="7">
        <v>1.21</v>
      </c>
      <c r="E10394" t="s">
        <v>24</v>
      </c>
    </row>
    <row r="10395" spans="1:5" x14ac:dyDescent="0.25">
      <c r="A10395" t="str">
        <f>HYPERLINK("https://www.773grp.com/globalSearch/MC78M08ABDTRKG/page-1", "MC78M08ABDTRKG")</f>
        <v>MC78M08ABDTRKG</v>
      </c>
      <c r="B10395" s="3" t="str">
        <f>HYPERLINK("https://www.773grp.com/manufacturer/onsemi?pageNo=958", "Onsemi")</f>
        <v>Onsemi</v>
      </c>
      <c r="C10395" s="6">
        <v>90000</v>
      </c>
      <c r="D10395" s="7">
        <v>1.21</v>
      </c>
      <c r="E10395" t="s">
        <v>24</v>
      </c>
    </row>
    <row r="10396" spans="1:5" x14ac:dyDescent="0.25">
      <c r="A10396" t="str">
        <f>HYPERLINK("https://www.773grp.com/globalSearch/MC78M08CTG/page-1", "MC78M08CTG")</f>
        <v>MC78M08CTG</v>
      </c>
      <c r="B10396" s="3" t="str">
        <f>HYPERLINK("https://www.773grp.com/manufacturer/onsemi?pageNo=959", "Onsemi")</f>
        <v>Onsemi</v>
      </c>
      <c r="C10396" s="6">
        <v>126250</v>
      </c>
      <c r="D10396" s="7">
        <v>1.21</v>
      </c>
      <c r="E10396" t="s">
        <v>24</v>
      </c>
    </row>
    <row r="10397" spans="1:5" x14ac:dyDescent="0.25">
      <c r="A10397" t="str">
        <f>HYPERLINK("https://www.773grp.com/globalSearch/MC78M09CTG/page-1", "MC78M09CTG")</f>
        <v>MC78M09CTG</v>
      </c>
      <c r="B10397" s="3" t="str">
        <f>HYPERLINK("https://www.773grp.com/manufacturer/onsemi?pageNo=960", "Onsemi")</f>
        <v>Onsemi</v>
      </c>
      <c r="C10397" s="6">
        <v>61000</v>
      </c>
      <c r="D10397" s="7">
        <v>1.21</v>
      </c>
      <c r="E10397" t="s">
        <v>24</v>
      </c>
    </row>
    <row r="10398" spans="1:5" x14ac:dyDescent="0.25">
      <c r="A10398" t="str">
        <f>HYPERLINK("https://www.773grp.com/globalSearch/MC78M12ABDT/page-1", "MC78M12ABDT")</f>
        <v>MC78M12ABDT</v>
      </c>
      <c r="B10398" s="3" t="str">
        <f>HYPERLINK("https://www.773grp.com/manufacturer/onsemi?pageNo=961", "Onsemi")</f>
        <v>Onsemi</v>
      </c>
      <c r="C10398" s="6">
        <v>1282</v>
      </c>
      <c r="D10398" s="7">
        <v>1.21</v>
      </c>
      <c r="E10398" t="s">
        <v>24</v>
      </c>
    </row>
    <row r="10399" spans="1:5" x14ac:dyDescent="0.25">
      <c r="A10399" t="str">
        <f>HYPERLINK("https://www.773grp.com/globalSearch/MC78M12ABDTG/page-1", "MC78M12ABDTG")</f>
        <v>MC78M12ABDTG</v>
      </c>
      <c r="B10399" s="3" t="str">
        <f>HYPERLINK("https://www.773grp.com/manufacturer/onsemi?pageNo=962", "Onsemi")</f>
        <v>Onsemi</v>
      </c>
      <c r="C10399" s="6">
        <v>2400</v>
      </c>
      <c r="D10399" s="7">
        <v>1.21</v>
      </c>
      <c r="E10399" t="s">
        <v>24</v>
      </c>
    </row>
    <row r="10400" spans="1:5" x14ac:dyDescent="0.25">
      <c r="A10400" t="str">
        <f>HYPERLINK("https://www.773grp.com/globalSearch/MC78M12ABDTRKG/page-1", "MC78M12ABDTRKG")</f>
        <v>MC78M12ABDTRKG</v>
      </c>
      <c r="B10400" s="3" t="str">
        <f>HYPERLINK("https://www.773grp.com/manufacturer/onsemi?pageNo=963", "Onsemi")</f>
        <v>Onsemi</v>
      </c>
      <c r="C10400" s="6">
        <v>143900</v>
      </c>
      <c r="D10400" s="7">
        <v>1.21</v>
      </c>
      <c r="E10400" t="s">
        <v>24</v>
      </c>
    </row>
    <row r="10401" spans="1:5" x14ac:dyDescent="0.25">
      <c r="A10401" t="str">
        <f>HYPERLINK("https://www.773grp.com/globalSearch/MC78M12CTG/page-1", "MC78M12CTG")</f>
        <v>MC78M12CTG</v>
      </c>
      <c r="B10401" s="3" t="str">
        <f>HYPERLINK("https://www.773grp.com/manufacturer/onsemi?pageNo=964", "Onsemi")</f>
        <v>Onsemi</v>
      </c>
      <c r="C10401" s="6">
        <v>33410</v>
      </c>
      <c r="D10401" s="7">
        <v>1.21</v>
      </c>
      <c r="E10401" t="s">
        <v>24</v>
      </c>
    </row>
    <row r="10402" spans="1:5" x14ac:dyDescent="0.25">
      <c r="A10402" t="str">
        <f>HYPERLINK("https://www.773grp.com/globalSearch/MC78M15ABDTG/page-1", "MC78M15ABDTG")</f>
        <v>MC78M15ABDTG</v>
      </c>
      <c r="B10402" s="3" t="str">
        <f>HYPERLINK("https://www.773grp.com/manufacturer/onsemi?pageNo=965", "Onsemi")</f>
        <v>Onsemi</v>
      </c>
      <c r="C10402" s="6">
        <v>6491</v>
      </c>
      <c r="D10402" s="7">
        <v>1.21</v>
      </c>
      <c r="E10402" t="s">
        <v>24</v>
      </c>
    </row>
    <row r="10403" spans="1:5" x14ac:dyDescent="0.25">
      <c r="A10403" t="str">
        <f>HYPERLINK("https://www.773grp.com/globalSearch/MC78M15ABDTRKG/page-1", "MC78M15ABDTRKG")</f>
        <v>MC78M15ABDTRKG</v>
      </c>
      <c r="B10403" s="3" t="str">
        <f>HYPERLINK("https://www.773grp.com/manufacturer/onsemi?pageNo=966", "Onsemi")</f>
        <v>Onsemi</v>
      </c>
      <c r="C10403" s="6">
        <v>7410</v>
      </c>
      <c r="D10403" s="7">
        <v>1.21</v>
      </c>
      <c r="E10403" t="s">
        <v>24</v>
      </c>
    </row>
    <row r="10404" spans="1:5" x14ac:dyDescent="0.25">
      <c r="A10404" t="str">
        <f>HYPERLINK("https://www.773grp.com/globalSearch/MC78M15CTG/page-1", "MC78M15CTG")</f>
        <v>MC78M15CTG</v>
      </c>
      <c r="B10404" s="3" t="str">
        <f>HYPERLINK("https://www.773grp.com/manufacturer/onsemi?pageNo=967", "Onsemi")</f>
        <v>Onsemi</v>
      </c>
      <c r="C10404" s="6">
        <v>10550</v>
      </c>
      <c r="D10404" s="7">
        <v>1.21</v>
      </c>
      <c r="E10404" t="s">
        <v>24</v>
      </c>
    </row>
    <row r="10405" spans="1:5" x14ac:dyDescent="0.25">
      <c r="A10405" t="str">
        <f>HYPERLINK("https://www.773grp.com/globalSearch/MC78M18CTG/page-1", "MC78M18CTG")</f>
        <v>MC78M18CTG</v>
      </c>
      <c r="B10405" s="3" t="str">
        <f>HYPERLINK("https://www.773grp.com/manufacturer/onsemi?pageNo=968", "Onsemi")</f>
        <v>Onsemi</v>
      </c>
      <c r="C10405" s="6">
        <v>4300</v>
      </c>
      <c r="D10405" s="7">
        <v>1.21</v>
      </c>
      <c r="E10405" t="s">
        <v>24</v>
      </c>
    </row>
    <row r="10406" spans="1:5" x14ac:dyDescent="0.25">
      <c r="A10406" t="str">
        <f>HYPERLINK("https://www.773grp.com/globalSearch/MC78M20CTG/page-1", "MC78M20CTG")</f>
        <v>MC78M20CTG</v>
      </c>
      <c r="B10406" s="3" t="str">
        <f>HYPERLINK("https://www.773grp.com/manufacturer/onsemi?pageNo=969", "Onsemi")</f>
        <v>Onsemi</v>
      </c>
      <c r="C10406" s="6">
        <v>10788</v>
      </c>
      <c r="D10406" s="7">
        <v>1.21</v>
      </c>
      <c r="E10406" t="s">
        <v>24</v>
      </c>
    </row>
    <row r="10407" spans="1:5" x14ac:dyDescent="0.25">
      <c r="A10407" t="str">
        <f>HYPERLINK("https://www.773grp.com/globalSearch/MC78M24CTG/page-1", "MC78M24CTG")</f>
        <v>MC78M24CTG</v>
      </c>
      <c r="B10407" s="3" t="str">
        <f>HYPERLINK("https://www.773grp.com/manufacturer/onsemi?pageNo=970", "Onsemi")</f>
        <v>Onsemi</v>
      </c>
      <c r="C10407" s="6">
        <v>23281</v>
      </c>
      <c r="D10407" s="7">
        <v>1.21</v>
      </c>
      <c r="E10407" t="s">
        <v>24</v>
      </c>
    </row>
    <row r="10408" spans="1:5" x14ac:dyDescent="0.25">
      <c r="A10408" t="str">
        <f>HYPERLINK("https://www.773grp.com/globalSearch/MC79M05CTG/page-1", "MC79M05CTG")</f>
        <v>MC79M05CTG</v>
      </c>
      <c r="B10408" s="3" t="str">
        <f>HYPERLINK("https://www.773grp.com/manufacturer/onsemi?pageNo=971", "Onsemi")</f>
        <v>Onsemi</v>
      </c>
      <c r="C10408" s="6">
        <v>30</v>
      </c>
      <c r="D10408" s="7">
        <v>1.21</v>
      </c>
      <c r="E10408" t="s">
        <v>53</v>
      </c>
    </row>
    <row r="10409" spans="1:5" x14ac:dyDescent="0.25">
      <c r="A10409" t="str">
        <f>HYPERLINK("https://www.773grp.com/globalSearch/MC79M08CTG/page-1", "MC79M08CTG")</f>
        <v>MC79M08CTG</v>
      </c>
      <c r="B10409" s="3" t="str">
        <f>HYPERLINK("https://www.773grp.com/manufacturer/onsemi?pageNo=972", "Onsemi")</f>
        <v>Onsemi</v>
      </c>
      <c r="C10409" s="6">
        <v>2100</v>
      </c>
      <c r="D10409" s="7">
        <v>1.21</v>
      </c>
      <c r="E10409" t="s">
        <v>53</v>
      </c>
    </row>
    <row r="10410" spans="1:5" x14ac:dyDescent="0.25">
      <c r="A10410" t="str">
        <f>HYPERLINK("https://www.773grp.com/globalSearch/MC79M12CTG/page-1", "MC79M12CTG")</f>
        <v>MC79M12CTG</v>
      </c>
      <c r="B10410" s="3" t="str">
        <f>HYPERLINK("https://www.773grp.com/manufacturer/onsemi?pageNo=973", "Onsemi")</f>
        <v>Onsemi</v>
      </c>
      <c r="C10410" s="6">
        <v>29474</v>
      </c>
      <c r="D10410" s="7">
        <v>1.21</v>
      </c>
      <c r="E10410" t="s">
        <v>53</v>
      </c>
    </row>
    <row r="10411" spans="1:5" x14ac:dyDescent="0.25">
      <c r="A10411" t="str">
        <f>HYPERLINK("https://www.773grp.com/globalSearch/MC79M15CTG/page-1", "MC79M15CTG")</f>
        <v>MC79M15CTG</v>
      </c>
      <c r="B10411" s="3" t="str">
        <f>HYPERLINK("https://www.773grp.com/manufacturer/onsemi?pageNo=974", "Onsemi")</f>
        <v>Onsemi</v>
      </c>
      <c r="C10411" s="6">
        <v>27450</v>
      </c>
      <c r="D10411" s="7">
        <v>1.21</v>
      </c>
      <c r="E10411" t="s">
        <v>53</v>
      </c>
    </row>
    <row r="10412" spans="1:5" x14ac:dyDescent="0.25">
      <c r="A10412" t="str">
        <f>HYPERLINK("https://www.773grp.com/globalSearch/MJD44E3T4G/page-1", "MJD44E3T4G")</f>
        <v>MJD44E3T4G</v>
      </c>
      <c r="B10412" s="3" t="str">
        <f>HYPERLINK("https://www.773grp.com/manufacturer/onsemi?pageNo=975", "Onsemi")</f>
        <v>Onsemi</v>
      </c>
      <c r="C10412" s="6">
        <v>11365</v>
      </c>
      <c r="D10412" s="7">
        <v>1.21</v>
      </c>
      <c r="E10412" t="s">
        <v>47</v>
      </c>
    </row>
    <row r="10413" spans="1:5" x14ac:dyDescent="0.25">
      <c r="A10413" t="str">
        <f>HYPERLINK("https://www.773grp.com/globalSearch/MJD45H11/page-1", "MJD45H11")</f>
        <v>MJD45H11</v>
      </c>
      <c r="B10413" s="3" t="str">
        <f>HYPERLINK("https://www.773grp.com/manufacturer/onsemi?pageNo=976", "Onsemi")</f>
        <v>Onsemi</v>
      </c>
      <c r="C10413" s="6">
        <v>650</v>
      </c>
      <c r="D10413" s="7">
        <v>1.21</v>
      </c>
      <c r="E10413" t="s">
        <v>47</v>
      </c>
    </row>
    <row r="10414" spans="1:5" x14ac:dyDescent="0.25">
      <c r="A10414" t="str">
        <f>HYPERLINK("https://www.773grp.com/globalSearch/MJD45H11-1G/page-1", "MJD45H11-1G")</f>
        <v>MJD45H11-1G</v>
      </c>
      <c r="B10414" s="3" t="str">
        <f>HYPERLINK("https://www.773grp.com/manufacturer/onsemi?pageNo=977", "Onsemi")</f>
        <v>Onsemi</v>
      </c>
      <c r="C10414" s="6">
        <v>750</v>
      </c>
      <c r="D10414" s="7">
        <v>1.21</v>
      </c>
      <c r="E10414" t="s">
        <v>47</v>
      </c>
    </row>
    <row r="10415" spans="1:5" x14ac:dyDescent="0.25">
      <c r="A10415" t="str">
        <f>HYPERLINK("https://www.773grp.com/globalSearch/MJD45H11G/page-1", "MJD45H11G")</f>
        <v>MJD45H11G</v>
      </c>
      <c r="B10415" s="3" t="str">
        <f>HYPERLINK("https://www.773grp.com/manufacturer/onsemi?pageNo=978", "Onsemi")</f>
        <v>Onsemi</v>
      </c>
      <c r="C10415" s="6">
        <v>157197</v>
      </c>
      <c r="D10415" s="7">
        <v>1.21</v>
      </c>
      <c r="E10415" t="s">
        <v>47</v>
      </c>
    </row>
    <row r="10416" spans="1:5" x14ac:dyDescent="0.25">
      <c r="A10416" t="str">
        <f>HYPERLINK("https://www.773grp.com/globalSearch/MJD5731T4G/page-1", "MJD5731T4G")</f>
        <v>MJD5731T4G</v>
      </c>
      <c r="B10416" s="3" t="str">
        <f>HYPERLINK("https://www.773grp.com/manufacturer/onsemi?pageNo=979", "Onsemi")</f>
        <v>Onsemi</v>
      </c>
      <c r="C10416" s="6">
        <v>4029</v>
      </c>
      <c r="D10416" s="7">
        <v>1.21</v>
      </c>
    </row>
    <row r="10417" spans="1:5" x14ac:dyDescent="0.25">
      <c r="A10417" t="str">
        <f>HYPERLINK("https://www.773grp.com/globalSearch/MJE371G/page-1", "MJE371G")</f>
        <v>MJE371G</v>
      </c>
      <c r="B10417" s="3" t="str">
        <f>HYPERLINK("https://www.773grp.com/manufacturer/onsemi?pageNo=980", "Onsemi")</f>
        <v>Onsemi</v>
      </c>
      <c r="C10417" s="6">
        <v>1948</v>
      </c>
      <c r="D10417" s="7">
        <v>1.21</v>
      </c>
    </row>
    <row r="10418" spans="1:5" x14ac:dyDescent="0.25">
      <c r="A10418" t="str">
        <f>HYPERLINK("https://www.773grp.com/globalSearch/MJE5730/page-1", "MJE5730")</f>
        <v>MJE5730</v>
      </c>
      <c r="B10418" s="3" t="str">
        <f>HYPERLINK("https://www.773grp.com/manufacturer/onsemi?pageNo=981", "Onsemi")</f>
        <v>Onsemi</v>
      </c>
      <c r="C10418" s="6">
        <v>1561</v>
      </c>
      <c r="D10418" s="7">
        <v>1.21</v>
      </c>
      <c r="E10418" t="s">
        <v>47</v>
      </c>
    </row>
    <row r="10419" spans="1:5" x14ac:dyDescent="0.25">
      <c r="A10419" t="str">
        <f>HYPERLINK("https://www.773grp.com/globalSearch/MJE800/page-1", "MJE800")</f>
        <v>MJE800</v>
      </c>
      <c r="B10419" s="3" t="str">
        <f>HYPERLINK("https://www.773grp.com/manufacturer/onsemi?pageNo=982", "Onsemi")</f>
        <v>Onsemi</v>
      </c>
      <c r="C10419" s="6">
        <v>7500</v>
      </c>
      <c r="D10419" s="7">
        <v>1.21</v>
      </c>
      <c r="E10419" t="s">
        <v>47</v>
      </c>
    </row>
    <row r="10420" spans="1:5" x14ac:dyDescent="0.25">
      <c r="A10420" t="str">
        <f>HYPERLINK("https://www.773grp.com/globalSearch/MJE800G/page-1", "MJE800G")</f>
        <v>MJE800G</v>
      </c>
      <c r="B10420" s="3" t="str">
        <f>HYPERLINK("https://www.773grp.com/manufacturer/onsemi?pageNo=983", "Onsemi")</f>
        <v>Onsemi</v>
      </c>
      <c r="C10420" s="6">
        <v>23808</v>
      </c>
      <c r="D10420" s="7">
        <v>1.21</v>
      </c>
      <c r="E10420" t="s">
        <v>47</v>
      </c>
    </row>
    <row r="10421" spans="1:5" x14ac:dyDescent="0.25">
      <c r="A10421" t="str">
        <f>HYPERLINK("https://www.773grp.com/globalSearch/MJE802G/page-1", "MJE802G")</f>
        <v>MJE802G</v>
      </c>
      <c r="B10421" s="3" t="str">
        <f>HYPERLINK("https://www.773grp.com/manufacturer/onsemi?pageNo=984", "Onsemi")</f>
        <v>Onsemi</v>
      </c>
      <c r="C10421" s="6">
        <v>24500</v>
      </c>
      <c r="D10421" s="7">
        <v>1.21</v>
      </c>
      <c r="E10421" t="s">
        <v>47</v>
      </c>
    </row>
    <row r="10422" spans="1:5" x14ac:dyDescent="0.25">
      <c r="A10422" t="str">
        <f>HYPERLINK("https://www.773grp.com/globalSearch/MJE803G/page-1", "MJE803G")</f>
        <v>MJE803G</v>
      </c>
      <c r="B10422" s="3" t="str">
        <f>HYPERLINK("https://www.773grp.com/manufacturer/onsemi?pageNo=985", "Onsemi")</f>
        <v>Onsemi</v>
      </c>
      <c r="C10422" s="6">
        <v>2485</v>
      </c>
      <c r="D10422" s="7">
        <v>1.21</v>
      </c>
    </row>
    <row r="10423" spans="1:5" x14ac:dyDescent="0.25">
      <c r="A10423" t="str">
        <f>HYPERLINK("https://www.773grp.com/globalSearch/MJF2955/page-1", "MJF2955")</f>
        <v>MJF2955</v>
      </c>
      <c r="B10423" s="3" t="str">
        <f>HYPERLINK("https://www.773grp.com/manufacturer/onsemi?pageNo=986", "Onsemi")</f>
        <v>Onsemi</v>
      </c>
      <c r="C10423" s="6">
        <v>13779</v>
      </c>
      <c r="D10423" s="7">
        <v>1.21</v>
      </c>
      <c r="E10423" t="s">
        <v>47</v>
      </c>
    </row>
    <row r="10424" spans="1:5" x14ac:dyDescent="0.25">
      <c r="A10424" t="str">
        <f>HYPERLINK("https://www.773grp.com/globalSearch/MJF3055/page-1", "MJF3055")</f>
        <v>MJF3055</v>
      </c>
      <c r="B10424" s="3" t="str">
        <f>HYPERLINK("https://www.773grp.com/manufacturer/onsemi?pageNo=987", "Onsemi")</f>
        <v>Onsemi</v>
      </c>
      <c r="C10424" s="6">
        <v>2857</v>
      </c>
      <c r="D10424" s="7">
        <v>1.21</v>
      </c>
      <c r="E10424" t="s">
        <v>47</v>
      </c>
    </row>
    <row r="10425" spans="1:5" x14ac:dyDescent="0.25">
      <c r="A10425" t="str">
        <f>HYPERLINK("https://www.773grp.com/globalSearch/MR2504/page-1", "MR2504")</f>
        <v>MR2504</v>
      </c>
      <c r="B10425" s="3" t="str">
        <f>HYPERLINK("https://www.773grp.com/manufacturer/onsemi?pageNo=988", "Onsemi")</f>
        <v>Onsemi</v>
      </c>
      <c r="C10425" s="6">
        <v>108782</v>
      </c>
      <c r="D10425" s="7">
        <v>1.21</v>
      </c>
      <c r="E10425" t="s">
        <v>82</v>
      </c>
    </row>
    <row r="10426" spans="1:5" x14ac:dyDescent="0.25">
      <c r="A10426" t="str">
        <f>HYPERLINK("https://www.773grp.com/globalSearch/MTSF3N02HDR2/page-1", "MTSF3N02HDR2")</f>
        <v>MTSF3N02HDR2</v>
      </c>
      <c r="B10426" s="3" t="str">
        <f>HYPERLINK("https://www.773grp.com/manufacturer/onsemi?pageNo=989", "Onsemi")</f>
        <v>Onsemi</v>
      </c>
      <c r="C10426" s="6">
        <v>188000</v>
      </c>
      <c r="D10426" s="7">
        <v>1.21</v>
      </c>
      <c r="E10426" t="s">
        <v>85</v>
      </c>
    </row>
    <row r="10427" spans="1:5" x14ac:dyDescent="0.25">
      <c r="A10427" t="str">
        <f>HYPERLINK("https://www.773grp.com/globalSearch/NCN9252MUTAG/page-1", "NCN9252MUTAG")</f>
        <v>NCN9252MUTAG</v>
      </c>
      <c r="B10427" s="3" t="str">
        <f>HYPERLINK("https://www.773grp.com/manufacturer/onsemi?pageNo=990", "Onsemi")</f>
        <v>Onsemi</v>
      </c>
      <c r="C10427" s="6">
        <v>2455</v>
      </c>
      <c r="D10427" s="7">
        <v>1.21</v>
      </c>
    </row>
    <row r="10428" spans="1:5" x14ac:dyDescent="0.25">
      <c r="A10428" t="str">
        <f>HYPERLINK("https://www.773grp.com/globalSearch/NCP1000P/page-1", "NCP1000P")</f>
        <v>NCP1000P</v>
      </c>
      <c r="B10428" s="3" t="str">
        <f>HYPERLINK("https://www.773grp.com/manufacturer/onsemi?pageNo=991", "Onsemi")</f>
        <v>Onsemi</v>
      </c>
      <c r="C10428" s="6">
        <v>86871</v>
      </c>
      <c r="D10428" s="7">
        <v>1.21</v>
      </c>
      <c r="E10428" t="s">
        <v>5</v>
      </c>
    </row>
    <row r="10429" spans="1:5" x14ac:dyDescent="0.25">
      <c r="A10429" t="str">
        <f>HYPERLINK("https://www.773grp.com/globalSearch/NCP1053P136/page-1", "NCP1053P136")</f>
        <v>NCP1053P136</v>
      </c>
      <c r="B10429" s="3" t="str">
        <f>HYPERLINK("https://www.773grp.com/manufacturer/onsemi?pageNo=992", "Onsemi")</f>
        <v>Onsemi</v>
      </c>
      <c r="C10429" s="6">
        <v>1342</v>
      </c>
      <c r="D10429" s="7">
        <v>1.21</v>
      </c>
      <c r="E10429" t="s">
        <v>5</v>
      </c>
    </row>
    <row r="10430" spans="1:5" x14ac:dyDescent="0.25">
      <c r="A10430" t="str">
        <f>HYPERLINK("https://www.773grp.com/globalSearch/NCP1054P100/page-1", "NCP1054P100")</f>
        <v>NCP1054P100</v>
      </c>
      <c r="B10430" s="3" t="str">
        <f>HYPERLINK("https://www.773grp.com/manufacturer/onsemi?pageNo=993", "Onsemi")</f>
        <v>Onsemi</v>
      </c>
      <c r="C10430" s="6">
        <v>4242</v>
      </c>
      <c r="D10430" s="7">
        <v>1.21</v>
      </c>
      <c r="E10430" t="s">
        <v>5</v>
      </c>
    </row>
    <row r="10431" spans="1:5" x14ac:dyDescent="0.25">
      <c r="A10431" t="str">
        <f>HYPERLINK("https://www.773grp.com/globalSearch/NCP1054P44/page-1", "NCP1054P44")</f>
        <v>NCP1054P44</v>
      </c>
      <c r="B10431" s="3" t="str">
        <f>HYPERLINK("https://www.773grp.com/manufacturer/onsemi?pageNo=994", "Onsemi")</f>
        <v>Onsemi</v>
      </c>
      <c r="C10431" s="6">
        <v>7000</v>
      </c>
      <c r="D10431" s="7">
        <v>1.21</v>
      </c>
      <c r="E10431" t="s">
        <v>5</v>
      </c>
    </row>
    <row r="10432" spans="1:5" x14ac:dyDescent="0.25">
      <c r="A10432" t="str">
        <f>HYPERLINK("https://www.773grp.com/globalSearch/NCP1055P44/page-1", "NCP1055P44")</f>
        <v>NCP1055P44</v>
      </c>
      <c r="B10432" s="3" t="str">
        <f>HYPERLINK("https://www.773grp.com/manufacturer/onsemi?pageNo=995", "Onsemi")</f>
        <v>Onsemi</v>
      </c>
      <c r="C10432" s="6">
        <v>1969</v>
      </c>
      <c r="D10432" s="7">
        <v>1.21</v>
      </c>
      <c r="E10432" t="s">
        <v>5</v>
      </c>
    </row>
    <row r="10433" spans="1:5" x14ac:dyDescent="0.25">
      <c r="A10433" t="str">
        <f>HYPERLINK("https://www.773grp.com/globalSearch/NCP1200AP40G/page-1", "NCP1200AP40G")</f>
        <v>NCP1200AP40G</v>
      </c>
      <c r="B10433" s="3" t="str">
        <f>HYPERLINK("https://www.773grp.com/manufacturer/onsemi?pageNo=996", "Onsemi")</f>
        <v>Onsemi</v>
      </c>
      <c r="C10433" s="6">
        <v>1700</v>
      </c>
      <c r="D10433" s="7">
        <v>1.21</v>
      </c>
      <c r="E10433" t="s">
        <v>5</v>
      </c>
    </row>
    <row r="10434" spans="1:5" x14ac:dyDescent="0.25">
      <c r="A10434" t="str">
        <f>HYPERLINK("https://www.773grp.com/globalSearch/NCP1215DR2G/page-1", "NCP1215DR2G")</f>
        <v>NCP1215DR2G</v>
      </c>
      <c r="B10434" s="3" t="str">
        <f>HYPERLINK("https://www.773grp.com/manufacturer/onsemi?pageNo=997", "Onsemi")</f>
        <v>Onsemi</v>
      </c>
      <c r="C10434" s="6">
        <v>160000</v>
      </c>
      <c r="D10434" s="7">
        <v>1.21</v>
      </c>
      <c r="E10434" t="s">
        <v>5</v>
      </c>
    </row>
    <row r="10435" spans="1:5" x14ac:dyDescent="0.25">
      <c r="A10435" t="str">
        <f>HYPERLINK("https://www.773grp.com/globalSearch/NCP1550SN18T1/page-1", "NCP1550SN18T1")</f>
        <v>NCP1550SN18T1</v>
      </c>
      <c r="B10435" s="3" t="str">
        <f>HYPERLINK("https://www.773grp.com/manufacturer/onsemi?pageNo=998", "Onsemi")</f>
        <v>Onsemi</v>
      </c>
      <c r="C10435" s="6">
        <v>1690</v>
      </c>
      <c r="D10435" s="7">
        <v>1.21</v>
      </c>
      <c r="E10435" t="s">
        <v>5</v>
      </c>
    </row>
    <row r="10436" spans="1:5" x14ac:dyDescent="0.25">
      <c r="A10436" t="str">
        <f>HYPERLINK("https://www.773grp.com/globalSearch/NCP1550SN19T1/page-1", "NCP1550SN19T1")</f>
        <v>NCP1550SN19T1</v>
      </c>
      <c r="B10436" s="3" t="str">
        <f>HYPERLINK("https://www.773grp.com/manufacturer/onsemi?pageNo=999", "Onsemi")</f>
        <v>Onsemi</v>
      </c>
      <c r="C10436" s="6">
        <v>1760</v>
      </c>
      <c r="D10436" s="7">
        <v>1.21</v>
      </c>
      <c r="E10436" t="s">
        <v>5</v>
      </c>
    </row>
    <row r="10437" spans="1:5" x14ac:dyDescent="0.25">
      <c r="A10437" t="str">
        <f>HYPERLINK("https://www.773grp.com/globalSearch/NCP1550SN19T1G/page-1", "NCP1550SN19T1G")</f>
        <v>NCP1550SN19T1G</v>
      </c>
      <c r="B10437" s="3" t="str">
        <f>HYPERLINK("https://www.773grp.com/manufacturer/onsemi?pageNo=1000", "Onsemi")</f>
        <v>Onsemi</v>
      </c>
      <c r="C10437" s="6">
        <v>7869</v>
      </c>
      <c r="D10437" s="7">
        <v>1.21</v>
      </c>
      <c r="E10437" t="s">
        <v>5</v>
      </c>
    </row>
    <row r="10438" spans="1:5" x14ac:dyDescent="0.25">
      <c r="A10438" t="str">
        <f>HYPERLINK("https://www.773grp.com/globalSearch/NCP1550SN27T1/page-1", "NCP1550SN27T1")</f>
        <v>NCP1550SN27T1</v>
      </c>
      <c r="B10438" s="3" t="str">
        <f>HYPERLINK("https://www.773grp.com/manufacturer/onsemi?pageNo=1001", "Onsemi")</f>
        <v>Onsemi</v>
      </c>
      <c r="C10438" s="6">
        <v>5970</v>
      </c>
      <c r="D10438" s="7">
        <v>1.21</v>
      </c>
      <c r="E10438" t="s">
        <v>5</v>
      </c>
    </row>
    <row r="10439" spans="1:5" x14ac:dyDescent="0.25">
      <c r="A10439" t="str">
        <f>HYPERLINK("https://www.773grp.com/globalSearch/NCP1550SN27T1G/page-1", "NCP1550SN27T1G")</f>
        <v>NCP1550SN27T1G</v>
      </c>
      <c r="B10439" s="3" t="str">
        <f>HYPERLINK("https://www.773grp.com/manufacturer/onsemi?pageNo=1002", "Onsemi")</f>
        <v>Onsemi</v>
      </c>
      <c r="C10439" s="6">
        <v>11970</v>
      </c>
      <c r="D10439" s="7">
        <v>1.21</v>
      </c>
      <c r="E10439" t="s">
        <v>5</v>
      </c>
    </row>
    <row r="10440" spans="1:5" x14ac:dyDescent="0.25">
      <c r="A10440" t="str">
        <f>HYPERLINK("https://www.773grp.com/globalSearch/NCP1550SN30T1G/page-1", "NCP1550SN30T1G")</f>
        <v>NCP1550SN30T1G</v>
      </c>
      <c r="B10440" s="3" t="str">
        <f>HYPERLINK("https://www.773grp.com/manufacturer/onsemi?pageNo=1003", "Onsemi")</f>
        <v>Onsemi</v>
      </c>
      <c r="C10440" s="6">
        <v>3000</v>
      </c>
      <c r="D10440" s="7">
        <v>1.21</v>
      </c>
      <c r="E10440" t="s">
        <v>5</v>
      </c>
    </row>
    <row r="10441" spans="1:5" x14ac:dyDescent="0.25">
      <c r="A10441" t="str">
        <f>HYPERLINK("https://www.773grp.com/globalSearch/NCP2820MUTBG/page-1", "NCP2820MUTBG")</f>
        <v>NCP2820MUTBG</v>
      </c>
      <c r="B10441" s="3" t="str">
        <f>HYPERLINK("https://www.773grp.com/manufacturer/onsemi?pageNo=1004", "Onsemi")</f>
        <v>Onsemi</v>
      </c>
      <c r="C10441" s="6">
        <v>30000</v>
      </c>
      <c r="D10441" s="7">
        <v>1.21</v>
      </c>
      <c r="E10441" t="s">
        <v>14</v>
      </c>
    </row>
    <row r="10442" spans="1:5" x14ac:dyDescent="0.25">
      <c r="A10442" t="str">
        <f>HYPERLINK("https://www.773grp.com/globalSearch/NCP3985SN18T1G/page-1", "NCP3985SN18T1G")</f>
        <v>NCP3985SN18T1G</v>
      </c>
      <c r="B10442" s="3" t="str">
        <f>HYPERLINK("https://www.773grp.com/manufacturer/onsemi?pageNo=1005", "Onsemi")</f>
        <v>Onsemi</v>
      </c>
      <c r="C10442" s="6">
        <v>47605</v>
      </c>
      <c r="D10442" s="7">
        <v>1.21</v>
      </c>
      <c r="E10442" t="s">
        <v>15</v>
      </c>
    </row>
    <row r="10443" spans="1:5" x14ac:dyDescent="0.25">
      <c r="A10443" t="str">
        <f>HYPERLINK("https://www.773grp.com/globalSearch/NCP3985SN275T1G/page-1", "NCP3985SN275T1G")</f>
        <v>NCP3985SN275T1G</v>
      </c>
      <c r="B10443" s="3" t="str">
        <f>HYPERLINK("https://www.773grp.com/manufacturer/onsemi?pageNo=1006", "Onsemi")</f>
        <v>Onsemi</v>
      </c>
      <c r="C10443" s="6">
        <v>15000</v>
      </c>
      <c r="D10443" s="7">
        <v>1.21</v>
      </c>
      <c r="E10443" t="s">
        <v>15</v>
      </c>
    </row>
    <row r="10444" spans="1:5" x14ac:dyDescent="0.25">
      <c r="A10444" t="str">
        <f>HYPERLINK("https://www.773grp.com/globalSearch/NCP3985SN28T1G/page-1", "NCP3985SN28T1G")</f>
        <v>NCP3985SN28T1G</v>
      </c>
      <c r="B10444" s="3" t="str">
        <f>HYPERLINK("https://www.773grp.com/manufacturer/onsemi?pageNo=1007", "Onsemi")</f>
        <v>Onsemi</v>
      </c>
      <c r="C10444" s="6">
        <v>20955</v>
      </c>
      <c r="D10444" s="7">
        <v>1.21</v>
      </c>
      <c r="E10444" t="s">
        <v>15</v>
      </c>
    </row>
    <row r="10445" spans="1:5" x14ac:dyDescent="0.25">
      <c r="A10445" t="str">
        <f>HYPERLINK("https://www.773grp.com/globalSearch/NCP3985SN30T1G/page-1", "NCP3985SN30T1G")</f>
        <v>NCP3985SN30T1G</v>
      </c>
      <c r="B10445" s="3" t="str">
        <f>HYPERLINK("https://www.773grp.com/manufacturer/onsemi?pageNo=1008", "Onsemi")</f>
        <v>Onsemi</v>
      </c>
      <c r="C10445" s="6">
        <v>35930</v>
      </c>
      <c r="D10445" s="7">
        <v>1.21</v>
      </c>
      <c r="E10445" t="s">
        <v>15</v>
      </c>
    </row>
    <row r="10446" spans="1:5" x14ac:dyDescent="0.25">
      <c r="A10446" t="str">
        <f>HYPERLINK("https://www.773grp.com/globalSearch/NCP5208DR2/page-1", "NCP5208DR2")</f>
        <v>NCP5208DR2</v>
      </c>
      <c r="B10446" s="3" t="str">
        <f>HYPERLINK("https://www.773grp.com/manufacturer/onsemi?pageNo=1009", "Onsemi")</f>
        <v>Onsemi</v>
      </c>
      <c r="C10446" s="6">
        <v>4863</v>
      </c>
      <c r="D10446" s="7">
        <v>1.21</v>
      </c>
      <c r="E10446" t="s">
        <v>20</v>
      </c>
    </row>
    <row r="10447" spans="1:5" x14ac:dyDescent="0.25">
      <c r="A10447" t="str">
        <f>HYPERLINK("https://www.773grp.com/globalSearch/NCP5359AMNTBG/page-1", "NCP5359AMNTBG")</f>
        <v>NCP5359AMNTBG</v>
      </c>
      <c r="B10447" s="3" t="str">
        <f>HYPERLINK("https://www.773grp.com/manufacturer/onsemi?pageNo=1010", "Onsemi")</f>
        <v>Onsemi</v>
      </c>
      <c r="C10447" s="6">
        <v>39000</v>
      </c>
      <c r="D10447" s="7">
        <v>1.21</v>
      </c>
    </row>
    <row r="10448" spans="1:5" x14ac:dyDescent="0.25">
      <c r="A10448" t="str">
        <f>HYPERLINK("https://www.773grp.com/globalSearch/NCP582DXV15T2G/page-1", "NCP582DXV15T2G")</f>
        <v>NCP582DXV15T2G</v>
      </c>
      <c r="B10448" s="3" t="str">
        <f>HYPERLINK("https://www.773grp.com/manufacturer/onsemi?pageNo=1011", "Onsemi")</f>
        <v>Onsemi</v>
      </c>
      <c r="C10448" s="6">
        <v>8000</v>
      </c>
      <c r="D10448" s="7">
        <v>1.21</v>
      </c>
      <c r="E10448" t="s">
        <v>15</v>
      </c>
    </row>
    <row r="10449" spans="1:5" x14ac:dyDescent="0.25">
      <c r="A10449" t="str">
        <f>HYPERLINK("https://www.773grp.com/globalSearch/NCP582DXV18T2G/page-1", "NCP582DXV18T2G")</f>
        <v>NCP582DXV18T2G</v>
      </c>
      <c r="B10449" s="3" t="str">
        <f>HYPERLINK("https://www.773grp.com/manufacturer/onsemi?pageNo=1012", "Onsemi")</f>
        <v>Onsemi</v>
      </c>
      <c r="C10449" s="6">
        <v>315915</v>
      </c>
      <c r="D10449" s="7">
        <v>1.21</v>
      </c>
      <c r="E10449" t="s">
        <v>15</v>
      </c>
    </row>
    <row r="10450" spans="1:5" x14ac:dyDescent="0.25">
      <c r="A10450" t="str">
        <f>HYPERLINK("https://www.773grp.com/globalSearch/NCP582DXV25T2G/page-1", "NCP582DXV25T2G")</f>
        <v>NCP582DXV25T2G</v>
      </c>
      <c r="B10450" s="3" t="str">
        <f>HYPERLINK("https://www.773grp.com/manufacturer/onsemi?pageNo=1013", "Onsemi")</f>
        <v>Onsemi</v>
      </c>
      <c r="C10450" s="6">
        <v>16000</v>
      </c>
      <c r="D10450" s="7">
        <v>1.21</v>
      </c>
      <c r="E10450" t="s">
        <v>15</v>
      </c>
    </row>
    <row r="10451" spans="1:5" x14ac:dyDescent="0.25">
      <c r="A10451" t="str">
        <f>HYPERLINK("https://www.773grp.com/globalSearch/NCP582DXV28T2G/page-1", "NCP582DXV28T2G")</f>
        <v>NCP582DXV28T2G</v>
      </c>
      <c r="B10451" s="3" t="str">
        <f>HYPERLINK("https://www.773grp.com/manufacturer/onsemi?pageNo=1014", "Onsemi")</f>
        <v>Onsemi</v>
      </c>
      <c r="C10451" s="6">
        <v>160767</v>
      </c>
      <c r="D10451" s="7">
        <v>1.21</v>
      </c>
      <c r="E10451" t="s">
        <v>15</v>
      </c>
    </row>
    <row r="10452" spans="1:5" x14ac:dyDescent="0.25">
      <c r="A10452" t="str">
        <f>HYPERLINK("https://www.773grp.com/globalSearch/NCP582DXV29T2G/page-1", "NCP582DXV29T2G")</f>
        <v>NCP582DXV29T2G</v>
      </c>
      <c r="B10452" s="3" t="str">
        <f>HYPERLINK("https://www.773grp.com/manufacturer/onsemi?pageNo=1015", "Onsemi")</f>
        <v>Onsemi</v>
      </c>
      <c r="C10452" s="6">
        <v>16000</v>
      </c>
      <c r="D10452" s="7">
        <v>1.21</v>
      </c>
      <c r="E10452" t="s">
        <v>15</v>
      </c>
    </row>
    <row r="10453" spans="1:5" x14ac:dyDescent="0.25">
      <c r="A10453" t="str">
        <f>HYPERLINK("https://www.773grp.com/globalSearch/NCP582DXV33T2G/page-1", "NCP582DXV33T2G")</f>
        <v>NCP582DXV33T2G</v>
      </c>
      <c r="B10453" s="3" t="str">
        <f>HYPERLINK("https://www.773grp.com/manufacturer/onsemi?pageNo=1016", "Onsemi")</f>
        <v>Onsemi</v>
      </c>
      <c r="C10453" s="6">
        <v>308000</v>
      </c>
      <c r="D10453" s="7">
        <v>1.21</v>
      </c>
      <c r="E10453" t="s">
        <v>15</v>
      </c>
    </row>
    <row r="10454" spans="1:5" x14ac:dyDescent="0.25">
      <c r="A10454" t="str">
        <f>HYPERLINK("https://www.773grp.com/globalSearch/NCP582LXV15T2G/page-1", "NCP582LXV15T2G")</f>
        <v>NCP582LXV15T2G</v>
      </c>
      <c r="B10454" s="3" t="str">
        <f>HYPERLINK("https://www.773grp.com/manufacturer/onsemi?pageNo=1017", "Onsemi")</f>
        <v>Onsemi</v>
      </c>
      <c r="C10454" s="6">
        <v>16000</v>
      </c>
      <c r="D10454" s="7">
        <v>1.21</v>
      </c>
      <c r="E10454" t="s">
        <v>15</v>
      </c>
    </row>
    <row r="10455" spans="1:5" x14ac:dyDescent="0.25">
      <c r="A10455" t="str">
        <f>HYPERLINK("https://www.773grp.com/globalSearch/NCP582LXV18T2G/page-1", "NCP582LXV18T2G")</f>
        <v>NCP582LXV18T2G</v>
      </c>
      <c r="B10455" s="3" t="str">
        <f>HYPERLINK("https://www.773grp.com/manufacturer/onsemi?pageNo=1018", "Onsemi")</f>
        <v>Onsemi</v>
      </c>
      <c r="C10455" s="6">
        <v>11000</v>
      </c>
      <c r="D10455" s="7">
        <v>1.21</v>
      </c>
      <c r="E10455" t="s">
        <v>15</v>
      </c>
    </row>
    <row r="10456" spans="1:5" x14ac:dyDescent="0.25">
      <c r="A10456" t="str">
        <f>HYPERLINK("https://www.773grp.com/globalSearch/NCP582LXV25T2G/page-1", "NCP582LXV25T2G")</f>
        <v>NCP582LXV25T2G</v>
      </c>
      <c r="B10456" s="3" t="str">
        <f>HYPERLINK("https://www.773grp.com/manufacturer/onsemi?pageNo=1019", "Onsemi")</f>
        <v>Onsemi</v>
      </c>
      <c r="C10456" s="6">
        <v>16000</v>
      </c>
      <c r="D10456" s="7">
        <v>1.21</v>
      </c>
      <c r="E10456" t="s">
        <v>15</v>
      </c>
    </row>
    <row r="10457" spans="1:5" x14ac:dyDescent="0.25">
      <c r="A10457" t="str">
        <f>HYPERLINK("https://www.773grp.com/globalSearch/NCP582LXV28T2G/page-1", "NCP582LXV28T2G")</f>
        <v>NCP582LXV28T2G</v>
      </c>
      <c r="B10457" s="3" t="str">
        <f>HYPERLINK("https://www.773grp.com/manufacturer/onsemi?pageNo=1020", "Onsemi")</f>
        <v>Onsemi</v>
      </c>
      <c r="C10457" s="6">
        <v>64000</v>
      </c>
      <c r="D10457" s="7">
        <v>1.21</v>
      </c>
      <c r="E10457" t="s">
        <v>15</v>
      </c>
    </row>
    <row r="10458" spans="1:5" x14ac:dyDescent="0.25">
      <c r="A10458" t="str">
        <f>HYPERLINK("https://www.773grp.com/globalSearch/NCP582LXV29T2G/page-1", "NCP582LXV29T2G")</f>
        <v>NCP582LXV29T2G</v>
      </c>
      <c r="B10458" s="3" t="str">
        <f>HYPERLINK("https://www.773grp.com/manufacturer/onsemi?pageNo=1021", "Onsemi")</f>
        <v>Onsemi</v>
      </c>
      <c r="C10458" s="6">
        <v>20000</v>
      </c>
      <c r="D10458" s="7">
        <v>1.21</v>
      </c>
      <c r="E10458" t="s">
        <v>15</v>
      </c>
    </row>
    <row r="10459" spans="1:5" x14ac:dyDescent="0.25">
      <c r="A10459" t="str">
        <f>HYPERLINK("https://www.773grp.com/globalSearch/NCP582LXV30T2G/page-1", "NCP582LXV30T2G")</f>
        <v>NCP582LXV30T2G</v>
      </c>
      <c r="B10459" s="3" t="str">
        <f>HYPERLINK("https://www.773grp.com/manufacturer/onsemi?pageNo=1022", "Onsemi")</f>
        <v>Onsemi</v>
      </c>
      <c r="C10459" s="6">
        <v>14900</v>
      </c>
      <c r="D10459" s="7">
        <v>1.21</v>
      </c>
      <c r="E10459" t="s">
        <v>15</v>
      </c>
    </row>
    <row r="10460" spans="1:5" x14ac:dyDescent="0.25">
      <c r="A10460" t="str">
        <f>HYPERLINK("https://www.773grp.com/globalSearch/NCP582LXV33T2G/page-1", "NCP582LXV33T2G")</f>
        <v>NCP582LXV33T2G</v>
      </c>
      <c r="B10460" s="3" t="str">
        <f>HYPERLINK("https://www.773grp.com/manufacturer/onsemi?pageNo=1023", "Onsemi")</f>
        <v>Onsemi</v>
      </c>
      <c r="C10460" s="6">
        <v>4000</v>
      </c>
      <c r="D10460" s="7">
        <v>1.21</v>
      </c>
      <c r="E10460" t="s">
        <v>15</v>
      </c>
    </row>
    <row r="10461" spans="1:5" x14ac:dyDescent="0.25">
      <c r="A10461" t="str">
        <f>HYPERLINK("https://www.773grp.com/globalSearch/NCP584HSN09T1G/page-1", "NCP584HSN09T1G")</f>
        <v>NCP584HSN09T1G</v>
      </c>
      <c r="B10461" s="3" t="str">
        <f>HYPERLINK("https://www.773grp.com/manufacturer/onsemi?pageNo=1024", "Onsemi")</f>
        <v>Onsemi</v>
      </c>
      <c r="C10461" s="6">
        <v>5998</v>
      </c>
      <c r="D10461" s="7">
        <v>1.21</v>
      </c>
      <c r="E10461" t="s">
        <v>15</v>
      </c>
    </row>
    <row r="10462" spans="1:5" x14ac:dyDescent="0.25">
      <c r="A10462" t="str">
        <f>HYPERLINK("https://www.773grp.com/globalSearch/NCP584HSN12T1G/page-1", "NCP584HSN12T1G")</f>
        <v>NCP584HSN12T1G</v>
      </c>
      <c r="B10462" s="3" t="str">
        <f>HYPERLINK("https://www.773grp.com/manufacturer/onsemi?pageNo=1025", "Onsemi")</f>
        <v>Onsemi</v>
      </c>
      <c r="C10462" s="6">
        <v>52545</v>
      </c>
      <c r="D10462" s="7">
        <v>1.21</v>
      </c>
      <c r="E10462" t="s">
        <v>15</v>
      </c>
    </row>
    <row r="10463" spans="1:5" x14ac:dyDescent="0.25">
      <c r="A10463" t="str">
        <f>HYPERLINK("https://www.773grp.com/globalSearch/NCP584HSN15T1G/page-1", "NCP584HSN15T1G")</f>
        <v>NCP584HSN15T1G</v>
      </c>
      <c r="B10463" s="3" t="str">
        <f>HYPERLINK("https://www.773grp.com/manufacturer/onsemi?pageNo=1026", "Onsemi")</f>
        <v>Onsemi</v>
      </c>
      <c r="C10463" s="6">
        <v>224770</v>
      </c>
      <c r="D10463" s="7">
        <v>1.21</v>
      </c>
      <c r="E10463" t="s">
        <v>15</v>
      </c>
    </row>
    <row r="10464" spans="1:5" x14ac:dyDescent="0.25">
      <c r="A10464" t="str">
        <f>HYPERLINK("https://www.773grp.com/globalSearch/NCP584HSN18T1G/page-1", "NCP584HSN18T1G")</f>
        <v>NCP584HSN18T1G</v>
      </c>
      <c r="B10464" s="3" t="str">
        <f>HYPERLINK("https://www.773grp.com/manufacturer/onsemi?pageNo=1027", "Onsemi")</f>
        <v>Onsemi</v>
      </c>
      <c r="C10464" s="6">
        <v>27000</v>
      </c>
      <c r="D10464" s="7">
        <v>1.21</v>
      </c>
      <c r="E10464" t="s">
        <v>15</v>
      </c>
    </row>
    <row r="10465" spans="1:5" x14ac:dyDescent="0.25">
      <c r="A10465" t="str">
        <f>HYPERLINK("https://www.773grp.com/globalSearch/NCP584HSN25T1G/page-1", "NCP584HSN25T1G")</f>
        <v>NCP584HSN25T1G</v>
      </c>
      <c r="B10465" s="3" t="str">
        <f>HYPERLINK("https://www.773grp.com/manufacturer/onsemi?pageNo=1028", "Onsemi")</f>
        <v>Onsemi</v>
      </c>
      <c r="C10465" s="6">
        <v>8782</v>
      </c>
      <c r="D10465" s="7">
        <v>1.21</v>
      </c>
      <c r="E10465" t="s">
        <v>15</v>
      </c>
    </row>
    <row r="10466" spans="1:5" x14ac:dyDescent="0.25">
      <c r="A10466" t="str">
        <f>HYPERLINK("https://www.773grp.com/globalSearch/NCP584HSN26T1G/page-1", "NCP584HSN26T1G")</f>
        <v>NCP584HSN26T1G</v>
      </c>
      <c r="B10466" s="3" t="str">
        <f>HYPERLINK("https://www.773grp.com/manufacturer/onsemi?pageNo=1029", "Onsemi")</f>
        <v>Onsemi</v>
      </c>
      <c r="C10466" s="6">
        <v>6000</v>
      </c>
      <c r="D10466" s="7">
        <v>1.21</v>
      </c>
      <c r="E10466" t="s">
        <v>15</v>
      </c>
    </row>
    <row r="10467" spans="1:5" x14ac:dyDescent="0.25">
      <c r="A10467" t="str">
        <f>HYPERLINK("https://www.773grp.com/globalSearch/NCP584HSN30T1G/page-1", "NCP584HSN30T1G")</f>
        <v>NCP584HSN30T1G</v>
      </c>
      <c r="B10467" s="3" t="str">
        <f>HYPERLINK("https://www.773grp.com/manufacturer/onsemi?pageNo=1030", "Onsemi")</f>
        <v>Onsemi</v>
      </c>
      <c r="C10467" s="6">
        <v>35740</v>
      </c>
      <c r="D10467" s="7">
        <v>1.21</v>
      </c>
      <c r="E10467" t="s">
        <v>15</v>
      </c>
    </row>
    <row r="10468" spans="1:5" x14ac:dyDescent="0.25">
      <c r="A10468" t="str">
        <f>HYPERLINK("https://www.773grp.com/globalSearch/NCP584HSN31T1G/page-1", "NCP584HSN31T1G")</f>
        <v>NCP584HSN31T1G</v>
      </c>
      <c r="B10468" s="3" t="str">
        <f>HYPERLINK("https://www.773grp.com/manufacturer/onsemi?pageNo=1031", "Onsemi")</f>
        <v>Onsemi</v>
      </c>
      <c r="C10468" s="6">
        <v>618000</v>
      </c>
      <c r="D10468" s="7">
        <v>1.21</v>
      </c>
      <c r="E10468" t="s">
        <v>15</v>
      </c>
    </row>
    <row r="10469" spans="1:5" x14ac:dyDescent="0.25">
      <c r="A10469" t="str">
        <f>HYPERLINK("https://www.773grp.com/globalSearch/NCP584HSN33T1G/page-1", "NCP584HSN33T1G")</f>
        <v>NCP584HSN33T1G</v>
      </c>
      <c r="B10469" s="3" t="str">
        <f>HYPERLINK("https://www.773grp.com/manufacturer/onsemi?pageNo=1032", "Onsemi")</f>
        <v>Onsemi</v>
      </c>
      <c r="C10469" s="6">
        <v>18000</v>
      </c>
      <c r="D10469" s="7">
        <v>1.21</v>
      </c>
      <c r="E10469" t="s">
        <v>15</v>
      </c>
    </row>
    <row r="10470" spans="1:5" x14ac:dyDescent="0.25">
      <c r="A10470" t="str">
        <f>HYPERLINK("https://www.773grp.com/globalSearch/NCP584LSN09T1G/page-1", "NCP584LSN09T1G")</f>
        <v>NCP584LSN09T1G</v>
      </c>
      <c r="B10470" s="3" t="str">
        <f>HYPERLINK("https://www.773grp.com/manufacturer/onsemi?pageNo=1033", "Onsemi")</f>
        <v>Onsemi</v>
      </c>
      <c r="C10470" s="6">
        <v>20970</v>
      </c>
      <c r="D10470" s="7">
        <v>1.21</v>
      </c>
      <c r="E10470" t="s">
        <v>15</v>
      </c>
    </row>
    <row r="10471" spans="1:5" x14ac:dyDescent="0.25">
      <c r="A10471" t="str">
        <f>HYPERLINK("https://www.773grp.com/globalSearch/NCP584LSN12T1G/page-1", "NCP584LSN12T1G")</f>
        <v>NCP584LSN12T1G</v>
      </c>
      <c r="B10471" s="3" t="str">
        <f>HYPERLINK("https://www.773grp.com/manufacturer/onsemi?pageNo=1034", "Onsemi")</f>
        <v>Onsemi</v>
      </c>
      <c r="C10471" s="6">
        <v>9764</v>
      </c>
      <c r="D10471" s="7">
        <v>1.21</v>
      </c>
      <c r="E10471" t="s">
        <v>15</v>
      </c>
    </row>
    <row r="10472" spans="1:5" x14ac:dyDescent="0.25">
      <c r="A10472" t="str">
        <f>HYPERLINK("https://www.773grp.com/globalSearch/NCP584LSN18T1G/page-1", "NCP584LSN18T1G")</f>
        <v>NCP584LSN18T1G</v>
      </c>
      <c r="B10472" s="3" t="str">
        <f>HYPERLINK("https://www.773grp.com/manufacturer/onsemi?pageNo=1035", "Onsemi")</f>
        <v>Onsemi</v>
      </c>
      <c r="C10472" s="6">
        <v>1010919</v>
      </c>
      <c r="D10472" s="7">
        <v>1.21</v>
      </c>
      <c r="E10472" t="s">
        <v>15</v>
      </c>
    </row>
    <row r="10473" spans="1:5" x14ac:dyDescent="0.25">
      <c r="A10473" t="str">
        <f>HYPERLINK("https://www.773grp.com/globalSearch/NCP585DSAN09T1G/page-1", "NCP585DSAN09T1G")</f>
        <v>NCP585DSAN09T1G</v>
      </c>
      <c r="B10473" s="3" t="str">
        <f>HYPERLINK("https://www.773grp.com/manufacturer/onsemi?pageNo=1036", "Onsemi")</f>
        <v>Onsemi</v>
      </c>
      <c r="C10473" s="6">
        <v>12000</v>
      </c>
      <c r="D10473" s="7">
        <v>1.21</v>
      </c>
      <c r="E10473" t="s">
        <v>15</v>
      </c>
    </row>
    <row r="10474" spans="1:5" x14ac:dyDescent="0.25">
      <c r="A10474" t="str">
        <f>HYPERLINK("https://www.773grp.com/globalSearch/NCP585DSAN12T1G/page-1", "NCP585DSAN12T1G")</f>
        <v>NCP585DSAN12T1G</v>
      </c>
      <c r="B10474" s="3" t="str">
        <f>HYPERLINK("https://www.773grp.com/manufacturer/onsemi?pageNo=1037", "Onsemi")</f>
        <v>Onsemi</v>
      </c>
      <c r="C10474" s="6">
        <v>9000</v>
      </c>
      <c r="D10474" s="7">
        <v>1.21</v>
      </c>
      <c r="E10474" t="s">
        <v>15</v>
      </c>
    </row>
    <row r="10475" spans="1:5" x14ac:dyDescent="0.25">
      <c r="A10475" t="str">
        <f>HYPERLINK("https://www.773grp.com/globalSearch/NCP585DSAN18T1G/page-1", "NCP585DSAN18T1G")</f>
        <v>NCP585DSAN18T1G</v>
      </c>
      <c r="B10475" s="3" t="str">
        <f>HYPERLINK("https://www.773grp.com/manufacturer/onsemi?pageNo=1038", "Onsemi")</f>
        <v>Onsemi</v>
      </c>
      <c r="C10475" s="6">
        <v>8419</v>
      </c>
      <c r="D10475" s="7">
        <v>1.21</v>
      </c>
      <c r="E10475" t="s">
        <v>15</v>
      </c>
    </row>
    <row r="10476" spans="1:5" x14ac:dyDescent="0.25">
      <c r="A10476" t="str">
        <f>HYPERLINK("https://www.773grp.com/globalSearch/NCP585HSAN09T1G/page-1", "NCP585HSAN09T1G")</f>
        <v>NCP585HSAN09T1G</v>
      </c>
      <c r="B10476" s="3" t="str">
        <f>HYPERLINK("https://www.773grp.com/manufacturer/onsemi?pageNo=1039", "Onsemi")</f>
        <v>Onsemi</v>
      </c>
      <c r="C10476" s="6">
        <v>15000</v>
      </c>
      <c r="D10476" s="7">
        <v>1.21</v>
      </c>
      <c r="E10476" t="s">
        <v>15</v>
      </c>
    </row>
    <row r="10477" spans="1:5" x14ac:dyDescent="0.25">
      <c r="A10477" t="str">
        <f>HYPERLINK("https://www.773grp.com/globalSearch/NCP585HSAN12T1G/page-1", "NCP585HSAN12T1G")</f>
        <v>NCP585HSAN12T1G</v>
      </c>
      <c r="B10477" s="3" t="str">
        <f>HYPERLINK("https://www.773grp.com/manufacturer/onsemi?pageNo=1040", "Onsemi")</f>
        <v>Onsemi</v>
      </c>
      <c r="C10477" s="6">
        <v>13978</v>
      </c>
      <c r="D10477" s="7">
        <v>1.21</v>
      </c>
      <c r="E10477" t="s">
        <v>15</v>
      </c>
    </row>
    <row r="10478" spans="1:5" x14ac:dyDescent="0.25">
      <c r="A10478" t="str">
        <f>HYPERLINK("https://www.773grp.com/globalSearch/NCP585HSAN18T1G/page-1", "NCP585HSAN18T1G")</f>
        <v>NCP585HSAN18T1G</v>
      </c>
      <c r="B10478" s="3" t="str">
        <f>HYPERLINK("https://www.773grp.com/manufacturer/onsemi?pageNo=1041", "Onsemi")</f>
        <v>Onsemi</v>
      </c>
      <c r="C10478" s="6">
        <v>11980</v>
      </c>
      <c r="D10478" s="7">
        <v>1.21</v>
      </c>
      <c r="E10478" t="s">
        <v>15</v>
      </c>
    </row>
    <row r="10479" spans="1:5" x14ac:dyDescent="0.25">
      <c r="A10479" t="str">
        <f>HYPERLINK("https://www.773grp.com/globalSearch/NCP585LSAN09T1G/page-1", "NCP585LSAN09T1G")</f>
        <v>NCP585LSAN09T1G</v>
      </c>
      <c r="B10479" s="3" t="str">
        <f>HYPERLINK("https://www.773grp.com/manufacturer/onsemi?pageNo=1042", "Onsemi")</f>
        <v>Onsemi</v>
      </c>
      <c r="C10479" s="6">
        <v>12000</v>
      </c>
      <c r="D10479" s="7">
        <v>1.21</v>
      </c>
      <c r="E10479" t="s">
        <v>15</v>
      </c>
    </row>
    <row r="10480" spans="1:5" x14ac:dyDescent="0.25">
      <c r="A10480" t="str">
        <f>HYPERLINK("https://www.773grp.com/globalSearch/NCP585LSAN12T1G/page-1", "NCP585LSAN12T1G")</f>
        <v>NCP585LSAN12T1G</v>
      </c>
      <c r="B10480" s="3" t="str">
        <f>HYPERLINK("https://www.773grp.com/manufacturer/onsemi?pageNo=1043", "Onsemi")</f>
        <v>Onsemi</v>
      </c>
      <c r="C10480" s="6">
        <v>9000</v>
      </c>
      <c r="D10480" s="7">
        <v>1.21</v>
      </c>
      <c r="E10480" t="s">
        <v>15</v>
      </c>
    </row>
    <row r="10481" spans="1:5" x14ac:dyDescent="0.25">
      <c r="A10481" t="str">
        <f>HYPERLINK("https://www.773grp.com/globalSearch/NCP585LSAN18T1G/page-1", "NCP585LSAN18T1G")</f>
        <v>NCP585LSAN18T1G</v>
      </c>
      <c r="B10481" s="3" t="str">
        <f>HYPERLINK("https://www.773grp.com/manufacturer/onsemi?pageNo=1044", "Onsemi")</f>
        <v>Onsemi</v>
      </c>
      <c r="C10481" s="6">
        <v>14970</v>
      </c>
      <c r="D10481" s="7">
        <v>1.21</v>
      </c>
      <c r="E10481" t="s">
        <v>15</v>
      </c>
    </row>
    <row r="10482" spans="1:5" x14ac:dyDescent="0.25">
      <c r="A10482" t="str">
        <f>HYPERLINK("https://www.773grp.com/globalSearch/NCP623DM-33R2/page-1", "NCP623DM-33R2")</f>
        <v>NCP623DM-33R2</v>
      </c>
      <c r="B10482" s="3" t="str">
        <f>HYPERLINK("https://www.773grp.com/manufacturer/onsemi?pageNo=1045", "Onsemi")</f>
        <v>Onsemi</v>
      </c>
      <c r="C10482" s="6">
        <v>4000</v>
      </c>
      <c r="D10482" s="7">
        <v>1.21</v>
      </c>
      <c r="E10482" t="s">
        <v>15</v>
      </c>
    </row>
    <row r="10483" spans="1:5" x14ac:dyDescent="0.25">
      <c r="A10483" t="str">
        <f>HYPERLINK("https://www.773grp.com/globalSearch/NCP623DM-40R2G/page-1", "NCP623DM-40R2G")</f>
        <v>NCP623DM-40R2G</v>
      </c>
      <c r="B10483" s="3" t="str">
        <f>HYPERLINK("https://www.773grp.com/manufacturer/onsemi?pageNo=1046", "Onsemi")</f>
        <v>Onsemi</v>
      </c>
      <c r="C10483" s="6">
        <v>23972</v>
      </c>
      <c r="D10483" s="7">
        <v>1.21</v>
      </c>
      <c r="E10483" t="s">
        <v>15</v>
      </c>
    </row>
    <row r="10484" spans="1:5" x14ac:dyDescent="0.25">
      <c r="A10484" t="str">
        <f>HYPERLINK("https://www.773grp.com/globalSearch/NCP623DM-50R2/page-1", "NCP623DM-50R2")</f>
        <v>NCP623DM-50R2</v>
      </c>
      <c r="B10484" s="3" t="str">
        <f>HYPERLINK("https://www.773grp.com/manufacturer/onsemi?pageNo=1047", "Onsemi")</f>
        <v>Onsemi</v>
      </c>
      <c r="C10484" s="6">
        <v>3597</v>
      </c>
      <c r="D10484" s="7">
        <v>1.21</v>
      </c>
      <c r="E10484" t="s">
        <v>15</v>
      </c>
    </row>
    <row r="10485" spans="1:5" x14ac:dyDescent="0.25">
      <c r="A10485" t="str">
        <f>HYPERLINK("https://www.773grp.com/globalSearch/NCP700BSN18T1G/page-1", "NCP700BSN18T1G")</f>
        <v>NCP700BSN18T1G</v>
      </c>
      <c r="B10485" s="3" t="str">
        <f>HYPERLINK("https://www.773grp.com/manufacturer/onsemi?pageNo=1048", "Onsemi")</f>
        <v>Onsemi</v>
      </c>
      <c r="C10485" s="6">
        <v>3000</v>
      </c>
      <c r="D10485" s="7">
        <v>1.21</v>
      </c>
    </row>
    <row r="10486" spans="1:5" x14ac:dyDescent="0.25">
      <c r="A10486" t="str">
        <f>HYPERLINK("https://www.773grp.com/globalSearch/NCP78M09CTG/page-1", "NCP78M09CTG")</f>
        <v>NCP78M09CTG</v>
      </c>
      <c r="B10486" s="3" t="str">
        <f>HYPERLINK("https://www.773grp.com/manufacturer/onsemi?pageNo=1049", "Onsemi")</f>
        <v>Onsemi</v>
      </c>
      <c r="C10486" s="6">
        <v>44700</v>
      </c>
      <c r="D10486" s="7">
        <v>1.21</v>
      </c>
    </row>
    <row r="10487" spans="1:5" x14ac:dyDescent="0.25">
      <c r="A10487" t="str">
        <f>HYPERLINK("https://www.773grp.com/globalSearch/NCS2200SN2T1G/page-1", "NCS2200SN2T1G")</f>
        <v>NCS2200SN2T1G</v>
      </c>
      <c r="B10487" s="3" t="str">
        <f>HYPERLINK("https://www.773grp.com/manufacturer/onsemi?pageNo=1050", "Onsemi")</f>
        <v>Onsemi</v>
      </c>
      <c r="C10487" s="6">
        <v>98263</v>
      </c>
      <c r="D10487" s="7">
        <v>1.21</v>
      </c>
      <c r="E10487" t="s">
        <v>6</v>
      </c>
    </row>
    <row r="10488" spans="1:5" x14ac:dyDescent="0.25">
      <c r="A10488" t="str">
        <f>HYPERLINK("https://www.773grp.com/globalSearch/NCS2200SQ2T2G/page-1", "NCS2200SQ2T2G")</f>
        <v>NCS2200SQ2T2G</v>
      </c>
      <c r="B10488" s="3" t="str">
        <f>HYPERLINK("https://www.773grp.com/manufacturer/onsemi?pageNo=1051", "Onsemi")</f>
        <v>Onsemi</v>
      </c>
      <c r="C10488" s="6">
        <v>39000</v>
      </c>
      <c r="D10488" s="7">
        <v>1.21</v>
      </c>
      <c r="E10488" t="s">
        <v>6</v>
      </c>
    </row>
    <row r="10489" spans="1:5" x14ac:dyDescent="0.25">
      <c r="A10489" t="str">
        <f>HYPERLINK("https://www.773grp.com/globalSearch/NCS2200SQLT1G/page-1", "NCS2200SQLT1G")</f>
        <v>NCS2200SQLT1G</v>
      </c>
      <c r="B10489" s="3" t="str">
        <f>HYPERLINK("https://www.773grp.com/manufacturer/onsemi?pageNo=1052", "Onsemi")</f>
        <v>Onsemi</v>
      </c>
      <c r="C10489" s="6">
        <v>20765</v>
      </c>
      <c r="D10489" s="7">
        <v>1.21</v>
      </c>
      <c r="E10489" t="s">
        <v>6</v>
      </c>
    </row>
    <row r="10490" spans="1:5" x14ac:dyDescent="0.25">
      <c r="A10490" t="str">
        <f>HYPERLINK("https://www.773grp.com/globalSearch/NCS2202SQ2T2G/page-1", "NCS2202SQ2T2G")</f>
        <v>NCS2202SQ2T2G</v>
      </c>
      <c r="B10490" s="3" t="str">
        <f>HYPERLINK("https://www.773grp.com/manufacturer/onsemi?pageNo=1053", "Onsemi")</f>
        <v>Onsemi</v>
      </c>
      <c r="C10490" s="6">
        <v>80121</v>
      </c>
      <c r="D10490" s="7">
        <v>1.21</v>
      </c>
      <c r="E10490" t="s">
        <v>6</v>
      </c>
    </row>
    <row r="10491" spans="1:5" x14ac:dyDescent="0.25">
      <c r="A10491" t="str">
        <f>HYPERLINK("https://www.773grp.com/globalSearch/NCV2904DR2/page-1", "NCV2904DR2")</f>
        <v>NCV2904DR2</v>
      </c>
      <c r="B10491" s="3" t="str">
        <f>HYPERLINK("https://www.773grp.com/manufacturer/onsemi?pageNo=1054", "Onsemi")</f>
        <v>Onsemi</v>
      </c>
      <c r="C10491" s="6">
        <v>39711</v>
      </c>
      <c r="D10491" s="7">
        <v>1.21</v>
      </c>
      <c r="E10491" t="s">
        <v>10</v>
      </c>
    </row>
    <row r="10492" spans="1:5" x14ac:dyDescent="0.25">
      <c r="A10492" t="str">
        <f>HYPERLINK("https://www.773grp.com/globalSearch/NCV2931CDR2/page-1", "NCV2931CDR2")</f>
        <v>NCV2931CDR2</v>
      </c>
      <c r="B10492" s="3" t="str">
        <f>HYPERLINK("https://www.773grp.com/manufacturer/onsemi?pageNo=1055", "Onsemi")</f>
        <v>Onsemi</v>
      </c>
      <c r="C10492" s="6">
        <v>2280</v>
      </c>
      <c r="D10492" s="7">
        <v>1.21</v>
      </c>
      <c r="E10492" t="s">
        <v>21</v>
      </c>
    </row>
    <row r="10493" spans="1:5" x14ac:dyDescent="0.25">
      <c r="A10493" t="str">
        <f>HYPERLINK("https://www.773grp.com/globalSearch/NCV494BDR2/page-1", "NCV494BDR2")</f>
        <v>NCV494BDR2</v>
      </c>
      <c r="B10493" s="3" t="str">
        <f>HYPERLINK("https://www.773grp.com/manufacturer/onsemi?pageNo=1056", "Onsemi")</f>
        <v>Onsemi</v>
      </c>
      <c r="C10493" s="6">
        <v>38619</v>
      </c>
      <c r="D10493" s="7">
        <v>1.21</v>
      </c>
      <c r="E10493" t="s">
        <v>5</v>
      </c>
    </row>
    <row r="10494" spans="1:5" x14ac:dyDescent="0.25">
      <c r="A10494" t="str">
        <f>HYPERLINK("https://www.773grp.com/globalSearch/NCV571SN08T1G/page-1", "NCV571SN08T1G")</f>
        <v>NCV571SN08T1G</v>
      </c>
      <c r="B10494" s="3" t="str">
        <f>HYPERLINK("https://www.773grp.com/manufacturer/onsemi?pageNo=1057", "Onsemi")</f>
        <v>Onsemi</v>
      </c>
      <c r="C10494" s="6">
        <v>15000</v>
      </c>
      <c r="D10494" s="7">
        <v>1.21</v>
      </c>
      <c r="E10494" t="s">
        <v>15</v>
      </c>
    </row>
    <row r="10495" spans="1:5" x14ac:dyDescent="0.25">
      <c r="A10495" t="str">
        <f>HYPERLINK("https://www.773grp.com/globalSearch/NCV571SN09T1G/page-1", "NCV571SN09T1G")</f>
        <v>NCV571SN09T1G</v>
      </c>
      <c r="B10495" s="3" t="str">
        <f>HYPERLINK("https://www.773grp.com/manufacturer/onsemi?pageNo=1058", "Onsemi")</f>
        <v>Onsemi</v>
      </c>
      <c r="C10495" s="6">
        <v>15000</v>
      </c>
      <c r="D10495" s="7">
        <v>1.21</v>
      </c>
      <c r="E10495" t="s">
        <v>15</v>
      </c>
    </row>
    <row r="10496" spans="1:5" x14ac:dyDescent="0.25">
      <c r="A10496" t="str">
        <f>HYPERLINK("https://www.773grp.com/globalSearch/NCV571SN10T1G/page-1", "NCV571SN10T1G")</f>
        <v>NCV571SN10T1G</v>
      </c>
      <c r="B10496" s="3" t="str">
        <f>HYPERLINK("https://www.773grp.com/manufacturer/onsemi?pageNo=1059", "Onsemi")</f>
        <v>Onsemi</v>
      </c>
      <c r="C10496" s="6">
        <v>18000</v>
      </c>
      <c r="D10496" s="7">
        <v>1.21</v>
      </c>
    </row>
    <row r="10497" spans="1:5" x14ac:dyDescent="0.25">
      <c r="A10497" t="str">
        <f>HYPERLINK("https://www.773grp.com/globalSearch/NCV571SN12T1G/page-1", "NCV571SN12T1G")</f>
        <v>NCV571SN12T1G</v>
      </c>
      <c r="B10497" s="3" t="str">
        <f>HYPERLINK("https://www.773grp.com/manufacturer/onsemi?pageNo=1060", "Onsemi")</f>
        <v>Onsemi</v>
      </c>
      <c r="C10497" s="6">
        <v>1130</v>
      </c>
      <c r="D10497" s="7">
        <v>1.21</v>
      </c>
    </row>
    <row r="10498" spans="1:5" x14ac:dyDescent="0.25">
      <c r="A10498" t="str">
        <f>HYPERLINK("https://www.773grp.com/globalSearch/NCV78M05BDTRK/page-1", "NCV78M05BDTRK")</f>
        <v>NCV78M05BDTRK</v>
      </c>
      <c r="B10498" s="3" t="str">
        <f>HYPERLINK("https://www.773grp.com/manufacturer/onsemi?pageNo=1061", "Onsemi")</f>
        <v>Onsemi</v>
      </c>
      <c r="C10498" s="6">
        <v>4584</v>
      </c>
      <c r="D10498" s="7">
        <v>1.21</v>
      </c>
      <c r="E10498" t="s">
        <v>24</v>
      </c>
    </row>
    <row r="10499" spans="1:5" x14ac:dyDescent="0.25">
      <c r="A10499" t="str">
        <f>HYPERLINK("https://www.773grp.com/globalSearch/NCV78M05BDTRKG/page-1", "NCV78M05BDTRKG")</f>
        <v>NCV78M05BDTRKG</v>
      </c>
      <c r="B10499" s="3" t="str">
        <f>HYPERLINK("https://www.773grp.com/manufacturer/onsemi?pageNo=1062", "Onsemi")</f>
        <v>Onsemi</v>
      </c>
      <c r="C10499" s="6">
        <v>202500</v>
      </c>
      <c r="D10499" s="7">
        <v>1.21</v>
      </c>
    </row>
    <row r="10500" spans="1:5" x14ac:dyDescent="0.25">
      <c r="A10500" t="str">
        <f>HYPERLINK("https://www.773grp.com/globalSearch/NCV78M08BDTRKG/page-1", "NCV78M08BDTRKG")</f>
        <v>NCV78M08BDTRKG</v>
      </c>
      <c r="B10500" s="3" t="str">
        <f>HYPERLINK("https://www.773grp.com/manufacturer/onsemi?pageNo=1063", "Onsemi")</f>
        <v>Onsemi</v>
      </c>
      <c r="C10500" s="6">
        <v>7500</v>
      </c>
      <c r="D10500" s="7">
        <v>1.21</v>
      </c>
    </row>
    <row r="10501" spans="1:5" x14ac:dyDescent="0.25">
      <c r="A10501" t="str">
        <f>HYPERLINK("https://www.773grp.com/globalSearch/NCV78M12BDTRKG/page-1", "NCV78M12BDTRKG")</f>
        <v>NCV78M12BDTRKG</v>
      </c>
      <c r="B10501" s="3" t="str">
        <f>HYPERLINK("https://www.773grp.com/manufacturer/onsemi?pageNo=1064", "Onsemi")</f>
        <v>Onsemi</v>
      </c>
      <c r="C10501" s="6">
        <v>2500</v>
      </c>
      <c r="D10501" s="7">
        <v>1.21</v>
      </c>
    </row>
    <row r="10502" spans="1:5" x14ac:dyDescent="0.25">
      <c r="A10502" t="str">
        <f>HYPERLINK("https://www.773grp.com/globalSearch/NCV78M15BDTG/page-1", "NCV78M15BDTG")</f>
        <v>NCV78M15BDTG</v>
      </c>
      <c r="B10502" s="3" t="str">
        <f>HYPERLINK("https://www.773grp.com/manufacturer/onsemi?pageNo=1065", "Onsemi")</f>
        <v>Onsemi</v>
      </c>
      <c r="C10502" s="6">
        <v>4725</v>
      </c>
      <c r="D10502" s="7">
        <v>1.21</v>
      </c>
    </row>
    <row r="10503" spans="1:5" x14ac:dyDescent="0.25">
      <c r="A10503" t="str">
        <f>HYPERLINK("https://www.773grp.com/globalSearch/NE5534D/page-1", "NE5534D")</f>
        <v>NE5534D</v>
      </c>
      <c r="B10503" s="3" t="str">
        <f>HYPERLINK("https://www.773grp.com/manufacturer/onsemi?pageNo=1066", "Onsemi")</f>
        <v>Onsemi</v>
      </c>
      <c r="C10503" s="6">
        <v>173</v>
      </c>
      <c r="D10503" s="7">
        <v>1.21</v>
      </c>
      <c r="E10503" t="s">
        <v>10</v>
      </c>
    </row>
    <row r="10504" spans="1:5" x14ac:dyDescent="0.25">
      <c r="A10504" t="str">
        <f>HYPERLINK("https://www.773grp.com/globalSearch/NE5534DR2/page-1", "NE5534DR2")</f>
        <v>NE5534DR2</v>
      </c>
      <c r="B10504" s="3" t="str">
        <f>HYPERLINK("https://www.773grp.com/manufacturer/onsemi?pageNo=1067", "Onsemi")</f>
        <v>Onsemi</v>
      </c>
      <c r="C10504" s="6">
        <v>20800</v>
      </c>
      <c r="D10504" s="7">
        <v>1.21</v>
      </c>
      <c r="E10504" t="s">
        <v>10</v>
      </c>
    </row>
    <row r="10505" spans="1:5" x14ac:dyDescent="0.25">
      <c r="A10505" t="str">
        <f>HYPERLINK("https://www.773grp.com/globalSearch/NJVMJD50T4G/page-1", "NJVMJD50T4G")</f>
        <v>NJVMJD50T4G</v>
      </c>
      <c r="B10505" s="3" t="str">
        <f>HYPERLINK("https://www.773grp.com/manufacturer/onsemi?pageNo=1068", "Onsemi")</f>
        <v>Onsemi</v>
      </c>
      <c r="C10505" s="6">
        <v>2500</v>
      </c>
      <c r="D10505" s="7">
        <v>1.21</v>
      </c>
    </row>
    <row r="10506" spans="1:5" x14ac:dyDescent="0.25">
      <c r="A10506" t="str">
        <f>HYPERLINK("https://www.773grp.com/globalSearch/NLAS5113MUTBG/page-1", "NLAS5113MUTBG")</f>
        <v>NLAS5113MUTBG</v>
      </c>
      <c r="B10506" s="3" t="str">
        <f>HYPERLINK("https://www.773grp.com/manufacturer/onsemi?pageNo=1069", "Onsemi")</f>
        <v>Onsemi</v>
      </c>
      <c r="C10506" s="6">
        <v>5865</v>
      </c>
      <c r="D10506" s="7">
        <v>1.21</v>
      </c>
      <c r="E10506" t="s">
        <v>46</v>
      </c>
    </row>
    <row r="10507" spans="1:5" x14ac:dyDescent="0.25">
      <c r="A10507" t="str">
        <f>HYPERLINK("https://www.773grp.com/globalSearch/NLAS8252MUTAG/page-1", "NLAS8252MUTAG")</f>
        <v>NLAS8252MUTAG</v>
      </c>
      <c r="B10507" s="3" t="str">
        <f>HYPERLINK("https://www.773grp.com/manufacturer/onsemi?pageNo=1070", "Onsemi")</f>
        <v>Onsemi</v>
      </c>
      <c r="C10507" s="6">
        <v>130900</v>
      </c>
      <c r="D10507" s="7">
        <v>1.21</v>
      </c>
    </row>
    <row r="10508" spans="1:5" x14ac:dyDescent="0.25">
      <c r="A10508" t="str">
        <f>HYPERLINK("https://www.773grp.com/globalSearch/NLV14015BDR2G/page-1", "NLV14015BDR2G")</f>
        <v>NLV14015BDR2G</v>
      </c>
      <c r="B10508" s="3" t="str">
        <f>HYPERLINK("https://www.773grp.com/manufacturer/onsemi?pageNo=1071", "Onsemi")</f>
        <v>Onsemi</v>
      </c>
      <c r="C10508" s="6">
        <v>29550</v>
      </c>
      <c r="D10508" s="7">
        <v>1.21</v>
      </c>
    </row>
    <row r="10509" spans="1:5" x14ac:dyDescent="0.25">
      <c r="A10509" t="str">
        <f>HYPERLINK("https://www.773grp.com/globalSearch/NLV14042BDG/page-1", "NLV14042BDG")</f>
        <v>NLV14042BDG</v>
      </c>
      <c r="B10509" s="3" t="str">
        <f>HYPERLINK("https://www.773grp.com/manufacturer/onsemi?pageNo=1072", "Onsemi")</f>
        <v>Onsemi</v>
      </c>
      <c r="C10509" s="6">
        <v>6768</v>
      </c>
      <c r="D10509" s="7">
        <v>1.21</v>
      </c>
    </row>
    <row r="10510" spans="1:5" x14ac:dyDescent="0.25">
      <c r="A10510" t="str">
        <f>HYPERLINK("https://www.773grp.com/globalSearch/NLV14042BDR2G/page-1", "NLV14042BDR2G")</f>
        <v>NLV14042BDR2G</v>
      </c>
      <c r="B10510" s="3" t="str">
        <f>HYPERLINK("https://www.773grp.com/manufacturer/onsemi?pageNo=1073", "Onsemi")</f>
        <v>Onsemi</v>
      </c>
      <c r="C10510" s="6">
        <v>5000</v>
      </c>
      <c r="D10510" s="7">
        <v>1.21</v>
      </c>
    </row>
    <row r="10511" spans="1:5" x14ac:dyDescent="0.25">
      <c r="A10511" t="str">
        <f>HYPERLINK("https://www.773grp.com/globalSearch/NLV14060BDR2G/page-1", "NLV14060BDR2G")</f>
        <v>NLV14060BDR2G</v>
      </c>
      <c r="B10511" s="3" t="str">
        <f>HYPERLINK("https://www.773grp.com/manufacturer/onsemi?pageNo=1074", "Onsemi")</f>
        <v>Onsemi</v>
      </c>
      <c r="C10511" s="6">
        <v>3940</v>
      </c>
      <c r="D10511" s="7">
        <v>1.21</v>
      </c>
    </row>
    <row r="10512" spans="1:5" x14ac:dyDescent="0.25">
      <c r="A10512" t="str">
        <f>HYPERLINK("https://www.773grp.com/globalSearch/NLV14060BDTR2G/page-1", "NLV14060BDTR2G")</f>
        <v>NLV14060BDTR2G</v>
      </c>
      <c r="B10512" s="3" t="str">
        <f>HYPERLINK("https://www.773grp.com/manufacturer/onsemi?pageNo=1075", "Onsemi")</f>
        <v>Onsemi</v>
      </c>
      <c r="C10512" s="6">
        <v>1940</v>
      </c>
      <c r="D10512" s="7">
        <v>1.21</v>
      </c>
    </row>
    <row r="10513" spans="1:5" x14ac:dyDescent="0.25">
      <c r="A10513" t="str">
        <f>HYPERLINK("https://www.773grp.com/globalSearch/NTB125N02R/page-1", "NTB125N02R")</f>
        <v>NTB125N02R</v>
      </c>
      <c r="B10513" s="3" t="str">
        <f>HYPERLINK("https://www.773grp.com/manufacturer/onsemi?pageNo=1076", "Onsemi")</f>
        <v>Onsemi</v>
      </c>
      <c r="C10513" s="6">
        <v>1200</v>
      </c>
      <c r="D10513" s="7">
        <v>1.21</v>
      </c>
      <c r="E10513" t="s">
        <v>84</v>
      </c>
    </row>
    <row r="10514" spans="1:5" x14ac:dyDescent="0.25">
      <c r="A10514" t="str">
        <f>HYPERLINK("https://www.773grp.com/globalSearch/NTB125N02RT4/page-1", "NTB125N02RT4")</f>
        <v>NTB125N02RT4</v>
      </c>
      <c r="B10514" s="3" t="str">
        <f>HYPERLINK("https://www.773grp.com/manufacturer/onsemi?pageNo=1077", "Onsemi")</f>
        <v>Onsemi</v>
      </c>
      <c r="C10514" s="6">
        <v>2623</v>
      </c>
      <c r="D10514" s="7">
        <v>1.21</v>
      </c>
      <c r="E10514" t="s">
        <v>84</v>
      </c>
    </row>
    <row r="10515" spans="1:5" x14ac:dyDescent="0.25">
      <c r="A10515" t="str">
        <f>HYPERLINK("https://www.773grp.com/globalSearch/NTB30N06/page-1", "NTB30N06")</f>
        <v>NTB30N06</v>
      </c>
      <c r="B10515" s="3" t="str">
        <f>HYPERLINK("https://www.773grp.com/manufacturer/onsemi?pageNo=1078", "Onsemi")</f>
        <v>Onsemi</v>
      </c>
      <c r="C10515" s="6">
        <v>650</v>
      </c>
      <c r="D10515" s="7">
        <v>1.21</v>
      </c>
      <c r="E10515" t="s">
        <v>84</v>
      </c>
    </row>
    <row r="10516" spans="1:5" x14ac:dyDescent="0.25">
      <c r="A10516" t="str">
        <f>HYPERLINK("https://www.773grp.com/globalSearch/NTD4855NT4G/page-1", "NTD4855NT4G")</f>
        <v>NTD4855NT4G</v>
      </c>
      <c r="B10516" s="3" t="str">
        <f>HYPERLINK("https://www.773grp.com/manufacturer/onsemi?pageNo=1079", "Onsemi")</f>
        <v>Onsemi</v>
      </c>
      <c r="C10516" s="6">
        <v>209901</v>
      </c>
      <c r="D10516" s="7">
        <v>1.21</v>
      </c>
      <c r="E10516" t="s">
        <v>84</v>
      </c>
    </row>
    <row r="10517" spans="1:5" x14ac:dyDescent="0.25">
      <c r="A10517" t="str">
        <f>HYPERLINK("https://www.773grp.com/globalSearch/NTD4855NT4H/page-1", "NTD4855NT4H")</f>
        <v>NTD4855NT4H</v>
      </c>
      <c r="B10517" s="3" t="str">
        <f>HYPERLINK("https://www.773grp.com/manufacturer/onsemi?pageNo=1080", "Onsemi")</f>
        <v>Onsemi</v>
      </c>
      <c r="C10517" s="6">
        <v>25000</v>
      </c>
      <c r="D10517" s="7">
        <v>1.21</v>
      </c>
    </row>
    <row r="10518" spans="1:5" x14ac:dyDescent="0.25">
      <c r="A10518" t="str">
        <f>HYPERLINK("https://www.773grp.com/globalSearch/NTHD2110TT1G/page-1", "NTHD2110TT1G")</f>
        <v>NTHD2110TT1G</v>
      </c>
      <c r="B10518" s="3" t="str">
        <f>HYPERLINK("https://www.773grp.com/manufacturer/onsemi?pageNo=1081", "Onsemi")</f>
        <v>Onsemi</v>
      </c>
      <c r="C10518" s="6">
        <v>45000</v>
      </c>
      <c r="D10518" s="7">
        <v>1.21</v>
      </c>
      <c r="E10518" t="s">
        <v>85</v>
      </c>
    </row>
    <row r="10519" spans="1:5" x14ac:dyDescent="0.25">
      <c r="A10519" t="str">
        <f>HYPERLINK("https://www.773grp.com/globalSearch/NTLJS4149PTAG/page-1", "NTLJS4149PTAG")</f>
        <v>NTLJS4149PTAG</v>
      </c>
      <c r="B10519" s="3" t="str">
        <f>HYPERLINK("https://www.773grp.com/manufacturer/onsemi?pageNo=1082", "Onsemi")</f>
        <v>Onsemi</v>
      </c>
      <c r="C10519" s="6">
        <v>3000</v>
      </c>
      <c r="D10519" s="7">
        <v>1.21</v>
      </c>
      <c r="E10519" t="s">
        <v>85</v>
      </c>
    </row>
    <row r="10520" spans="1:5" x14ac:dyDescent="0.25">
      <c r="A10520" t="str">
        <f>HYPERLINK("https://www.773grp.com/globalSearch/NTMD4N03R2G/page-1", "NTMD4N03R2G")</f>
        <v>NTMD4N03R2G</v>
      </c>
      <c r="B10520" s="3" t="str">
        <f>HYPERLINK("https://www.773grp.com/manufacturer/onsemi?pageNo=1083", "Onsemi")</f>
        <v>Onsemi</v>
      </c>
      <c r="C10520" s="6">
        <v>125190</v>
      </c>
      <c r="D10520" s="7">
        <v>1.21</v>
      </c>
      <c r="E10520" t="s">
        <v>84</v>
      </c>
    </row>
    <row r="10521" spans="1:5" x14ac:dyDescent="0.25">
      <c r="A10521" t="str">
        <f>HYPERLINK("https://www.773grp.com/globalSearch/NTMFS4841NHT1G/page-1", "NTMFS4841NHT1G")</f>
        <v>NTMFS4841NHT1G</v>
      </c>
      <c r="B10521" s="3" t="str">
        <f>HYPERLINK("https://www.773grp.com/manufacturer/onsemi?pageNo=1084", "Onsemi")</f>
        <v>Onsemi</v>
      </c>
      <c r="C10521" s="6">
        <v>452</v>
      </c>
      <c r="D10521" s="7">
        <v>1.21</v>
      </c>
      <c r="E10521" t="s">
        <v>84</v>
      </c>
    </row>
    <row r="10522" spans="1:5" x14ac:dyDescent="0.25">
      <c r="A10522" t="str">
        <f>HYPERLINK("https://www.773grp.com/globalSearch/NTMFS4847NAT1G/page-1", "NTMFS4847NAT1G")</f>
        <v>NTMFS4847NAT1G</v>
      </c>
      <c r="B10522" s="3" t="str">
        <f>HYPERLINK("https://www.773grp.com/manufacturer/onsemi?pageNo=1085", "Onsemi")</f>
        <v>Onsemi</v>
      </c>
      <c r="C10522" s="6">
        <v>168000</v>
      </c>
      <c r="D10522" s="7">
        <v>1.21</v>
      </c>
    </row>
    <row r="10523" spans="1:5" x14ac:dyDescent="0.25">
      <c r="A10523" t="str">
        <f>HYPERLINK("https://www.773grp.com/globalSearch/NTMFS5844NLT1G/page-1", "NTMFS5844NLT1G")</f>
        <v>NTMFS5844NLT1G</v>
      </c>
      <c r="B10523" s="3" t="str">
        <f>HYPERLINK("https://www.773grp.com/manufacturer/onsemi?pageNo=1086", "Onsemi")</f>
        <v>Onsemi</v>
      </c>
      <c r="C10523" s="6">
        <v>9938</v>
      </c>
      <c r="D10523" s="7">
        <v>1.21</v>
      </c>
    </row>
    <row r="10524" spans="1:5" x14ac:dyDescent="0.25">
      <c r="A10524" t="str">
        <f>HYPERLINK("https://www.773grp.com/globalSearch/NTMS3P03R2G/page-1", "NTMS3P03R2G")</f>
        <v>NTMS3P03R2G</v>
      </c>
      <c r="B10524" s="3" t="str">
        <f>HYPERLINK("https://www.773grp.com/manufacturer/onsemi?pageNo=1087", "Onsemi")</f>
        <v>Onsemi</v>
      </c>
      <c r="C10524" s="6">
        <v>70230</v>
      </c>
      <c r="D10524" s="7">
        <v>1.21</v>
      </c>
      <c r="E10524" t="s">
        <v>85</v>
      </c>
    </row>
    <row r="10525" spans="1:5" x14ac:dyDescent="0.25">
      <c r="A10525" t="str">
        <f>HYPERLINK("https://www.773grp.com/globalSearch/NTMS5835NLR2G/page-1", "NTMS5835NLR2G")</f>
        <v>NTMS5835NLR2G</v>
      </c>
      <c r="B10525" s="3" t="str">
        <f>HYPERLINK("https://www.773grp.com/manufacturer/onsemi?pageNo=1088", "Onsemi")</f>
        <v>Onsemi</v>
      </c>
      <c r="C10525" s="6">
        <v>5000</v>
      </c>
      <c r="D10525" s="7">
        <v>1.21</v>
      </c>
    </row>
    <row r="10526" spans="1:5" x14ac:dyDescent="0.25">
      <c r="A10526" t="str">
        <f>HYPERLINK("https://www.773grp.com/globalSearch/NTUD3127CT5G/page-1", "NTUD3127CT5G")</f>
        <v>NTUD3127CT5G</v>
      </c>
      <c r="B10526" s="3" t="str">
        <f>HYPERLINK("https://www.773grp.com/manufacturer/onsemi?pageNo=1089", "Onsemi")</f>
        <v>Onsemi</v>
      </c>
      <c r="C10526" s="6">
        <v>1995304</v>
      </c>
      <c r="D10526" s="7">
        <v>1.21</v>
      </c>
      <c r="E10526" t="s">
        <v>85</v>
      </c>
    </row>
    <row r="10527" spans="1:5" x14ac:dyDescent="0.25">
      <c r="A10527" t="str">
        <f>HYPERLINK("https://www.773grp.com/globalSearch/NTUD3129PT5G/page-1", "NTUD3129PT5G")</f>
        <v>NTUD3129PT5G</v>
      </c>
      <c r="B10527" s="3" t="str">
        <f>HYPERLINK("https://www.773grp.com/manufacturer/onsemi?pageNo=1090", "Onsemi")</f>
        <v>Onsemi</v>
      </c>
      <c r="C10527" s="6">
        <v>30947</v>
      </c>
      <c r="D10527" s="7">
        <v>1.21</v>
      </c>
      <c r="E10527" t="s">
        <v>85</v>
      </c>
    </row>
    <row r="10528" spans="1:5" x14ac:dyDescent="0.25">
      <c r="A10528" t="str">
        <f>HYPERLINK("https://www.773grp.com/globalSearch/NUP8028MNT1G/page-1", "NUP8028MNT1G")</f>
        <v>NUP8028MNT1G</v>
      </c>
      <c r="B10528" s="3" t="str">
        <f>HYPERLINK("https://www.773grp.com/manufacturer/onsemi?pageNo=1091", "Onsemi")</f>
        <v>Onsemi</v>
      </c>
      <c r="C10528" s="6">
        <v>17987</v>
      </c>
      <c r="D10528" s="7">
        <v>1.21</v>
      </c>
      <c r="E10528" t="s">
        <v>75</v>
      </c>
    </row>
    <row r="10529" spans="1:5" x14ac:dyDescent="0.25">
      <c r="A10529" t="str">
        <f>HYPERLINK("https://www.773grp.com/globalSearch/PACDN004SR/page-1", "PACDN004SR")</f>
        <v>PACDN004SR</v>
      </c>
      <c r="B10529" s="3" t="str">
        <f>HYPERLINK("https://www.773grp.com/manufacturer/onsemi?pageNo=1092", "Onsemi")</f>
        <v>Onsemi</v>
      </c>
      <c r="C10529" s="6">
        <v>12248</v>
      </c>
      <c r="D10529" s="7">
        <v>1.21</v>
      </c>
    </row>
    <row r="10530" spans="1:5" x14ac:dyDescent="0.25">
      <c r="A10530" t="str">
        <f>HYPERLINK("https://www.773grp.com/globalSearch/PZT751T1G/page-1", "PZT751T1G")</f>
        <v>PZT751T1G</v>
      </c>
      <c r="B10530" s="3" t="str">
        <f>HYPERLINK("https://www.773grp.com/manufacturer/onsemi?pageNo=1093", "Onsemi")</f>
        <v>Onsemi</v>
      </c>
      <c r="C10530" s="6">
        <v>162000</v>
      </c>
      <c r="D10530" s="7">
        <v>1.21</v>
      </c>
      <c r="E10530" t="s">
        <v>57</v>
      </c>
    </row>
    <row r="10531" spans="1:5" x14ac:dyDescent="0.25">
      <c r="A10531" t="str">
        <f>HYPERLINK("https://www.773grp.com/globalSearch/SC2902DTBR2G/page-1", "SC2902DTBR2G")</f>
        <v>SC2902DTBR2G</v>
      </c>
      <c r="B10531" s="3" t="str">
        <f>HYPERLINK("https://www.773grp.com/manufacturer/onsemi?pageNo=1094", "Onsemi")</f>
        <v>Onsemi</v>
      </c>
      <c r="C10531" s="6">
        <v>2500</v>
      </c>
      <c r="D10531" s="7">
        <v>1.21</v>
      </c>
    </row>
    <row r="10532" spans="1:5" x14ac:dyDescent="0.25">
      <c r="A10532" t="str">
        <f>HYPERLINK("https://www.773grp.com/globalSearch/SC2903NG/page-1", "SC2903NG")</f>
        <v>SC2903NG</v>
      </c>
      <c r="B10532" s="3" t="str">
        <f>HYPERLINK("https://www.773grp.com/manufacturer/onsemi?pageNo=1095", "Onsemi")</f>
        <v>Onsemi</v>
      </c>
      <c r="C10532" s="6">
        <v>6840</v>
      </c>
      <c r="D10532" s="7">
        <v>1.21</v>
      </c>
    </row>
    <row r="10533" spans="1:5" x14ac:dyDescent="0.25">
      <c r="A10533" t="str">
        <f>HYPERLINK("https://www.773grp.com/globalSearch/SC2904NG/page-1", "SC2904NG")</f>
        <v>SC2904NG</v>
      </c>
      <c r="B10533" s="3" t="str">
        <f>HYPERLINK("https://www.773grp.com/manufacturer/onsemi?pageNo=1096", "Onsemi")</f>
        <v>Onsemi</v>
      </c>
      <c r="C10533" s="6">
        <v>8850</v>
      </c>
      <c r="D10533" s="7">
        <v>1.21</v>
      </c>
    </row>
    <row r="10534" spans="1:5" x14ac:dyDescent="0.25">
      <c r="A10534" t="str">
        <f>HYPERLINK("https://www.773grp.com/globalSearch/SC2904VN/page-1", "SC2904VN")</f>
        <v>SC2904VN</v>
      </c>
      <c r="B10534" s="3" t="str">
        <f>HYPERLINK("https://www.773grp.com/manufacturer/onsemi?pageNo=1097", "Onsemi")</f>
        <v>Onsemi</v>
      </c>
      <c r="C10534" s="6">
        <v>4000</v>
      </c>
      <c r="D10534" s="7">
        <v>1.21</v>
      </c>
    </row>
    <row r="10535" spans="1:5" x14ac:dyDescent="0.25">
      <c r="A10535" t="str">
        <f>HYPERLINK("https://www.773grp.com/globalSearch/SC339NG/page-1", "SC339NG")</f>
        <v>SC339NG</v>
      </c>
      <c r="B10535" s="3" t="str">
        <f>HYPERLINK("https://www.773grp.com/manufacturer/onsemi?pageNo=1098", "Onsemi")</f>
        <v>Onsemi</v>
      </c>
      <c r="C10535" s="6">
        <v>3725</v>
      </c>
      <c r="D10535" s="7">
        <v>1.21</v>
      </c>
    </row>
    <row r="10536" spans="1:5" x14ac:dyDescent="0.25">
      <c r="A10536" t="str">
        <f>HYPERLINK("https://www.773grp.com/globalSearch/SCY1117DT18RK/page-1", "SCY1117DT18RK")</f>
        <v>SCY1117DT18RK</v>
      </c>
      <c r="B10536" s="3" t="str">
        <f>HYPERLINK("https://www.773grp.com/manufacturer/onsemi?pageNo=1099", "Onsemi")</f>
        <v>Onsemi</v>
      </c>
      <c r="C10536" s="6">
        <v>100000</v>
      </c>
      <c r="D10536" s="7">
        <v>1.21</v>
      </c>
    </row>
    <row r="10537" spans="1:5" x14ac:dyDescent="0.25">
      <c r="A10537" t="str">
        <f>HYPERLINK("https://www.773grp.com/globalSearch/SE5532AD8/page-1", "SE5532AD8")</f>
        <v>SE5532AD8</v>
      </c>
      <c r="B10537" s="3" t="str">
        <f>HYPERLINK("https://www.773grp.com/manufacturer/onsemi?pageNo=1100", "Onsemi")</f>
        <v>Onsemi</v>
      </c>
      <c r="C10537" s="6">
        <v>230</v>
      </c>
      <c r="D10537" s="7">
        <v>1.21</v>
      </c>
      <c r="E10537" t="s">
        <v>10</v>
      </c>
    </row>
    <row r="10538" spans="1:5" x14ac:dyDescent="0.25">
      <c r="A10538" t="str">
        <f>HYPERLINK("https://www.773grp.com/globalSearch/SFT1350-TL-H/page-1", "SFT1350-TL-H")</f>
        <v>SFT1350-TL-H</v>
      </c>
      <c r="B10538" s="3" t="str">
        <f>HYPERLINK("https://www.773grp.com/manufacturer/onsemi?pageNo=1101", "Onsemi")</f>
        <v>Onsemi</v>
      </c>
      <c r="C10538" s="6">
        <v>1400</v>
      </c>
      <c r="D10538" s="7">
        <v>1.21</v>
      </c>
    </row>
    <row r="10539" spans="1:5" x14ac:dyDescent="0.25">
      <c r="A10539" t="str">
        <f>HYPERLINK("https://www.773grp.com/globalSearch/SN74LS541DW/page-1", "SN74LS541DW")</f>
        <v>SN74LS541DW</v>
      </c>
      <c r="B10539" s="3" t="str">
        <f>HYPERLINK("https://www.773grp.com/manufacturer/onsemi?pageNo=1102", "Onsemi")</f>
        <v>Onsemi</v>
      </c>
      <c r="C10539" s="6">
        <v>617</v>
      </c>
      <c r="D10539" s="7">
        <v>1.21</v>
      </c>
      <c r="E10539" t="s">
        <v>11</v>
      </c>
    </row>
    <row r="10540" spans="1:5" x14ac:dyDescent="0.25">
      <c r="A10540" t="str">
        <f>HYPERLINK("https://www.773grp.com/globalSearch/TIP29AG/page-1", "TIP29AG")</f>
        <v>TIP29AG</v>
      </c>
      <c r="B10540" s="3" t="str">
        <f>HYPERLINK("https://www.773grp.com/manufacturer/onsemi?pageNo=1103", "Onsemi")</f>
        <v>Onsemi</v>
      </c>
      <c r="C10540" s="6">
        <v>8085</v>
      </c>
      <c r="D10540" s="7">
        <v>1.21</v>
      </c>
      <c r="E10540" t="s">
        <v>47</v>
      </c>
    </row>
    <row r="10541" spans="1:5" x14ac:dyDescent="0.25">
      <c r="A10541" t="str">
        <f>HYPERLINK("https://www.773grp.com/globalSearch/TIP29BG/page-1", "TIP29BG")</f>
        <v>TIP29BG</v>
      </c>
      <c r="B10541" s="3" t="str">
        <f>HYPERLINK("https://www.773grp.com/manufacturer/onsemi?pageNo=1104", "Onsemi")</f>
        <v>Onsemi</v>
      </c>
      <c r="C10541" s="6">
        <v>10513</v>
      </c>
      <c r="D10541" s="7">
        <v>1.21</v>
      </c>
      <c r="E10541" t="s">
        <v>47</v>
      </c>
    </row>
    <row r="10542" spans="1:5" x14ac:dyDescent="0.25">
      <c r="A10542" t="str">
        <f>HYPERLINK("https://www.773grp.com/globalSearch/TIP29CG/page-1", "TIP29CG")</f>
        <v>TIP29CG</v>
      </c>
      <c r="B10542" s="3" t="str">
        <f>HYPERLINK("https://www.773grp.com/manufacturer/onsemi?pageNo=1105", "Onsemi")</f>
        <v>Onsemi</v>
      </c>
      <c r="C10542" s="6">
        <v>37098</v>
      </c>
      <c r="D10542" s="7">
        <v>1.21</v>
      </c>
      <c r="E10542" t="s">
        <v>47</v>
      </c>
    </row>
    <row r="10543" spans="1:5" x14ac:dyDescent="0.25">
      <c r="A10543" t="str">
        <f>HYPERLINK("https://www.773grp.com/globalSearch/TL062CD/page-1", "TL062CD")</f>
        <v>TL062CD</v>
      </c>
      <c r="B10543" s="3" t="str">
        <f>HYPERLINK("https://www.773grp.com/manufacturer/onsemi?pageNo=1106", "Onsemi")</f>
        <v>Onsemi</v>
      </c>
      <c r="C10543" s="6">
        <v>4704</v>
      </c>
      <c r="D10543" s="7">
        <v>1.21</v>
      </c>
      <c r="E10543" t="s">
        <v>10</v>
      </c>
    </row>
    <row r="10544" spans="1:5" x14ac:dyDescent="0.25">
      <c r="A10544" t="str">
        <f>HYPERLINK("https://www.773grp.com/globalSearch/TL594CDTB/page-1", "TL594CDTB")</f>
        <v>TL594CDTB</v>
      </c>
      <c r="B10544" s="3" t="str">
        <f>HYPERLINK("https://www.773grp.com/manufacturer/onsemi?pageNo=1107", "Onsemi")</f>
        <v>Onsemi</v>
      </c>
      <c r="C10544" s="6">
        <v>384</v>
      </c>
      <c r="D10544" s="7">
        <v>1.21</v>
      </c>
      <c r="E10544" t="s">
        <v>5</v>
      </c>
    </row>
    <row r="10545" spans="1:5" x14ac:dyDescent="0.25">
      <c r="A10545" t="str">
        <f>HYPERLINK("https://www.773grp.com/globalSearch/TL594CN/page-1", "TL594CN")</f>
        <v>TL594CN</v>
      </c>
      <c r="B10545" s="3" t="str">
        <f>HYPERLINK("https://www.773grp.com/manufacturer/onsemi?pageNo=1108", "Onsemi")</f>
        <v>Onsemi</v>
      </c>
      <c r="C10545" s="6">
        <v>74137</v>
      </c>
      <c r="D10545" s="7">
        <v>1.21</v>
      </c>
      <c r="E10545" t="s">
        <v>5</v>
      </c>
    </row>
    <row r="10546" spans="1:5" x14ac:dyDescent="0.25">
      <c r="A10546" t="str">
        <f>HYPERLINK("https://www.773grp.com/globalSearch/ULN2004A/page-1", "ULN2004A")</f>
        <v>ULN2004A</v>
      </c>
      <c r="B10546" s="3" t="str">
        <f>HYPERLINK("https://www.773grp.com/manufacturer/onsemi?pageNo=1109", "Onsemi")</f>
        <v>Onsemi</v>
      </c>
      <c r="C10546" s="6">
        <v>739</v>
      </c>
      <c r="D10546" s="7">
        <v>1.21</v>
      </c>
      <c r="E10546" t="s">
        <v>47</v>
      </c>
    </row>
    <row r="10547" spans="1:5" x14ac:dyDescent="0.25">
      <c r="A10547" t="str">
        <f>HYPERLINK("https://www.773grp.com/globalSearch/1.5SMSC30AT3G/page-1", "1.5SMSC30AT3G")</f>
        <v>1.5SMSC30AT3G</v>
      </c>
      <c r="B10547" s="3" t="str">
        <f>HYPERLINK("https://www.773grp.com/manufacturer/onsemi?pageNo=1110", "Onsemi")</f>
        <v>Onsemi</v>
      </c>
      <c r="C10547" s="6">
        <v>10090</v>
      </c>
      <c r="D10547" s="7">
        <v>1.26</v>
      </c>
      <c r="E10547" t="s">
        <v>75</v>
      </c>
    </row>
    <row r="10548" spans="1:5" x14ac:dyDescent="0.25">
      <c r="A10548" t="str">
        <f>HYPERLINK("https://www.773grp.com/globalSearch/1.5SMSC33AT3G/page-1", "1.5SMSC33AT3G")</f>
        <v>1.5SMSC33AT3G</v>
      </c>
      <c r="B10548" s="3" t="str">
        <f>HYPERLINK("https://www.773grp.com/manufacturer/onsemi?pageNo=1111", "Onsemi")</f>
        <v>Onsemi</v>
      </c>
      <c r="C10548" s="6">
        <v>5956</v>
      </c>
      <c r="D10548" s="7">
        <v>1.26</v>
      </c>
    </row>
    <row r="10549" spans="1:5" x14ac:dyDescent="0.25">
      <c r="A10549" t="str">
        <f>HYPERLINK("https://www.773grp.com/globalSearch/1.5SMSC36AT3G/page-1", "1.5SMSC36AT3G")</f>
        <v>1.5SMSC36AT3G</v>
      </c>
      <c r="B10549" s="3" t="str">
        <f>HYPERLINK("https://www.773grp.com/manufacturer/onsemi?pageNo=1112", "Onsemi")</f>
        <v>Onsemi</v>
      </c>
      <c r="C10549" s="6">
        <v>2500</v>
      </c>
      <c r="D10549" s="7">
        <v>1.26</v>
      </c>
      <c r="E10549" t="s">
        <v>75</v>
      </c>
    </row>
    <row r="10550" spans="1:5" x14ac:dyDescent="0.25">
      <c r="A10550" t="str">
        <f>HYPERLINK("https://www.773grp.com/globalSearch/1.5SMSC39AT3G/page-1", "1.5SMSC39AT3G")</f>
        <v>1.5SMSC39AT3G</v>
      </c>
      <c r="B10550" s="3" t="str">
        <f>HYPERLINK("https://www.773grp.com/manufacturer/onsemi?pageNo=1113", "Onsemi")</f>
        <v>Onsemi</v>
      </c>
      <c r="C10550" s="6">
        <v>9407</v>
      </c>
      <c r="D10550" s="7">
        <v>1.26</v>
      </c>
    </row>
    <row r="10551" spans="1:5" x14ac:dyDescent="0.25">
      <c r="A10551" t="str">
        <f>HYPERLINK("https://www.773grp.com/globalSearch/1.5SMSC43AT3G/page-1", "1.5SMSC43AT3G")</f>
        <v>1.5SMSC43AT3G</v>
      </c>
      <c r="B10551" s="3" t="str">
        <f>HYPERLINK("https://www.773grp.com/manufacturer/onsemi?pageNo=1114", "Onsemi")</f>
        <v>Onsemi</v>
      </c>
      <c r="C10551" s="6">
        <v>5000</v>
      </c>
      <c r="D10551" s="7">
        <v>1.26</v>
      </c>
      <c r="E10551" t="s">
        <v>75</v>
      </c>
    </row>
    <row r="10552" spans="1:5" x14ac:dyDescent="0.25">
      <c r="A10552" t="str">
        <f>HYPERLINK("https://www.773grp.com/globalSearch/1.5SMSC62AT3G/page-1", "1.5SMSC62AT3G")</f>
        <v>1.5SMSC62AT3G</v>
      </c>
      <c r="B10552" s="3" t="str">
        <f>HYPERLINK("https://www.773grp.com/manufacturer/onsemi?pageNo=1115", "Onsemi")</f>
        <v>Onsemi</v>
      </c>
      <c r="C10552" s="6">
        <v>5000</v>
      </c>
      <c r="D10552" s="7">
        <v>1.26</v>
      </c>
      <c r="E10552" t="s">
        <v>75</v>
      </c>
    </row>
    <row r="10553" spans="1:5" x14ac:dyDescent="0.25">
      <c r="A10553" t="str">
        <f>HYPERLINK("https://www.773grp.com/globalSearch/1N5239D/page-1", "1N5239D")</f>
        <v>1N5239D</v>
      </c>
      <c r="B10553" s="3" t="str">
        <f>HYPERLINK("https://www.773grp.com/manufacturer/onsemi?pageNo=1116", "Onsemi")</f>
        <v>Onsemi</v>
      </c>
      <c r="C10553" s="6">
        <v>1017</v>
      </c>
      <c r="D10553" s="7">
        <v>1.26</v>
      </c>
      <c r="E10553" t="s">
        <v>77</v>
      </c>
    </row>
    <row r="10554" spans="1:5" x14ac:dyDescent="0.25">
      <c r="A10554" t="str">
        <f>HYPERLINK("https://www.773grp.com/globalSearch/1SMSC12AT3G/page-1", "1SMSC12AT3G")</f>
        <v>1SMSC12AT3G</v>
      </c>
      <c r="B10554" s="3" t="str">
        <f>HYPERLINK("https://www.773grp.com/manufacturer/onsemi?pageNo=1117", "Onsemi")</f>
        <v>Onsemi</v>
      </c>
      <c r="C10554" s="6">
        <v>22500</v>
      </c>
      <c r="D10554" s="7">
        <v>1.26</v>
      </c>
      <c r="E10554" t="s">
        <v>75</v>
      </c>
    </row>
    <row r="10555" spans="1:5" x14ac:dyDescent="0.25">
      <c r="A10555" t="str">
        <f>HYPERLINK("https://www.773grp.com/globalSearch/1SMSC33AT3G/page-1", "1SMSC33AT3G")</f>
        <v>1SMSC33AT3G</v>
      </c>
      <c r="B10555" s="3" t="str">
        <f>HYPERLINK("https://www.773grp.com/manufacturer/onsemi?pageNo=1118", "Onsemi")</f>
        <v>Onsemi</v>
      </c>
      <c r="C10555" s="6">
        <v>5000</v>
      </c>
      <c r="D10555" s="7">
        <v>1.26</v>
      </c>
      <c r="E10555" t="s">
        <v>75</v>
      </c>
    </row>
    <row r="10556" spans="1:5" x14ac:dyDescent="0.25">
      <c r="A10556" t="str">
        <f>HYPERLINK("https://www.773grp.com/globalSearch/1SMSC36AT3G/page-1", "1SMSC36AT3G")</f>
        <v>1SMSC36AT3G</v>
      </c>
      <c r="B10556" s="3" t="str">
        <f>HYPERLINK("https://www.773grp.com/manufacturer/onsemi?pageNo=1119", "Onsemi")</f>
        <v>Onsemi</v>
      </c>
      <c r="C10556" s="6">
        <v>27500</v>
      </c>
      <c r="D10556" s="7">
        <v>1.26</v>
      </c>
    </row>
    <row r="10557" spans="1:5" x14ac:dyDescent="0.25">
      <c r="A10557" t="str">
        <f>HYPERLINK("https://www.773grp.com/globalSearch/1SMSC5.0AT3G/page-1", "1SMSC5.0AT3G")</f>
        <v>1SMSC5.0AT3G</v>
      </c>
      <c r="B10557" s="3" t="str">
        <f>HYPERLINK("https://www.773grp.com/manufacturer/onsemi?pageNo=1120", "Onsemi")</f>
        <v>Onsemi</v>
      </c>
      <c r="C10557" s="6">
        <v>7400</v>
      </c>
      <c r="D10557" s="7">
        <v>1.26</v>
      </c>
      <c r="E10557" t="s">
        <v>75</v>
      </c>
    </row>
    <row r="10558" spans="1:5" x14ac:dyDescent="0.25">
      <c r="A10558" t="str">
        <f>HYPERLINK("https://www.773grp.com/globalSearch/2N3251/page-1", "2N3251")</f>
        <v>2N3251</v>
      </c>
      <c r="B10558" s="3" t="str">
        <f>HYPERLINK("https://www.773grp.com/manufacturer/onsemi?pageNo=1121", "Onsemi")</f>
        <v>Onsemi</v>
      </c>
      <c r="C10558" s="6">
        <v>2215</v>
      </c>
      <c r="D10558" s="7">
        <v>1.26</v>
      </c>
      <c r="E10558" t="s">
        <v>57</v>
      </c>
    </row>
    <row r="10559" spans="1:5" x14ac:dyDescent="0.25">
      <c r="A10559" t="str">
        <f>HYPERLINK("https://www.773grp.com/globalSearch/2N6034G/page-1", "2N6034G")</f>
        <v>2N6034G</v>
      </c>
      <c r="B10559" s="3" t="str">
        <f>HYPERLINK("https://www.773grp.com/manufacturer/onsemi?pageNo=1122", "Onsemi")</f>
        <v>Onsemi</v>
      </c>
      <c r="C10559" s="6">
        <v>884</v>
      </c>
      <c r="D10559" s="7">
        <v>1.26</v>
      </c>
      <c r="E10559" t="s">
        <v>47</v>
      </c>
    </row>
    <row r="10560" spans="1:5" x14ac:dyDescent="0.25">
      <c r="A10560" t="str">
        <f>HYPERLINK("https://www.773grp.com/globalSearch/2N6035G/page-1", "2N6035G")</f>
        <v>2N6035G</v>
      </c>
      <c r="B10560" s="3" t="str">
        <f>HYPERLINK("https://www.773grp.com/manufacturer/onsemi?pageNo=1123", "Onsemi")</f>
        <v>Onsemi</v>
      </c>
      <c r="C10560" s="6">
        <v>4083</v>
      </c>
      <c r="D10560" s="7">
        <v>1.26</v>
      </c>
      <c r="E10560" t="s">
        <v>47</v>
      </c>
    </row>
    <row r="10561" spans="1:5" x14ac:dyDescent="0.25">
      <c r="A10561" t="str">
        <f>HYPERLINK("https://www.773grp.com/globalSearch/2SB1143T/page-1", "2SB1143T")</f>
        <v>2SB1143T</v>
      </c>
      <c r="B10561" s="3" t="str">
        <f>HYPERLINK("https://www.773grp.com/manufacturer/onsemi?pageNo=1124", "Onsemi")</f>
        <v>Onsemi</v>
      </c>
      <c r="C10561" s="6">
        <v>1800</v>
      </c>
      <c r="D10561" s="7">
        <v>1.26</v>
      </c>
    </row>
    <row r="10562" spans="1:5" x14ac:dyDescent="0.25">
      <c r="A10562" t="str">
        <f>HYPERLINK("https://www.773grp.com/globalSearch/74VCXH245MNR2/page-1", "74VCXH245MNR2")</f>
        <v>74VCXH245MNR2</v>
      </c>
      <c r="B10562" s="3" t="str">
        <f>HYPERLINK("https://www.773grp.com/manufacturer/onsemi?pageNo=1125", "Onsemi")</f>
        <v>Onsemi</v>
      </c>
      <c r="C10562" s="6">
        <v>3000</v>
      </c>
      <c r="D10562" s="7">
        <v>1.26</v>
      </c>
      <c r="E10562" t="s">
        <v>11</v>
      </c>
    </row>
    <row r="10563" spans="1:5" x14ac:dyDescent="0.25">
      <c r="A10563" t="str">
        <f>HYPERLINK("https://www.773grp.com/globalSearch/80SQ045NG/page-1", "80SQ045NG")</f>
        <v>80SQ045NG</v>
      </c>
      <c r="B10563" s="3" t="str">
        <f>HYPERLINK("https://www.773grp.com/manufacturer/onsemi?pageNo=1126", "Onsemi")</f>
        <v>Onsemi</v>
      </c>
      <c r="C10563" s="6">
        <v>2150</v>
      </c>
      <c r="D10563" s="7">
        <v>1.26</v>
      </c>
    </row>
    <row r="10564" spans="1:5" x14ac:dyDescent="0.25">
      <c r="A10564" t="str">
        <f>HYPERLINK("https://www.773grp.com/globalSearch/80SQ045NRLG/page-1", "80SQ045NRLG")</f>
        <v>80SQ045NRLG</v>
      </c>
      <c r="B10564" s="3" t="str">
        <f>HYPERLINK("https://www.773grp.com/manufacturer/onsemi?pageNo=1127", "Onsemi")</f>
        <v>Onsemi</v>
      </c>
      <c r="C10564" s="6">
        <v>3000</v>
      </c>
      <c r="D10564" s="7">
        <v>1.26</v>
      </c>
      <c r="E10564" t="s">
        <v>82</v>
      </c>
    </row>
    <row r="10565" spans="1:5" x14ac:dyDescent="0.25">
      <c r="A10565" t="str">
        <f>HYPERLINK("https://www.773grp.com/globalSearch/ADP3611JRMZ-REEL/page-1", "ADP3611JRMZ-REEL")</f>
        <v>ADP3611JRMZ-REEL</v>
      </c>
      <c r="B10565" s="3" t="str">
        <f>HYPERLINK("https://www.773grp.com/manufacturer/onsemi?pageNo=1128", "Onsemi")</f>
        <v>Onsemi</v>
      </c>
      <c r="C10565" s="6">
        <v>12000</v>
      </c>
      <c r="D10565" s="7">
        <v>1.26</v>
      </c>
    </row>
    <row r="10566" spans="1:5" x14ac:dyDescent="0.25">
      <c r="A10566" t="str">
        <f>HYPERLINK("https://www.773grp.com/globalSearch/ADP3611MNR2G/page-1", "ADP3611MNR2G")</f>
        <v>ADP3611MNR2G</v>
      </c>
      <c r="B10566" s="3" t="str">
        <f>HYPERLINK("https://www.773grp.com/manufacturer/onsemi?pageNo=1129", "Onsemi")</f>
        <v>Onsemi</v>
      </c>
      <c r="C10566" s="6">
        <v>45000</v>
      </c>
      <c r="D10566" s="7">
        <v>1.26</v>
      </c>
    </row>
    <row r="10567" spans="1:5" x14ac:dyDescent="0.25">
      <c r="A10567" t="str">
        <f>HYPERLINK("https://www.773grp.com/globalSearch/BD436G/page-1", "BD436G")</f>
        <v>BD436G</v>
      </c>
      <c r="B10567" s="3" t="str">
        <f>HYPERLINK("https://www.773grp.com/manufacturer/onsemi?pageNo=1130", "Onsemi")</f>
        <v>Onsemi</v>
      </c>
      <c r="C10567" s="6">
        <v>19200</v>
      </c>
      <c r="D10567" s="7">
        <v>1.26</v>
      </c>
      <c r="E10567" t="s">
        <v>47</v>
      </c>
    </row>
    <row r="10568" spans="1:5" x14ac:dyDescent="0.25">
      <c r="A10568" t="str">
        <f>HYPERLINK("https://www.773grp.com/globalSearch/BD436TG/page-1", "BD436TG")</f>
        <v>BD436TG</v>
      </c>
      <c r="B10568" s="3" t="str">
        <f>HYPERLINK("https://www.773grp.com/manufacturer/onsemi?pageNo=1131", "Onsemi")</f>
        <v>Onsemi</v>
      </c>
      <c r="C10568" s="6">
        <v>75300</v>
      </c>
      <c r="D10568" s="7">
        <v>1.26</v>
      </c>
      <c r="E10568" t="s">
        <v>47</v>
      </c>
    </row>
    <row r="10569" spans="1:5" x14ac:dyDescent="0.25">
      <c r="A10569" t="str">
        <f>HYPERLINK("https://www.773grp.com/globalSearch/BD438G/page-1", "BD438G")</f>
        <v>BD438G</v>
      </c>
      <c r="B10569" s="3" t="str">
        <f>HYPERLINK("https://www.773grp.com/manufacturer/onsemi?pageNo=1132", "Onsemi")</f>
        <v>Onsemi</v>
      </c>
      <c r="C10569" s="6">
        <v>1686</v>
      </c>
      <c r="D10569" s="7">
        <v>1.26</v>
      </c>
      <c r="E10569" t="s">
        <v>47</v>
      </c>
    </row>
    <row r="10570" spans="1:5" x14ac:dyDescent="0.25">
      <c r="A10570" t="str">
        <f>HYPERLINK("https://www.773grp.com/globalSearch/BD440G/page-1", "BD440G")</f>
        <v>BD440G</v>
      </c>
      <c r="B10570" s="3" t="str">
        <f>HYPERLINK("https://www.773grp.com/manufacturer/onsemi?pageNo=1133", "Onsemi")</f>
        <v>Onsemi</v>
      </c>
      <c r="C10570" s="6">
        <v>500</v>
      </c>
      <c r="D10570" s="7">
        <v>1.26</v>
      </c>
      <c r="E10570" t="s">
        <v>47</v>
      </c>
    </row>
    <row r="10571" spans="1:5" x14ac:dyDescent="0.25">
      <c r="A10571" t="str">
        <f>HYPERLINK("https://www.773grp.com/globalSearch/BD676AG/page-1", "BD676AG")</f>
        <v>BD676AG</v>
      </c>
      <c r="B10571" s="3" t="str">
        <f>HYPERLINK("https://www.773grp.com/manufacturer/onsemi?pageNo=1134", "Onsemi")</f>
        <v>Onsemi</v>
      </c>
      <c r="C10571" s="6">
        <v>1500</v>
      </c>
      <c r="D10571" s="7">
        <v>1.26</v>
      </c>
      <c r="E10571" t="s">
        <v>47</v>
      </c>
    </row>
    <row r="10572" spans="1:5" x14ac:dyDescent="0.25">
      <c r="A10572" t="str">
        <f>HYPERLINK("https://www.773grp.com/globalSearch/BD676G/page-1", "BD676G")</f>
        <v>BD676G</v>
      </c>
      <c r="B10572" s="3" t="str">
        <f>HYPERLINK("https://www.773grp.com/manufacturer/onsemi?pageNo=1135", "Onsemi")</f>
        <v>Onsemi</v>
      </c>
      <c r="C10572" s="6">
        <v>41</v>
      </c>
      <c r="D10572" s="7">
        <v>1.26</v>
      </c>
      <c r="E10572" t="s">
        <v>47</v>
      </c>
    </row>
    <row r="10573" spans="1:5" x14ac:dyDescent="0.25">
      <c r="A10573" t="str">
        <f>HYPERLINK("https://www.773grp.com/globalSearch/BD678G/page-1", "BD678G")</f>
        <v>BD678G</v>
      </c>
      <c r="B10573" s="3" t="str">
        <f>HYPERLINK("https://www.773grp.com/manufacturer/onsemi?pageNo=1136", "Onsemi")</f>
        <v>Onsemi</v>
      </c>
      <c r="C10573" s="6">
        <v>5180</v>
      </c>
      <c r="D10573" s="7">
        <v>1.26</v>
      </c>
      <c r="E10573" t="s">
        <v>47</v>
      </c>
    </row>
    <row r="10574" spans="1:5" x14ac:dyDescent="0.25">
      <c r="A10574" t="str">
        <f>HYPERLINK("https://www.773grp.com/globalSearch/BD680AG/page-1", "BD680AG")</f>
        <v>BD680AG</v>
      </c>
      <c r="B10574" s="3" t="str">
        <f>HYPERLINK("https://www.773grp.com/manufacturer/onsemi?pageNo=1137", "Onsemi")</f>
        <v>Onsemi</v>
      </c>
      <c r="C10574" s="6">
        <v>1500</v>
      </c>
      <c r="D10574" s="7">
        <v>1.26</v>
      </c>
      <c r="E10574" t="s">
        <v>47</v>
      </c>
    </row>
    <row r="10575" spans="1:5" x14ac:dyDescent="0.25">
      <c r="A10575" t="str">
        <f>HYPERLINK("https://www.773grp.com/globalSearch/BD680G/page-1", "BD680G")</f>
        <v>BD680G</v>
      </c>
      <c r="B10575" s="3" t="str">
        <f>HYPERLINK("https://www.773grp.com/manufacturer/onsemi?pageNo=1138", "Onsemi")</f>
        <v>Onsemi</v>
      </c>
      <c r="C10575" s="6">
        <v>6807</v>
      </c>
      <c r="D10575" s="7">
        <v>1.26</v>
      </c>
      <c r="E10575" t="s">
        <v>47</v>
      </c>
    </row>
    <row r="10576" spans="1:5" x14ac:dyDescent="0.25">
      <c r="A10576" t="str">
        <f>HYPERLINK("https://www.773grp.com/globalSearch/BUH51G/page-1", "BUH51G")</f>
        <v>BUH51G</v>
      </c>
      <c r="B10576" s="3" t="str">
        <f>HYPERLINK("https://www.773grp.com/manufacturer/onsemi?pageNo=1139", "Onsemi")</f>
        <v>Onsemi</v>
      </c>
      <c r="C10576" s="6">
        <v>2400</v>
      </c>
      <c r="D10576" s="7">
        <v>1.26</v>
      </c>
      <c r="E10576" t="s">
        <v>47</v>
      </c>
    </row>
    <row r="10577" spans="1:5" x14ac:dyDescent="0.25">
      <c r="A10577" t="str">
        <f>HYPERLINK("https://www.773grp.com/globalSearch/CAT24C128ZI-GT3/page-1", "CAT24C128ZI-GT3")</f>
        <v>CAT24C128ZI-GT3</v>
      </c>
      <c r="B10577" s="3" t="str">
        <f>HYPERLINK("https://www.773grp.com/manufacturer/onsemi?pageNo=1140", "Onsemi")</f>
        <v>Onsemi</v>
      </c>
      <c r="C10577" s="6">
        <v>3000</v>
      </c>
      <c r="D10577" s="7">
        <v>1.26</v>
      </c>
      <c r="E10577" t="s">
        <v>52</v>
      </c>
    </row>
    <row r="10578" spans="1:5" x14ac:dyDescent="0.25">
      <c r="A10578" t="str">
        <f>HYPERLINK("https://www.773grp.com/globalSearch/CAT24C64WI-G/page-1", "CAT24C64WI-G")</f>
        <v>CAT24C64WI-G</v>
      </c>
      <c r="B10578" s="3" t="str">
        <f>HYPERLINK("https://www.773grp.com/manufacturer/onsemi?pageNo=1141", "Onsemi")</f>
        <v>Onsemi</v>
      </c>
      <c r="C10578" s="6">
        <v>8470</v>
      </c>
      <c r="D10578" s="7">
        <v>1.26</v>
      </c>
    </row>
    <row r="10579" spans="1:5" x14ac:dyDescent="0.25">
      <c r="A10579" t="str">
        <f>HYPERLINK("https://www.773grp.com/globalSearch/CAT24C64YI-G/page-1", "CAT24C64YI-G")</f>
        <v>CAT24C64YI-G</v>
      </c>
      <c r="B10579" s="3" t="str">
        <f>HYPERLINK("https://www.773grp.com/manufacturer/onsemi?pageNo=1142", "Onsemi")</f>
        <v>Onsemi</v>
      </c>
      <c r="C10579" s="6">
        <v>5000</v>
      </c>
      <c r="D10579" s="7">
        <v>1.26</v>
      </c>
    </row>
    <row r="10580" spans="1:5" x14ac:dyDescent="0.25">
      <c r="A10580" t="str">
        <f>HYPERLINK("https://www.773grp.com/globalSearch/CAT25080VE-GT3/page-1", "CAT25080VE-GT3")</f>
        <v>CAT25080VE-GT3</v>
      </c>
      <c r="B10580" s="3" t="str">
        <f>HYPERLINK("https://www.773grp.com/manufacturer/onsemi?pageNo=1143", "Onsemi")</f>
        <v>Onsemi</v>
      </c>
      <c r="C10580" s="6">
        <v>12000</v>
      </c>
      <c r="D10580" s="7">
        <v>1.26</v>
      </c>
      <c r="E10580" t="s">
        <v>52</v>
      </c>
    </row>
    <row r="10581" spans="1:5" x14ac:dyDescent="0.25">
      <c r="A10581" t="str">
        <f>HYPERLINK("https://www.773grp.com/globalSearch/CAT25640VP2I-GT3/page-1", "CAT25640VP2I-GT3")</f>
        <v>CAT25640VP2I-GT3</v>
      </c>
      <c r="B10581" s="3" t="str">
        <f>HYPERLINK("https://www.773grp.com/manufacturer/onsemi?pageNo=1144", "Onsemi")</f>
        <v>Onsemi</v>
      </c>
      <c r="C10581" s="6">
        <v>6000</v>
      </c>
      <c r="D10581" s="7">
        <v>1.26</v>
      </c>
    </row>
    <row r="10582" spans="1:5" x14ac:dyDescent="0.25">
      <c r="A10582" t="str">
        <f>HYPERLINK("https://www.773grp.com/globalSearch/CAT6218-280TDGT3/page-1", "CAT6218-280TDGT3")</f>
        <v>CAT6218-280TDGT3</v>
      </c>
      <c r="B10582" s="3" t="str">
        <f>HYPERLINK("https://www.773grp.com/manufacturer/onsemi?pageNo=1145", "Onsemi")</f>
        <v>Onsemi</v>
      </c>
      <c r="C10582" s="6">
        <v>27000</v>
      </c>
      <c r="D10582" s="7">
        <v>1.26</v>
      </c>
    </row>
    <row r="10583" spans="1:5" x14ac:dyDescent="0.25">
      <c r="A10583" t="str">
        <f>HYPERLINK("https://www.773grp.com/globalSearch/CAT6218-300TDGT3/page-1", "CAT6218-300TDGT3")</f>
        <v>CAT6218-300TDGT3</v>
      </c>
      <c r="B10583" s="3" t="str">
        <f>HYPERLINK("https://www.773grp.com/manufacturer/onsemi?pageNo=1146", "Onsemi")</f>
        <v>Onsemi</v>
      </c>
      <c r="C10583" s="6">
        <v>30000</v>
      </c>
      <c r="D10583" s="7">
        <v>1.26</v>
      </c>
    </row>
    <row r="10584" spans="1:5" x14ac:dyDescent="0.25">
      <c r="A10584" t="str">
        <f>HYPERLINK("https://www.773grp.com/globalSearch/CAT6219ADJTD-GT3/page-1", "CAT6219ADJTD-GT3")</f>
        <v>CAT6219ADJTD-GT3</v>
      </c>
      <c r="B10584" s="3" t="str">
        <f>HYPERLINK("https://www.773grp.com/manufacturer/onsemi?pageNo=1147", "Onsemi")</f>
        <v>Onsemi</v>
      </c>
      <c r="C10584" s="6">
        <v>9000</v>
      </c>
      <c r="D10584" s="7">
        <v>1.26</v>
      </c>
      <c r="E10584" t="s">
        <v>21</v>
      </c>
    </row>
    <row r="10585" spans="1:5" x14ac:dyDescent="0.25">
      <c r="A10585" t="str">
        <f>HYPERLINK("https://www.773grp.com/globalSearch/CAT803MTBI-GT3/page-1", "CAT803MTBI-GT3")</f>
        <v>CAT803MTBI-GT3</v>
      </c>
      <c r="B10585" s="3" t="str">
        <f>HYPERLINK("https://www.773grp.com/manufacturer/onsemi?pageNo=1148", "Onsemi")</f>
        <v>Onsemi</v>
      </c>
      <c r="C10585" s="6">
        <v>7600</v>
      </c>
      <c r="D10585" s="7">
        <v>1.26</v>
      </c>
    </row>
    <row r="10586" spans="1:5" x14ac:dyDescent="0.25">
      <c r="A10586" t="str">
        <f>HYPERLINK("https://www.773grp.com/globalSearch/CAT803STBI-GT3/page-1", "CAT803STBI-GT3")</f>
        <v>CAT803STBI-GT3</v>
      </c>
      <c r="B10586" s="3" t="str">
        <f>HYPERLINK("https://www.773grp.com/manufacturer/onsemi?pageNo=1149", "Onsemi")</f>
        <v>Onsemi</v>
      </c>
      <c r="C10586" s="6">
        <v>29500</v>
      </c>
      <c r="D10586" s="7">
        <v>1.26</v>
      </c>
    </row>
    <row r="10587" spans="1:5" x14ac:dyDescent="0.25">
      <c r="A10587" t="str">
        <f>HYPERLINK("https://www.773grp.com/globalSearch/CAT803TSDI-T3/page-1", "CAT803TSDI-T3")</f>
        <v>CAT803TSDI-T3</v>
      </c>
      <c r="B10587" s="3" t="str">
        <f>HYPERLINK("https://www.773grp.com/manufacturer/onsemi?pageNo=1150", "Onsemi")</f>
        <v>Onsemi</v>
      </c>
      <c r="C10587" s="6">
        <v>6000</v>
      </c>
      <c r="D10587" s="7">
        <v>1.26</v>
      </c>
      <c r="E10587" t="s">
        <v>26</v>
      </c>
    </row>
    <row r="10588" spans="1:5" x14ac:dyDescent="0.25">
      <c r="A10588" t="str">
        <f>HYPERLINK("https://www.773grp.com/globalSearch/CAT803TTBI-T10/page-1", "CAT803TTBI-T10")</f>
        <v>CAT803TTBI-T10</v>
      </c>
      <c r="B10588" s="3" t="str">
        <f>HYPERLINK("https://www.773grp.com/manufacturer/onsemi?pageNo=1151", "Onsemi")</f>
        <v>Onsemi</v>
      </c>
      <c r="C10588" s="6">
        <v>10000</v>
      </c>
      <c r="D10588" s="7">
        <v>1.26</v>
      </c>
      <c r="E10588" t="s">
        <v>26</v>
      </c>
    </row>
    <row r="10589" spans="1:5" x14ac:dyDescent="0.25">
      <c r="A10589" t="str">
        <f>HYPERLINK("https://www.773grp.com/globalSearch/CM1213A-04MR/page-1", "CM1213A-04MR")</f>
        <v>CM1213A-04MR</v>
      </c>
      <c r="B10589" s="3" t="str">
        <f>HYPERLINK("https://www.773grp.com/manufacturer/onsemi?pageNo=1152", "Onsemi")</f>
        <v>Onsemi</v>
      </c>
      <c r="C10589" s="6">
        <v>38955</v>
      </c>
      <c r="D10589" s="7">
        <v>1.26</v>
      </c>
      <c r="E10589" t="s">
        <v>75</v>
      </c>
    </row>
    <row r="10590" spans="1:5" x14ac:dyDescent="0.25">
      <c r="A10590" t="str">
        <f>HYPERLINK("https://www.773grp.com/globalSearch/CM1213A-04S7/page-1", "CM1213A-04S7")</f>
        <v>CM1213A-04S7</v>
      </c>
      <c r="B10590" s="3" t="str">
        <f>HYPERLINK("https://www.773grp.com/manufacturer/onsemi?pageNo=1153", "Onsemi")</f>
        <v>Onsemi</v>
      </c>
      <c r="C10590" s="6">
        <v>18000</v>
      </c>
      <c r="D10590" s="7">
        <v>1.26</v>
      </c>
      <c r="E10590" t="s">
        <v>75</v>
      </c>
    </row>
    <row r="10591" spans="1:5" x14ac:dyDescent="0.25">
      <c r="A10591" t="str">
        <f>HYPERLINK("https://www.773grp.com/globalSearch/CM1213A-04SO/page-1", "CM1213A-04SO")</f>
        <v>CM1213A-04SO</v>
      </c>
      <c r="B10591" s="3" t="str">
        <f>HYPERLINK("https://www.773grp.com/manufacturer/onsemi?pageNo=1154", "Onsemi")</f>
        <v>Onsemi</v>
      </c>
      <c r="C10591" s="6">
        <v>209064</v>
      </c>
      <c r="D10591" s="7">
        <v>1.26</v>
      </c>
      <c r="E10591" t="s">
        <v>75</v>
      </c>
    </row>
    <row r="10592" spans="1:5" x14ac:dyDescent="0.25">
      <c r="A10592" t="str">
        <f>HYPERLINK("https://www.773grp.com/globalSearch/L79M05TLL-SONY-TL-E/page-1", "L79M05TLL-SONY-TL-E")</f>
        <v>L79M05TLL-SONY-TL-E</v>
      </c>
      <c r="B10592" s="3" t="str">
        <f>HYPERLINK("https://www.773grp.com/manufacturer/onsemi?pageNo=1155", "Onsemi")</f>
        <v>Onsemi</v>
      </c>
      <c r="C10592" s="6">
        <v>65100</v>
      </c>
      <c r="D10592" s="7">
        <v>1.26</v>
      </c>
    </row>
    <row r="10593" spans="1:5" x14ac:dyDescent="0.25">
      <c r="A10593" t="str">
        <f>HYPERLINK("https://www.773grp.com/globalSearch/LM2931ADT-5.0/page-1", "LM2931ADT-5.0")</f>
        <v>LM2931ADT-5.0</v>
      </c>
      <c r="B10593" s="3" t="str">
        <f>HYPERLINK("https://www.773grp.com/manufacturer/onsemi?pageNo=1156", "Onsemi")</f>
        <v>Onsemi</v>
      </c>
      <c r="C10593" s="6">
        <v>150</v>
      </c>
      <c r="D10593" s="7">
        <v>1.26</v>
      </c>
      <c r="E10593" t="s">
        <v>15</v>
      </c>
    </row>
    <row r="10594" spans="1:5" x14ac:dyDescent="0.25">
      <c r="A10594" t="str">
        <f>HYPERLINK("https://www.773grp.com/globalSearch/LMV982MUTAG/page-1", "LMV982MUTAG")</f>
        <v>LMV982MUTAG</v>
      </c>
      <c r="B10594" s="3" t="str">
        <f>HYPERLINK("https://www.773grp.com/manufacturer/onsemi?pageNo=1157", "Onsemi")</f>
        <v>Onsemi</v>
      </c>
      <c r="C10594" s="6">
        <v>69000</v>
      </c>
      <c r="D10594" s="7">
        <v>1.26</v>
      </c>
    </row>
    <row r="10595" spans="1:5" x14ac:dyDescent="0.25">
      <c r="A10595" t="str">
        <f>HYPERLINK("https://www.773grp.com/globalSearch/LP2950CZ-3.0G/page-1", "LP2950CZ-3.0G")</f>
        <v>LP2950CZ-3.0G</v>
      </c>
      <c r="B10595" s="3" t="str">
        <f>HYPERLINK("https://www.773grp.com/manufacturer/onsemi?pageNo=1158", "Onsemi")</f>
        <v>Onsemi</v>
      </c>
      <c r="C10595" s="6">
        <v>2000</v>
      </c>
      <c r="D10595" s="7">
        <v>1.26</v>
      </c>
    </row>
    <row r="10596" spans="1:5" x14ac:dyDescent="0.25">
      <c r="A10596" t="str">
        <f>HYPERLINK("https://www.773grp.com/globalSearch/LP2950CZ-3.0RAG/page-1", "LP2950CZ-3.0RAG")</f>
        <v>LP2950CZ-3.0RAG</v>
      </c>
      <c r="B10596" s="3" t="str">
        <f>HYPERLINK("https://www.773grp.com/manufacturer/onsemi?pageNo=1159", "Onsemi")</f>
        <v>Onsemi</v>
      </c>
      <c r="C10596" s="6">
        <v>7822</v>
      </c>
      <c r="D10596" s="7">
        <v>1.26</v>
      </c>
      <c r="E10596" t="s">
        <v>15</v>
      </c>
    </row>
    <row r="10597" spans="1:5" x14ac:dyDescent="0.25">
      <c r="A10597" t="str">
        <f>HYPERLINK("https://www.773grp.com/globalSearch/LP2950CZ-3.3G/page-1", "LP2950CZ-3.3G")</f>
        <v>LP2950CZ-3.3G</v>
      </c>
      <c r="B10597" s="3" t="str">
        <f>HYPERLINK("https://www.773grp.com/manufacturer/onsemi?pageNo=1160", "Onsemi")</f>
        <v>Onsemi</v>
      </c>
      <c r="C10597" s="6">
        <v>2228</v>
      </c>
      <c r="D10597" s="7">
        <v>1.26</v>
      </c>
      <c r="E10597" t="s">
        <v>15</v>
      </c>
    </row>
    <row r="10598" spans="1:5" x14ac:dyDescent="0.25">
      <c r="A10598" t="str">
        <f>HYPERLINK("https://www.773grp.com/globalSearch/LP2950CZ-3.3RAG/page-1", "LP2950CZ-3.3RAG")</f>
        <v>LP2950CZ-3.3RAG</v>
      </c>
      <c r="B10598" s="3" t="str">
        <f>HYPERLINK("https://www.773grp.com/manufacturer/onsemi?pageNo=1161", "Onsemi")</f>
        <v>Onsemi</v>
      </c>
      <c r="C10598" s="6">
        <v>25464</v>
      </c>
      <c r="D10598" s="7">
        <v>1.26</v>
      </c>
      <c r="E10598" t="s">
        <v>15</v>
      </c>
    </row>
    <row r="10599" spans="1:5" x14ac:dyDescent="0.25">
      <c r="A10599" t="str">
        <f>HYPERLINK("https://www.773grp.com/globalSearch/LP2950CZ-5.0G/page-1", "LP2950CZ-5.0G")</f>
        <v>LP2950CZ-5.0G</v>
      </c>
      <c r="B10599" s="3" t="str">
        <f>HYPERLINK("https://www.773grp.com/manufacturer/onsemi?pageNo=1162", "Onsemi")</f>
        <v>Onsemi</v>
      </c>
      <c r="C10599" s="6">
        <v>4380</v>
      </c>
      <c r="D10599" s="7">
        <v>1.26</v>
      </c>
      <c r="E10599" t="s">
        <v>15</v>
      </c>
    </row>
    <row r="10600" spans="1:5" x14ac:dyDescent="0.25">
      <c r="A10600" t="str">
        <f>HYPERLINK("https://www.773grp.com/globalSearch/LP2950CZ-5.0RAG/page-1", "LP2950CZ-5.0RAG")</f>
        <v>LP2950CZ-5.0RAG</v>
      </c>
      <c r="B10600" s="3" t="str">
        <f>HYPERLINK("https://www.773grp.com/manufacturer/onsemi?pageNo=1163", "Onsemi")</f>
        <v>Onsemi</v>
      </c>
      <c r="C10600" s="6">
        <v>17752</v>
      </c>
      <c r="D10600" s="7">
        <v>1.26</v>
      </c>
      <c r="E10600" t="s">
        <v>15</v>
      </c>
    </row>
    <row r="10601" spans="1:5" x14ac:dyDescent="0.25">
      <c r="A10601" t="str">
        <f>HYPERLINK("https://www.773grp.com/globalSearch/LP2950CZ-5.0RPG/page-1", "LP2950CZ-5.0RPG")</f>
        <v>LP2950CZ-5.0RPG</v>
      </c>
      <c r="B10601" s="3" t="str">
        <f>HYPERLINK("https://www.773grp.com/manufacturer/onsemi?pageNo=1164", "Onsemi")</f>
        <v>Onsemi</v>
      </c>
      <c r="C10601" s="6">
        <v>14000</v>
      </c>
      <c r="D10601" s="7">
        <v>1.26</v>
      </c>
      <c r="E10601" t="s">
        <v>15</v>
      </c>
    </row>
    <row r="10602" spans="1:5" x14ac:dyDescent="0.25">
      <c r="A10602" t="str">
        <f>HYPERLINK("https://www.773grp.com/globalSearch/LV8163QA-BH/page-1", "LV8163QA-BH")</f>
        <v>LV8163QA-BH</v>
      </c>
      <c r="B10602" s="3" t="str">
        <f>HYPERLINK("https://www.773grp.com/manufacturer/onsemi?pageNo=1165", "Onsemi")</f>
        <v>Onsemi</v>
      </c>
      <c r="C10602" s="6">
        <v>54000</v>
      </c>
      <c r="D10602" s="7">
        <v>1.26</v>
      </c>
    </row>
    <row r="10603" spans="1:5" x14ac:dyDescent="0.25">
      <c r="A10603" t="str">
        <f>HYPERLINK("https://www.773grp.com/globalSearch/M74ACT251D/page-1", "M74ACT251D")</f>
        <v>M74ACT251D</v>
      </c>
      <c r="B10603" s="3" t="str">
        <f>HYPERLINK("https://www.773grp.com/manufacturer/onsemi?pageNo=1166", "Onsemi")</f>
        <v>Onsemi</v>
      </c>
      <c r="C10603" s="6">
        <v>192</v>
      </c>
      <c r="D10603" s="7">
        <v>1.26</v>
      </c>
    </row>
    <row r="10604" spans="1:5" x14ac:dyDescent="0.25">
      <c r="A10604" t="str">
        <f>HYPERLINK("https://www.773grp.com/globalSearch/MAC4DCN-1G/page-1", "MAC4DCN-1G")</f>
        <v>MAC4DCN-1G</v>
      </c>
      <c r="B10604" s="3" t="str">
        <f>HYPERLINK("https://www.773grp.com/manufacturer/onsemi?pageNo=1167", "Onsemi")</f>
        <v>Onsemi</v>
      </c>
      <c r="C10604" s="6">
        <v>17245</v>
      </c>
      <c r="D10604" s="7">
        <v>1.26</v>
      </c>
      <c r="E10604" t="s">
        <v>81</v>
      </c>
    </row>
    <row r="10605" spans="1:5" x14ac:dyDescent="0.25">
      <c r="A10605" t="str">
        <f>HYPERLINK("https://www.773grp.com/globalSearch/MAC4DCNT4G/page-1", "MAC4DCNT4G")</f>
        <v>MAC4DCNT4G</v>
      </c>
      <c r="B10605" s="3" t="str">
        <f>HYPERLINK("https://www.773grp.com/manufacturer/onsemi?pageNo=1168", "Onsemi")</f>
        <v>Onsemi</v>
      </c>
      <c r="C10605" s="6">
        <v>10000</v>
      </c>
      <c r="D10605" s="7">
        <v>1.26</v>
      </c>
    </row>
    <row r="10606" spans="1:5" x14ac:dyDescent="0.25">
      <c r="A10606" t="str">
        <f>HYPERLINK("https://www.773grp.com/globalSearch/MAC4DHM-1G/page-1", "MAC4DHM-1G")</f>
        <v>MAC4DHM-1G</v>
      </c>
      <c r="B10606" s="3" t="str">
        <f>HYPERLINK("https://www.773grp.com/manufacturer/onsemi?pageNo=1169", "Onsemi")</f>
        <v>Onsemi</v>
      </c>
      <c r="C10606" s="6">
        <v>371400</v>
      </c>
      <c r="D10606" s="7">
        <v>1.26</v>
      </c>
      <c r="E10606" t="s">
        <v>81</v>
      </c>
    </row>
    <row r="10607" spans="1:5" x14ac:dyDescent="0.25">
      <c r="A10607" t="str">
        <f>HYPERLINK("https://www.773grp.com/globalSearch/MAC4DHMT4G/page-1", "MAC4DHMT4G")</f>
        <v>MAC4DHMT4G</v>
      </c>
      <c r="B10607" s="3" t="str">
        <f>HYPERLINK("https://www.773grp.com/manufacturer/onsemi?pageNo=1170", "Onsemi")</f>
        <v>Onsemi</v>
      </c>
      <c r="C10607" s="6">
        <v>12500</v>
      </c>
      <c r="D10607" s="7">
        <v>1.26</v>
      </c>
      <c r="E10607" t="s">
        <v>81</v>
      </c>
    </row>
    <row r="10608" spans="1:5" x14ac:dyDescent="0.25">
      <c r="A10608" t="str">
        <f>HYPERLINK("https://www.773grp.com/globalSearch/MAC4DLM-1G/page-1", "MAC4DLM-1G")</f>
        <v>MAC4DLM-1G</v>
      </c>
      <c r="B10608" s="3" t="str">
        <f>HYPERLINK("https://www.773grp.com/manufacturer/onsemi?pageNo=1171", "Onsemi")</f>
        <v>Onsemi</v>
      </c>
      <c r="C10608" s="6">
        <v>935</v>
      </c>
      <c r="D10608" s="7">
        <v>1.26</v>
      </c>
      <c r="E10608" t="s">
        <v>81</v>
      </c>
    </row>
    <row r="10609" spans="1:5" x14ac:dyDescent="0.25">
      <c r="A10609" t="str">
        <f>HYPERLINK("https://www.773grp.com/globalSearch/MAC4DLMT4G/page-1", "MAC4DLMT4G")</f>
        <v>MAC4DLMT4G</v>
      </c>
      <c r="B10609" s="3" t="str">
        <f>HYPERLINK("https://www.773grp.com/manufacturer/onsemi?pageNo=1172", "Onsemi")</f>
        <v>Onsemi</v>
      </c>
      <c r="C10609" s="6">
        <v>2500</v>
      </c>
      <c r="D10609" s="7">
        <v>1.26</v>
      </c>
      <c r="E10609" t="s">
        <v>81</v>
      </c>
    </row>
    <row r="10610" spans="1:5" x14ac:dyDescent="0.25">
      <c r="A10610" t="str">
        <f>HYPERLINK("https://www.773grp.com/globalSearch/MAC4DSMT4G/page-1", "MAC4DSMT4G")</f>
        <v>MAC4DSMT4G</v>
      </c>
      <c r="B10610" s="3" t="str">
        <f>HYPERLINK("https://www.773grp.com/manufacturer/onsemi?pageNo=1173", "Onsemi")</f>
        <v>Onsemi</v>
      </c>
      <c r="C10610" s="6">
        <v>45000</v>
      </c>
      <c r="D10610" s="7">
        <v>1.26</v>
      </c>
      <c r="E10610" t="s">
        <v>81</v>
      </c>
    </row>
    <row r="10611" spans="1:5" x14ac:dyDescent="0.25">
      <c r="A10611" t="str">
        <f>HYPERLINK("https://www.773grp.com/globalSearch/MAC4DSN-1G/page-1", "MAC4DSN-1G")</f>
        <v>MAC4DSN-1G</v>
      </c>
      <c r="B10611" s="3" t="str">
        <f>HYPERLINK("https://www.773grp.com/manufacturer/onsemi?pageNo=1174", "Onsemi")</f>
        <v>Onsemi</v>
      </c>
      <c r="C10611" s="6">
        <v>47550</v>
      </c>
      <c r="D10611" s="7">
        <v>1.26</v>
      </c>
    </row>
    <row r="10612" spans="1:5" x14ac:dyDescent="0.25">
      <c r="A10612" t="str">
        <f>HYPERLINK("https://www.773grp.com/globalSearch/MAC4DSNT4G/page-1", "MAC4DSNT4G")</f>
        <v>MAC4DSNT4G</v>
      </c>
      <c r="B10612" s="3" t="str">
        <f>HYPERLINK("https://www.773grp.com/manufacturer/onsemi?pageNo=1175", "Onsemi")</f>
        <v>Onsemi</v>
      </c>
      <c r="C10612" s="6">
        <v>17500</v>
      </c>
      <c r="D10612" s="7">
        <v>1.26</v>
      </c>
      <c r="E10612" t="s">
        <v>81</v>
      </c>
    </row>
    <row r="10613" spans="1:5" x14ac:dyDescent="0.25">
      <c r="A10613" t="str">
        <f>HYPERLINK("https://www.773grp.com/globalSearch/MBRA1H100T3G/page-1", "MBRA1H100T3G")</f>
        <v>MBRA1H100T3G</v>
      </c>
      <c r="B10613" s="3" t="str">
        <f>HYPERLINK("https://www.773grp.com/manufacturer/onsemi?pageNo=1176", "Onsemi")</f>
        <v>Onsemi</v>
      </c>
      <c r="C10613" s="6">
        <v>109583</v>
      </c>
      <c r="D10613" s="7">
        <v>1.26</v>
      </c>
      <c r="E10613" t="s">
        <v>73</v>
      </c>
    </row>
    <row r="10614" spans="1:5" x14ac:dyDescent="0.25">
      <c r="A10614" t="str">
        <f>HYPERLINK("https://www.773grp.com/globalSearch/MBRD835LG/page-1", "MBRD835LG")</f>
        <v>MBRD835LG</v>
      </c>
      <c r="B10614" s="3" t="str">
        <f>HYPERLINK("https://www.773grp.com/manufacturer/onsemi?pageNo=1177", "Onsemi")</f>
        <v>Onsemi</v>
      </c>
      <c r="C10614" s="6">
        <v>16847</v>
      </c>
      <c r="D10614" s="7">
        <v>1.26</v>
      </c>
      <c r="E10614" t="s">
        <v>82</v>
      </c>
    </row>
    <row r="10615" spans="1:5" x14ac:dyDescent="0.25">
      <c r="A10615" t="str">
        <f>HYPERLINK("https://www.773grp.com/globalSearch/MBRD835LT4G/page-1", "MBRD835LT4G")</f>
        <v>MBRD835LT4G</v>
      </c>
      <c r="B10615" s="3" t="str">
        <f>HYPERLINK("https://www.773grp.com/manufacturer/onsemi?pageNo=1178", "Onsemi")</f>
        <v>Onsemi</v>
      </c>
      <c r="C10615" s="6">
        <v>95000</v>
      </c>
      <c r="D10615" s="7">
        <v>1.26</v>
      </c>
      <c r="E10615" t="s">
        <v>82</v>
      </c>
    </row>
    <row r="10616" spans="1:5" x14ac:dyDescent="0.25">
      <c r="A10616" t="str">
        <f>HYPERLINK("https://www.773grp.com/globalSearch/MBRS3200T3G/page-1", "MBRS3200T3G")</f>
        <v>MBRS3200T3G</v>
      </c>
      <c r="B10616" s="3" t="str">
        <f>HYPERLINK("https://www.773grp.com/manufacturer/onsemi?pageNo=1179", "Onsemi")</f>
        <v>Onsemi</v>
      </c>
      <c r="C10616" s="6">
        <v>165000</v>
      </c>
      <c r="D10616" s="7">
        <v>1.26</v>
      </c>
    </row>
    <row r="10617" spans="1:5" x14ac:dyDescent="0.25">
      <c r="A10617" t="str">
        <f>HYPERLINK("https://www.773grp.com/globalSearch/MC14014BDG/page-1", "MC14014BDG")</f>
        <v>MC14014BDG</v>
      </c>
      <c r="B10617" s="3" t="str">
        <f>HYPERLINK("https://www.773grp.com/manufacturer/onsemi?pageNo=1180", "Onsemi")</f>
        <v>Onsemi</v>
      </c>
      <c r="C10617" s="6">
        <v>4624</v>
      </c>
      <c r="D10617" s="7">
        <v>1.26</v>
      </c>
      <c r="E10617" t="s">
        <v>28</v>
      </c>
    </row>
    <row r="10618" spans="1:5" x14ac:dyDescent="0.25">
      <c r="A10618" t="str">
        <f>HYPERLINK("https://www.773grp.com/globalSearch/MC14014BDR2G/page-1", "MC14014BDR2G")</f>
        <v>MC14014BDR2G</v>
      </c>
      <c r="B10618" s="3" t="str">
        <f>HYPERLINK("https://www.773grp.com/manufacturer/onsemi?pageNo=1181", "Onsemi")</f>
        <v>Onsemi</v>
      </c>
      <c r="C10618" s="6">
        <v>39544</v>
      </c>
      <c r="D10618" s="7">
        <v>1.26</v>
      </c>
      <c r="E10618" t="s">
        <v>28</v>
      </c>
    </row>
    <row r="10619" spans="1:5" x14ac:dyDescent="0.25">
      <c r="A10619" t="str">
        <f>HYPERLINK("https://www.773grp.com/globalSearch/MC14018BCPG/page-1", "MC14018BCPG")</f>
        <v>MC14018BCPG</v>
      </c>
      <c r="B10619" s="3" t="str">
        <f>HYPERLINK("https://www.773grp.com/manufacturer/onsemi?pageNo=1182", "Onsemi")</f>
        <v>Onsemi</v>
      </c>
      <c r="C10619" s="6">
        <v>6825</v>
      </c>
      <c r="D10619" s="7">
        <v>1.26</v>
      </c>
      <c r="E10619" t="s">
        <v>22</v>
      </c>
    </row>
    <row r="10620" spans="1:5" x14ac:dyDescent="0.25">
      <c r="A10620" t="str">
        <f>HYPERLINK("https://www.773grp.com/globalSearch/MC14021BDG/page-1", "MC14021BDG")</f>
        <v>MC14021BDG</v>
      </c>
      <c r="B10620" s="3" t="str">
        <f>HYPERLINK("https://www.773grp.com/manufacturer/onsemi?pageNo=1183", "Onsemi")</f>
        <v>Onsemi</v>
      </c>
      <c r="C10620" s="6">
        <v>3024</v>
      </c>
      <c r="D10620" s="7">
        <v>1.26</v>
      </c>
      <c r="E10620" t="s">
        <v>28</v>
      </c>
    </row>
    <row r="10621" spans="1:5" x14ac:dyDescent="0.25">
      <c r="A10621" t="str">
        <f>HYPERLINK("https://www.773grp.com/globalSearch/MC14021BDR2G/page-1", "MC14021BDR2G")</f>
        <v>MC14021BDR2G</v>
      </c>
      <c r="B10621" s="3" t="str">
        <f>HYPERLINK("https://www.773grp.com/manufacturer/onsemi?pageNo=1184", "Onsemi")</f>
        <v>Onsemi</v>
      </c>
      <c r="C10621" s="6">
        <v>29682</v>
      </c>
      <c r="D10621" s="7">
        <v>1.26</v>
      </c>
    </row>
    <row r="10622" spans="1:5" x14ac:dyDescent="0.25">
      <c r="A10622" t="str">
        <f>HYPERLINK("https://www.773grp.com/globalSearch/MC14028BFELG/page-1", "MC14028BFELG")</f>
        <v>MC14028BFELG</v>
      </c>
      <c r="B10622" s="3" t="str">
        <f>HYPERLINK("https://www.773grp.com/manufacturer/onsemi?pageNo=1185", "Onsemi")</f>
        <v>Onsemi</v>
      </c>
      <c r="C10622" s="6">
        <v>812</v>
      </c>
      <c r="D10622" s="7">
        <v>1.26</v>
      </c>
      <c r="E10622" t="s">
        <v>32</v>
      </c>
    </row>
    <row r="10623" spans="1:5" x14ac:dyDescent="0.25">
      <c r="A10623" t="str">
        <f>HYPERLINK("https://www.773grp.com/globalSearch/MC14029BCPG/page-1", "MC14029BCPG")</f>
        <v>MC14029BCPG</v>
      </c>
      <c r="B10623" s="3" t="str">
        <f>HYPERLINK("https://www.773grp.com/manufacturer/onsemi?pageNo=1186", "Onsemi")</f>
        <v>Onsemi</v>
      </c>
      <c r="C10623" s="6">
        <v>1160</v>
      </c>
      <c r="D10623" s="7">
        <v>1.26</v>
      </c>
      <c r="E10623" t="s">
        <v>22</v>
      </c>
    </row>
    <row r="10624" spans="1:5" x14ac:dyDescent="0.25">
      <c r="A10624" t="str">
        <f>HYPERLINK("https://www.773grp.com/globalSearch/MC14029BFELG/page-1", "MC14029BFELG")</f>
        <v>MC14029BFELG</v>
      </c>
      <c r="B10624" s="3" t="str">
        <f>HYPERLINK("https://www.773grp.com/manufacturer/onsemi?pageNo=1187", "Onsemi")</f>
        <v>Onsemi</v>
      </c>
      <c r="C10624" s="6">
        <v>11827</v>
      </c>
      <c r="D10624" s="7">
        <v>1.26</v>
      </c>
      <c r="E10624" t="s">
        <v>22</v>
      </c>
    </row>
    <row r="10625" spans="1:5" x14ac:dyDescent="0.25">
      <c r="A10625" t="str">
        <f>HYPERLINK("https://www.773grp.com/globalSearch/MC1413BD/page-1", "MC1413BD")</f>
        <v>MC1413BD</v>
      </c>
      <c r="B10625" s="3" t="str">
        <f>HYPERLINK("https://www.773grp.com/manufacturer/onsemi?pageNo=1188", "Onsemi")</f>
        <v>Onsemi</v>
      </c>
      <c r="C10625" s="6">
        <v>3061</v>
      </c>
      <c r="D10625" s="7">
        <v>1.26</v>
      </c>
      <c r="E10625" t="s">
        <v>47</v>
      </c>
    </row>
    <row r="10626" spans="1:5" x14ac:dyDescent="0.25">
      <c r="A10626" t="str">
        <f>HYPERLINK("https://www.773grp.com/globalSearch/MC1413BDG/page-1", "MC1413BDG")</f>
        <v>MC1413BDG</v>
      </c>
      <c r="B10626" s="3" t="str">
        <f>HYPERLINK("https://www.773grp.com/manufacturer/onsemi?pageNo=1189", "Onsemi")</f>
        <v>Onsemi</v>
      </c>
      <c r="C10626" s="6">
        <v>3788</v>
      </c>
      <c r="D10626" s="7">
        <v>1.26</v>
      </c>
    </row>
    <row r="10627" spans="1:5" x14ac:dyDescent="0.25">
      <c r="A10627" t="str">
        <f>HYPERLINK("https://www.773grp.com/globalSearch/MC1413BDR2/page-1", "MC1413BDR2")</f>
        <v>MC1413BDR2</v>
      </c>
      <c r="B10627" s="3" t="str">
        <f>HYPERLINK("https://www.773grp.com/manufacturer/onsemi?pageNo=1190", "Onsemi")</f>
        <v>Onsemi</v>
      </c>
      <c r="C10627" s="6">
        <v>635</v>
      </c>
      <c r="D10627" s="7">
        <v>1.26</v>
      </c>
    </row>
    <row r="10628" spans="1:5" x14ac:dyDescent="0.25">
      <c r="A10628" t="str">
        <f>HYPERLINK("https://www.773grp.com/globalSearch/MC1413BDR2G/page-1", "MC1413BDR2G")</f>
        <v>MC1413BDR2G</v>
      </c>
      <c r="B10628" s="3" t="str">
        <f>HYPERLINK("https://www.773grp.com/manufacturer/onsemi?pageNo=1191", "Onsemi")</f>
        <v>Onsemi</v>
      </c>
      <c r="C10628" s="6">
        <v>160000</v>
      </c>
      <c r="D10628" s="7">
        <v>1.26</v>
      </c>
      <c r="E10628" t="s">
        <v>47</v>
      </c>
    </row>
    <row r="10629" spans="1:5" x14ac:dyDescent="0.25">
      <c r="A10629" t="str">
        <f>HYPERLINK("https://www.773grp.com/globalSearch/MC14161BD/page-1", "MC14161BD")</f>
        <v>MC14161BD</v>
      </c>
      <c r="B10629" s="3" t="str">
        <f>HYPERLINK("https://www.773grp.com/manufacturer/onsemi?pageNo=1192", "Onsemi")</f>
        <v>Onsemi</v>
      </c>
      <c r="C10629" s="6">
        <v>30280</v>
      </c>
      <c r="D10629" s="7">
        <v>1.26</v>
      </c>
      <c r="E10629" t="s">
        <v>22</v>
      </c>
    </row>
    <row r="10630" spans="1:5" x14ac:dyDescent="0.25">
      <c r="A10630" t="str">
        <f>HYPERLINK("https://www.773grp.com/globalSearch/MC14511BCPG/page-1", "MC14511BCPG")</f>
        <v>MC14511BCPG</v>
      </c>
      <c r="B10630" s="3" t="str">
        <f>HYPERLINK("https://www.773grp.com/manufacturer/onsemi?pageNo=1193", "Onsemi")</f>
        <v>Onsemi</v>
      </c>
      <c r="C10630" s="6">
        <v>500</v>
      </c>
      <c r="D10630" s="7">
        <v>1.26</v>
      </c>
      <c r="E10630" t="s">
        <v>32</v>
      </c>
    </row>
    <row r="10631" spans="1:5" x14ac:dyDescent="0.25">
      <c r="A10631" t="str">
        <f>HYPERLINK("https://www.773grp.com/globalSearch/MC14512BCPG/page-1", "MC14512BCPG")</f>
        <v>MC14512BCPG</v>
      </c>
      <c r="B10631" s="3" t="str">
        <f>HYPERLINK("https://www.773grp.com/manufacturer/onsemi?pageNo=1194", "Onsemi")</f>
        <v>Onsemi</v>
      </c>
      <c r="C10631" s="6">
        <v>1713</v>
      </c>
      <c r="D10631" s="7">
        <v>1.26</v>
      </c>
      <c r="E10631" t="s">
        <v>16</v>
      </c>
    </row>
    <row r="10632" spans="1:5" x14ac:dyDescent="0.25">
      <c r="A10632" t="str">
        <f>HYPERLINK("https://www.773grp.com/globalSearch/MC14516BCP/page-1", "MC14516BCP")</f>
        <v>MC14516BCP</v>
      </c>
      <c r="B10632" s="3" t="str">
        <f>HYPERLINK("https://www.773grp.com/manufacturer/onsemi?pageNo=1195", "Onsemi")</f>
        <v>Onsemi</v>
      </c>
      <c r="C10632" s="6">
        <v>1100</v>
      </c>
      <c r="D10632" s="7">
        <v>1.26</v>
      </c>
      <c r="E10632" t="s">
        <v>22</v>
      </c>
    </row>
    <row r="10633" spans="1:5" x14ac:dyDescent="0.25">
      <c r="A10633" t="str">
        <f>HYPERLINK("https://www.773grp.com/globalSearch/MC14516BCPG/page-1", "MC14516BCPG")</f>
        <v>MC14516BCPG</v>
      </c>
      <c r="B10633" s="3" t="str">
        <f>HYPERLINK("https://www.773grp.com/manufacturer/onsemi?pageNo=1196", "Onsemi")</f>
        <v>Onsemi</v>
      </c>
      <c r="C10633" s="6">
        <v>5940</v>
      </c>
      <c r="D10633" s="7">
        <v>1.26</v>
      </c>
      <c r="E10633" t="s">
        <v>22</v>
      </c>
    </row>
    <row r="10634" spans="1:5" x14ac:dyDescent="0.25">
      <c r="A10634" t="str">
        <f>HYPERLINK("https://www.773grp.com/globalSearch/MC14516BDG/page-1", "MC14516BDG")</f>
        <v>MC14516BDG</v>
      </c>
      <c r="B10634" s="3" t="str">
        <f>HYPERLINK("https://www.773grp.com/manufacturer/onsemi?pageNo=1197", "Onsemi")</f>
        <v>Onsemi</v>
      </c>
      <c r="C10634" s="6">
        <v>1033</v>
      </c>
      <c r="D10634" s="7">
        <v>1.26</v>
      </c>
      <c r="E10634" t="s">
        <v>22</v>
      </c>
    </row>
    <row r="10635" spans="1:5" x14ac:dyDescent="0.25">
      <c r="A10635" t="str">
        <f>HYPERLINK("https://www.773grp.com/globalSearch/MC14538BCPG/page-1", "MC14538BCPG")</f>
        <v>MC14538BCPG</v>
      </c>
      <c r="B10635" s="3" t="str">
        <f>HYPERLINK("https://www.773grp.com/manufacturer/onsemi?pageNo=1198", "Onsemi")</f>
        <v>Onsemi</v>
      </c>
      <c r="C10635" s="6">
        <v>500</v>
      </c>
      <c r="D10635" s="7">
        <v>1.26</v>
      </c>
      <c r="E10635" t="s">
        <v>44</v>
      </c>
    </row>
    <row r="10636" spans="1:5" x14ac:dyDescent="0.25">
      <c r="A10636" t="str">
        <f>HYPERLINK("https://www.773grp.com/globalSearch/MC14543BCPG/page-1", "MC14543BCPG")</f>
        <v>MC14543BCPG</v>
      </c>
      <c r="B10636" s="3" t="str">
        <f>HYPERLINK("https://www.773grp.com/manufacturer/onsemi?pageNo=1199", "Onsemi")</f>
        <v>Onsemi</v>
      </c>
      <c r="C10636" s="6">
        <v>2758</v>
      </c>
      <c r="D10636" s="7">
        <v>1.26</v>
      </c>
      <c r="E10636" t="s">
        <v>32</v>
      </c>
    </row>
    <row r="10637" spans="1:5" x14ac:dyDescent="0.25">
      <c r="A10637" t="str">
        <f>HYPERLINK("https://www.773grp.com/globalSearch/MC14543BFG/page-1", "MC14543BFG")</f>
        <v>MC14543BFG</v>
      </c>
      <c r="B10637" s="3" t="str">
        <f>HYPERLINK("https://www.773grp.com/manufacturer/onsemi?pageNo=1200", "Onsemi")</f>
        <v>Onsemi</v>
      </c>
      <c r="C10637" s="6">
        <v>5792</v>
      </c>
      <c r="D10637" s="7">
        <v>1.26</v>
      </c>
      <c r="E10637" t="s">
        <v>32</v>
      </c>
    </row>
    <row r="10638" spans="1:5" x14ac:dyDescent="0.25">
      <c r="A10638" t="str">
        <f>HYPERLINK("https://www.773grp.com/globalSearch/MC14555BFEL/page-1", "MC14555BFEL")</f>
        <v>MC14555BFEL</v>
      </c>
      <c r="B10638" s="3" t="str">
        <f>HYPERLINK("https://www.773grp.com/manufacturer/onsemi?pageNo=1201", "Onsemi")</f>
        <v>Onsemi</v>
      </c>
      <c r="C10638" s="6">
        <v>833</v>
      </c>
      <c r="D10638" s="7">
        <v>1.26</v>
      </c>
      <c r="E10638" t="s">
        <v>32</v>
      </c>
    </row>
    <row r="10639" spans="1:5" x14ac:dyDescent="0.25">
      <c r="A10639" t="str">
        <f>HYPERLINK("https://www.773grp.com/globalSearch/MC14556BFEL/page-1", "MC14556BFEL")</f>
        <v>MC14556BFEL</v>
      </c>
      <c r="B10639" s="3" t="str">
        <f>HYPERLINK("https://www.773grp.com/manufacturer/onsemi?pageNo=1202", "Onsemi")</f>
        <v>Onsemi</v>
      </c>
      <c r="C10639" s="6">
        <v>1106</v>
      </c>
      <c r="D10639" s="7">
        <v>1.26</v>
      </c>
      <c r="E10639" t="s">
        <v>32</v>
      </c>
    </row>
    <row r="10640" spans="1:5" x14ac:dyDescent="0.25">
      <c r="A10640" t="str">
        <f>HYPERLINK("https://www.773grp.com/globalSearch/MC14556BFELG/page-1", "MC14556BFELG")</f>
        <v>MC14556BFELG</v>
      </c>
      <c r="B10640" s="3" t="str">
        <f>HYPERLINK("https://www.773grp.com/manufacturer/onsemi?pageNo=1203", "Onsemi")</f>
        <v>Onsemi</v>
      </c>
      <c r="C10640" s="6">
        <v>5508</v>
      </c>
      <c r="D10640" s="7">
        <v>1.26</v>
      </c>
      <c r="E10640" t="s">
        <v>32</v>
      </c>
    </row>
    <row r="10641" spans="1:5" x14ac:dyDescent="0.25">
      <c r="A10641" t="str">
        <f>HYPERLINK("https://www.773grp.com/globalSearch/MC1488DG/page-1", "MC1488DG")</f>
        <v>MC1488DG</v>
      </c>
      <c r="B10641" s="3" t="str">
        <f>HYPERLINK("https://www.773grp.com/manufacturer/onsemi?pageNo=1204", "Onsemi")</f>
        <v>Onsemi</v>
      </c>
      <c r="C10641" s="6">
        <v>23696</v>
      </c>
      <c r="D10641" s="7">
        <v>1.26</v>
      </c>
      <c r="E10641" t="s">
        <v>17</v>
      </c>
    </row>
    <row r="10642" spans="1:5" x14ac:dyDescent="0.25">
      <c r="A10642" t="str">
        <f>HYPERLINK("https://www.773grp.com/globalSearch/MC1488DR2G/page-1", "MC1488DR2G")</f>
        <v>MC1488DR2G</v>
      </c>
      <c r="B10642" s="3" t="str">
        <f>HYPERLINK("https://www.773grp.com/manufacturer/onsemi?pageNo=1205", "Onsemi")</f>
        <v>Onsemi</v>
      </c>
      <c r="C10642" s="6">
        <v>64369</v>
      </c>
      <c r="D10642" s="7">
        <v>1.26</v>
      </c>
      <c r="E10642" t="s">
        <v>17</v>
      </c>
    </row>
    <row r="10643" spans="1:5" x14ac:dyDescent="0.25">
      <c r="A10643" t="str">
        <f>HYPERLINK("https://www.773grp.com/globalSearch/MC1489APG/page-1", "MC1489APG")</f>
        <v>MC1489APG</v>
      </c>
      <c r="B10643" s="3" t="str">
        <f>HYPERLINK("https://www.773grp.com/manufacturer/onsemi?pageNo=1206", "Onsemi")</f>
        <v>Onsemi</v>
      </c>
      <c r="C10643" s="6">
        <v>2446</v>
      </c>
      <c r="D10643" s="7">
        <v>1.26</v>
      </c>
      <c r="E10643" t="s">
        <v>17</v>
      </c>
    </row>
    <row r="10644" spans="1:5" x14ac:dyDescent="0.25">
      <c r="A10644" t="str">
        <f>HYPERLINK("https://www.773grp.com/globalSearch/MC1489DG/page-1", "MC1489DG")</f>
        <v>MC1489DG</v>
      </c>
      <c r="B10644" s="3" t="str">
        <f>HYPERLINK("https://www.773grp.com/manufacturer/onsemi?pageNo=1207", "Onsemi")</f>
        <v>Onsemi</v>
      </c>
      <c r="C10644" s="6">
        <v>4048</v>
      </c>
      <c r="D10644" s="7">
        <v>1.26</v>
      </c>
      <c r="E10644" t="s">
        <v>17</v>
      </c>
    </row>
    <row r="10645" spans="1:5" x14ac:dyDescent="0.25">
      <c r="A10645" t="str">
        <f>HYPERLINK("https://www.773grp.com/globalSearch/MC1489DR2G/page-1", "MC1489DR2G")</f>
        <v>MC1489DR2G</v>
      </c>
      <c r="B10645" s="3" t="str">
        <f>HYPERLINK("https://www.773grp.com/manufacturer/onsemi?pageNo=1208", "Onsemi")</f>
        <v>Onsemi</v>
      </c>
      <c r="C10645" s="6">
        <v>2500</v>
      </c>
      <c r="D10645" s="7">
        <v>1.26</v>
      </c>
    </row>
    <row r="10646" spans="1:5" x14ac:dyDescent="0.25">
      <c r="A10646" t="str">
        <f>HYPERLINK("https://www.773grp.com/globalSearch/MC3403DG/page-1", "MC3403DG")</f>
        <v>MC3403DG</v>
      </c>
      <c r="B10646" s="3" t="str">
        <f>HYPERLINK("https://www.773grp.com/manufacturer/onsemi?pageNo=1209", "Onsemi")</f>
        <v>Onsemi</v>
      </c>
      <c r="C10646" s="6">
        <v>10223</v>
      </c>
      <c r="D10646" s="7">
        <v>1.26</v>
      </c>
      <c r="E10646" t="s">
        <v>10</v>
      </c>
    </row>
    <row r="10647" spans="1:5" x14ac:dyDescent="0.25">
      <c r="A10647" t="str">
        <f>HYPERLINK("https://www.773grp.com/globalSearch/MC3403DR2/page-1", "MC3403DR2")</f>
        <v>MC3403DR2</v>
      </c>
      <c r="B10647" s="3" t="str">
        <f>HYPERLINK("https://www.773grp.com/manufacturer/onsemi?pageNo=1210", "Onsemi")</f>
        <v>Onsemi</v>
      </c>
      <c r="C10647" s="6">
        <v>4064</v>
      </c>
      <c r="D10647" s="7">
        <v>1.26</v>
      </c>
      <c r="E10647" t="s">
        <v>10</v>
      </c>
    </row>
    <row r="10648" spans="1:5" x14ac:dyDescent="0.25">
      <c r="A10648" t="str">
        <f>HYPERLINK("https://www.773grp.com/globalSearch/MC3403DR2G/page-1", "MC3403DR2G")</f>
        <v>MC3403DR2G</v>
      </c>
      <c r="B10648" s="3" t="str">
        <f>HYPERLINK("https://www.773grp.com/manufacturer/onsemi?pageNo=1211", "Onsemi")</f>
        <v>Onsemi</v>
      </c>
      <c r="C10648" s="6">
        <v>22744</v>
      </c>
      <c r="D10648" s="7">
        <v>1.26</v>
      </c>
    </row>
    <row r="10649" spans="1:5" x14ac:dyDescent="0.25">
      <c r="A10649" t="str">
        <f>HYPERLINK("https://www.773grp.com/globalSearch/MC3403PG/page-1", "MC3403PG")</f>
        <v>MC3403PG</v>
      </c>
      <c r="B10649" s="3" t="str">
        <f>HYPERLINK("https://www.773grp.com/manufacturer/onsemi?pageNo=1212", "Onsemi")</f>
        <v>Onsemi</v>
      </c>
      <c r="C10649" s="6">
        <v>16569</v>
      </c>
      <c r="D10649" s="7">
        <v>1.26</v>
      </c>
      <c r="E10649" t="s">
        <v>10</v>
      </c>
    </row>
    <row r="10650" spans="1:5" x14ac:dyDescent="0.25">
      <c r="A10650" t="str">
        <f>HYPERLINK("https://www.773grp.com/globalSearch/MC34074VP/page-1", "MC34074VP")</f>
        <v>MC34074VP</v>
      </c>
      <c r="B10650" s="3" t="str">
        <f>HYPERLINK("https://www.773grp.com/manufacturer/onsemi?pageNo=1213", "Onsemi")</f>
        <v>Onsemi</v>
      </c>
      <c r="C10650" s="6">
        <v>38</v>
      </c>
      <c r="D10650" s="7">
        <v>1.26</v>
      </c>
      <c r="E10650" t="s">
        <v>10</v>
      </c>
    </row>
    <row r="10651" spans="1:5" x14ac:dyDescent="0.25">
      <c r="A10651" t="str">
        <f>HYPERLINK("https://www.773grp.com/globalSearch/MC3476P1/page-1", "MC3476P1")</f>
        <v>MC3476P1</v>
      </c>
      <c r="B10651" s="3" t="str">
        <f>HYPERLINK("https://www.773grp.com/manufacturer/onsemi?pageNo=1214", "Onsemi")</f>
        <v>Onsemi</v>
      </c>
      <c r="C10651" s="6">
        <v>50</v>
      </c>
      <c r="D10651" s="7">
        <v>1.26</v>
      </c>
      <c r="E10651" t="s">
        <v>10</v>
      </c>
    </row>
    <row r="10652" spans="1:5" x14ac:dyDescent="0.25">
      <c r="A10652" t="str">
        <f>HYPERLINK("https://www.773grp.com/globalSearch/MC74AC564DWR2/page-1", "MC74AC564DWR2")</f>
        <v>MC74AC564DWR2</v>
      </c>
      <c r="B10652" s="3" t="str">
        <f>HYPERLINK("https://www.773grp.com/manufacturer/onsemi?pageNo=1215", "Onsemi")</f>
        <v>Onsemi</v>
      </c>
      <c r="C10652" s="6">
        <v>1827</v>
      </c>
      <c r="D10652" s="7">
        <v>1.26</v>
      </c>
      <c r="E10652" t="s">
        <v>11</v>
      </c>
    </row>
    <row r="10653" spans="1:5" x14ac:dyDescent="0.25">
      <c r="A10653" t="str">
        <f>HYPERLINK("https://www.773grp.com/globalSearch/MC74AC564N/page-1", "MC74AC564N")</f>
        <v>MC74AC564N</v>
      </c>
      <c r="B10653" s="3" t="str">
        <f>HYPERLINK("https://www.773grp.com/manufacturer/onsemi?pageNo=1216", "Onsemi")</f>
        <v>Onsemi</v>
      </c>
      <c r="C10653" s="6">
        <v>2070</v>
      </c>
      <c r="D10653" s="7">
        <v>1.26</v>
      </c>
      <c r="E10653" t="s">
        <v>11</v>
      </c>
    </row>
    <row r="10654" spans="1:5" x14ac:dyDescent="0.25">
      <c r="A10654" t="str">
        <f>HYPERLINK("https://www.773grp.com/globalSearch/MC74ACT158N/page-1", "MC74ACT158N")</f>
        <v>MC74ACT158N</v>
      </c>
      <c r="B10654" s="3" t="str">
        <f>HYPERLINK("https://www.773grp.com/manufacturer/onsemi?pageNo=1217", "Onsemi")</f>
        <v>Onsemi</v>
      </c>
      <c r="C10654" s="6">
        <v>3316</v>
      </c>
      <c r="D10654" s="7">
        <v>1.26</v>
      </c>
      <c r="E10654" t="s">
        <v>16</v>
      </c>
    </row>
    <row r="10655" spans="1:5" x14ac:dyDescent="0.25">
      <c r="A10655" t="str">
        <f>HYPERLINK("https://www.773grp.com/globalSearch/MC74ACT160D/page-1", "MC74ACT160D")</f>
        <v>MC74ACT160D</v>
      </c>
      <c r="B10655" s="3" t="str">
        <f>HYPERLINK("https://www.773grp.com/manufacturer/onsemi?pageNo=1218", "Onsemi")</f>
        <v>Onsemi</v>
      </c>
      <c r="C10655" s="6">
        <v>180</v>
      </c>
      <c r="D10655" s="7">
        <v>1.26</v>
      </c>
      <c r="E10655" t="s">
        <v>22</v>
      </c>
    </row>
    <row r="10656" spans="1:5" x14ac:dyDescent="0.25">
      <c r="A10656" t="str">
        <f>HYPERLINK("https://www.773grp.com/globalSearch/MC74ACT160DR2/page-1", "MC74ACT160DR2")</f>
        <v>MC74ACT160DR2</v>
      </c>
      <c r="B10656" s="3" t="str">
        <f>HYPERLINK("https://www.773grp.com/manufacturer/onsemi?pageNo=1219", "Onsemi")</f>
        <v>Onsemi</v>
      </c>
      <c r="C10656" s="6">
        <v>2500</v>
      </c>
      <c r="D10656" s="7">
        <v>1.26</v>
      </c>
      <c r="E10656" t="s">
        <v>22</v>
      </c>
    </row>
    <row r="10657" spans="1:5" x14ac:dyDescent="0.25">
      <c r="A10657" t="str">
        <f>HYPERLINK("https://www.773grp.com/globalSearch/MC74ACT160N/page-1", "MC74ACT160N")</f>
        <v>MC74ACT160N</v>
      </c>
      <c r="B10657" s="3" t="str">
        <f>HYPERLINK("https://www.773grp.com/manufacturer/onsemi?pageNo=1220", "Onsemi")</f>
        <v>Onsemi</v>
      </c>
      <c r="C10657" s="6">
        <v>2420</v>
      </c>
      <c r="D10657" s="7">
        <v>1.26</v>
      </c>
      <c r="E10657" t="s">
        <v>22</v>
      </c>
    </row>
    <row r="10658" spans="1:5" x14ac:dyDescent="0.25">
      <c r="A10658" t="str">
        <f>HYPERLINK("https://www.773grp.com/globalSearch/MC74ACT161MELG/page-1", "MC74ACT161MELG")</f>
        <v>MC74ACT161MELG</v>
      </c>
      <c r="B10658" s="3" t="str">
        <f>HYPERLINK("https://www.773grp.com/manufacturer/onsemi?pageNo=1221", "Onsemi")</f>
        <v>Onsemi</v>
      </c>
      <c r="C10658" s="6">
        <v>1567</v>
      </c>
      <c r="D10658" s="7">
        <v>1.26</v>
      </c>
      <c r="E10658" t="s">
        <v>22</v>
      </c>
    </row>
    <row r="10659" spans="1:5" x14ac:dyDescent="0.25">
      <c r="A10659" t="str">
        <f>HYPERLINK("https://www.773grp.com/globalSearch/MC74ACT162AN/page-1", "MC74ACT162AN")</f>
        <v>MC74ACT162AN</v>
      </c>
      <c r="B10659" s="3" t="str">
        <f>HYPERLINK("https://www.773grp.com/manufacturer/onsemi?pageNo=1222", "Onsemi")</f>
        <v>Onsemi</v>
      </c>
      <c r="C10659" s="6">
        <v>2000</v>
      </c>
      <c r="D10659" s="7">
        <v>1.26</v>
      </c>
    </row>
    <row r="10660" spans="1:5" x14ac:dyDescent="0.25">
      <c r="A10660" t="str">
        <f>HYPERLINK("https://www.773grp.com/globalSearch/MC74ACT162N/page-1", "MC74ACT162N")</f>
        <v>MC74ACT162N</v>
      </c>
      <c r="B10660" s="3" t="str">
        <f>HYPERLINK("https://www.773grp.com/manufacturer/onsemi?pageNo=1223", "Onsemi")</f>
        <v>Onsemi</v>
      </c>
      <c r="C10660" s="6">
        <v>2400</v>
      </c>
      <c r="D10660" s="7">
        <v>1.26</v>
      </c>
      <c r="E10660" t="s">
        <v>22</v>
      </c>
    </row>
    <row r="10661" spans="1:5" x14ac:dyDescent="0.25">
      <c r="A10661" t="str">
        <f>HYPERLINK("https://www.773grp.com/globalSearch/MC74F241N/page-1", "MC74F241N")</f>
        <v>MC74F241N</v>
      </c>
      <c r="B10661" s="3" t="str">
        <f>HYPERLINK("https://www.773grp.com/manufacturer/onsemi?pageNo=1224", "Onsemi")</f>
        <v>Onsemi</v>
      </c>
      <c r="C10661" s="6">
        <v>13142</v>
      </c>
      <c r="D10661" s="7">
        <v>1.26</v>
      </c>
      <c r="E10661" t="s">
        <v>11</v>
      </c>
    </row>
    <row r="10662" spans="1:5" x14ac:dyDescent="0.25">
      <c r="A10662" t="str">
        <f>HYPERLINK("https://www.773grp.com/globalSearch/MC74F521N/page-1", "MC74F521N")</f>
        <v>MC74F521N</v>
      </c>
      <c r="B10662" s="3" t="str">
        <f>HYPERLINK("https://www.773grp.com/manufacturer/onsemi?pageNo=1225", "Onsemi")</f>
        <v>Onsemi</v>
      </c>
      <c r="C10662" s="6">
        <v>2819</v>
      </c>
      <c r="D10662" s="7">
        <v>1.26</v>
      </c>
      <c r="E10662" t="s">
        <v>38</v>
      </c>
    </row>
    <row r="10663" spans="1:5" x14ac:dyDescent="0.25">
      <c r="A10663" t="str">
        <f>HYPERLINK("https://www.773grp.com/globalSearch/MC74HC245AFELG/page-1", "MC74HC245AFELG")</f>
        <v>MC74HC245AFELG</v>
      </c>
      <c r="B10663" s="3" t="str">
        <f>HYPERLINK("https://www.773grp.com/manufacturer/onsemi?pageNo=1226", "Onsemi")</f>
        <v>Onsemi</v>
      </c>
      <c r="C10663" s="6">
        <v>173811</v>
      </c>
      <c r="D10663" s="7">
        <v>1.26</v>
      </c>
      <c r="E10663" t="s">
        <v>11</v>
      </c>
    </row>
    <row r="10664" spans="1:5" x14ac:dyDescent="0.25">
      <c r="A10664" t="str">
        <f>HYPERLINK("https://www.773grp.com/globalSearch/MC74HC273AFEL/page-1", "MC74HC273AFEL")</f>
        <v>MC74HC273AFEL</v>
      </c>
      <c r="B10664" s="3" t="str">
        <f>HYPERLINK("https://www.773grp.com/manufacturer/onsemi?pageNo=1227", "Onsemi")</f>
        <v>Onsemi</v>
      </c>
      <c r="C10664" s="6">
        <v>4000</v>
      </c>
      <c r="D10664" s="7">
        <v>1.26</v>
      </c>
    </row>
    <row r="10665" spans="1:5" x14ac:dyDescent="0.25">
      <c r="A10665" t="str">
        <f>HYPERLINK("https://www.773grp.com/globalSearch/MC74HC273AFELG/page-1", "MC74HC273AFELG")</f>
        <v>MC74HC273AFELG</v>
      </c>
      <c r="B10665" s="3" t="str">
        <f>HYPERLINK("https://www.773grp.com/manufacturer/onsemi?pageNo=1228", "Onsemi")</f>
        <v>Onsemi</v>
      </c>
      <c r="C10665" s="6">
        <v>1900</v>
      </c>
      <c r="D10665" s="7">
        <v>1.26</v>
      </c>
      <c r="E10665" t="s">
        <v>31</v>
      </c>
    </row>
    <row r="10666" spans="1:5" x14ac:dyDescent="0.25">
      <c r="A10666" t="str">
        <f>HYPERLINK("https://www.773grp.com/globalSearch/MC74HC541AFEL/page-1", "MC74HC541AFEL")</f>
        <v>MC74HC541AFEL</v>
      </c>
      <c r="B10666" s="3" t="str">
        <f>HYPERLINK("https://www.773grp.com/manufacturer/onsemi?pageNo=1229", "Onsemi")</f>
        <v>Onsemi</v>
      </c>
      <c r="C10666" s="6">
        <v>12818</v>
      </c>
      <c r="D10666" s="7">
        <v>1.26</v>
      </c>
      <c r="E10666" t="s">
        <v>11</v>
      </c>
    </row>
    <row r="10667" spans="1:5" x14ac:dyDescent="0.25">
      <c r="A10667" t="str">
        <f>HYPERLINK("https://www.773grp.com/globalSearch/MC74LCX540DWR2G/page-1", "MC74LCX540DWR2G")</f>
        <v>MC74LCX540DWR2G</v>
      </c>
      <c r="B10667" s="3" t="str">
        <f>HYPERLINK("https://www.773grp.com/manufacturer/onsemi?pageNo=1230", "Onsemi")</f>
        <v>Onsemi</v>
      </c>
      <c r="C10667" s="6">
        <v>7000</v>
      </c>
      <c r="D10667" s="7">
        <v>1.26</v>
      </c>
      <c r="E10667" t="s">
        <v>11</v>
      </c>
    </row>
    <row r="10668" spans="1:5" x14ac:dyDescent="0.25">
      <c r="A10668" t="str">
        <f>HYPERLINK("https://www.773grp.com/globalSearch/MC74LCX541DTG/page-1", "MC74LCX541DTG")</f>
        <v>MC74LCX541DTG</v>
      </c>
      <c r="B10668" s="3" t="str">
        <f>HYPERLINK("https://www.773grp.com/manufacturer/onsemi?pageNo=1231", "Onsemi")</f>
        <v>Onsemi</v>
      </c>
      <c r="C10668" s="6">
        <v>17400</v>
      </c>
      <c r="D10668" s="7">
        <v>1.26</v>
      </c>
      <c r="E10668" t="s">
        <v>11</v>
      </c>
    </row>
    <row r="10669" spans="1:5" x14ac:dyDescent="0.25">
      <c r="A10669" t="str">
        <f>HYPERLINK("https://www.773grp.com/globalSearch/MC74LCX541DTR2G/page-1", "MC74LCX541DTR2G")</f>
        <v>MC74LCX541DTR2G</v>
      </c>
      <c r="B10669" s="3" t="str">
        <f>HYPERLINK("https://www.773grp.com/manufacturer/onsemi?pageNo=1232", "Onsemi")</f>
        <v>Onsemi</v>
      </c>
      <c r="C10669" s="6">
        <v>21615</v>
      </c>
      <c r="D10669" s="7">
        <v>1.26</v>
      </c>
      <c r="E10669" t="s">
        <v>11</v>
      </c>
    </row>
    <row r="10670" spans="1:5" x14ac:dyDescent="0.25">
      <c r="A10670" t="str">
        <f>HYPERLINK("https://www.773grp.com/globalSearch/MC74LCX541DWG/page-1", "MC74LCX541DWG")</f>
        <v>MC74LCX541DWG</v>
      </c>
      <c r="B10670" s="3" t="str">
        <f>HYPERLINK("https://www.773grp.com/manufacturer/onsemi?pageNo=1233", "Onsemi")</f>
        <v>Onsemi</v>
      </c>
      <c r="C10670" s="6">
        <v>25284</v>
      </c>
      <c r="D10670" s="7">
        <v>1.26</v>
      </c>
      <c r="E10670" t="s">
        <v>11</v>
      </c>
    </row>
    <row r="10671" spans="1:5" x14ac:dyDescent="0.25">
      <c r="A10671" t="str">
        <f>HYPERLINK("https://www.773grp.com/globalSearch/MC74LCX541DWR2G/page-1", "MC74LCX541DWR2G")</f>
        <v>MC74LCX541DWR2G</v>
      </c>
      <c r="B10671" s="3" t="str">
        <f>HYPERLINK("https://www.773grp.com/manufacturer/onsemi?pageNo=1234", "Onsemi")</f>
        <v>Onsemi</v>
      </c>
      <c r="C10671" s="6">
        <v>14560</v>
      </c>
      <c r="D10671" s="7">
        <v>1.26</v>
      </c>
      <c r="E10671" t="s">
        <v>11</v>
      </c>
    </row>
    <row r="10672" spans="1:5" x14ac:dyDescent="0.25">
      <c r="A10672" t="str">
        <f>HYPERLINK("https://www.773grp.com/globalSearch/MDC5101R2/page-1", "MDC5101R2")</f>
        <v>MDC5101R2</v>
      </c>
      <c r="B10672" s="3" t="str">
        <f>HYPERLINK("https://www.773grp.com/manufacturer/onsemi?pageNo=1235", "Onsemi")</f>
        <v>Onsemi</v>
      </c>
      <c r="C10672" s="6">
        <v>1460000</v>
      </c>
      <c r="D10672" s="7">
        <v>1.26</v>
      </c>
      <c r="E10672" t="s">
        <v>62</v>
      </c>
    </row>
    <row r="10673" spans="1:5" x14ac:dyDescent="0.25">
      <c r="A10673" t="str">
        <f>HYPERLINK("https://www.773grp.com/globalSearch/MJD112/page-1", "MJD112")</f>
        <v>MJD112</v>
      </c>
      <c r="B10673" s="3" t="str">
        <f>HYPERLINK("https://www.773grp.com/manufacturer/onsemi?pageNo=1236", "Onsemi")</f>
        <v>Onsemi</v>
      </c>
      <c r="C10673" s="6">
        <v>350</v>
      </c>
      <c r="D10673" s="7">
        <v>1.26</v>
      </c>
    </row>
    <row r="10674" spans="1:5" x14ac:dyDescent="0.25">
      <c r="A10674" t="str">
        <f>HYPERLINK("https://www.773grp.com/globalSearch/MJD2955-1G/page-1", "MJD2955-1G")</f>
        <v>MJD2955-1G</v>
      </c>
      <c r="B10674" s="3" t="str">
        <f>HYPERLINK("https://www.773grp.com/manufacturer/onsemi?pageNo=1237", "Onsemi")</f>
        <v>Onsemi</v>
      </c>
      <c r="C10674" s="6">
        <v>48900</v>
      </c>
      <c r="D10674" s="7">
        <v>1.26</v>
      </c>
      <c r="E10674" t="s">
        <v>47</v>
      </c>
    </row>
    <row r="10675" spans="1:5" x14ac:dyDescent="0.25">
      <c r="A10675" t="str">
        <f>HYPERLINK("https://www.773grp.com/globalSearch/MJD2955G/page-1", "MJD2955G")</f>
        <v>MJD2955G</v>
      </c>
      <c r="B10675" s="3" t="str">
        <f>HYPERLINK("https://www.773grp.com/manufacturer/onsemi?pageNo=1238", "Onsemi")</f>
        <v>Onsemi</v>
      </c>
      <c r="C10675" s="6">
        <v>2793</v>
      </c>
      <c r="D10675" s="7">
        <v>1.26</v>
      </c>
    </row>
    <row r="10676" spans="1:5" x14ac:dyDescent="0.25">
      <c r="A10676" t="str">
        <f>HYPERLINK("https://www.773grp.com/globalSearch/MJD3055G/page-1", "MJD3055G")</f>
        <v>MJD3055G</v>
      </c>
      <c r="B10676" s="3" t="str">
        <f>HYPERLINK("https://www.773grp.com/manufacturer/onsemi?pageNo=1239", "Onsemi")</f>
        <v>Onsemi</v>
      </c>
      <c r="C10676" s="6">
        <v>40254</v>
      </c>
      <c r="D10676" s="7">
        <v>1.26</v>
      </c>
    </row>
    <row r="10677" spans="1:5" x14ac:dyDescent="0.25">
      <c r="A10677" t="str">
        <f>HYPERLINK("https://www.773grp.com/globalSearch/MJD3055T4G/page-1", "MJD3055T4G")</f>
        <v>MJD3055T4G</v>
      </c>
      <c r="B10677" s="3" t="str">
        <f>HYPERLINK("https://www.773grp.com/manufacturer/onsemi?pageNo=1240", "Onsemi")</f>
        <v>Onsemi</v>
      </c>
      <c r="C10677" s="6">
        <v>25000</v>
      </c>
      <c r="D10677" s="7">
        <v>1.26</v>
      </c>
      <c r="E10677" t="s">
        <v>47</v>
      </c>
    </row>
    <row r="10678" spans="1:5" x14ac:dyDescent="0.25">
      <c r="A10678" t="str">
        <f>HYPERLINK("https://www.773grp.com/globalSearch/MJD41CT4G/page-1", "MJD41CT4G")</f>
        <v>MJD41CT4G</v>
      </c>
      <c r="B10678" s="3" t="str">
        <f>HYPERLINK("https://www.773grp.com/manufacturer/onsemi?pageNo=1241", "Onsemi")</f>
        <v>Onsemi</v>
      </c>
      <c r="C10678" s="6">
        <v>42500</v>
      </c>
      <c r="D10678" s="7">
        <v>1.26</v>
      </c>
    </row>
    <row r="10679" spans="1:5" x14ac:dyDescent="0.25">
      <c r="A10679" t="str">
        <f>HYPERLINK("https://www.773grp.com/globalSearch/MJD42C1G/page-1", "MJD42C1G")</f>
        <v>MJD42C1G</v>
      </c>
      <c r="B10679" s="3" t="str">
        <f>HYPERLINK("https://www.773grp.com/manufacturer/onsemi?pageNo=1242", "Onsemi")</f>
        <v>Onsemi</v>
      </c>
      <c r="C10679" s="6">
        <v>3750</v>
      </c>
      <c r="D10679" s="7">
        <v>1.26</v>
      </c>
      <c r="E10679" t="s">
        <v>47</v>
      </c>
    </row>
    <row r="10680" spans="1:5" x14ac:dyDescent="0.25">
      <c r="A10680" t="str">
        <f>HYPERLINK("https://www.773grp.com/globalSearch/MJD42CG/page-1", "MJD42CG")</f>
        <v>MJD42CG</v>
      </c>
      <c r="B10680" s="3" t="str">
        <f>HYPERLINK("https://www.773grp.com/manufacturer/onsemi?pageNo=1243", "Onsemi")</f>
        <v>Onsemi</v>
      </c>
      <c r="C10680" s="6">
        <v>9695</v>
      </c>
      <c r="D10680" s="7">
        <v>1.26</v>
      </c>
    </row>
    <row r="10681" spans="1:5" x14ac:dyDescent="0.25">
      <c r="A10681" t="str">
        <f>HYPERLINK("https://www.773grp.com/globalSearch/MJE700/page-1", "MJE700")</f>
        <v>MJE700</v>
      </c>
      <c r="B10681" s="3" t="str">
        <f>HYPERLINK("https://www.773grp.com/manufacturer/onsemi?pageNo=1244", "Onsemi")</f>
        <v>Onsemi</v>
      </c>
      <c r="C10681" s="6">
        <v>5000</v>
      </c>
      <c r="D10681" s="7">
        <v>1.26</v>
      </c>
      <c r="E10681" t="s">
        <v>47</v>
      </c>
    </row>
    <row r="10682" spans="1:5" x14ac:dyDescent="0.25">
      <c r="A10682" t="str">
        <f>HYPERLINK("https://www.773grp.com/globalSearch/MJE703G/page-1", "MJE703G")</f>
        <v>MJE703G</v>
      </c>
      <c r="B10682" s="3" t="str">
        <f>HYPERLINK("https://www.773grp.com/manufacturer/onsemi?pageNo=1245", "Onsemi")</f>
        <v>Onsemi</v>
      </c>
      <c r="C10682" s="6">
        <v>11501</v>
      </c>
      <c r="D10682" s="7">
        <v>1.26</v>
      </c>
      <c r="E10682" t="s">
        <v>47</v>
      </c>
    </row>
    <row r="10683" spans="1:5" x14ac:dyDescent="0.25">
      <c r="A10683" t="str">
        <f>HYPERLINK("https://www.773grp.com/globalSearch/MTD2N50E1/page-1", "MTD2N50E1")</f>
        <v>MTD2N50E1</v>
      </c>
      <c r="B10683" s="3" t="str">
        <f>HYPERLINK("https://www.773grp.com/manufacturer/onsemi?pageNo=1246", "Onsemi")</f>
        <v>Onsemi</v>
      </c>
      <c r="C10683" s="6">
        <v>84068</v>
      </c>
      <c r="D10683" s="7">
        <v>1.26</v>
      </c>
      <c r="E10683" t="s">
        <v>84</v>
      </c>
    </row>
    <row r="10684" spans="1:5" x14ac:dyDescent="0.25">
      <c r="A10684" t="str">
        <f>HYPERLINK("https://www.773grp.com/globalSearch/MTD3N25E1/page-1", "MTD3N25E1")</f>
        <v>MTD3N25E1</v>
      </c>
      <c r="B10684" s="3" t="str">
        <f>HYPERLINK("https://www.773grp.com/manufacturer/onsemi?pageNo=1247", "Onsemi")</f>
        <v>Onsemi</v>
      </c>
      <c r="C10684" s="6">
        <v>13650</v>
      </c>
      <c r="D10684" s="7">
        <v>1.26</v>
      </c>
    </row>
    <row r="10685" spans="1:5" x14ac:dyDescent="0.25">
      <c r="A10685" t="str">
        <f>HYPERLINK("https://www.773grp.com/globalSearch/MTP1N60E/page-1", "MTP1N60E")</f>
        <v>MTP1N60E</v>
      </c>
      <c r="B10685" s="3" t="str">
        <f>HYPERLINK("https://www.773grp.com/manufacturer/onsemi?pageNo=1248", "Onsemi")</f>
        <v>Onsemi</v>
      </c>
      <c r="C10685" s="6">
        <v>28268</v>
      </c>
      <c r="D10685" s="7">
        <v>1.26</v>
      </c>
      <c r="E10685" t="s">
        <v>84</v>
      </c>
    </row>
    <row r="10686" spans="1:5" x14ac:dyDescent="0.25">
      <c r="A10686" t="str">
        <f>HYPERLINK("https://www.773grp.com/globalSearch/NCP1086D2T-33R4/page-1", "NCP1086D2T-33R4")</f>
        <v>NCP1086D2T-33R4</v>
      </c>
      <c r="B10686" s="3" t="str">
        <f>HYPERLINK("https://www.773grp.com/manufacturer/onsemi?pageNo=1249", "Onsemi")</f>
        <v>Onsemi</v>
      </c>
      <c r="C10686" s="6">
        <v>125860</v>
      </c>
      <c r="D10686" s="7">
        <v>1.26</v>
      </c>
      <c r="E10686" t="s">
        <v>15</v>
      </c>
    </row>
    <row r="10687" spans="1:5" x14ac:dyDescent="0.25">
      <c r="A10687" t="str">
        <f>HYPERLINK("https://www.773grp.com/globalSearch/NCP1086D2T-ADJR4/page-1", "NCP1086D2T-ADJR4")</f>
        <v>NCP1086D2T-ADJR4</v>
      </c>
      <c r="B10687" s="3" t="str">
        <f>HYPERLINK("https://www.773grp.com/manufacturer/onsemi?pageNo=1250", "Onsemi")</f>
        <v>Onsemi</v>
      </c>
      <c r="C10687" s="6">
        <v>734000</v>
      </c>
      <c r="D10687" s="7">
        <v>1.26</v>
      </c>
      <c r="E10687" t="s">
        <v>21</v>
      </c>
    </row>
    <row r="10688" spans="1:5" x14ac:dyDescent="0.25">
      <c r="A10688" t="str">
        <f>HYPERLINK("https://www.773grp.com/globalSearch/NCP1529MU135TBG/page-1", "NCP1529MU135TBG")</f>
        <v>NCP1529MU135TBG</v>
      </c>
      <c r="B10688" s="3" t="str">
        <f>HYPERLINK("https://www.773grp.com/manufacturer/onsemi?pageNo=1251", "Onsemi")</f>
        <v>Onsemi</v>
      </c>
      <c r="C10688" s="6">
        <v>5858</v>
      </c>
      <c r="D10688" s="7">
        <v>1.26</v>
      </c>
      <c r="E10688" t="s">
        <v>5</v>
      </c>
    </row>
    <row r="10689" spans="1:5" x14ac:dyDescent="0.25">
      <c r="A10689" t="str">
        <f>HYPERLINK("https://www.773grp.com/globalSearch/NCP1529MUTBG/page-1", "NCP1529MUTBG")</f>
        <v>NCP1529MUTBG</v>
      </c>
      <c r="B10689" s="3" t="str">
        <f>HYPERLINK("https://www.773grp.com/manufacturer/onsemi?pageNo=1252", "Onsemi")</f>
        <v>Onsemi</v>
      </c>
      <c r="C10689" s="6">
        <v>88700</v>
      </c>
      <c r="D10689" s="7">
        <v>1.26</v>
      </c>
      <c r="E10689" t="s">
        <v>5</v>
      </c>
    </row>
    <row r="10690" spans="1:5" x14ac:dyDescent="0.25">
      <c r="A10690" t="str">
        <f>HYPERLINK("https://www.773grp.com/globalSearch/NCP1589AMNTWG/page-1", "NCP1589AMNTWG")</f>
        <v>NCP1589AMNTWG</v>
      </c>
      <c r="B10690" s="3" t="str">
        <f>HYPERLINK("https://www.773grp.com/manufacturer/onsemi?pageNo=1253", "Onsemi")</f>
        <v>Onsemi</v>
      </c>
      <c r="C10690" s="6">
        <v>7979</v>
      </c>
      <c r="D10690" s="7">
        <v>1.26</v>
      </c>
      <c r="E10690" t="s">
        <v>5</v>
      </c>
    </row>
    <row r="10691" spans="1:5" x14ac:dyDescent="0.25">
      <c r="A10691" t="str">
        <f>HYPERLINK("https://www.773grp.com/globalSearch/NCP1589BMNTWG/page-1", "NCP1589BMNTWG")</f>
        <v>NCP1589BMNTWG</v>
      </c>
      <c r="B10691" s="3" t="str">
        <f>HYPERLINK("https://www.773grp.com/manufacturer/onsemi?pageNo=1254", "Onsemi")</f>
        <v>Onsemi</v>
      </c>
      <c r="C10691" s="6">
        <v>3000</v>
      </c>
      <c r="D10691" s="7">
        <v>1.26</v>
      </c>
    </row>
    <row r="10692" spans="1:5" x14ac:dyDescent="0.25">
      <c r="A10692" t="str">
        <f>HYPERLINK("https://www.773grp.com/globalSearch/NCP2890DMR2/page-1", "NCP2890DMR2")</f>
        <v>NCP2890DMR2</v>
      </c>
      <c r="B10692" s="3" t="str">
        <f>HYPERLINK("https://www.773grp.com/manufacturer/onsemi?pageNo=1255", "Onsemi")</f>
        <v>Onsemi</v>
      </c>
      <c r="C10692" s="6">
        <v>13047</v>
      </c>
      <c r="D10692" s="7">
        <v>1.26</v>
      </c>
      <c r="E10692" t="s">
        <v>14</v>
      </c>
    </row>
    <row r="10693" spans="1:5" x14ac:dyDescent="0.25">
      <c r="A10693" t="str">
        <f>HYPERLINK("https://www.773grp.com/globalSearch/NCP367DPMUELTBG/page-1", "NCP367DPMUELTBG")</f>
        <v>NCP367DPMUELTBG</v>
      </c>
      <c r="B10693" s="3" t="str">
        <f>HYPERLINK("https://www.773grp.com/manufacturer/onsemi?pageNo=1256", "Onsemi")</f>
        <v>Onsemi</v>
      </c>
      <c r="C10693" s="6">
        <v>6000</v>
      </c>
      <c r="D10693" s="7">
        <v>1.26</v>
      </c>
    </row>
    <row r="10694" spans="1:5" x14ac:dyDescent="0.25">
      <c r="A10694" t="str">
        <f>HYPERLINK("https://www.773grp.com/globalSearch/NCP367OPMUEOTBG/page-1", "NCP367OPMUEOTBG")</f>
        <v>NCP367OPMUEOTBG</v>
      </c>
      <c r="B10694" s="3" t="str">
        <f>HYPERLINK("https://www.773grp.com/manufacturer/onsemi?pageNo=1257", "Onsemi")</f>
        <v>Onsemi</v>
      </c>
      <c r="C10694" s="6">
        <v>144000</v>
      </c>
      <c r="D10694" s="7">
        <v>1.26</v>
      </c>
    </row>
    <row r="10695" spans="1:5" x14ac:dyDescent="0.25">
      <c r="A10695" t="str">
        <f>HYPERLINK("https://www.773grp.com/globalSearch/NCP4681DMX29TCG/page-1", "NCP4681DMX29TCG")</f>
        <v>NCP4681DMX29TCG</v>
      </c>
      <c r="B10695" s="3" t="str">
        <f>HYPERLINK("https://www.773grp.com/manufacturer/onsemi?pageNo=1258", "Onsemi")</f>
        <v>Onsemi</v>
      </c>
      <c r="C10695" s="6">
        <v>29900</v>
      </c>
      <c r="D10695" s="7">
        <v>1.26</v>
      </c>
    </row>
    <row r="10696" spans="1:5" x14ac:dyDescent="0.25">
      <c r="A10696" t="str">
        <f>HYPERLINK("https://www.773grp.com/globalSearch/NCP4681DMX33TCG/page-1", "NCP4681DMX33TCG")</f>
        <v>NCP4681DMX33TCG</v>
      </c>
      <c r="B10696" s="3" t="str">
        <f>HYPERLINK("https://www.773grp.com/manufacturer/onsemi?pageNo=1259", "Onsemi")</f>
        <v>Onsemi</v>
      </c>
      <c r="C10696" s="6">
        <v>30000</v>
      </c>
      <c r="D10696" s="7">
        <v>1.26</v>
      </c>
    </row>
    <row r="10697" spans="1:5" x14ac:dyDescent="0.25">
      <c r="A10697" t="str">
        <f>HYPERLINK("https://www.773grp.com/globalSearch/NCP4681DMX35TCG/page-1", "NCP4681DMX35TCG")</f>
        <v>NCP4681DMX35TCG</v>
      </c>
      <c r="B10697" s="3" t="str">
        <f>HYPERLINK("https://www.773grp.com/manufacturer/onsemi?pageNo=1260", "Onsemi")</f>
        <v>Onsemi</v>
      </c>
      <c r="C10697" s="6">
        <v>20000</v>
      </c>
      <c r="D10697" s="7">
        <v>1.26</v>
      </c>
    </row>
    <row r="10698" spans="1:5" x14ac:dyDescent="0.25">
      <c r="A10698" t="str">
        <f>HYPERLINK("https://www.773grp.com/globalSearch/NCP4681HMX35TCG/page-1", "NCP4681HMX35TCG")</f>
        <v>NCP4681HMX35TCG</v>
      </c>
      <c r="B10698" s="3" t="str">
        <f>HYPERLINK("https://www.773grp.com/manufacturer/onsemi?pageNo=1261", "Onsemi")</f>
        <v>Onsemi</v>
      </c>
      <c r="C10698" s="6">
        <v>29970</v>
      </c>
      <c r="D10698" s="7">
        <v>1.26</v>
      </c>
    </row>
    <row r="10699" spans="1:5" x14ac:dyDescent="0.25">
      <c r="A10699" t="str">
        <f>HYPERLINK("https://www.773grp.com/globalSearch/NCP4682DMU12TCG/page-1", "NCP4682DMU12TCG")</f>
        <v>NCP4682DMU12TCG</v>
      </c>
      <c r="B10699" s="3" t="str">
        <f>HYPERLINK("https://www.773grp.com/manufacturer/onsemi?pageNo=1262", "Onsemi")</f>
        <v>Onsemi</v>
      </c>
      <c r="C10699" s="6">
        <v>30000</v>
      </c>
      <c r="D10699" s="7">
        <v>1.26</v>
      </c>
    </row>
    <row r="10700" spans="1:5" x14ac:dyDescent="0.25">
      <c r="A10700" t="str">
        <f>HYPERLINK("https://www.773grp.com/globalSearch/NCP4682DMU15TCG/page-1", "NCP4682DMU15TCG")</f>
        <v>NCP4682DMU15TCG</v>
      </c>
      <c r="B10700" s="3" t="str">
        <f>HYPERLINK("https://www.773grp.com/manufacturer/onsemi?pageNo=1263", "Onsemi")</f>
        <v>Onsemi</v>
      </c>
      <c r="C10700" s="6">
        <v>20000</v>
      </c>
      <c r="D10700" s="7">
        <v>1.26</v>
      </c>
    </row>
    <row r="10701" spans="1:5" x14ac:dyDescent="0.25">
      <c r="A10701" t="str">
        <f>HYPERLINK("https://www.773grp.com/globalSearch/NCP4682DMU18TCG/page-1", "NCP4682DMU18TCG")</f>
        <v>NCP4682DMU18TCG</v>
      </c>
      <c r="B10701" s="3" t="str">
        <f>HYPERLINK("https://www.773grp.com/manufacturer/onsemi?pageNo=1264", "Onsemi")</f>
        <v>Onsemi</v>
      </c>
      <c r="C10701" s="6">
        <v>28000</v>
      </c>
      <c r="D10701" s="7">
        <v>1.26</v>
      </c>
    </row>
    <row r="10702" spans="1:5" x14ac:dyDescent="0.25">
      <c r="A10702" t="str">
        <f>HYPERLINK("https://www.773grp.com/globalSearch/NCP4682DMU25TCG/page-1", "NCP4682DMU25TCG")</f>
        <v>NCP4682DMU25TCG</v>
      </c>
      <c r="B10702" s="3" t="str">
        <f>HYPERLINK("https://www.773grp.com/manufacturer/onsemi?pageNo=1265", "Onsemi")</f>
        <v>Onsemi</v>
      </c>
      <c r="C10702" s="6">
        <v>10000</v>
      </c>
      <c r="D10702" s="7">
        <v>1.26</v>
      </c>
    </row>
    <row r="10703" spans="1:5" x14ac:dyDescent="0.25">
      <c r="A10703" t="str">
        <f>HYPERLINK("https://www.773grp.com/globalSearch/NCP4682DMU28TCG/page-1", "NCP4682DMU28TCG")</f>
        <v>NCP4682DMU28TCG</v>
      </c>
      <c r="B10703" s="3" t="str">
        <f>HYPERLINK("https://www.773grp.com/manufacturer/onsemi?pageNo=1266", "Onsemi")</f>
        <v>Onsemi</v>
      </c>
      <c r="C10703" s="6">
        <v>20000</v>
      </c>
      <c r="D10703" s="7">
        <v>1.26</v>
      </c>
    </row>
    <row r="10704" spans="1:5" x14ac:dyDescent="0.25">
      <c r="A10704" t="str">
        <f>HYPERLINK("https://www.773grp.com/globalSearch/NCP4682DMU30TCG/page-1", "NCP4682DMU30TCG")</f>
        <v>NCP4682DMU30TCG</v>
      </c>
      <c r="B10704" s="3" t="str">
        <f>HYPERLINK("https://www.773grp.com/manufacturer/onsemi?pageNo=1267", "Onsemi")</f>
        <v>Onsemi</v>
      </c>
      <c r="C10704" s="6">
        <v>10000</v>
      </c>
      <c r="D10704" s="7">
        <v>1.26</v>
      </c>
    </row>
    <row r="10705" spans="1:5" x14ac:dyDescent="0.25">
      <c r="A10705" t="str">
        <f>HYPERLINK("https://www.773grp.com/globalSearch/NCP4682DMU33TCG/page-1", "NCP4682DMU33TCG")</f>
        <v>NCP4682DMU33TCG</v>
      </c>
      <c r="B10705" s="3" t="str">
        <f>HYPERLINK("https://www.773grp.com/manufacturer/onsemi?pageNo=1268", "Onsemi")</f>
        <v>Onsemi</v>
      </c>
      <c r="C10705" s="6">
        <v>20000</v>
      </c>
      <c r="D10705" s="7">
        <v>1.26</v>
      </c>
    </row>
    <row r="10706" spans="1:5" x14ac:dyDescent="0.25">
      <c r="A10706" t="str">
        <f>HYPERLINK("https://www.773grp.com/globalSearch/NCP4682HMU18TCG/page-1", "NCP4682HMU18TCG")</f>
        <v>NCP4682HMU18TCG</v>
      </c>
      <c r="B10706" s="3" t="str">
        <f>HYPERLINK("https://www.773grp.com/manufacturer/onsemi?pageNo=1269", "Onsemi")</f>
        <v>Onsemi</v>
      </c>
      <c r="C10706" s="6">
        <v>40000</v>
      </c>
      <c r="D10706" s="7">
        <v>1.26</v>
      </c>
    </row>
    <row r="10707" spans="1:5" x14ac:dyDescent="0.25">
      <c r="A10707" t="str">
        <f>HYPERLINK("https://www.773grp.com/globalSearch/NCP4682HMU28TCG/page-1", "NCP4682HMU28TCG")</f>
        <v>NCP4682HMU28TCG</v>
      </c>
      <c r="B10707" s="3" t="str">
        <f>HYPERLINK("https://www.773grp.com/manufacturer/onsemi?pageNo=1270", "Onsemi")</f>
        <v>Onsemi</v>
      </c>
      <c r="C10707" s="6">
        <v>30000</v>
      </c>
      <c r="D10707" s="7">
        <v>1.26</v>
      </c>
    </row>
    <row r="10708" spans="1:5" x14ac:dyDescent="0.25">
      <c r="A10708" t="str">
        <f>HYPERLINK("https://www.773grp.com/globalSearch/NCP4682HMU33TCG/page-1", "NCP4682HMU33TCG")</f>
        <v>NCP4682HMU33TCG</v>
      </c>
      <c r="B10708" s="3" t="str">
        <f>HYPERLINK("https://www.773grp.com/manufacturer/onsemi?pageNo=1271", "Onsemi")</f>
        <v>Onsemi</v>
      </c>
      <c r="C10708" s="6">
        <v>30000</v>
      </c>
      <c r="D10708" s="7">
        <v>1.26</v>
      </c>
    </row>
    <row r="10709" spans="1:5" x14ac:dyDescent="0.25">
      <c r="A10709" t="str">
        <f>HYPERLINK("https://www.773grp.com/globalSearch/NCP4685EMU30TCG/page-1", "NCP4685EMU30TCG")</f>
        <v>NCP4685EMU30TCG</v>
      </c>
      <c r="B10709" s="3" t="str">
        <f>HYPERLINK("https://www.773grp.com/manufacturer/onsemi?pageNo=1272", "Onsemi")</f>
        <v>Onsemi</v>
      </c>
      <c r="C10709" s="6">
        <v>20000</v>
      </c>
      <c r="D10709" s="7">
        <v>1.26</v>
      </c>
    </row>
    <row r="10710" spans="1:5" x14ac:dyDescent="0.25">
      <c r="A10710" t="str">
        <f>HYPERLINK("https://www.773grp.com/globalSearch/NCP5501DT15G/page-1", "NCP5501DT15G")</f>
        <v>NCP5501DT15G</v>
      </c>
      <c r="B10710" s="3" t="str">
        <f>HYPERLINK("https://www.773grp.com/manufacturer/onsemi?pageNo=1273", "Onsemi")</f>
        <v>Onsemi</v>
      </c>
      <c r="C10710" s="6">
        <v>11025</v>
      </c>
      <c r="D10710" s="7">
        <v>1.26</v>
      </c>
      <c r="E10710" t="s">
        <v>15</v>
      </c>
    </row>
    <row r="10711" spans="1:5" x14ac:dyDescent="0.25">
      <c r="A10711" t="str">
        <f>HYPERLINK("https://www.773grp.com/globalSearch/NCP5501DT15RKG/page-1", "NCP5501DT15RKG")</f>
        <v>NCP5501DT15RKG</v>
      </c>
      <c r="B10711" s="3" t="str">
        <f>HYPERLINK("https://www.773grp.com/manufacturer/onsemi?pageNo=1274", "Onsemi")</f>
        <v>Onsemi</v>
      </c>
      <c r="C10711" s="6">
        <v>4485</v>
      </c>
      <c r="D10711" s="7">
        <v>1.26</v>
      </c>
      <c r="E10711" t="s">
        <v>15</v>
      </c>
    </row>
    <row r="10712" spans="1:5" x14ac:dyDescent="0.25">
      <c r="A10712" t="str">
        <f>HYPERLINK("https://www.773grp.com/globalSearch/NCP5501DT50G/page-1", "NCP5501DT50G")</f>
        <v>NCP5501DT50G</v>
      </c>
      <c r="B10712" s="3" t="str">
        <f>HYPERLINK("https://www.773grp.com/manufacturer/onsemi?pageNo=1275", "Onsemi")</f>
        <v>Onsemi</v>
      </c>
      <c r="C10712" s="6">
        <v>1125</v>
      </c>
      <c r="D10712" s="7">
        <v>1.26</v>
      </c>
      <c r="E10712" t="s">
        <v>15</v>
      </c>
    </row>
    <row r="10713" spans="1:5" x14ac:dyDescent="0.25">
      <c r="A10713" t="str">
        <f>HYPERLINK("https://www.773grp.com/globalSearch/NCP565D2TR4/page-1", "NCP565D2TR4")</f>
        <v>NCP565D2TR4</v>
      </c>
      <c r="B10713" s="3" t="str">
        <f>HYPERLINK("https://www.773grp.com/manufacturer/onsemi?pageNo=1276", "Onsemi")</f>
        <v>Onsemi</v>
      </c>
      <c r="C10713" s="6">
        <v>30</v>
      </c>
      <c r="D10713" s="7">
        <v>1.26</v>
      </c>
      <c r="E10713" t="s">
        <v>21</v>
      </c>
    </row>
    <row r="10714" spans="1:5" x14ac:dyDescent="0.25">
      <c r="A10714" t="str">
        <f>HYPERLINK("https://www.773grp.com/globalSearch/NCP623MN-33R2/page-1", "NCP623MN-33R2")</f>
        <v>NCP623MN-33R2</v>
      </c>
      <c r="B10714" s="3" t="str">
        <f>HYPERLINK("https://www.773grp.com/manufacturer/onsemi?pageNo=1277", "Onsemi")</f>
        <v>Onsemi</v>
      </c>
      <c r="C10714" s="6">
        <v>3990</v>
      </c>
      <c r="D10714" s="7">
        <v>1.26</v>
      </c>
      <c r="E10714" t="s">
        <v>15</v>
      </c>
    </row>
    <row r="10715" spans="1:5" x14ac:dyDescent="0.25">
      <c r="A10715" t="str">
        <f>HYPERLINK("https://www.773grp.com/globalSearch/NCP623MN-40R2/page-1", "NCP623MN-40R2")</f>
        <v>NCP623MN-40R2</v>
      </c>
      <c r="B10715" s="3" t="str">
        <f>HYPERLINK("https://www.773grp.com/manufacturer/onsemi?pageNo=1278", "Onsemi")</f>
        <v>Onsemi</v>
      </c>
      <c r="C10715" s="6">
        <v>3000</v>
      </c>
      <c r="D10715" s="7">
        <v>1.26</v>
      </c>
      <c r="E10715" t="s">
        <v>15</v>
      </c>
    </row>
    <row r="10716" spans="1:5" x14ac:dyDescent="0.25">
      <c r="A10716" t="str">
        <f>HYPERLINK("https://www.773grp.com/globalSearch/NCV4279D1/page-1", "NCV4279D1")</f>
        <v>NCV4279D1</v>
      </c>
      <c r="B10716" s="3" t="str">
        <f>HYPERLINK("https://www.773grp.com/manufacturer/onsemi?pageNo=1279", "Onsemi")</f>
        <v>Onsemi</v>
      </c>
      <c r="C10716" s="6">
        <v>2248</v>
      </c>
      <c r="D10716" s="7">
        <v>1.26</v>
      </c>
      <c r="E10716" t="s">
        <v>15</v>
      </c>
    </row>
    <row r="10717" spans="1:5" x14ac:dyDescent="0.25">
      <c r="A10717" t="str">
        <f>HYPERLINK("https://www.773grp.com/globalSearch/NCV78L05ABDG/page-1", "NCV78L05ABDG")</f>
        <v>NCV78L05ABDG</v>
      </c>
      <c r="B10717" s="3" t="str">
        <f>HYPERLINK("https://www.773grp.com/manufacturer/onsemi?pageNo=1280", "Onsemi")</f>
        <v>Onsemi</v>
      </c>
      <c r="C10717" s="6">
        <v>25088</v>
      </c>
      <c r="D10717" s="7">
        <v>1.26</v>
      </c>
    </row>
    <row r="10718" spans="1:5" x14ac:dyDescent="0.25">
      <c r="A10718" t="str">
        <f>HYPERLINK("https://www.773grp.com/globalSearch/NCV78L05ABDR2G/page-1", "NCV78L05ABDR2G")</f>
        <v>NCV78L05ABDR2G</v>
      </c>
      <c r="B10718" s="3" t="str">
        <f>HYPERLINK("https://www.773grp.com/manufacturer/onsemi?pageNo=1281", "Onsemi")</f>
        <v>Onsemi</v>
      </c>
      <c r="C10718" s="6">
        <v>11855</v>
      </c>
      <c r="D10718" s="7">
        <v>1.26</v>
      </c>
      <c r="E10718" t="s">
        <v>24</v>
      </c>
    </row>
    <row r="10719" spans="1:5" x14ac:dyDescent="0.25">
      <c r="A10719" t="str">
        <f>HYPERLINK("https://www.773grp.com/globalSearch/NCV78L12ABDR2G/page-1", "NCV78L12ABDR2G")</f>
        <v>NCV78L12ABDR2G</v>
      </c>
      <c r="B10719" s="3" t="str">
        <f>HYPERLINK("https://www.773grp.com/manufacturer/onsemi?pageNo=1282", "Onsemi")</f>
        <v>Onsemi</v>
      </c>
      <c r="C10719" s="6">
        <v>12215</v>
      </c>
      <c r="D10719" s="7">
        <v>1.26</v>
      </c>
      <c r="E10719" t="s">
        <v>24</v>
      </c>
    </row>
    <row r="10720" spans="1:5" x14ac:dyDescent="0.25">
      <c r="A10720" t="str">
        <f>HYPERLINK("https://www.773grp.com/globalSearch/NCV78L15ABDR2G/page-1", "NCV78L15ABDR2G")</f>
        <v>NCV78L15ABDR2G</v>
      </c>
      <c r="B10720" s="3" t="str">
        <f>HYPERLINK("https://www.773grp.com/manufacturer/onsemi?pageNo=1283", "Onsemi")</f>
        <v>Onsemi</v>
      </c>
      <c r="C10720" s="6">
        <v>17500</v>
      </c>
      <c r="D10720" s="7">
        <v>1.26</v>
      </c>
    </row>
    <row r="10721" spans="1:5" x14ac:dyDescent="0.25">
      <c r="A10721" t="str">
        <f>HYPERLINK("https://www.773grp.com/globalSearch/NLAS5213AUSG/page-1", "NLAS5213AUSG")</f>
        <v>NLAS5213AUSG</v>
      </c>
      <c r="B10721" s="3" t="str">
        <f>HYPERLINK("https://www.773grp.com/manufacturer/onsemi?pageNo=1284", "Onsemi")</f>
        <v>Onsemi</v>
      </c>
      <c r="C10721" s="6">
        <v>36000</v>
      </c>
      <c r="D10721" s="7">
        <v>1.26</v>
      </c>
      <c r="E10721" t="s">
        <v>46</v>
      </c>
    </row>
    <row r="10722" spans="1:5" x14ac:dyDescent="0.25">
      <c r="A10722" t="str">
        <f>HYPERLINK("https://www.773grp.com/globalSearch/NLAS5213BUSG/page-1", "NLAS5213BUSG")</f>
        <v>NLAS5213BUSG</v>
      </c>
      <c r="B10722" s="3" t="str">
        <f>HYPERLINK("https://www.773grp.com/manufacturer/onsemi?pageNo=1285", "Onsemi")</f>
        <v>Onsemi</v>
      </c>
      <c r="C10722" s="6">
        <v>29672</v>
      </c>
      <c r="D10722" s="7">
        <v>1.26</v>
      </c>
      <c r="E10722" t="s">
        <v>46</v>
      </c>
    </row>
    <row r="10723" spans="1:5" x14ac:dyDescent="0.25">
      <c r="A10723" t="str">
        <f>HYPERLINK("https://www.773grp.com/globalSearch/NLSX0102FCT2G/page-1", "NLSX0102FCT2G")</f>
        <v>NLSX0102FCT2G</v>
      </c>
      <c r="B10723" s="3" t="str">
        <f>HYPERLINK("https://www.773grp.com/manufacturer/onsemi?pageNo=1286", "Onsemi")</f>
        <v>Onsemi</v>
      </c>
      <c r="C10723" s="6">
        <v>30000</v>
      </c>
      <c r="D10723" s="7">
        <v>1.26</v>
      </c>
    </row>
    <row r="10724" spans="1:5" x14ac:dyDescent="0.25">
      <c r="A10724" t="str">
        <f>HYPERLINK("https://www.773grp.com/globalSearch/NLSX3012DR2G/page-1", "NLSX3012DR2G")</f>
        <v>NLSX3012DR2G</v>
      </c>
      <c r="B10724" s="3" t="str">
        <f>HYPERLINK("https://www.773grp.com/manufacturer/onsemi?pageNo=1287", "Onsemi")</f>
        <v>Onsemi</v>
      </c>
      <c r="C10724" s="6">
        <v>8684</v>
      </c>
      <c r="D10724" s="7">
        <v>1.26</v>
      </c>
    </row>
    <row r="10725" spans="1:5" x14ac:dyDescent="0.25">
      <c r="A10725" t="str">
        <f>HYPERLINK("https://www.773grp.com/globalSearch/NLSX5011AMX1TCG/page-1", "NLSX5011AMX1TCG")</f>
        <v>NLSX5011AMX1TCG</v>
      </c>
      <c r="B10725" s="3" t="str">
        <f>HYPERLINK("https://www.773grp.com/manufacturer/onsemi?pageNo=1288", "Onsemi")</f>
        <v>Onsemi</v>
      </c>
      <c r="C10725" s="6">
        <v>6000</v>
      </c>
      <c r="D10725" s="7">
        <v>1.26</v>
      </c>
      <c r="E10725" t="s">
        <v>62</v>
      </c>
    </row>
    <row r="10726" spans="1:5" x14ac:dyDescent="0.25">
      <c r="A10726" t="str">
        <f>HYPERLINK("https://www.773grp.com/globalSearch/NLSX5011BMX1TCG/page-1", "NLSX5011BMX1TCG")</f>
        <v>NLSX5011BMX1TCG</v>
      </c>
      <c r="B10726" s="3" t="str">
        <f>HYPERLINK("https://www.773grp.com/manufacturer/onsemi?pageNo=1289", "Onsemi")</f>
        <v>Onsemi</v>
      </c>
      <c r="C10726" s="6">
        <v>6000</v>
      </c>
      <c r="D10726" s="7">
        <v>1.26</v>
      </c>
      <c r="E10726" t="s">
        <v>62</v>
      </c>
    </row>
    <row r="10727" spans="1:5" x14ac:dyDescent="0.25">
      <c r="A10727" t="str">
        <f>HYPERLINK("https://www.773grp.com/globalSearch/NLSX5011MUTCG/page-1", "NLSX5011MUTCG")</f>
        <v>NLSX5011MUTCG</v>
      </c>
      <c r="B10727" s="3" t="str">
        <f>HYPERLINK("https://www.773grp.com/manufacturer/onsemi?pageNo=1290", "Onsemi")</f>
        <v>Onsemi</v>
      </c>
      <c r="C10727" s="6">
        <v>25750</v>
      </c>
      <c r="D10727" s="7">
        <v>1.26</v>
      </c>
    </row>
    <row r="10728" spans="1:5" x14ac:dyDescent="0.25">
      <c r="A10728" t="str">
        <f>HYPERLINK("https://www.773grp.com/globalSearch/NLV14020BDR2G/page-1", "NLV14020BDR2G")</f>
        <v>NLV14020BDR2G</v>
      </c>
      <c r="B10728" s="3" t="str">
        <f>HYPERLINK("https://www.773grp.com/manufacturer/onsemi?pageNo=1291", "Onsemi")</f>
        <v>Onsemi</v>
      </c>
      <c r="C10728" s="6">
        <v>2400</v>
      </c>
      <c r="D10728" s="7">
        <v>1.26</v>
      </c>
    </row>
    <row r="10729" spans="1:5" x14ac:dyDescent="0.25">
      <c r="A10729" t="str">
        <f>HYPERLINK("https://www.773grp.com/globalSearch/NLV14022BDR2G/page-1", "NLV14022BDR2G")</f>
        <v>NLV14022BDR2G</v>
      </c>
      <c r="B10729" s="3" t="str">
        <f>HYPERLINK("https://www.773grp.com/manufacturer/onsemi?pageNo=1292", "Onsemi")</f>
        <v>Onsemi</v>
      </c>
      <c r="C10729" s="6">
        <v>2366</v>
      </c>
      <c r="D10729" s="7">
        <v>1.26</v>
      </c>
    </row>
    <row r="10730" spans="1:5" x14ac:dyDescent="0.25">
      <c r="A10730" t="str">
        <f>HYPERLINK("https://www.773grp.com/globalSearch/NLV14538BDR2G/page-1", "NLV14538BDR2G")</f>
        <v>NLV14538BDR2G</v>
      </c>
      <c r="B10730" s="3" t="str">
        <f>HYPERLINK("https://www.773grp.com/manufacturer/onsemi?pageNo=1293", "Onsemi")</f>
        <v>Onsemi</v>
      </c>
      <c r="C10730" s="6">
        <v>3671</v>
      </c>
      <c r="D10730" s="7">
        <v>1.26</v>
      </c>
    </row>
    <row r="10731" spans="1:5" x14ac:dyDescent="0.25">
      <c r="A10731" t="str">
        <f>HYPERLINK("https://www.773grp.com/globalSearch/NLV14538BDTR2G/page-1", "NLV14538BDTR2G")</f>
        <v>NLV14538BDTR2G</v>
      </c>
      <c r="B10731" s="3" t="str">
        <f>HYPERLINK("https://www.773grp.com/manufacturer/onsemi?pageNo=1294", "Onsemi")</f>
        <v>Onsemi</v>
      </c>
      <c r="C10731" s="6">
        <v>75</v>
      </c>
      <c r="D10731" s="7">
        <v>1.26</v>
      </c>
    </row>
    <row r="10732" spans="1:5" x14ac:dyDescent="0.25">
      <c r="A10732" t="str">
        <f>HYPERLINK("https://www.773grp.com/globalSearch/NRVBS360T3G/page-1", "NRVBS360T3G")</f>
        <v>NRVBS360T3G</v>
      </c>
      <c r="B10732" s="3" t="str">
        <f>HYPERLINK("https://www.773grp.com/manufacturer/onsemi?pageNo=1295", "Onsemi")</f>
        <v>Onsemi</v>
      </c>
      <c r="C10732" s="6">
        <v>40000</v>
      </c>
      <c r="D10732" s="7">
        <v>1.26</v>
      </c>
    </row>
    <row r="10733" spans="1:5" x14ac:dyDescent="0.25">
      <c r="A10733" t="str">
        <f>HYPERLINK("https://www.773grp.com/globalSearch/NTD20N03L27G/page-1", "NTD20N03L27G")</f>
        <v>NTD20N03L27G</v>
      </c>
      <c r="B10733" s="3" t="str">
        <f>HYPERLINK("https://www.773grp.com/manufacturer/onsemi?pageNo=1296", "Onsemi")</f>
        <v>Onsemi</v>
      </c>
      <c r="C10733" s="6">
        <v>4583</v>
      </c>
      <c r="D10733" s="7">
        <v>1.26</v>
      </c>
      <c r="E10733" t="s">
        <v>84</v>
      </c>
    </row>
    <row r="10734" spans="1:5" x14ac:dyDescent="0.25">
      <c r="A10734" t="str">
        <f>HYPERLINK("https://www.773grp.com/globalSearch/NTMFS4839NHT3G/page-1", "NTMFS4839NHT3G")</f>
        <v>NTMFS4839NHT3G</v>
      </c>
      <c r="B10734" s="3" t="str">
        <f>HYPERLINK("https://www.773grp.com/manufacturer/onsemi?pageNo=1297", "Onsemi")</f>
        <v>Onsemi</v>
      </c>
      <c r="C10734" s="6">
        <v>10000</v>
      </c>
      <c r="D10734" s="7">
        <v>1.26</v>
      </c>
      <c r="E10734" t="s">
        <v>84</v>
      </c>
    </row>
    <row r="10735" spans="1:5" x14ac:dyDescent="0.25">
      <c r="A10735" t="str">
        <f>HYPERLINK("https://www.773grp.com/globalSearch/NTMFS4849NT1G/page-1", "NTMFS4849NT1G")</f>
        <v>NTMFS4849NT1G</v>
      </c>
      <c r="B10735" s="3" t="str">
        <f>HYPERLINK("https://www.773grp.com/manufacturer/onsemi?pageNo=1298", "Onsemi")</f>
        <v>Onsemi</v>
      </c>
      <c r="C10735" s="6">
        <v>67500</v>
      </c>
      <c r="D10735" s="7">
        <v>1.26</v>
      </c>
      <c r="E10735" t="s">
        <v>85</v>
      </c>
    </row>
    <row r="10736" spans="1:5" x14ac:dyDescent="0.25">
      <c r="A10736" t="str">
        <f>HYPERLINK("https://www.773grp.com/globalSearch/NTMS4807NR2G/page-1", "NTMS4807NR2G")</f>
        <v>NTMS4807NR2G</v>
      </c>
      <c r="B10736" s="3" t="str">
        <f>HYPERLINK("https://www.773grp.com/manufacturer/onsemi?pageNo=1299", "Onsemi")</f>
        <v>Onsemi</v>
      </c>
      <c r="C10736" s="6">
        <v>374291</v>
      </c>
      <c r="D10736" s="7">
        <v>1.26</v>
      </c>
      <c r="E10736" t="s">
        <v>85</v>
      </c>
    </row>
    <row r="10737" spans="1:5" x14ac:dyDescent="0.25">
      <c r="A10737" t="str">
        <f>HYPERLINK("https://www.773grp.com/globalSearch/NTP27N06L/page-1", "NTP27N06L")</f>
        <v>NTP27N06L</v>
      </c>
      <c r="B10737" s="3" t="str">
        <f>HYPERLINK("https://www.773grp.com/manufacturer/onsemi?pageNo=1300", "Onsemi")</f>
        <v>Onsemi</v>
      </c>
      <c r="C10737" s="6">
        <v>2668</v>
      </c>
      <c r="D10737" s="7">
        <v>1.26</v>
      </c>
      <c r="E10737" t="s">
        <v>84</v>
      </c>
    </row>
    <row r="10738" spans="1:5" x14ac:dyDescent="0.25">
      <c r="A10738" t="str">
        <f>HYPERLINK("https://www.773grp.com/globalSearch/NTST20100CTG/page-1", "NTST20100CTG")</f>
        <v>NTST20100CTG</v>
      </c>
      <c r="B10738" s="3" t="str">
        <f>HYPERLINK("https://www.773grp.com/manufacturer/onsemi?pageNo=1301", "Onsemi")</f>
        <v>Onsemi</v>
      </c>
      <c r="C10738" s="6">
        <v>1000</v>
      </c>
      <c r="D10738" s="7">
        <v>1.26</v>
      </c>
    </row>
    <row r="10739" spans="1:5" x14ac:dyDescent="0.25">
      <c r="A10739" t="str">
        <f>HYPERLINK("https://www.773grp.com/globalSearch/NUD4001DR2G/page-1", "NUD4001DR2G")</f>
        <v>NUD4001DR2G</v>
      </c>
      <c r="B10739" s="3" t="str">
        <f>HYPERLINK("https://www.773grp.com/manufacturer/onsemi?pageNo=1302", "Onsemi")</f>
        <v>Onsemi</v>
      </c>
      <c r="C10739" s="6">
        <v>18624</v>
      </c>
      <c r="D10739" s="7">
        <v>1.26</v>
      </c>
      <c r="E10739" t="s">
        <v>7</v>
      </c>
    </row>
    <row r="10740" spans="1:5" x14ac:dyDescent="0.25">
      <c r="A10740" t="str">
        <f>HYPERLINK("https://www.773grp.com/globalSearch/NUD4011DR2G/page-1", "NUD4011DR2G")</f>
        <v>NUD4011DR2G</v>
      </c>
      <c r="B10740" s="3" t="str">
        <f>HYPERLINK("https://www.773grp.com/manufacturer/onsemi?pageNo=1303", "Onsemi")</f>
        <v>Onsemi</v>
      </c>
      <c r="C10740" s="6">
        <v>59485</v>
      </c>
      <c r="D10740" s="7">
        <v>1.26</v>
      </c>
      <c r="E10740" t="s">
        <v>7</v>
      </c>
    </row>
    <row r="10741" spans="1:5" x14ac:dyDescent="0.25">
      <c r="A10741" t="str">
        <f>HYPERLINK("https://www.773grp.com/globalSearch/NUF3101FCT1G/page-1", "NUF3101FCT1G")</f>
        <v>NUF3101FCT1G</v>
      </c>
      <c r="B10741" s="3" t="str">
        <f>HYPERLINK("https://www.773grp.com/manufacturer/onsemi?pageNo=1304", "Onsemi")</f>
        <v>Onsemi</v>
      </c>
      <c r="C10741" s="6">
        <v>361043</v>
      </c>
      <c r="D10741" s="7">
        <v>1.26</v>
      </c>
      <c r="E10741" t="s">
        <v>79</v>
      </c>
    </row>
    <row r="10742" spans="1:5" x14ac:dyDescent="0.25">
      <c r="A10742" t="str">
        <f>HYPERLINK("https://www.773grp.com/globalSearch/NUP4012PXV6T1G/page-1", "NUP4012PXV6T1G")</f>
        <v>NUP4012PXV6T1G</v>
      </c>
      <c r="B10742" s="3" t="str">
        <f>HYPERLINK("https://www.773grp.com/manufacturer/onsemi?pageNo=1305", "Onsemi")</f>
        <v>Onsemi</v>
      </c>
      <c r="C10742" s="6">
        <v>24000</v>
      </c>
      <c r="D10742" s="7">
        <v>1.26</v>
      </c>
      <c r="E10742" t="s">
        <v>75</v>
      </c>
    </row>
    <row r="10743" spans="1:5" x14ac:dyDescent="0.25">
      <c r="A10743" t="str">
        <f>HYPERLINK("https://www.773grp.com/globalSearch/SC65895PK164/page-1", "SC65895PK164")</f>
        <v>SC65895PK164</v>
      </c>
      <c r="B10743" s="3" t="str">
        <f>HYPERLINK("https://www.773grp.com/manufacturer/onsemi?pageNo=1306", "Onsemi")</f>
        <v>Onsemi</v>
      </c>
      <c r="C10743" s="6">
        <v>2000</v>
      </c>
      <c r="D10743" s="7">
        <v>1.26</v>
      </c>
    </row>
    <row r="10744" spans="1:5" x14ac:dyDescent="0.25">
      <c r="A10744" t="str">
        <f>HYPERLINK("https://www.773grp.com/globalSearch/SE5532N/page-1", "SE5532N")</f>
        <v>SE5532N</v>
      </c>
      <c r="B10744" s="3" t="str">
        <f>HYPERLINK("https://www.773grp.com/manufacturer/onsemi?pageNo=1307", "Onsemi")</f>
        <v>Onsemi</v>
      </c>
      <c r="C10744" s="6">
        <v>1950</v>
      </c>
      <c r="D10744" s="7">
        <v>1.26</v>
      </c>
      <c r="E10744" t="s">
        <v>10</v>
      </c>
    </row>
    <row r="10745" spans="1:5" x14ac:dyDescent="0.25">
      <c r="A10745" t="str">
        <f>HYPERLINK("https://www.773grp.com/globalSearch/SN74LS11DR2/page-1", "SN74LS11DR2")</f>
        <v>SN74LS11DR2</v>
      </c>
      <c r="B10745" s="3" t="str">
        <f>HYPERLINK("https://www.773grp.com/manufacturer/onsemi?pageNo=1308", "Onsemi")</f>
        <v>Onsemi</v>
      </c>
      <c r="C10745" s="6">
        <v>5000</v>
      </c>
      <c r="D10745" s="7">
        <v>1.26</v>
      </c>
      <c r="E10745" t="s">
        <v>27</v>
      </c>
    </row>
    <row r="10746" spans="1:5" x14ac:dyDescent="0.25">
      <c r="A10746" t="str">
        <f>HYPERLINK("https://www.773grp.com/globalSearch/SN74LS122N/page-1", "SN74LS122N")</f>
        <v>SN74LS122N</v>
      </c>
      <c r="B10746" s="3" t="str">
        <f>HYPERLINK("https://www.773grp.com/manufacturer/onsemi?pageNo=1309", "Onsemi")</f>
        <v>Onsemi</v>
      </c>
      <c r="C10746" s="6">
        <v>17</v>
      </c>
      <c r="D10746" s="7">
        <v>1.26</v>
      </c>
      <c r="E10746" t="s">
        <v>44</v>
      </c>
    </row>
    <row r="10747" spans="1:5" x14ac:dyDescent="0.25">
      <c r="A10747" t="str">
        <f>HYPERLINK("https://www.773grp.com/globalSearch/SN74LS240SWR2/page-1", "SN74LS240SWR2")</f>
        <v>SN74LS240SWR2</v>
      </c>
      <c r="B10747" s="3" t="str">
        <f>HYPERLINK("https://www.773grp.com/manufacturer/onsemi?pageNo=1310", "Onsemi")</f>
        <v>Onsemi</v>
      </c>
      <c r="C10747" s="6">
        <v>1000</v>
      </c>
      <c r="D10747" s="7">
        <v>1.26</v>
      </c>
    </row>
    <row r="10748" spans="1:5" x14ac:dyDescent="0.25">
      <c r="A10748" t="str">
        <f>HYPERLINK("https://www.773grp.com/globalSearch/SN74LS670D/page-1", "SN74LS670D")</f>
        <v>SN74LS670D</v>
      </c>
      <c r="B10748" s="3" t="str">
        <f>HYPERLINK("https://www.773grp.com/manufacturer/onsemi?pageNo=1311", "Onsemi")</f>
        <v>Onsemi</v>
      </c>
      <c r="C10748" s="6">
        <v>6101</v>
      </c>
      <c r="D10748" s="7">
        <v>1.26</v>
      </c>
      <c r="E10748" t="s">
        <v>63</v>
      </c>
    </row>
    <row r="10749" spans="1:5" x14ac:dyDescent="0.25">
      <c r="A10749" t="str">
        <f>HYPERLINK("https://www.773grp.com/globalSearch/SURS8360T3/page-1", "SURS8360T3")</f>
        <v>SURS8360T3</v>
      </c>
      <c r="B10749" s="3" t="str">
        <f>HYPERLINK("https://www.773grp.com/manufacturer/onsemi?pageNo=1312", "Onsemi")</f>
        <v>Onsemi</v>
      </c>
      <c r="C10749" s="6">
        <v>80000</v>
      </c>
      <c r="D10749" s="7">
        <v>1.26</v>
      </c>
    </row>
    <row r="10750" spans="1:5" x14ac:dyDescent="0.25">
      <c r="A10750" t="str">
        <f>HYPERLINK("https://www.773grp.com/globalSearch/TIP111G/page-1", "TIP111G")</f>
        <v>TIP111G</v>
      </c>
      <c r="B10750" s="3" t="str">
        <f>HYPERLINK("https://www.773grp.com/manufacturer/onsemi?pageNo=1313", "Onsemi")</f>
        <v>Onsemi</v>
      </c>
      <c r="C10750" s="6">
        <v>1050</v>
      </c>
      <c r="D10750" s="7">
        <v>1.26</v>
      </c>
      <c r="E10750" t="s">
        <v>47</v>
      </c>
    </row>
    <row r="10751" spans="1:5" x14ac:dyDescent="0.25">
      <c r="A10751" t="str">
        <f>HYPERLINK("https://www.773grp.com/globalSearch/TIP137G/page-1", "TIP137G")</f>
        <v>TIP137G</v>
      </c>
      <c r="B10751" s="3" t="str">
        <f>HYPERLINK("https://www.773grp.com/manufacturer/onsemi?pageNo=1314", "Onsemi")</f>
        <v>Onsemi</v>
      </c>
      <c r="C10751" s="6">
        <v>2027</v>
      </c>
      <c r="D10751" s="7">
        <v>1.26</v>
      </c>
      <c r="E10751" t="s">
        <v>47</v>
      </c>
    </row>
    <row r="10752" spans="1:5" x14ac:dyDescent="0.25">
      <c r="A10752" t="str">
        <f>HYPERLINK("https://www.773grp.com/globalSearch/TRA0101RL/page-1", "TRA0101RL")</f>
        <v>TRA0101RL</v>
      </c>
      <c r="B10752" s="3" t="str">
        <f>HYPERLINK("https://www.773grp.com/manufacturer/onsemi?pageNo=1315", "Onsemi")</f>
        <v>Onsemi</v>
      </c>
      <c r="C10752" s="6">
        <v>14400</v>
      </c>
      <c r="D10752" s="7">
        <v>1.26</v>
      </c>
    </row>
    <row r="10753" spans="1:5" x14ac:dyDescent="0.25">
      <c r="A10753" t="str">
        <f>HYPERLINK("https://www.773grp.com/globalSearch/ULQ2003ADR2G/page-1", "ULQ2003ADR2G")</f>
        <v>ULQ2003ADR2G</v>
      </c>
      <c r="B10753" s="3" t="str">
        <f>HYPERLINK("https://www.773grp.com/manufacturer/onsemi?pageNo=1316", "Onsemi")</f>
        <v>Onsemi</v>
      </c>
      <c r="C10753" s="6">
        <v>22500</v>
      </c>
      <c r="D10753" s="7">
        <v>1.26</v>
      </c>
    </row>
    <row r="10754" spans="1:5" x14ac:dyDescent="0.25">
      <c r="A10754" t="str">
        <f>HYPERLINK("https://www.773grp.com/globalSearch/1.5SMSC16AT3G/page-1", "1.5SMSC16AT3G")</f>
        <v>1.5SMSC16AT3G</v>
      </c>
      <c r="B10754" s="3" t="str">
        <f>HYPERLINK("https://www.773grp.com/manufacturer/onsemi?pageNo=1317", "Onsemi")</f>
        <v>Onsemi</v>
      </c>
      <c r="C10754" s="6">
        <v>45000</v>
      </c>
      <c r="D10754" s="7">
        <v>1.31</v>
      </c>
      <c r="E10754" t="s">
        <v>75</v>
      </c>
    </row>
    <row r="10755" spans="1:5" x14ac:dyDescent="0.25">
      <c r="A10755" t="str">
        <f>HYPERLINK("https://www.773grp.com/globalSearch/1.5SMSC18AT3G/page-1", "1.5SMSC18AT3G")</f>
        <v>1.5SMSC18AT3G</v>
      </c>
      <c r="B10755" s="3" t="str">
        <f>HYPERLINK("https://www.773grp.com/manufacturer/onsemi?pageNo=1318", "Onsemi")</f>
        <v>Onsemi</v>
      </c>
      <c r="C10755" s="6">
        <v>7500</v>
      </c>
      <c r="D10755" s="7">
        <v>1.31</v>
      </c>
      <c r="E10755" t="s">
        <v>75</v>
      </c>
    </row>
    <row r="10756" spans="1:5" x14ac:dyDescent="0.25">
      <c r="A10756" t="str">
        <f>HYPERLINK("https://www.773grp.com/globalSearch/1.5SMSC20AT3G/page-1", "1.5SMSC20AT3G")</f>
        <v>1.5SMSC20AT3G</v>
      </c>
      <c r="B10756" s="3" t="str">
        <f>HYPERLINK("https://www.773grp.com/manufacturer/onsemi?pageNo=1319", "Onsemi")</f>
        <v>Onsemi</v>
      </c>
      <c r="C10756" s="6">
        <v>5000</v>
      </c>
      <c r="D10756" s="7">
        <v>1.31</v>
      </c>
    </row>
    <row r="10757" spans="1:5" x14ac:dyDescent="0.25">
      <c r="A10757" t="str">
        <f>HYPERLINK("https://www.773grp.com/globalSearch/1.5SMSC22AT3G/page-1", "1.5SMSC22AT3G")</f>
        <v>1.5SMSC22AT3G</v>
      </c>
      <c r="B10757" s="3" t="str">
        <f>HYPERLINK("https://www.773grp.com/manufacturer/onsemi?pageNo=1320", "Onsemi")</f>
        <v>Onsemi</v>
      </c>
      <c r="C10757" s="6">
        <v>5000</v>
      </c>
      <c r="D10757" s="7">
        <v>1.31</v>
      </c>
      <c r="E10757" t="s">
        <v>75</v>
      </c>
    </row>
    <row r="10758" spans="1:5" x14ac:dyDescent="0.25">
      <c r="A10758" t="str">
        <f>HYPERLINK("https://www.773grp.com/globalSearch/1.5SMSC27AT3/page-1", "1.5SMSC27AT3")</f>
        <v>1.5SMSC27AT3</v>
      </c>
      <c r="B10758" s="3" t="str">
        <f>HYPERLINK("https://www.773grp.com/manufacturer/onsemi?pageNo=1321", "Onsemi")</f>
        <v>Onsemi</v>
      </c>
      <c r="C10758" s="6">
        <v>12500</v>
      </c>
      <c r="D10758" s="7">
        <v>1.31</v>
      </c>
      <c r="E10758" t="s">
        <v>75</v>
      </c>
    </row>
    <row r="10759" spans="1:5" x14ac:dyDescent="0.25">
      <c r="A10759" t="str">
        <f>HYPERLINK("https://www.773grp.com/globalSearch/1.5SMSC27AT3G/page-1", "1.5SMSC27AT3G")</f>
        <v>1.5SMSC27AT3G</v>
      </c>
      <c r="B10759" s="3" t="str">
        <f>HYPERLINK("https://www.773grp.com/manufacturer/onsemi?pageNo=1322", "Onsemi")</f>
        <v>Onsemi</v>
      </c>
      <c r="C10759" s="6">
        <v>5048</v>
      </c>
      <c r="D10759" s="7">
        <v>1.31</v>
      </c>
    </row>
    <row r="10760" spans="1:5" x14ac:dyDescent="0.25">
      <c r="A10760" t="str">
        <f>HYPERLINK("https://www.773grp.com/globalSearch/1.5SMSC47AT3G/page-1", "1.5SMSC47AT3G")</f>
        <v>1.5SMSC47AT3G</v>
      </c>
      <c r="B10760" s="3" t="str">
        <f>HYPERLINK("https://www.773grp.com/manufacturer/onsemi?pageNo=1323", "Onsemi")</f>
        <v>Onsemi</v>
      </c>
      <c r="C10760" s="6">
        <v>7500</v>
      </c>
      <c r="D10760" s="7">
        <v>1.31</v>
      </c>
    </row>
    <row r="10761" spans="1:5" x14ac:dyDescent="0.25">
      <c r="A10761" t="str">
        <f>HYPERLINK("https://www.773grp.com/globalSearch/1.5SMSC56AT3G/page-1", "1.5SMSC56AT3G")</f>
        <v>1.5SMSC56AT3G</v>
      </c>
      <c r="B10761" s="3" t="str">
        <f>HYPERLINK("https://www.773grp.com/manufacturer/onsemi?pageNo=1324", "Onsemi")</f>
        <v>Onsemi</v>
      </c>
      <c r="C10761" s="6">
        <v>9800</v>
      </c>
      <c r="D10761" s="7">
        <v>1.31</v>
      </c>
    </row>
    <row r="10762" spans="1:5" x14ac:dyDescent="0.25">
      <c r="A10762" t="str">
        <f>HYPERLINK("https://www.773grp.com/globalSearch/1.5SMSC6.8AT3G/page-1", "1.5SMSC6.8AT3G")</f>
        <v>1.5SMSC6.8AT3G</v>
      </c>
      <c r="B10762" s="3" t="str">
        <f>HYPERLINK("https://www.773grp.com/manufacturer/onsemi?pageNo=1325", "Onsemi")</f>
        <v>Onsemi</v>
      </c>
      <c r="C10762" s="6">
        <v>20000</v>
      </c>
      <c r="D10762" s="7">
        <v>1.31</v>
      </c>
      <c r="E10762" t="s">
        <v>75</v>
      </c>
    </row>
    <row r="10763" spans="1:5" x14ac:dyDescent="0.25">
      <c r="A10763" t="str">
        <f>HYPERLINK("https://www.773grp.com/globalSearch/1.5SMSC68AT3G/page-1", "1.5SMSC68AT3G")</f>
        <v>1.5SMSC68AT3G</v>
      </c>
      <c r="B10763" s="3" t="str">
        <f>HYPERLINK("https://www.773grp.com/manufacturer/onsemi?pageNo=1326", "Onsemi")</f>
        <v>Onsemi</v>
      </c>
      <c r="C10763" s="6">
        <v>77775</v>
      </c>
      <c r="D10763" s="7">
        <v>1.31</v>
      </c>
    </row>
    <row r="10764" spans="1:5" x14ac:dyDescent="0.25">
      <c r="A10764" t="str">
        <f>HYPERLINK("https://www.773grp.com/globalSearch/1.5SMSC75AT3G/page-1", "1.5SMSC75AT3G")</f>
        <v>1.5SMSC75AT3G</v>
      </c>
      <c r="B10764" s="3" t="str">
        <f>HYPERLINK("https://www.773grp.com/manufacturer/onsemi?pageNo=1327", "Onsemi")</f>
        <v>Onsemi</v>
      </c>
      <c r="C10764" s="6">
        <v>13255</v>
      </c>
      <c r="D10764" s="7">
        <v>1.31</v>
      </c>
      <c r="E10764" t="s">
        <v>75</v>
      </c>
    </row>
    <row r="10765" spans="1:5" x14ac:dyDescent="0.25">
      <c r="A10765" t="str">
        <f>HYPERLINK("https://www.773grp.com/globalSearch/1.5SMSC91AT3G/page-1", "1.5SMSC91AT3G")</f>
        <v>1.5SMSC91AT3G</v>
      </c>
      <c r="B10765" s="3" t="str">
        <f>HYPERLINK("https://www.773grp.com/manufacturer/onsemi?pageNo=1328", "Onsemi")</f>
        <v>Onsemi</v>
      </c>
      <c r="C10765" s="6">
        <v>287000</v>
      </c>
      <c r="D10765" s="7">
        <v>1.31</v>
      </c>
      <c r="E10765" t="s">
        <v>75</v>
      </c>
    </row>
    <row r="10766" spans="1:5" x14ac:dyDescent="0.25">
      <c r="A10766" t="str">
        <f>HYPERLINK("https://www.773grp.com/globalSearch/1N4699/page-1", "1N4699")</f>
        <v>1N4699</v>
      </c>
      <c r="B10766" s="3" t="str">
        <f>HYPERLINK("https://www.773grp.com/manufacturer/onsemi?pageNo=1329", "Onsemi")</f>
        <v>Onsemi</v>
      </c>
      <c r="C10766" s="6">
        <v>30446</v>
      </c>
      <c r="D10766" s="7">
        <v>1.31</v>
      </c>
      <c r="E10766" t="s">
        <v>77</v>
      </c>
    </row>
    <row r="10767" spans="1:5" x14ac:dyDescent="0.25">
      <c r="A10767" t="str">
        <f>HYPERLINK("https://www.773grp.com/globalSearch/1SMSC14AT3G/page-1", "1SMSC14AT3G")</f>
        <v>1SMSC14AT3G</v>
      </c>
      <c r="B10767" s="3" t="str">
        <f>HYPERLINK("https://www.773grp.com/manufacturer/onsemi?pageNo=1330", "Onsemi")</f>
        <v>Onsemi</v>
      </c>
      <c r="C10767" s="6">
        <v>3133</v>
      </c>
      <c r="D10767" s="7">
        <v>1.31</v>
      </c>
      <c r="E10767" t="s">
        <v>75</v>
      </c>
    </row>
    <row r="10768" spans="1:5" x14ac:dyDescent="0.25">
      <c r="A10768" t="str">
        <f>HYPERLINK("https://www.773grp.com/globalSearch/1SMSC15AT3G/page-1", "1SMSC15AT3G")</f>
        <v>1SMSC15AT3G</v>
      </c>
      <c r="B10768" s="3" t="str">
        <f>HYPERLINK("https://www.773grp.com/manufacturer/onsemi?pageNo=1331", "Onsemi")</f>
        <v>Onsemi</v>
      </c>
      <c r="C10768" s="6">
        <v>5000</v>
      </c>
      <c r="D10768" s="7">
        <v>1.31</v>
      </c>
      <c r="E10768" t="s">
        <v>75</v>
      </c>
    </row>
    <row r="10769" spans="1:5" x14ac:dyDescent="0.25">
      <c r="A10769" t="str">
        <f>HYPERLINK("https://www.773grp.com/globalSearch/1SMSC16AT3G/page-1", "1SMSC16AT3G")</f>
        <v>1SMSC16AT3G</v>
      </c>
      <c r="B10769" s="3" t="str">
        <f>HYPERLINK("https://www.773grp.com/manufacturer/onsemi?pageNo=1332", "Onsemi")</f>
        <v>Onsemi</v>
      </c>
      <c r="C10769" s="6">
        <v>28850</v>
      </c>
      <c r="D10769" s="7">
        <v>1.31</v>
      </c>
      <c r="E10769" t="s">
        <v>75</v>
      </c>
    </row>
    <row r="10770" spans="1:5" x14ac:dyDescent="0.25">
      <c r="A10770" t="str">
        <f>HYPERLINK("https://www.773grp.com/globalSearch/1SMSC18AT3G/page-1", "1SMSC18AT3G")</f>
        <v>1SMSC18AT3G</v>
      </c>
      <c r="B10770" s="3" t="str">
        <f>HYPERLINK("https://www.773grp.com/manufacturer/onsemi?pageNo=1333", "Onsemi")</f>
        <v>Onsemi</v>
      </c>
      <c r="C10770" s="6">
        <v>35000</v>
      </c>
      <c r="D10770" s="7">
        <v>1.31</v>
      </c>
      <c r="E10770" t="s">
        <v>75</v>
      </c>
    </row>
    <row r="10771" spans="1:5" x14ac:dyDescent="0.25">
      <c r="A10771" t="str">
        <f>HYPERLINK("https://www.773grp.com/globalSearch/1SMSC20AT3G/page-1", "1SMSC20AT3G")</f>
        <v>1SMSC20AT3G</v>
      </c>
      <c r="B10771" s="3" t="str">
        <f>HYPERLINK("https://www.773grp.com/manufacturer/onsemi?pageNo=1334", "Onsemi")</f>
        <v>Onsemi</v>
      </c>
      <c r="C10771" s="6">
        <v>15278</v>
      </c>
      <c r="D10771" s="7">
        <v>1.31</v>
      </c>
      <c r="E10771" t="s">
        <v>75</v>
      </c>
    </row>
    <row r="10772" spans="1:5" x14ac:dyDescent="0.25">
      <c r="A10772" t="str">
        <f>HYPERLINK("https://www.773grp.com/globalSearch/1SMSC24AT3G/page-1", "1SMSC24AT3G")</f>
        <v>1SMSC24AT3G</v>
      </c>
      <c r="B10772" s="3" t="str">
        <f>HYPERLINK("https://www.773grp.com/manufacturer/onsemi?pageNo=1335", "Onsemi")</f>
        <v>Onsemi</v>
      </c>
      <c r="C10772" s="6">
        <v>2500</v>
      </c>
      <c r="D10772" s="7">
        <v>1.31</v>
      </c>
    </row>
    <row r="10773" spans="1:5" x14ac:dyDescent="0.25">
      <c r="A10773" t="str">
        <f>HYPERLINK("https://www.773grp.com/globalSearch/1SMSC26AT3G/page-1", "1SMSC26AT3G")</f>
        <v>1SMSC26AT3G</v>
      </c>
      <c r="B10773" s="3" t="str">
        <f>HYPERLINK("https://www.773grp.com/manufacturer/onsemi?pageNo=1336", "Onsemi")</f>
        <v>Onsemi</v>
      </c>
      <c r="C10773" s="6">
        <v>36948</v>
      </c>
      <c r="D10773" s="7">
        <v>1.31</v>
      </c>
    </row>
    <row r="10774" spans="1:5" x14ac:dyDescent="0.25">
      <c r="A10774" t="str">
        <f>HYPERLINK("https://www.773grp.com/globalSearch/1SMSC28AT3G/page-1", "1SMSC28AT3G")</f>
        <v>1SMSC28AT3G</v>
      </c>
      <c r="B10774" s="3" t="str">
        <f>HYPERLINK("https://www.773grp.com/manufacturer/onsemi?pageNo=1337", "Onsemi")</f>
        <v>Onsemi</v>
      </c>
      <c r="C10774" s="6">
        <v>25000</v>
      </c>
      <c r="D10774" s="7">
        <v>1.31</v>
      </c>
      <c r="E10774" t="s">
        <v>75</v>
      </c>
    </row>
    <row r="10775" spans="1:5" x14ac:dyDescent="0.25">
      <c r="A10775" t="str">
        <f>HYPERLINK("https://www.773grp.com/globalSearch/1SMSC30AT3G/page-1", "1SMSC30AT3G")</f>
        <v>1SMSC30AT3G</v>
      </c>
      <c r="B10775" s="3" t="str">
        <f>HYPERLINK("https://www.773grp.com/manufacturer/onsemi?pageNo=1338", "Onsemi")</f>
        <v>Onsemi</v>
      </c>
      <c r="C10775" s="6">
        <v>6078</v>
      </c>
      <c r="D10775" s="7">
        <v>1.31</v>
      </c>
    </row>
    <row r="10776" spans="1:5" x14ac:dyDescent="0.25">
      <c r="A10776" t="str">
        <f>HYPERLINK("https://www.773grp.com/globalSearch/1SMSC40AT3G/page-1", "1SMSC40AT3G")</f>
        <v>1SMSC40AT3G</v>
      </c>
      <c r="B10776" s="3" t="str">
        <f>HYPERLINK("https://www.773grp.com/manufacturer/onsemi?pageNo=1339", "Onsemi")</f>
        <v>Onsemi</v>
      </c>
      <c r="C10776" s="6">
        <v>14800</v>
      </c>
      <c r="D10776" s="7">
        <v>1.31</v>
      </c>
    </row>
    <row r="10777" spans="1:5" x14ac:dyDescent="0.25">
      <c r="A10777" t="str">
        <f>HYPERLINK("https://www.773grp.com/globalSearch/1SMSC43AT3G/page-1", "1SMSC43AT3G")</f>
        <v>1SMSC43AT3G</v>
      </c>
      <c r="B10777" s="3" t="str">
        <f>HYPERLINK("https://www.773grp.com/manufacturer/onsemi?pageNo=1340", "Onsemi")</f>
        <v>Onsemi</v>
      </c>
      <c r="C10777" s="6">
        <v>2500</v>
      </c>
      <c r="D10777" s="7">
        <v>1.31</v>
      </c>
    </row>
    <row r="10778" spans="1:5" x14ac:dyDescent="0.25">
      <c r="A10778" t="str">
        <f>HYPERLINK("https://www.773grp.com/globalSearch/1SMSC51AT3G/page-1", "1SMSC51AT3G")</f>
        <v>1SMSC51AT3G</v>
      </c>
      <c r="B10778" s="3" t="str">
        <f>HYPERLINK("https://www.773grp.com/manufacturer/onsemi?pageNo=1341", "Onsemi")</f>
        <v>Onsemi</v>
      </c>
      <c r="C10778" s="6">
        <v>45000</v>
      </c>
      <c r="D10778" s="7">
        <v>1.31</v>
      </c>
      <c r="E10778" t="s">
        <v>75</v>
      </c>
    </row>
    <row r="10779" spans="1:5" x14ac:dyDescent="0.25">
      <c r="A10779" t="str">
        <f>HYPERLINK("https://www.773grp.com/globalSearch/1SMSC54AT3G/page-1", "1SMSC54AT3G")</f>
        <v>1SMSC54AT3G</v>
      </c>
      <c r="B10779" s="3" t="str">
        <f>HYPERLINK("https://www.773grp.com/manufacturer/onsemi?pageNo=1342", "Onsemi")</f>
        <v>Onsemi</v>
      </c>
      <c r="C10779" s="6">
        <v>2500</v>
      </c>
      <c r="D10779" s="7">
        <v>1.31</v>
      </c>
      <c r="E10779" t="s">
        <v>75</v>
      </c>
    </row>
    <row r="10780" spans="1:5" x14ac:dyDescent="0.25">
      <c r="A10780" t="str">
        <f>HYPERLINK("https://www.773grp.com/globalSearch/1SMSC58AT3G/page-1", "1SMSC58AT3G")</f>
        <v>1SMSC58AT3G</v>
      </c>
      <c r="B10780" s="3" t="str">
        <f>HYPERLINK("https://www.773grp.com/manufacturer/onsemi?pageNo=1343", "Onsemi")</f>
        <v>Onsemi</v>
      </c>
      <c r="C10780" s="6">
        <v>12772</v>
      </c>
      <c r="D10780" s="7">
        <v>1.31</v>
      </c>
      <c r="E10780" t="s">
        <v>75</v>
      </c>
    </row>
    <row r="10781" spans="1:5" x14ac:dyDescent="0.25">
      <c r="A10781" t="str">
        <f>HYPERLINK("https://www.773grp.com/globalSearch/1SMSC6.0AT3G/page-1", "1SMSC6.0AT3G")</f>
        <v>1SMSC6.0AT3G</v>
      </c>
      <c r="B10781" s="3" t="str">
        <f>HYPERLINK("https://www.773grp.com/manufacturer/onsemi?pageNo=1344", "Onsemi")</f>
        <v>Onsemi</v>
      </c>
      <c r="C10781" s="6">
        <v>11500</v>
      </c>
      <c r="D10781" s="7">
        <v>1.31</v>
      </c>
      <c r="E10781" t="s">
        <v>75</v>
      </c>
    </row>
    <row r="10782" spans="1:5" x14ac:dyDescent="0.25">
      <c r="A10782" t="str">
        <f>HYPERLINK("https://www.773grp.com/globalSearch/1SMSC6.5AT3G/page-1", "1SMSC6.5AT3G")</f>
        <v>1SMSC6.5AT3G</v>
      </c>
      <c r="B10782" s="3" t="str">
        <f>HYPERLINK("https://www.773grp.com/manufacturer/onsemi?pageNo=1345", "Onsemi")</f>
        <v>Onsemi</v>
      </c>
      <c r="C10782" s="6">
        <v>31500</v>
      </c>
      <c r="D10782" s="7">
        <v>1.31</v>
      </c>
      <c r="E10782" t="s">
        <v>75</v>
      </c>
    </row>
    <row r="10783" spans="1:5" x14ac:dyDescent="0.25">
      <c r="A10783" t="str">
        <f>HYPERLINK("https://www.773grp.com/globalSearch/1SMSC60AT3G/page-1", "1SMSC60AT3G")</f>
        <v>1SMSC60AT3G</v>
      </c>
      <c r="B10783" s="3" t="str">
        <f>HYPERLINK("https://www.773grp.com/manufacturer/onsemi?pageNo=1346", "Onsemi")</f>
        <v>Onsemi</v>
      </c>
      <c r="C10783" s="6">
        <v>12500</v>
      </c>
      <c r="D10783" s="7">
        <v>1.31</v>
      </c>
      <c r="E10783" t="s">
        <v>75</v>
      </c>
    </row>
    <row r="10784" spans="1:5" x14ac:dyDescent="0.25">
      <c r="A10784" t="str">
        <f>HYPERLINK("https://www.773grp.com/globalSearch/1SMSC7.5AT3G/page-1", "1SMSC7.5AT3G")</f>
        <v>1SMSC7.5AT3G</v>
      </c>
      <c r="B10784" s="3" t="str">
        <f>HYPERLINK("https://www.773grp.com/manufacturer/onsemi?pageNo=1347", "Onsemi")</f>
        <v>Onsemi</v>
      </c>
      <c r="C10784" s="6">
        <v>2100</v>
      </c>
      <c r="D10784" s="7">
        <v>1.31</v>
      </c>
      <c r="E10784" t="s">
        <v>75</v>
      </c>
    </row>
    <row r="10785" spans="1:5" x14ac:dyDescent="0.25">
      <c r="A10785" t="str">
        <f>HYPERLINK("https://www.773grp.com/globalSearch/1SMSC70AT3G/page-1", "1SMSC70AT3G")</f>
        <v>1SMSC70AT3G</v>
      </c>
      <c r="B10785" s="3" t="str">
        <f>HYPERLINK("https://www.773grp.com/manufacturer/onsemi?pageNo=1348", "Onsemi")</f>
        <v>Onsemi</v>
      </c>
      <c r="C10785" s="6">
        <v>2500</v>
      </c>
      <c r="D10785" s="7">
        <v>1.31</v>
      </c>
      <c r="E10785" t="s">
        <v>75</v>
      </c>
    </row>
    <row r="10786" spans="1:5" x14ac:dyDescent="0.25">
      <c r="A10786" t="str">
        <f>HYPERLINK("https://www.773grp.com/globalSearch/1SMSC78AT3G/page-1", "1SMSC78AT3G")</f>
        <v>1SMSC78AT3G</v>
      </c>
      <c r="B10786" s="3" t="str">
        <f>HYPERLINK("https://www.773grp.com/manufacturer/onsemi?pageNo=1", "Onsemi")</f>
        <v>Onsemi</v>
      </c>
      <c r="C10786" s="6">
        <v>7100</v>
      </c>
      <c r="D10786" s="7">
        <v>1.31</v>
      </c>
      <c r="E10786" t="s">
        <v>75</v>
      </c>
    </row>
    <row r="10787" spans="1:5" x14ac:dyDescent="0.25">
      <c r="A10787" t="str">
        <f>HYPERLINK("https://www.773grp.com/globalSearch/1SMSC8.0AT3G/page-1", "1SMSC8.0AT3G")</f>
        <v>1SMSC8.0AT3G</v>
      </c>
      <c r="B10787" s="3" t="str">
        <f>HYPERLINK("https://www.773grp.com/manufacturer/onsemi?pageNo=2", "Onsemi")</f>
        <v>Onsemi</v>
      </c>
      <c r="C10787" s="6">
        <v>9800</v>
      </c>
      <c r="D10787" s="7">
        <v>1.31</v>
      </c>
    </row>
    <row r="10788" spans="1:5" x14ac:dyDescent="0.25">
      <c r="A10788" t="str">
        <f>HYPERLINK("https://www.773grp.com/globalSearch/2N4921G/page-1", "2N4921G")</f>
        <v>2N4921G</v>
      </c>
      <c r="B10788" s="3" t="str">
        <f>HYPERLINK("https://www.773grp.com/manufacturer/onsemi?pageNo=3", "Onsemi")</f>
        <v>Onsemi</v>
      </c>
      <c r="C10788" s="6">
        <v>3500</v>
      </c>
      <c r="D10788" s="7">
        <v>1.31</v>
      </c>
      <c r="E10788" t="s">
        <v>47</v>
      </c>
    </row>
    <row r="10789" spans="1:5" x14ac:dyDescent="0.25">
      <c r="A10789" t="str">
        <f>HYPERLINK("https://www.773grp.com/globalSearch/2N4922G/page-1", "2N4922G")</f>
        <v>2N4922G</v>
      </c>
      <c r="B10789" s="3" t="str">
        <f>HYPERLINK("https://www.773grp.com/manufacturer/onsemi?pageNo=4", "Onsemi")</f>
        <v>Onsemi</v>
      </c>
      <c r="C10789" s="6">
        <v>19400</v>
      </c>
      <c r="D10789" s="7">
        <v>1.31</v>
      </c>
      <c r="E10789" t="s">
        <v>47</v>
      </c>
    </row>
    <row r="10790" spans="1:5" x14ac:dyDescent="0.25">
      <c r="A10790" t="str">
        <f>HYPERLINK("https://www.773grp.com/globalSearch/2N4923G/page-1", "2N4923G")</f>
        <v>2N4923G</v>
      </c>
      <c r="B10790" s="3" t="str">
        <f>HYPERLINK("https://www.773grp.com/manufacturer/onsemi?pageNo=5", "Onsemi")</f>
        <v>Onsemi</v>
      </c>
      <c r="C10790" s="6">
        <v>33785</v>
      </c>
      <c r="D10790" s="7">
        <v>1.31</v>
      </c>
      <c r="E10790" t="s">
        <v>47</v>
      </c>
    </row>
    <row r="10791" spans="1:5" x14ac:dyDescent="0.25">
      <c r="A10791" t="str">
        <f>HYPERLINK("https://www.773grp.com/globalSearch/2N6395/page-1", "2N6395")</f>
        <v>2N6395</v>
      </c>
      <c r="B10791" s="3" t="str">
        <f>HYPERLINK("https://www.773grp.com/manufacturer/onsemi?pageNo=6", "Onsemi")</f>
        <v>Onsemi</v>
      </c>
      <c r="C10791" s="6">
        <v>6400</v>
      </c>
      <c r="D10791" s="7">
        <v>1.31</v>
      </c>
      <c r="E10791" t="s">
        <v>47</v>
      </c>
    </row>
    <row r="10792" spans="1:5" x14ac:dyDescent="0.25">
      <c r="A10792" t="str">
        <f>HYPERLINK("https://www.773grp.com/globalSearch/2N6397T/page-1", "2N6397T")</f>
        <v>2N6397T</v>
      </c>
      <c r="B10792" s="3" t="str">
        <f>HYPERLINK("https://www.773grp.com/manufacturer/onsemi?pageNo=7", "Onsemi")</f>
        <v>Onsemi</v>
      </c>
      <c r="C10792" s="6">
        <v>50</v>
      </c>
      <c r="D10792" s="7">
        <v>1.31</v>
      </c>
      <c r="E10792" t="s">
        <v>76</v>
      </c>
    </row>
    <row r="10793" spans="1:5" x14ac:dyDescent="0.25">
      <c r="A10793" t="str">
        <f>HYPERLINK("https://www.773grp.com/globalSearch/2SC4135S-TL-E/page-1", "2SC4135S-TL-E")</f>
        <v>2SC4135S-TL-E</v>
      </c>
      <c r="B10793" s="3" t="str">
        <f>HYPERLINK("https://www.773grp.com/manufacturer/onsemi?pageNo=8", "Onsemi")</f>
        <v>Onsemi</v>
      </c>
      <c r="C10793" s="6">
        <v>700</v>
      </c>
      <c r="D10793" s="7">
        <v>1.31</v>
      </c>
    </row>
    <row r="10794" spans="1:5" x14ac:dyDescent="0.25">
      <c r="A10794" t="str">
        <f>HYPERLINK("https://www.773grp.com/globalSearch/74VCX16373DTR/page-1", "74VCX16373DTR")</f>
        <v>74VCX16373DTR</v>
      </c>
      <c r="B10794" s="3" t="str">
        <f>HYPERLINK("https://www.773grp.com/manufacturer/onsemi?pageNo=9", "Onsemi")</f>
        <v>Onsemi</v>
      </c>
      <c r="C10794" s="6">
        <v>7500</v>
      </c>
      <c r="D10794" s="7">
        <v>1.31</v>
      </c>
      <c r="E10794" t="s">
        <v>11</v>
      </c>
    </row>
    <row r="10795" spans="1:5" x14ac:dyDescent="0.25">
      <c r="A10795" t="str">
        <f>HYPERLINK("https://www.773grp.com/globalSearch/74VCXH16244DTR/page-1", "74VCXH16244DTR")</f>
        <v>74VCXH16244DTR</v>
      </c>
      <c r="B10795" s="3" t="str">
        <f>HYPERLINK("https://www.773grp.com/manufacturer/onsemi?pageNo=10", "Onsemi")</f>
        <v>Onsemi</v>
      </c>
      <c r="C10795" s="6">
        <v>10000</v>
      </c>
      <c r="D10795" s="7">
        <v>1.31</v>
      </c>
      <c r="E10795" t="s">
        <v>11</v>
      </c>
    </row>
    <row r="10796" spans="1:5" x14ac:dyDescent="0.25">
      <c r="A10796" t="str">
        <f>HYPERLINK("https://www.773grp.com/globalSearch/74VCXH16245DT/page-1", "74VCXH16245DT")</f>
        <v>74VCXH16245DT</v>
      </c>
      <c r="B10796" s="3" t="str">
        <f>HYPERLINK("https://www.773grp.com/manufacturer/onsemi?pageNo=11", "Onsemi")</f>
        <v>Onsemi</v>
      </c>
      <c r="C10796" s="6">
        <v>14270</v>
      </c>
      <c r="D10796" s="7">
        <v>1.31</v>
      </c>
      <c r="E10796" t="s">
        <v>11</v>
      </c>
    </row>
    <row r="10797" spans="1:5" x14ac:dyDescent="0.25">
      <c r="A10797" t="str">
        <f>HYPERLINK("https://www.773grp.com/globalSearch/74VCXH16245DTR/page-1", "74VCXH16245DTR")</f>
        <v>74VCXH16245DTR</v>
      </c>
      <c r="B10797" s="3" t="str">
        <f>HYPERLINK("https://www.773grp.com/manufacturer/onsemi?pageNo=12", "Onsemi")</f>
        <v>Onsemi</v>
      </c>
      <c r="C10797" s="6">
        <v>4827</v>
      </c>
      <c r="D10797" s="7">
        <v>1.31</v>
      </c>
      <c r="E10797" t="s">
        <v>11</v>
      </c>
    </row>
    <row r="10798" spans="1:5" x14ac:dyDescent="0.25">
      <c r="A10798" t="str">
        <f>HYPERLINK("https://www.773grp.com/globalSearch/74VCXH16373DTR/page-1", "74VCXH16373DTR")</f>
        <v>74VCXH16373DTR</v>
      </c>
      <c r="B10798" s="3" t="str">
        <f>HYPERLINK("https://www.773grp.com/manufacturer/onsemi?pageNo=13", "Onsemi")</f>
        <v>Onsemi</v>
      </c>
      <c r="C10798" s="6">
        <v>2500</v>
      </c>
      <c r="D10798" s="7">
        <v>1.31</v>
      </c>
      <c r="E10798" t="s">
        <v>11</v>
      </c>
    </row>
    <row r="10799" spans="1:5" x14ac:dyDescent="0.25">
      <c r="A10799" t="str">
        <f>HYPERLINK("https://www.773grp.com/globalSearch/74VCXH16374DT/page-1", "74VCXH16374DT")</f>
        <v>74VCXH16374DT</v>
      </c>
      <c r="B10799" s="3" t="str">
        <f>HYPERLINK("https://www.773grp.com/manufacturer/onsemi?pageNo=14", "Onsemi")</f>
        <v>Onsemi</v>
      </c>
      <c r="C10799" s="6">
        <v>8079</v>
      </c>
      <c r="D10799" s="7">
        <v>1.31</v>
      </c>
      <c r="E10799" t="s">
        <v>11</v>
      </c>
    </row>
    <row r="10800" spans="1:5" x14ac:dyDescent="0.25">
      <c r="A10800" t="str">
        <f>HYPERLINK("https://www.773grp.com/globalSearch/BD179G/page-1", "BD179G")</f>
        <v>BD179G</v>
      </c>
      <c r="B10800" s="3" t="str">
        <f>HYPERLINK("https://www.773grp.com/manufacturer/onsemi?pageNo=15", "Onsemi")</f>
        <v>Onsemi</v>
      </c>
      <c r="C10800" s="6">
        <v>12772</v>
      </c>
      <c r="D10800" s="7">
        <v>1.31</v>
      </c>
      <c r="E10800" t="s">
        <v>47</v>
      </c>
    </row>
    <row r="10801" spans="1:5" x14ac:dyDescent="0.25">
      <c r="A10801" t="str">
        <f>HYPERLINK("https://www.773grp.com/globalSearch/BD237G/page-1", "BD237G")</f>
        <v>BD237G</v>
      </c>
      <c r="B10801" s="3" t="str">
        <f>HYPERLINK("https://www.773grp.com/manufacturer/onsemi?pageNo=16", "Onsemi")</f>
        <v>Onsemi</v>
      </c>
      <c r="C10801" s="6">
        <v>12412</v>
      </c>
      <c r="D10801" s="7">
        <v>1.31</v>
      </c>
      <c r="E10801" t="s">
        <v>47</v>
      </c>
    </row>
    <row r="10802" spans="1:5" x14ac:dyDescent="0.25">
      <c r="A10802" t="str">
        <f>HYPERLINK("https://www.773grp.com/globalSearch/BD241CG/page-1", "BD241CG")</f>
        <v>BD241CG</v>
      </c>
      <c r="B10802" s="3" t="str">
        <f>HYPERLINK("https://www.773grp.com/manufacturer/onsemi?pageNo=17", "Onsemi")</f>
        <v>Onsemi</v>
      </c>
      <c r="C10802" s="6">
        <v>2377</v>
      </c>
      <c r="D10802" s="7">
        <v>1.31</v>
      </c>
      <c r="E10802" t="s">
        <v>47</v>
      </c>
    </row>
    <row r="10803" spans="1:5" x14ac:dyDescent="0.25">
      <c r="A10803" t="str">
        <f>HYPERLINK("https://www.773grp.com/globalSearch/BD538/page-1", "BD538")</f>
        <v>BD538</v>
      </c>
      <c r="B10803" s="3" t="str">
        <f>HYPERLINK("https://www.773grp.com/manufacturer/onsemi?pageNo=18", "Onsemi")</f>
        <v>Onsemi</v>
      </c>
      <c r="C10803" s="6">
        <v>6840</v>
      </c>
      <c r="D10803" s="7">
        <v>1.31</v>
      </c>
      <c r="E10803" t="s">
        <v>47</v>
      </c>
    </row>
    <row r="10804" spans="1:5" x14ac:dyDescent="0.25">
      <c r="A10804" t="str">
        <f>HYPERLINK("https://www.773grp.com/globalSearch/BUD42DT4G/page-1", "BUD42DT4G")</f>
        <v>BUD42DT4G</v>
      </c>
      <c r="B10804" s="3" t="str">
        <f>HYPERLINK("https://www.773grp.com/manufacturer/onsemi?pageNo=19", "Onsemi")</f>
        <v>Onsemi</v>
      </c>
      <c r="C10804" s="6">
        <v>10000</v>
      </c>
      <c r="D10804" s="7">
        <v>1.31</v>
      </c>
    </row>
    <row r="10805" spans="1:5" x14ac:dyDescent="0.25">
      <c r="A10805" t="str">
        <f>HYPERLINK("https://www.773grp.com/globalSearch/BUD43D2-001/page-1", "BUD43D2-001")</f>
        <v>BUD43D2-001</v>
      </c>
      <c r="B10805" s="3" t="str">
        <f>HYPERLINK("https://www.773grp.com/manufacturer/onsemi?pageNo=20", "Onsemi")</f>
        <v>Onsemi</v>
      </c>
      <c r="C10805" s="6">
        <v>14175</v>
      </c>
      <c r="D10805" s="7">
        <v>1.31</v>
      </c>
    </row>
    <row r="10806" spans="1:5" x14ac:dyDescent="0.25">
      <c r="A10806" t="str">
        <f>HYPERLINK("https://www.773grp.com/globalSearch/CAT4003BTD-GT3/page-1", "CAT4003BTD-GT3")</f>
        <v>CAT4003BTD-GT3</v>
      </c>
      <c r="B10806" s="3" t="str">
        <f>HYPERLINK("https://www.773grp.com/manufacturer/onsemi?pageNo=21", "Onsemi")</f>
        <v>Onsemi</v>
      </c>
      <c r="C10806" s="6">
        <v>3450</v>
      </c>
      <c r="D10806" s="7">
        <v>1.31</v>
      </c>
    </row>
    <row r="10807" spans="1:5" x14ac:dyDescent="0.25">
      <c r="A10807" t="str">
        <f>HYPERLINK("https://www.773grp.com/globalSearch/CAT803SSDI-GT3/page-1", "CAT803SSDI-GT3")</f>
        <v>CAT803SSDI-GT3</v>
      </c>
      <c r="B10807" s="3" t="str">
        <f>HYPERLINK("https://www.773grp.com/manufacturer/onsemi?pageNo=22", "Onsemi")</f>
        <v>Onsemi</v>
      </c>
      <c r="C10807" s="6">
        <v>3000</v>
      </c>
      <c r="D10807" s="7">
        <v>1.31</v>
      </c>
    </row>
    <row r="10808" spans="1:5" x14ac:dyDescent="0.25">
      <c r="A10808" t="str">
        <f>HYPERLINK("https://www.773grp.com/globalSearch/CM1641-04D4/page-1", "CM1641-04D4")</f>
        <v>CM1641-04D4</v>
      </c>
      <c r="B10808" s="3" t="str">
        <f>HYPERLINK("https://www.773grp.com/manufacturer/onsemi?pageNo=23", "Onsemi")</f>
        <v>Onsemi</v>
      </c>
      <c r="C10808" s="6">
        <v>974</v>
      </c>
      <c r="D10808" s="7">
        <v>1.31</v>
      </c>
    </row>
    <row r="10809" spans="1:5" x14ac:dyDescent="0.25">
      <c r="A10809" t="str">
        <f>HYPERLINK("https://www.773grp.com/globalSearch/EMI2121MTTAG/page-1", "EMI2121MTTAG")</f>
        <v>EMI2121MTTAG</v>
      </c>
      <c r="B10809" s="3" t="str">
        <f>HYPERLINK("https://www.773grp.com/manufacturer/onsemi?pageNo=24", "Onsemi")</f>
        <v>Onsemi</v>
      </c>
      <c r="C10809" s="6">
        <v>3000</v>
      </c>
      <c r="D10809" s="7">
        <v>1.31</v>
      </c>
    </row>
    <row r="10810" spans="1:5" x14ac:dyDescent="0.25">
      <c r="A10810" t="str">
        <f>HYPERLINK("https://www.773grp.com/globalSearch/ESD7008MUTAG/page-1", "ESD7008MUTAG")</f>
        <v>ESD7008MUTAG</v>
      </c>
      <c r="B10810" s="3" t="str">
        <f>HYPERLINK("https://www.773grp.com/manufacturer/onsemi?pageNo=25", "Onsemi")</f>
        <v>Onsemi</v>
      </c>
      <c r="C10810" s="6">
        <v>30000</v>
      </c>
      <c r="D10810" s="7">
        <v>1.31</v>
      </c>
    </row>
    <row r="10811" spans="1:5" x14ac:dyDescent="0.25">
      <c r="A10811" t="str">
        <f>HYPERLINK("https://www.773grp.com/globalSearch/LF412CN/page-1", "LF412CN")</f>
        <v>LF412CN</v>
      </c>
      <c r="B10811" s="3" t="str">
        <f>HYPERLINK("https://www.773grp.com/manufacturer/onsemi?pageNo=26", "Onsemi")</f>
        <v>Onsemi</v>
      </c>
      <c r="C10811" s="6">
        <v>200</v>
      </c>
      <c r="D10811" s="7">
        <v>1.31</v>
      </c>
      <c r="E10811" t="s">
        <v>10</v>
      </c>
    </row>
    <row r="10812" spans="1:5" x14ac:dyDescent="0.25">
      <c r="A10812" t="str">
        <f>HYPERLINK("https://www.773grp.com/globalSearch/LF412CN/page-1", "LF412CN")</f>
        <v>LF412CN</v>
      </c>
      <c r="B10812" s="3" t="str">
        <f>HYPERLINK("https://www.773grp.com/manufacturer/onsemi?pageNo=27", "Onsemi")</f>
        <v>Onsemi</v>
      </c>
      <c r="C10812" s="6">
        <v>710</v>
      </c>
      <c r="D10812" s="7">
        <v>1.31</v>
      </c>
      <c r="E10812" t="s">
        <v>10</v>
      </c>
    </row>
    <row r="10813" spans="1:5" x14ac:dyDescent="0.25">
      <c r="A10813" t="str">
        <f>HYPERLINK("https://www.773grp.com/globalSearch/LF442CN/page-1", "LF442CN")</f>
        <v>LF442CN</v>
      </c>
      <c r="B10813" s="3" t="str">
        <f>HYPERLINK("https://www.773grp.com/manufacturer/onsemi?pageNo=28", "Onsemi")</f>
        <v>Onsemi</v>
      </c>
      <c r="C10813" s="6">
        <v>31870</v>
      </c>
      <c r="D10813" s="7">
        <v>1.31</v>
      </c>
      <c r="E10813" t="s">
        <v>10</v>
      </c>
    </row>
    <row r="10814" spans="1:5" x14ac:dyDescent="0.25">
      <c r="A10814" t="str">
        <f>HYPERLINK("https://www.773grp.com/globalSearch/LM201AVDR2G/page-1", "LM201AVDR2G")</f>
        <v>LM201AVDR2G</v>
      </c>
      <c r="B10814" s="3" t="str">
        <f>HYPERLINK("https://www.773grp.com/manufacturer/onsemi?pageNo=29", "Onsemi")</f>
        <v>Onsemi</v>
      </c>
      <c r="C10814" s="6">
        <v>91524</v>
      </c>
      <c r="D10814" s="7">
        <v>1.31</v>
      </c>
      <c r="E10814" t="s">
        <v>10</v>
      </c>
    </row>
    <row r="10815" spans="1:5" x14ac:dyDescent="0.25">
      <c r="A10815" t="str">
        <f>HYPERLINK("https://www.773grp.com/globalSearch/LM311DG/page-1", "LM311DG")</f>
        <v>LM311DG</v>
      </c>
      <c r="B10815" s="3" t="str">
        <f>HYPERLINK("https://www.773grp.com/manufacturer/onsemi?pageNo=30", "Onsemi")</f>
        <v>Onsemi</v>
      </c>
      <c r="C10815" s="6">
        <v>20595</v>
      </c>
      <c r="D10815" s="7">
        <v>1.31</v>
      </c>
      <c r="E10815" t="s">
        <v>6</v>
      </c>
    </row>
    <row r="10816" spans="1:5" x14ac:dyDescent="0.25">
      <c r="A10816" t="str">
        <f>HYPERLINK("https://www.773grp.com/globalSearch/LM311DR2G/page-1", "LM311DR2G")</f>
        <v>LM311DR2G</v>
      </c>
      <c r="B10816" s="3" t="str">
        <f>HYPERLINK("https://www.773grp.com/manufacturer/onsemi?pageNo=31", "Onsemi")</f>
        <v>Onsemi</v>
      </c>
      <c r="C10816" s="6">
        <v>45000</v>
      </c>
      <c r="D10816" s="7">
        <v>1.31</v>
      </c>
      <c r="E10816" t="s">
        <v>6</v>
      </c>
    </row>
    <row r="10817" spans="1:5" x14ac:dyDescent="0.25">
      <c r="A10817" t="str">
        <f>HYPERLINK("https://www.773grp.com/globalSearch/LM317LBZG/page-1", "LM317LBZG")</f>
        <v>LM317LBZG</v>
      </c>
      <c r="B10817" s="3" t="str">
        <f>HYPERLINK("https://www.773grp.com/manufacturer/onsemi?pageNo=32", "Onsemi")</f>
        <v>Onsemi</v>
      </c>
      <c r="C10817" s="6">
        <v>28091</v>
      </c>
      <c r="D10817" s="7">
        <v>1.31</v>
      </c>
      <c r="E10817" t="s">
        <v>18</v>
      </c>
    </row>
    <row r="10818" spans="1:5" x14ac:dyDescent="0.25">
      <c r="A10818" t="str">
        <f>HYPERLINK("https://www.773grp.com/globalSearch/LM317LBZRAG/page-1", "LM317LBZRAG")</f>
        <v>LM317LBZRAG</v>
      </c>
      <c r="B10818" s="3" t="str">
        <f>HYPERLINK("https://www.773grp.com/manufacturer/onsemi?pageNo=33", "Onsemi")</f>
        <v>Onsemi</v>
      </c>
      <c r="C10818" s="6">
        <v>200000</v>
      </c>
      <c r="D10818" s="7">
        <v>1.31</v>
      </c>
      <c r="E10818" t="s">
        <v>18</v>
      </c>
    </row>
    <row r="10819" spans="1:5" x14ac:dyDescent="0.25">
      <c r="A10819" t="str">
        <f>HYPERLINK("https://www.773grp.com/globalSearch/LM317LBZRPG/page-1", "LM317LBZRPG")</f>
        <v>LM317LBZRPG</v>
      </c>
      <c r="B10819" s="3" t="str">
        <f>HYPERLINK("https://www.773grp.com/manufacturer/onsemi?pageNo=34", "Onsemi")</f>
        <v>Onsemi</v>
      </c>
      <c r="C10819" s="6">
        <v>5979</v>
      </c>
      <c r="D10819" s="7">
        <v>1.31</v>
      </c>
      <c r="E10819" t="s">
        <v>18</v>
      </c>
    </row>
    <row r="10820" spans="1:5" x14ac:dyDescent="0.25">
      <c r="A10820" t="str">
        <f>HYPERLINK("https://www.773grp.com/globalSearch/LM317TG/page-1", "LM317TG")</f>
        <v>LM317TG</v>
      </c>
      <c r="B10820" s="3" t="str">
        <f>HYPERLINK("https://www.773grp.com/manufacturer/onsemi?pageNo=35", "Onsemi")</f>
        <v>Onsemi</v>
      </c>
      <c r="C10820" s="6">
        <v>96880</v>
      </c>
      <c r="D10820" s="7">
        <v>1.31</v>
      </c>
      <c r="E10820" t="s">
        <v>18</v>
      </c>
    </row>
    <row r="10821" spans="1:5" x14ac:dyDescent="0.25">
      <c r="A10821" t="str">
        <f>HYPERLINK("https://www.773grp.com/globalSearch/LM75DM-33R2/page-1", "LM75DM-33R2")</f>
        <v>LM75DM-33R2</v>
      </c>
      <c r="B10821" s="3" t="str">
        <f>HYPERLINK("https://www.773grp.com/manufacturer/onsemi?pageNo=36", "Onsemi")</f>
        <v>Onsemi</v>
      </c>
      <c r="C10821" s="6">
        <v>983835</v>
      </c>
      <c r="D10821" s="7">
        <v>1.31</v>
      </c>
      <c r="E10821" t="s">
        <v>9</v>
      </c>
    </row>
    <row r="10822" spans="1:5" x14ac:dyDescent="0.25">
      <c r="A10822" t="str">
        <f>HYPERLINK("https://www.773grp.com/globalSearch/LM75DM-50R2/page-1", "LM75DM-50R2")</f>
        <v>LM75DM-50R2</v>
      </c>
      <c r="B10822" s="3" t="str">
        <f>HYPERLINK("https://www.773grp.com/manufacturer/onsemi?pageNo=37", "Onsemi")</f>
        <v>Onsemi</v>
      </c>
      <c r="C10822" s="6">
        <v>1034600</v>
      </c>
      <c r="D10822" s="7">
        <v>1.31</v>
      </c>
      <c r="E10822" t="s">
        <v>9</v>
      </c>
    </row>
    <row r="10823" spans="1:5" x14ac:dyDescent="0.25">
      <c r="A10823" t="str">
        <f>HYPERLINK("https://www.773grp.com/globalSearch/LMV324DR2G/page-1", "LMV324DR2G")</f>
        <v>LMV324DR2G</v>
      </c>
      <c r="B10823" s="3" t="str">
        <f>HYPERLINK("https://www.773grp.com/manufacturer/onsemi?pageNo=38", "Onsemi")</f>
        <v>Onsemi</v>
      </c>
      <c r="C10823" s="6">
        <v>567297</v>
      </c>
      <c r="D10823" s="7">
        <v>1.31</v>
      </c>
      <c r="E10823" t="s">
        <v>10</v>
      </c>
    </row>
    <row r="10824" spans="1:5" x14ac:dyDescent="0.25">
      <c r="A10824" t="str">
        <f>HYPERLINK("https://www.773grp.com/globalSearch/LMV324DTBR2G/page-1", "LMV324DTBR2G")</f>
        <v>LMV324DTBR2G</v>
      </c>
      <c r="B10824" s="3" t="str">
        <f>HYPERLINK("https://www.773grp.com/manufacturer/onsemi?pageNo=39", "Onsemi")</f>
        <v>Onsemi</v>
      </c>
      <c r="C10824" s="6">
        <v>89836</v>
      </c>
      <c r="D10824" s="7">
        <v>1.31</v>
      </c>
    </row>
    <row r="10825" spans="1:5" x14ac:dyDescent="0.25">
      <c r="A10825" t="str">
        <f>HYPERLINK("https://www.773grp.com/globalSearch/LMV339DR2G/page-1", "LMV339DR2G")</f>
        <v>LMV339DR2G</v>
      </c>
      <c r="B10825" s="3" t="str">
        <f>HYPERLINK("https://www.773grp.com/manufacturer/onsemi?pageNo=40", "Onsemi")</f>
        <v>Onsemi</v>
      </c>
      <c r="C10825" s="6">
        <v>160000</v>
      </c>
      <c r="D10825" s="7">
        <v>1.31</v>
      </c>
      <c r="E10825" t="s">
        <v>6</v>
      </c>
    </row>
    <row r="10826" spans="1:5" x14ac:dyDescent="0.25">
      <c r="A10826" t="str">
        <f>HYPERLINK("https://www.773grp.com/globalSearch/LMV339DTBR2G/page-1", "LMV339DTBR2G")</f>
        <v>LMV339DTBR2G</v>
      </c>
      <c r="B10826" s="3" t="str">
        <f>HYPERLINK("https://www.773grp.com/manufacturer/onsemi?pageNo=41", "Onsemi")</f>
        <v>Onsemi</v>
      </c>
      <c r="C10826" s="6">
        <v>35328</v>
      </c>
      <c r="D10826" s="7">
        <v>1.31</v>
      </c>
      <c r="E10826" t="s">
        <v>6</v>
      </c>
    </row>
    <row r="10827" spans="1:5" x14ac:dyDescent="0.25">
      <c r="A10827" t="str">
        <f>HYPERLINK("https://www.773grp.com/globalSearch/LP2950ACZ-3.0G/page-1", "LP2950ACZ-3.0G")</f>
        <v>LP2950ACZ-3.0G</v>
      </c>
      <c r="B10827" s="3" t="str">
        <f>HYPERLINK("https://www.773grp.com/manufacturer/onsemi?pageNo=42", "Onsemi")</f>
        <v>Onsemi</v>
      </c>
      <c r="C10827" s="6">
        <v>36495</v>
      </c>
      <c r="D10827" s="7">
        <v>1.31</v>
      </c>
      <c r="E10827" t="s">
        <v>15</v>
      </c>
    </row>
    <row r="10828" spans="1:5" x14ac:dyDescent="0.25">
      <c r="A10828" t="str">
        <f>HYPERLINK("https://www.773grp.com/globalSearch/LP2950ACZ-3.0RAG/page-1", "LP2950ACZ-3.0RAG")</f>
        <v>LP2950ACZ-3.0RAG</v>
      </c>
      <c r="B10828" s="3" t="str">
        <f>HYPERLINK("https://www.773grp.com/manufacturer/onsemi?pageNo=43", "Onsemi")</f>
        <v>Onsemi</v>
      </c>
      <c r="C10828" s="6">
        <v>4257</v>
      </c>
      <c r="D10828" s="7">
        <v>1.31</v>
      </c>
      <c r="E10828" t="s">
        <v>15</v>
      </c>
    </row>
    <row r="10829" spans="1:5" x14ac:dyDescent="0.25">
      <c r="A10829" t="str">
        <f>HYPERLINK("https://www.773grp.com/globalSearch/LP2950ACZ-3.3G/page-1", "LP2950ACZ-3.3G")</f>
        <v>LP2950ACZ-3.3G</v>
      </c>
      <c r="B10829" s="3" t="str">
        <f>HYPERLINK("https://www.773grp.com/manufacturer/onsemi?pageNo=44", "Onsemi")</f>
        <v>Onsemi</v>
      </c>
      <c r="C10829" s="6">
        <v>10043</v>
      </c>
      <c r="D10829" s="7">
        <v>1.31</v>
      </c>
      <c r="E10829" t="s">
        <v>15</v>
      </c>
    </row>
    <row r="10830" spans="1:5" x14ac:dyDescent="0.25">
      <c r="A10830" t="str">
        <f>HYPERLINK("https://www.773grp.com/globalSearch/LP2950ACZ-3.3RAG/page-1", "LP2950ACZ-3.3RAG")</f>
        <v>LP2950ACZ-3.3RAG</v>
      </c>
      <c r="B10830" s="3" t="str">
        <f>HYPERLINK("https://www.773grp.com/manufacturer/onsemi?pageNo=45", "Onsemi")</f>
        <v>Onsemi</v>
      </c>
      <c r="C10830" s="6">
        <v>14630</v>
      </c>
      <c r="D10830" s="7">
        <v>1.31</v>
      </c>
      <c r="E10830" t="s">
        <v>15</v>
      </c>
    </row>
    <row r="10831" spans="1:5" x14ac:dyDescent="0.25">
      <c r="A10831" t="str">
        <f>HYPERLINK("https://www.773grp.com/globalSearch/LP2950ACZ-5.0G/page-1", "LP2950ACZ-5.0G")</f>
        <v>LP2950ACZ-5.0G</v>
      </c>
      <c r="B10831" s="3" t="str">
        <f>HYPERLINK("https://www.773grp.com/manufacturer/onsemi?pageNo=46", "Onsemi")</f>
        <v>Onsemi</v>
      </c>
      <c r="C10831" s="6">
        <v>7505</v>
      </c>
      <c r="D10831" s="7">
        <v>1.31</v>
      </c>
      <c r="E10831" t="s">
        <v>15</v>
      </c>
    </row>
    <row r="10832" spans="1:5" x14ac:dyDescent="0.25">
      <c r="A10832" t="str">
        <f>HYPERLINK("https://www.773grp.com/globalSearch/LP2950ACZ-5.0RAG/page-1", "LP2950ACZ-5.0RAG")</f>
        <v>LP2950ACZ-5.0RAG</v>
      </c>
      <c r="B10832" s="3" t="str">
        <f>HYPERLINK("https://www.773grp.com/manufacturer/onsemi?pageNo=47", "Onsemi")</f>
        <v>Onsemi</v>
      </c>
      <c r="C10832" s="6">
        <v>4000</v>
      </c>
      <c r="D10832" s="7">
        <v>1.31</v>
      </c>
    </row>
    <row r="10833" spans="1:5" x14ac:dyDescent="0.25">
      <c r="A10833" t="str">
        <f>HYPERLINK("https://www.773grp.com/globalSearch/LP2950ACZ-5.ORAG/page-1", "LP2950ACZ-5.ORAG")</f>
        <v>LP2950ACZ-5.ORAG</v>
      </c>
      <c r="B10833" s="3" t="str">
        <f>HYPERLINK("https://www.773grp.com/manufacturer/onsemi?pageNo=48", "Onsemi")</f>
        <v>Onsemi</v>
      </c>
      <c r="C10833" s="6">
        <v>23</v>
      </c>
      <c r="D10833" s="7">
        <v>1.31</v>
      </c>
    </row>
    <row r="10834" spans="1:5" x14ac:dyDescent="0.25">
      <c r="A10834" t="str">
        <f>HYPERLINK("https://www.773grp.com/globalSearch/LP2951ACN-3.0G/page-1", "LP2951ACN-3.0G")</f>
        <v>LP2951ACN-3.0G</v>
      </c>
      <c r="B10834" s="3" t="str">
        <f>HYPERLINK("https://www.773grp.com/manufacturer/onsemi?pageNo=49", "Onsemi")</f>
        <v>Onsemi</v>
      </c>
      <c r="C10834" s="6">
        <v>4281</v>
      </c>
      <c r="D10834" s="7">
        <v>1.31</v>
      </c>
      <c r="E10834" t="s">
        <v>23</v>
      </c>
    </row>
    <row r="10835" spans="1:5" x14ac:dyDescent="0.25">
      <c r="A10835" t="str">
        <f>HYPERLINK("https://www.773grp.com/globalSearch/LP2951ACNG/page-1", "LP2951ACNG")</f>
        <v>LP2951ACNG</v>
      </c>
      <c r="B10835" s="3" t="str">
        <f>HYPERLINK("https://www.773grp.com/manufacturer/onsemi?pageNo=50", "Onsemi")</f>
        <v>Onsemi</v>
      </c>
      <c r="C10835" s="6">
        <v>19281</v>
      </c>
      <c r="D10835" s="7">
        <v>1.31</v>
      </c>
      <c r="E10835" t="s">
        <v>23</v>
      </c>
    </row>
    <row r="10836" spans="1:5" x14ac:dyDescent="0.25">
      <c r="A10836" t="str">
        <f>HYPERLINK("https://www.773grp.com/globalSearch/M74HCT4051ADTR2G/page-1", "M74HCT4051ADTR2G")</f>
        <v>M74HCT4051ADTR2G</v>
      </c>
      <c r="B10836" s="3" t="str">
        <f>HYPERLINK("https://www.773grp.com/manufacturer/onsemi?pageNo=51", "Onsemi")</f>
        <v>Onsemi</v>
      </c>
      <c r="C10836" s="6">
        <v>2500</v>
      </c>
      <c r="D10836" s="7">
        <v>1.31</v>
      </c>
    </row>
    <row r="10837" spans="1:5" x14ac:dyDescent="0.25">
      <c r="A10837" t="str">
        <f>HYPERLINK("https://www.773grp.com/globalSearch/MAC15M/page-1", "MAC15M")</f>
        <v>MAC15M</v>
      </c>
      <c r="B10837" s="3" t="str">
        <f>HYPERLINK("https://www.773grp.com/manufacturer/onsemi?pageNo=52", "Onsemi")</f>
        <v>Onsemi</v>
      </c>
      <c r="C10837" s="6">
        <v>1817</v>
      </c>
      <c r="D10837" s="7">
        <v>1.31</v>
      </c>
      <c r="E10837" t="s">
        <v>81</v>
      </c>
    </row>
    <row r="10838" spans="1:5" x14ac:dyDescent="0.25">
      <c r="A10838" t="str">
        <f>HYPERLINK("https://www.773grp.com/globalSearch/MAC15N/page-1", "MAC15N")</f>
        <v>MAC15N</v>
      </c>
      <c r="B10838" s="3" t="str">
        <f>HYPERLINK("https://www.773grp.com/manufacturer/onsemi?pageNo=53", "Onsemi")</f>
        <v>Onsemi</v>
      </c>
      <c r="C10838" s="6">
        <v>2400</v>
      </c>
      <c r="D10838" s="7">
        <v>1.31</v>
      </c>
      <c r="E10838" t="s">
        <v>81</v>
      </c>
    </row>
    <row r="10839" spans="1:5" x14ac:dyDescent="0.25">
      <c r="A10839" t="str">
        <f>HYPERLINK("https://www.773grp.com/globalSearch/MAC15SM/page-1", "MAC15SM")</f>
        <v>MAC15SM</v>
      </c>
      <c r="B10839" s="3" t="str">
        <f>HYPERLINK("https://www.773grp.com/manufacturer/onsemi?pageNo=54", "Onsemi")</f>
        <v>Onsemi</v>
      </c>
      <c r="C10839" s="6">
        <v>650</v>
      </c>
      <c r="D10839" s="7">
        <v>1.31</v>
      </c>
      <c r="E10839" t="s">
        <v>81</v>
      </c>
    </row>
    <row r="10840" spans="1:5" x14ac:dyDescent="0.25">
      <c r="A10840" t="str">
        <f>HYPERLINK("https://www.773grp.com/globalSearch/MAC16CM/page-1", "MAC16CM")</f>
        <v>MAC16CM</v>
      </c>
      <c r="B10840" s="3" t="str">
        <f>HYPERLINK("https://www.773grp.com/manufacturer/onsemi?pageNo=55", "Onsemi")</f>
        <v>Onsemi</v>
      </c>
      <c r="C10840" s="6">
        <v>126700</v>
      </c>
      <c r="D10840" s="7">
        <v>1.31</v>
      </c>
      <c r="E10840" t="s">
        <v>81</v>
      </c>
    </row>
    <row r="10841" spans="1:5" x14ac:dyDescent="0.25">
      <c r="A10841" t="str">
        <f>HYPERLINK("https://www.773grp.com/globalSearch/MAC16CN/page-1", "MAC16CN")</f>
        <v>MAC16CN</v>
      </c>
      <c r="B10841" s="3" t="str">
        <f>HYPERLINK("https://www.773grp.com/manufacturer/onsemi?pageNo=56", "Onsemi")</f>
        <v>Onsemi</v>
      </c>
      <c r="C10841" s="6">
        <v>426950</v>
      </c>
      <c r="D10841" s="7">
        <v>1.31</v>
      </c>
      <c r="E10841" t="s">
        <v>81</v>
      </c>
    </row>
    <row r="10842" spans="1:5" x14ac:dyDescent="0.25">
      <c r="A10842" t="str">
        <f>HYPERLINK("https://www.773grp.com/globalSearch/MBR1535CT/page-1", "MBR1535CT")</f>
        <v>MBR1535CT</v>
      </c>
      <c r="B10842" s="3" t="str">
        <f>HYPERLINK("https://www.773grp.com/manufacturer/onsemi?pageNo=57", "Onsemi")</f>
        <v>Onsemi</v>
      </c>
      <c r="C10842" s="6">
        <v>50</v>
      </c>
      <c r="D10842" s="7">
        <v>1.31</v>
      </c>
      <c r="E10842" t="s">
        <v>82</v>
      </c>
    </row>
    <row r="10843" spans="1:5" x14ac:dyDescent="0.25">
      <c r="A10843" t="str">
        <f>HYPERLINK("https://www.773grp.com/globalSearch/MBR1535CTG/page-1", "MBR1535CTG")</f>
        <v>MBR1535CTG</v>
      </c>
      <c r="B10843" s="3" t="str">
        <f>HYPERLINK("https://www.773grp.com/manufacturer/onsemi?pageNo=58", "Onsemi")</f>
        <v>Onsemi</v>
      </c>
      <c r="C10843" s="6">
        <v>25826</v>
      </c>
      <c r="D10843" s="7">
        <v>1.31</v>
      </c>
      <c r="E10843" t="s">
        <v>82</v>
      </c>
    </row>
    <row r="10844" spans="1:5" x14ac:dyDescent="0.25">
      <c r="A10844" t="str">
        <f>HYPERLINK("https://www.773grp.com/globalSearch/MBR1545CT/page-1", "MBR1545CT")</f>
        <v>MBR1545CT</v>
      </c>
      <c r="B10844" s="3" t="str">
        <f>HYPERLINK("https://www.773grp.com/manufacturer/onsemi?pageNo=59", "Onsemi")</f>
        <v>Onsemi</v>
      </c>
      <c r="C10844" s="6">
        <v>10625</v>
      </c>
      <c r="D10844" s="7">
        <v>1.31</v>
      </c>
      <c r="E10844" t="s">
        <v>82</v>
      </c>
    </row>
    <row r="10845" spans="1:5" x14ac:dyDescent="0.25">
      <c r="A10845" t="str">
        <f>HYPERLINK("https://www.773grp.com/globalSearch/MBR1545CTG/page-1", "MBR1545CTG")</f>
        <v>MBR1545CTG</v>
      </c>
      <c r="B10845" s="3" t="str">
        <f>HYPERLINK("https://www.773grp.com/manufacturer/onsemi?pageNo=60", "Onsemi")</f>
        <v>Onsemi</v>
      </c>
      <c r="C10845" s="6">
        <v>23350</v>
      </c>
      <c r="D10845" s="7">
        <v>1.31</v>
      </c>
      <c r="E10845" t="s">
        <v>82</v>
      </c>
    </row>
    <row r="10846" spans="1:5" x14ac:dyDescent="0.25">
      <c r="A10846" t="str">
        <f>HYPERLINK("https://www.773grp.com/globalSearch/MBRD340RL/page-1", "MBRD340RL")</f>
        <v>MBRD340RL</v>
      </c>
      <c r="B10846" s="3" t="str">
        <f>HYPERLINK("https://www.773grp.com/manufacturer/onsemi?pageNo=61", "Onsemi")</f>
        <v>Onsemi</v>
      </c>
      <c r="C10846" s="6">
        <v>908</v>
      </c>
      <c r="D10846" s="7">
        <v>1.31</v>
      </c>
      <c r="E10846" t="s">
        <v>82</v>
      </c>
    </row>
    <row r="10847" spans="1:5" x14ac:dyDescent="0.25">
      <c r="A10847" t="str">
        <f>HYPERLINK("https://www.773grp.com/globalSearch/MBRS340T3/page-1", "MBRS340T3")</f>
        <v>MBRS340T3</v>
      </c>
      <c r="B10847" s="3" t="str">
        <f>HYPERLINK("https://www.773grp.com/manufacturer/onsemi?pageNo=62", "Onsemi")</f>
        <v>Onsemi</v>
      </c>
      <c r="C10847" s="6">
        <v>2300</v>
      </c>
      <c r="D10847" s="7">
        <v>1.31</v>
      </c>
    </row>
    <row r="10848" spans="1:5" x14ac:dyDescent="0.25">
      <c r="A10848" t="str">
        <f>HYPERLINK("https://www.773grp.com/globalSearch/MBRS360T3/page-1", "MBRS360T3")</f>
        <v>MBRS360T3</v>
      </c>
      <c r="B10848" s="3" t="str">
        <f>HYPERLINK("https://www.773grp.com/manufacturer/onsemi?pageNo=63", "Onsemi")</f>
        <v>Onsemi</v>
      </c>
      <c r="C10848" s="6">
        <v>3980</v>
      </c>
      <c r="D10848" s="7">
        <v>1.31</v>
      </c>
    </row>
    <row r="10849" spans="1:5" x14ac:dyDescent="0.25">
      <c r="A10849" t="str">
        <f>HYPERLINK("https://www.773grp.com/globalSearch/MC14015BFELG/page-1", "MC14015BFELG")</f>
        <v>MC14015BFELG</v>
      </c>
      <c r="B10849" s="3" t="str">
        <f>HYPERLINK("https://www.773grp.com/manufacturer/onsemi?pageNo=64", "Onsemi")</f>
        <v>Onsemi</v>
      </c>
      <c r="C10849" s="6">
        <v>5760</v>
      </c>
      <c r="D10849" s="7">
        <v>1.31</v>
      </c>
      <c r="E10849" t="s">
        <v>28</v>
      </c>
    </row>
    <row r="10850" spans="1:5" x14ac:dyDescent="0.25">
      <c r="A10850" t="str">
        <f>HYPERLINK("https://www.773grp.com/globalSearch/MC14035BCP/page-1", "MC14035BCP")</f>
        <v>MC14035BCP</v>
      </c>
      <c r="B10850" s="3" t="str">
        <f>HYPERLINK("https://www.773grp.com/manufacturer/onsemi?pageNo=65", "Onsemi")</f>
        <v>Onsemi</v>
      </c>
      <c r="C10850" s="6">
        <v>4415</v>
      </c>
      <c r="D10850" s="7">
        <v>1.31</v>
      </c>
      <c r="E10850" t="s">
        <v>28</v>
      </c>
    </row>
    <row r="10851" spans="1:5" x14ac:dyDescent="0.25">
      <c r="A10851" t="str">
        <f>HYPERLINK("https://www.773grp.com/globalSearch/MC14040BFELG/page-1", "MC14040BFELG")</f>
        <v>MC14040BFELG</v>
      </c>
      <c r="B10851" s="3" t="str">
        <f>HYPERLINK("https://www.773grp.com/manufacturer/onsemi?pageNo=66", "Onsemi")</f>
        <v>Onsemi</v>
      </c>
      <c r="C10851" s="6">
        <v>7415</v>
      </c>
      <c r="D10851" s="7">
        <v>1.31</v>
      </c>
      <c r="E10851" t="s">
        <v>22</v>
      </c>
    </row>
    <row r="10852" spans="1:5" x14ac:dyDescent="0.25">
      <c r="A10852" t="str">
        <f>HYPERLINK("https://www.773grp.com/globalSearch/MC14046BCPG/page-1", "MC14046BCPG")</f>
        <v>MC14046BCPG</v>
      </c>
      <c r="B10852" s="3" t="str">
        <f>HYPERLINK("https://www.773grp.com/manufacturer/onsemi?pageNo=67", "Onsemi")</f>
        <v>Onsemi</v>
      </c>
      <c r="C10852" s="6">
        <v>5648</v>
      </c>
      <c r="D10852" s="7">
        <v>1.31</v>
      </c>
      <c r="E10852" t="s">
        <v>34</v>
      </c>
    </row>
    <row r="10853" spans="1:5" x14ac:dyDescent="0.25">
      <c r="A10853" t="str">
        <f>HYPERLINK("https://www.773grp.com/globalSearch/MC14046BDWG/page-1", "MC14046BDWG")</f>
        <v>MC14046BDWG</v>
      </c>
      <c r="B10853" s="3" t="str">
        <f>HYPERLINK("https://www.773grp.com/manufacturer/onsemi?pageNo=68", "Onsemi")</f>
        <v>Onsemi</v>
      </c>
      <c r="C10853" s="6">
        <v>8450</v>
      </c>
      <c r="D10853" s="7">
        <v>1.31</v>
      </c>
      <c r="E10853" t="s">
        <v>34</v>
      </c>
    </row>
    <row r="10854" spans="1:5" x14ac:dyDescent="0.25">
      <c r="A10854" t="str">
        <f>HYPERLINK("https://www.773grp.com/globalSearch/MC14046BDWR2G/page-1", "MC14046BDWR2G")</f>
        <v>MC14046BDWR2G</v>
      </c>
      <c r="B10854" s="3" t="str">
        <f>HYPERLINK("https://www.773grp.com/manufacturer/onsemi?pageNo=69", "Onsemi")</f>
        <v>Onsemi</v>
      </c>
      <c r="C10854" s="6">
        <v>2544</v>
      </c>
      <c r="D10854" s="7">
        <v>1.31</v>
      </c>
      <c r="E10854" t="s">
        <v>34</v>
      </c>
    </row>
    <row r="10855" spans="1:5" x14ac:dyDescent="0.25">
      <c r="A10855" t="str">
        <f>HYPERLINK("https://www.773grp.com/globalSearch/MC14516BF/page-1", "MC14516BF")</f>
        <v>MC14516BF</v>
      </c>
      <c r="B10855" s="3" t="str">
        <f>HYPERLINK("https://www.773grp.com/manufacturer/onsemi?pageNo=70", "Onsemi")</f>
        <v>Onsemi</v>
      </c>
      <c r="C10855" s="6">
        <v>600</v>
      </c>
      <c r="D10855" s="7">
        <v>1.31</v>
      </c>
      <c r="E10855" t="s">
        <v>22</v>
      </c>
    </row>
    <row r="10856" spans="1:5" x14ac:dyDescent="0.25">
      <c r="A10856" t="str">
        <f>HYPERLINK("https://www.773grp.com/globalSearch/MC14516BFG/page-1", "MC14516BFG")</f>
        <v>MC14516BFG</v>
      </c>
      <c r="B10856" s="3" t="str">
        <f>HYPERLINK("https://www.773grp.com/manufacturer/onsemi?pageNo=71", "Onsemi")</f>
        <v>Onsemi</v>
      </c>
      <c r="C10856" s="6">
        <v>2344</v>
      </c>
      <c r="D10856" s="7">
        <v>1.31</v>
      </c>
      <c r="E10856" t="s">
        <v>22</v>
      </c>
    </row>
    <row r="10857" spans="1:5" x14ac:dyDescent="0.25">
      <c r="A10857" t="str">
        <f>HYPERLINK("https://www.773grp.com/globalSearch/MC14555BCPG/page-1", "MC14555BCPG")</f>
        <v>MC14555BCPG</v>
      </c>
      <c r="B10857" s="3" t="str">
        <f>HYPERLINK("https://www.773grp.com/manufacturer/onsemi?pageNo=72", "Onsemi")</f>
        <v>Onsemi</v>
      </c>
      <c r="C10857" s="6">
        <v>9127</v>
      </c>
      <c r="D10857" s="7">
        <v>1.31</v>
      </c>
      <c r="E10857" t="s">
        <v>32</v>
      </c>
    </row>
    <row r="10858" spans="1:5" x14ac:dyDescent="0.25">
      <c r="A10858" t="str">
        <f>HYPERLINK("https://www.773grp.com/globalSearch/MC14556BCPG/page-1", "MC14556BCPG")</f>
        <v>MC14556BCPG</v>
      </c>
      <c r="B10858" s="3" t="str">
        <f>HYPERLINK("https://www.773grp.com/manufacturer/onsemi?pageNo=73", "Onsemi")</f>
        <v>Onsemi</v>
      </c>
      <c r="C10858" s="6">
        <v>5460</v>
      </c>
      <c r="D10858" s="7">
        <v>1.31</v>
      </c>
      <c r="E10858" t="s">
        <v>32</v>
      </c>
    </row>
    <row r="10859" spans="1:5" x14ac:dyDescent="0.25">
      <c r="A10859" t="str">
        <f>HYPERLINK("https://www.773grp.com/globalSearch/MC1488PG/page-1", "MC1488PG")</f>
        <v>MC1488PG</v>
      </c>
      <c r="B10859" s="3" t="str">
        <f>HYPERLINK("https://www.773grp.com/manufacturer/onsemi?pageNo=74", "Onsemi")</f>
        <v>Onsemi</v>
      </c>
      <c r="C10859" s="6">
        <v>14921</v>
      </c>
      <c r="D10859" s="7">
        <v>1.31</v>
      </c>
      <c r="E10859" t="s">
        <v>17</v>
      </c>
    </row>
    <row r="10860" spans="1:5" x14ac:dyDescent="0.25">
      <c r="A10860" t="str">
        <f>HYPERLINK("https://www.773grp.com/globalSearch/MC1489ADG/page-1", "MC1489ADG")</f>
        <v>MC1489ADG</v>
      </c>
      <c r="B10860" s="3" t="str">
        <f>HYPERLINK("https://www.773grp.com/manufacturer/onsemi?pageNo=75", "Onsemi")</f>
        <v>Onsemi</v>
      </c>
      <c r="C10860" s="6">
        <v>10953</v>
      </c>
      <c r="D10860" s="7">
        <v>1.31</v>
      </c>
      <c r="E10860" t="s">
        <v>17</v>
      </c>
    </row>
    <row r="10861" spans="1:5" x14ac:dyDescent="0.25">
      <c r="A10861" t="str">
        <f>HYPERLINK("https://www.773grp.com/globalSearch/MC1489ADR2G/page-1", "MC1489ADR2G")</f>
        <v>MC1489ADR2G</v>
      </c>
      <c r="B10861" s="3" t="str">
        <f>HYPERLINK("https://www.773grp.com/manufacturer/onsemi?pageNo=76", "Onsemi")</f>
        <v>Onsemi</v>
      </c>
      <c r="C10861" s="6">
        <v>29900</v>
      </c>
      <c r="D10861" s="7">
        <v>1.31</v>
      </c>
      <c r="E10861" t="s">
        <v>17</v>
      </c>
    </row>
    <row r="10862" spans="1:5" x14ac:dyDescent="0.25">
      <c r="A10862" t="str">
        <f>HYPERLINK("https://www.773grp.com/globalSearch/MC1489MEL/page-1", "MC1489MEL")</f>
        <v>MC1489MEL</v>
      </c>
      <c r="B10862" s="3" t="str">
        <f>HYPERLINK("https://www.773grp.com/manufacturer/onsemi?pageNo=77", "Onsemi")</f>
        <v>Onsemi</v>
      </c>
      <c r="C10862" s="6">
        <v>3160</v>
      </c>
      <c r="D10862" s="7">
        <v>1.31</v>
      </c>
      <c r="E10862" t="s">
        <v>17</v>
      </c>
    </row>
    <row r="10863" spans="1:5" x14ac:dyDescent="0.25">
      <c r="A10863" t="str">
        <f>HYPERLINK("https://www.773grp.com/globalSearch/MC1489MELG/page-1", "MC1489MELG")</f>
        <v>MC1489MELG</v>
      </c>
      <c r="B10863" s="3" t="str">
        <f>HYPERLINK("https://www.773grp.com/manufacturer/onsemi?pageNo=78", "Onsemi")</f>
        <v>Onsemi</v>
      </c>
      <c r="C10863" s="6">
        <v>88491</v>
      </c>
      <c r="D10863" s="7">
        <v>1.31</v>
      </c>
      <c r="E10863" t="s">
        <v>17</v>
      </c>
    </row>
    <row r="10864" spans="1:5" x14ac:dyDescent="0.25">
      <c r="A10864" t="str">
        <f>HYPERLINK("https://www.773grp.com/globalSearch/MC1489MG/page-1", "MC1489MG")</f>
        <v>MC1489MG</v>
      </c>
      <c r="B10864" s="3" t="str">
        <f>HYPERLINK("https://www.773grp.com/manufacturer/onsemi?pageNo=79", "Onsemi")</f>
        <v>Onsemi</v>
      </c>
      <c r="C10864" s="6">
        <v>8550</v>
      </c>
      <c r="D10864" s="7">
        <v>1.31</v>
      </c>
      <c r="E10864" t="s">
        <v>17</v>
      </c>
    </row>
    <row r="10865" spans="1:5" x14ac:dyDescent="0.25">
      <c r="A10865" t="str">
        <f>HYPERLINK("https://www.773grp.com/globalSearch/MC33202DMR2G/page-1", "MC33202DMR2G")</f>
        <v>MC33202DMR2G</v>
      </c>
      <c r="B10865" s="3" t="str">
        <f>HYPERLINK("https://www.773grp.com/manufacturer/onsemi?pageNo=80", "Onsemi")</f>
        <v>Onsemi</v>
      </c>
      <c r="C10865" s="6">
        <v>47558</v>
      </c>
      <c r="D10865" s="7">
        <v>1.31</v>
      </c>
      <c r="E10865" t="s">
        <v>10</v>
      </c>
    </row>
    <row r="10866" spans="1:5" x14ac:dyDescent="0.25">
      <c r="A10866" t="str">
        <f>HYPERLINK("https://www.773grp.com/globalSearch/MC33202VDR2G/page-1", "MC33202VDR2G")</f>
        <v>MC33202VDR2G</v>
      </c>
      <c r="B10866" s="3" t="str">
        <f>HYPERLINK("https://www.773grp.com/manufacturer/onsemi?pageNo=81", "Onsemi")</f>
        <v>Onsemi</v>
      </c>
      <c r="C10866" s="6">
        <v>182901</v>
      </c>
      <c r="D10866" s="7">
        <v>1.31</v>
      </c>
      <c r="E10866" t="s">
        <v>10</v>
      </c>
    </row>
    <row r="10867" spans="1:5" x14ac:dyDescent="0.25">
      <c r="A10867" t="str">
        <f>HYPERLINK("https://www.773grp.com/globalSearch/MC33272AD/page-1", "MC33272AD")</f>
        <v>MC33272AD</v>
      </c>
      <c r="B10867" s="3" t="str">
        <f>HYPERLINK("https://www.773grp.com/manufacturer/onsemi?pageNo=82", "Onsemi")</f>
        <v>Onsemi</v>
      </c>
      <c r="C10867" s="6">
        <v>685</v>
      </c>
      <c r="D10867" s="7">
        <v>1.31</v>
      </c>
      <c r="E10867" t="s">
        <v>10</v>
      </c>
    </row>
    <row r="10868" spans="1:5" x14ac:dyDescent="0.25">
      <c r="A10868" t="str">
        <f>HYPERLINK("https://www.773grp.com/globalSearch/MC33272AP/page-1", "MC33272AP")</f>
        <v>MC33272AP</v>
      </c>
      <c r="B10868" s="3" t="str">
        <f>HYPERLINK("https://www.773grp.com/manufacturer/onsemi?pageNo=83", "Onsemi")</f>
        <v>Onsemi</v>
      </c>
      <c r="C10868" s="6">
        <v>963</v>
      </c>
      <c r="D10868" s="7">
        <v>1.31</v>
      </c>
      <c r="E10868" t="s">
        <v>10</v>
      </c>
    </row>
    <row r="10869" spans="1:5" x14ac:dyDescent="0.25">
      <c r="A10869" t="str">
        <f>HYPERLINK("https://www.773grp.com/globalSearch/MC33761SNT1-025G/page-1", "MC33761SNT1-025G")</f>
        <v>MC33761SNT1-025G</v>
      </c>
      <c r="B10869" s="3" t="str">
        <f>HYPERLINK("https://www.773grp.com/manufacturer/onsemi?pageNo=84", "Onsemi")</f>
        <v>Onsemi</v>
      </c>
      <c r="C10869" s="6">
        <v>2894</v>
      </c>
      <c r="D10869" s="7">
        <v>1.31</v>
      </c>
      <c r="E10869" t="s">
        <v>15</v>
      </c>
    </row>
    <row r="10870" spans="1:5" x14ac:dyDescent="0.25">
      <c r="A10870" t="str">
        <f>HYPERLINK("https://www.773grp.com/globalSearch/MC33761SNT1-029G/page-1", "MC33761SNT1-029G")</f>
        <v>MC33761SNT1-029G</v>
      </c>
      <c r="B10870" s="3" t="str">
        <f>HYPERLINK("https://www.773grp.com/manufacturer/onsemi?pageNo=85", "Onsemi")</f>
        <v>Onsemi</v>
      </c>
      <c r="C10870" s="6">
        <v>18000</v>
      </c>
      <c r="D10870" s="7">
        <v>1.31</v>
      </c>
      <c r="E10870" t="s">
        <v>15</v>
      </c>
    </row>
    <row r="10871" spans="1:5" x14ac:dyDescent="0.25">
      <c r="A10871" t="str">
        <f>HYPERLINK("https://www.773grp.com/globalSearch/MC33761SNT1-030G/page-1", "MC33761SNT1-030G")</f>
        <v>MC33761SNT1-030G</v>
      </c>
      <c r="B10871" s="3" t="str">
        <f>HYPERLINK("https://www.773grp.com/manufacturer/onsemi?pageNo=86", "Onsemi")</f>
        <v>Onsemi</v>
      </c>
      <c r="C10871" s="6">
        <v>2740</v>
      </c>
      <c r="D10871" s="7">
        <v>1.31</v>
      </c>
      <c r="E10871" t="s">
        <v>15</v>
      </c>
    </row>
    <row r="10872" spans="1:5" x14ac:dyDescent="0.25">
      <c r="A10872" t="str">
        <f>HYPERLINK("https://www.773grp.com/globalSearch/MC33761SNT1-050G/page-1", "MC33761SNT1-050G")</f>
        <v>MC33761SNT1-050G</v>
      </c>
      <c r="B10872" s="3" t="str">
        <f>HYPERLINK("https://www.773grp.com/manufacturer/onsemi?pageNo=87", "Onsemi")</f>
        <v>Onsemi</v>
      </c>
      <c r="C10872" s="6">
        <v>94526</v>
      </c>
      <c r="D10872" s="7">
        <v>1.31</v>
      </c>
      <c r="E10872" t="s">
        <v>15</v>
      </c>
    </row>
    <row r="10873" spans="1:5" x14ac:dyDescent="0.25">
      <c r="A10873" t="str">
        <f>HYPERLINK("https://www.773grp.com/globalSearch/MC34262DG/page-1", "MC34262DG")</f>
        <v>MC34262DG</v>
      </c>
      <c r="B10873" s="3" t="str">
        <f>HYPERLINK("https://www.773grp.com/manufacturer/onsemi?pageNo=88", "Onsemi")</f>
        <v>Onsemi</v>
      </c>
      <c r="C10873" s="6">
        <v>5548</v>
      </c>
      <c r="D10873" s="7">
        <v>1.31</v>
      </c>
      <c r="E10873" t="s">
        <v>5</v>
      </c>
    </row>
    <row r="10874" spans="1:5" x14ac:dyDescent="0.25">
      <c r="A10874" t="str">
        <f>HYPERLINK("https://www.773grp.com/globalSearch/MC34262DR2G/page-1", "MC34262DR2G")</f>
        <v>MC34262DR2G</v>
      </c>
      <c r="B10874" s="3" t="str">
        <f>HYPERLINK("https://www.773grp.com/manufacturer/onsemi?pageNo=89", "Onsemi")</f>
        <v>Onsemi</v>
      </c>
      <c r="C10874" s="6">
        <v>40000</v>
      </c>
      <c r="D10874" s="7">
        <v>1.31</v>
      </c>
    </row>
    <row r="10875" spans="1:5" x14ac:dyDescent="0.25">
      <c r="A10875" t="str">
        <f>HYPERLINK("https://www.773grp.com/globalSearch/MC34262PG/page-1", "MC34262PG")</f>
        <v>MC34262PG</v>
      </c>
      <c r="B10875" s="3" t="str">
        <f>HYPERLINK("https://www.773grp.com/manufacturer/onsemi?pageNo=90", "Onsemi")</f>
        <v>Onsemi</v>
      </c>
      <c r="C10875" s="6">
        <v>3639</v>
      </c>
      <c r="D10875" s="7">
        <v>1.31</v>
      </c>
      <c r="E10875" t="s">
        <v>5</v>
      </c>
    </row>
    <row r="10876" spans="1:5" x14ac:dyDescent="0.25">
      <c r="A10876" t="str">
        <f>HYPERLINK("https://www.773grp.com/globalSearch/MC74AC139NG/page-1", "MC74AC139NG")</f>
        <v>MC74AC139NG</v>
      </c>
      <c r="B10876" s="3" t="str">
        <f>HYPERLINK("https://www.773grp.com/manufacturer/onsemi?pageNo=91", "Onsemi")</f>
        <v>Onsemi</v>
      </c>
      <c r="C10876" s="6">
        <v>28447</v>
      </c>
      <c r="D10876" s="7">
        <v>1.31</v>
      </c>
      <c r="E10876" t="s">
        <v>32</v>
      </c>
    </row>
    <row r="10877" spans="1:5" x14ac:dyDescent="0.25">
      <c r="A10877" t="str">
        <f>HYPERLINK("https://www.773grp.com/globalSearch/MC74AC163NG/page-1", "MC74AC163NG")</f>
        <v>MC74AC163NG</v>
      </c>
      <c r="B10877" s="3" t="str">
        <f>HYPERLINK("https://www.773grp.com/manufacturer/onsemi?pageNo=92", "Onsemi")</f>
        <v>Onsemi</v>
      </c>
      <c r="C10877" s="6">
        <v>6625</v>
      </c>
      <c r="D10877" s="7">
        <v>1.31</v>
      </c>
      <c r="E10877" t="s">
        <v>22</v>
      </c>
    </row>
    <row r="10878" spans="1:5" x14ac:dyDescent="0.25">
      <c r="A10878" t="str">
        <f>HYPERLINK("https://www.773grp.com/globalSearch/MC74AC4040D/page-1", "MC74AC4040D")</f>
        <v>MC74AC4040D</v>
      </c>
      <c r="B10878" s="3" t="str">
        <f>HYPERLINK("https://www.773grp.com/manufacturer/onsemi?pageNo=93", "Onsemi")</f>
        <v>Onsemi</v>
      </c>
      <c r="C10878" s="6">
        <v>2820</v>
      </c>
      <c r="D10878" s="7">
        <v>1.31</v>
      </c>
      <c r="E10878" t="s">
        <v>22</v>
      </c>
    </row>
    <row r="10879" spans="1:5" x14ac:dyDescent="0.25">
      <c r="A10879" t="str">
        <f>HYPERLINK("https://www.773grp.com/globalSearch/MC74ACT132M/page-1", "MC74ACT132M")</f>
        <v>MC74ACT132M</v>
      </c>
      <c r="B10879" s="3" t="str">
        <f>HYPERLINK("https://www.773grp.com/manufacturer/onsemi?pageNo=94", "Onsemi")</f>
        <v>Onsemi</v>
      </c>
      <c r="C10879" s="6">
        <v>11950</v>
      </c>
      <c r="D10879" s="7">
        <v>1.31</v>
      </c>
      <c r="E10879" t="s">
        <v>27</v>
      </c>
    </row>
    <row r="10880" spans="1:5" x14ac:dyDescent="0.25">
      <c r="A10880" t="str">
        <f>HYPERLINK("https://www.773grp.com/globalSearch/MC74ACT139NG/page-1", "MC74ACT139NG")</f>
        <v>MC74ACT139NG</v>
      </c>
      <c r="B10880" s="3" t="str">
        <f>HYPERLINK("https://www.773grp.com/manufacturer/onsemi?pageNo=95", "Onsemi")</f>
        <v>Onsemi</v>
      </c>
      <c r="C10880" s="6">
        <v>7700</v>
      </c>
      <c r="D10880" s="7">
        <v>1.31</v>
      </c>
      <c r="E10880" t="s">
        <v>32</v>
      </c>
    </row>
    <row r="10881" spans="1:5" x14ac:dyDescent="0.25">
      <c r="A10881" t="str">
        <f>HYPERLINK("https://www.773grp.com/globalSearch/MC74ACT163NG/page-1", "MC74ACT163NG")</f>
        <v>MC74ACT163NG</v>
      </c>
      <c r="B10881" s="3" t="str">
        <f>HYPERLINK("https://www.773grp.com/manufacturer/onsemi?pageNo=96", "Onsemi")</f>
        <v>Onsemi</v>
      </c>
      <c r="C10881" s="6">
        <v>10040</v>
      </c>
      <c r="D10881" s="7">
        <v>1.31</v>
      </c>
      <c r="E10881" t="s">
        <v>22</v>
      </c>
    </row>
    <row r="10882" spans="1:5" x14ac:dyDescent="0.25">
      <c r="A10882" t="str">
        <f>HYPERLINK("https://www.773grp.com/globalSearch/MC74HC4051ADG/page-1", "MC74HC4051ADG")</f>
        <v>MC74HC4051ADG</v>
      </c>
      <c r="B10882" s="3" t="str">
        <f>HYPERLINK("https://www.773grp.com/manufacturer/onsemi?pageNo=97", "Onsemi")</f>
        <v>Onsemi</v>
      </c>
      <c r="C10882" s="6">
        <v>3024</v>
      </c>
      <c r="D10882" s="7">
        <v>1.31</v>
      </c>
      <c r="E10882" t="s">
        <v>46</v>
      </c>
    </row>
    <row r="10883" spans="1:5" x14ac:dyDescent="0.25">
      <c r="A10883" t="str">
        <f>HYPERLINK("https://www.773grp.com/globalSearch/MC74HC4051ADR2G/page-1", "MC74HC4051ADR2G")</f>
        <v>MC74HC4051ADR2G</v>
      </c>
      <c r="B10883" s="3" t="str">
        <f>HYPERLINK("https://www.773grp.com/manufacturer/onsemi?pageNo=98", "Onsemi")</f>
        <v>Onsemi</v>
      </c>
      <c r="C10883" s="6">
        <v>39936</v>
      </c>
      <c r="D10883" s="7">
        <v>1.31</v>
      </c>
      <c r="E10883" t="s">
        <v>46</v>
      </c>
    </row>
    <row r="10884" spans="1:5" x14ac:dyDescent="0.25">
      <c r="A10884" t="str">
        <f>HYPERLINK("https://www.773grp.com/globalSearch/MC74HC4051ADTG/page-1", "MC74HC4051ADTG")</f>
        <v>MC74HC4051ADTG</v>
      </c>
      <c r="B10884" s="3" t="str">
        <f>HYPERLINK("https://www.773grp.com/manufacturer/onsemi?pageNo=99", "Onsemi")</f>
        <v>Onsemi</v>
      </c>
      <c r="C10884" s="6">
        <v>21957</v>
      </c>
      <c r="D10884" s="7">
        <v>1.31</v>
      </c>
      <c r="E10884" t="s">
        <v>46</v>
      </c>
    </row>
    <row r="10885" spans="1:5" x14ac:dyDescent="0.25">
      <c r="A10885" t="str">
        <f>HYPERLINK("https://www.773grp.com/globalSearch/MC74HC4051ADTR2G/page-1", "MC74HC4051ADTR2G")</f>
        <v>MC74HC4051ADTR2G</v>
      </c>
      <c r="B10885" s="3" t="str">
        <f>HYPERLINK("https://www.773grp.com/manufacturer/onsemi?pageNo=100", "Onsemi")</f>
        <v>Onsemi</v>
      </c>
      <c r="C10885" s="6">
        <v>125000</v>
      </c>
      <c r="D10885" s="7">
        <v>1.31</v>
      </c>
      <c r="E10885" t="s">
        <v>46</v>
      </c>
    </row>
    <row r="10886" spans="1:5" x14ac:dyDescent="0.25">
      <c r="A10886" t="str">
        <f>HYPERLINK("https://www.773grp.com/globalSearch/MC74HC4052ADG/page-1", "MC74HC4052ADG")</f>
        <v>MC74HC4052ADG</v>
      </c>
      <c r="B10886" s="3" t="str">
        <f>HYPERLINK("https://www.773grp.com/manufacturer/onsemi?pageNo=101", "Onsemi")</f>
        <v>Onsemi</v>
      </c>
      <c r="C10886" s="6">
        <v>6449</v>
      </c>
      <c r="D10886" s="7">
        <v>1.31</v>
      </c>
      <c r="E10886" t="s">
        <v>46</v>
      </c>
    </row>
    <row r="10887" spans="1:5" x14ac:dyDescent="0.25">
      <c r="A10887" t="str">
        <f>HYPERLINK("https://www.773grp.com/globalSearch/MC74HC4052ADR2G/page-1", "MC74HC4052ADR2G")</f>
        <v>MC74HC4052ADR2G</v>
      </c>
      <c r="B10887" s="3" t="str">
        <f>HYPERLINK("https://www.773grp.com/manufacturer/onsemi?pageNo=102", "Onsemi")</f>
        <v>Onsemi</v>
      </c>
      <c r="C10887" s="6">
        <v>441364</v>
      </c>
      <c r="D10887" s="7">
        <v>1.31</v>
      </c>
      <c r="E10887" t="s">
        <v>46</v>
      </c>
    </row>
    <row r="10888" spans="1:5" x14ac:dyDescent="0.25">
      <c r="A10888" t="str">
        <f>HYPERLINK("https://www.773grp.com/globalSearch/MC74HC4052ADTG/page-1", "MC74HC4052ADTG")</f>
        <v>MC74HC4052ADTG</v>
      </c>
      <c r="B10888" s="3" t="str">
        <f>HYPERLINK("https://www.773grp.com/manufacturer/onsemi?pageNo=103", "Onsemi")</f>
        <v>Onsemi</v>
      </c>
      <c r="C10888" s="6">
        <v>5037</v>
      </c>
      <c r="D10888" s="7">
        <v>1.31</v>
      </c>
      <c r="E10888" t="s">
        <v>46</v>
      </c>
    </row>
    <row r="10889" spans="1:5" x14ac:dyDescent="0.25">
      <c r="A10889" t="str">
        <f>HYPERLINK("https://www.773grp.com/globalSearch/MC74HC4052ADTR2G/page-1", "MC74HC4052ADTR2G")</f>
        <v>MC74HC4052ADTR2G</v>
      </c>
      <c r="B10889" s="3" t="str">
        <f>HYPERLINK("https://www.773grp.com/manufacturer/onsemi?pageNo=104", "Onsemi")</f>
        <v>Onsemi</v>
      </c>
      <c r="C10889" s="6">
        <v>30000</v>
      </c>
      <c r="D10889" s="7">
        <v>1.31</v>
      </c>
      <c r="E10889" t="s">
        <v>46</v>
      </c>
    </row>
    <row r="10890" spans="1:5" x14ac:dyDescent="0.25">
      <c r="A10890" t="str">
        <f>HYPERLINK("https://www.773grp.com/globalSearch/MC74HC4053ADG/page-1", "MC74HC4053ADG")</f>
        <v>MC74HC4053ADG</v>
      </c>
      <c r="B10890" s="3" t="str">
        <f>HYPERLINK("https://www.773grp.com/manufacturer/onsemi?pageNo=105", "Onsemi")</f>
        <v>Onsemi</v>
      </c>
      <c r="C10890" s="6">
        <v>12463</v>
      </c>
      <c r="D10890" s="7">
        <v>1.31</v>
      </c>
      <c r="E10890" t="s">
        <v>46</v>
      </c>
    </row>
    <row r="10891" spans="1:5" x14ac:dyDescent="0.25">
      <c r="A10891" t="str">
        <f>HYPERLINK("https://www.773grp.com/globalSearch/MC74HC4053ADR2G/page-1", "MC74HC4053ADR2G")</f>
        <v>MC74HC4053ADR2G</v>
      </c>
      <c r="B10891" s="3" t="str">
        <f>HYPERLINK("https://www.773grp.com/manufacturer/onsemi?pageNo=106", "Onsemi")</f>
        <v>Onsemi</v>
      </c>
      <c r="C10891" s="6">
        <v>263221</v>
      </c>
      <c r="D10891" s="7">
        <v>1.31</v>
      </c>
      <c r="E10891" t="s">
        <v>46</v>
      </c>
    </row>
    <row r="10892" spans="1:5" x14ac:dyDescent="0.25">
      <c r="A10892" t="str">
        <f>HYPERLINK("https://www.773grp.com/globalSearch/MC74HC4053ADTG/page-1", "MC74HC4053ADTG")</f>
        <v>MC74HC4053ADTG</v>
      </c>
      <c r="B10892" s="3" t="str">
        <f>HYPERLINK("https://www.773grp.com/manufacturer/onsemi?pageNo=107", "Onsemi")</f>
        <v>Onsemi</v>
      </c>
      <c r="C10892" s="6">
        <v>13127</v>
      </c>
      <c r="D10892" s="7">
        <v>1.31</v>
      </c>
      <c r="E10892" t="s">
        <v>46</v>
      </c>
    </row>
    <row r="10893" spans="1:5" x14ac:dyDescent="0.25">
      <c r="A10893" t="str">
        <f>HYPERLINK("https://www.773grp.com/globalSearch/MC74HC4053ADTR2G/page-1", "MC74HC4053ADTR2G")</f>
        <v>MC74HC4053ADTR2G</v>
      </c>
      <c r="B10893" s="3" t="str">
        <f>HYPERLINK("https://www.773grp.com/manufacturer/onsemi?pageNo=108", "Onsemi")</f>
        <v>Onsemi</v>
      </c>
      <c r="C10893" s="6">
        <v>80004</v>
      </c>
      <c r="D10893" s="7">
        <v>1.31</v>
      </c>
      <c r="E10893" t="s">
        <v>46</v>
      </c>
    </row>
    <row r="10894" spans="1:5" x14ac:dyDescent="0.25">
      <c r="A10894" t="str">
        <f>HYPERLINK("https://www.773grp.com/globalSearch/MC74HC563ADW/page-1", "MC74HC563ADW")</f>
        <v>MC74HC563ADW</v>
      </c>
      <c r="B10894" s="3" t="str">
        <f>HYPERLINK("https://www.773grp.com/manufacturer/onsemi?pageNo=109", "Onsemi")</f>
        <v>Onsemi</v>
      </c>
      <c r="C10894" s="6">
        <v>401</v>
      </c>
      <c r="D10894" s="7">
        <v>1.31</v>
      </c>
      <c r="E10894" t="s">
        <v>11</v>
      </c>
    </row>
    <row r="10895" spans="1:5" x14ac:dyDescent="0.25">
      <c r="A10895" t="str">
        <f>HYPERLINK("https://www.773grp.com/globalSearch/MC74HC563ADWR2/page-1", "MC74HC563ADWR2")</f>
        <v>MC74HC563ADWR2</v>
      </c>
      <c r="B10895" s="3" t="str">
        <f>HYPERLINK("https://www.773grp.com/manufacturer/onsemi?pageNo=110", "Onsemi")</f>
        <v>Onsemi</v>
      </c>
      <c r="C10895" s="6">
        <v>1000</v>
      </c>
      <c r="D10895" s="7">
        <v>1.31</v>
      </c>
      <c r="E10895" t="s">
        <v>11</v>
      </c>
    </row>
    <row r="10896" spans="1:5" x14ac:dyDescent="0.25">
      <c r="A10896" t="str">
        <f>HYPERLINK("https://www.773grp.com/globalSearch/MC74HC563AH/page-1", "MC74HC563AH")</f>
        <v>MC74HC563AH</v>
      </c>
      <c r="B10896" s="3" t="str">
        <f>HYPERLINK("https://www.773grp.com/manufacturer/onsemi?pageNo=111", "Onsemi")</f>
        <v>Onsemi</v>
      </c>
      <c r="C10896" s="6">
        <v>998</v>
      </c>
      <c r="D10896" s="7">
        <v>1.31</v>
      </c>
    </row>
    <row r="10897" spans="1:5" x14ac:dyDescent="0.25">
      <c r="A10897" t="str">
        <f>HYPERLINK("https://www.773grp.com/globalSearch/MC74HCT4051ADR2G/page-1", "MC74HCT4051ADR2G")</f>
        <v>MC74HCT4051ADR2G</v>
      </c>
      <c r="B10897" s="3" t="str">
        <f>HYPERLINK("https://www.773grp.com/manufacturer/onsemi?pageNo=112", "Onsemi")</f>
        <v>Onsemi</v>
      </c>
      <c r="C10897" s="6">
        <v>4800</v>
      </c>
      <c r="D10897" s="7">
        <v>1.31</v>
      </c>
    </row>
    <row r="10898" spans="1:5" x14ac:dyDescent="0.25">
      <c r="A10898" t="str">
        <f>HYPERLINK("https://www.773grp.com/globalSearch/MC74HCT4051ADTG/page-1", "MC74HCT4051ADTG")</f>
        <v>MC74HCT4051ADTG</v>
      </c>
      <c r="B10898" s="3" t="str">
        <f>HYPERLINK("https://www.773grp.com/manufacturer/onsemi?pageNo=113", "Onsemi")</f>
        <v>Onsemi</v>
      </c>
      <c r="C10898" s="6">
        <v>7936</v>
      </c>
      <c r="D10898" s="7">
        <v>1.31</v>
      </c>
    </row>
    <row r="10899" spans="1:5" x14ac:dyDescent="0.25">
      <c r="A10899" t="str">
        <f>HYPERLINK("https://www.773grp.com/globalSearch/MC74LCX541M/page-1", "MC74LCX541M")</f>
        <v>MC74LCX541M</v>
      </c>
      <c r="B10899" s="3" t="str">
        <f>HYPERLINK("https://www.773grp.com/manufacturer/onsemi?pageNo=114", "Onsemi")</f>
        <v>Onsemi</v>
      </c>
      <c r="C10899" s="6">
        <v>70</v>
      </c>
      <c r="D10899" s="7">
        <v>1.31</v>
      </c>
      <c r="E10899" t="s">
        <v>11</v>
      </c>
    </row>
    <row r="10900" spans="1:5" x14ac:dyDescent="0.25">
      <c r="A10900" t="str">
        <f>HYPERLINK("https://www.773grp.com/globalSearch/MC74LVX4052MELG/page-1", "MC74LVX4052MELG")</f>
        <v>MC74LVX4052MELG</v>
      </c>
      <c r="B10900" s="3" t="str">
        <f>HYPERLINK("https://www.773grp.com/manufacturer/onsemi?pageNo=115", "Onsemi")</f>
        <v>Onsemi</v>
      </c>
      <c r="C10900" s="6">
        <v>20567</v>
      </c>
      <c r="D10900" s="7">
        <v>1.31</v>
      </c>
      <c r="E10900" t="s">
        <v>46</v>
      </c>
    </row>
    <row r="10901" spans="1:5" x14ac:dyDescent="0.25">
      <c r="A10901" t="str">
        <f>HYPERLINK("https://www.773grp.com/globalSearch/MC74LVX4052MG/page-1", "MC74LVX4052MG")</f>
        <v>MC74LVX4052MG</v>
      </c>
      <c r="B10901" s="3" t="str">
        <f>HYPERLINK("https://www.773grp.com/manufacturer/onsemi?pageNo=116", "Onsemi")</f>
        <v>Onsemi</v>
      </c>
      <c r="C10901" s="6">
        <v>11100</v>
      </c>
      <c r="D10901" s="7">
        <v>1.31</v>
      </c>
      <c r="E10901" t="s">
        <v>46</v>
      </c>
    </row>
    <row r="10902" spans="1:5" x14ac:dyDescent="0.25">
      <c r="A10902" t="str">
        <f>HYPERLINK("https://www.773grp.com/globalSearch/MC74LVX541DWG/page-1", "MC74LVX541DWG")</f>
        <v>MC74LVX541DWG</v>
      </c>
      <c r="B10902" s="3" t="str">
        <f>HYPERLINK("https://www.773grp.com/manufacturer/onsemi?pageNo=117", "Onsemi")</f>
        <v>Onsemi</v>
      </c>
      <c r="C10902" s="6">
        <v>14683</v>
      </c>
      <c r="D10902" s="7">
        <v>1.31</v>
      </c>
      <c r="E10902" t="s">
        <v>11</v>
      </c>
    </row>
    <row r="10903" spans="1:5" x14ac:dyDescent="0.25">
      <c r="A10903" t="str">
        <f>HYPERLINK("https://www.773grp.com/globalSearch/MC74LVX541MELG/page-1", "MC74LVX541MELG")</f>
        <v>MC74LVX541MELG</v>
      </c>
      <c r="B10903" s="3" t="str">
        <f>HYPERLINK("https://www.773grp.com/manufacturer/onsemi?pageNo=118", "Onsemi")</f>
        <v>Onsemi</v>
      </c>
      <c r="C10903" s="6">
        <v>10000</v>
      </c>
      <c r="D10903" s="7">
        <v>1.31</v>
      </c>
      <c r="E10903" t="s">
        <v>11</v>
      </c>
    </row>
    <row r="10904" spans="1:5" x14ac:dyDescent="0.25">
      <c r="A10904" t="str">
        <f>HYPERLINK("https://www.773grp.com/globalSearch/MC74LVXT4051MELG/page-1", "MC74LVXT4051MELG")</f>
        <v>MC74LVXT4051MELG</v>
      </c>
      <c r="B10904" s="3" t="str">
        <f>HYPERLINK("https://www.773grp.com/manufacturer/onsemi?pageNo=119", "Onsemi")</f>
        <v>Onsemi</v>
      </c>
      <c r="C10904" s="6">
        <v>22000</v>
      </c>
      <c r="D10904" s="7">
        <v>1.31</v>
      </c>
      <c r="E10904" t="s">
        <v>46</v>
      </c>
    </row>
    <row r="10905" spans="1:5" x14ac:dyDescent="0.25">
      <c r="A10905" t="str">
        <f>HYPERLINK("https://www.773grp.com/globalSearch/MC74LVXT4051MG/page-1", "MC74LVXT4051MG")</f>
        <v>MC74LVXT4051MG</v>
      </c>
      <c r="B10905" s="3" t="str">
        <f>HYPERLINK("https://www.773grp.com/manufacturer/onsemi?pageNo=120", "Onsemi")</f>
        <v>Onsemi</v>
      </c>
      <c r="C10905" s="6">
        <v>12450</v>
      </c>
      <c r="D10905" s="7">
        <v>1.31</v>
      </c>
      <c r="E10905" t="s">
        <v>46</v>
      </c>
    </row>
    <row r="10906" spans="1:5" x14ac:dyDescent="0.25">
      <c r="A10906" t="str">
        <f>HYPERLINK("https://www.773grp.com/globalSearch/MC74VHC540DWR2G/page-1", "MC74VHC540DWR2G")</f>
        <v>MC74VHC540DWR2G</v>
      </c>
      <c r="B10906" s="3" t="str">
        <f>HYPERLINK("https://www.773grp.com/manufacturer/onsemi?pageNo=121", "Onsemi")</f>
        <v>Onsemi</v>
      </c>
      <c r="C10906" s="6">
        <v>4765</v>
      </c>
      <c r="D10906" s="7">
        <v>1.31</v>
      </c>
      <c r="E10906" t="s">
        <v>11</v>
      </c>
    </row>
    <row r="10907" spans="1:5" x14ac:dyDescent="0.25">
      <c r="A10907" t="str">
        <f>HYPERLINK("https://www.773grp.com/globalSearch/MC74VHC541DWR2G/page-1", "MC74VHC541DWR2G")</f>
        <v>MC74VHC541DWR2G</v>
      </c>
      <c r="B10907" s="3" t="str">
        <f>HYPERLINK("https://www.773grp.com/manufacturer/onsemi?pageNo=122", "Onsemi")</f>
        <v>Onsemi</v>
      </c>
      <c r="C10907" s="6">
        <v>9558</v>
      </c>
      <c r="D10907" s="7">
        <v>1.31</v>
      </c>
      <c r="E10907" t="s">
        <v>11</v>
      </c>
    </row>
    <row r="10908" spans="1:5" x14ac:dyDescent="0.25">
      <c r="A10908" t="str">
        <f>HYPERLINK("https://www.773grp.com/globalSearch/MC74VHC541MELG/page-1", "MC74VHC541MELG")</f>
        <v>MC74VHC541MELG</v>
      </c>
      <c r="B10908" s="3" t="str">
        <f>HYPERLINK("https://www.773grp.com/manufacturer/onsemi?pageNo=123", "Onsemi")</f>
        <v>Onsemi</v>
      </c>
      <c r="C10908" s="6">
        <v>21838</v>
      </c>
      <c r="D10908" s="7">
        <v>1.31</v>
      </c>
      <c r="E10908" t="s">
        <v>11</v>
      </c>
    </row>
    <row r="10909" spans="1:5" x14ac:dyDescent="0.25">
      <c r="A10909" t="str">
        <f>HYPERLINK("https://www.773grp.com/globalSearch/MC74VHCT540AMELG/page-1", "MC74VHCT540AMELG")</f>
        <v>MC74VHCT540AMELG</v>
      </c>
      <c r="B10909" s="3" t="str">
        <f>HYPERLINK("https://www.773grp.com/manufacturer/onsemi?pageNo=124", "Onsemi")</f>
        <v>Onsemi</v>
      </c>
      <c r="C10909" s="6">
        <v>4000</v>
      </c>
      <c r="D10909" s="7">
        <v>1.31</v>
      </c>
      <c r="E10909" t="s">
        <v>11</v>
      </c>
    </row>
    <row r="10910" spans="1:5" x14ac:dyDescent="0.25">
      <c r="A10910" t="str">
        <f>HYPERLINK("https://www.773grp.com/globalSearch/MC74VHCT540AMG/page-1", "MC74VHCT540AMG")</f>
        <v>MC74VHCT540AMG</v>
      </c>
      <c r="B10910" s="3" t="str">
        <f>HYPERLINK("https://www.773grp.com/manufacturer/onsemi?pageNo=125", "Onsemi")</f>
        <v>Onsemi</v>
      </c>
      <c r="C10910" s="6">
        <v>800</v>
      </c>
      <c r="D10910" s="7">
        <v>1.31</v>
      </c>
      <c r="E10910" t="s">
        <v>11</v>
      </c>
    </row>
    <row r="10911" spans="1:5" x14ac:dyDescent="0.25">
      <c r="A10911" t="str">
        <f>HYPERLINK("https://www.773grp.com/globalSearch/MC74VHCT541ADWG/page-1", "MC74VHCT541ADWG")</f>
        <v>MC74VHCT541ADWG</v>
      </c>
      <c r="B10911" s="3" t="str">
        <f>HYPERLINK("https://www.773grp.com/manufacturer/onsemi?pageNo=126", "Onsemi")</f>
        <v>Onsemi</v>
      </c>
      <c r="C10911" s="6">
        <v>1178</v>
      </c>
      <c r="D10911" s="7">
        <v>1.31</v>
      </c>
      <c r="E10911" t="s">
        <v>11</v>
      </c>
    </row>
    <row r="10912" spans="1:5" x14ac:dyDescent="0.25">
      <c r="A10912" t="str">
        <f>HYPERLINK("https://www.773grp.com/globalSearch/MC74VHCT541ADWRG/page-1", "MC74VHCT541ADWRG")</f>
        <v>MC74VHCT541ADWRG</v>
      </c>
      <c r="B10912" s="3" t="str">
        <f>HYPERLINK("https://www.773grp.com/manufacturer/onsemi?pageNo=127", "Onsemi")</f>
        <v>Onsemi</v>
      </c>
      <c r="C10912" s="6">
        <v>14000</v>
      </c>
      <c r="D10912" s="7">
        <v>1.31</v>
      </c>
      <c r="E10912" t="s">
        <v>11</v>
      </c>
    </row>
    <row r="10913" spans="1:5" x14ac:dyDescent="0.25">
      <c r="A10913" t="str">
        <f>HYPERLINK("https://www.773grp.com/globalSearch/MC78M05ACTG/page-1", "MC78M05ACTG")</f>
        <v>MC78M05ACTG</v>
      </c>
      <c r="B10913" s="3" t="str">
        <f>HYPERLINK("https://www.773grp.com/manufacturer/onsemi?pageNo=128", "Onsemi")</f>
        <v>Onsemi</v>
      </c>
      <c r="C10913" s="6">
        <v>3350</v>
      </c>
      <c r="D10913" s="7">
        <v>1.31</v>
      </c>
    </row>
    <row r="10914" spans="1:5" x14ac:dyDescent="0.25">
      <c r="A10914" t="str">
        <f>HYPERLINK("https://www.773grp.com/globalSearch/MC78M05BT/page-1", "MC78M05BT")</f>
        <v>MC78M05BT</v>
      </c>
      <c r="B10914" s="3" t="str">
        <f>HYPERLINK("https://www.773grp.com/manufacturer/onsemi?pageNo=129", "Onsemi")</f>
        <v>Onsemi</v>
      </c>
      <c r="C10914" s="6">
        <v>3300</v>
      </c>
      <c r="D10914" s="7">
        <v>1.31</v>
      </c>
      <c r="E10914" t="s">
        <v>24</v>
      </c>
    </row>
    <row r="10915" spans="1:5" x14ac:dyDescent="0.25">
      <c r="A10915" t="str">
        <f>HYPERLINK("https://www.773grp.com/globalSearch/MC78M05BTG/page-1", "MC78M05BTG")</f>
        <v>MC78M05BTG</v>
      </c>
      <c r="B10915" s="3" t="str">
        <f>HYPERLINK("https://www.773grp.com/manufacturer/onsemi?pageNo=130", "Onsemi")</f>
        <v>Onsemi</v>
      </c>
      <c r="C10915" s="6">
        <v>2339</v>
      </c>
      <c r="D10915" s="7">
        <v>1.31</v>
      </c>
      <c r="E10915" t="s">
        <v>24</v>
      </c>
    </row>
    <row r="10916" spans="1:5" x14ac:dyDescent="0.25">
      <c r="A10916" t="str">
        <f>HYPERLINK("https://www.773grp.com/globalSearch/MC78M06BTG/page-1", "MC78M06BTG")</f>
        <v>MC78M06BTG</v>
      </c>
      <c r="B10916" s="3" t="str">
        <f>HYPERLINK("https://www.773grp.com/manufacturer/onsemi?pageNo=131", "Onsemi")</f>
        <v>Onsemi</v>
      </c>
      <c r="C10916" s="6">
        <v>1488</v>
      </c>
      <c r="D10916" s="7">
        <v>1.31</v>
      </c>
      <c r="E10916" t="s">
        <v>24</v>
      </c>
    </row>
    <row r="10917" spans="1:5" x14ac:dyDescent="0.25">
      <c r="A10917" t="str">
        <f>HYPERLINK("https://www.773grp.com/globalSearch/MC78M08BTG/page-1", "MC78M08BTG")</f>
        <v>MC78M08BTG</v>
      </c>
      <c r="B10917" s="3" t="str">
        <f>HYPERLINK("https://www.773grp.com/manufacturer/onsemi?pageNo=132", "Onsemi")</f>
        <v>Onsemi</v>
      </c>
      <c r="C10917" s="6">
        <v>6132</v>
      </c>
      <c r="D10917" s="7">
        <v>1.31</v>
      </c>
      <c r="E10917" t="s">
        <v>24</v>
      </c>
    </row>
    <row r="10918" spans="1:5" x14ac:dyDescent="0.25">
      <c r="A10918" t="str">
        <f>HYPERLINK("https://www.773grp.com/globalSearch/MC78M12ACTG/page-1", "MC78M12ACTG")</f>
        <v>MC78M12ACTG</v>
      </c>
      <c r="B10918" s="3" t="str">
        <f>HYPERLINK("https://www.773grp.com/manufacturer/onsemi?pageNo=133", "Onsemi")</f>
        <v>Onsemi</v>
      </c>
      <c r="C10918" s="6">
        <v>36900</v>
      </c>
      <c r="D10918" s="7">
        <v>1.31</v>
      </c>
      <c r="E10918" t="s">
        <v>24</v>
      </c>
    </row>
    <row r="10919" spans="1:5" x14ac:dyDescent="0.25">
      <c r="A10919" t="str">
        <f>HYPERLINK("https://www.773grp.com/globalSearch/MC78M12BT/page-1", "MC78M12BT")</f>
        <v>MC78M12BT</v>
      </c>
      <c r="B10919" s="3" t="str">
        <f>HYPERLINK("https://www.773grp.com/manufacturer/onsemi?pageNo=134", "Onsemi")</f>
        <v>Onsemi</v>
      </c>
      <c r="C10919" s="6">
        <v>1885</v>
      </c>
      <c r="D10919" s="7">
        <v>1.31</v>
      </c>
      <c r="E10919" t="s">
        <v>24</v>
      </c>
    </row>
    <row r="10920" spans="1:5" x14ac:dyDescent="0.25">
      <c r="A10920" t="str">
        <f>HYPERLINK("https://www.773grp.com/globalSearch/MC78M12BTG/page-1", "MC78M12BTG")</f>
        <v>MC78M12BTG</v>
      </c>
      <c r="B10920" s="3" t="str">
        <f>HYPERLINK("https://www.773grp.com/manufacturer/onsemi?pageNo=135", "Onsemi")</f>
        <v>Onsemi</v>
      </c>
      <c r="C10920" s="6">
        <v>7972</v>
      </c>
      <c r="D10920" s="7">
        <v>1.31</v>
      </c>
      <c r="E10920" t="s">
        <v>24</v>
      </c>
    </row>
    <row r="10921" spans="1:5" x14ac:dyDescent="0.25">
      <c r="A10921" t="str">
        <f>HYPERLINK("https://www.773grp.com/globalSearch/MC78M15ACTG/page-1", "MC78M15ACTG")</f>
        <v>MC78M15ACTG</v>
      </c>
      <c r="B10921" s="3" t="str">
        <f>HYPERLINK("https://www.773grp.com/manufacturer/onsemi?pageNo=136", "Onsemi")</f>
        <v>Onsemi</v>
      </c>
      <c r="C10921" s="6">
        <v>4791</v>
      </c>
      <c r="D10921" s="7">
        <v>1.31</v>
      </c>
      <c r="E10921" t="s">
        <v>24</v>
      </c>
    </row>
    <row r="10922" spans="1:5" x14ac:dyDescent="0.25">
      <c r="A10922" t="str">
        <f>HYPERLINK("https://www.773grp.com/globalSearch/MC78M15BT/page-1", "MC78M15BT")</f>
        <v>MC78M15BT</v>
      </c>
      <c r="B10922" s="3" t="str">
        <f>HYPERLINK("https://www.773grp.com/manufacturer/onsemi?pageNo=137", "Onsemi")</f>
        <v>Onsemi</v>
      </c>
      <c r="C10922" s="6">
        <v>1000</v>
      </c>
      <c r="D10922" s="7">
        <v>1.31</v>
      </c>
      <c r="E10922" t="s">
        <v>24</v>
      </c>
    </row>
    <row r="10923" spans="1:5" x14ac:dyDescent="0.25">
      <c r="A10923" t="str">
        <f>HYPERLINK("https://www.773grp.com/globalSearch/MC78M15BTG/page-1", "MC78M15BTG")</f>
        <v>MC78M15BTG</v>
      </c>
      <c r="B10923" s="3" t="str">
        <f>HYPERLINK("https://www.773grp.com/manufacturer/onsemi?pageNo=138", "Onsemi")</f>
        <v>Onsemi</v>
      </c>
      <c r="C10923" s="6">
        <v>498</v>
      </c>
      <c r="D10923" s="7">
        <v>1.31</v>
      </c>
      <c r="E10923" t="s">
        <v>24</v>
      </c>
    </row>
    <row r="10924" spans="1:5" x14ac:dyDescent="0.25">
      <c r="A10924" t="str">
        <f>HYPERLINK("https://www.773grp.com/globalSearch/MC78M18BTG/page-1", "MC78M18BTG")</f>
        <v>MC78M18BTG</v>
      </c>
      <c r="B10924" s="3" t="str">
        <f>HYPERLINK("https://www.773grp.com/manufacturer/onsemi?pageNo=139", "Onsemi")</f>
        <v>Onsemi</v>
      </c>
      <c r="C10924" s="6">
        <v>8850</v>
      </c>
      <c r="D10924" s="7">
        <v>1.31</v>
      </c>
      <c r="E10924" t="s">
        <v>24</v>
      </c>
    </row>
    <row r="10925" spans="1:5" x14ac:dyDescent="0.25">
      <c r="A10925" t="str">
        <f>HYPERLINK("https://www.773grp.com/globalSearch/MC79M12BTG/page-1", "MC79M12BTG")</f>
        <v>MC79M12BTG</v>
      </c>
      <c r="B10925" s="3" t="str">
        <f>HYPERLINK("https://www.773grp.com/manufacturer/onsemi?pageNo=140", "Onsemi")</f>
        <v>Onsemi</v>
      </c>
      <c r="C10925" s="6">
        <v>30000</v>
      </c>
      <c r="D10925" s="7">
        <v>1.31</v>
      </c>
      <c r="E10925" t="s">
        <v>53</v>
      </c>
    </row>
    <row r="10926" spans="1:5" x14ac:dyDescent="0.25">
      <c r="A10926" t="str">
        <f>HYPERLINK("https://www.773grp.com/globalSearch/MC79M15BTG/page-1", "MC79M15BTG")</f>
        <v>MC79M15BTG</v>
      </c>
      <c r="B10926" s="3" t="str">
        <f>HYPERLINK("https://www.773grp.com/manufacturer/onsemi?pageNo=141", "Onsemi")</f>
        <v>Onsemi</v>
      </c>
      <c r="C10926" s="6">
        <v>106592</v>
      </c>
      <c r="D10926" s="7">
        <v>1.31</v>
      </c>
      <c r="E10926" t="s">
        <v>53</v>
      </c>
    </row>
    <row r="10927" spans="1:5" x14ac:dyDescent="0.25">
      <c r="A10927" t="str">
        <f>HYPERLINK("https://www.773grp.com/globalSearch/MCR12LD/page-1", "MCR12LD")</f>
        <v>MCR12LD</v>
      </c>
      <c r="B10927" s="3" t="str">
        <f>HYPERLINK("https://www.773grp.com/manufacturer/onsemi?pageNo=142", "Onsemi")</f>
        <v>Onsemi</v>
      </c>
      <c r="C10927" s="6">
        <v>77105</v>
      </c>
      <c r="D10927" s="7">
        <v>1.31</v>
      </c>
      <c r="E10927" t="s">
        <v>76</v>
      </c>
    </row>
    <row r="10928" spans="1:5" x14ac:dyDescent="0.25">
      <c r="A10928" t="str">
        <f>HYPERLINK("https://www.773grp.com/globalSearch/MCR16N/page-1", "MCR16N")</f>
        <v>MCR16N</v>
      </c>
      <c r="B10928" s="3" t="str">
        <f>HYPERLINK("https://www.773grp.com/manufacturer/onsemi?pageNo=143", "Onsemi")</f>
        <v>Onsemi</v>
      </c>
      <c r="C10928" s="6">
        <v>111</v>
      </c>
      <c r="D10928" s="7">
        <v>1.31</v>
      </c>
      <c r="E10928" t="s">
        <v>76</v>
      </c>
    </row>
    <row r="10929" spans="1:5" x14ac:dyDescent="0.25">
      <c r="A10929" t="str">
        <f>HYPERLINK("https://www.773grp.com/globalSearch/MCR218-004/page-1", "MCR218-004")</f>
        <v>MCR218-004</v>
      </c>
      <c r="B10929" s="3" t="str">
        <f>HYPERLINK("https://www.773grp.com/manufacturer/onsemi?pageNo=144", "Onsemi")</f>
        <v>Onsemi</v>
      </c>
      <c r="C10929" s="6">
        <v>6000</v>
      </c>
      <c r="D10929" s="7">
        <v>1.31</v>
      </c>
    </row>
    <row r="10930" spans="1:5" x14ac:dyDescent="0.25">
      <c r="A10930" t="str">
        <f>HYPERLINK("https://www.773grp.com/globalSearch/MCR218-006/page-1", "MCR218-006")</f>
        <v>MCR218-006</v>
      </c>
      <c r="B10930" s="3" t="str">
        <f>HYPERLINK("https://www.773grp.com/manufacturer/onsemi?pageNo=145", "Onsemi")</f>
        <v>Onsemi</v>
      </c>
      <c r="C10930" s="6">
        <v>10105</v>
      </c>
      <c r="D10930" s="7">
        <v>1.31</v>
      </c>
    </row>
    <row r="10931" spans="1:5" x14ac:dyDescent="0.25">
      <c r="A10931" t="str">
        <f>HYPERLINK("https://www.773grp.com/globalSearch/MCR68-002/page-1", "MCR68-002")</f>
        <v>MCR68-002</v>
      </c>
      <c r="B10931" s="3" t="str">
        <f>HYPERLINK("https://www.773grp.com/manufacturer/onsemi?pageNo=146", "Onsemi")</f>
        <v>Onsemi</v>
      </c>
      <c r="C10931" s="6">
        <v>500</v>
      </c>
      <c r="D10931" s="7">
        <v>1.31</v>
      </c>
    </row>
    <row r="10932" spans="1:5" x14ac:dyDescent="0.25">
      <c r="A10932" t="str">
        <f>HYPERLINK("https://www.773grp.com/globalSearch/MCR72-003/page-1", "MCR72-003")</f>
        <v>MCR72-003</v>
      </c>
      <c r="B10932" s="3" t="str">
        <f>HYPERLINK("https://www.773grp.com/manufacturer/onsemi?pageNo=147", "Onsemi")</f>
        <v>Onsemi</v>
      </c>
      <c r="C10932" s="6">
        <v>35000</v>
      </c>
      <c r="D10932" s="7">
        <v>1.31</v>
      </c>
    </row>
    <row r="10933" spans="1:5" x14ac:dyDescent="0.25">
      <c r="A10933" t="str">
        <f>HYPERLINK("https://www.773grp.com/globalSearch/MCR72-006/page-1", "MCR72-006")</f>
        <v>MCR72-006</v>
      </c>
      <c r="B10933" s="3" t="str">
        <f>HYPERLINK("https://www.773grp.com/manufacturer/onsemi?pageNo=148", "Onsemi")</f>
        <v>Onsemi</v>
      </c>
      <c r="C10933" s="6">
        <v>5998</v>
      </c>
      <c r="D10933" s="7">
        <v>1.31</v>
      </c>
    </row>
    <row r="10934" spans="1:5" x14ac:dyDescent="0.25">
      <c r="A10934" t="str">
        <f>HYPERLINK("https://www.773grp.com/globalSearch/MCR72-008/page-1", "MCR72-008")</f>
        <v>MCR72-008</v>
      </c>
      <c r="B10934" s="3" t="str">
        <f>HYPERLINK("https://www.773grp.com/manufacturer/onsemi?pageNo=149", "Onsemi")</f>
        <v>Onsemi</v>
      </c>
      <c r="C10934" s="6">
        <v>500</v>
      </c>
      <c r="D10934" s="7">
        <v>1.31</v>
      </c>
    </row>
    <row r="10935" spans="1:5" x14ac:dyDescent="0.25">
      <c r="A10935" t="str">
        <f>HYPERLINK("https://www.773grp.com/globalSearch/MMDFS3P303R2/page-1", "MMDFS3P303R2")</f>
        <v>MMDFS3P303R2</v>
      </c>
      <c r="B10935" s="3" t="str">
        <f>HYPERLINK("https://www.773grp.com/manufacturer/onsemi?pageNo=150", "Onsemi")</f>
        <v>Onsemi</v>
      </c>
      <c r="C10935" s="6">
        <v>149978</v>
      </c>
      <c r="D10935" s="7">
        <v>1.31</v>
      </c>
      <c r="E10935" t="s">
        <v>85</v>
      </c>
    </row>
    <row r="10936" spans="1:5" x14ac:dyDescent="0.25">
      <c r="A10936" t="str">
        <f>HYPERLINK("https://www.773grp.com/globalSearch/MMSF7N03HDR2/page-1", "MMSF7N03HDR2")</f>
        <v>MMSF7N03HDR2</v>
      </c>
      <c r="B10936" s="3" t="str">
        <f>HYPERLINK("https://www.773grp.com/manufacturer/onsemi?pageNo=151", "Onsemi")</f>
        <v>Onsemi</v>
      </c>
      <c r="C10936" s="6">
        <v>317437</v>
      </c>
      <c r="D10936" s="7">
        <v>1.31</v>
      </c>
      <c r="E10936" t="s">
        <v>84</v>
      </c>
    </row>
    <row r="10937" spans="1:5" x14ac:dyDescent="0.25">
      <c r="A10937" t="str">
        <f>HYPERLINK("https://www.773grp.com/globalSearch/MTP20N06V/page-1", "MTP20N06V")</f>
        <v>MTP20N06V</v>
      </c>
      <c r="B10937" s="3" t="str">
        <f>HYPERLINK("https://www.773grp.com/manufacturer/onsemi?pageNo=152", "Onsemi")</f>
        <v>Onsemi</v>
      </c>
      <c r="C10937" s="6">
        <v>2410</v>
      </c>
      <c r="D10937" s="7">
        <v>1.31</v>
      </c>
      <c r="E10937" t="s">
        <v>84</v>
      </c>
    </row>
    <row r="10938" spans="1:5" x14ac:dyDescent="0.25">
      <c r="A10938" t="str">
        <f>HYPERLINK("https://www.773grp.com/globalSearch/MURD620CTT4G/page-1", "MURD620CTT4G")</f>
        <v>MURD620CTT4G</v>
      </c>
      <c r="B10938" s="3" t="str">
        <f>HYPERLINK("https://www.773grp.com/manufacturer/onsemi?pageNo=153", "Onsemi")</f>
        <v>Onsemi</v>
      </c>
      <c r="C10938" s="6">
        <v>19715</v>
      </c>
      <c r="D10938" s="7">
        <v>1.31</v>
      </c>
      <c r="E10938" t="s">
        <v>82</v>
      </c>
    </row>
    <row r="10939" spans="1:5" x14ac:dyDescent="0.25">
      <c r="A10939" t="str">
        <f>HYPERLINK("https://www.773grp.com/globalSearch/MV2111/page-1", "MV2111")</f>
        <v>MV2111</v>
      </c>
      <c r="B10939" s="3" t="str">
        <f>HYPERLINK("https://www.773grp.com/manufacturer/onsemi?pageNo=154", "Onsemi")</f>
        <v>Onsemi</v>
      </c>
      <c r="C10939" s="6">
        <v>4000</v>
      </c>
      <c r="D10939" s="7">
        <v>1.31</v>
      </c>
      <c r="E10939" t="s">
        <v>80</v>
      </c>
    </row>
    <row r="10940" spans="1:5" x14ac:dyDescent="0.25">
      <c r="A10940" t="str">
        <f>HYPERLINK("https://www.773grp.com/globalSearch/NCL30080ASNT1G/page-1", "NCL30080ASNT1G")</f>
        <v>NCL30080ASNT1G</v>
      </c>
      <c r="B10940" s="3" t="str">
        <f>HYPERLINK("https://www.773grp.com/manufacturer/onsemi?pageNo=155", "Onsemi")</f>
        <v>Onsemi</v>
      </c>
      <c r="C10940" s="6">
        <v>9000</v>
      </c>
      <c r="D10940" s="7">
        <v>1.31</v>
      </c>
    </row>
    <row r="10941" spans="1:5" x14ac:dyDescent="0.25">
      <c r="A10941" t="str">
        <f>HYPERLINK("https://www.773grp.com/globalSearch/NCL30080BSNT1G/page-1", "NCL30080BSNT1G")</f>
        <v>NCL30080BSNT1G</v>
      </c>
      <c r="B10941" s="3" t="str">
        <f>HYPERLINK("https://www.773grp.com/manufacturer/onsemi?pageNo=156", "Onsemi")</f>
        <v>Onsemi</v>
      </c>
      <c r="C10941" s="6">
        <v>57000</v>
      </c>
      <c r="D10941" s="7">
        <v>1.31</v>
      </c>
    </row>
    <row r="10942" spans="1:5" x14ac:dyDescent="0.25">
      <c r="A10942" t="str">
        <f>HYPERLINK("https://www.773grp.com/globalSearch/NCL30160DR2G/page-1", "NCL30160DR2G")</f>
        <v>NCL30160DR2G</v>
      </c>
      <c r="B10942" s="3" t="str">
        <f>HYPERLINK("https://www.773grp.com/manufacturer/onsemi?pageNo=157", "Onsemi")</f>
        <v>Onsemi</v>
      </c>
      <c r="C10942" s="6">
        <v>7500</v>
      </c>
      <c r="D10942" s="7">
        <v>1.31</v>
      </c>
    </row>
    <row r="10943" spans="1:5" x14ac:dyDescent="0.25">
      <c r="A10943" t="str">
        <f>HYPERLINK("https://www.773grp.com/globalSearch/NCN1154MUTAG/page-1", "NCN1154MUTAG")</f>
        <v>NCN1154MUTAG</v>
      </c>
      <c r="B10943" s="3" t="str">
        <f>HYPERLINK("https://www.773grp.com/manufacturer/onsemi?pageNo=158", "Onsemi")</f>
        <v>Onsemi</v>
      </c>
      <c r="C10943" s="6">
        <v>15000</v>
      </c>
      <c r="D10943" s="7">
        <v>1.31</v>
      </c>
    </row>
    <row r="10944" spans="1:5" x14ac:dyDescent="0.25">
      <c r="A10944" t="str">
        <f>HYPERLINK("https://www.773grp.com/globalSearch/NCN1188MUTAG/page-1", "NCN1188MUTAG")</f>
        <v>NCN1188MUTAG</v>
      </c>
      <c r="B10944" s="3" t="str">
        <f>HYPERLINK("https://www.773grp.com/manufacturer/onsemi?pageNo=159", "Onsemi")</f>
        <v>Onsemi</v>
      </c>
      <c r="C10944" s="6">
        <v>30000</v>
      </c>
      <c r="D10944" s="7">
        <v>1.31</v>
      </c>
    </row>
    <row r="10945" spans="1:5" x14ac:dyDescent="0.25">
      <c r="A10945" t="str">
        <f>HYPERLINK("https://www.773grp.com/globalSearch/NCN2500MNR2/page-1", "NCN2500MNR2")</f>
        <v>NCN2500MNR2</v>
      </c>
      <c r="B10945" s="3" t="str">
        <f>HYPERLINK("https://www.773grp.com/manufacturer/onsemi?pageNo=160", "Onsemi")</f>
        <v>Onsemi</v>
      </c>
      <c r="C10945" s="6">
        <v>3000</v>
      </c>
      <c r="D10945" s="7">
        <v>1.31</v>
      </c>
      <c r="E10945" t="s">
        <v>17</v>
      </c>
    </row>
    <row r="10946" spans="1:5" x14ac:dyDescent="0.25">
      <c r="A10946" t="str">
        <f>HYPERLINK("https://www.773grp.com/globalSearch/NCN2500MNR2G/page-1", "NCN2500MNR2G")</f>
        <v>NCN2500MNR2G</v>
      </c>
      <c r="B10946" s="3" t="str">
        <f>HYPERLINK("https://www.773grp.com/manufacturer/onsemi?pageNo=161", "Onsemi")</f>
        <v>Onsemi</v>
      </c>
      <c r="C10946" s="6">
        <v>5978</v>
      </c>
      <c r="D10946" s="7">
        <v>1.31</v>
      </c>
      <c r="E10946" t="s">
        <v>17</v>
      </c>
    </row>
    <row r="10947" spans="1:5" x14ac:dyDescent="0.25">
      <c r="A10947" t="str">
        <f>HYPERLINK("https://www.773grp.com/globalSearch/NCP1236AD100R2G/page-1", "NCP1236AD100R2G")</f>
        <v>NCP1236AD100R2G</v>
      </c>
      <c r="B10947" s="3" t="str">
        <f>HYPERLINK("https://www.773grp.com/manufacturer/onsemi?pageNo=162", "Onsemi")</f>
        <v>Onsemi</v>
      </c>
      <c r="C10947" s="6">
        <v>2567</v>
      </c>
      <c r="D10947" s="7">
        <v>1.31</v>
      </c>
    </row>
    <row r="10948" spans="1:5" x14ac:dyDescent="0.25">
      <c r="A10948" t="str">
        <f>HYPERLINK("https://www.773grp.com/globalSearch/NCP1236BD65R2G/page-1", "NCP1236BD65R2G")</f>
        <v>NCP1236BD65R2G</v>
      </c>
      <c r="B10948" s="3" t="str">
        <f>HYPERLINK("https://www.773grp.com/manufacturer/onsemi?pageNo=163", "Onsemi")</f>
        <v>Onsemi</v>
      </c>
      <c r="C10948" s="6">
        <v>10000</v>
      </c>
      <c r="D10948" s="7">
        <v>1.31</v>
      </c>
      <c r="E10948" t="s">
        <v>5</v>
      </c>
    </row>
    <row r="10949" spans="1:5" x14ac:dyDescent="0.25">
      <c r="A10949" t="str">
        <f>HYPERLINK("https://www.773grp.com/globalSearch/NCP1236DD65R2G/page-1", "NCP1236DD65R2G")</f>
        <v>NCP1236DD65R2G</v>
      </c>
      <c r="B10949" s="3" t="str">
        <f>HYPERLINK("https://www.773grp.com/manufacturer/onsemi?pageNo=164", "Onsemi")</f>
        <v>Onsemi</v>
      </c>
      <c r="C10949" s="6">
        <v>2500</v>
      </c>
      <c r="D10949" s="7">
        <v>1.31</v>
      </c>
    </row>
    <row r="10950" spans="1:5" x14ac:dyDescent="0.25">
      <c r="A10950" t="str">
        <f>HYPERLINK("https://www.773grp.com/globalSearch/NCP1255AD65R2G/page-1", "NCP1255AD65R2G")</f>
        <v>NCP1255AD65R2G</v>
      </c>
      <c r="B10950" s="3" t="str">
        <f>HYPERLINK("https://www.773grp.com/manufacturer/onsemi?pageNo=165", "Onsemi")</f>
        <v>Onsemi</v>
      </c>
      <c r="C10950" s="6">
        <v>7500</v>
      </c>
      <c r="D10950" s="7">
        <v>1.31</v>
      </c>
    </row>
    <row r="10951" spans="1:5" x14ac:dyDescent="0.25">
      <c r="A10951" t="str">
        <f>HYPERLINK("https://www.773grp.com/globalSearch/NCP1271D100R2G/page-1", "NCP1271D100R2G")</f>
        <v>NCP1271D100R2G</v>
      </c>
      <c r="B10951" s="3" t="str">
        <f>HYPERLINK("https://www.773grp.com/manufacturer/onsemi?pageNo=166", "Onsemi")</f>
        <v>Onsemi</v>
      </c>
      <c r="C10951" s="6">
        <v>74612</v>
      </c>
      <c r="D10951" s="7">
        <v>1.31</v>
      </c>
      <c r="E10951" t="s">
        <v>5</v>
      </c>
    </row>
    <row r="10952" spans="1:5" x14ac:dyDescent="0.25">
      <c r="A10952" t="str">
        <f>HYPERLINK("https://www.773grp.com/globalSearch/NCP1271D65R2G/page-1", "NCP1271D65R2G")</f>
        <v>NCP1271D65R2G</v>
      </c>
      <c r="B10952" s="3" t="str">
        <f>HYPERLINK("https://www.773grp.com/manufacturer/onsemi?pageNo=167", "Onsemi")</f>
        <v>Onsemi</v>
      </c>
      <c r="C10952" s="6">
        <v>20275</v>
      </c>
      <c r="D10952" s="7">
        <v>1.31</v>
      </c>
    </row>
    <row r="10953" spans="1:5" x14ac:dyDescent="0.25">
      <c r="A10953" t="str">
        <f>HYPERLINK("https://www.773grp.com/globalSearch/NCP1529ASNT1G/page-1", "NCP1529ASNT1G")</f>
        <v>NCP1529ASNT1G</v>
      </c>
      <c r="B10953" s="3" t="str">
        <f>HYPERLINK("https://www.773grp.com/manufacturer/onsemi?pageNo=168", "Onsemi")</f>
        <v>Onsemi</v>
      </c>
      <c r="C10953" s="6">
        <v>12000</v>
      </c>
      <c r="D10953" s="7">
        <v>1.31</v>
      </c>
      <c r="E10953" t="s">
        <v>5</v>
      </c>
    </row>
    <row r="10954" spans="1:5" x14ac:dyDescent="0.25">
      <c r="A10954" t="str">
        <f>HYPERLINK("https://www.773grp.com/globalSearch/NCP2824FCT2G/page-1", "NCP2824FCT2G")</f>
        <v>NCP2824FCT2G</v>
      </c>
      <c r="B10954" s="3" t="str">
        <f>HYPERLINK("https://www.773grp.com/manufacturer/onsemi?pageNo=169", "Onsemi")</f>
        <v>Onsemi</v>
      </c>
      <c r="C10954" s="6">
        <v>144000</v>
      </c>
      <c r="D10954" s="7">
        <v>1.31</v>
      </c>
      <c r="E10954" t="s">
        <v>14</v>
      </c>
    </row>
    <row r="10955" spans="1:5" x14ac:dyDescent="0.25">
      <c r="A10955" t="str">
        <f>HYPERLINK("https://www.773grp.com/globalSearch/NCP347MTAETBG/page-1", "NCP347MTAETBG")</f>
        <v>NCP347MTAETBG</v>
      </c>
      <c r="B10955" s="3" t="str">
        <f>HYPERLINK("https://www.773grp.com/manufacturer/onsemi?pageNo=170", "Onsemi")</f>
        <v>Onsemi</v>
      </c>
      <c r="C10955" s="6">
        <v>6001</v>
      </c>
      <c r="D10955" s="7">
        <v>1.31</v>
      </c>
      <c r="E10955" t="s">
        <v>26</v>
      </c>
    </row>
    <row r="10956" spans="1:5" x14ac:dyDescent="0.25">
      <c r="A10956" t="str">
        <f>HYPERLINK("https://www.773grp.com/globalSearch/NCP347MTAFTBG/page-1", "NCP347MTAFTBG")</f>
        <v>NCP347MTAFTBG</v>
      </c>
      <c r="B10956" s="3" t="str">
        <f>HYPERLINK("https://www.773grp.com/manufacturer/onsemi?pageNo=171", "Onsemi")</f>
        <v>Onsemi</v>
      </c>
      <c r="C10956" s="6">
        <v>10901</v>
      </c>
      <c r="D10956" s="7">
        <v>1.31</v>
      </c>
    </row>
    <row r="10957" spans="1:5" x14ac:dyDescent="0.25">
      <c r="A10957" t="str">
        <f>HYPERLINK("https://www.773grp.com/globalSearch/NCP348AEMTTBG/page-1", "NCP348AEMTTBG")</f>
        <v>NCP348AEMTTBG</v>
      </c>
      <c r="B10957" s="3" t="str">
        <f>HYPERLINK("https://www.773grp.com/manufacturer/onsemi?pageNo=172", "Onsemi")</f>
        <v>Onsemi</v>
      </c>
      <c r="C10957" s="6">
        <v>123386</v>
      </c>
      <c r="D10957" s="7">
        <v>1.31</v>
      </c>
      <c r="E10957" t="s">
        <v>12</v>
      </c>
    </row>
    <row r="10958" spans="1:5" x14ac:dyDescent="0.25">
      <c r="A10958" t="str">
        <f>HYPERLINK("https://www.773grp.com/globalSearch/NCP348MTTBG/page-1", "NCP348MTTBG")</f>
        <v>NCP348MTTBG</v>
      </c>
      <c r="B10958" s="3" t="str">
        <f>HYPERLINK("https://www.773grp.com/manufacturer/onsemi?pageNo=173", "Onsemi")</f>
        <v>Onsemi</v>
      </c>
      <c r="C10958" s="6">
        <v>78750</v>
      </c>
      <c r="D10958" s="7">
        <v>1.31</v>
      </c>
      <c r="E10958" t="s">
        <v>12</v>
      </c>
    </row>
    <row r="10959" spans="1:5" x14ac:dyDescent="0.25">
      <c r="A10959" t="str">
        <f>HYPERLINK("https://www.773grp.com/globalSearch/NCP360MUTBG/page-1", "NCP360MUTBG")</f>
        <v>NCP360MUTBG</v>
      </c>
      <c r="B10959" s="3" t="str">
        <f>HYPERLINK("https://www.773grp.com/manufacturer/onsemi?pageNo=174", "Onsemi")</f>
        <v>Onsemi</v>
      </c>
      <c r="C10959" s="6">
        <v>89537</v>
      </c>
      <c r="D10959" s="7">
        <v>1.31</v>
      </c>
      <c r="E10959" t="s">
        <v>8</v>
      </c>
    </row>
    <row r="10960" spans="1:5" x14ac:dyDescent="0.25">
      <c r="A10960" t="str">
        <f>HYPERLINK("https://www.773grp.com/globalSearch/NCP361MUTBG/page-1", "NCP361MUTBG")</f>
        <v>NCP361MUTBG</v>
      </c>
      <c r="B10960" s="3" t="str">
        <f>HYPERLINK("https://www.773grp.com/manufacturer/onsemi?pageNo=175", "Onsemi")</f>
        <v>Onsemi</v>
      </c>
      <c r="C10960" s="6">
        <v>36758</v>
      </c>
      <c r="D10960" s="7">
        <v>1.31</v>
      </c>
    </row>
    <row r="10961" spans="1:5" x14ac:dyDescent="0.25">
      <c r="A10961" t="str">
        <f>HYPERLINK("https://www.773grp.com/globalSearch/NCP4515SN18T1/page-1", "NCP4515SN18T1")</f>
        <v>NCP4515SN18T1</v>
      </c>
      <c r="B10961" s="3" t="str">
        <f>HYPERLINK("https://www.773grp.com/manufacturer/onsemi?pageNo=176", "Onsemi")</f>
        <v>Onsemi</v>
      </c>
      <c r="C10961" s="6">
        <v>3000</v>
      </c>
      <c r="D10961" s="7">
        <v>1.31</v>
      </c>
    </row>
    <row r="10962" spans="1:5" x14ac:dyDescent="0.25">
      <c r="A10962" t="str">
        <f>HYPERLINK("https://www.773grp.com/globalSearch/NCP4515SN28T1/page-1", "NCP4515SN28T1")</f>
        <v>NCP4515SN28T1</v>
      </c>
      <c r="B10962" s="3" t="str">
        <f>HYPERLINK("https://www.773grp.com/manufacturer/onsemi?pageNo=177", "Onsemi")</f>
        <v>Onsemi</v>
      </c>
      <c r="C10962" s="6">
        <v>29700</v>
      </c>
      <c r="D10962" s="7">
        <v>1.31</v>
      </c>
    </row>
    <row r="10963" spans="1:5" x14ac:dyDescent="0.25">
      <c r="A10963" t="str">
        <f>HYPERLINK("https://www.773grp.com/globalSearch/NCP4515SN30T1/page-1", "NCP4515SN30T1")</f>
        <v>NCP4515SN30T1</v>
      </c>
      <c r="B10963" s="3" t="str">
        <f>HYPERLINK("https://www.773grp.com/manufacturer/onsemi?pageNo=178", "Onsemi")</f>
        <v>Onsemi</v>
      </c>
      <c r="C10963" s="6">
        <v>30000</v>
      </c>
      <c r="D10963" s="7">
        <v>1.31</v>
      </c>
    </row>
    <row r="10964" spans="1:5" x14ac:dyDescent="0.25">
      <c r="A10964" t="str">
        <f>HYPERLINK("https://www.773grp.com/globalSearch/NCP4515SN33T1/page-1", "NCP4515SN33T1")</f>
        <v>NCP4515SN33T1</v>
      </c>
      <c r="B10964" s="3" t="str">
        <f>HYPERLINK("https://www.773grp.com/manufacturer/onsemi?pageNo=179", "Onsemi")</f>
        <v>Onsemi</v>
      </c>
      <c r="C10964" s="6">
        <v>30000</v>
      </c>
      <c r="D10964" s="7">
        <v>1.31</v>
      </c>
    </row>
    <row r="10965" spans="1:5" x14ac:dyDescent="0.25">
      <c r="A10965" t="str">
        <f>HYPERLINK("https://www.773grp.com/globalSearch/NCP4555SN18T1/page-1", "NCP4555SN18T1")</f>
        <v>NCP4555SN18T1</v>
      </c>
      <c r="B10965" s="3" t="str">
        <f>HYPERLINK("https://www.773grp.com/manufacturer/onsemi?pageNo=180", "Onsemi")</f>
        <v>Onsemi</v>
      </c>
      <c r="C10965" s="6">
        <v>3000</v>
      </c>
      <c r="D10965" s="7">
        <v>1.31</v>
      </c>
    </row>
    <row r="10966" spans="1:5" x14ac:dyDescent="0.25">
      <c r="A10966" t="str">
        <f>HYPERLINK("https://www.773grp.com/globalSearch/NCP4555SN28T1/page-1", "NCP4555SN28T1")</f>
        <v>NCP4555SN28T1</v>
      </c>
      <c r="B10966" s="3" t="str">
        <f>HYPERLINK("https://www.773grp.com/manufacturer/onsemi?pageNo=181", "Onsemi")</f>
        <v>Onsemi</v>
      </c>
      <c r="C10966" s="6">
        <v>26700</v>
      </c>
      <c r="D10966" s="7">
        <v>1.31</v>
      </c>
    </row>
    <row r="10967" spans="1:5" x14ac:dyDescent="0.25">
      <c r="A10967" t="str">
        <f>HYPERLINK("https://www.773grp.com/globalSearch/NCP4555SN30T1/page-1", "NCP4555SN30T1")</f>
        <v>NCP4555SN30T1</v>
      </c>
      <c r="B10967" s="3" t="str">
        <f>HYPERLINK("https://www.773grp.com/manufacturer/onsemi?pageNo=182", "Onsemi")</f>
        <v>Onsemi</v>
      </c>
      <c r="C10967" s="6">
        <v>30000</v>
      </c>
      <c r="D10967" s="7">
        <v>1.31</v>
      </c>
    </row>
    <row r="10968" spans="1:5" x14ac:dyDescent="0.25">
      <c r="A10968" t="str">
        <f>HYPERLINK("https://www.773grp.com/globalSearch/NCP4555SN33T1/page-1", "NCP4555SN33T1")</f>
        <v>NCP4555SN33T1</v>
      </c>
      <c r="B10968" s="3" t="str">
        <f>HYPERLINK("https://www.773grp.com/manufacturer/onsemi?pageNo=183", "Onsemi")</f>
        <v>Onsemi</v>
      </c>
      <c r="C10968" s="6">
        <v>30000</v>
      </c>
      <c r="D10968" s="7">
        <v>1.31</v>
      </c>
    </row>
    <row r="10969" spans="1:5" x14ac:dyDescent="0.25">
      <c r="A10969" t="str">
        <f>HYPERLINK("https://www.773grp.com/globalSearch/NCP4561SN28T1/page-1", "NCP4561SN28T1")</f>
        <v>NCP4561SN28T1</v>
      </c>
      <c r="B10969" s="3" t="str">
        <f>HYPERLINK("https://www.773grp.com/manufacturer/onsemi?pageNo=184", "Onsemi")</f>
        <v>Onsemi</v>
      </c>
      <c r="C10969" s="6">
        <v>20950</v>
      </c>
      <c r="D10969" s="7">
        <v>1.31</v>
      </c>
      <c r="E10969" t="s">
        <v>15</v>
      </c>
    </row>
    <row r="10970" spans="1:5" x14ac:dyDescent="0.25">
      <c r="A10970" t="str">
        <f>HYPERLINK("https://www.773grp.com/globalSearch/NCP4585SN28T1/page-1", "NCP4585SN28T1")</f>
        <v>NCP4585SN28T1</v>
      </c>
      <c r="B10970" s="3" t="str">
        <f>HYPERLINK("https://www.773grp.com/manufacturer/onsemi?pageNo=185", "Onsemi")</f>
        <v>Onsemi</v>
      </c>
      <c r="C10970" s="6">
        <v>30000</v>
      </c>
      <c r="D10970" s="7">
        <v>1.31</v>
      </c>
    </row>
    <row r="10971" spans="1:5" x14ac:dyDescent="0.25">
      <c r="A10971" t="str">
        <f>HYPERLINK("https://www.773grp.com/globalSearch/NCP4585SN30T1/page-1", "NCP4585SN30T1")</f>
        <v>NCP4585SN30T1</v>
      </c>
      <c r="B10971" s="3" t="str">
        <f>HYPERLINK("https://www.773grp.com/manufacturer/onsemi?pageNo=186", "Onsemi")</f>
        <v>Onsemi</v>
      </c>
      <c r="C10971" s="6">
        <v>30000</v>
      </c>
      <c r="D10971" s="7">
        <v>1.31</v>
      </c>
    </row>
    <row r="10972" spans="1:5" x14ac:dyDescent="0.25">
      <c r="A10972" t="str">
        <f>HYPERLINK("https://www.773grp.com/globalSearch/NCP4585SN33T1/page-1", "NCP4585SN33T1")</f>
        <v>NCP4585SN33T1</v>
      </c>
      <c r="B10972" s="3" t="str">
        <f>HYPERLINK("https://www.773grp.com/manufacturer/onsemi?pageNo=187", "Onsemi")</f>
        <v>Onsemi</v>
      </c>
      <c r="C10972" s="6">
        <v>30000</v>
      </c>
      <c r="D10972" s="7">
        <v>1.31</v>
      </c>
    </row>
    <row r="10973" spans="1:5" x14ac:dyDescent="0.25">
      <c r="A10973" t="str">
        <f>HYPERLINK("https://www.773grp.com/globalSearch/NCP4586SN285T1/page-1", "NCP4586SN285T1")</f>
        <v>NCP4586SN285T1</v>
      </c>
      <c r="B10973" s="3" t="str">
        <f>HYPERLINK("https://www.773grp.com/manufacturer/onsemi?pageNo=188", "Onsemi")</f>
        <v>Onsemi</v>
      </c>
      <c r="C10973" s="6">
        <v>3000</v>
      </c>
      <c r="D10973" s="7">
        <v>1.31</v>
      </c>
    </row>
    <row r="10974" spans="1:5" x14ac:dyDescent="0.25">
      <c r="A10974" t="str">
        <f>HYPERLINK("https://www.773grp.com/globalSearch/NCP4586SN28T1/page-1", "NCP4586SN28T1")</f>
        <v>NCP4586SN28T1</v>
      </c>
      <c r="B10974" s="3" t="str">
        <f>HYPERLINK("https://www.773grp.com/manufacturer/onsemi?pageNo=189", "Onsemi")</f>
        <v>Onsemi</v>
      </c>
      <c r="C10974" s="6">
        <v>3000</v>
      </c>
      <c r="D10974" s="7">
        <v>1.31</v>
      </c>
    </row>
    <row r="10975" spans="1:5" x14ac:dyDescent="0.25">
      <c r="A10975" t="str">
        <f>HYPERLINK("https://www.773grp.com/globalSearch/NCP4586SN30T1/page-1", "NCP4586SN30T1")</f>
        <v>NCP4586SN30T1</v>
      </c>
      <c r="B10975" s="3" t="str">
        <f>HYPERLINK("https://www.773grp.com/manufacturer/onsemi?pageNo=190", "Onsemi")</f>
        <v>Onsemi</v>
      </c>
      <c r="C10975" s="6">
        <v>30000</v>
      </c>
      <c r="D10975" s="7">
        <v>1.31</v>
      </c>
    </row>
    <row r="10976" spans="1:5" x14ac:dyDescent="0.25">
      <c r="A10976" t="str">
        <f>HYPERLINK("https://www.773grp.com/globalSearch/NCP4586SN33T1/page-1", "NCP4586SN33T1")</f>
        <v>NCP4586SN33T1</v>
      </c>
      <c r="B10976" s="3" t="str">
        <f>HYPERLINK("https://www.773grp.com/manufacturer/onsemi?pageNo=191", "Onsemi")</f>
        <v>Onsemi</v>
      </c>
      <c r="C10976" s="6">
        <v>30000</v>
      </c>
      <c r="D10976" s="7">
        <v>1.31</v>
      </c>
    </row>
    <row r="10977" spans="1:4" x14ac:dyDescent="0.25">
      <c r="A10977" t="str">
        <f>HYPERLINK("https://www.773grp.com/globalSearch/NCP4587DMX12TCG/page-1", "NCP4587DMX12TCG")</f>
        <v>NCP4587DMX12TCG</v>
      </c>
      <c r="B10977" s="3" t="str">
        <f>HYPERLINK("https://www.773grp.com/manufacturer/onsemi?pageNo=192", "Onsemi")</f>
        <v>Onsemi</v>
      </c>
      <c r="C10977" s="6">
        <v>45000</v>
      </c>
      <c r="D10977" s="7">
        <v>1.31</v>
      </c>
    </row>
    <row r="10978" spans="1:4" x14ac:dyDescent="0.25">
      <c r="A10978" t="str">
        <f>HYPERLINK("https://www.773grp.com/globalSearch/NCP4587DMX18TCG/page-1", "NCP4587DMX18TCG")</f>
        <v>NCP4587DMX18TCG</v>
      </c>
      <c r="B10978" s="3" t="str">
        <f>HYPERLINK("https://www.773grp.com/manufacturer/onsemi?pageNo=193", "Onsemi")</f>
        <v>Onsemi</v>
      </c>
      <c r="C10978" s="6">
        <v>30000</v>
      </c>
      <c r="D10978" s="7">
        <v>1.31</v>
      </c>
    </row>
    <row r="10979" spans="1:4" x14ac:dyDescent="0.25">
      <c r="A10979" t="str">
        <f>HYPERLINK("https://www.773grp.com/globalSearch/NCP4587DMX28TCG/page-1", "NCP4587DMX28TCG")</f>
        <v>NCP4587DMX28TCG</v>
      </c>
      <c r="B10979" s="3" t="str">
        <f>HYPERLINK("https://www.773grp.com/manufacturer/onsemi?pageNo=194", "Onsemi")</f>
        <v>Onsemi</v>
      </c>
      <c r="C10979" s="6">
        <v>20000</v>
      </c>
      <c r="D10979" s="7">
        <v>1.31</v>
      </c>
    </row>
    <row r="10980" spans="1:4" x14ac:dyDescent="0.25">
      <c r="A10980" t="str">
        <f>HYPERLINK("https://www.773grp.com/globalSearch/NCP4587DMX30TCG/page-1", "NCP4587DMX30TCG")</f>
        <v>NCP4587DMX30TCG</v>
      </c>
      <c r="B10980" s="3" t="str">
        <f>HYPERLINK("https://www.773grp.com/manufacturer/onsemi?pageNo=195", "Onsemi")</f>
        <v>Onsemi</v>
      </c>
      <c r="C10980" s="6">
        <v>30000</v>
      </c>
      <c r="D10980" s="7">
        <v>1.31</v>
      </c>
    </row>
    <row r="10981" spans="1:4" x14ac:dyDescent="0.25">
      <c r="A10981" t="str">
        <f>HYPERLINK("https://www.773grp.com/globalSearch/NCP4587DMX33TCG/page-1", "NCP4587DMX33TCG")</f>
        <v>NCP4587DMX33TCG</v>
      </c>
      <c r="B10981" s="3" t="str">
        <f>HYPERLINK("https://www.773grp.com/manufacturer/onsemi?pageNo=196", "Onsemi")</f>
        <v>Onsemi</v>
      </c>
      <c r="C10981" s="6">
        <v>20000</v>
      </c>
      <c r="D10981" s="7">
        <v>1.31</v>
      </c>
    </row>
    <row r="10982" spans="1:4" x14ac:dyDescent="0.25">
      <c r="A10982" t="str">
        <f>HYPERLINK("https://www.773grp.com/globalSearch/NCP4588DMX10TCG/page-1", "NCP4588DMX10TCG")</f>
        <v>NCP4588DMX10TCG</v>
      </c>
      <c r="B10982" s="3" t="str">
        <f>HYPERLINK("https://www.773grp.com/manufacturer/onsemi?pageNo=197", "Onsemi")</f>
        <v>Onsemi</v>
      </c>
      <c r="C10982" s="6">
        <v>25000</v>
      </c>
      <c r="D10982" s="7">
        <v>1.31</v>
      </c>
    </row>
    <row r="10983" spans="1:4" x14ac:dyDescent="0.25">
      <c r="A10983" t="str">
        <f>HYPERLINK("https://www.773grp.com/globalSearch/NCP4588DMX15TCG/page-1", "NCP4588DMX15TCG")</f>
        <v>NCP4588DMX15TCG</v>
      </c>
      <c r="B10983" s="3" t="str">
        <f>HYPERLINK("https://www.773grp.com/manufacturer/onsemi?pageNo=198", "Onsemi")</f>
        <v>Onsemi</v>
      </c>
      <c r="C10983" s="6">
        <v>30000</v>
      </c>
      <c r="D10983" s="7">
        <v>1.31</v>
      </c>
    </row>
    <row r="10984" spans="1:4" x14ac:dyDescent="0.25">
      <c r="A10984" t="str">
        <f>HYPERLINK("https://www.773grp.com/globalSearch/NCP4588DMX25TCG/page-1", "NCP4588DMX25TCG")</f>
        <v>NCP4588DMX25TCG</v>
      </c>
      <c r="B10984" s="3" t="str">
        <f>HYPERLINK("https://www.773grp.com/manufacturer/onsemi?pageNo=199", "Onsemi")</f>
        <v>Onsemi</v>
      </c>
      <c r="C10984" s="6">
        <v>25000</v>
      </c>
      <c r="D10984" s="7">
        <v>1.31</v>
      </c>
    </row>
    <row r="10985" spans="1:4" x14ac:dyDescent="0.25">
      <c r="A10985" t="str">
        <f>HYPERLINK("https://www.773grp.com/globalSearch/NCP4588DSQ10T1G/page-1", "NCP4588DSQ10T1G")</f>
        <v>NCP4588DSQ10T1G</v>
      </c>
      <c r="B10985" s="3" t="str">
        <f>HYPERLINK("https://www.773grp.com/manufacturer/onsemi?pageNo=200", "Onsemi")</f>
        <v>Onsemi</v>
      </c>
      <c r="C10985" s="6">
        <v>9000</v>
      </c>
      <c r="D10985" s="7">
        <v>1.31</v>
      </c>
    </row>
    <row r="10986" spans="1:4" x14ac:dyDescent="0.25">
      <c r="A10986" t="str">
        <f>HYPERLINK("https://www.773grp.com/globalSearch/NCP4588DSQ15T1G/page-1", "NCP4588DSQ15T1G")</f>
        <v>NCP4588DSQ15T1G</v>
      </c>
      <c r="B10986" s="3" t="str">
        <f>HYPERLINK("https://www.773grp.com/manufacturer/onsemi?pageNo=201", "Onsemi")</f>
        <v>Onsemi</v>
      </c>
      <c r="C10986" s="6">
        <v>3000</v>
      </c>
      <c r="D10986" s="7">
        <v>1.31</v>
      </c>
    </row>
    <row r="10987" spans="1:4" x14ac:dyDescent="0.25">
      <c r="A10987" t="str">
        <f>HYPERLINK("https://www.773grp.com/globalSearch/NCP4588DSQ25T1G/page-1", "NCP4588DSQ25T1G")</f>
        <v>NCP4588DSQ25T1G</v>
      </c>
      <c r="B10987" s="3" t="str">
        <f>HYPERLINK("https://www.773grp.com/manufacturer/onsemi?pageNo=202", "Onsemi")</f>
        <v>Onsemi</v>
      </c>
      <c r="C10987" s="6">
        <v>18000</v>
      </c>
      <c r="D10987" s="7">
        <v>1.31</v>
      </c>
    </row>
    <row r="10988" spans="1:4" x14ac:dyDescent="0.25">
      <c r="A10988" t="str">
        <f>HYPERLINK("https://www.773grp.com/globalSearch/NCP4620DSN15T1G/page-1", "NCP4620DSN15T1G")</f>
        <v>NCP4620DSN15T1G</v>
      </c>
      <c r="B10988" s="3" t="str">
        <f>HYPERLINK("https://www.773grp.com/manufacturer/onsemi?pageNo=203", "Onsemi")</f>
        <v>Onsemi</v>
      </c>
      <c r="C10988" s="6">
        <v>9000</v>
      </c>
      <c r="D10988" s="7">
        <v>1.31</v>
      </c>
    </row>
    <row r="10989" spans="1:4" x14ac:dyDescent="0.25">
      <c r="A10989" t="str">
        <f>HYPERLINK("https://www.773grp.com/globalSearch/NCP4620DSN30T1G/page-1", "NCP4620DSN30T1G")</f>
        <v>NCP4620DSN30T1G</v>
      </c>
      <c r="B10989" s="3" t="str">
        <f>HYPERLINK("https://www.773grp.com/manufacturer/onsemi?pageNo=204", "Onsemi")</f>
        <v>Onsemi</v>
      </c>
      <c r="C10989" s="6">
        <v>3000</v>
      </c>
      <c r="D10989" s="7">
        <v>1.31</v>
      </c>
    </row>
    <row r="10990" spans="1:4" x14ac:dyDescent="0.25">
      <c r="A10990" t="str">
        <f>HYPERLINK("https://www.773grp.com/globalSearch/NCP4620HSN15T1G/page-1", "NCP4620HSN15T1G")</f>
        <v>NCP4620HSN15T1G</v>
      </c>
      <c r="B10990" s="3" t="str">
        <f>HYPERLINK("https://www.773grp.com/manufacturer/onsemi?pageNo=205", "Onsemi")</f>
        <v>Onsemi</v>
      </c>
      <c r="C10990" s="6">
        <v>3000</v>
      </c>
      <c r="D10990" s="7">
        <v>1.31</v>
      </c>
    </row>
    <row r="10991" spans="1:4" x14ac:dyDescent="0.25">
      <c r="A10991" t="str">
        <f>HYPERLINK("https://www.773grp.com/globalSearch/NCP4620HSN33T1G/page-1", "NCP4620HSN33T1G")</f>
        <v>NCP4620HSN33T1G</v>
      </c>
      <c r="B10991" s="3" t="str">
        <f>HYPERLINK("https://www.773grp.com/manufacturer/onsemi?pageNo=206", "Onsemi")</f>
        <v>Onsemi</v>
      </c>
      <c r="C10991" s="6">
        <v>3000</v>
      </c>
      <c r="D10991" s="7">
        <v>1.31</v>
      </c>
    </row>
    <row r="10992" spans="1:4" x14ac:dyDescent="0.25">
      <c r="A10992" t="str">
        <f>HYPERLINK("https://www.773grp.com/globalSearch/NCP4620HSN50T1G/page-1", "NCP4620HSN50T1G")</f>
        <v>NCP4620HSN50T1G</v>
      </c>
      <c r="B10992" s="3" t="str">
        <f>HYPERLINK("https://www.773grp.com/manufacturer/onsemi?pageNo=207", "Onsemi")</f>
        <v>Onsemi</v>
      </c>
      <c r="C10992" s="6">
        <v>3000</v>
      </c>
      <c r="D10992" s="7">
        <v>1.31</v>
      </c>
    </row>
    <row r="10993" spans="1:5" x14ac:dyDescent="0.25">
      <c r="A10993" t="str">
        <f>HYPERLINK("https://www.773grp.com/globalSearch/NCP51460SN33T1G/page-1", "NCP51460SN33T1G")</f>
        <v>NCP51460SN33T1G</v>
      </c>
      <c r="B10993" s="3" t="str">
        <f>HYPERLINK("https://www.773grp.com/manufacturer/onsemi?pageNo=208", "Onsemi")</f>
        <v>Onsemi</v>
      </c>
      <c r="C10993" s="6">
        <v>5000</v>
      </c>
      <c r="D10993" s="7">
        <v>1.31</v>
      </c>
    </row>
    <row r="10994" spans="1:5" x14ac:dyDescent="0.25">
      <c r="A10994" t="str">
        <f>HYPERLINK("https://www.773grp.com/globalSearch/NCP5269MNTWG/page-1", "NCP5269MNTWG")</f>
        <v>NCP5269MNTWG</v>
      </c>
      <c r="B10994" s="3" t="str">
        <f>HYPERLINK("https://www.773grp.com/manufacturer/onsemi?pageNo=209", "Onsemi")</f>
        <v>Onsemi</v>
      </c>
      <c r="C10994" s="6">
        <v>12000</v>
      </c>
      <c r="D10994" s="7">
        <v>1.31</v>
      </c>
    </row>
    <row r="10995" spans="1:5" x14ac:dyDescent="0.25">
      <c r="A10995" t="str">
        <f>HYPERLINK("https://www.773grp.com/globalSearch/NCP5351DG/page-1", "NCP5351DG")</f>
        <v>NCP5351DG</v>
      </c>
      <c r="B10995" s="3" t="str">
        <f>HYPERLINK("https://www.773grp.com/manufacturer/onsemi?pageNo=210", "Onsemi")</f>
        <v>Onsemi</v>
      </c>
      <c r="C10995" s="6">
        <v>882</v>
      </c>
      <c r="D10995" s="7">
        <v>1.31</v>
      </c>
      <c r="E10995" t="s">
        <v>12</v>
      </c>
    </row>
    <row r="10996" spans="1:5" x14ac:dyDescent="0.25">
      <c r="A10996" t="str">
        <f>HYPERLINK("https://www.773grp.com/globalSearch/NCP5351DR2G/page-1", "NCP5351DR2G")</f>
        <v>NCP5351DR2G</v>
      </c>
      <c r="B10996" s="3" t="str">
        <f>HYPERLINK("https://www.773grp.com/manufacturer/onsemi?pageNo=211", "Onsemi")</f>
        <v>Onsemi</v>
      </c>
      <c r="C10996" s="6">
        <v>10000</v>
      </c>
      <c r="D10996" s="7">
        <v>1.31</v>
      </c>
    </row>
    <row r="10997" spans="1:5" x14ac:dyDescent="0.25">
      <c r="A10997" t="str">
        <f>HYPERLINK("https://www.773grp.com/globalSearch/NCP583SQ15T1G/page-1", "NCP583SQ15T1G")</f>
        <v>NCP583SQ15T1G</v>
      </c>
      <c r="B10997" s="3" t="str">
        <f>HYPERLINK("https://www.773grp.com/manufacturer/onsemi?pageNo=212", "Onsemi")</f>
        <v>Onsemi</v>
      </c>
      <c r="C10997" s="6">
        <v>7710</v>
      </c>
      <c r="D10997" s="7">
        <v>1.31</v>
      </c>
      <c r="E10997" t="s">
        <v>15</v>
      </c>
    </row>
    <row r="10998" spans="1:5" x14ac:dyDescent="0.25">
      <c r="A10998" t="str">
        <f>HYPERLINK("https://www.773grp.com/globalSearch/NCP583SQ25T1G/page-1", "NCP583SQ25T1G")</f>
        <v>NCP583SQ25T1G</v>
      </c>
      <c r="B10998" s="3" t="str">
        <f>HYPERLINK("https://www.773grp.com/manufacturer/onsemi?pageNo=213", "Onsemi")</f>
        <v>Onsemi</v>
      </c>
      <c r="C10998" s="6">
        <v>3000</v>
      </c>
      <c r="D10998" s="7">
        <v>1.31</v>
      </c>
    </row>
    <row r="10999" spans="1:5" x14ac:dyDescent="0.25">
      <c r="A10999" t="str">
        <f>HYPERLINK("https://www.773grp.com/globalSearch/NCP583SQ33T1G/page-1", "NCP583SQ33T1G")</f>
        <v>NCP583SQ33T1G</v>
      </c>
      <c r="B10999" s="3" t="str">
        <f>HYPERLINK("https://www.773grp.com/manufacturer/onsemi?pageNo=214", "Onsemi")</f>
        <v>Onsemi</v>
      </c>
      <c r="C10999" s="6">
        <v>9000</v>
      </c>
      <c r="D10999" s="7">
        <v>1.31</v>
      </c>
    </row>
    <row r="11000" spans="1:5" x14ac:dyDescent="0.25">
      <c r="A11000" t="str">
        <f>HYPERLINK("https://www.773grp.com/globalSearch/NCP630GD2TR4/page-1", "NCP630GD2TR4")</f>
        <v>NCP630GD2TR4</v>
      </c>
      <c r="B11000" s="3" t="str">
        <f>HYPERLINK("https://www.773grp.com/manufacturer/onsemi?pageNo=215", "Onsemi")</f>
        <v>Onsemi</v>
      </c>
      <c r="C11000" s="6">
        <v>4000</v>
      </c>
      <c r="D11000" s="7">
        <v>1.31</v>
      </c>
      <c r="E11000" t="s">
        <v>15</v>
      </c>
    </row>
    <row r="11001" spans="1:5" x14ac:dyDescent="0.25">
      <c r="A11001" t="str">
        <f>HYPERLINK("https://www.773grp.com/globalSearch/NCV431BVDMR2G/page-1", "NCV431BVDMR2G")</f>
        <v>NCV431BVDMR2G</v>
      </c>
      <c r="B11001" s="3" t="str">
        <f>HYPERLINK("https://www.773grp.com/manufacturer/onsemi?pageNo=216", "Onsemi")</f>
        <v>Onsemi</v>
      </c>
      <c r="C11001" s="6">
        <v>11100</v>
      </c>
      <c r="D11001" s="7">
        <v>1.31</v>
      </c>
    </row>
    <row r="11002" spans="1:5" x14ac:dyDescent="0.25">
      <c r="A11002" t="str">
        <f>HYPERLINK("https://www.773grp.com/globalSearch/NCV553SQ15T1G/page-1", "NCV553SQ15T1G")</f>
        <v>NCV553SQ15T1G</v>
      </c>
      <c r="B11002" s="3" t="str">
        <f>HYPERLINK("https://www.773grp.com/manufacturer/onsemi?pageNo=217", "Onsemi")</f>
        <v>Onsemi</v>
      </c>
      <c r="C11002" s="6">
        <v>6000</v>
      </c>
      <c r="D11002" s="7">
        <v>1.31</v>
      </c>
    </row>
    <row r="11003" spans="1:5" x14ac:dyDescent="0.25">
      <c r="A11003" t="str">
        <f>HYPERLINK("https://www.773grp.com/globalSearch/NCV553SQ50T1G/page-1", "NCV553SQ50T1G")</f>
        <v>NCV553SQ50T1G</v>
      </c>
      <c r="B11003" s="3" t="str">
        <f>HYPERLINK("https://www.773grp.com/manufacturer/onsemi?pageNo=218", "Onsemi")</f>
        <v>Onsemi</v>
      </c>
      <c r="C11003" s="6">
        <v>5559</v>
      </c>
      <c r="D11003" s="7">
        <v>1.31</v>
      </c>
    </row>
    <row r="11004" spans="1:5" x14ac:dyDescent="0.25">
      <c r="A11004" t="str">
        <f>HYPERLINK("https://www.773grp.com/globalSearch/NCV78M05ABDTRKG/page-1", "NCV78M05ABDTRKG")</f>
        <v>NCV78M05ABDTRKG</v>
      </c>
      <c r="B11004" s="3" t="str">
        <f>HYPERLINK("https://www.773grp.com/manufacturer/onsemi?pageNo=219", "Onsemi")</f>
        <v>Onsemi</v>
      </c>
      <c r="C11004" s="6">
        <v>2500</v>
      </c>
      <c r="D11004" s="7">
        <v>1.31</v>
      </c>
    </row>
    <row r="11005" spans="1:5" x14ac:dyDescent="0.25">
      <c r="A11005" t="str">
        <f>HYPERLINK("https://www.773grp.com/globalSearch/NCV8560SN130T1G/page-1", "NCV8560SN130T1G")</f>
        <v>NCV8560SN130T1G</v>
      </c>
      <c r="B11005" s="3" t="str">
        <f>HYPERLINK("https://www.773grp.com/manufacturer/onsemi?pageNo=220", "Onsemi")</f>
        <v>Onsemi</v>
      </c>
      <c r="C11005" s="6">
        <v>11000</v>
      </c>
      <c r="D11005" s="7">
        <v>1.31</v>
      </c>
      <c r="E11005" t="s">
        <v>15</v>
      </c>
    </row>
    <row r="11006" spans="1:5" x14ac:dyDescent="0.25">
      <c r="A11006" t="str">
        <f>HYPERLINK("https://www.773grp.com/globalSearch/NCV8560SN150T1G/page-1", "NCV8560SN150T1G")</f>
        <v>NCV8560SN150T1G</v>
      </c>
      <c r="B11006" s="3" t="str">
        <f>HYPERLINK("https://www.773grp.com/manufacturer/onsemi?pageNo=221", "Onsemi")</f>
        <v>Onsemi</v>
      </c>
      <c r="C11006" s="6">
        <v>3000</v>
      </c>
      <c r="D11006" s="7">
        <v>1.31</v>
      </c>
      <c r="E11006" t="s">
        <v>15</v>
      </c>
    </row>
    <row r="11007" spans="1:5" x14ac:dyDescent="0.25">
      <c r="A11007" t="str">
        <f>HYPERLINK("https://www.773grp.com/globalSearch/NCV8560SN180T1G/page-1", "NCV8560SN180T1G")</f>
        <v>NCV8560SN180T1G</v>
      </c>
      <c r="B11007" s="3" t="str">
        <f>HYPERLINK("https://www.773grp.com/manufacturer/onsemi?pageNo=222", "Onsemi")</f>
        <v>Onsemi</v>
      </c>
      <c r="C11007" s="6">
        <v>36000</v>
      </c>
      <c r="D11007" s="7">
        <v>1.31</v>
      </c>
      <c r="E11007" t="s">
        <v>15</v>
      </c>
    </row>
    <row r="11008" spans="1:5" x14ac:dyDescent="0.25">
      <c r="A11008" t="str">
        <f>HYPERLINK("https://www.773grp.com/globalSearch/NCV8560SN280T1G/page-1", "NCV8560SN280T1G")</f>
        <v>NCV8560SN280T1G</v>
      </c>
      <c r="B11008" s="3" t="str">
        <f>HYPERLINK("https://www.773grp.com/manufacturer/onsemi?pageNo=223", "Onsemi")</f>
        <v>Onsemi</v>
      </c>
      <c r="C11008" s="6">
        <v>18000</v>
      </c>
      <c r="D11008" s="7">
        <v>1.31</v>
      </c>
    </row>
    <row r="11009" spans="1:5" x14ac:dyDescent="0.25">
      <c r="A11009" t="str">
        <f>HYPERLINK("https://www.773grp.com/globalSearch/NCV8560SN300T1G/page-1", "NCV8560SN300T1G")</f>
        <v>NCV8560SN300T1G</v>
      </c>
      <c r="B11009" s="3" t="str">
        <f>HYPERLINK("https://www.773grp.com/manufacturer/onsemi?pageNo=224", "Onsemi")</f>
        <v>Onsemi</v>
      </c>
      <c r="C11009" s="6">
        <v>5875</v>
      </c>
      <c r="D11009" s="7">
        <v>1.31</v>
      </c>
    </row>
    <row r="11010" spans="1:5" x14ac:dyDescent="0.25">
      <c r="A11010" t="str">
        <f>HYPERLINK("https://www.773grp.com/globalSearch/NCV8560SN350T1G/page-1", "NCV8560SN350T1G")</f>
        <v>NCV8560SN350T1G</v>
      </c>
      <c r="B11010" s="3" t="str">
        <f>HYPERLINK("https://www.773grp.com/manufacturer/onsemi?pageNo=225", "Onsemi")</f>
        <v>Onsemi</v>
      </c>
      <c r="C11010" s="6">
        <v>3930</v>
      </c>
      <c r="D11010" s="7">
        <v>1.31</v>
      </c>
    </row>
    <row r="11011" spans="1:5" x14ac:dyDescent="0.25">
      <c r="A11011" t="str">
        <f>HYPERLINK("https://www.773grp.com/globalSearch/NCV8560SN500T1G/page-1", "NCV8560SN500T1G")</f>
        <v>NCV8560SN500T1G</v>
      </c>
      <c r="B11011" s="3" t="str">
        <f>HYPERLINK("https://www.773grp.com/manufacturer/onsemi?pageNo=226", "Onsemi")</f>
        <v>Onsemi</v>
      </c>
      <c r="C11011" s="6">
        <v>14510</v>
      </c>
      <c r="D11011" s="7">
        <v>1.31</v>
      </c>
      <c r="E11011" t="s">
        <v>15</v>
      </c>
    </row>
    <row r="11012" spans="1:5" x14ac:dyDescent="0.25">
      <c r="A11012" t="str">
        <f>HYPERLINK("https://www.773grp.com/globalSearch/NCV8560SNADJT1G/page-1", "NCV8560SNADJT1G")</f>
        <v>NCV8560SNADJT1G</v>
      </c>
      <c r="B11012" s="3" t="str">
        <f>HYPERLINK("https://www.773grp.com/manufacturer/onsemi?pageNo=227", "Onsemi")</f>
        <v>Onsemi</v>
      </c>
      <c r="C11012" s="6">
        <v>15000</v>
      </c>
      <c r="D11012" s="7">
        <v>1.31</v>
      </c>
      <c r="E11012" t="s">
        <v>21</v>
      </c>
    </row>
    <row r="11013" spans="1:5" x14ac:dyDescent="0.25">
      <c r="A11013" t="str">
        <f>HYPERLINK("https://www.773grp.com/globalSearch/NDD04N60Z-1G/page-1", "NDD04N60Z-1G")</f>
        <v>NDD04N60Z-1G</v>
      </c>
      <c r="B11013" s="3" t="str">
        <f>HYPERLINK("https://www.773grp.com/manufacturer/onsemi?pageNo=228", "Onsemi")</f>
        <v>Onsemi</v>
      </c>
      <c r="C11013" s="6">
        <v>525</v>
      </c>
      <c r="D11013" s="7">
        <v>1.31</v>
      </c>
    </row>
    <row r="11014" spans="1:5" x14ac:dyDescent="0.25">
      <c r="A11014" t="str">
        <f>HYPERLINK("https://www.773grp.com/globalSearch/NDD04N60ZT4G/page-1", "NDD04N60ZT4G")</f>
        <v>NDD04N60ZT4G</v>
      </c>
      <c r="B11014" s="3" t="str">
        <f>HYPERLINK("https://www.773grp.com/manufacturer/onsemi?pageNo=229", "Onsemi")</f>
        <v>Onsemi</v>
      </c>
      <c r="C11014" s="6">
        <v>17500</v>
      </c>
      <c r="D11014" s="7">
        <v>1.31</v>
      </c>
      <c r="E11014" t="s">
        <v>84</v>
      </c>
    </row>
    <row r="11015" spans="1:5" x14ac:dyDescent="0.25">
      <c r="A11015" t="str">
        <f>HYPERLINK("https://www.773grp.com/globalSearch/NDD05N50Z-1G/page-1", "NDD05N50Z-1G")</f>
        <v>NDD05N50Z-1G</v>
      </c>
      <c r="B11015" s="3" t="str">
        <f>HYPERLINK("https://www.773grp.com/manufacturer/onsemi?pageNo=230", "Onsemi")</f>
        <v>Onsemi</v>
      </c>
      <c r="C11015" s="6">
        <v>644225</v>
      </c>
      <c r="D11015" s="7">
        <v>1.31</v>
      </c>
      <c r="E11015" t="s">
        <v>84</v>
      </c>
    </row>
    <row r="11016" spans="1:5" x14ac:dyDescent="0.25">
      <c r="A11016" t="str">
        <f>HYPERLINK("https://www.773grp.com/globalSearch/NDD05N50ZT4G/page-1", "NDD05N50ZT4G")</f>
        <v>NDD05N50ZT4G</v>
      </c>
      <c r="B11016" s="3" t="str">
        <f>HYPERLINK("https://www.773grp.com/manufacturer/onsemi?pageNo=231", "Onsemi")</f>
        <v>Onsemi</v>
      </c>
      <c r="C11016" s="6">
        <v>262500</v>
      </c>
      <c r="D11016" s="7">
        <v>1.31</v>
      </c>
      <c r="E11016" t="s">
        <v>84</v>
      </c>
    </row>
    <row r="11017" spans="1:5" x14ac:dyDescent="0.25">
      <c r="A11017" t="str">
        <f>HYPERLINK("https://www.773grp.com/globalSearch/NDF05N50ZG/page-1", "NDF05N50ZG")</f>
        <v>NDF05N50ZG</v>
      </c>
      <c r="B11017" s="3" t="str">
        <f>HYPERLINK("https://www.773grp.com/manufacturer/onsemi?pageNo=232", "Onsemi")</f>
        <v>Onsemi</v>
      </c>
      <c r="C11017" s="6">
        <v>26180</v>
      </c>
      <c r="D11017" s="7">
        <v>1.31</v>
      </c>
      <c r="E11017" t="s">
        <v>84</v>
      </c>
    </row>
    <row r="11018" spans="1:5" x14ac:dyDescent="0.25">
      <c r="A11018" t="str">
        <f>HYPERLINK("https://www.773grp.com/globalSearch/NL7SZ18MUR2G/page-1", "NL7SZ18MUR2G")</f>
        <v>NL7SZ18MUR2G</v>
      </c>
      <c r="B11018" s="3" t="str">
        <f>HYPERLINK("https://www.773grp.com/manufacturer/onsemi?pageNo=233", "Onsemi")</f>
        <v>Onsemi</v>
      </c>
      <c r="C11018" s="6">
        <v>59445</v>
      </c>
      <c r="D11018" s="7">
        <v>1.31</v>
      </c>
      <c r="E11018" t="s">
        <v>32</v>
      </c>
    </row>
    <row r="11019" spans="1:5" x14ac:dyDescent="0.25">
      <c r="A11019" t="str">
        <f>HYPERLINK("https://www.773grp.com/globalSearch/NL7SZ19MUR2G/page-1", "NL7SZ19MUR2G")</f>
        <v>NL7SZ19MUR2G</v>
      </c>
      <c r="B11019" s="3" t="str">
        <f>HYPERLINK("https://www.773grp.com/manufacturer/onsemi?pageNo=234", "Onsemi")</f>
        <v>Onsemi</v>
      </c>
      <c r="C11019" s="6">
        <v>26248</v>
      </c>
      <c r="D11019" s="7">
        <v>1.31</v>
      </c>
      <c r="E11019" t="s">
        <v>32</v>
      </c>
    </row>
    <row r="11020" spans="1:5" x14ac:dyDescent="0.25">
      <c r="A11020" t="str">
        <f>HYPERLINK("https://www.773grp.com/globalSearch/NLAS1053USG/page-1", "NLAS1053USG")</f>
        <v>NLAS1053USG</v>
      </c>
      <c r="B11020" s="3" t="str">
        <f>HYPERLINK("https://www.773grp.com/manufacturer/onsemi?pageNo=235", "Onsemi")</f>
        <v>Onsemi</v>
      </c>
      <c r="C11020" s="6">
        <v>1571005</v>
      </c>
      <c r="D11020" s="7">
        <v>1.31</v>
      </c>
      <c r="E11020" t="s">
        <v>46</v>
      </c>
    </row>
    <row r="11021" spans="1:5" x14ac:dyDescent="0.25">
      <c r="A11021" t="str">
        <f>HYPERLINK("https://www.773grp.com/globalSearch/NLAS3158MNR2G/page-1", "NLAS3158MNR2G")</f>
        <v>NLAS3158MNR2G</v>
      </c>
      <c r="B11021" s="3" t="str">
        <f>HYPERLINK("https://www.773grp.com/manufacturer/onsemi?pageNo=236", "Onsemi")</f>
        <v>Onsemi</v>
      </c>
      <c r="C11021" s="6">
        <v>391844</v>
      </c>
      <c r="D11021" s="7">
        <v>1.31</v>
      </c>
      <c r="E11021" t="s">
        <v>46</v>
      </c>
    </row>
    <row r="11022" spans="1:5" x14ac:dyDescent="0.25">
      <c r="A11022" t="str">
        <f>HYPERLINK("https://www.773grp.com/globalSearch/NLAS324USG/page-1", "NLAS324USG")</f>
        <v>NLAS324USG</v>
      </c>
      <c r="B11022" s="3" t="str">
        <f>HYPERLINK("https://www.773grp.com/manufacturer/onsemi?pageNo=237", "Onsemi")</f>
        <v>Onsemi</v>
      </c>
      <c r="C11022" s="6">
        <v>35635</v>
      </c>
      <c r="D11022" s="7">
        <v>1.31</v>
      </c>
      <c r="E11022" t="s">
        <v>46</v>
      </c>
    </row>
    <row r="11023" spans="1:5" x14ac:dyDescent="0.25">
      <c r="A11023" t="str">
        <f>HYPERLINK("https://www.773grp.com/globalSearch/NLAS325USG/page-1", "NLAS325USG")</f>
        <v>NLAS325USG</v>
      </c>
      <c r="B11023" s="3" t="str">
        <f>HYPERLINK("https://www.773grp.com/manufacturer/onsemi?pageNo=238", "Onsemi")</f>
        <v>Onsemi</v>
      </c>
      <c r="C11023" s="6">
        <v>9611</v>
      </c>
      <c r="D11023" s="7">
        <v>1.31</v>
      </c>
      <c r="E11023" t="s">
        <v>46</v>
      </c>
    </row>
    <row r="11024" spans="1:5" x14ac:dyDescent="0.25">
      <c r="A11024" t="str">
        <f>HYPERLINK("https://www.773grp.com/globalSearch/NLAS3899BMNTBG/page-1", "NLAS3899BMNTBG")</f>
        <v>NLAS3899BMNTBG</v>
      </c>
      <c r="B11024" s="3" t="str">
        <f>HYPERLINK("https://www.773grp.com/manufacturer/onsemi?pageNo=239", "Onsemi")</f>
        <v>Onsemi</v>
      </c>
      <c r="C11024" s="6">
        <v>5833</v>
      </c>
      <c r="D11024" s="7">
        <v>1.31</v>
      </c>
      <c r="E11024" t="s">
        <v>46</v>
      </c>
    </row>
    <row r="11025" spans="1:5" x14ac:dyDescent="0.25">
      <c r="A11025" t="str">
        <f>HYPERLINK("https://www.773grp.com/globalSearch/NLAS3899BMNTXG/page-1", "NLAS3899BMNTXG")</f>
        <v>NLAS3899BMNTXG</v>
      </c>
      <c r="B11025" s="3" t="str">
        <f>HYPERLINK("https://www.773grp.com/manufacturer/onsemi?pageNo=240", "Onsemi")</f>
        <v>Onsemi</v>
      </c>
      <c r="C11025" s="6">
        <v>297000</v>
      </c>
      <c r="D11025" s="7">
        <v>1.31</v>
      </c>
    </row>
    <row r="11026" spans="1:5" x14ac:dyDescent="0.25">
      <c r="A11026" t="str">
        <f>HYPERLINK("https://www.773grp.com/globalSearch/NLAST44599DT/page-1", "NLAST44599DT")</f>
        <v>NLAST44599DT</v>
      </c>
      <c r="B11026" s="3" t="str">
        <f>HYPERLINK("https://www.773grp.com/manufacturer/onsemi?pageNo=241", "Onsemi")</f>
        <v>Onsemi</v>
      </c>
      <c r="C11026" s="6">
        <v>96</v>
      </c>
      <c r="D11026" s="7">
        <v>1.31</v>
      </c>
      <c r="E11026" t="s">
        <v>46</v>
      </c>
    </row>
    <row r="11027" spans="1:5" x14ac:dyDescent="0.25">
      <c r="A11027" t="str">
        <f>HYPERLINK("https://www.773grp.com/globalSearch/NLAST44599DTR2/page-1", "NLAST44599DTR2")</f>
        <v>NLAST44599DTR2</v>
      </c>
      <c r="B11027" s="3" t="str">
        <f>HYPERLINK("https://www.773grp.com/manufacturer/onsemi?pageNo=242", "Onsemi")</f>
        <v>Onsemi</v>
      </c>
      <c r="C11027" s="6">
        <v>5900</v>
      </c>
      <c r="D11027" s="7">
        <v>1.31</v>
      </c>
      <c r="E11027" t="s">
        <v>46</v>
      </c>
    </row>
    <row r="11028" spans="1:5" x14ac:dyDescent="0.25">
      <c r="A11028" t="str">
        <f>HYPERLINK("https://www.773grp.com/globalSearch/NLSF302MNR2/page-1", "NLSF302MNR2")</f>
        <v>NLSF302MNR2</v>
      </c>
      <c r="B11028" s="3" t="str">
        <f>HYPERLINK("https://www.773grp.com/manufacturer/onsemi?pageNo=243", "Onsemi")</f>
        <v>Onsemi</v>
      </c>
      <c r="C11028" s="6">
        <v>107990</v>
      </c>
      <c r="D11028" s="7">
        <v>1.31</v>
      </c>
      <c r="E11028" t="s">
        <v>27</v>
      </c>
    </row>
    <row r="11029" spans="1:5" x14ac:dyDescent="0.25">
      <c r="A11029" t="str">
        <f>HYPERLINK("https://www.773grp.com/globalSearch/NLSF308MNR2/page-1", "NLSF308MNR2")</f>
        <v>NLSF308MNR2</v>
      </c>
      <c r="B11029" s="3" t="str">
        <f>HYPERLINK("https://www.773grp.com/manufacturer/onsemi?pageNo=244", "Onsemi")</f>
        <v>Onsemi</v>
      </c>
      <c r="C11029" s="6">
        <v>204000</v>
      </c>
      <c r="D11029" s="7">
        <v>1.31</v>
      </c>
      <c r="E11029" t="s">
        <v>27</v>
      </c>
    </row>
    <row r="11030" spans="1:5" x14ac:dyDescent="0.25">
      <c r="A11030" t="str">
        <f>HYPERLINK("https://www.773grp.com/globalSearch/NLSF3T125MNR2/page-1", "NLSF3T125MNR2")</f>
        <v>NLSF3T125MNR2</v>
      </c>
      <c r="B11030" s="3" t="str">
        <f>HYPERLINK("https://www.773grp.com/manufacturer/onsemi?pageNo=245", "Onsemi")</f>
        <v>Onsemi</v>
      </c>
      <c r="C11030" s="6">
        <v>111000</v>
      </c>
      <c r="D11030" s="7">
        <v>1.31</v>
      </c>
      <c r="E11030" t="s">
        <v>11</v>
      </c>
    </row>
    <row r="11031" spans="1:5" x14ac:dyDescent="0.25">
      <c r="A11031" t="str">
        <f>HYPERLINK("https://www.773grp.com/globalSearch/NLSF3T126MNR2/page-1", "NLSF3T126MNR2")</f>
        <v>NLSF3T126MNR2</v>
      </c>
      <c r="B11031" s="3" t="str">
        <f>HYPERLINK("https://www.773grp.com/manufacturer/onsemi?pageNo=246", "Onsemi")</f>
        <v>Onsemi</v>
      </c>
      <c r="C11031" s="6">
        <v>8970</v>
      </c>
      <c r="D11031" s="7">
        <v>1.31</v>
      </c>
      <c r="E11031" t="s">
        <v>11</v>
      </c>
    </row>
    <row r="11032" spans="1:5" x14ac:dyDescent="0.25">
      <c r="A11032" t="str">
        <f>HYPERLINK("https://www.773grp.com/globalSearch/NLSX4378BFCT1G/page-1", "NLSX4378BFCT1G")</f>
        <v>NLSX4378BFCT1G</v>
      </c>
      <c r="B11032" s="3" t="str">
        <f>HYPERLINK("https://www.773grp.com/manufacturer/onsemi?pageNo=247", "Onsemi")</f>
        <v>Onsemi</v>
      </c>
      <c r="C11032" s="6">
        <v>111000</v>
      </c>
      <c r="D11032" s="7">
        <v>1.31</v>
      </c>
    </row>
    <row r="11033" spans="1:5" x14ac:dyDescent="0.25">
      <c r="A11033" t="str">
        <f>HYPERLINK("https://www.773grp.com/globalSearch/NLSX4378FCT1G/page-1", "NLSX4378FCT1G")</f>
        <v>NLSX4378FCT1G</v>
      </c>
      <c r="B11033" s="3" t="str">
        <f>HYPERLINK("https://www.773grp.com/manufacturer/onsemi?pageNo=248", "Onsemi")</f>
        <v>Onsemi</v>
      </c>
      <c r="C11033" s="6">
        <v>111000</v>
      </c>
      <c r="D11033" s="7">
        <v>1.31</v>
      </c>
      <c r="E11033" t="s">
        <v>11</v>
      </c>
    </row>
    <row r="11034" spans="1:5" x14ac:dyDescent="0.25">
      <c r="A11034" t="str">
        <f>HYPERLINK("https://www.773grp.com/globalSearch/NLV14099BDWR2G/page-1", "NLV14099BDWR2G")</f>
        <v>NLV14099BDWR2G</v>
      </c>
      <c r="B11034" s="3" t="str">
        <f>HYPERLINK("https://www.773grp.com/manufacturer/onsemi?pageNo=249", "Onsemi")</f>
        <v>Onsemi</v>
      </c>
      <c r="C11034" s="6">
        <v>22000</v>
      </c>
      <c r="D11034" s="7">
        <v>1.31</v>
      </c>
    </row>
    <row r="11035" spans="1:5" x14ac:dyDescent="0.25">
      <c r="A11035" t="str">
        <f>HYPERLINK("https://www.773grp.com/globalSearch/NS5S1153MUTAG/page-1", "NS5S1153MUTAG")</f>
        <v>NS5S1153MUTAG</v>
      </c>
      <c r="B11035" s="3" t="str">
        <f>HYPERLINK("https://www.773grp.com/manufacturer/onsemi?pageNo=250", "Onsemi")</f>
        <v>Onsemi</v>
      </c>
      <c r="C11035" s="6">
        <v>140999</v>
      </c>
      <c r="D11035" s="7">
        <v>1.31</v>
      </c>
      <c r="E11035" t="s">
        <v>46</v>
      </c>
    </row>
    <row r="11036" spans="1:5" x14ac:dyDescent="0.25">
      <c r="A11036" t="str">
        <f>HYPERLINK("https://www.773grp.com/globalSearch/NTB25P06/page-1", "NTB25P06")</f>
        <v>NTB25P06</v>
      </c>
      <c r="B11036" s="3" t="str">
        <f>HYPERLINK("https://www.773grp.com/manufacturer/onsemi?pageNo=251", "Onsemi")</f>
        <v>Onsemi</v>
      </c>
      <c r="C11036" s="6">
        <v>1950</v>
      </c>
      <c r="D11036" s="7">
        <v>1.31</v>
      </c>
      <c r="E11036" t="s">
        <v>84</v>
      </c>
    </row>
    <row r="11037" spans="1:5" x14ac:dyDescent="0.25">
      <c r="A11037" t="str">
        <f>HYPERLINK("https://www.773grp.com/globalSearch/NTD12N10G/page-1", "NTD12N10G")</f>
        <v>NTD12N10G</v>
      </c>
      <c r="B11037" s="3" t="str">
        <f>HYPERLINK("https://www.773grp.com/manufacturer/onsemi?pageNo=252", "Onsemi")</f>
        <v>Onsemi</v>
      </c>
      <c r="C11037" s="6">
        <v>34</v>
      </c>
      <c r="D11037" s="7">
        <v>1.31</v>
      </c>
    </row>
    <row r="11038" spans="1:5" x14ac:dyDescent="0.25">
      <c r="A11038" t="str">
        <f>HYPERLINK("https://www.773grp.com/globalSearch/NTD95N02RT4G/page-1", "NTD95N02RT4G")</f>
        <v>NTD95N02RT4G</v>
      </c>
      <c r="B11038" s="3" t="str">
        <f>HYPERLINK("https://www.773grp.com/manufacturer/onsemi?pageNo=253", "Onsemi")</f>
        <v>Onsemi</v>
      </c>
      <c r="C11038" s="6">
        <v>2500</v>
      </c>
      <c r="D11038" s="7">
        <v>1.31</v>
      </c>
      <c r="E11038" t="s">
        <v>84</v>
      </c>
    </row>
    <row r="11039" spans="1:5" x14ac:dyDescent="0.25">
      <c r="A11039" t="str">
        <f>HYPERLINK("https://www.773grp.com/globalSearch/NTLUD3A50PZTAG/page-1", "NTLUD3A50PZTAG")</f>
        <v>NTLUD3A50PZTAG</v>
      </c>
      <c r="B11039" s="3" t="str">
        <f>HYPERLINK("https://www.773grp.com/manufacturer/onsemi?pageNo=254", "Onsemi")</f>
        <v>Onsemi</v>
      </c>
      <c r="C11039" s="6">
        <v>2000</v>
      </c>
      <c r="D11039" s="7">
        <v>1.31</v>
      </c>
    </row>
    <row r="11040" spans="1:5" x14ac:dyDescent="0.25">
      <c r="A11040" t="str">
        <f>HYPERLINK("https://www.773grp.com/globalSearch/NTMFS4744NT3G/page-1", "NTMFS4744NT3G")</f>
        <v>NTMFS4744NT3G</v>
      </c>
      <c r="B11040" s="3" t="str">
        <f>HYPERLINK("https://www.773grp.com/manufacturer/onsemi?pageNo=255", "Onsemi")</f>
        <v>Onsemi</v>
      </c>
      <c r="C11040" s="6">
        <v>5000</v>
      </c>
      <c r="D11040" s="7">
        <v>1.31</v>
      </c>
      <c r="E11040" t="s">
        <v>84</v>
      </c>
    </row>
    <row r="11041" spans="1:5" x14ac:dyDescent="0.25">
      <c r="A11041" t="str">
        <f>HYPERLINK("https://www.773grp.com/globalSearch/NTMS4916NR2G/page-1", "NTMS4916NR2G")</f>
        <v>NTMS4916NR2G</v>
      </c>
      <c r="B11041" s="3" t="str">
        <f>HYPERLINK("https://www.773grp.com/manufacturer/onsemi?pageNo=256", "Onsemi")</f>
        <v>Onsemi</v>
      </c>
      <c r="C11041" s="6">
        <v>2500</v>
      </c>
      <c r="D11041" s="7">
        <v>1.31</v>
      </c>
    </row>
    <row r="11042" spans="1:5" x14ac:dyDescent="0.25">
      <c r="A11042" t="str">
        <f>HYPERLINK("https://www.773grp.com/globalSearch/NTP125N02R/page-1", "NTP125N02R")</f>
        <v>NTP125N02R</v>
      </c>
      <c r="B11042" s="3" t="str">
        <f>HYPERLINK("https://www.773grp.com/manufacturer/onsemi?pageNo=257", "Onsemi")</f>
        <v>Onsemi</v>
      </c>
      <c r="C11042" s="6">
        <v>1330</v>
      </c>
      <c r="D11042" s="7">
        <v>1.31</v>
      </c>
      <c r="E11042" t="s">
        <v>84</v>
      </c>
    </row>
    <row r="11043" spans="1:5" x14ac:dyDescent="0.25">
      <c r="A11043" t="str">
        <f>HYPERLINK("https://www.773grp.com/globalSearch/NTQD4154ZR2G/page-1", "NTQD4154ZR2G")</f>
        <v>NTQD4154ZR2G</v>
      </c>
      <c r="B11043" s="3" t="str">
        <f>HYPERLINK("https://www.773grp.com/manufacturer/onsemi?pageNo=258", "Onsemi")</f>
        <v>Onsemi</v>
      </c>
      <c r="C11043" s="6">
        <v>4000</v>
      </c>
      <c r="D11043" s="7">
        <v>1.31</v>
      </c>
      <c r="E11043" t="s">
        <v>84</v>
      </c>
    </row>
    <row r="11044" spans="1:5" x14ac:dyDescent="0.25">
      <c r="A11044" t="str">
        <f>HYPERLINK("https://www.773grp.com/globalSearch/NTSB30120CTT4G/page-1", "NTSB30120CTT4G")</f>
        <v>NTSB30120CTT4G</v>
      </c>
      <c r="B11044" s="3" t="str">
        <f>HYPERLINK("https://www.773grp.com/manufacturer/onsemi?pageNo=259", "Onsemi")</f>
        <v>Onsemi</v>
      </c>
      <c r="C11044" s="6">
        <v>800</v>
      </c>
      <c r="D11044" s="7">
        <v>1.31</v>
      </c>
    </row>
    <row r="11045" spans="1:5" x14ac:dyDescent="0.25">
      <c r="A11045" t="str">
        <f>HYPERLINK("https://www.773grp.com/globalSearch/NTSJ20U100CTG/page-1", "NTSJ20U100CTG")</f>
        <v>NTSJ20U100CTG</v>
      </c>
      <c r="B11045" s="3" t="str">
        <f>HYPERLINK("https://www.773grp.com/manufacturer/onsemi?pageNo=260", "Onsemi")</f>
        <v>Onsemi</v>
      </c>
      <c r="C11045" s="6">
        <v>120</v>
      </c>
      <c r="D11045" s="7">
        <v>1.31</v>
      </c>
    </row>
    <row r="11046" spans="1:5" x14ac:dyDescent="0.25">
      <c r="A11046" t="str">
        <f>HYPERLINK("https://www.773grp.com/globalSearch/NTSV20U100CTG/page-1", "NTSV20U100CTG")</f>
        <v>NTSV20U100CTG</v>
      </c>
      <c r="B11046" s="3" t="str">
        <f>HYPERLINK("https://www.773grp.com/manufacturer/onsemi?pageNo=261", "Onsemi")</f>
        <v>Onsemi</v>
      </c>
      <c r="C11046" s="6">
        <v>1000</v>
      </c>
      <c r="D11046" s="7">
        <v>1.31</v>
      </c>
    </row>
    <row r="11047" spans="1:5" x14ac:dyDescent="0.25">
      <c r="A11047" t="str">
        <f>HYPERLINK("https://www.773grp.com/globalSearch/NTSV30120CTG/page-1", "NTSV30120CTG")</f>
        <v>NTSV30120CTG</v>
      </c>
      <c r="B11047" s="3" t="str">
        <f>HYPERLINK("https://www.773grp.com/manufacturer/onsemi?pageNo=262", "Onsemi")</f>
        <v>Onsemi</v>
      </c>
      <c r="C11047" s="6">
        <v>800</v>
      </c>
      <c r="D11047" s="7">
        <v>1.31</v>
      </c>
    </row>
    <row r="11048" spans="1:5" x14ac:dyDescent="0.25">
      <c r="A11048" t="str">
        <f>HYPERLINK("https://www.773grp.com/globalSearch/NTTFS4C05NTAG/page-1", "NTTFS4C05NTAG")</f>
        <v>NTTFS4C05NTAG</v>
      </c>
      <c r="B11048" s="3" t="str">
        <f>HYPERLINK("https://www.773grp.com/manufacturer/onsemi?pageNo=263", "Onsemi")</f>
        <v>Onsemi</v>
      </c>
      <c r="C11048" s="6">
        <v>15000</v>
      </c>
      <c r="D11048" s="7">
        <v>1.31</v>
      </c>
    </row>
    <row r="11049" spans="1:5" x14ac:dyDescent="0.25">
      <c r="A11049" t="str">
        <f>HYPERLINK("https://www.773grp.com/globalSearch/NTUD3128NT5G/page-1", "NTUD3128NT5G")</f>
        <v>NTUD3128NT5G</v>
      </c>
      <c r="B11049" s="3" t="str">
        <f>HYPERLINK("https://www.773grp.com/manufacturer/onsemi?pageNo=264", "Onsemi")</f>
        <v>Onsemi</v>
      </c>
      <c r="C11049" s="6">
        <v>3898</v>
      </c>
      <c r="D11049" s="7">
        <v>1.31</v>
      </c>
      <c r="E11049" t="s">
        <v>85</v>
      </c>
    </row>
    <row r="11050" spans="1:5" x14ac:dyDescent="0.25">
      <c r="A11050" t="str">
        <f>HYPERLINK("https://www.773grp.com/globalSearch/NUP4201MR6T1/page-1", "NUP4201MR6T1")</f>
        <v>NUP4201MR6T1</v>
      </c>
      <c r="B11050" s="3" t="str">
        <f>HYPERLINK("https://www.773grp.com/manufacturer/onsemi?pageNo=265", "Onsemi")</f>
        <v>Onsemi</v>
      </c>
      <c r="C11050" s="6">
        <v>5497</v>
      </c>
      <c r="D11050" s="7">
        <v>1.31</v>
      </c>
      <c r="E11050" t="s">
        <v>75</v>
      </c>
    </row>
    <row r="11051" spans="1:5" x14ac:dyDescent="0.25">
      <c r="A11051" t="str">
        <f>HYPERLINK("https://www.773grp.com/globalSearch/NUP4302MR6T1G/page-1", "NUP4302MR6T1G")</f>
        <v>NUP4302MR6T1G</v>
      </c>
      <c r="B11051" s="3" t="str">
        <f>HYPERLINK("https://www.773grp.com/manufacturer/onsemi?pageNo=266", "Onsemi")</f>
        <v>Onsemi</v>
      </c>
      <c r="C11051" s="6">
        <v>1</v>
      </c>
      <c r="D11051" s="7">
        <v>1.31</v>
      </c>
      <c r="E11051" t="s">
        <v>75</v>
      </c>
    </row>
    <row r="11052" spans="1:5" x14ac:dyDescent="0.25">
      <c r="A11052" t="str">
        <f>HYPERLINK("https://www.773grp.com/globalSearch/NVTFS5826NLTAG/page-1", "NVTFS5826NLTAG")</f>
        <v>NVTFS5826NLTAG</v>
      </c>
      <c r="B11052" s="3" t="str">
        <f>HYPERLINK("https://www.773grp.com/manufacturer/onsemi?pageNo=267", "Onsemi")</f>
        <v>Onsemi</v>
      </c>
      <c r="C11052" s="6">
        <v>3000</v>
      </c>
      <c r="D11052" s="7">
        <v>1.31</v>
      </c>
    </row>
    <row r="11053" spans="1:5" x14ac:dyDescent="0.25">
      <c r="A11053" t="str">
        <f>HYPERLINK("https://www.773grp.com/globalSearch/P6KE24A/page-1", "P6KE24A")</f>
        <v>P6KE24A</v>
      </c>
      <c r="B11053" s="3" t="str">
        <f>HYPERLINK("https://www.773grp.com/manufacturer/onsemi?pageNo=268", "Onsemi")</f>
        <v>Onsemi</v>
      </c>
      <c r="C11053" s="6">
        <v>12110</v>
      </c>
      <c r="D11053" s="7">
        <v>1.31</v>
      </c>
      <c r="E11053" t="s">
        <v>75</v>
      </c>
    </row>
    <row r="11054" spans="1:5" x14ac:dyDescent="0.25">
      <c r="A11054" t="str">
        <f>HYPERLINK("https://www.773grp.com/globalSearch/PACDN044Y5R/page-1", "PACDN044Y5R")</f>
        <v>PACDN044Y5R</v>
      </c>
      <c r="B11054" s="3" t="str">
        <f>HYPERLINK("https://www.773grp.com/manufacturer/onsemi?pageNo=269", "Onsemi")</f>
        <v>Onsemi</v>
      </c>
      <c r="C11054" s="6">
        <v>48000</v>
      </c>
      <c r="D11054" s="7">
        <v>1.31</v>
      </c>
    </row>
    <row r="11055" spans="1:5" x14ac:dyDescent="0.25">
      <c r="A11055" t="str">
        <f>HYPERLINK("https://www.773grp.com/globalSearch/SBRD8360RLG/page-1", "SBRD8360RLG")</f>
        <v>SBRD8360RLG</v>
      </c>
      <c r="B11055" s="3" t="str">
        <f>HYPERLINK("https://www.773grp.com/manufacturer/onsemi?pageNo=270", "Onsemi")</f>
        <v>Onsemi</v>
      </c>
      <c r="C11055" s="6">
        <v>3600</v>
      </c>
      <c r="D11055" s="7">
        <v>1.31</v>
      </c>
    </row>
    <row r="11056" spans="1:5" x14ac:dyDescent="0.25">
      <c r="A11056" t="str">
        <f>HYPERLINK("https://www.773grp.com/globalSearch/SC224NG/page-1", "SC224NG")</f>
        <v>SC224NG</v>
      </c>
      <c r="B11056" s="3" t="str">
        <f>HYPERLINK("https://www.773grp.com/manufacturer/onsemi?pageNo=271", "Onsemi")</f>
        <v>Onsemi</v>
      </c>
      <c r="C11056" s="6">
        <v>75</v>
      </c>
      <c r="D11056" s="7">
        <v>1.31</v>
      </c>
    </row>
    <row r="11057" spans="1:5" x14ac:dyDescent="0.25">
      <c r="A11057" t="str">
        <f>HYPERLINK("https://www.773grp.com/globalSearch/SC2901NG/page-1", "SC2901NG")</f>
        <v>SC2901NG</v>
      </c>
      <c r="B11057" s="3" t="str">
        <f>HYPERLINK("https://www.773grp.com/manufacturer/onsemi?pageNo=272", "Onsemi")</f>
        <v>Onsemi</v>
      </c>
      <c r="C11057" s="6">
        <v>3775</v>
      </c>
      <c r="D11057" s="7">
        <v>1.31</v>
      </c>
    </row>
    <row r="11058" spans="1:5" x14ac:dyDescent="0.25">
      <c r="A11058" t="str">
        <f>HYPERLINK("https://www.773grp.com/globalSearch/SC2902NG/page-1", "SC2902NG")</f>
        <v>SC2902NG</v>
      </c>
      <c r="B11058" s="3" t="str">
        <f>HYPERLINK("https://www.773grp.com/manufacturer/onsemi?pageNo=273", "Onsemi")</f>
        <v>Onsemi</v>
      </c>
      <c r="C11058" s="6">
        <v>2300</v>
      </c>
      <c r="D11058" s="7">
        <v>1.31</v>
      </c>
    </row>
    <row r="11059" spans="1:5" x14ac:dyDescent="0.25">
      <c r="A11059" t="str">
        <f>HYPERLINK("https://www.773grp.com/globalSearch/SC2904VNG/page-1", "SC2904VNG")</f>
        <v>SC2904VNG</v>
      </c>
      <c r="B11059" s="3" t="str">
        <f>HYPERLINK("https://www.773grp.com/manufacturer/onsemi?pageNo=274", "Onsemi")</f>
        <v>Onsemi</v>
      </c>
      <c r="C11059" s="6">
        <v>5500</v>
      </c>
      <c r="D11059" s="7">
        <v>1.31</v>
      </c>
    </row>
    <row r="11060" spans="1:5" x14ac:dyDescent="0.25">
      <c r="A11060" t="str">
        <f>HYPERLINK("https://www.773grp.com/globalSearch/SCY99078SNT1G/page-1", "SCY99078SNT1G")</f>
        <v>SCY99078SNT1G</v>
      </c>
      <c r="B11060" s="3" t="str">
        <f>HYPERLINK("https://www.773grp.com/manufacturer/onsemi?pageNo=275", "Onsemi")</f>
        <v>Onsemi</v>
      </c>
      <c r="C11060" s="6">
        <v>18000</v>
      </c>
      <c r="D11060" s="7">
        <v>1.31</v>
      </c>
    </row>
    <row r="11061" spans="1:5" x14ac:dyDescent="0.25">
      <c r="A11061" t="str">
        <f>HYPERLINK("https://www.773grp.com/globalSearch/SCY99090SNT1G/page-1", "SCY99090SNT1G")</f>
        <v>SCY99090SNT1G</v>
      </c>
      <c r="B11061" s="3" t="str">
        <f>HYPERLINK("https://www.773grp.com/manufacturer/onsemi?pageNo=276", "Onsemi")</f>
        <v>Onsemi</v>
      </c>
      <c r="C11061" s="6">
        <v>3000</v>
      </c>
      <c r="D11061" s="7">
        <v>1.31</v>
      </c>
    </row>
    <row r="11062" spans="1:5" x14ac:dyDescent="0.25">
      <c r="A11062" t="str">
        <f>HYPERLINK("https://www.773grp.com/globalSearch/SN74LS193MEL/page-1", "SN74LS193MEL")</f>
        <v>SN74LS193MEL</v>
      </c>
      <c r="B11062" s="3" t="str">
        <f>HYPERLINK("https://www.773grp.com/manufacturer/onsemi?pageNo=277", "Onsemi")</f>
        <v>Onsemi</v>
      </c>
      <c r="C11062" s="6">
        <v>2000</v>
      </c>
      <c r="D11062" s="7">
        <v>1.31</v>
      </c>
    </row>
    <row r="11063" spans="1:5" x14ac:dyDescent="0.25">
      <c r="A11063" t="str">
        <f>HYPERLINK("https://www.773grp.com/globalSearch/SN74LS293D/page-1", "SN74LS293D")</f>
        <v>SN74LS293D</v>
      </c>
      <c r="B11063" s="3" t="str">
        <f>HYPERLINK("https://www.773grp.com/manufacturer/onsemi?pageNo=278", "Onsemi")</f>
        <v>Onsemi</v>
      </c>
      <c r="C11063" s="6">
        <v>8</v>
      </c>
      <c r="D11063" s="7">
        <v>1.31</v>
      </c>
      <c r="E11063" t="s">
        <v>22</v>
      </c>
    </row>
    <row r="11064" spans="1:5" x14ac:dyDescent="0.25">
      <c r="A11064" t="str">
        <f>HYPERLINK("https://www.773grp.com/globalSearch/SN74LS670N/page-1", "SN74LS670N")</f>
        <v>SN74LS670N</v>
      </c>
      <c r="B11064" s="3" t="str">
        <f>HYPERLINK("https://www.773grp.com/manufacturer/onsemi?pageNo=279", "Onsemi")</f>
        <v>Onsemi</v>
      </c>
      <c r="C11064" s="6">
        <v>2240</v>
      </c>
      <c r="D11064" s="7">
        <v>1.31</v>
      </c>
      <c r="E11064" t="s">
        <v>63</v>
      </c>
    </row>
    <row r="11065" spans="1:5" x14ac:dyDescent="0.25">
      <c r="A11065" t="str">
        <f>HYPERLINK("https://www.773grp.com/globalSearch/SPS3609RLRA/page-1", "SPS3609RLRA")</f>
        <v>SPS3609RLRA</v>
      </c>
      <c r="B11065" s="3" t="str">
        <f>HYPERLINK("https://www.773grp.com/manufacturer/onsemi?pageNo=280", "Onsemi")</f>
        <v>Onsemi</v>
      </c>
      <c r="C11065" s="6">
        <v>18000</v>
      </c>
      <c r="D11065" s="7">
        <v>1.31</v>
      </c>
    </row>
    <row r="11066" spans="1:5" x14ac:dyDescent="0.25">
      <c r="A11066" t="str">
        <f>HYPERLINK("https://www.773grp.com/globalSearch/SR4479S/page-1", "SR4479S")</f>
        <v>SR4479S</v>
      </c>
      <c r="B11066" s="3" t="str">
        <f>HYPERLINK("https://www.773grp.com/manufacturer/onsemi?pageNo=281", "Onsemi")</f>
        <v>Onsemi</v>
      </c>
      <c r="C11066" s="6">
        <v>500</v>
      </c>
      <c r="D11066" s="7">
        <v>1.31</v>
      </c>
    </row>
    <row r="11067" spans="1:5" x14ac:dyDescent="0.25">
      <c r="A11067" t="str">
        <f>HYPERLINK("https://www.773grp.com/globalSearch/SR4622LRL/page-1", "SR4622LRL")</f>
        <v>SR4622LRL</v>
      </c>
      <c r="B11067" s="3" t="str">
        <f>HYPERLINK("https://www.773grp.com/manufacturer/onsemi?pageNo=282", "Onsemi")</f>
        <v>Onsemi</v>
      </c>
      <c r="C11067" s="6">
        <v>6400</v>
      </c>
      <c r="D11067" s="7">
        <v>1.31</v>
      </c>
    </row>
    <row r="11068" spans="1:5" x14ac:dyDescent="0.25">
      <c r="A11068" t="str">
        <f>HYPERLINK("https://www.773grp.com/globalSearch/TE02555T/page-1", "TE02555T")</f>
        <v>TE02555T</v>
      </c>
      <c r="B11068" s="3" t="str">
        <f>HYPERLINK("https://www.773grp.com/manufacturer/onsemi?pageNo=283", "Onsemi")</f>
        <v>Onsemi</v>
      </c>
      <c r="C11068" s="6">
        <v>2550</v>
      </c>
      <c r="D11068" s="7">
        <v>1.31</v>
      </c>
    </row>
    <row r="11069" spans="1:5" x14ac:dyDescent="0.25">
      <c r="A11069" t="str">
        <f>HYPERLINK("https://www.773grp.com/globalSearch/TIP116G/page-1", "TIP116G")</f>
        <v>TIP116G</v>
      </c>
      <c r="B11069" s="3" t="str">
        <f>HYPERLINK("https://www.773grp.com/manufacturer/onsemi?pageNo=284", "Onsemi")</f>
        <v>Onsemi</v>
      </c>
      <c r="C11069" s="6">
        <v>2102</v>
      </c>
      <c r="D11069" s="7">
        <v>1.31</v>
      </c>
      <c r="E11069" t="s">
        <v>47</v>
      </c>
    </row>
    <row r="11070" spans="1:5" x14ac:dyDescent="0.25">
      <c r="A11070" t="str">
        <f>HYPERLINK("https://www.773grp.com/globalSearch/TIP137/page-1", "TIP137")</f>
        <v>TIP137</v>
      </c>
      <c r="B11070" s="3" t="str">
        <f>HYPERLINK("https://www.773grp.com/manufacturer/onsemi?pageNo=285", "Onsemi")</f>
        <v>Onsemi</v>
      </c>
      <c r="C11070" s="6">
        <v>35350</v>
      </c>
      <c r="D11070" s="7">
        <v>1.31</v>
      </c>
      <c r="E11070" t="s">
        <v>47</v>
      </c>
    </row>
    <row r="11071" spans="1:5" x14ac:dyDescent="0.25">
      <c r="A11071" t="str">
        <f>HYPERLINK("https://www.773grp.com/globalSearch/TY40464P/page-1", "TY40464P")</f>
        <v>TY40464P</v>
      </c>
      <c r="B11071" s="3" t="str">
        <f>HYPERLINK("https://www.773grp.com/manufacturer/onsemi?pageNo=286", "Onsemi")</f>
        <v>Onsemi</v>
      </c>
      <c r="C11071" s="6">
        <v>1152</v>
      </c>
      <c r="D11071" s="7">
        <v>1.31</v>
      </c>
    </row>
    <row r="11072" spans="1:5" x14ac:dyDescent="0.25">
      <c r="A11072" t="str">
        <f>HYPERLINK("https://www.773grp.com/globalSearch/TY40470R2/page-1", "TY40470R2")</f>
        <v>TY40470R2</v>
      </c>
      <c r="B11072" s="3" t="str">
        <f>HYPERLINK("https://www.773grp.com/manufacturer/onsemi?pageNo=287", "Onsemi")</f>
        <v>Onsemi</v>
      </c>
      <c r="C11072" s="6">
        <v>1078</v>
      </c>
      <c r="D11072" s="7">
        <v>1.31</v>
      </c>
    </row>
    <row r="11073" spans="1:5" x14ac:dyDescent="0.25">
      <c r="A11073" t="str">
        <f>HYPERLINK("https://www.773grp.com/globalSearch/TYA1496DR2/page-1", "TYA1496DR2")</f>
        <v>TYA1496DR2</v>
      </c>
      <c r="B11073" s="3" t="str">
        <f>HYPERLINK("https://www.773grp.com/manufacturer/onsemi?pageNo=288", "Onsemi")</f>
        <v>Onsemi</v>
      </c>
      <c r="C11073" s="6">
        <v>11500</v>
      </c>
      <c r="D11073" s="7">
        <v>1.31</v>
      </c>
    </row>
    <row r="11074" spans="1:5" x14ac:dyDescent="0.25">
      <c r="A11074" t="str">
        <f>HYPERLINK("https://www.773grp.com/globalSearch/1.5KE18AG/page-1", "1.5KE18AG")</f>
        <v>1.5KE18AG</v>
      </c>
      <c r="B11074" s="3" t="str">
        <f>HYPERLINK("https://www.773grp.com/manufacturer/onsemi?pageNo=289", "Onsemi")</f>
        <v>Onsemi</v>
      </c>
      <c r="C11074" s="6">
        <v>13450</v>
      </c>
      <c r="D11074" s="7">
        <v>1.36</v>
      </c>
      <c r="E11074" t="s">
        <v>75</v>
      </c>
    </row>
    <row r="11075" spans="1:5" x14ac:dyDescent="0.25">
      <c r="A11075" t="str">
        <f>HYPERLINK("https://www.773grp.com/globalSearch/1.5KE27AG/page-1", "1.5KE27AG")</f>
        <v>1.5KE27AG</v>
      </c>
      <c r="B11075" s="3" t="str">
        <f>HYPERLINK("https://www.773grp.com/manufacturer/onsemi?pageNo=290", "Onsemi")</f>
        <v>Onsemi</v>
      </c>
      <c r="C11075" s="6">
        <v>7460</v>
      </c>
      <c r="D11075" s="7">
        <v>1.36</v>
      </c>
      <c r="E11075" t="s">
        <v>75</v>
      </c>
    </row>
    <row r="11076" spans="1:5" x14ac:dyDescent="0.25">
      <c r="A11076" t="str">
        <f>HYPERLINK("https://www.773grp.com/globalSearch/1.5KE7.5AG/page-1", "1.5KE7.5AG")</f>
        <v>1.5KE7.5AG</v>
      </c>
      <c r="B11076" s="3" t="str">
        <f>HYPERLINK("https://www.773grp.com/manufacturer/onsemi?pageNo=291", "Onsemi")</f>
        <v>Onsemi</v>
      </c>
      <c r="C11076" s="6">
        <v>2525</v>
      </c>
      <c r="D11076" s="7">
        <v>1.36</v>
      </c>
      <c r="E11076" t="s">
        <v>75</v>
      </c>
    </row>
    <row r="11077" spans="1:5" x14ac:dyDescent="0.25">
      <c r="A11077" t="str">
        <f>HYPERLINK("https://www.773grp.com/globalSearch/1N5908G/page-1", "1N5908G")</f>
        <v>1N5908G</v>
      </c>
      <c r="B11077" s="3" t="str">
        <f>HYPERLINK("https://www.773grp.com/manufacturer/onsemi?pageNo=292", "Onsemi")</f>
        <v>Onsemi</v>
      </c>
      <c r="C11077" s="6">
        <v>11501</v>
      </c>
      <c r="D11077" s="7">
        <v>1.36</v>
      </c>
      <c r="E11077" t="s">
        <v>75</v>
      </c>
    </row>
    <row r="11078" spans="1:5" x14ac:dyDescent="0.25">
      <c r="A11078" t="str">
        <f>HYPERLINK("https://www.773grp.com/globalSearch/1N5908RL4G/page-1", "1N5908RL4G")</f>
        <v>1N5908RL4G</v>
      </c>
      <c r="B11078" s="3" t="str">
        <f>HYPERLINK("https://www.773grp.com/manufacturer/onsemi?pageNo=293", "Onsemi")</f>
        <v>Onsemi</v>
      </c>
      <c r="C11078" s="6">
        <v>4461</v>
      </c>
      <c r="D11078" s="7">
        <v>1.36</v>
      </c>
      <c r="E11078" t="s">
        <v>75</v>
      </c>
    </row>
    <row r="11079" spans="1:5" x14ac:dyDescent="0.25">
      <c r="A11079" t="str">
        <f>HYPERLINK("https://www.773grp.com/globalSearch/1N6267AG/page-1", "1N6267AG")</f>
        <v>1N6267AG</v>
      </c>
      <c r="B11079" s="3" t="str">
        <f>HYPERLINK("https://www.773grp.com/manufacturer/onsemi?pageNo=294", "Onsemi")</f>
        <v>Onsemi</v>
      </c>
      <c r="C11079" s="6">
        <v>2694</v>
      </c>
      <c r="D11079" s="7">
        <v>1.36</v>
      </c>
      <c r="E11079" t="s">
        <v>75</v>
      </c>
    </row>
    <row r="11080" spans="1:5" x14ac:dyDescent="0.25">
      <c r="A11080" t="str">
        <f>HYPERLINK("https://www.773grp.com/globalSearch/1N6285AG/page-1", "1N6285AG")</f>
        <v>1N6285AG</v>
      </c>
      <c r="B11080" s="3" t="str">
        <f>HYPERLINK("https://www.773grp.com/manufacturer/onsemi?pageNo=295", "Onsemi")</f>
        <v>Onsemi</v>
      </c>
      <c r="C11080" s="6">
        <v>12100</v>
      </c>
      <c r="D11080" s="7">
        <v>1.36</v>
      </c>
      <c r="E11080" t="s">
        <v>75</v>
      </c>
    </row>
    <row r="11081" spans="1:5" x14ac:dyDescent="0.25">
      <c r="A11081" t="str">
        <f>HYPERLINK("https://www.773grp.com/globalSearch/1N6285ARL4G/page-1", "1N6285ARL4G")</f>
        <v>1N6285ARL4G</v>
      </c>
      <c r="B11081" s="3" t="str">
        <f>HYPERLINK("https://www.773grp.com/manufacturer/onsemi?pageNo=296", "Onsemi")</f>
        <v>Onsemi</v>
      </c>
      <c r="C11081" s="6">
        <v>3000</v>
      </c>
      <c r="D11081" s="7">
        <v>1.36</v>
      </c>
      <c r="E11081" t="s">
        <v>75</v>
      </c>
    </row>
    <row r="11082" spans="1:5" x14ac:dyDescent="0.25">
      <c r="A11082" t="str">
        <f>HYPERLINK("https://www.773grp.com/globalSearch/1N6303AG/page-1", "1N6303AG")</f>
        <v>1N6303AG</v>
      </c>
      <c r="B11082" s="3" t="str">
        <f>HYPERLINK("https://www.773grp.com/manufacturer/onsemi?pageNo=297", "Onsemi")</f>
        <v>Onsemi</v>
      </c>
      <c r="C11082" s="6">
        <v>709</v>
      </c>
      <c r="D11082" s="7">
        <v>1.36</v>
      </c>
      <c r="E11082" t="s">
        <v>75</v>
      </c>
    </row>
    <row r="11083" spans="1:5" x14ac:dyDescent="0.25">
      <c r="A11083" t="str">
        <f>HYPERLINK("https://www.773grp.com/globalSearch/1N6373RL4G/page-1", "1N6373RL4G")</f>
        <v>1N6373RL4G</v>
      </c>
      <c r="B11083" s="3" t="str">
        <f>HYPERLINK("https://www.773grp.com/manufacturer/onsemi?pageNo=298", "Onsemi")</f>
        <v>Onsemi</v>
      </c>
      <c r="C11083" s="6">
        <v>22500</v>
      </c>
      <c r="D11083" s="7">
        <v>1.36</v>
      </c>
      <c r="E11083" t="s">
        <v>75</v>
      </c>
    </row>
    <row r="11084" spans="1:5" x14ac:dyDescent="0.25">
      <c r="A11084" t="str">
        <f>HYPERLINK("https://www.773grp.com/globalSearch/1N6377G/page-1", "1N6377G")</f>
        <v>1N6377G</v>
      </c>
      <c r="B11084" s="3" t="str">
        <f>HYPERLINK("https://www.773grp.com/manufacturer/onsemi?pageNo=299", "Onsemi")</f>
        <v>Onsemi</v>
      </c>
      <c r="C11084" s="6">
        <v>4714</v>
      </c>
      <c r="D11084" s="7">
        <v>1.36</v>
      </c>
      <c r="E11084" t="s">
        <v>75</v>
      </c>
    </row>
    <row r="11085" spans="1:5" x14ac:dyDescent="0.25">
      <c r="A11085" t="str">
        <f>HYPERLINK("https://www.773grp.com/globalSearch/1N6377RL4G/page-1", "1N6377RL4G")</f>
        <v>1N6377RL4G</v>
      </c>
      <c r="B11085" s="3" t="str">
        <f>HYPERLINK("https://www.773grp.com/manufacturer/onsemi?pageNo=300", "Onsemi")</f>
        <v>Onsemi</v>
      </c>
      <c r="C11085" s="6">
        <v>7381</v>
      </c>
      <c r="D11085" s="7">
        <v>1.36</v>
      </c>
      <c r="E11085" t="s">
        <v>75</v>
      </c>
    </row>
    <row r="11086" spans="1:5" x14ac:dyDescent="0.25">
      <c r="A11086" t="str">
        <f>HYPERLINK("https://www.773grp.com/globalSearch/1N6381G/page-1", "1N6381G")</f>
        <v>1N6381G</v>
      </c>
      <c r="B11086" s="3" t="str">
        <f>HYPERLINK("https://www.773grp.com/manufacturer/onsemi?pageNo=301", "Onsemi")</f>
        <v>Onsemi</v>
      </c>
      <c r="C11086" s="6">
        <v>2230</v>
      </c>
      <c r="D11086" s="7">
        <v>1.36</v>
      </c>
      <c r="E11086" t="s">
        <v>75</v>
      </c>
    </row>
    <row r="11087" spans="1:5" x14ac:dyDescent="0.25">
      <c r="A11087" t="str">
        <f>HYPERLINK("https://www.773grp.com/globalSearch/2N6400/page-1", "2N6400")</f>
        <v>2N6400</v>
      </c>
      <c r="B11087" s="3" t="str">
        <f>HYPERLINK("https://www.773grp.com/manufacturer/onsemi?pageNo=302", "Onsemi")</f>
        <v>Onsemi</v>
      </c>
      <c r="C11087" s="6">
        <v>204</v>
      </c>
      <c r="D11087" s="7">
        <v>1.36</v>
      </c>
      <c r="E11087" t="s">
        <v>76</v>
      </c>
    </row>
    <row r="11088" spans="1:5" x14ac:dyDescent="0.25">
      <c r="A11088" t="str">
        <f>HYPERLINK("https://www.773grp.com/globalSearch/2N6401/page-1", "2N6401")</f>
        <v>2N6401</v>
      </c>
      <c r="B11088" s="3" t="str">
        <f>HYPERLINK("https://www.773grp.com/manufacturer/onsemi?pageNo=303", "Onsemi")</f>
        <v>Onsemi</v>
      </c>
      <c r="C11088" s="6">
        <v>10233</v>
      </c>
      <c r="D11088" s="7">
        <v>1.36</v>
      </c>
      <c r="E11088" t="s">
        <v>76</v>
      </c>
    </row>
    <row r="11089" spans="1:5" x14ac:dyDescent="0.25">
      <c r="A11089" t="str">
        <f>HYPERLINK("https://www.773grp.com/globalSearch/2N6402/page-1", "2N6402")</f>
        <v>2N6402</v>
      </c>
      <c r="B11089" s="3" t="str">
        <f>HYPERLINK("https://www.773grp.com/manufacturer/onsemi?pageNo=304", "Onsemi")</f>
        <v>Onsemi</v>
      </c>
      <c r="C11089" s="6">
        <v>3424</v>
      </c>
      <c r="D11089" s="7">
        <v>1.36</v>
      </c>
      <c r="E11089" t="s">
        <v>76</v>
      </c>
    </row>
    <row r="11090" spans="1:5" x14ac:dyDescent="0.25">
      <c r="A11090" t="str">
        <f>HYPERLINK("https://www.773grp.com/globalSearch/2N6405/page-1", "2N6405")</f>
        <v>2N6405</v>
      </c>
      <c r="B11090" s="3" t="str">
        <f>HYPERLINK("https://www.773grp.com/manufacturer/onsemi?pageNo=305", "Onsemi")</f>
        <v>Onsemi</v>
      </c>
      <c r="C11090" s="6">
        <v>100</v>
      </c>
      <c r="D11090" s="7">
        <v>1.36</v>
      </c>
      <c r="E11090" t="s">
        <v>76</v>
      </c>
    </row>
    <row r="11091" spans="1:5" x14ac:dyDescent="0.25">
      <c r="A11091" t="str">
        <f>HYPERLINK("https://www.773grp.com/globalSearch/2SC5707-TL-E/page-1", "2SC5707-TL-E")</f>
        <v>2SC5707-TL-E</v>
      </c>
      <c r="B11091" s="3" t="str">
        <f>HYPERLINK("https://www.773grp.com/manufacturer/onsemi?pageNo=306", "Onsemi")</f>
        <v>Onsemi</v>
      </c>
      <c r="C11091" s="6">
        <v>1400</v>
      </c>
      <c r="D11091" s="7">
        <v>1.36</v>
      </c>
    </row>
    <row r="11092" spans="1:5" x14ac:dyDescent="0.25">
      <c r="A11092" t="str">
        <f>HYPERLINK("https://www.773grp.com/globalSearch/74HC541DTR2G/page-1", "74HC541DTR2G")</f>
        <v>74HC541DTR2G</v>
      </c>
      <c r="B11092" s="3" t="str">
        <f>HYPERLINK("https://www.773grp.com/manufacturer/onsemi?pageNo=307", "Onsemi")</f>
        <v>Onsemi</v>
      </c>
      <c r="C11092" s="6">
        <v>5000</v>
      </c>
      <c r="D11092" s="7">
        <v>1.36</v>
      </c>
    </row>
    <row r="11093" spans="1:5" x14ac:dyDescent="0.25">
      <c r="A11093" t="str">
        <f>HYPERLINK("https://www.773grp.com/globalSearch/ATP201-V-TL-H/page-1", "ATP201-V-TL-H")</f>
        <v>ATP201-V-TL-H</v>
      </c>
      <c r="B11093" s="3" t="str">
        <f>HYPERLINK("https://www.773grp.com/manufacturer/onsemi?pageNo=308", "Onsemi")</f>
        <v>Onsemi</v>
      </c>
      <c r="C11093" s="6">
        <v>60000</v>
      </c>
      <c r="D11093" s="7">
        <v>1.36</v>
      </c>
    </row>
    <row r="11094" spans="1:5" x14ac:dyDescent="0.25">
      <c r="A11094" t="str">
        <f>HYPERLINK("https://www.773grp.com/globalSearch/BUD42D-1G/page-1", "BUD42D-1G")</f>
        <v>BUD42D-1G</v>
      </c>
      <c r="B11094" s="3" t="str">
        <f>HYPERLINK("https://www.773grp.com/manufacturer/onsemi?pageNo=309", "Onsemi")</f>
        <v>Onsemi</v>
      </c>
      <c r="C11094" s="6">
        <v>1925</v>
      </c>
      <c r="D11094" s="7">
        <v>1.36</v>
      </c>
      <c r="E11094" t="s">
        <v>47</v>
      </c>
    </row>
    <row r="11095" spans="1:5" x14ac:dyDescent="0.25">
      <c r="A11095" t="str">
        <f>HYPERLINK("https://www.773grp.com/globalSearch/CAT25320YI-G/page-1", "CAT25320YI-G")</f>
        <v>CAT25320YI-G</v>
      </c>
      <c r="B11095" s="3" t="str">
        <f>HYPERLINK("https://www.773grp.com/manufacturer/onsemi?pageNo=310", "Onsemi")</f>
        <v>Onsemi</v>
      </c>
      <c r="C11095" s="6">
        <v>5595</v>
      </c>
      <c r="D11095" s="7">
        <v>1.36</v>
      </c>
    </row>
    <row r="11096" spans="1:5" x14ac:dyDescent="0.25">
      <c r="A11096" t="str">
        <f>HYPERLINK("https://www.773grp.com/globalSearch/CAT93C57LI-G/page-1", "CAT93C57LI-G")</f>
        <v>CAT93C57LI-G</v>
      </c>
      <c r="B11096" s="3" t="str">
        <f>HYPERLINK("https://www.773grp.com/manufacturer/onsemi?pageNo=311", "Onsemi")</f>
        <v>Onsemi</v>
      </c>
      <c r="C11096" s="6">
        <v>1000</v>
      </c>
      <c r="D11096" s="7">
        <v>1.36</v>
      </c>
    </row>
    <row r="11097" spans="1:5" x14ac:dyDescent="0.25">
      <c r="A11097" t="str">
        <f>HYPERLINK("https://www.773grp.com/globalSearch/CS8271YD8/page-1", "CS8271YD8")</f>
        <v>CS8271YD8</v>
      </c>
      <c r="B11097" s="3" t="str">
        <f>HYPERLINK("https://www.773grp.com/manufacturer/onsemi?pageNo=312", "Onsemi")</f>
        <v>Onsemi</v>
      </c>
      <c r="C11097" s="6">
        <v>2056</v>
      </c>
      <c r="D11097" s="7">
        <v>1.36</v>
      </c>
      <c r="E11097" t="s">
        <v>21</v>
      </c>
    </row>
    <row r="11098" spans="1:5" x14ac:dyDescent="0.25">
      <c r="A11098" t="str">
        <f>HYPERLINK("https://www.773grp.com/globalSearch/ICTE-010/page-1", "ICTE-010")</f>
        <v>ICTE-010</v>
      </c>
      <c r="B11098" s="3" t="str">
        <f>HYPERLINK("https://www.773grp.com/manufacturer/onsemi?pageNo=313", "Onsemi")</f>
        <v>Onsemi</v>
      </c>
      <c r="C11098" s="6">
        <v>2500</v>
      </c>
      <c r="D11098" s="7">
        <v>1.36</v>
      </c>
    </row>
    <row r="11099" spans="1:5" x14ac:dyDescent="0.25">
      <c r="A11099" t="str">
        <f>HYPERLINK("https://www.773grp.com/globalSearch/ICTE-10RL4/page-1", "ICTE-10RL4")</f>
        <v>ICTE-10RL4</v>
      </c>
      <c r="B11099" s="3" t="str">
        <f>HYPERLINK("https://www.773grp.com/manufacturer/onsemi?pageNo=314", "Onsemi")</f>
        <v>Onsemi</v>
      </c>
      <c r="C11099" s="6">
        <v>3000</v>
      </c>
      <c r="D11099" s="7">
        <v>1.36</v>
      </c>
      <c r="E11099" t="s">
        <v>75</v>
      </c>
    </row>
    <row r="11100" spans="1:5" x14ac:dyDescent="0.25">
      <c r="A11100" t="str">
        <f>HYPERLINK("https://www.773grp.com/globalSearch/LA6585MC-AH/page-1", "LA6585MC-AH")</f>
        <v>LA6585MC-AH</v>
      </c>
      <c r="B11100" s="3" t="str">
        <f>HYPERLINK("https://www.773grp.com/manufacturer/onsemi?pageNo=315", "Onsemi")</f>
        <v>Onsemi</v>
      </c>
      <c r="C11100" s="6">
        <v>42500</v>
      </c>
      <c r="D11100" s="7">
        <v>1.36</v>
      </c>
    </row>
    <row r="11101" spans="1:5" x14ac:dyDescent="0.25">
      <c r="A11101" t="str">
        <f>HYPERLINK("https://www.773grp.com/globalSearch/LF412CD/page-1", "LF412CD")</f>
        <v>LF412CD</v>
      </c>
      <c r="B11101" s="3" t="str">
        <f>HYPERLINK("https://www.773grp.com/manufacturer/onsemi?pageNo=316", "Onsemi")</f>
        <v>Onsemi</v>
      </c>
      <c r="C11101" s="6">
        <v>1398</v>
      </c>
      <c r="D11101" s="7">
        <v>1.36</v>
      </c>
      <c r="E11101" t="s">
        <v>10</v>
      </c>
    </row>
    <row r="11102" spans="1:5" x14ac:dyDescent="0.25">
      <c r="A11102" t="str">
        <f>HYPERLINK("https://www.773grp.com/globalSearch/LM211DG/page-1", "LM211DG")</f>
        <v>LM211DG</v>
      </c>
      <c r="B11102" s="3" t="str">
        <f>HYPERLINK("https://www.773grp.com/manufacturer/onsemi?pageNo=317", "Onsemi")</f>
        <v>Onsemi</v>
      </c>
      <c r="C11102" s="6">
        <v>1176</v>
      </c>
      <c r="D11102" s="7">
        <v>1.36</v>
      </c>
    </row>
    <row r="11103" spans="1:5" x14ac:dyDescent="0.25">
      <c r="A11103" t="str">
        <f>HYPERLINK("https://www.773grp.com/globalSearch/LM211DR2G/page-1", "LM211DR2G")</f>
        <v>LM211DR2G</v>
      </c>
      <c r="B11103" s="3" t="str">
        <f>HYPERLINK("https://www.773grp.com/manufacturer/onsemi?pageNo=318", "Onsemi")</f>
        <v>Onsemi</v>
      </c>
      <c r="C11103" s="6">
        <v>25000</v>
      </c>
      <c r="D11103" s="7">
        <v>1.36</v>
      </c>
      <c r="E11103" t="s">
        <v>6</v>
      </c>
    </row>
    <row r="11104" spans="1:5" x14ac:dyDescent="0.25">
      <c r="A11104" t="str">
        <f>HYPERLINK("https://www.773grp.com/globalSearch/LP2950CDT-3.0G/page-1", "LP2950CDT-3.0G")</f>
        <v>LP2950CDT-3.0G</v>
      </c>
      <c r="B11104" s="3" t="str">
        <f>HYPERLINK("https://www.773grp.com/manufacturer/onsemi?pageNo=319", "Onsemi")</f>
        <v>Onsemi</v>
      </c>
      <c r="C11104" s="6">
        <v>1650</v>
      </c>
      <c r="D11104" s="7">
        <v>1.36</v>
      </c>
      <c r="E11104" t="s">
        <v>15</v>
      </c>
    </row>
    <row r="11105" spans="1:5" x14ac:dyDescent="0.25">
      <c r="A11105" t="str">
        <f>HYPERLINK("https://www.773grp.com/globalSearch/LP2950CDT-3.0RKG/page-1", "LP2950CDT-3.0RKG")</f>
        <v>LP2950CDT-3.0RKG</v>
      </c>
      <c r="B11105" s="3" t="str">
        <f>HYPERLINK("https://www.773grp.com/manufacturer/onsemi?pageNo=320", "Onsemi")</f>
        <v>Onsemi</v>
      </c>
      <c r="C11105" s="6">
        <v>29749</v>
      </c>
      <c r="D11105" s="7">
        <v>1.36</v>
      </c>
      <c r="E11105" t="s">
        <v>15</v>
      </c>
    </row>
    <row r="11106" spans="1:5" x14ac:dyDescent="0.25">
      <c r="A11106" t="str">
        <f>HYPERLINK("https://www.773grp.com/globalSearch/LP2950CDT-3.3G/page-1", "LP2950CDT-3.3G")</f>
        <v>LP2950CDT-3.3G</v>
      </c>
      <c r="B11106" s="3" t="str">
        <f>HYPERLINK("https://www.773grp.com/manufacturer/onsemi?pageNo=321", "Onsemi")</f>
        <v>Onsemi</v>
      </c>
      <c r="C11106" s="6">
        <v>2550</v>
      </c>
      <c r="D11106" s="7">
        <v>1.36</v>
      </c>
      <c r="E11106" t="s">
        <v>15</v>
      </c>
    </row>
    <row r="11107" spans="1:5" x14ac:dyDescent="0.25">
      <c r="A11107" t="str">
        <f>HYPERLINK("https://www.773grp.com/globalSearch/LP2950CDT-3.3RKG/page-1", "LP2950CDT-3.3RKG")</f>
        <v>LP2950CDT-3.3RKG</v>
      </c>
      <c r="B11107" s="3" t="str">
        <f>HYPERLINK("https://www.773grp.com/manufacturer/onsemi?pageNo=322", "Onsemi")</f>
        <v>Onsemi</v>
      </c>
      <c r="C11107" s="6">
        <v>8904</v>
      </c>
      <c r="D11107" s="7">
        <v>1.36</v>
      </c>
      <c r="E11107" t="s">
        <v>15</v>
      </c>
    </row>
    <row r="11108" spans="1:5" x14ac:dyDescent="0.25">
      <c r="A11108" t="str">
        <f>HYPERLINK("https://www.773grp.com/globalSearch/LP2950CDT-5.0/page-1", "LP2950CDT-5.0")</f>
        <v>LP2950CDT-5.0</v>
      </c>
      <c r="B11108" s="3" t="str">
        <f>HYPERLINK("https://www.773grp.com/manufacturer/onsemi?pageNo=323", "Onsemi")</f>
        <v>Onsemi</v>
      </c>
      <c r="C11108" s="6">
        <v>3675</v>
      </c>
      <c r="D11108" s="7">
        <v>1.36</v>
      </c>
      <c r="E11108" t="s">
        <v>15</v>
      </c>
    </row>
    <row r="11109" spans="1:5" x14ac:dyDescent="0.25">
      <c r="A11109" t="str">
        <f>HYPERLINK("https://www.773grp.com/globalSearch/LP2950CDT-5.0RK/page-1", "LP2950CDT-5.0RK")</f>
        <v>LP2950CDT-5.0RK</v>
      </c>
      <c r="B11109" s="3" t="str">
        <f>HYPERLINK("https://www.773grp.com/manufacturer/onsemi?pageNo=324", "Onsemi")</f>
        <v>Onsemi</v>
      </c>
      <c r="C11109" s="6">
        <v>2500</v>
      </c>
      <c r="D11109" s="7">
        <v>1.36</v>
      </c>
      <c r="E11109" t="s">
        <v>15</v>
      </c>
    </row>
    <row r="11110" spans="1:5" x14ac:dyDescent="0.25">
      <c r="A11110" t="str">
        <f>HYPERLINK("https://www.773grp.com/globalSearch/LP2950CDT-5.0RKG/page-1", "LP2950CDT-5.0RKG")</f>
        <v>LP2950CDT-5.0RKG</v>
      </c>
      <c r="B11110" s="3" t="str">
        <f>HYPERLINK("https://www.773grp.com/manufacturer/onsemi?pageNo=325", "Onsemi")</f>
        <v>Onsemi</v>
      </c>
      <c r="C11110" s="6">
        <v>25680</v>
      </c>
      <c r="D11110" s="7">
        <v>1.36</v>
      </c>
      <c r="E11110" t="s">
        <v>15</v>
      </c>
    </row>
    <row r="11111" spans="1:5" x14ac:dyDescent="0.25">
      <c r="A11111" t="str">
        <f>HYPERLINK("https://www.773grp.com/globalSearch/MC14014BFG/page-1", "MC14014BFG")</f>
        <v>MC14014BFG</v>
      </c>
      <c r="B11111" s="3" t="str">
        <f>HYPERLINK("https://www.773grp.com/manufacturer/onsemi?pageNo=326", "Onsemi")</f>
        <v>Onsemi</v>
      </c>
      <c r="C11111" s="6">
        <v>8688</v>
      </c>
      <c r="D11111" s="7">
        <v>1.36</v>
      </c>
      <c r="E11111" t="s">
        <v>28</v>
      </c>
    </row>
    <row r="11112" spans="1:5" x14ac:dyDescent="0.25">
      <c r="A11112" t="str">
        <f>HYPERLINK("https://www.773grp.com/globalSearch/MC14021BFELG/page-1", "MC14021BFELG")</f>
        <v>MC14021BFELG</v>
      </c>
      <c r="B11112" s="3" t="str">
        <f>HYPERLINK("https://www.773grp.com/manufacturer/onsemi?pageNo=327", "Onsemi")</f>
        <v>Onsemi</v>
      </c>
      <c r="C11112" s="6">
        <v>7860</v>
      </c>
      <c r="D11112" s="7">
        <v>1.36</v>
      </c>
      <c r="E11112" t="s">
        <v>28</v>
      </c>
    </row>
    <row r="11113" spans="1:5" x14ac:dyDescent="0.25">
      <c r="A11113" t="str">
        <f>HYPERLINK("https://www.773grp.com/globalSearch/MC14051BFELG/page-1", "MC14051BFELG")</f>
        <v>MC14051BFELG</v>
      </c>
      <c r="B11113" s="3" t="str">
        <f>HYPERLINK("https://www.773grp.com/manufacturer/onsemi?pageNo=328", "Onsemi")</f>
        <v>Onsemi</v>
      </c>
      <c r="C11113" s="6">
        <v>6500</v>
      </c>
      <c r="D11113" s="7">
        <v>1.36</v>
      </c>
      <c r="E11113" t="s">
        <v>46</v>
      </c>
    </row>
    <row r="11114" spans="1:5" x14ac:dyDescent="0.25">
      <c r="A11114" t="str">
        <f>HYPERLINK("https://www.773grp.com/globalSearch/MC14052BFELG/page-1", "MC14052BFELG")</f>
        <v>MC14052BFELG</v>
      </c>
      <c r="B11114" s="3" t="str">
        <f>HYPERLINK("https://www.773grp.com/manufacturer/onsemi?pageNo=329", "Onsemi")</f>
        <v>Onsemi</v>
      </c>
      <c r="C11114" s="6">
        <v>347910</v>
      </c>
      <c r="D11114" s="7">
        <v>1.36</v>
      </c>
      <c r="E11114" t="s">
        <v>46</v>
      </c>
    </row>
    <row r="11115" spans="1:5" x14ac:dyDescent="0.25">
      <c r="A11115" t="str">
        <f>HYPERLINK("https://www.773grp.com/globalSearch/MC14053BFELG/page-1", "MC14053BFELG")</f>
        <v>MC14053BFELG</v>
      </c>
      <c r="B11115" s="3" t="str">
        <f>HYPERLINK("https://www.773grp.com/manufacturer/onsemi?pageNo=330", "Onsemi")</f>
        <v>Onsemi</v>
      </c>
      <c r="C11115" s="6">
        <v>951</v>
      </c>
      <c r="D11115" s="7">
        <v>1.36</v>
      </c>
      <c r="E11115" t="s">
        <v>46</v>
      </c>
    </row>
    <row r="11116" spans="1:5" x14ac:dyDescent="0.25">
      <c r="A11116" t="str">
        <f>HYPERLINK("https://www.773grp.com/globalSearch/MC14511BDWR2/page-1", "MC14511BDWR2")</f>
        <v>MC14511BDWR2</v>
      </c>
      <c r="B11116" s="3" t="str">
        <f>HYPERLINK("https://www.773grp.com/manufacturer/onsemi?pageNo=331", "Onsemi")</f>
        <v>Onsemi</v>
      </c>
      <c r="C11116" s="6">
        <v>1442</v>
      </c>
      <c r="D11116" s="7">
        <v>1.36</v>
      </c>
      <c r="E11116" t="s">
        <v>32</v>
      </c>
    </row>
    <row r="11117" spans="1:5" x14ac:dyDescent="0.25">
      <c r="A11117" t="str">
        <f>HYPERLINK("https://www.773grp.com/globalSearch/MC14511BDWR2G/page-1", "MC14511BDWR2G")</f>
        <v>MC14511BDWR2G</v>
      </c>
      <c r="B11117" s="3" t="str">
        <f>HYPERLINK("https://www.773grp.com/manufacturer/onsemi?pageNo=332", "Onsemi")</f>
        <v>Onsemi</v>
      </c>
      <c r="C11117" s="6">
        <v>1749</v>
      </c>
      <c r="D11117" s="7">
        <v>1.36</v>
      </c>
      <c r="E11117" t="s">
        <v>32</v>
      </c>
    </row>
    <row r="11118" spans="1:5" x14ac:dyDescent="0.25">
      <c r="A11118" t="str">
        <f>HYPERLINK("https://www.773grp.com/globalSearch/MC14511BFELG/page-1", "MC14511BFELG")</f>
        <v>MC14511BFELG</v>
      </c>
      <c r="B11118" s="3" t="str">
        <f>HYPERLINK("https://www.773grp.com/manufacturer/onsemi?pageNo=333", "Onsemi")</f>
        <v>Onsemi</v>
      </c>
      <c r="C11118" s="6">
        <v>43690</v>
      </c>
      <c r="D11118" s="7">
        <v>1.36</v>
      </c>
      <c r="E11118" t="s">
        <v>32</v>
      </c>
    </row>
    <row r="11119" spans="1:5" x14ac:dyDescent="0.25">
      <c r="A11119" t="str">
        <f>HYPERLINK("https://www.773grp.com/globalSearch/MC14518BDWG/page-1", "MC14518BDWG")</f>
        <v>MC14518BDWG</v>
      </c>
      <c r="B11119" s="3" t="str">
        <f>HYPERLINK("https://www.773grp.com/manufacturer/onsemi?pageNo=334", "Onsemi")</f>
        <v>Onsemi</v>
      </c>
      <c r="C11119" s="6">
        <v>9724</v>
      </c>
      <c r="D11119" s="7">
        <v>1.36</v>
      </c>
      <c r="E11119" t="s">
        <v>22</v>
      </c>
    </row>
    <row r="11120" spans="1:5" x14ac:dyDescent="0.25">
      <c r="A11120" t="str">
        <f>HYPERLINK("https://www.773grp.com/globalSearch/MC14518BDWR2G/page-1", "MC14518BDWR2G")</f>
        <v>MC14518BDWR2G</v>
      </c>
      <c r="B11120" s="3" t="str">
        <f>HYPERLINK("https://www.773grp.com/manufacturer/onsemi?pageNo=335", "Onsemi")</f>
        <v>Onsemi</v>
      </c>
      <c r="C11120" s="6">
        <v>3692</v>
      </c>
      <c r="D11120" s="7">
        <v>1.36</v>
      </c>
      <c r="E11120" t="s">
        <v>22</v>
      </c>
    </row>
    <row r="11121" spans="1:5" x14ac:dyDescent="0.25">
      <c r="A11121" t="str">
        <f>HYPERLINK("https://www.773grp.com/globalSearch/MC14520BDWG/page-1", "MC14520BDWG")</f>
        <v>MC14520BDWG</v>
      </c>
      <c r="B11121" s="3" t="str">
        <f>HYPERLINK("https://www.773grp.com/manufacturer/onsemi?pageNo=336", "Onsemi")</f>
        <v>Onsemi</v>
      </c>
      <c r="C11121" s="6">
        <v>5434</v>
      </c>
      <c r="D11121" s="7">
        <v>1.36</v>
      </c>
      <c r="E11121" t="s">
        <v>22</v>
      </c>
    </row>
    <row r="11122" spans="1:5" x14ac:dyDescent="0.25">
      <c r="A11122" t="str">
        <f>HYPERLINK("https://www.773grp.com/globalSearch/MC14520BDWR2G/page-1", "MC14520BDWR2G")</f>
        <v>MC14520BDWR2G</v>
      </c>
      <c r="B11122" s="3" t="str">
        <f>HYPERLINK("https://www.773grp.com/manufacturer/onsemi?pageNo=337", "Onsemi")</f>
        <v>Onsemi</v>
      </c>
      <c r="C11122" s="6">
        <v>3397</v>
      </c>
      <c r="D11122" s="7">
        <v>1.36</v>
      </c>
      <c r="E11122" t="s">
        <v>22</v>
      </c>
    </row>
    <row r="11123" spans="1:5" x14ac:dyDescent="0.25">
      <c r="A11123" t="str">
        <f>HYPERLINK("https://www.773grp.com/globalSearch/MC14528BFELG/page-1", "MC14528BFELG")</f>
        <v>MC14528BFELG</v>
      </c>
      <c r="B11123" s="3" t="str">
        <f>HYPERLINK("https://www.773grp.com/manufacturer/onsemi?pageNo=338", "Onsemi")</f>
        <v>Onsemi</v>
      </c>
      <c r="C11123" s="6">
        <v>4000</v>
      </c>
      <c r="D11123" s="7">
        <v>1.36</v>
      </c>
    </row>
    <row r="11124" spans="1:5" x14ac:dyDescent="0.25">
      <c r="A11124" t="str">
        <f>HYPERLINK("https://www.773grp.com/globalSearch/MC14528BFG/page-1", "MC14528BFG")</f>
        <v>MC14528BFG</v>
      </c>
      <c r="B11124" s="3" t="str">
        <f>HYPERLINK("https://www.773grp.com/manufacturer/onsemi?pageNo=339", "Onsemi")</f>
        <v>Onsemi</v>
      </c>
      <c r="C11124" s="6">
        <v>150</v>
      </c>
      <c r="D11124" s="7">
        <v>1.36</v>
      </c>
      <c r="E11124" t="s">
        <v>44</v>
      </c>
    </row>
    <row r="11125" spans="1:5" x14ac:dyDescent="0.25">
      <c r="A11125" t="str">
        <f>HYPERLINK("https://www.773grp.com/globalSearch/MC14532BCPG/page-1", "MC14532BCPG")</f>
        <v>MC14532BCPG</v>
      </c>
      <c r="B11125" s="3" t="str">
        <f>HYPERLINK("https://www.773grp.com/manufacturer/onsemi?pageNo=340", "Onsemi")</f>
        <v>Onsemi</v>
      </c>
      <c r="C11125" s="6">
        <v>6343</v>
      </c>
      <c r="D11125" s="7">
        <v>1.36</v>
      </c>
      <c r="E11125" t="s">
        <v>38</v>
      </c>
    </row>
    <row r="11126" spans="1:5" x14ac:dyDescent="0.25">
      <c r="A11126" t="str">
        <f>HYPERLINK("https://www.773grp.com/globalSearch/MC14532BDG/page-1", "MC14532BDG")</f>
        <v>MC14532BDG</v>
      </c>
      <c r="B11126" s="3" t="str">
        <f>HYPERLINK("https://www.773grp.com/manufacturer/onsemi?pageNo=341", "Onsemi")</f>
        <v>Onsemi</v>
      </c>
      <c r="C11126" s="6">
        <v>27167</v>
      </c>
      <c r="D11126" s="7">
        <v>1.36</v>
      </c>
      <c r="E11126" t="s">
        <v>38</v>
      </c>
    </row>
    <row r="11127" spans="1:5" x14ac:dyDescent="0.25">
      <c r="A11127" t="str">
        <f>HYPERLINK("https://www.773grp.com/globalSearch/MC14532BDR2G/page-1", "MC14532BDR2G")</f>
        <v>MC14532BDR2G</v>
      </c>
      <c r="B11127" s="3" t="str">
        <f>HYPERLINK("https://www.773grp.com/manufacturer/onsemi?pageNo=342", "Onsemi")</f>
        <v>Onsemi</v>
      </c>
      <c r="C11127" s="6">
        <v>59837</v>
      </c>
      <c r="D11127" s="7">
        <v>1.36</v>
      </c>
      <c r="E11127" t="s">
        <v>38</v>
      </c>
    </row>
    <row r="11128" spans="1:5" x14ac:dyDescent="0.25">
      <c r="A11128" t="str">
        <f>HYPERLINK("https://www.773grp.com/globalSearch/MC14584BFELG/page-1", "MC14584BFELG")</f>
        <v>MC14584BFELG</v>
      </c>
      <c r="B11128" s="3" t="str">
        <f>HYPERLINK("https://www.773grp.com/manufacturer/onsemi?pageNo=343", "Onsemi")</f>
        <v>Onsemi</v>
      </c>
      <c r="C11128" s="6">
        <v>21746</v>
      </c>
      <c r="D11128" s="7">
        <v>1.36</v>
      </c>
      <c r="E11128" t="s">
        <v>27</v>
      </c>
    </row>
    <row r="11129" spans="1:5" x14ac:dyDescent="0.25">
      <c r="A11129" t="str">
        <f>HYPERLINK("https://www.773grp.com/globalSearch/MC1488MELG/page-1", "MC1488MELG")</f>
        <v>MC1488MELG</v>
      </c>
      <c r="B11129" s="3" t="str">
        <f>HYPERLINK("https://www.773grp.com/manufacturer/onsemi?pageNo=344", "Onsemi")</f>
        <v>Onsemi</v>
      </c>
      <c r="C11129" s="6">
        <v>125116</v>
      </c>
      <c r="D11129" s="7">
        <v>1.36</v>
      </c>
    </row>
    <row r="11130" spans="1:5" x14ac:dyDescent="0.25">
      <c r="A11130" t="str">
        <f>HYPERLINK("https://www.773grp.com/globalSearch/MC1488MG/page-1", "MC1488MG")</f>
        <v>MC1488MG</v>
      </c>
      <c r="B11130" s="3" t="str">
        <f>HYPERLINK("https://www.773grp.com/manufacturer/onsemi?pageNo=345", "Onsemi")</f>
        <v>Onsemi</v>
      </c>
      <c r="C11130" s="6">
        <v>4200</v>
      </c>
      <c r="D11130" s="7">
        <v>1.36</v>
      </c>
      <c r="E11130" t="s">
        <v>17</v>
      </c>
    </row>
    <row r="11131" spans="1:5" x14ac:dyDescent="0.25">
      <c r="A11131" t="str">
        <f>HYPERLINK("https://www.773grp.com/globalSearch/MC1489AMEL/page-1", "MC1489AMEL")</f>
        <v>MC1489AMEL</v>
      </c>
      <c r="B11131" s="3" t="str">
        <f>HYPERLINK("https://www.773grp.com/manufacturer/onsemi?pageNo=346", "Onsemi")</f>
        <v>Onsemi</v>
      </c>
      <c r="C11131" s="6">
        <v>2670</v>
      </c>
      <c r="D11131" s="7">
        <v>1.36</v>
      </c>
      <c r="E11131" t="s">
        <v>17</v>
      </c>
    </row>
    <row r="11132" spans="1:5" x14ac:dyDescent="0.25">
      <c r="A11132" t="str">
        <f>HYPERLINK("https://www.773grp.com/globalSearch/MC1489AMELG/page-1", "MC1489AMELG")</f>
        <v>MC1489AMELG</v>
      </c>
      <c r="B11132" s="3" t="str">
        <f>HYPERLINK("https://www.773grp.com/manufacturer/onsemi?pageNo=347", "Onsemi")</f>
        <v>Onsemi</v>
      </c>
      <c r="C11132" s="6">
        <v>55234</v>
      </c>
      <c r="D11132" s="7">
        <v>1.36</v>
      </c>
      <c r="E11132" t="s">
        <v>17</v>
      </c>
    </row>
    <row r="11133" spans="1:5" x14ac:dyDescent="0.25">
      <c r="A11133" t="str">
        <f>HYPERLINK("https://www.773grp.com/globalSearch/MC1489AMG/page-1", "MC1489AMG")</f>
        <v>MC1489AMG</v>
      </c>
      <c r="B11133" s="3" t="str">
        <f>HYPERLINK("https://www.773grp.com/manufacturer/onsemi?pageNo=348", "Onsemi")</f>
        <v>Onsemi</v>
      </c>
      <c r="C11133" s="6">
        <v>1200</v>
      </c>
      <c r="D11133" s="7">
        <v>1.36</v>
      </c>
      <c r="E11133" t="s">
        <v>17</v>
      </c>
    </row>
    <row r="11134" spans="1:5" x14ac:dyDescent="0.25">
      <c r="A11134" t="str">
        <f>HYPERLINK("https://www.773grp.com/globalSearch/MC33204P/page-1", "MC33204P")</f>
        <v>MC33204P</v>
      </c>
      <c r="B11134" s="3" t="str">
        <f>HYPERLINK("https://www.773grp.com/manufacturer/onsemi?pageNo=349", "Onsemi")</f>
        <v>Onsemi</v>
      </c>
      <c r="C11134" s="6">
        <v>3385</v>
      </c>
      <c r="D11134" s="7">
        <v>1.36</v>
      </c>
      <c r="E11134" t="s">
        <v>10</v>
      </c>
    </row>
    <row r="11135" spans="1:5" x14ac:dyDescent="0.25">
      <c r="A11135" t="str">
        <f>HYPERLINK("https://www.773grp.com/globalSearch/MC34060P/page-1", "MC34060P")</f>
        <v>MC34060P</v>
      </c>
      <c r="B11135" s="3" t="str">
        <f>HYPERLINK("https://www.773grp.com/manufacturer/onsemi?pageNo=350", "Onsemi")</f>
        <v>Onsemi</v>
      </c>
      <c r="C11135" s="6">
        <v>605</v>
      </c>
      <c r="D11135" s="7">
        <v>1.36</v>
      </c>
      <c r="E11135" t="s">
        <v>5</v>
      </c>
    </row>
    <row r="11136" spans="1:5" x14ac:dyDescent="0.25">
      <c r="A11136" t="str">
        <f>HYPERLINK("https://www.773grp.com/globalSearch/MC34151P/page-1", "MC34151P")</f>
        <v>MC34151P</v>
      </c>
      <c r="B11136" s="3" t="str">
        <f>HYPERLINK("https://www.773grp.com/manufacturer/onsemi?pageNo=351", "Onsemi")</f>
        <v>Onsemi</v>
      </c>
      <c r="C11136" s="6">
        <v>730</v>
      </c>
      <c r="D11136" s="7">
        <v>1.36</v>
      </c>
      <c r="E11136" t="s">
        <v>12</v>
      </c>
    </row>
    <row r="11137" spans="1:5" x14ac:dyDescent="0.25">
      <c r="A11137" t="str">
        <f>HYPERLINK("https://www.773grp.com/globalSearch/MC74AC00MELG/page-1", "MC74AC00MELG")</f>
        <v>MC74AC00MELG</v>
      </c>
      <c r="B11137" s="3" t="str">
        <f>HYPERLINK("https://www.773grp.com/manufacturer/onsemi?pageNo=352", "Onsemi")</f>
        <v>Onsemi</v>
      </c>
      <c r="C11137" s="6">
        <v>13890</v>
      </c>
      <c r="D11137" s="7">
        <v>1.36</v>
      </c>
      <c r="E11137" t="s">
        <v>27</v>
      </c>
    </row>
    <row r="11138" spans="1:5" x14ac:dyDescent="0.25">
      <c r="A11138" t="str">
        <f>HYPERLINK("https://www.773grp.com/globalSearch/MC74AC02MELG/page-1", "MC74AC02MELG")</f>
        <v>MC74AC02MELG</v>
      </c>
      <c r="B11138" s="3" t="str">
        <f>HYPERLINK("https://www.773grp.com/manufacturer/onsemi?pageNo=353", "Onsemi")</f>
        <v>Onsemi</v>
      </c>
      <c r="C11138" s="6">
        <v>11700</v>
      </c>
      <c r="D11138" s="7">
        <v>1.36</v>
      </c>
      <c r="E11138" t="s">
        <v>27</v>
      </c>
    </row>
    <row r="11139" spans="1:5" x14ac:dyDescent="0.25">
      <c r="A11139" t="str">
        <f>HYPERLINK("https://www.773grp.com/globalSearch/MC74AC04MELG/page-1", "MC74AC04MELG")</f>
        <v>MC74AC04MELG</v>
      </c>
      <c r="B11139" s="3" t="str">
        <f>HYPERLINK("https://www.773grp.com/manufacturer/onsemi?pageNo=354", "Onsemi")</f>
        <v>Onsemi</v>
      </c>
      <c r="C11139" s="6">
        <v>18907</v>
      </c>
      <c r="D11139" s="7">
        <v>1.36</v>
      </c>
      <c r="E11139" t="s">
        <v>27</v>
      </c>
    </row>
    <row r="11140" spans="1:5" x14ac:dyDescent="0.25">
      <c r="A11140" t="str">
        <f>HYPERLINK("https://www.773grp.com/globalSearch/MC74AC05MELG/page-1", "MC74AC05MELG")</f>
        <v>MC74AC05MELG</v>
      </c>
      <c r="B11140" s="3" t="str">
        <f>HYPERLINK("https://www.773grp.com/manufacturer/onsemi?pageNo=355", "Onsemi")</f>
        <v>Onsemi</v>
      </c>
      <c r="C11140" s="6">
        <v>8000</v>
      </c>
      <c r="D11140" s="7">
        <v>1.36</v>
      </c>
      <c r="E11140" t="s">
        <v>27</v>
      </c>
    </row>
    <row r="11141" spans="1:5" x14ac:dyDescent="0.25">
      <c r="A11141" t="str">
        <f>HYPERLINK("https://www.773grp.com/globalSearch/MC74AC08MELG/page-1", "MC74AC08MELG")</f>
        <v>MC74AC08MELG</v>
      </c>
      <c r="B11141" s="3" t="str">
        <f>HYPERLINK("https://www.773grp.com/manufacturer/onsemi?pageNo=356", "Onsemi")</f>
        <v>Onsemi</v>
      </c>
      <c r="C11141" s="6">
        <v>2000</v>
      </c>
      <c r="D11141" s="7">
        <v>1.36</v>
      </c>
      <c r="E11141" t="s">
        <v>27</v>
      </c>
    </row>
    <row r="11142" spans="1:5" x14ac:dyDescent="0.25">
      <c r="A11142" t="str">
        <f>HYPERLINK("https://www.773grp.com/globalSearch/MC74AC11MELG/page-1", "MC74AC11MELG")</f>
        <v>MC74AC11MELG</v>
      </c>
      <c r="B11142" s="3" t="str">
        <f>HYPERLINK("https://www.773grp.com/manufacturer/onsemi?pageNo=357", "Onsemi")</f>
        <v>Onsemi</v>
      </c>
      <c r="C11142" s="6">
        <v>3185</v>
      </c>
      <c r="D11142" s="7">
        <v>1.36</v>
      </c>
      <c r="E11142" t="s">
        <v>27</v>
      </c>
    </row>
    <row r="11143" spans="1:5" x14ac:dyDescent="0.25">
      <c r="A11143" t="str">
        <f>HYPERLINK("https://www.773grp.com/globalSearch/MC74AC20MELG/page-1", "MC74AC20MELG")</f>
        <v>MC74AC20MELG</v>
      </c>
      <c r="B11143" s="3" t="str">
        <f>HYPERLINK("https://www.773grp.com/manufacturer/onsemi?pageNo=358", "Onsemi")</f>
        <v>Onsemi</v>
      </c>
      <c r="C11143" s="6">
        <v>11900</v>
      </c>
      <c r="D11143" s="7">
        <v>1.36</v>
      </c>
      <c r="E11143" t="s">
        <v>27</v>
      </c>
    </row>
    <row r="11144" spans="1:5" x14ac:dyDescent="0.25">
      <c r="A11144" t="str">
        <f>HYPERLINK("https://www.773grp.com/globalSearch/MC74AC377DTG/page-1", "MC74AC377DTG")</f>
        <v>MC74AC377DTG</v>
      </c>
      <c r="B11144" s="3" t="str">
        <f>HYPERLINK("https://www.773grp.com/manufacturer/onsemi?pageNo=359", "Onsemi")</f>
        <v>Onsemi</v>
      </c>
      <c r="C11144" s="6">
        <v>1125</v>
      </c>
      <c r="D11144" s="7">
        <v>1.36</v>
      </c>
      <c r="E11144" t="s">
        <v>31</v>
      </c>
    </row>
    <row r="11145" spans="1:5" x14ac:dyDescent="0.25">
      <c r="A11145" t="str">
        <f>HYPERLINK("https://www.773grp.com/globalSearch/MC74AC377DTR2G/page-1", "MC74AC377DTR2G")</f>
        <v>MC74AC377DTR2G</v>
      </c>
      <c r="B11145" s="3" t="str">
        <f>HYPERLINK("https://www.773grp.com/manufacturer/onsemi?pageNo=360", "Onsemi")</f>
        <v>Onsemi</v>
      </c>
      <c r="C11145" s="6">
        <v>11394</v>
      </c>
      <c r="D11145" s="7">
        <v>1.36</v>
      </c>
      <c r="E11145" t="s">
        <v>31</v>
      </c>
    </row>
    <row r="11146" spans="1:5" x14ac:dyDescent="0.25">
      <c r="A11146" t="str">
        <f>HYPERLINK("https://www.773grp.com/globalSearch/MC74AC377DWG/page-1", "MC74AC377DWG")</f>
        <v>MC74AC377DWG</v>
      </c>
      <c r="B11146" s="3" t="str">
        <f>HYPERLINK("https://www.773grp.com/manufacturer/onsemi?pageNo=361", "Onsemi")</f>
        <v>Onsemi</v>
      </c>
      <c r="C11146" s="6">
        <v>10340</v>
      </c>
      <c r="D11146" s="7">
        <v>1.36</v>
      </c>
      <c r="E11146" t="s">
        <v>31</v>
      </c>
    </row>
    <row r="11147" spans="1:5" x14ac:dyDescent="0.25">
      <c r="A11147" t="str">
        <f>HYPERLINK("https://www.773grp.com/globalSearch/MC74AC377DWR2G/page-1", "MC74AC377DWR2G")</f>
        <v>MC74AC377DWR2G</v>
      </c>
      <c r="B11147" s="3" t="str">
        <f>HYPERLINK("https://www.773grp.com/manufacturer/onsemi?pageNo=362", "Onsemi")</f>
        <v>Onsemi</v>
      </c>
      <c r="C11147" s="6">
        <v>9639</v>
      </c>
      <c r="D11147" s="7">
        <v>1.36</v>
      </c>
      <c r="E11147" t="s">
        <v>31</v>
      </c>
    </row>
    <row r="11148" spans="1:5" x14ac:dyDescent="0.25">
      <c r="A11148" t="str">
        <f>HYPERLINK("https://www.773grp.com/globalSearch/MC74AC4040N/page-1", "MC74AC4040N")</f>
        <v>MC74AC4040N</v>
      </c>
      <c r="B11148" s="3" t="str">
        <f>HYPERLINK("https://www.773grp.com/manufacturer/onsemi?pageNo=363", "Onsemi")</f>
        <v>Onsemi</v>
      </c>
      <c r="C11148" s="6">
        <v>1105</v>
      </c>
      <c r="D11148" s="7">
        <v>1.36</v>
      </c>
      <c r="E11148" t="s">
        <v>22</v>
      </c>
    </row>
    <row r="11149" spans="1:5" x14ac:dyDescent="0.25">
      <c r="A11149" t="str">
        <f>HYPERLINK("https://www.773grp.com/globalSearch/MC74ACT00MELG/page-1", "MC74ACT00MELG")</f>
        <v>MC74ACT00MELG</v>
      </c>
      <c r="B11149" s="3" t="str">
        <f>HYPERLINK("https://www.773grp.com/manufacturer/onsemi?pageNo=364", "Onsemi")</f>
        <v>Onsemi</v>
      </c>
      <c r="C11149" s="6">
        <v>6500</v>
      </c>
      <c r="D11149" s="7">
        <v>1.36</v>
      </c>
      <c r="E11149" t="s">
        <v>27</v>
      </c>
    </row>
    <row r="11150" spans="1:5" x14ac:dyDescent="0.25">
      <c r="A11150" t="str">
        <f>HYPERLINK("https://www.773grp.com/globalSearch/MC74ACT02MELG/page-1", "MC74ACT02MELG")</f>
        <v>MC74ACT02MELG</v>
      </c>
      <c r="B11150" s="3" t="str">
        <f>HYPERLINK("https://www.773grp.com/manufacturer/onsemi?pageNo=365", "Onsemi")</f>
        <v>Onsemi</v>
      </c>
      <c r="C11150" s="6">
        <v>18000</v>
      </c>
      <c r="D11150" s="7">
        <v>1.36</v>
      </c>
      <c r="E11150" t="s">
        <v>27</v>
      </c>
    </row>
    <row r="11151" spans="1:5" x14ac:dyDescent="0.25">
      <c r="A11151" t="str">
        <f>HYPERLINK("https://www.773grp.com/globalSearch/MC74ACT04MG/page-1", "MC74ACT04MG")</f>
        <v>MC74ACT04MG</v>
      </c>
      <c r="B11151" s="3" t="str">
        <f>HYPERLINK("https://www.773grp.com/manufacturer/onsemi?pageNo=366", "Onsemi")</f>
        <v>Onsemi</v>
      </c>
      <c r="C11151" s="6">
        <v>28350</v>
      </c>
      <c r="D11151" s="7">
        <v>1.36</v>
      </c>
      <c r="E11151" t="s">
        <v>27</v>
      </c>
    </row>
    <row r="11152" spans="1:5" x14ac:dyDescent="0.25">
      <c r="A11152" t="str">
        <f>HYPERLINK("https://www.773grp.com/globalSearch/MC74ACT05MELG/page-1", "MC74ACT05MELG")</f>
        <v>MC74ACT05MELG</v>
      </c>
      <c r="B11152" s="3" t="str">
        <f>HYPERLINK("https://www.773grp.com/manufacturer/onsemi?pageNo=367", "Onsemi")</f>
        <v>Onsemi</v>
      </c>
      <c r="C11152" s="6">
        <v>8000</v>
      </c>
      <c r="D11152" s="7">
        <v>1.36</v>
      </c>
      <c r="E11152" t="s">
        <v>27</v>
      </c>
    </row>
    <row r="11153" spans="1:5" x14ac:dyDescent="0.25">
      <c r="A11153" t="str">
        <f>HYPERLINK("https://www.773grp.com/globalSearch/MC74ACT10MELG/page-1", "MC74ACT10MELG")</f>
        <v>MC74ACT10MELG</v>
      </c>
      <c r="B11153" s="3" t="str">
        <f>HYPERLINK("https://www.773grp.com/manufacturer/onsemi?pageNo=368", "Onsemi")</f>
        <v>Onsemi</v>
      </c>
      <c r="C11153" s="6">
        <v>2378</v>
      </c>
      <c r="D11153" s="7">
        <v>1.36</v>
      </c>
      <c r="E11153" t="s">
        <v>27</v>
      </c>
    </row>
    <row r="11154" spans="1:5" x14ac:dyDescent="0.25">
      <c r="A11154" t="str">
        <f>HYPERLINK("https://www.773grp.com/globalSearch/MC74ACT11MELG/page-1", "MC74ACT11MELG")</f>
        <v>MC74ACT11MELG</v>
      </c>
      <c r="B11154" s="3" t="str">
        <f>HYPERLINK("https://www.773grp.com/manufacturer/onsemi?pageNo=369", "Onsemi")</f>
        <v>Onsemi</v>
      </c>
      <c r="C11154" s="6">
        <v>25295</v>
      </c>
      <c r="D11154" s="7">
        <v>1.36</v>
      </c>
      <c r="E11154" t="s">
        <v>27</v>
      </c>
    </row>
    <row r="11155" spans="1:5" x14ac:dyDescent="0.25">
      <c r="A11155" t="str">
        <f>HYPERLINK("https://www.773grp.com/globalSearch/MC74ACT14M/page-1", "MC74ACT14M")</f>
        <v>MC74ACT14M</v>
      </c>
      <c r="B11155" s="3" t="str">
        <f>HYPERLINK("https://www.773grp.com/manufacturer/onsemi?pageNo=370", "Onsemi")</f>
        <v>Onsemi</v>
      </c>
      <c r="C11155" s="6">
        <v>300</v>
      </c>
      <c r="D11155" s="7">
        <v>1.36</v>
      </c>
      <c r="E11155" t="s">
        <v>27</v>
      </c>
    </row>
    <row r="11156" spans="1:5" x14ac:dyDescent="0.25">
      <c r="A11156" t="str">
        <f>HYPERLINK("https://www.773grp.com/globalSearch/MC74ACT14MELG/page-1", "MC74ACT14MELG")</f>
        <v>MC74ACT14MELG</v>
      </c>
      <c r="B11156" s="3" t="str">
        <f>HYPERLINK("https://www.773grp.com/manufacturer/onsemi?pageNo=371", "Onsemi")</f>
        <v>Onsemi</v>
      </c>
      <c r="C11156" s="6">
        <v>15157</v>
      </c>
      <c r="D11156" s="7">
        <v>1.36</v>
      </c>
      <c r="E11156" t="s">
        <v>27</v>
      </c>
    </row>
    <row r="11157" spans="1:5" x14ac:dyDescent="0.25">
      <c r="A11157" t="str">
        <f>HYPERLINK("https://www.773grp.com/globalSearch/MC74ACT377DWG/page-1", "MC74ACT377DWG")</f>
        <v>MC74ACT377DWG</v>
      </c>
      <c r="B11157" s="3" t="str">
        <f>HYPERLINK("https://www.773grp.com/manufacturer/onsemi?pageNo=372", "Onsemi")</f>
        <v>Onsemi</v>
      </c>
      <c r="C11157" s="6">
        <v>5053</v>
      </c>
      <c r="D11157" s="7">
        <v>1.36</v>
      </c>
      <c r="E11157" t="s">
        <v>31</v>
      </c>
    </row>
    <row r="11158" spans="1:5" x14ac:dyDescent="0.25">
      <c r="A11158" t="str">
        <f>HYPERLINK("https://www.773grp.com/globalSearch/MC74ACT377DWR2G/page-1", "MC74ACT377DWR2G")</f>
        <v>MC74ACT377DWR2G</v>
      </c>
      <c r="B11158" s="3" t="str">
        <f>HYPERLINK("https://www.773grp.com/manufacturer/onsemi?pageNo=373", "Onsemi")</f>
        <v>Onsemi</v>
      </c>
      <c r="C11158" s="6">
        <v>243</v>
      </c>
      <c r="D11158" s="7">
        <v>1.36</v>
      </c>
      <c r="E11158" t="s">
        <v>31</v>
      </c>
    </row>
    <row r="11159" spans="1:5" x14ac:dyDescent="0.25">
      <c r="A11159" t="str">
        <f>HYPERLINK("https://www.773grp.com/globalSearch/MC74HC4067ADWG/page-1", "MC74HC4067ADWG")</f>
        <v>MC74HC4067ADWG</v>
      </c>
      <c r="B11159" s="3" t="str">
        <f>HYPERLINK("https://www.773grp.com/manufacturer/onsemi?pageNo=374", "Onsemi")</f>
        <v>Onsemi</v>
      </c>
      <c r="C11159" s="6">
        <v>11840</v>
      </c>
      <c r="D11159" s="7">
        <v>1.36</v>
      </c>
    </row>
    <row r="11160" spans="1:5" x14ac:dyDescent="0.25">
      <c r="A11160" t="str">
        <f>HYPERLINK("https://www.773grp.com/globalSearch/MC74HC540ADTR2G/page-1", "MC74HC540ADTR2G")</f>
        <v>MC74HC540ADTR2G</v>
      </c>
      <c r="B11160" s="3" t="str">
        <f>HYPERLINK("https://www.773grp.com/manufacturer/onsemi?pageNo=375", "Onsemi")</f>
        <v>Onsemi</v>
      </c>
      <c r="C11160" s="6">
        <v>1837</v>
      </c>
      <c r="D11160" s="7">
        <v>1.36</v>
      </c>
    </row>
    <row r="11161" spans="1:5" x14ac:dyDescent="0.25">
      <c r="A11161" t="str">
        <f>HYPERLINK("https://www.773grp.com/globalSearch/MC74HC540ADWG/page-1", "MC74HC540ADWG")</f>
        <v>MC74HC540ADWG</v>
      </c>
      <c r="B11161" s="3" t="str">
        <f>HYPERLINK("https://www.773grp.com/manufacturer/onsemi?pageNo=376", "Onsemi")</f>
        <v>Onsemi</v>
      </c>
      <c r="C11161" s="6">
        <v>4304</v>
      </c>
      <c r="D11161" s="7">
        <v>1.36</v>
      </c>
      <c r="E11161" t="s">
        <v>11</v>
      </c>
    </row>
    <row r="11162" spans="1:5" x14ac:dyDescent="0.25">
      <c r="A11162" t="str">
        <f>HYPERLINK("https://www.773grp.com/globalSearch/MC74HC540ADWR2G/page-1", "MC74HC540ADWR2G")</f>
        <v>MC74HC540ADWR2G</v>
      </c>
      <c r="B11162" s="3" t="str">
        <f>HYPERLINK("https://www.773grp.com/manufacturer/onsemi?pageNo=377", "Onsemi")</f>
        <v>Onsemi</v>
      </c>
      <c r="C11162" s="6">
        <v>6000</v>
      </c>
      <c r="D11162" s="7">
        <v>1.36</v>
      </c>
      <c r="E11162" t="s">
        <v>11</v>
      </c>
    </row>
    <row r="11163" spans="1:5" x14ac:dyDescent="0.25">
      <c r="A11163" t="str">
        <f>HYPERLINK("https://www.773grp.com/globalSearch/MC74HC541ADTG/page-1", "MC74HC541ADTG")</f>
        <v>MC74HC541ADTG</v>
      </c>
      <c r="B11163" s="3" t="str">
        <f>HYPERLINK("https://www.773grp.com/manufacturer/onsemi?pageNo=378", "Onsemi")</f>
        <v>Onsemi</v>
      </c>
      <c r="C11163" s="6">
        <v>10633</v>
      </c>
      <c r="D11163" s="7">
        <v>1.36</v>
      </c>
      <c r="E11163" t="s">
        <v>11</v>
      </c>
    </row>
    <row r="11164" spans="1:5" x14ac:dyDescent="0.25">
      <c r="A11164" t="str">
        <f>HYPERLINK("https://www.773grp.com/globalSearch/MC74HC541ADTR2G/page-1", "MC74HC541ADTR2G")</f>
        <v>MC74HC541ADTR2G</v>
      </c>
      <c r="B11164" s="3" t="str">
        <f>HYPERLINK("https://www.773grp.com/manufacturer/onsemi?pageNo=379", "Onsemi")</f>
        <v>Onsemi</v>
      </c>
      <c r="C11164" s="6">
        <v>36490</v>
      </c>
      <c r="D11164" s="7">
        <v>1.36</v>
      </c>
      <c r="E11164" t="s">
        <v>11</v>
      </c>
    </row>
    <row r="11165" spans="1:5" x14ac:dyDescent="0.25">
      <c r="A11165" t="str">
        <f>HYPERLINK("https://www.773grp.com/globalSearch/MC74HC541ADWG/page-1", "MC74HC541ADWG")</f>
        <v>MC74HC541ADWG</v>
      </c>
      <c r="B11165" s="3" t="str">
        <f>HYPERLINK("https://www.773grp.com/manufacturer/onsemi?pageNo=380", "Onsemi")</f>
        <v>Onsemi</v>
      </c>
      <c r="C11165" s="6">
        <v>7473</v>
      </c>
      <c r="D11165" s="7">
        <v>1.36</v>
      </c>
      <c r="E11165" t="s">
        <v>11</v>
      </c>
    </row>
    <row r="11166" spans="1:5" x14ac:dyDescent="0.25">
      <c r="A11166" t="str">
        <f>HYPERLINK("https://www.773grp.com/globalSearch/MC74HC541ADWR2/page-1", "MC74HC541ADWR2")</f>
        <v>MC74HC541ADWR2</v>
      </c>
      <c r="B11166" s="3" t="str">
        <f>HYPERLINK("https://www.773grp.com/manufacturer/onsemi?pageNo=381", "Onsemi")</f>
        <v>Onsemi</v>
      </c>
      <c r="C11166" s="6">
        <v>26900</v>
      </c>
      <c r="D11166" s="7">
        <v>1.36</v>
      </c>
    </row>
    <row r="11167" spans="1:5" x14ac:dyDescent="0.25">
      <c r="A11167" t="str">
        <f>HYPERLINK("https://www.773grp.com/globalSearch/MC74HC541ADWR2G/page-1", "MC74HC541ADWR2G")</f>
        <v>MC74HC541ADWR2G</v>
      </c>
      <c r="B11167" s="3" t="str">
        <f>HYPERLINK("https://www.773grp.com/manufacturer/onsemi?pageNo=382", "Onsemi")</f>
        <v>Onsemi</v>
      </c>
      <c r="C11167" s="6">
        <v>47612</v>
      </c>
      <c r="D11167" s="7">
        <v>1.36</v>
      </c>
      <c r="E11167" t="s">
        <v>11</v>
      </c>
    </row>
    <row r="11168" spans="1:5" x14ac:dyDescent="0.25">
      <c r="A11168" t="str">
        <f>HYPERLINK("https://www.773grp.com/globalSearch/MC74HCT245AN/page-1", "MC74HCT245AN")</f>
        <v>MC74HCT245AN</v>
      </c>
      <c r="B11168" s="3" t="str">
        <f>HYPERLINK("https://www.773grp.com/manufacturer/onsemi?pageNo=383", "Onsemi")</f>
        <v>Onsemi</v>
      </c>
      <c r="C11168" s="6">
        <v>24102</v>
      </c>
      <c r="D11168" s="7">
        <v>1.36</v>
      </c>
    </row>
    <row r="11169" spans="1:5" x14ac:dyDescent="0.25">
      <c r="A11169" t="str">
        <f>HYPERLINK("https://www.773grp.com/globalSearch/MC74HCT541ADTR2G/page-1", "MC74HCT541ADTR2G")</f>
        <v>MC74HCT541ADTR2G</v>
      </c>
      <c r="B11169" s="3" t="str">
        <f>HYPERLINK("https://www.773grp.com/manufacturer/onsemi?pageNo=384", "Onsemi")</f>
        <v>Onsemi</v>
      </c>
      <c r="C11169" s="6">
        <v>33060</v>
      </c>
      <c r="D11169" s="7">
        <v>1.36</v>
      </c>
      <c r="E11169" t="s">
        <v>11</v>
      </c>
    </row>
    <row r="11170" spans="1:5" x14ac:dyDescent="0.25">
      <c r="A11170" t="str">
        <f>HYPERLINK("https://www.773grp.com/globalSearch/MC74HCT541ADW/page-1", "MC74HCT541ADW")</f>
        <v>MC74HCT541ADW</v>
      </c>
      <c r="B11170" s="3" t="str">
        <f>HYPERLINK("https://www.773grp.com/manufacturer/onsemi?pageNo=385", "Onsemi")</f>
        <v>Onsemi</v>
      </c>
      <c r="C11170" s="6">
        <v>266</v>
      </c>
      <c r="D11170" s="7">
        <v>1.36</v>
      </c>
      <c r="E11170" t="s">
        <v>11</v>
      </c>
    </row>
    <row r="11171" spans="1:5" x14ac:dyDescent="0.25">
      <c r="A11171" t="str">
        <f>HYPERLINK("https://www.773grp.com/globalSearch/MC74HCT541ADWG/page-1", "MC74HCT541ADWG")</f>
        <v>MC74HCT541ADWG</v>
      </c>
      <c r="B11171" s="3" t="str">
        <f>HYPERLINK("https://www.773grp.com/manufacturer/onsemi?pageNo=386", "Onsemi")</f>
        <v>Onsemi</v>
      </c>
      <c r="C11171" s="6">
        <v>1788</v>
      </c>
      <c r="D11171" s="7">
        <v>1.36</v>
      </c>
      <c r="E11171" t="s">
        <v>11</v>
      </c>
    </row>
    <row r="11172" spans="1:5" x14ac:dyDescent="0.25">
      <c r="A11172" t="str">
        <f>HYPERLINK("https://www.773grp.com/globalSearch/MC74HCT541ADWR2/page-1", "MC74HCT541ADWR2")</f>
        <v>MC74HCT541ADWR2</v>
      </c>
      <c r="B11172" s="3" t="str">
        <f>HYPERLINK("https://www.773grp.com/manufacturer/onsemi?pageNo=387", "Onsemi")</f>
        <v>Onsemi</v>
      </c>
      <c r="C11172" s="6">
        <v>485</v>
      </c>
      <c r="D11172" s="7">
        <v>1.36</v>
      </c>
      <c r="E11172" t="s">
        <v>11</v>
      </c>
    </row>
    <row r="11173" spans="1:5" x14ac:dyDescent="0.25">
      <c r="A11173" t="str">
        <f>HYPERLINK("https://www.773grp.com/globalSearch/MC74HCT541ADWR2G/page-1", "MC74HCT541ADWR2G")</f>
        <v>MC74HCT541ADWR2G</v>
      </c>
      <c r="B11173" s="3" t="str">
        <f>HYPERLINK("https://www.773grp.com/manufacturer/onsemi?pageNo=388", "Onsemi")</f>
        <v>Onsemi</v>
      </c>
      <c r="C11173" s="6">
        <v>3943</v>
      </c>
      <c r="D11173" s="7">
        <v>1.36</v>
      </c>
      <c r="E11173" t="s">
        <v>11</v>
      </c>
    </row>
    <row r="11174" spans="1:5" x14ac:dyDescent="0.25">
      <c r="A11174" t="str">
        <f>HYPERLINK("https://www.773grp.com/globalSearch/MC74LVQ04DTR2/page-1", "MC74LVQ04DTR2")</f>
        <v>MC74LVQ04DTR2</v>
      </c>
      <c r="B11174" s="3" t="str">
        <f>HYPERLINK("https://www.773grp.com/manufacturer/onsemi?pageNo=389", "Onsemi")</f>
        <v>Onsemi</v>
      </c>
      <c r="C11174" s="6">
        <v>5000</v>
      </c>
      <c r="D11174" s="7">
        <v>1.36</v>
      </c>
    </row>
    <row r="11175" spans="1:5" x14ac:dyDescent="0.25">
      <c r="A11175" t="str">
        <f>HYPERLINK("https://www.773grp.com/globalSearch/MC74LVX4066MELG/page-1", "MC74LVX4066MELG")</f>
        <v>MC74LVX4066MELG</v>
      </c>
      <c r="B11175" s="3" t="str">
        <f>HYPERLINK("https://www.773grp.com/manufacturer/onsemi?pageNo=390", "Onsemi")</f>
        <v>Onsemi</v>
      </c>
      <c r="C11175" s="6">
        <v>47344</v>
      </c>
      <c r="D11175" s="7">
        <v>1.36</v>
      </c>
      <c r="E11175" t="s">
        <v>46</v>
      </c>
    </row>
    <row r="11176" spans="1:5" x14ac:dyDescent="0.25">
      <c r="A11176" t="str">
        <f>HYPERLINK("https://www.773grp.com/globalSearch/MC74VHC4052MELG/page-1", "MC74VHC4052MELG")</f>
        <v>MC74VHC4052MELG</v>
      </c>
      <c r="B11176" s="3" t="str">
        <f>HYPERLINK("https://www.773grp.com/manufacturer/onsemi?pageNo=391", "Onsemi")</f>
        <v>Onsemi</v>
      </c>
      <c r="C11176" s="6">
        <v>2000</v>
      </c>
      <c r="D11176" s="7">
        <v>1.36</v>
      </c>
    </row>
    <row r="11177" spans="1:5" x14ac:dyDescent="0.25">
      <c r="A11177" t="str">
        <f>HYPERLINK("https://www.773grp.com/globalSearch/MC74VHC4052MG/page-1", "MC74VHC4052MG")</f>
        <v>MC74VHC4052MG</v>
      </c>
      <c r="B11177" s="3" t="str">
        <f>HYPERLINK("https://www.773grp.com/manufacturer/onsemi?pageNo=392", "Onsemi")</f>
        <v>Onsemi</v>
      </c>
      <c r="C11177" s="6">
        <v>2100</v>
      </c>
      <c r="D11177" s="7">
        <v>1.36</v>
      </c>
    </row>
    <row r="11178" spans="1:5" x14ac:dyDescent="0.25">
      <c r="A11178" t="str">
        <f>HYPERLINK("https://www.773grp.com/globalSearch/MC74VHC4053MG/page-1", "MC74VHC4053MG")</f>
        <v>MC74VHC4053MG</v>
      </c>
      <c r="B11178" s="3" t="str">
        <f>HYPERLINK("https://www.773grp.com/manufacturer/onsemi?pageNo=393", "Onsemi")</f>
        <v>Onsemi</v>
      </c>
      <c r="C11178" s="6">
        <v>6700</v>
      </c>
      <c r="D11178" s="7">
        <v>1.36</v>
      </c>
    </row>
    <row r="11179" spans="1:5" x14ac:dyDescent="0.25">
      <c r="A11179" t="str">
        <f>HYPERLINK("https://www.773grp.com/globalSearch/MC7905.2CTG/page-1", "MC7905.2CTG")</f>
        <v>MC7905.2CTG</v>
      </c>
      <c r="B11179" s="3" t="str">
        <f>HYPERLINK("https://www.773grp.com/manufacturer/onsemi?pageNo=394", "Onsemi")</f>
        <v>Onsemi</v>
      </c>
      <c r="C11179" s="6">
        <v>4350</v>
      </c>
      <c r="D11179" s="7">
        <v>1.36</v>
      </c>
      <c r="E11179" t="s">
        <v>53</v>
      </c>
    </row>
    <row r="11180" spans="1:5" x14ac:dyDescent="0.25">
      <c r="A11180" t="str">
        <f>HYPERLINK("https://www.773grp.com/globalSearch/MC79M12CT/page-1", "MC79M12CT")</f>
        <v>MC79M12CT</v>
      </c>
      <c r="B11180" s="3" t="str">
        <f>HYPERLINK("https://www.773grp.com/manufacturer/onsemi?pageNo=395", "Onsemi")</f>
        <v>Onsemi</v>
      </c>
      <c r="C11180" s="6">
        <v>15050</v>
      </c>
      <c r="D11180" s="7">
        <v>1.36</v>
      </c>
      <c r="E11180" t="s">
        <v>53</v>
      </c>
    </row>
    <row r="11181" spans="1:5" x14ac:dyDescent="0.25">
      <c r="A11181" t="str">
        <f>HYPERLINK("https://www.773grp.com/globalSearch/MCR69-002/page-1", "MCR69-002")</f>
        <v>MCR69-002</v>
      </c>
      <c r="B11181" s="3" t="str">
        <f>HYPERLINK("https://www.773grp.com/manufacturer/onsemi?pageNo=396", "Onsemi")</f>
        <v>Onsemi</v>
      </c>
      <c r="C11181" s="6">
        <v>4080</v>
      </c>
      <c r="D11181" s="7">
        <v>1.36</v>
      </c>
    </row>
    <row r="11182" spans="1:5" x14ac:dyDescent="0.25">
      <c r="A11182" t="str">
        <f>HYPERLINK("https://www.773grp.com/globalSearch/MCR69-003/page-1", "MCR69-003")</f>
        <v>MCR69-003</v>
      </c>
      <c r="B11182" s="3" t="str">
        <f>HYPERLINK("https://www.773grp.com/manufacturer/onsemi?pageNo=397", "Onsemi")</f>
        <v>Onsemi</v>
      </c>
      <c r="C11182" s="6">
        <v>1889</v>
      </c>
      <c r="D11182" s="7">
        <v>1.36</v>
      </c>
    </row>
    <row r="11183" spans="1:5" x14ac:dyDescent="0.25">
      <c r="A11183" t="str">
        <f>HYPERLINK("https://www.773grp.com/globalSearch/MJD41CRL/page-1", "MJD41CRL")</f>
        <v>MJD41CRL</v>
      </c>
      <c r="B11183" s="3" t="str">
        <f>HYPERLINK("https://www.773grp.com/manufacturer/onsemi?pageNo=398", "Onsemi")</f>
        <v>Onsemi</v>
      </c>
      <c r="C11183" s="6">
        <v>1800</v>
      </c>
      <c r="D11183" s="7">
        <v>1.36</v>
      </c>
      <c r="E11183" t="s">
        <v>47</v>
      </c>
    </row>
    <row r="11184" spans="1:5" x14ac:dyDescent="0.25">
      <c r="A11184" t="str">
        <f>HYPERLINK("https://www.773grp.com/globalSearch/MPTE-010/page-1", "MPTE-010")</f>
        <v>MPTE-010</v>
      </c>
      <c r="B11184" s="3" t="str">
        <f>HYPERLINK("https://www.773grp.com/manufacturer/onsemi?pageNo=399", "Onsemi")</f>
        <v>Onsemi</v>
      </c>
      <c r="C11184" s="6">
        <v>1500</v>
      </c>
      <c r="D11184" s="7">
        <v>1.36</v>
      </c>
    </row>
    <row r="11185" spans="1:5" x14ac:dyDescent="0.25">
      <c r="A11185" t="str">
        <f>HYPERLINK("https://www.773grp.com/globalSearch/MTP2N40E/page-1", "MTP2N40E")</f>
        <v>MTP2N40E</v>
      </c>
      <c r="B11185" s="3" t="str">
        <f>HYPERLINK("https://www.773grp.com/manufacturer/onsemi?pageNo=400", "Onsemi")</f>
        <v>Onsemi</v>
      </c>
      <c r="C11185" s="6">
        <v>106</v>
      </c>
      <c r="D11185" s="7">
        <v>1.36</v>
      </c>
      <c r="E11185" t="s">
        <v>84</v>
      </c>
    </row>
    <row r="11186" spans="1:5" x14ac:dyDescent="0.25">
      <c r="A11186" t="str">
        <f>HYPERLINK("https://www.773grp.com/globalSearch/MUR1610CT/page-1", "MUR1610CT")</f>
        <v>MUR1610CT</v>
      </c>
      <c r="B11186" s="3" t="str">
        <f>HYPERLINK("https://www.773grp.com/manufacturer/onsemi?pageNo=401", "Onsemi")</f>
        <v>Onsemi</v>
      </c>
      <c r="C11186" s="6">
        <v>20300</v>
      </c>
      <c r="D11186" s="7">
        <v>1.36</v>
      </c>
      <c r="E11186" t="s">
        <v>82</v>
      </c>
    </row>
    <row r="11187" spans="1:5" x14ac:dyDescent="0.25">
      <c r="A11187" t="str">
        <f>HYPERLINK("https://www.773grp.com/globalSearch/MUR1615CT/page-1", "MUR1615CT")</f>
        <v>MUR1615CT</v>
      </c>
      <c r="B11187" s="3" t="str">
        <f>HYPERLINK("https://www.773grp.com/manufacturer/onsemi?pageNo=402", "Onsemi")</f>
        <v>Onsemi</v>
      </c>
      <c r="C11187" s="6">
        <v>800</v>
      </c>
      <c r="D11187" s="7">
        <v>1.36</v>
      </c>
      <c r="E11187" t="s">
        <v>82</v>
      </c>
    </row>
    <row r="11188" spans="1:5" x14ac:dyDescent="0.25">
      <c r="A11188" t="str">
        <f>HYPERLINK("https://www.773grp.com/globalSearch/MUR1620CT/page-1", "MUR1620CT")</f>
        <v>MUR1620CT</v>
      </c>
      <c r="B11188" s="3" t="str">
        <f>HYPERLINK("https://www.773grp.com/manufacturer/onsemi?pageNo=403", "Onsemi")</f>
        <v>Onsemi</v>
      </c>
      <c r="C11188" s="6">
        <v>188</v>
      </c>
      <c r="D11188" s="7">
        <v>1.36</v>
      </c>
      <c r="E11188" t="s">
        <v>82</v>
      </c>
    </row>
    <row r="11189" spans="1:5" x14ac:dyDescent="0.25">
      <c r="A11189" t="str">
        <f>HYPERLINK("https://www.773grp.com/globalSearch/MURS340T3G/page-1", "MURS340T3G")</f>
        <v>MURS340T3G</v>
      </c>
      <c r="B11189" s="3" t="str">
        <f>HYPERLINK("https://www.773grp.com/manufacturer/onsemi?pageNo=404", "Onsemi")</f>
        <v>Onsemi</v>
      </c>
      <c r="C11189" s="6">
        <v>5000</v>
      </c>
      <c r="D11189" s="7">
        <v>1.36</v>
      </c>
      <c r="E11189" t="s">
        <v>82</v>
      </c>
    </row>
    <row r="11190" spans="1:5" x14ac:dyDescent="0.25">
      <c r="A11190" t="str">
        <f>HYPERLINK("https://www.773grp.com/globalSearch/MURS360T3G/page-1", "MURS360T3G")</f>
        <v>MURS360T3G</v>
      </c>
      <c r="B11190" s="3" t="str">
        <f>HYPERLINK("https://www.773grp.com/manufacturer/onsemi?pageNo=405", "Onsemi")</f>
        <v>Onsemi</v>
      </c>
      <c r="C11190" s="6">
        <v>20000</v>
      </c>
      <c r="D11190" s="7">
        <v>1.36</v>
      </c>
      <c r="E11190" t="s">
        <v>82</v>
      </c>
    </row>
    <row r="11191" spans="1:5" x14ac:dyDescent="0.25">
      <c r="A11191" t="str">
        <f>HYPERLINK("https://www.773grp.com/globalSearch/MV2108/page-1", "MV2108")</f>
        <v>MV2108</v>
      </c>
      <c r="B11191" s="3" t="str">
        <f>HYPERLINK("https://www.773grp.com/manufacturer/onsemi?pageNo=406", "Onsemi")</f>
        <v>Onsemi</v>
      </c>
      <c r="C11191" s="6">
        <v>35798</v>
      </c>
      <c r="D11191" s="7">
        <v>1.36</v>
      </c>
      <c r="E11191" t="s">
        <v>80</v>
      </c>
    </row>
    <row r="11192" spans="1:5" x14ac:dyDescent="0.25">
      <c r="A11192" t="str">
        <f>HYPERLINK("https://www.773grp.com/globalSearch/NCP1001P/page-1", "NCP1001P")</f>
        <v>NCP1001P</v>
      </c>
      <c r="B11192" s="3" t="str">
        <f>HYPERLINK("https://www.773grp.com/manufacturer/onsemi?pageNo=407", "Onsemi")</f>
        <v>Onsemi</v>
      </c>
      <c r="C11192" s="6">
        <v>1300</v>
      </c>
      <c r="D11192" s="7">
        <v>1.36</v>
      </c>
      <c r="E11192" t="s">
        <v>5</v>
      </c>
    </row>
    <row r="11193" spans="1:5" x14ac:dyDescent="0.25">
      <c r="A11193" t="str">
        <f>HYPERLINK("https://www.773grp.com/globalSearch/NCP1001PG/page-1", "NCP1001PG")</f>
        <v>NCP1001PG</v>
      </c>
      <c r="B11193" s="3" t="str">
        <f>HYPERLINK("https://www.773grp.com/manufacturer/onsemi?pageNo=408", "Onsemi")</f>
        <v>Onsemi</v>
      </c>
      <c r="C11193" s="6">
        <v>245</v>
      </c>
      <c r="D11193" s="7">
        <v>1.36</v>
      </c>
      <c r="E11193" t="s">
        <v>5</v>
      </c>
    </row>
    <row r="11194" spans="1:5" x14ac:dyDescent="0.25">
      <c r="A11194" t="str">
        <f>HYPERLINK("https://www.773grp.com/globalSearch/NCV612SQ15T1G/page-1", "NCV612SQ15T1G")</f>
        <v>NCV612SQ15T1G</v>
      </c>
      <c r="B11194" s="3" t="str">
        <f>HYPERLINK("https://www.773grp.com/manufacturer/onsemi?pageNo=409", "Onsemi")</f>
        <v>Onsemi</v>
      </c>
      <c r="C11194" s="6">
        <v>3612</v>
      </c>
      <c r="D11194" s="7">
        <v>1.36</v>
      </c>
      <c r="E11194" t="s">
        <v>24</v>
      </c>
    </row>
    <row r="11195" spans="1:5" x14ac:dyDescent="0.25">
      <c r="A11195" t="str">
        <f>HYPERLINK("https://www.773grp.com/globalSearch/NCV612SQ25T1G/page-1", "NCV612SQ25T1G")</f>
        <v>NCV612SQ25T1G</v>
      </c>
      <c r="B11195" s="3" t="str">
        <f>HYPERLINK("https://www.773grp.com/manufacturer/onsemi?pageNo=410", "Onsemi")</f>
        <v>Onsemi</v>
      </c>
      <c r="C11195" s="6">
        <v>22573</v>
      </c>
      <c r="D11195" s="7">
        <v>1.36</v>
      </c>
      <c r="E11195" t="s">
        <v>24</v>
      </c>
    </row>
    <row r="11196" spans="1:5" x14ac:dyDescent="0.25">
      <c r="A11196" t="str">
        <f>HYPERLINK("https://www.773grp.com/globalSearch/NCV612SQ30T1G/page-1", "NCV612SQ30T1G")</f>
        <v>NCV612SQ30T1G</v>
      </c>
      <c r="B11196" s="3" t="str">
        <f>HYPERLINK("https://www.773grp.com/manufacturer/onsemi?pageNo=411", "Onsemi")</f>
        <v>Onsemi</v>
      </c>
      <c r="C11196" s="6">
        <v>14870</v>
      </c>
      <c r="D11196" s="7">
        <v>1.36</v>
      </c>
      <c r="E11196" t="s">
        <v>24</v>
      </c>
    </row>
    <row r="11197" spans="1:5" x14ac:dyDescent="0.25">
      <c r="A11197" t="str">
        <f>HYPERLINK("https://www.773grp.com/globalSearch/NCV612SQ50T1G/page-1", "NCV612SQ50T1G")</f>
        <v>NCV612SQ50T1G</v>
      </c>
      <c r="B11197" s="3" t="str">
        <f>HYPERLINK("https://www.773grp.com/manufacturer/onsemi?pageNo=412", "Onsemi")</f>
        <v>Onsemi</v>
      </c>
      <c r="C11197" s="6">
        <v>31300</v>
      </c>
      <c r="D11197" s="7">
        <v>1.36</v>
      </c>
      <c r="E11197" t="s">
        <v>24</v>
      </c>
    </row>
    <row r="11198" spans="1:5" x14ac:dyDescent="0.25">
      <c r="A11198" t="str">
        <f>HYPERLINK("https://www.773grp.com/globalSearch/NCV663SQ18T1/page-1", "NCV663SQ18T1")</f>
        <v>NCV663SQ18T1</v>
      </c>
      <c r="B11198" s="3" t="str">
        <f>HYPERLINK("https://www.773grp.com/manufacturer/onsemi?pageNo=413", "Onsemi")</f>
        <v>Onsemi</v>
      </c>
      <c r="C11198" s="6">
        <v>12000</v>
      </c>
      <c r="D11198" s="7">
        <v>1.36</v>
      </c>
      <c r="E11198" t="s">
        <v>15</v>
      </c>
    </row>
    <row r="11199" spans="1:5" x14ac:dyDescent="0.25">
      <c r="A11199" t="str">
        <f>HYPERLINK("https://www.773grp.com/globalSearch/NCV7808BDTG/page-1", "NCV7808BDTG")</f>
        <v>NCV7808BDTG</v>
      </c>
      <c r="B11199" s="3" t="str">
        <f>HYPERLINK("https://www.773grp.com/manufacturer/onsemi?pageNo=414", "Onsemi")</f>
        <v>Onsemi</v>
      </c>
      <c r="C11199" s="6">
        <v>6313</v>
      </c>
      <c r="D11199" s="7">
        <v>1.36</v>
      </c>
      <c r="E11199" t="s">
        <v>24</v>
      </c>
    </row>
    <row r="11200" spans="1:5" x14ac:dyDescent="0.25">
      <c r="A11200" t="str">
        <f>HYPERLINK("https://www.773grp.com/globalSearch/NCV8501D33/page-1", "NCV8501D33")</f>
        <v>NCV8501D33</v>
      </c>
      <c r="B11200" s="3" t="str">
        <f>HYPERLINK("https://www.773grp.com/manufacturer/onsemi?pageNo=415", "Onsemi")</f>
        <v>Onsemi</v>
      </c>
      <c r="C11200" s="6">
        <v>1518</v>
      </c>
      <c r="D11200" s="7">
        <v>1.36</v>
      </c>
      <c r="E11200" t="s">
        <v>15</v>
      </c>
    </row>
    <row r="11201" spans="1:5" x14ac:dyDescent="0.25">
      <c r="A11201" t="str">
        <f>HYPERLINK("https://www.773grp.com/globalSearch/NCV8501D50/page-1", "NCV8501D50")</f>
        <v>NCV8501D50</v>
      </c>
      <c r="B11201" s="3" t="str">
        <f>HYPERLINK("https://www.773grp.com/manufacturer/onsemi?pageNo=416", "Onsemi")</f>
        <v>Onsemi</v>
      </c>
      <c r="C11201" s="6">
        <v>33</v>
      </c>
      <c r="D11201" s="7">
        <v>1.36</v>
      </c>
      <c r="E11201" t="s">
        <v>15</v>
      </c>
    </row>
    <row r="11202" spans="1:5" x14ac:dyDescent="0.25">
      <c r="A11202" t="str">
        <f>HYPERLINK("https://www.773grp.com/globalSearch/NDF04N60ZG/page-1", "NDF04N60ZG")</f>
        <v>NDF04N60ZG</v>
      </c>
      <c r="B11202" s="3" t="str">
        <f>HYPERLINK("https://www.773grp.com/manufacturer/onsemi?pageNo=417", "Onsemi")</f>
        <v>Onsemi</v>
      </c>
      <c r="C11202" s="6">
        <v>59450</v>
      </c>
      <c r="D11202" s="7">
        <v>1.36</v>
      </c>
      <c r="E11202" t="s">
        <v>84</v>
      </c>
    </row>
    <row r="11203" spans="1:5" x14ac:dyDescent="0.25">
      <c r="A11203" t="str">
        <f>HYPERLINK("https://www.773grp.com/globalSearch/NDF04N60ZH/page-1", "NDF04N60ZH")</f>
        <v>NDF04N60ZH</v>
      </c>
      <c r="B11203" s="3" t="str">
        <f>HYPERLINK("https://www.773grp.com/manufacturer/onsemi?pageNo=418", "Onsemi")</f>
        <v>Onsemi</v>
      </c>
      <c r="C11203" s="6">
        <v>54797</v>
      </c>
      <c r="D11203" s="7">
        <v>1.36</v>
      </c>
    </row>
    <row r="11204" spans="1:5" x14ac:dyDescent="0.25">
      <c r="A11204" t="str">
        <f>HYPERLINK("https://www.773grp.com/globalSearch/NDF05N50ZH/page-1", "NDF05N50ZH")</f>
        <v>NDF05N50ZH</v>
      </c>
      <c r="B11204" s="3" t="str">
        <f>HYPERLINK("https://www.773grp.com/manufacturer/onsemi?pageNo=419", "Onsemi")</f>
        <v>Onsemi</v>
      </c>
      <c r="C11204" s="6">
        <v>306439</v>
      </c>
      <c r="D11204" s="7">
        <v>1.36</v>
      </c>
    </row>
    <row r="11205" spans="1:5" x14ac:dyDescent="0.25">
      <c r="A11205" t="str">
        <f>HYPERLINK("https://www.773grp.com/globalSearch/NJVMJD2955T4G/page-1", "NJVMJD2955T4G")</f>
        <v>NJVMJD2955T4G</v>
      </c>
      <c r="B11205" s="3" t="str">
        <f>HYPERLINK("https://www.773grp.com/manufacturer/onsemi?pageNo=420", "Onsemi")</f>
        <v>Onsemi</v>
      </c>
      <c r="C11205" s="6">
        <v>2500</v>
      </c>
      <c r="D11205" s="7">
        <v>1.36</v>
      </c>
    </row>
    <row r="11206" spans="1:5" x14ac:dyDescent="0.25">
      <c r="A11206" t="str">
        <f>HYPERLINK("https://www.773grp.com/globalSearch/NTD20N03L27T4/page-1", "NTD20N03L27T4")</f>
        <v>NTD20N03L27T4</v>
      </c>
      <c r="B11206" s="3" t="str">
        <f>HYPERLINK("https://www.773grp.com/manufacturer/onsemi?pageNo=421", "Onsemi")</f>
        <v>Onsemi</v>
      </c>
      <c r="C11206" s="6">
        <v>2500</v>
      </c>
      <c r="D11206" s="7">
        <v>1.36</v>
      </c>
    </row>
    <row r="11207" spans="1:5" x14ac:dyDescent="0.25">
      <c r="A11207" t="str">
        <f>HYPERLINK("https://www.773grp.com/globalSearch/NTD4855N-35G/page-1", "NTD4855N-35G")</f>
        <v>NTD4855N-35G</v>
      </c>
      <c r="B11207" s="3" t="str">
        <f>HYPERLINK("https://www.773grp.com/manufacturer/onsemi?pageNo=422", "Onsemi")</f>
        <v>Onsemi</v>
      </c>
      <c r="C11207" s="6">
        <v>2925</v>
      </c>
      <c r="D11207" s="7">
        <v>1.36</v>
      </c>
      <c r="E11207" t="s">
        <v>84</v>
      </c>
    </row>
    <row r="11208" spans="1:5" x14ac:dyDescent="0.25">
      <c r="A11208" t="str">
        <f>HYPERLINK("https://www.773grp.com/globalSearch/NTMD6P02R2G/page-1", "NTMD6P02R2G")</f>
        <v>NTMD6P02R2G</v>
      </c>
      <c r="B11208" s="3" t="str">
        <f>HYPERLINK("https://www.773grp.com/manufacturer/onsemi?pageNo=423", "Onsemi")</f>
        <v>Onsemi</v>
      </c>
      <c r="C11208" s="6">
        <v>22500</v>
      </c>
      <c r="D11208" s="7">
        <v>1.36</v>
      </c>
      <c r="E11208" t="s">
        <v>85</v>
      </c>
    </row>
    <row r="11209" spans="1:5" x14ac:dyDescent="0.25">
      <c r="A11209" t="str">
        <f>HYPERLINK("https://www.773grp.com/globalSearch/NTMFS4121NT1G/page-1", "NTMFS4121NT1G")</f>
        <v>NTMFS4121NT1G</v>
      </c>
      <c r="B11209" s="3" t="str">
        <f>HYPERLINK("https://www.773grp.com/manufacturer/onsemi?pageNo=424", "Onsemi")</f>
        <v>Onsemi</v>
      </c>
      <c r="C11209" s="6">
        <v>728470</v>
      </c>
      <c r="D11209" s="7">
        <v>1.36</v>
      </c>
      <c r="E11209" t="s">
        <v>85</v>
      </c>
    </row>
    <row r="11210" spans="1:5" x14ac:dyDescent="0.25">
      <c r="A11210" t="str">
        <f>HYPERLINK("https://www.773grp.com/globalSearch/NTMFS4837NHT1G/page-1", "NTMFS4837NHT1G")</f>
        <v>NTMFS4837NHT1G</v>
      </c>
      <c r="B11210" s="3" t="str">
        <f>HYPERLINK("https://www.773grp.com/manufacturer/onsemi?pageNo=425", "Onsemi")</f>
        <v>Onsemi</v>
      </c>
      <c r="C11210" s="6">
        <v>16500</v>
      </c>
      <c r="D11210" s="7">
        <v>1.36</v>
      </c>
      <c r="E11210" t="s">
        <v>84</v>
      </c>
    </row>
    <row r="11211" spans="1:5" x14ac:dyDescent="0.25">
      <c r="A11211" t="str">
        <f>HYPERLINK("https://www.773grp.com/globalSearch/NTSB20100CT-1G/page-1", "NTSB20100CT-1G")</f>
        <v>NTSB20100CT-1G</v>
      </c>
      <c r="B11211" s="3" t="str">
        <f>HYPERLINK("https://www.773grp.com/manufacturer/onsemi?pageNo=426", "Onsemi")</f>
        <v>Onsemi</v>
      </c>
      <c r="C11211" s="6">
        <v>1000</v>
      </c>
      <c r="D11211" s="7">
        <v>1.36</v>
      </c>
    </row>
    <row r="11212" spans="1:5" x14ac:dyDescent="0.25">
      <c r="A11212" t="str">
        <f>HYPERLINK("https://www.773grp.com/globalSearch/NTSJ3080CTG/page-1", "NTSJ3080CTG")</f>
        <v>NTSJ3080CTG</v>
      </c>
      <c r="B11212" s="3" t="str">
        <f>HYPERLINK("https://www.773grp.com/manufacturer/onsemi?pageNo=427", "Onsemi")</f>
        <v>Onsemi</v>
      </c>
      <c r="C11212" s="6">
        <v>1202</v>
      </c>
      <c r="D11212" s="7">
        <v>1.36</v>
      </c>
    </row>
    <row r="11213" spans="1:5" x14ac:dyDescent="0.25">
      <c r="A11213" t="str">
        <f>HYPERLINK("https://www.773grp.com/globalSearch/NTTFS5820NLTWG/page-1", "NTTFS5820NLTWG")</f>
        <v>NTTFS5820NLTWG</v>
      </c>
      <c r="B11213" s="3" t="str">
        <f>HYPERLINK("https://www.773grp.com/manufacturer/onsemi?pageNo=428", "Onsemi")</f>
        <v>Onsemi</v>
      </c>
      <c r="C11213" s="6">
        <v>196</v>
      </c>
      <c r="D11213" s="7">
        <v>1.36</v>
      </c>
    </row>
    <row r="11214" spans="1:5" x14ac:dyDescent="0.25">
      <c r="A11214" t="str">
        <f>HYPERLINK("https://www.773grp.com/globalSearch/NUD3048MT1/page-1", "NUD3048MT1")</f>
        <v>NUD3048MT1</v>
      </c>
      <c r="B11214" s="3" t="str">
        <f>HYPERLINK("https://www.773grp.com/manufacturer/onsemi?pageNo=429", "Onsemi")</f>
        <v>Onsemi</v>
      </c>
      <c r="C11214" s="6">
        <v>1958</v>
      </c>
      <c r="D11214" s="7">
        <v>1.36</v>
      </c>
      <c r="E11214" t="s">
        <v>85</v>
      </c>
    </row>
    <row r="11215" spans="1:5" x14ac:dyDescent="0.25">
      <c r="A11215" t="str">
        <f>HYPERLINK("https://www.773grp.com/globalSearch/NVD5414NT4G/page-1", "NVD5414NT4G")</f>
        <v>NVD5414NT4G</v>
      </c>
      <c r="B11215" s="3" t="str">
        <f>HYPERLINK("https://www.773grp.com/manufacturer/onsemi?pageNo=430", "Onsemi")</f>
        <v>Onsemi</v>
      </c>
      <c r="C11215" s="6">
        <v>2500</v>
      </c>
      <c r="D11215" s="7">
        <v>1.36</v>
      </c>
    </row>
    <row r="11216" spans="1:5" x14ac:dyDescent="0.25">
      <c r="A11216" t="str">
        <f>HYPERLINK("https://www.773grp.com/globalSearch/NVMFD5877NLT1G/page-1", "NVMFD5877NLT1G")</f>
        <v>NVMFD5877NLT1G</v>
      </c>
      <c r="B11216" s="3" t="str">
        <f>HYPERLINK("https://www.773grp.com/manufacturer/onsemi?pageNo=431", "Onsemi")</f>
        <v>Onsemi</v>
      </c>
      <c r="C11216" s="6">
        <v>3000</v>
      </c>
      <c r="D11216" s="7">
        <v>1.36</v>
      </c>
    </row>
    <row r="11217" spans="1:5" x14ac:dyDescent="0.25">
      <c r="A11217" t="str">
        <f>HYPERLINK("https://www.773grp.com/globalSearch/SCV303LSN40T1G/page-1", "SCV303LSN40T1G")</f>
        <v>SCV303LSN40T1G</v>
      </c>
      <c r="B11217" s="3" t="str">
        <f>HYPERLINK("https://www.773grp.com/manufacturer/onsemi?pageNo=432", "Onsemi")</f>
        <v>Onsemi</v>
      </c>
      <c r="C11217" s="6">
        <v>6000</v>
      </c>
      <c r="D11217" s="7">
        <v>1.36</v>
      </c>
    </row>
    <row r="11218" spans="1:5" x14ac:dyDescent="0.25">
      <c r="A11218" t="str">
        <f>HYPERLINK("https://www.773grp.com/globalSearch/SN74LS379N/page-1", "SN74LS379N")</f>
        <v>SN74LS379N</v>
      </c>
      <c r="B11218" s="3" t="str">
        <f>HYPERLINK("https://www.773grp.com/manufacturer/onsemi?pageNo=433", "Onsemi")</f>
        <v>Onsemi</v>
      </c>
      <c r="C11218" s="6">
        <v>27</v>
      </c>
      <c r="D11218" s="7">
        <v>1.36</v>
      </c>
      <c r="E11218" t="s">
        <v>31</v>
      </c>
    </row>
    <row r="11219" spans="1:5" x14ac:dyDescent="0.25">
      <c r="A11219" t="str">
        <f>HYPERLINK("https://www.773grp.com/globalSearch/T2322BG/page-1", "T2322BG")</f>
        <v>T2322BG</v>
      </c>
      <c r="B11219" s="3" t="str">
        <f>HYPERLINK("https://www.773grp.com/manufacturer/onsemi?pageNo=434", "Onsemi")</f>
        <v>Onsemi</v>
      </c>
      <c r="C11219" s="6">
        <v>440</v>
      </c>
      <c r="D11219" s="7">
        <v>1.36</v>
      </c>
    </row>
    <row r="11220" spans="1:5" x14ac:dyDescent="0.25">
      <c r="A11220" t="str">
        <f>HYPERLINK("https://www.773grp.com/globalSearch/TIP29G/page-1", "TIP29G")</f>
        <v>TIP29G</v>
      </c>
      <c r="B11220" s="3" t="str">
        <f>HYPERLINK("https://www.773grp.com/manufacturer/onsemi?pageNo=435", "Onsemi")</f>
        <v>Onsemi</v>
      </c>
      <c r="C11220" s="6">
        <v>4762</v>
      </c>
      <c r="D11220" s="7">
        <v>1.36</v>
      </c>
      <c r="E11220" t="s">
        <v>47</v>
      </c>
    </row>
    <row r="11221" spans="1:5" x14ac:dyDescent="0.25">
      <c r="A11221" t="str">
        <f>HYPERLINK("https://www.773grp.com/globalSearch/UAA2016AD/page-1", "UAA2016AD")</f>
        <v>UAA2016AD</v>
      </c>
      <c r="B11221" s="3" t="str">
        <f>HYPERLINK("https://www.773grp.com/manufacturer/onsemi?pageNo=436", "Onsemi")</f>
        <v>Onsemi</v>
      </c>
      <c r="C11221" s="6">
        <v>33</v>
      </c>
      <c r="D11221" s="7">
        <v>1.36</v>
      </c>
      <c r="E11221" t="s">
        <v>36</v>
      </c>
    </row>
    <row r="11222" spans="1:5" x14ac:dyDescent="0.25">
      <c r="A11222" t="str">
        <f>HYPERLINK("https://www.773grp.com/globalSearch/UC3842AN1/page-1", "UC3842AN1")</f>
        <v>UC3842AN1</v>
      </c>
      <c r="B11222" s="3" t="str">
        <f>HYPERLINK("https://www.773grp.com/manufacturer/onsemi?pageNo=437", "Onsemi")</f>
        <v>Onsemi</v>
      </c>
      <c r="C11222" s="6">
        <v>4142</v>
      </c>
      <c r="D11222" s="7">
        <v>1.36</v>
      </c>
    </row>
    <row r="11223" spans="1:5" x14ac:dyDescent="0.25">
      <c r="A11223" t="str">
        <f>HYPERLINK("https://www.773grp.com/globalSearch/2SA2040-TL-E/page-1", "2SA2040-TL-E")</f>
        <v>2SA2040-TL-E</v>
      </c>
      <c r="B11223" s="3" t="str">
        <f>HYPERLINK("https://www.773grp.com/manufacturer/onsemi?pageNo=438", "Onsemi")</f>
        <v>Onsemi</v>
      </c>
      <c r="C11223" s="6">
        <v>1400</v>
      </c>
      <c r="D11223" s="7">
        <v>1.41</v>
      </c>
    </row>
    <row r="11224" spans="1:5" x14ac:dyDescent="0.25">
      <c r="A11224" t="str">
        <f>HYPERLINK("https://www.773grp.com/globalSearch/2SD1803S-E/page-1", "2SD1803S-E")</f>
        <v>2SD1803S-E</v>
      </c>
      <c r="B11224" s="3" t="str">
        <f>HYPERLINK("https://www.773grp.com/manufacturer/onsemi?pageNo=439", "Onsemi")</f>
        <v>Onsemi</v>
      </c>
      <c r="C11224" s="6">
        <v>1500</v>
      </c>
      <c r="D11224" s="7">
        <v>1.41</v>
      </c>
    </row>
    <row r="11225" spans="1:5" x14ac:dyDescent="0.25">
      <c r="A11225" t="str">
        <f>HYPERLINK("https://www.773grp.com/globalSearch/2SD1815S-E/page-1", "2SD1815S-E")</f>
        <v>2SD1815S-E</v>
      </c>
      <c r="B11225" s="3" t="str">
        <f>HYPERLINK("https://www.773grp.com/manufacturer/onsemi?pageNo=440", "Onsemi")</f>
        <v>Onsemi</v>
      </c>
      <c r="C11225" s="6">
        <v>3343</v>
      </c>
      <c r="D11225" s="7">
        <v>1.41</v>
      </c>
    </row>
    <row r="11226" spans="1:5" x14ac:dyDescent="0.25">
      <c r="A11226" t="str">
        <f>HYPERLINK("https://www.773grp.com/globalSearch/2SD1815T-TL-E/page-1", "2SD1815T-TL-E")</f>
        <v>2SD1815T-TL-E</v>
      </c>
      <c r="B11226" s="3" t="str">
        <f>HYPERLINK("https://www.773grp.com/manufacturer/onsemi?pageNo=441", "Onsemi")</f>
        <v>Onsemi</v>
      </c>
      <c r="C11226" s="6">
        <v>24700</v>
      </c>
      <c r="D11226" s="7">
        <v>1.41</v>
      </c>
    </row>
    <row r="11227" spans="1:5" x14ac:dyDescent="0.25">
      <c r="A11227" t="str">
        <f>HYPERLINK("https://www.773grp.com/globalSearch/BD242BG/page-1", "BD242BG")</f>
        <v>BD242BG</v>
      </c>
      <c r="B11227" s="3" t="str">
        <f>HYPERLINK("https://www.773grp.com/manufacturer/onsemi?pageNo=442", "Onsemi")</f>
        <v>Onsemi</v>
      </c>
      <c r="C11227" s="6">
        <v>30680</v>
      </c>
      <c r="D11227" s="7">
        <v>1.41</v>
      </c>
      <c r="E11227" t="s">
        <v>47</v>
      </c>
    </row>
    <row r="11228" spans="1:5" x14ac:dyDescent="0.25">
      <c r="A11228" t="str">
        <f>HYPERLINK("https://www.773grp.com/globalSearch/BDW47/page-1", "BDW47")</f>
        <v>BDW47</v>
      </c>
      <c r="B11228" s="3" t="str">
        <f>HYPERLINK("https://www.773grp.com/manufacturer/onsemi?pageNo=443", "Onsemi")</f>
        <v>Onsemi</v>
      </c>
      <c r="C11228" s="6">
        <v>1345</v>
      </c>
      <c r="D11228" s="7">
        <v>1.41</v>
      </c>
      <c r="E11228" t="s">
        <v>47</v>
      </c>
    </row>
    <row r="11229" spans="1:5" x14ac:dyDescent="0.25">
      <c r="A11229" t="str">
        <f>HYPERLINK("https://www.773grp.com/globalSearch/CAT24C256YI-GT3/page-1", "CAT24C256YI-GT3")</f>
        <v>CAT24C256YI-GT3</v>
      </c>
      <c r="B11229" s="3" t="str">
        <f>HYPERLINK("https://www.773grp.com/manufacturer/onsemi?pageNo=444", "Onsemi")</f>
        <v>Onsemi</v>
      </c>
      <c r="C11229" s="6">
        <v>192000</v>
      </c>
      <c r="D11229" s="7">
        <v>1.41</v>
      </c>
      <c r="E11229" t="s">
        <v>52</v>
      </c>
    </row>
    <row r="11230" spans="1:5" x14ac:dyDescent="0.25">
      <c r="A11230" t="str">
        <f>HYPERLINK("https://www.773grp.com/globalSearch/CAT25160VI-G/page-1", "CAT25160VI-G")</f>
        <v>CAT25160VI-G</v>
      </c>
      <c r="B11230" s="3" t="str">
        <f>HYPERLINK("https://www.773grp.com/manufacturer/onsemi?pageNo=445", "Onsemi")</f>
        <v>Onsemi</v>
      </c>
      <c r="C11230" s="6">
        <v>440</v>
      </c>
      <c r="D11230" s="7">
        <v>1.41</v>
      </c>
    </row>
    <row r="11231" spans="1:5" x14ac:dyDescent="0.25">
      <c r="A11231" t="str">
        <f>HYPERLINK("https://www.773grp.com/globalSearch/CAT6219-300TDGT3/page-1", "CAT6219-300TDGT3")</f>
        <v>CAT6219-300TDGT3</v>
      </c>
      <c r="B11231" s="3" t="str">
        <f>HYPERLINK("https://www.773grp.com/manufacturer/onsemi?pageNo=446", "Onsemi")</f>
        <v>Onsemi</v>
      </c>
      <c r="C11231" s="6">
        <v>9000</v>
      </c>
      <c r="D11231" s="7">
        <v>1.41</v>
      </c>
      <c r="E11231" t="s">
        <v>15</v>
      </c>
    </row>
    <row r="11232" spans="1:5" x14ac:dyDescent="0.25">
      <c r="A11232" t="str">
        <f>HYPERLINK("https://www.773grp.com/globalSearch/CAT6219-330TDGT3/page-1", "CAT6219-330TDGT3")</f>
        <v>CAT6219-330TDGT3</v>
      </c>
      <c r="B11232" s="3" t="str">
        <f>HYPERLINK("https://www.773grp.com/manufacturer/onsemi?pageNo=447", "Onsemi")</f>
        <v>Onsemi</v>
      </c>
      <c r="C11232" s="6">
        <v>9000</v>
      </c>
      <c r="D11232" s="7">
        <v>1.41</v>
      </c>
      <c r="E11232" t="s">
        <v>15</v>
      </c>
    </row>
    <row r="11233" spans="1:5" x14ac:dyDescent="0.25">
      <c r="A11233" t="str">
        <f>HYPERLINK("https://www.773grp.com/globalSearch/CAT6219-330TD-GT3/page-1", "CAT6219-330TD-GT3")</f>
        <v>CAT6219-330TD-GT3</v>
      </c>
      <c r="B11233" s="3" t="str">
        <f>HYPERLINK("https://www.773grp.com/manufacturer/onsemi?pageNo=448", "Onsemi")</f>
        <v>Onsemi</v>
      </c>
      <c r="C11233" s="6">
        <v>3000</v>
      </c>
      <c r="D11233" s="7">
        <v>1.41</v>
      </c>
    </row>
    <row r="11234" spans="1:5" x14ac:dyDescent="0.25">
      <c r="A11234" t="str">
        <f>HYPERLINK("https://www.773grp.com/globalSearch/CAT859MTBI-GT3/page-1", "CAT859MTBI-GT3")</f>
        <v>CAT859MTBI-GT3</v>
      </c>
      <c r="B11234" s="3" t="str">
        <f>HYPERLINK("https://www.773grp.com/manufacturer/onsemi?pageNo=449", "Onsemi")</f>
        <v>Onsemi</v>
      </c>
      <c r="C11234" s="6">
        <v>42000</v>
      </c>
      <c r="D11234" s="7">
        <v>1.41</v>
      </c>
      <c r="E11234" t="s">
        <v>26</v>
      </c>
    </row>
    <row r="11235" spans="1:5" x14ac:dyDescent="0.25">
      <c r="A11235" t="str">
        <f>HYPERLINK("https://www.773grp.com/globalSearch/CM1215-04SO/page-1", "CM1215-04SO")</f>
        <v>CM1215-04SO</v>
      </c>
      <c r="B11235" s="3" t="str">
        <f>HYPERLINK("https://www.773grp.com/manufacturer/onsemi?pageNo=450", "Onsemi")</f>
        <v>Onsemi</v>
      </c>
      <c r="C11235" s="6">
        <v>15000</v>
      </c>
      <c r="D11235" s="7">
        <v>1.41</v>
      </c>
    </row>
    <row r="11236" spans="1:5" x14ac:dyDescent="0.25">
      <c r="A11236" t="str">
        <f>HYPERLINK("https://www.773grp.com/globalSearch/CS9201YDF8/page-1", "CS9201YDF8")</f>
        <v>CS9201YDF8</v>
      </c>
      <c r="B11236" s="3" t="str">
        <f>HYPERLINK("https://www.773grp.com/manufacturer/onsemi?pageNo=451", "Onsemi")</f>
        <v>Onsemi</v>
      </c>
      <c r="C11236" s="6">
        <v>11524</v>
      </c>
      <c r="D11236" s="7">
        <v>1.41</v>
      </c>
      <c r="E11236" t="s">
        <v>15</v>
      </c>
    </row>
    <row r="11237" spans="1:5" x14ac:dyDescent="0.25">
      <c r="A11237" t="str">
        <f>HYPERLINK("https://www.773grp.com/globalSearch/CS9201YDF8G/page-1", "CS9201YDF8G")</f>
        <v>CS9201YDF8G</v>
      </c>
      <c r="B11237" s="3" t="str">
        <f>HYPERLINK("https://www.773grp.com/manufacturer/onsemi?pageNo=452", "Onsemi")</f>
        <v>Onsemi</v>
      </c>
      <c r="C11237" s="6">
        <v>4204</v>
      </c>
      <c r="D11237" s="7">
        <v>1.41</v>
      </c>
      <c r="E11237" t="s">
        <v>15</v>
      </c>
    </row>
    <row r="11238" spans="1:5" x14ac:dyDescent="0.25">
      <c r="A11238" t="str">
        <f>HYPERLINK("https://www.773grp.com/globalSearch/CS9201YDFR8/page-1", "CS9201YDFR8")</f>
        <v>CS9201YDFR8</v>
      </c>
      <c r="B11238" s="3" t="str">
        <f>HYPERLINK("https://www.773grp.com/manufacturer/onsemi?pageNo=453", "Onsemi")</f>
        <v>Onsemi</v>
      </c>
      <c r="C11238" s="6">
        <v>100000</v>
      </c>
      <c r="D11238" s="7">
        <v>1.41</v>
      </c>
      <c r="E11238" t="s">
        <v>15</v>
      </c>
    </row>
    <row r="11239" spans="1:5" x14ac:dyDescent="0.25">
      <c r="A11239" t="str">
        <f>HYPERLINK("https://www.773grp.com/globalSearch/LM2931ADT-5.0G/page-1", "LM2931ADT-5.0G")</f>
        <v>LM2931ADT-5.0G</v>
      </c>
      <c r="B11239" s="3" t="str">
        <f>HYPERLINK("https://www.773grp.com/manufacturer/onsemi?pageNo=454", "Onsemi")</f>
        <v>Onsemi</v>
      </c>
      <c r="C11239" s="6">
        <v>1800</v>
      </c>
      <c r="D11239" s="7">
        <v>1.41</v>
      </c>
    </row>
    <row r="11240" spans="1:5" x14ac:dyDescent="0.25">
      <c r="A11240" t="str">
        <f>HYPERLINK("https://www.773grp.com/globalSearch/LM2931ADT-5.0RKG/page-1", "LM2931ADT-5.0RKG")</f>
        <v>LM2931ADT-5.0RKG</v>
      </c>
      <c r="B11240" s="3" t="str">
        <f>HYPERLINK("https://www.773grp.com/manufacturer/onsemi?pageNo=455", "Onsemi")</f>
        <v>Onsemi</v>
      </c>
      <c r="C11240" s="6">
        <v>2500</v>
      </c>
      <c r="D11240" s="7">
        <v>1.41</v>
      </c>
      <c r="E11240" t="s">
        <v>15</v>
      </c>
    </row>
    <row r="11241" spans="1:5" x14ac:dyDescent="0.25">
      <c r="A11241" t="str">
        <f>HYPERLINK("https://www.773grp.com/globalSearch/LM2931DT-5.0G/page-1", "LM2931DT-5.0G")</f>
        <v>LM2931DT-5.0G</v>
      </c>
      <c r="B11241" s="3" t="str">
        <f>HYPERLINK("https://www.773grp.com/manufacturer/onsemi?pageNo=456", "Onsemi")</f>
        <v>Onsemi</v>
      </c>
      <c r="C11241" s="6">
        <v>18300</v>
      </c>
      <c r="D11241" s="7">
        <v>1.41</v>
      </c>
      <c r="E11241" t="s">
        <v>15</v>
      </c>
    </row>
    <row r="11242" spans="1:5" x14ac:dyDescent="0.25">
      <c r="A11242" t="str">
        <f>HYPERLINK("https://www.773grp.com/globalSearch/LM301ADG/page-1", "LM301ADG")</f>
        <v>LM301ADG</v>
      </c>
      <c r="B11242" s="3" t="str">
        <f>HYPERLINK("https://www.773grp.com/manufacturer/onsemi?pageNo=457", "Onsemi")</f>
        <v>Onsemi</v>
      </c>
      <c r="C11242" s="6">
        <v>8036</v>
      </c>
      <c r="D11242" s="7">
        <v>1.41</v>
      </c>
      <c r="E11242" t="s">
        <v>10</v>
      </c>
    </row>
    <row r="11243" spans="1:5" x14ac:dyDescent="0.25">
      <c r="A11243" t="str">
        <f>HYPERLINK("https://www.773grp.com/globalSearch/LM301ADR2G/page-1", "LM301ADR2G")</f>
        <v>LM301ADR2G</v>
      </c>
      <c r="B11243" s="3" t="str">
        <f>HYPERLINK("https://www.773grp.com/manufacturer/onsemi?pageNo=458", "Onsemi")</f>
        <v>Onsemi</v>
      </c>
      <c r="C11243" s="6">
        <v>5768</v>
      </c>
      <c r="D11243" s="7">
        <v>1.41</v>
      </c>
      <c r="E11243" t="s">
        <v>10</v>
      </c>
    </row>
    <row r="11244" spans="1:5" x14ac:dyDescent="0.25">
      <c r="A11244" t="str">
        <f>HYPERLINK("https://www.773grp.com/globalSearch/LM311NG/page-1", "LM311NG")</f>
        <v>LM311NG</v>
      </c>
      <c r="B11244" s="3" t="str">
        <f>HYPERLINK("https://www.773grp.com/manufacturer/onsemi?pageNo=459", "Onsemi")</f>
        <v>Onsemi</v>
      </c>
      <c r="C11244" s="6">
        <v>2880</v>
      </c>
      <c r="D11244" s="7">
        <v>1.41</v>
      </c>
      <c r="E11244" t="s">
        <v>6</v>
      </c>
    </row>
    <row r="11245" spans="1:5" x14ac:dyDescent="0.25">
      <c r="A11245" t="str">
        <f>HYPERLINK("https://www.773grp.com/globalSearch/LM317BTG/page-1", "LM317BTG")</f>
        <v>LM317BTG</v>
      </c>
      <c r="B11245" s="3" t="str">
        <f>HYPERLINK("https://www.773grp.com/manufacturer/onsemi?pageNo=460", "Onsemi")</f>
        <v>Onsemi</v>
      </c>
      <c r="C11245" s="6">
        <v>8655</v>
      </c>
      <c r="D11245" s="7">
        <v>1.41</v>
      </c>
    </row>
    <row r="11246" spans="1:5" x14ac:dyDescent="0.25">
      <c r="A11246" t="str">
        <f>HYPERLINK("https://www.773grp.com/globalSearch/LM317LDG/page-1", "LM317LDG")</f>
        <v>LM317LDG</v>
      </c>
      <c r="B11246" s="3" t="str">
        <f>HYPERLINK("https://www.773grp.com/manufacturer/onsemi?pageNo=461", "Onsemi")</f>
        <v>Onsemi</v>
      </c>
      <c r="C11246" s="6">
        <v>33802</v>
      </c>
      <c r="D11246" s="7">
        <v>1.41</v>
      </c>
      <c r="E11246" t="s">
        <v>18</v>
      </c>
    </row>
    <row r="11247" spans="1:5" x14ac:dyDescent="0.25">
      <c r="A11247" t="str">
        <f>HYPERLINK("https://www.773grp.com/globalSearch/LM317LDR2G/page-1", "LM317LDR2G")</f>
        <v>LM317LDR2G</v>
      </c>
      <c r="B11247" s="3" t="str">
        <f>HYPERLINK("https://www.773grp.com/manufacturer/onsemi?pageNo=462", "Onsemi")</f>
        <v>Onsemi</v>
      </c>
      <c r="C11247" s="6">
        <v>618000</v>
      </c>
      <c r="D11247" s="7">
        <v>1.41</v>
      </c>
      <c r="E11247" t="s">
        <v>18</v>
      </c>
    </row>
    <row r="11248" spans="1:5" x14ac:dyDescent="0.25">
      <c r="A11248" t="str">
        <f>HYPERLINK("https://www.773grp.com/globalSearch/LM317MADTRK/page-1", "LM317MADTRK")</f>
        <v>LM317MADTRK</v>
      </c>
      <c r="B11248" s="3" t="str">
        <f>HYPERLINK("https://www.773grp.com/manufacturer/onsemi?pageNo=463", "Onsemi")</f>
        <v>Onsemi</v>
      </c>
      <c r="C11248" s="6">
        <v>2500</v>
      </c>
      <c r="D11248" s="7">
        <v>1.41</v>
      </c>
      <c r="E11248" t="s">
        <v>18</v>
      </c>
    </row>
    <row r="11249" spans="1:5" x14ac:dyDescent="0.25">
      <c r="A11249" t="str">
        <f>HYPERLINK("https://www.773grp.com/globalSearch/LM317MBSTT3/page-1", "LM317MBSTT3")</f>
        <v>LM317MBSTT3</v>
      </c>
      <c r="B11249" s="3" t="str">
        <f>HYPERLINK("https://www.773grp.com/manufacturer/onsemi?pageNo=464", "Onsemi")</f>
        <v>Onsemi</v>
      </c>
      <c r="C11249" s="6">
        <v>4000</v>
      </c>
      <c r="D11249" s="7">
        <v>1.41</v>
      </c>
      <c r="E11249" t="s">
        <v>18</v>
      </c>
    </row>
    <row r="11250" spans="1:5" x14ac:dyDescent="0.25">
      <c r="A11250" t="str">
        <f>HYPERLINK("https://www.773grp.com/globalSearch/MAX6501UKP055-T/page-1", "MAX6501UKP055-T")</f>
        <v>MAX6501UKP055-T</v>
      </c>
      <c r="B11250" s="3" t="str">
        <f>HYPERLINK("https://www.773grp.com/manufacturer/onsemi?pageNo=465", "Onsemi")</f>
        <v>Onsemi</v>
      </c>
      <c r="C11250" s="6">
        <v>2515</v>
      </c>
      <c r="D11250" s="7">
        <v>1.41</v>
      </c>
      <c r="E11250" t="s">
        <v>36</v>
      </c>
    </row>
    <row r="11251" spans="1:5" x14ac:dyDescent="0.25">
      <c r="A11251" t="str">
        <f>HYPERLINK("https://www.773grp.com/globalSearch/MAX6501UKP095-T/page-1", "MAX6501UKP095-T")</f>
        <v>MAX6501UKP095-T</v>
      </c>
      <c r="B11251" s="3" t="str">
        <f>HYPERLINK("https://www.773grp.com/manufacturer/onsemi?pageNo=466", "Onsemi")</f>
        <v>Onsemi</v>
      </c>
      <c r="C11251" s="6">
        <v>508810</v>
      </c>
      <c r="D11251" s="7">
        <v>1.41</v>
      </c>
      <c r="E11251" t="s">
        <v>36</v>
      </c>
    </row>
    <row r="11252" spans="1:5" x14ac:dyDescent="0.25">
      <c r="A11252" t="str">
        <f>HYPERLINK("https://www.773grp.com/globalSearch/MAX6501UKP115-T/page-1", "MAX6501UKP115-T")</f>
        <v>MAX6501UKP115-T</v>
      </c>
      <c r="B11252" s="3" t="str">
        <f>HYPERLINK("https://www.773grp.com/manufacturer/onsemi?pageNo=467", "Onsemi")</f>
        <v>Onsemi</v>
      </c>
      <c r="C11252" s="6">
        <v>107855</v>
      </c>
      <c r="D11252" s="7">
        <v>1.41</v>
      </c>
      <c r="E11252" t="s">
        <v>36</v>
      </c>
    </row>
    <row r="11253" spans="1:5" x14ac:dyDescent="0.25">
      <c r="A11253" t="str">
        <f>HYPERLINK("https://www.773grp.com/globalSearch/MAX6502UKP055-T/page-1", "MAX6502UKP055-T")</f>
        <v>MAX6502UKP055-T</v>
      </c>
      <c r="B11253" s="3" t="str">
        <f>HYPERLINK("https://www.773grp.com/manufacturer/onsemi?pageNo=468", "Onsemi")</f>
        <v>Onsemi</v>
      </c>
      <c r="C11253" s="6">
        <v>23950</v>
      </c>
      <c r="D11253" s="7">
        <v>1.41</v>
      </c>
      <c r="E11253" t="s">
        <v>36</v>
      </c>
    </row>
    <row r="11254" spans="1:5" x14ac:dyDescent="0.25">
      <c r="A11254" t="str">
        <f>HYPERLINK("https://www.773grp.com/globalSearch/MAX6502UKP095-T/page-1", "MAX6502UKP095-T")</f>
        <v>MAX6502UKP095-T</v>
      </c>
      <c r="B11254" s="3" t="str">
        <f>HYPERLINK("https://www.773grp.com/manufacturer/onsemi?pageNo=469", "Onsemi")</f>
        <v>Onsemi</v>
      </c>
      <c r="C11254" s="6">
        <v>253411</v>
      </c>
      <c r="D11254" s="7">
        <v>1.41</v>
      </c>
      <c r="E11254" t="s">
        <v>36</v>
      </c>
    </row>
    <row r="11255" spans="1:5" x14ac:dyDescent="0.25">
      <c r="A11255" t="str">
        <f>HYPERLINK("https://www.773grp.com/globalSearch/MAX6502UKP115-T/page-1", "MAX6502UKP115-T")</f>
        <v>MAX6502UKP115-T</v>
      </c>
      <c r="B11255" s="3" t="str">
        <f>HYPERLINK("https://www.773grp.com/manufacturer/onsemi?pageNo=470", "Onsemi")</f>
        <v>Onsemi</v>
      </c>
      <c r="C11255" s="6">
        <v>314803</v>
      </c>
      <c r="D11255" s="7">
        <v>1.41</v>
      </c>
      <c r="E11255" t="s">
        <v>36</v>
      </c>
    </row>
    <row r="11256" spans="1:5" x14ac:dyDescent="0.25">
      <c r="A11256" t="str">
        <f>HYPERLINK("https://www.773grp.com/globalSearch/MBR1035G/page-1", "MBR1035G")</f>
        <v>MBR1035G</v>
      </c>
      <c r="B11256" s="3" t="str">
        <f>HYPERLINK("https://www.773grp.com/manufacturer/onsemi?pageNo=471", "Onsemi")</f>
        <v>Onsemi</v>
      </c>
      <c r="C11256" s="6">
        <v>15560</v>
      </c>
      <c r="D11256" s="7">
        <v>1.41</v>
      </c>
      <c r="E11256" t="s">
        <v>82</v>
      </c>
    </row>
    <row r="11257" spans="1:5" x14ac:dyDescent="0.25">
      <c r="A11257" t="str">
        <f>HYPERLINK("https://www.773grp.com/globalSearch/MBR1045G/page-1", "MBR1045G")</f>
        <v>MBR1045G</v>
      </c>
      <c r="B11257" s="3" t="str">
        <f>HYPERLINK("https://www.773grp.com/manufacturer/onsemi?pageNo=472", "Onsemi")</f>
        <v>Onsemi</v>
      </c>
      <c r="C11257" s="6">
        <v>43851</v>
      </c>
      <c r="D11257" s="7">
        <v>1.41</v>
      </c>
      <c r="E11257" t="s">
        <v>82</v>
      </c>
    </row>
    <row r="11258" spans="1:5" x14ac:dyDescent="0.25">
      <c r="A11258" t="str">
        <f>HYPERLINK("https://www.773grp.com/globalSearch/MBR1060G/page-1", "MBR1060G")</f>
        <v>MBR1060G</v>
      </c>
      <c r="B11258" s="3" t="str">
        <f>HYPERLINK("https://www.773grp.com/manufacturer/onsemi?pageNo=473", "Onsemi")</f>
        <v>Onsemi</v>
      </c>
      <c r="C11258" s="6">
        <v>1100</v>
      </c>
      <c r="D11258" s="7">
        <v>1.41</v>
      </c>
      <c r="E11258" t="s">
        <v>82</v>
      </c>
    </row>
    <row r="11259" spans="1:5" x14ac:dyDescent="0.25">
      <c r="A11259" t="str">
        <f>HYPERLINK("https://www.773grp.com/globalSearch/MBRD1045T4G/page-1", "MBRD1045T4G")</f>
        <v>MBRD1045T4G</v>
      </c>
      <c r="B11259" s="3" t="str">
        <f>HYPERLINK("https://www.773grp.com/manufacturer/onsemi?pageNo=474", "Onsemi")</f>
        <v>Onsemi</v>
      </c>
      <c r="C11259" s="6">
        <v>36977</v>
      </c>
      <c r="D11259" s="7">
        <v>1.41</v>
      </c>
    </row>
    <row r="11260" spans="1:5" x14ac:dyDescent="0.25">
      <c r="A11260" t="str">
        <f>HYPERLINK("https://www.773grp.com/globalSearch/MBRD630CTT4G/page-1", "MBRD630CTT4G")</f>
        <v>MBRD630CTT4G</v>
      </c>
      <c r="B11260" s="3" t="str">
        <f>HYPERLINK("https://www.773grp.com/manufacturer/onsemi?pageNo=475", "Onsemi")</f>
        <v>Onsemi</v>
      </c>
      <c r="C11260" s="6">
        <v>62500</v>
      </c>
      <c r="D11260" s="7">
        <v>1.41</v>
      </c>
      <c r="E11260" t="s">
        <v>82</v>
      </c>
    </row>
    <row r="11261" spans="1:5" x14ac:dyDescent="0.25">
      <c r="A11261" t="str">
        <f>HYPERLINK("https://www.773grp.com/globalSearch/MC14526BDWR2G/page-1", "MC14526BDWR2G")</f>
        <v>MC14526BDWR2G</v>
      </c>
      <c r="B11261" s="3" t="str">
        <f>HYPERLINK("https://www.773grp.com/manufacturer/onsemi?pageNo=476", "Onsemi")</f>
        <v>Onsemi</v>
      </c>
      <c r="C11261" s="6">
        <v>1000</v>
      </c>
      <c r="D11261" s="7">
        <v>1.41</v>
      </c>
    </row>
    <row r="11262" spans="1:5" x14ac:dyDescent="0.25">
      <c r="A11262" t="str">
        <f>HYPERLINK("https://www.773grp.com/globalSearch/MC14526BFG/page-1", "MC14526BFG")</f>
        <v>MC14526BFG</v>
      </c>
      <c r="B11262" s="3" t="str">
        <f>HYPERLINK("https://www.773grp.com/manufacturer/onsemi?pageNo=477", "Onsemi")</f>
        <v>Onsemi</v>
      </c>
      <c r="C11262" s="6">
        <v>2400</v>
      </c>
      <c r="D11262" s="7">
        <v>1.41</v>
      </c>
      <c r="E11262" t="s">
        <v>22</v>
      </c>
    </row>
    <row r="11263" spans="1:5" x14ac:dyDescent="0.25">
      <c r="A11263" t="str">
        <f>HYPERLINK("https://www.773grp.com/globalSearch/MC14538BDWG/page-1", "MC14538BDWG")</f>
        <v>MC14538BDWG</v>
      </c>
      <c r="B11263" s="3" t="str">
        <f>HYPERLINK("https://www.773grp.com/manufacturer/onsemi?pageNo=478", "Onsemi")</f>
        <v>Onsemi</v>
      </c>
      <c r="C11263" s="6">
        <v>3525</v>
      </c>
      <c r="D11263" s="7">
        <v>1.41</v>
      </c>
      <c r="E11263" t="s">
        <v>44</v>
      </c>
    </row>
    <row r="11264" spans="1:5" x14ac:dyDescent="0.25">
      <c r="A11264" t="str">
        <f>HYPERLINK("https://www.773grp.com/globalSearch/MC14538BDWR2/page-1", "MC14538BDWR2")</f>
        <v>MC14538BDWR2</v>
      </c>
      <c r="B11264" s="3" t="str">
        <f>HYPERLINK("https://www.773grp.com/manufacturer/onsemi?pageNo=479", "Onsemi")</f>
        <v>Onsemi</v>
      </c>
      <c r="C11264" s="6">
        <v>3000</v>
      </c>
      <c r="D11264" s="7">
        <v>1.41</v>
      </c>
    </row>
    <row r="11265" spans="1:5" x14ac:dyDescent="0.25">
      <c r="A11265" t="str">
        <f>HYPERLINK("https://www.773grp.com/globalSearch/MC14541BFELG/page-1", "MC14541BFELG")</f>
        <v>MC14541BFELG</v>
      </c>
      <c r="B11265" s="3" t="str">
        <f>HYPERLINK("https://www.773grp.com/manufacturer/onsemi?pageNo=480", "Onsemi")</f>
        <v>Onsemi</v>
      </c>
      <c r="C11265" s="6">
        <v>71</v>
      </c>
      <c r="D11265" s="7">
        <v>1.41</v>
      </c>
      <c r="E11265" t="s">
        <v>67</v>
      </c>
    </row>
    <row r="11266" spans="1:5" x14ac:dyDescent="0.25">
      <c r="A11266" t="str">
        <f>HYPERLINK("https://www.773grp.com/globalSearch/MC14585BFELG/page-1", "MC14585BFELG")</f>
        <v>MC14585BFELG</v>
      </c>
      <c r="B11266" s="3" t="str">
        <f>HYPERLINK("https://www.773grp.com/manufacturer/onsemi?pageNo=481", "Onsemi")</f>
        <v>Onsemi</v>
      </c>
      <c r="C11266" s="6">
        <v>8100</v>
      </c>
      <c r="D11266" s="7">
        <v>1.41</v>
      </c>
      <c r="E11266" t="s">
        <v>38</v>
      </c>
    </row>
    <row r="11267" spans="1:5" x14ac:dyDescent="0.25">
      <c r="A11267" t="str">
        <f>HYPERLINK("https://www.773grp.com/globalSearch/MC1459BFR1/page-1", "MC1459BFR1")</f>
        <v>MC1459BFR1</v>
      </c>
      <c r="B11267" s="3" t="str">
        <f>HYPERLINK("https://www.773grp.com/manufacturer/onsemi?pageNo=482", "Onsemi")</f>
        <v>Onsemi</v>
      </c>
      <c r="C11267" s="6">
        <v>1000</v>
      </c>
      <c r="D11267" s="7">
        <v>1.41</v>
      </c>
    </row>
    <row r="11268" spans="1:5" x14ac:dyDescent="0.25">
      <c r="A11268" t="str">
        <f>HYPERLINK("https://www.773grp.com/globalSearch/MC3303DG/page-1", "MC3303DG")</f>
        <v>MC3303DG</v>
      </c>
      <c r="B11268" s="3" t="str">
        <f>HYPERLINK("https://www.773grp.com/manufacturer/onsemi?pageNo=483", "Onsemi")</f>
        <v>Onsemi</v>
      </c>
      <c r="C11268" s="6">
        <v>1650</v>
      </c>
      <c r="D11268" s="7">
        <v>1.41</v>
      </c>
    </row>
    <row r="11269" spans="1:5" x14ac:dyDescent="0.25">
      <c r="A11269" t="str">
        <f>HYPERLINK("https://www.773grp.com/globalSearch/MC3303DR2G/page-1", "MC3303DR2G")</f>
        <v>MC3303DR2G</v>
      </c>
      <c r="B11269" s="3" t="str">
        <f>HYPERLINK("https://www.773grp.com/manufacturer/onsemi?pageNo=484", "Onsemi")</f>
        <v>Onsemi</v>
      </c>
      <c r="C11269" s="6">
        <v>61875</v>
      </c>
      <c r="D11269" s="7">
        <v>1.41</v>
      </c>
      <c r="E11269" t="s">
        <v>10</v>
      </c>
    </row>
    <row r="11270" spans="1:5" x14ac:dyDescent="0.25">
      <c r="A11270" t="str">
        <f>HYPERLINK("https://www.773grp.com/globalSearch/MC34063AP1/page-1", "MC34063AP1")</f>
        <v>MC34063AP1</v>
      </c>
      <c r="B11270" s="3" t="str">
        <f>HYPERLINK("https://www.773grp.com/manufacturer/onsemi?pageNo=485", "Onsemi")</f>
        <v>Onsemi</v>
      </c>
      <c r="C11270" s="6">
        <v>4400</v>
      </c>
      <c r="D11270" s="7">
        <v>1.41</v>
      </c>
      <c r="E11270" t="s">
        <v>5</v>
      </c>
    </row>
    <row r="11271" spans="1:5" x14ac:dyDescent="0.25">
      <c r="A11271" t="str">
        <f>HYPERLINK("https://www.773grp.com/globalSearch/MC74AC240MELG/page-1", "MC74AC240MELG")</f>
        <v>MC74AC240MELG</v>
      </c>
      <c r="B11271" s="3" t="str">
        <f>HYPERLINK("https://www.773grp.com/manufacturer/onsemi?pageNo=486", "Onsemi")</f>
        <v>Onsemi</v>
      </c>
      <c r="C11271" s="6">
        <v>6440</v>
      </c>
      <c r="D11271" s="7">
        <v>1.41</v>
      </c>
      <c r="E11271" t="s">
        <v>11</v>
      </c>
    </row>
    <row r="11272" spans="1:5" x14ac:dyDescent="0.25">
      <c r="A11272" t="str">
        <f>HYPERLINK("https://www.773grp.com/globalSearch/MC74AC244MELG/page-1", "MC74AC244MELG")</f>
        <v>MC74AC244MELG</v>
      </c>
      <c r="B11272" s="3" t="str">
        <f>HYPERLINK("https://www.773grp.com/manufacturer/onsemi?pageNo=487", "Onsemi")</f>
        <v>Onsemi</v>
      </c>
      <c r="C11272" s="6">
        <v>12486</v>
      </c>
      <c r="D11272" s="7">
        <v>1.41</v>
      </c>
      <c r="E11272" t="s">
        <v>11</v>
      </c>
    </row>
    <row r="11273" spans="1:5" x14ac:dyDescent="0.25">
      <c r="A11273" t="str">
        <f>HYPERLINK("https://www.773grp.com/globalSearch/MC74AC245MG/page-1", "MC74AC245MG")</f>
        <v>MC74AC245MG</v>
      </c>
      <c r="B11273" s="3" t="str">
        <f>HYPERLINK("https://www.773grp.com/manufacturer/onsemi?pageNo=488", "Onsemi")</f>
        <v>Onsemi</v>
      </c>
      <c r="C11273" s="6">
        <v>17786</v>
      </c>
      <c r="D11273" s="7">
        <v>1.41</v>
      </c>
      <c r="E11273" t="s">
        <v>11</v>
      </c>
    </row>
    <row r="11274" spans="1:5" x14ac:dyDescent="0.25">
      <c r="A11274" t="str">
        <f>HYPERLINK("https://www.773grp.com/globalSearch/MC74AC257MELG/page-1", "MC74AC257MELG")</f>
        <v>MC74AC257MELG</v>
      </c>
      <c r="B11274" s="3" t="str">
        <f>HYPERLINK("https://www.773grp.com/manufacturer/onsemi?pageNo=489", "Onsemi")</f>
        <v>Onsemi</v>
      </c>
      <c r="C11274" s="6">
        <v>7999</v>
      </c>
      <c r="D11274" s="7">
        <v>1.41</v>
      </c>
      <c r="E11274" t="s">
        <v>16</v>
      </c>
    </row>
    <row r="11275" spans="1:5" x14ac:dyDescent="0.25">
      <c r="A11275" t="str">
        <f>HYPERLINK("https://www.773grp.com/globalSearch/MC74AC273MELG/page-1", "MC74AC273MELG")</f>
        <v>MC74AC273MELG</v>
      </c>
      <c r="B11275" s="3" t="str">
        <f>HYPERLINK("https://www.773grp.com/manufacturer/onsemi?pageNo=490", "Onsemi")</f>
        <v>Onsemi</v>
      </c>
      <c r="C11275" s="6">
        <v>2280</v>
      </c>
      <c r="D11275" s="7">
        <v>1.41</v>
      </c>
      <c r="E11275" t="s">
        <v>31</v>
      </c>
    </row>
    <row r="11276" spans="1:5" x14ac:dyDescent="0.25">
      <c r="A11276" t="str">
        <f>HYPERLINK("https://www.773grp.com/globalSearch/MC74AC373MELG/page-1", "MC74AC373MELG")</f>
        <v>MC74AC373MELG</v>
      </c>
      <c r="B11276" s="3" t="str">
        <f>HYPERLINK("https://www.773grp.com/manufacturer/onsemi?pageNo=491", "Onsemi")</f>
        <v>Onsemi</v>
      </c>
      <c r="C11276" s="6">
        <v>10888</v>
      </c>
      <c r="D11276" s="7">
        <v>1.41</v>
      </c>
      <c r="E11276" t="s">
        <v>11</v>
      </c>
    </row>
    <row r="11277" spans="1:5" x14ac:dyDescent="0.25">
      <c r="A11277" t="str">
        <f>HYPERLINK("https://www.773grp.com/globalSearch/MC74AC377M/page-1", "MC74AC377M")</f>
        <v>MC74AC377M</v>
      </c>
      <c r="B11277" s="3" t="str">
        <f>HYPERLINK("https://www.773grp.com/manufacturer/onsemi?pageNo=492", "Onsemi")</f>
        <v>Onsemi</v>
      </c>
      <c r="C11277" s="6">
        <v>4560</v>
      </c>
      <c r="D11277" s="7">
        <v>1.41</v>
      </c>
      <c r="E11277" t="s">
        <v>31</v>
      </c>
    </row>
    <row r="11278" spans="1:5" x14ac:dyDescent="0.25">
      <c r="A11278" t="str">
        <f>HYPERLINK("https://www.773grp.com/globalSearch/MC74AC573MELG/page-1", "MC74AC573MELG")</f>
        <v>MC74AC573MELG</v>
      </c>
      <c r="B11278" s="3" t="str">
        <f>HYPERLINK("https://www.773grp.com/manufacturer/onsemi?pageNo=493", "Onsemi")</f>
        <v>Onsemi</v>
      </c>
      <c r="C11278" s="6">
        <v>7950</v>
      </c>
      <c r="D11278" s="7">
        <v>1.41</v>
      </c>
      <c r="E11278" t="s">
        <v>11</v>
      </c>
    </row>
    <row r="11279" spans="1:5" x14ac:dyDescent="0.25">
      <c r="A11279" t="str">
        <f>HYPERLINK("https://www.773grp.com/globalSearch/MC74AC574MELG/page-1", "MC74AC574MELG")</f>
        <v>MC74AC574MELG</v>
      </c>
      <c r="B11279" s="3" t="str">
        <f>HYPERLINK("https://www.773grp.com/manufacturer/onsemi?pageNo=494", "Onsemi")</f>
        <v>Onsemi</v>
      </c>
      <c r="C11279" s="6">
        <v>9075</v>
      </c>
      <c r="D11279" s="7">
        <v>1.41</v>
      </c>
      <c r="E11279" t="s">
        <v>11</v>
      </c>
    </row>
    <row r="11280" spans="1:5" x14ac:dyDescent="0.25">
      <c r="A11280" t="str">
        <f>HYPERLINK("https://www.773grp.com/globalSearch/MC74AC574MG/page-1", "MC74AC574MG")</f>
        <v>MC74AC574MG</v>
      </c>
      <c r="B11280" s="3" t="str">
        <f>HYPERLINK("https://www.773grp.com/manufacturer/onsemi?pageNo=495", "Onsemi")</f>
        <v>Onsemi</v>
      </c>
      <c r="C11280" s="6">
        <v>7040</v>
      </c>
      <c r="D11280" s="7">
        <v>1.41</v>
      </c>
      <c r="E11280" t="s">
        <v>11</v>
      </c>
    </row>
    <row r="11281" spans="1:5" x14ac:dyDescent="0.25">
      <c r="A11281" t="str">
        <f>HYPERLINK("https://www.773grp.com/globalSearch/MC74ACT240MELG/page-1", "MC74ACT240MELG")</f>
        <v>MC74ACT240MELG</v>
      </c>
      <c r="B11281" s="3" t="str">
        <f>HYPERLINK("https://www.773grp.com/manufacturer/onsemi?pageNo=496", "Onsemi")</f>
        <v>Onsemi</v>
      </c>
      <c r="C11281" s="6">
        <v>8910</v>
      </c>
      <c r="D11281" s="7">
        <v>1.41</v>
      </c>
      <c r="E11281" t="s">
        <v>11</v>
      </c>
    </row>
    <row r="11282" spans="1:5" x14ac:dyDescent="0.25">
      <c r="A11282" t="str">
        <f>HYPERLINK("https://www.773grp.com/globalSearch/MC74ACT244MG/page-1", "MC74ACT244MG")</f>
        <v>MC74ACT244MG</v>
      </c>
      <c r="B11282" s="3" t="str">
        <f>HYPERLINK("https://www.773grp.com/manufacturer/onsemi?pageNo=497", "Onsemi")</f>
        <v>Onsemi</v>
      </c>
      <c r="C11282" s="6">
        <v>16164</v>
      </c>
      <c r="D11282" s="7">
        <v>1.41</v>
      </c>
      <c r="E11282" t="s">
        <v>11</v>
      </c>
    </row>
    <row r="11283" spans="1:5" x14ac:dyDescent="0.25">
      <c r="A11283" t="str">
        <f>HYPERLINK("https://www.773grp.com/globalSearch/MC74ACT245MELG/page-1", "MC74ACT245MELG")</f>
        <v>MC74ACT245MELG</v>
      </c>
      <c r="B11283" s="3" t="str">
        <f>HYPERLINK("https://www.773grp.com/manufacturer/onsemi?pageNo=498", "Onsemi")</f>
        <v>Onsemi</v>
      </c>
      <c r="C11283" s="6">
        <v>2000</v>
      </c>
      <c r="D11283" s="7">
        <v>1.41</v>
      </c>
      <c r="E11283" t="s">
        <v>11</v>
      </c>
    </row>
    <row r="11284" spans="1:5" x14ac:dyDescent="0.25">
      <c r="A11284" t="str">
        <f>HYPERLINK("https://www.773grp.com/globalSearch/MC74ACT374MELG/page-1", "MC74ACT374MELG")</f>
        <v>MC74ACT374MELG</v>
      </c>
      <c r="B11284" s="3" t="str">
        <f>HYPERLINK("https://www.773grp.com/manufacturer/onsemi?pageNo=499", "Onsemi")</f>
        <v>Onsemi</v>
      </c>
      <c r="C11284" s="6">
        <v>2000</v>
      </c>
      <c r="D11284" s="7">
        <v>1.41</v>
      </c>
      <c r="E11284" t="s">
        <v>11</v>
      </c>
    </row>
    <row r="11285" spans="1:5" x14ac:dyDescent="0.25">
      <c r="A11285" t="str">
        <f>HYPERLINK("https://www.773grp.com/globalSearch/MC74ACT377M/page-1", "MC74ACT377M")</f>
        <v>MC74ACT377M</v>
      </c>
      <c r="B11285" s="3" t="str">
        <f>HYPERLINK("https://www.773grp.com/manufacturer/onsemi?pageNo=500", "Onsemi")</f>
        <v>Onsemi</v>
      </c>
      <c r="C11285" s="6">
        <v>8320</v>
      </c>
      <c r="D11285" s="7">
        <v>1.41</v>
      </c>
      <c r="E11285" t="s">
        <v>31</v>
      </c>
    </row>
    <row r="11286" spans="1:5" x14ac:dyDescent="0.25">
      <c r="A11286" t="str">
        <f>HYPERLINK("https://www.773grp.com/globalSearch/MC74ACT377MELG/page-1", "MC74ACT377MELG")</f>
        <v>MC74ACT377MELG</v>
      </c>
      <c r="B11286" s="3" t="str">
        <f>HYPERLINK("https://www.773grp.com/manufacturer/onsemi?pageNo=501", "Onsemi")</f>
        <v>Onsemi</v>
      </c>
      <c r="C11286" s="6">
        <v>6000</v>
      </c>
      <c r="D11286" s="7">
        <v>1.41</v>
      </c>
      <c r="E11286" t="s">
        <v>31</v>
      </c>
    </row>
    <row r="11287" spans="1:5" x14ac:dyDescent="0.25">
      <c r="A11287" t="str">
        <f>HYPERLINK("https://www.773grp.com/globalSearch/MC74ACT377ML1/page-1", "MC74ACT377ML1")</f>
        <v>MC74ACT377ML1</v>
      </c>
      <c r="B11287" s="3" t="str">
        <f>HYPERLINK("https://www.773grp.com/manufacturer/onsemi?pageNo=502", "Onsemi")</f>
        <v>Onsemi</v>
      </c>
      <c r="C11287" s="6">
        <v>44000</v>
      </c>
      <c r="D11287" s="7">
        <v>1.41</v>
      </c>
    </row>
    <row r="11288" spans="1:5" x14ac:dyDescent="0.25">
      <c r="A11288" t="str">
        <f>HYPERLINK("https://www.773grp.com/globalSearch/MC74ACT574MELG/page-1", "MC74ACT574MELG")</f>
        <v>MC74ACT574MELG</v>
      </c>
      <c r="B11288" s="3" t="str">
        <f>HYPERLINK("https://www.773grp.com/manufacturer/onsemi?pageNo=503", "Onsemi")</f>
        <v>Onsemi</v>
      </c>
      <c r="C11288" s="6">
        <v>2000</v>
      </c>
      <c r="D11288" s="7">
        <v>1.41</v>
      </c>
      <c r="E11288" t="s">
        <v>11</v>
      </c>
    </row>
    <row r="11289" spans="1:5" x14ac:dyDescent="0.25">
      <c r="A11289" t="str">
        <f>HYPERLINK("https://www.773grp.com/globalSearch/MC74ACT574MG/page-1", "MC74ACT574MG")</f>
        <v>MC74ACT574MG</v>
      </c>
      <c r="B11289" s="3" t="str">
        <f>HYPERLINK("https://www.773grp.com/manufacturer/onsemi?pageNo=504", "Onsemi")</f>
        <v>Onsemi</v>
      </c>
      <c r="C11289" s="6">
        <v>9820</v>
      </c>
      <c r="D11289" s="7">
        <v>1.41</v>
      </c>
      <c r="E11289" t="s">
        <v>11</v>
      </c>
    </row>
    <row r="11290" spans="1:5" x14ac:dyDescent="0.25">
      <c r="A11290" t="str">
        <f>HYPERLINK("https://www.773grp.com/globalSearch/MC74HC4351AN/page-1", "MC74HC4351AN")</f>
        <v>MC74HC4351AN</v>
      </c>
      <c r="B11290" s="3" t="str">
        <f>HYPERLINK("https://www.773grp.com/manufacturer/onsemi?pageNo=505", "Onsemi")</f>
        <v>Onsemi</v>
      </c>
      <c r="C11290" s="6">
        <v>2801</v>
      </c>
      <c r="D11290" s="7">
        <v>1.41</v>
      </c>
      <c r="E11290" t="s">
        <v>46</v>
      </c>
    </row>
    <row r="11291" spans="1:5" x14ac:dyDescent="0.25">
      <c r="A11291" t="str">
        <f>HYPERLINK("https://www.773grp.com/globalSearch/MC74HC4351F/page-1", "MC74HC4351F")</f>
        <v>MC74HC4351F</v>
      </c>
      <c r="B11291" s="3" t="str">
        <f>HYPERLINK("https://www.773grp.com/manufacturer/onsemi?pageNo=506", "Onsemi")</f>
        <v>Onsemi</v>
      </c>
      <c r="C11291" s="6">
        <v>27</v>
      </c>
      <c r="D11291" s="7">
        <v>1.41</v>
      </c>
    </row>
    <row r="11292" spans="1:5" x14ac:dyDescent="0.25">
      <c r="A11292" t="str">
        <f>HYPERLINK("https://www.773grp.com/globalSearch/MC74HC533AF/page-1", "MC74HC533AF")</f>
        <v>MC74HC533AF</v>
      </c>
      <c r="B11292" s="3" t="str">
        <f>HYPERLINK("https://www.773grp.com/manufacturer/onsemi?pageNo=507", "Onsemi")</f>
        <v>Onsemi</v>
      </c>
      <c r="C11292" s="6">
        <v>3067</v>
      </c>
      <c r="D11292" s="7">
        <v>1.41</v>
      </c>
    </row>
    <row r="11293" spans="1:5" x14ac:dyDescent="0.25">
      <c r="A11293" t="str">
        <f>HYPERLINK("https://www.773grp.com/globalSearch/MC74HC533AFL1/page-1", "MC74HC533AFL1")</f>
        <v>MC74HC533AFL1</v>
      </c>
      <c r="B11293" s="3" t="str">
        <f>HYPERLINK("https://www.773grp.com/manufacturer/onsemi?pageNo=508", "Onsemi")</f>
        <v>Onsemi</v>
      </c>
      <c r="C11293" s="6">
        <v>2000</v>
      </c>
      <c r="D11293" s="7">
        <v>1.41</v>
      </c>
    </row>
    <row r="11294" spans="1:5" x14ac:dyDescent="0.25">
      <c r="A11294" t="str">
        <f>HYPERLINK("https://www.773grp.com/globalSearch/MC74HC533AFR2/page-1", "MC74HC533AFR2")</f>
        <v>MC74HC533AFR2</v>
      </c>
      <c r="B11294" s="3" t="str">
        <f>HYPERLINK("https://www.773grp.com/manufacturer/onsemi?pageNo=509", "Onsemi")</f>
        <v>Onsemi</v>
      </c>
      <c r="C11294" s="6">
        <v>6000</v>
      </c>
      <c r="D11294" s="7">
        <v>1.41</v>
      </c>
    </row>
    <row r="11295" spans="1:5" x14ac:dyDescent="0.25">
      <c r="A11295" t="str">
        <f>HYPERLINK("https://www.773grp.com/globalSearch/MC74HC533AN/page-1", "MC74HC533AN")</f>
        <v>MC74HC533AN</v>
      </c>
      <c r="B11295" s="3" t="str">
        <f>HYPERLINK("https://www.773grp.com/manufacturer/onsemi?pageNo=510", "Onsemi")</f>
        <v>Onsemi</v>
      </c>
      <c r="C11295" s="6">
        <v>554</v>
      </c>
      <c r="D11295" s="7">
        <v>1.41</v>
      </c>
      <c r="E11295" t="s">
        <v>11</v>
      </c>
    </row>
    <row r="11296" spans="1:5" x14ac:dyDescent="0.25">
      <c r="A11296" t="str">
        <f>HYPERLINK("https://www.773grp.com/globalSearch/MC74HC534AN/page-1", "MC74HC534AN")</f>
        <v>MC74HC534AN</v>
      </c>
      <c r="B11296" s="3" t="str">
        <f>HYPERLINK("https://www.773grp.com/manufacturer/onsemi?pageNo=511", "Onsemi")</f>
        <v>Onsemi</v>
      </c>
      <c r="C11296" s="6">
        <v>19658</v>
      </c>
      <c r="D11296" s="7">
        <v>1.41</v>
      </c>
      <c r="E11296" t="s">
        <v>11</v>
      </c>
    </row>
    <row r="11297" spans="1:5" x14ac:dyDescent="0.25">
      <c r="A11297" t="str">
        <f>HYPERLINK("https://www.773grp.com/globalSearch/MC74HC540AFG/page-1", "MC74HC540AFG")</f>
        <v>MC74HC540AFG</v>
      </c>
      <c r="B11297" s="3" t="str">
        <f>HYPERLINK("https://www.773grp.com/manufacturer/onsemi?pageNo=512", "Onsemi")</f>
        <v>Onsemi</v>
      </c>
      <c r="C11297" s="6">
        <v>9801</v>
      </c>
      <c r="D11297" s="7">
        <v>1.41</v>
      </c>
      <c r="E11297" t="s">
        <v>11</v>
      </c>
    </row>
    <row r="11298" spans="1:5" x14ac:dyDescent="0.25">
      <c r="A11298" t="str">
        <f>HYPERLINK("https://www.773grp.com/globalSearch/MC74HC541AFELG/page-1", "MC74HC541AFELG")</f>
        <v>MC74HC541AFELG</v>
      </c>
      <c r="B11298" s="3" t="str">
        <f>HYPERLINK("https://www.773grp.com/manufacturer/onsemi?pageNo=513", "Onsemi")</f>
        <v>Onsemi</v>
      </c>
      <c r="C11298" s="6">
        <v>3630</v>
      </c>
      <c r="D11298" s="7">
        <v>1.41</v>
      </c>
      <c r="E11298" t="s">
        <v>11</v>
      </c>
    </row>
    <row r="11299" spans="1:5" x14ac:dyDescent="0.25">
      <c r="A11299" t="str">
        <f>HYPERLINK("https://www.773grp.com/globalSearch/MC74HC541AFG/page-1", "MC74HC541AFG")</f>
        <v>MC74HC541AFG</v>
      </c>
      <c r="B11299" s="3" t="str">
        <f>HYPERLINK("https://www.773grp.com/manufacturer/onsemi?pageNo=514", "Onsemi")</f>
        <v>Onsemi</v>
      </c>
      <c r="C11299" s="6">
        <v>5632</v>
      </c>
      <c r="D11299" s="7">
        <v>1.41</v>
      </c>
      <c r="E11299" t="s">
        <v>11</v>
      </c>
    </row>
    <row r="11300" spans="1:5" x14ac:dyDescent="0.25">
      <c r="A11300" t="str">
        <f>HYPERLINK("https://www.773grp.com/globalSearch/MC74HCT541AFELG/page-1", "MC74HCT541AFELG")</f>
        <v>MC74HCT541AFELG</v>
      </c>
      <c r="B11300" s="3" t="str">
        <f>HYPERLINK("https://www.773grp.com/manufacturer/onsemi?pageNo=515", "Onsemi")</f>
        <v>Onsemi</v>
      </c>
      <c r="C11300" s="6">
        <v>7078</v>
      </c>
      <c r="D11300" s="7">
        <v>1.41</v>
      </c>
      <c r="E11300" t="s">
        <v>11</v>
      </c>
    </row>
    <row r="11301" spans="1:5" x14ac:dyDescent="0.25">
      <c r="A11301" t="str">
        <f>HYPERLINK("https://www.773grp.com/globalSearch/MC74HCT541AFG/page-1", "MC74HCT541AFG")</f>
        <v>MC74HCT541AFG</v>
      </c>
      <c r="B11301" s="3" t="str">
        <f>HYPERLINK("https://www.773grp.com/manufacturer/onsemi?pageNo=516", "Onsemi")</f>
        <v>Onsemi</v>
      </c>
      <c r="C11301" s="6">
        <v>1360</v>
      </c>
      <c r="D11301" s="7">
        <v>1.41</v>
      </c>
      <c r="E11301" t="s">
        <v>11</v>
      </c>
    </row>
    <row r="11302" spans="1:5" x14ac:dyDescent="0.25">
      <c r="A11302" t="str">
        <f>HYPERLINK("https://www.773grp.com/globalSearch/MC74LVX240MG/page-1", "MC74LVX240MG")</f>
        <v>MC74LVX240MG</v>
      </c>
      <c r="B11302" s="3" t="str">
        <f>HYPERLINK("https://www.773grp.com/manufacturer/onsemi?pageNo=517", "Onsemi")</f>
        <v>Onsemi</v>
      </c>
      <c r="C11302" s="6">
        <v>14690</v>
      </c>
      <c r="D11302" s="7">
        <v>1.41</v>
      </c>
    </row>
    <row r="11303" spans="1:5" x14ac:dyDescent="0.25">
      <c r="A11303" t="str">
        <f>HYPERLINK("https://www.773grp.com/globalSearch/MC74LVX244MELG/page-1", "MC74LVX244MELG")</f>
        <v>MC74LVX244MELG</v>
      </c>
      <c r="B11303" s="3" t="str">
        <f>HYPERLINK("https://www.773grp.com/manufacturer/onsemi?pageNo=518", "Onsemi")</f>
        <v>Onsemi</v>
      </c>
      <c r="C11303" s="6">
        <v>22000</v>
      </c>
      <c r="D11303" s="7">
        <v>1.41</v>
      </c>
      <c r="E11303" t="s">
        <v>11</v>
      </c>
    </row>
    <row r="11304" spans="1:5" x14ac:dyDescent="0.25">
      <c r="A11304" t="str">
        <f>HYPERLINK("https://www.773grp.com/globalSearch/MC74LVX245MG/page-1", "MC74LVX245MG")</f>
        <v>MC74LVX245MG</v>
      </c>
      <c r="B11304" s="3" t="str">
        <f>HYPERLINK("https://www.773grp.com/manufacturer/onsemi?pageNo=519", "Onsemi")</f>
        <v>Onsemi</v>
      </c>
      <c r="C11304" s="6">
        <v>14920</v>
      </c>
      <c r="D11304" s="7">
        <v>1.41</v>
      </c>
      <c r="E11304" t="s">
        <v>11</v>
      </c>
    </row>
    <row r="11305" spans="1:5" x14ac:dyDescent="0.25">
      <c r="A11305" t="str">
        <f>HYPERLINK("https://www.773grp.com/globalSearch/MC74LVX573MG/page-1", "MC74LVX573MG")</f>
        <v>MC74LVX573MG</v>
      </c>
      <c r="B11305" s="3" t="str">
        <f>HYPERLINK("https://www.773grp.com/manufacturer/onsemi?pageNo=520", "Onsemi")</f>
        <v>Onsemi</v>
      </c>
      <c r="C11305" s="6">
        <v>11200</v>
      </c>
      <c r="D11305" s="7">
        <v>1.41</v>
      </c>
      <c r="E11305" t="s">
        <v>11</v>
      </c>
    </row>
    <row r="11306" spans="1:5" x14ac:dyDescent="0.25">
      <c r="A11306" t="str">
        <f>HYPERLINK("https://www.773grp.com/globalSearch/MC74LVX574MELG/page-1", "MC74LVX574MELG")</f>
        <v>MC74LVX574MELG</v>
      </c>
      <c r="B11306" s="3" t="str">
        <f>HYPERLINK("https://www.773grp.com/manufacturer/onsemi?pageNo=521", "Onsemi")</f>
        <v>Onsemi</v>
      </c>
      <c r="C11306" s="6">
        <v>23955</v>
      </c>
      <c r="D11306" s="7">
        <v>1.41</v>
      </c>
      <c r="E11306" t="s">
        <v>11</v>
      </c>
    </row>
    <row r="11307" spans="1:5" x14ac:dyDescent="0.25">
      <c r="A11307" t="str">
        <f>HYPERLINK("https://www.773grp.com/globalSearch/MC74LVX574MG/page-1", "MC74LVX574MG")</f>
        <v>MC74LVX574MG</v>
      </c>
      <c r="B11307" s="3" t="str">
        <f>HYPERLINK("https://www.773grp.com/manufacturer/onsemi?pageNo=522", "Onsemi")</f>
        <v>Onsemi</v>
      </c>
      <c r="C11307" s="6">
        <v>1720</v>
      </c>
      <c r="D11307" s="7">
        <v>1.41</v>
      </c>
      <c r="E11307" t="s">
        <v>11</v>
      </c>
    </row>
    <row r="11308" spans="1:5" x14ac:dyDescent="0.25">
      <c r="A11308" t="str">
        <f>HYPERLINK("https://www.773grp.com/globalSearch/MC74VHC244MELG/page-1", "MC74VHC244MELG")</f>
        <v>MC74VHC244MELG</v>
      </c>
      <c r="B11308" s="3" t="str">
        <f>HYPERLINK("https://www.773grp.com/manufacturer/onsemi?pageNo=523", "Onsemi")</f>
        <v>Onsemi</v>
      </c>
      <c r="C11308" s="6">
        <v>13926</v>
      </c>
      <c r="D11308" s="7">
        <v>1.41</v>
      </c>
      <c r="E11308" t="s">
        <v>11</v>
      </c>
    </row>
    <row r="11309" spans="1:5" x14ac:dyDescent="0.25">
      <c r="A11309" t="str">
        <f>HYPERLINK("https://www.773grp.com/globalSearch/MC74VHC374MELG/page-1", "MC74VHC374MELG")</f>
        <v>MC74VHC374MELG</v>
      </c>
      <c r="B11309" s="3" t="str">
        <f>HYPERLINK("https://www.773grp.com/manufacturer/onsemi?pageNo=524", "Onsemi")</f>
        <v>Onsemi</v>
      </c>
      <c r="C11309" s="6">
        <v>22000</v>
      </c>
      <c r="D11309" s="7">
        <v>1.41</v>
      </c>
      <c r="E11309" t="s">
        <v>11</v>
      </c>
    </row>
    <row r="11310" spans="1:5" x14ac:dyDescent="0.25">
      <c r="A11310" t="str">
        <f>HYPERLINK("https://www.773grp.com/globalSearch/MC74VHC573MELG/page-1", "MC74VHC573MELG")</f>
        <v>MC74VHC573MELG</v>
      </c>
      <c r="B11310" s="3" t="str">
        <f>HYPERLINK("https://www.773grp.com/manufacturer/onsemi?pageNo=525", "Onsemi")</f>
        <v>Onsemi</v>
      </c>
      <c r="C11310" s="6">
        <v>38242</v>
      </c>
      <c r="D11310" s="7">
        <v>1.41</v>
      </c>
      <c r="E11310" t="s">
        <v>11</v>
      </c>
    </row>
    <row r="11311" spans="1:5" x14ac:dyDescent="0.25">
      <c r="A11311" t="str">
        <f>HYPERLINK("https://www.773grp.com/globalSearch/MC74VHCT240AMELG/page-1", "MC74VHCT240AMELG")</f>
        <v>MC74VHCT240AMELG</v>
      </c>
      <c r="B11311" s="3" t="str">
        <f>HYPERLINK("https://www.773grp.com/manufacturer/onsemi?pageNo=526", "Onsemi")</f>
        <v>Onsemi</v>
      </c>
      <c r="C11311" s="6">
        <v>31722</v>
      </c>
      <c r="D11311" s="7">
        <v>1.41</v>
      </c>
      <c r="E11311" t="s">
        <v>11</v>
      </c>
    </row>
    <row r="11312" spans="1:5" x14ac:dyDescent="0.25">
      <c r="A11312" t="str">
        <f>HYPERLINK("https://www.773grp.com/globalSearch/MC74VHCT244AMELG/page-1", "MC74VHCT244AMELG")</f>
        <v>MC74VHCT244AMELG</v>
      </c>
      <c r="B11312" s="3" t="str">
        <f>HYPERLINK("https://www.773grp.com/manufacturer/onsemi?pageNo=527", "Onsemi")</f>
        <v>Onsemi</v>
      </c>
      <c r="C11312" s="6">
        <v>38000</v>
      </c>
      <c r="D11312" s="7">
        <v>1.41</v>
      </c>
      <c r="E11312" t="s">
        <v>11</v>
      </c>
    </row>
    <row r="11313" spans="1:5" x14ac:dyDescent="0.25">
      <c r="A11313" t="str">
        <f>HYPERLINK("https://www.773grp.com/globalSearch/MC74VHCT245AMELG/page-1", "MC74VHCT245AMELG")</f>
        <v>MC74VHCT245AMELG</v>
      </c>
      <c r="B11313" s="3" t="str">
        <f>HYPERLINK("https://www.773grp.com/manufacturer/onsemi?pageNo=528", "Onsemi")</f>
        <v>Onsemi</v>
      </c>
      <c r="C11313" s="6">
        <v>12882</v>
      </c>
      <c r="D11313" s="7">
        <v>1.41</v>
      </c>
      <c r="E11313" t="s">
        <v>11</v>
      </c>
    </row>
    <row r="11314" spans="1:5" x14ac:dyDescent="0.25">
      <c r="A11314" t="str">
        <f>HYPERLINK("https://www.773grp.com/globalSearch/MC74VHCT374AMELG/page-1", "MC74VHCT374AMELG")</f>
        <v>MC74VHCT374AMELG</v>
      </c>
      <c r="B11314" s="3" t="str">
        <f>HYPERLINK("https://www.773grp.com/manufacturer/onsemi?pageNo=529", "Onsemi")</f>
        <v>Onsemi</v>
      </c>
      <c r="C11314" s="6">
        <v>16000</v>
      </c>
      <c r="D11314" s="7">
        <v>1.41</v>
      </c>
      <c r="E11314" t="s">
        <v>11</v>
      </c>
    </row>
    <row r="11315" spans="1:5" x14ac:dyDescent="0.25">
      <c r="A11315" t="str">
        <f>HYPERLINK("https://www.773grp.com/globalSearch/MC7805ABT/page-1", "MC7805ABT")</f>
        <v>MC7805ABT</v>
      </c>
      <c r="B11315" s="3" t="str">
        <f>HYPERLINK("https://www.773grp.com/manufacturer/onsemi?pageNo=530", "Onsemi")</f>
        <v>Onsemi</v>
      </c>
      <c r="C11315" s="6">
        <v>295</v>
      </c>
      <c r="D11315" s="7">
        <v>1.41</v>
      </c>
      <c r="E11315" t="s">
        <v>24</v>
      </c>
    </row>
    <row r="11316" spans="1:5" x14ac:dyDescent="0.25">
      <c r="A11316" t="str">
        <f>HYPERLINK("https://www.773grp.com/globalSearch/MC7805ABTG/page-1", "MC7805ABTG")</f>
        <v>MC7805ABTG</v>
      </c>
      <c r="B11316" s="3" t="str">
        <f>HYPERLINK("https://www.773grp.com/manufacturer/onsemi?pageNo=531", "Onsemi")</f>
        <v>Onsemi</v>
      </c>
      <c r="C11316" s="6">
        <v>36694</v>
      </c>
      <c r="D11316" s="7">
        <v>1.41</v>
      </c>
      <c r="E11316" t="s">
        <v>24</v>
      </c>
    </row>
    <row r="11317" spans="1:5" x14ac:dyDescent="0.25">
      <c r="A11317" t="str">
        <f>HYPERLINK("https://www.773grp.com/globalSearch/MC7808ABTG/page-1", "MC7808ABTG")</f>
        <v>MC7808ABTG</v>
      </c>
      <c r="B11317" s="3" t="str">
        <f>HYPERLINK("https://www.773grp.com/manufacturer/onsemi?pageNo=532", "Onsemi")</f>
        <v>Onsemi</v>
      </c>
      <c r="C11317" s="6">
        <v>28160</v>
      </c>
      <c r="D11317" s="7">
        <v>1.41</v>
      </c>
      <c r="E11317" t="s">
        <v>24</v>
      </c>
    </row>
    <row r="11318" spans="1:5" x14ac:dyDescent="0.25">
      <c r="A11318" t="str">
        <f>HYPERLINK("https://www.773grp.com/globalSearch/MC7808AEBTG/page-1", "MC7808AEBTG")</f>
        <v>MC7808AEBTG</v>
      </c>
      <c r="B11318" s="3" t="str">
        <f>HYPERLINK("https://www.773grp.com/manufacturer/onsemi?pageNo=533", "Onsemi")</f>
        <v>Onsemi</v>
      </c>
      <c r="C11318" s="6">
        <v>250</v>
      </c>
      <c r="D11318" s="7">
        <v>1.41</v>
      </c>
      <c r="E11318" t="s">
        <v>24</v>
      </c>
    </row>
    <row r="11319" spans="1:5" x14ac:dyDescent="0.25">
      <c r="A11319" t="str">
        <f>HYPERLINK("https://www.773grp.com/globalSearch/MC7812ABTG/page-1", "MC7812ABTG")</f>
        <v>MC7812ABTG</v>
      </c>
      <c r="B11319" s="3" t="str">
        <f>HYPERLINK("https://www.773grp.com/manufacturer/onsemi?pageNo=534", "Onsemi")</f>
        <v>Onsemi</v>
      </c>
      <c r="C11319" s="6">
        <v>41016</v>
      </c>
      <c r="D11319" s="7">
        <v>1.41</v>
      </c>
      <c r="E11319" t="s">
        <v>24</v>
      </c>
    </row>
    <row r="11320" spans="1:5" x14ac:dyDescent="0.25">
      <c r="A11320" t="str">
        <f>HYPERLINK("https://www.773grp.com/globalSearch/MC7815ABTG/page-1", "MC7815ABTG")</f>
        <v>MC7815ABTG</v>
      </c>
      <c r="B11320" s="3" t="str">
        <f>HYPERLINK("https://www.773grp.com/manufacturer/onsemi?pageNo=535", "Onsemi")</f>
        <v>Onsemi</v>
      </c>
      <c r="C11320" s="6">
        <v>6750</v>
      </c>
      <c r="D11320" s="7">
        <v>1.41</v>
      </c>
      <c r="E11320" t="s">
        <v>24</v>
      </c>
    </row>
    <row r="11321" spans="1:5" x14ac:dyDescent="0.25">
      <c r="A11321" t="str">
        <f>HYPERLINK("https://www.773grp.com/globalSearch/MC78LC15NTRG/page-1", "MC78LC15NTRG")</f>
        <v>MC78LC15NTRG</v>
      </c>
      <c r="B11321" s="3" t="str">
        <f>HYPERLINK("https://www.773grp.com/manufacturer/onsemi?pageNo=536", "Onsemi")</f>
        <v>Onsemi</v>
      </c>
      <c r="C11321" s="6">
        <v>2752</v>
      </c>
      <c r="D11321" s="7">
        <v>1.41</v>
      </c>
      <c r="E11321" t="s">
        <v>15</v>
      </c>
    </row>
    <row r="11322" spans="1:5" x14ac:dyDescent="0.25">
      <c r="A11322" t="str">
        <f>HYPERLINK("https://www.773grp.com/globalSearch/MC78LC18NTRG/page-1", "MC78LC18NTRG")</f>
        <v>MC78LC18NTRG</v>
      </c>
      <c r="B11322" s="3" t="str">
        <f>HYPERLINK("https://www.773grp.com/manufacturer/onsemi?pageNo=537", "Onsemi")</f>
        <v>Onsemi</v>
      </c>
      <c r="C11322" s="6">
        <v>18000</v>
      </c>
      <c r="D11322" s="7">
        <v>1.41</v>
      </c>
    </row>
    <row r="11323" spans="1:5" x14ac:dyDescent="0.25">
      <c r="A11323" t="str">
        <f>HYPERLINK("https://www.773grp.com/globalSearch/MC78LC27NTRG/page-1", "MC78LC27NTRG")</f>
        <v>MC78LC27NTRG</v>
      </c>
      <c r="B11323" s="3" t="str">
        <f>HYPERLINK("https://www.773grp.com/manufacturer/onsemi?pageNo=538", "Onsemi")</f>
        <v>Onsemi</v>
      </c>
      <c r="C11323" s="6">
        <v>4890</v>
      </c>
      <c r="D11323" s="7">
        <v>1.41</v>
      </c>
      <c r="E11323" t="s">
        <v>15</v>
      </c>
    </row>
    <row r="11324" spans="1:5" x14ac:dyDescent="0.25">
      <c r="A11324" t="str">
        <f>HYPERLINK("https://www.773grp.com/globalSearch/MC78LC28NTRG/page-1", "MC78LC28NTRG")</f>
        <v>MC78LC28NTRG</v>
      </c>
      <c r="B11324" s="3" t="str">
        <f>HYPERLINK("https://www.773grp.com/manufacturer/onsemi?pageNo=539", "Onsemi")</f>
        <v>Onsemi</v>
      </c>
      <c r="C11324" s="6">
        <v>15000</v>
      </c>
      <c r="D11324" s="7">
        <v>1.41</v>
      </c>
    </row>
    <row r="11325" spans="1:5" x14ac:dyDescent="0.25">
      <c r="A11325" t="str">
        <f>HYPERLINK("https://www.773grp.com/globalSearch/MC78LC30HT1G/page-1", "MC78LC30HT1G")</f>
        <v>MC78LC30HT1G</v>
      </c>
      <c r="B11325" s="3" t="str">
        <f>HYPERLINK("https://www.773grp.com/manufacturer/onsemi?pageNo=540", "Onsemi")</f>
        <v>Onsemi</v>
      </c>
      <c r="C11325" s="6">
        <v>145621</v>
      </c>
      <c r="D11325" s="7">
        <v>1.41</v>
      </c>
      <c r="E11325" t="s">
        <v>15</v>
      </c>
    </row>
    <row r="11326" spans="1:5" x14ac:dyDescent="0.25">
      <c r="A11326" t="str">
        <f>HYPERLINK("https://www.773grp.com/globalSearch/MC78LC30NTRG/page-1", "MC78LC30NTRG")</f>
        <v>MC78LC30NTRG</v>
      </c>
      <c r="B11326" s="3" t="str">
        <f>HYPERLINK("https://www.773grp.com/manufacturer/onsemi?pageNo=541", "Onsemi")</f>
        <v>Onsemi</v>
      </c>
      <c r="C11326" s="6">
        <v>99000</v>
      </c>
      <c r="D11326" s="7">
        <v>1.41</v>
      </c>
      <c r="E11326" t="s">
        <v>15</v>
      </c>
    </row>
    <row r="11327" spans="1:5" x14ac:dyDescent="0.25">
      <c r="A11327" t="str">
        <f>HYPERLINK("https://www.773grp.com/globalSearch/MC78LC33HT1G/page-1", "MC78LC33HT1G")</f>
        <v>MC78LC33HT1G</v>
      </c>
      <c r="B11327" s="3" t="str">
        <f>HYPERLINK("https://www.773grp.com/manufacturer/onsemi?pageNo=542", "Onsemi")</f>
        <v>Onsemi</v>
      </c>
      <c r="C11327" s="6">
        <v>12000</v>
      </c>
      <c r="D11327" s="7">
        <v>1.41</v>
      </c>
    </row>
    <row r="11328" spans="1:5" x14ac:dyDescent="0.25">
      <c r="A11328" t="str">
        <f>HYPERLINK("https://www.773grp.com/globalSearch/MC78LC33NTRG/page-1", "MC78LC33NTRG")</f>
        <v>MC78LC33NTRG</v>
      </c>
      <c r="B11328" s="3" t="str">
        <f>HYPERLINK("https://www.773grp.com/manufacturer/onsemi?pageNo=543", "Onsemi")</f>
        <v>Onsemi</v>
      </c>
      <c r="C11328" s="6">
        <v>29805</v>
      </c>
      <c r="D11328" s="7">
        <v>1.41</v>
      </c>
      <c r="E11328" t="s">
        <v>15</v>
      </c>
    </row>
    <row r="11329" spans="1:5" x14ac:dyDescent="0.25">
      <c r="A11329" t="str">
        <f>HYPERLINK("https://www.773grp.com/globalSearch/MC78LC40HT1G/page-1", "MC78LC40HT1G")</f>
        <v>MC78LC40HT1G</v>
      </c>
      <c r="B11329" s="3" t="str">
        <f>HYPERLINK("https://www.773grp.com/manufacturer/onsemi?pageNo=544", "Onsemi")</f>
        <v>Onsemi</v>
      </c>
      <c r="C11329" s="6">
        <v>3548</v>
      </c>
      <c r="D11329" s="7">
        <v>1.41</v>
      </c>
      <c r="E11329" t="s">
        <v>15</v>
      </c>
    </row>
    <row r="11330" spans="1:5" x14ac:dyDescent="0.25">
      <c r="A11330" t="str">
        <f>HYPERLINK("https://www.773grp.com/globalSearch/MC78LC40NTRG/page-1", "MC78LC40NTRG")</f>
        <v>MC78LC40NTRG</v>
      </c>
      <c r="B11330" s="3" t="str">
        <f>HYPERLINK("https://www.773grp.com/manufacturer/onsemi?pageNo=545", "Onsemi")</f>
        <v>Onsemi</v>
      </c>
      <c r="C11330" s="6">
        <v>17171</v>
      </c>
      <c r="D11330" s="7">
        <v>1.41</v>
      </c>
      <c r="E11330" t="s">
        <v>15</v>
      </c>
    </row>
    <row r="11331" spans="1:5" x14ac:dyDescent="0.25">
      <c r="A11331" t="str">
        <f>HYPERLINK("https://www.773grp.com/globalSearch/MC78LC50HT1G/page-1", "MC78LC50HT1G")</f>
        <v>MC78LC50HT1G</v>
      </c>
      <c r="B11331" s="3" t="str">
        <f>HYPERLINK("https://www.773grp.com/manufacturer/onsemi?pageNo=546", "Onsemi")</f>
        <v>Onsemi</v>
      </c>
      <c r="C11331" s="6">
        <v>24930</v>
      </c>
      <c r="D11331" s="7">
        <v>1.41</v>
      </c>
      <c r="E11331" t="s">
        <v>15</v>
      </c>
    </row>
    <row r="11332" spans="1:5" x14ac:dyDescent="0.25">
      <c r="A11332" t="str">
        <f>HYPERLINK("https://www.773grp.com/globalSearch/MC78LC50NTRG/page-1", "MC78LC50NTRG")</f>
        <v>MC78LC50NTRG</v>
      </c>
      <c r="B11332" s="3" t="str">
        <f>HYPERLINK("https://www.773grp.com/manufacturer/onsemi?pageNo=547", "Onsemi")</f>
        <v>Onsemi</v>
      </c>
      <c r="C11332" s="6">
        <v>37743</v>
      </c>
      <c r="D11332" s="7">
        <v>1.41</v>
      </c>
      <c r="E11332" t="s">
        <v>15</v>
      </c>
    </row>
    <row r="11333" spans="1:5" x14ac:dyDescent="0.25">
      <c r="A11333" t="str">
        <f>HYPERLINK("https://www.773grp.com/globalSearch/MGSF3442XT1/page-1", "MGSF3442XT1")</f>
        <v>MGSF3442XT1</v>
      </c>
      <c r="B11333" s="3" t="str">
        <f>HYPERLINK("https://www.773grp.com/manufacturer/onsemi?pageNo=548", "Onsemi")</f>
        <v>Onsemi</v>
      </c>
      <c r="C11333" s="6">
        <v>24000</v>
      </c>
      <c r="D11333" s="7">
        <v>1.41</v>
      </c>
      <c r="E11333" t="s">
        <v>85</v>
      </c>
    </row>
    <row r="11334" spans="1:5" x14ac:dyDescent="0.25">
      <c r="A11334" t="str">
        <f>HYPERLINK("https://www.773grp.com/globalSearch/MJD148T4G/page-1", "MJD148T4G")</f>
        <v>MJD148T4G</v>
      </c>
      <c r="B11334" s="3" t="str">
        <f>HYPERLINK("https://www.773grp.com/manufacturer/onsemi?pageNo=549", "Onsemi")</f>
        <v>Onsemi</v>
      </c>
      <c r="C11334" s="6">
        <v>828</v>
      </c>
      <c r="D11334" s="7">
        <v>1.41</v>
      </c>
      <c r="E11334" t="s">
        <v>47</v>
      </c>
    </row>
    <row r="11335" spans="1:5" x14ac:dyDescent="0.25">
      <c r="A11335" t="str">
        <f>HYPERLINK("https://www.773grp.com/globalSearch/MMDF7N02ZR2/page-1", "MMDF7N02ZR2")</f>
        <v>MMDF7N02ZR2</v>
      </c>
      <c r="B11335" s="3" t="str">
        <f>HYPERLINK("https://www.773grp.com/manufacturer/onsemi?pageNo=550", "Onsemi")</f>
        <v>Onsemi</v>
      </c>
      <c r="C11335" s="6">
        <v>3464</v>
      </c>
      <c r="D11335" s="7">
        <v>1.41</v>
      </c>
      <c r="E11335" t="s">
        <v>85</v>
      </c>
    </row>
    <row r="11336" spans="1:5" x14ac:dyDescent="0.25">
      <c r="A11336" t="str">
        <f>HYPERLINK("https://www.773grp.com/globalSearch/MSRD620CTRG/page-1", "MSRD620CTRG")</f>
        <v>MSRD620CTRG</v>
      </c>
      <c r="B11336" s="3" t="str">
        <f>HYPERLINK("https://www.773grp.com/manufacturer/onsemi?pageNo=551", "Onsemi")</f>
        <v>Onsemi</v>
      </c>
      <c r="C11336" s="6">
        <v>1575</v>
      </c>
      <c r="D11336" s="7">
        <v>1.41</v>
      </c>
    </row>
    <row r="11337" spans="1:5" x14ac:dyDescent="0.25">
      <c r="A11337" t="str">
        <f>HYPERLINK("https://www.773grp.com/globalSearch/MSRD620CTT4RG/page-1", "MSRD620CTT4RG")</f>
        <v>MSRD620CTT4RG</v>
      </c>
      <c r="B11337" s="3" t="str">
        <f>HYPERLINK("https://www.773grp.com/manufacturer/onsemi?pageNo=552", "Onsemi")</f>
        <v>Onsemi</v>
      </c>
      <c r="C11337" s="6">
        <v>2450</v>
      </c>
      <c r="D11337" s="7">
        <v>1.41</v>
      </c>
      <c r="E11337" t="s">
        <v>82</v>
      </c>
    </row>
    <row r="11338" spans="1:5" x14ac:dyDescent="0.25">
      <c r="A11338" t="str">
        <f>HYPERLINK("https://www.773grp.com/globalSearch/MTD2N40E/page-1", "MTD2N40E")</f>
        <v>MTD2N40E</v>
      </c>
      <c r="B11338" s="3" t="str">
        <f>HYPERLINK("https://www.773grp.com/manufacturer/onsemi?pageNo=553", "Onsemi")</f>
        <v>Onsemi</v>
      </c>
      <c r="C11338" s="6">
        <v>3500</v>
      </c>
      <c r="D11338" s="7">
        <v>1.41</v>
      </c>
      <c r="E11338" t="s">
        <v>84</v>
      </c>
    </row>
    <row r="11339" spans="1:5" x14ac:dyDescent="0.25">
      <c r="A11339" t="str">
        <f>HYPERLINK("https://www.773grp.com/globalSearch/MTD2N40E/page-1", "MTD2N40E")</f>
        <v>MTD2N40E</v>
      </c>
      <c r="B11339" s="3" t="str">
        <f>HYPERLINK("https://www.773grp.com/manufacturer/onsemi?pageNo=554", "Onsemi")</f>
        <v>Onsemi</v>
      </c>
      <c r="C11339" s="6">
        <v>35</v>
      </c>
      <c r="D11339" s="7">
        <v>1.41</v>
      </c>
      <c r="E11339" t="s">
        <v>84</v>
      </c>
    </row>
    <row r="11340" spans="1:5" x14ac:dyDescent="0.25">
      <c r="A11340" t="str">
        <f>HYPERLINK("https://www.773grp.com/globalSearch/MTD2N40ET4/page-1", "MTD2N40ET4")</f>
        <v>MTD2N40ET4</v>
      </c>
      <c r="B11340" s="3" t="str">
        <f>HYPERLINK("https://www.773grp.com/manufacturer/onsemi?pageNo=555", "Onsemi")</f>
        <v>Onsemi</v>
      </c>
      <c r="C11340" s="6">
        <v>335000</v>
      </c>
      <c r="D11340" s="7">
        <v>1.41</v>
      </c>
      <c r="E11340" t="s">
        <v>84</v>
      </c>
    </row>
    <row r="11341" spans="1:5" x14ac:dyDescent="0.25">
      <c r="A11341" t="str">
        <f>HYPERLINK("https://www.773grp.com/globalSearch/MURD315T4/page-1", "MURD315T4")</f>
        <v>MURD315T4</v>
      </c>
      <c r="B11341" s="3" t="str">
        <f>HYPERLINK("https://www.773grp.com/manufacturer/onsemi?pageNo=556", "Onsemi")</f>
        <v>Onsemi</v>
      </c>
      <c r="C11341" s="6">
        <v>2490</v>
      </c>
      <c r="D11341" s="7">
        <v>1.41</v>
      </c>
      <c r="E11341" t="s">
        <v>82</v>
      </c>
    </row>
    <row r="11342" spans="1:5" x14ac:dyDescent="0.25">
      <c r="A11342" t="str">
        <f>HYPERLINK("https://www.773grp.com/globalSearch/NCN8024DWR2G/page-1", "NCN8024DWR2G")</f>
        <v>NCN8024DWR2G</v>
      </c>
      <c r="B11342" s="3" t="str">
        <f>HYPERLINK("https://www.773grp.com/manufacturer/onsemi?pageNo=557", "Onsemi")</f>
        <v>Onsemi</v>
      </c>
      <c r="C11342" s="6">
        <v>1815285</v>
      </c>
      <c r="D11342" s="7">
        <v>1.41</v>
      </c>
      <c r="E11342" t="s">
        <v>36</v>
      </c>
    </row>
    <row r="11343" spans="1:5" x14ac:dyDescent="0.25">
      <c r="A11343" t="str">
        <f>HYPERLINK("https://www.773grp.com/globalSearch/NCP100ALPRPG/page-1", "NCP100ALPRPG")</f>
        <v>NCP100ALPRPG</v>
      </c>
      <c r="B11343" s="3" t="str">
        <f>HYPERLINK("https://www.773grp.com/manufacturer/onsemi?pageNo=558", "Onsemi")</f>
        <v>Onsemi</v>
      </c>
      <c r="C11343" s="6">
        <v>716451</v>
      </c>
      <c r="D11343" s="7">
        <v>1.41</v>
      </c>
      <c r="E11343" t="s">
        <v>13</v>
      </c>
    </row>
    <row r="11344" spans="1:5" x14ac:dyDescent="0.25">
      <c r="A11344" t="str">
        <f>HYPERLINK("https://www.773grp.com/globalSearch/NCP1207ADR2/page-1", "NCP1207ADR2")</f>
        <v>NCP1207ADR2</v>
      </c>
      <c r="B11344" s="3" t="str">
        <f>HYPERLINK("https://www.773grp.com/manufacturer/onsemi?pageNo=559", "Onsemi")</f>
        <v>Onsemi</v>
      </c>
      <c r="C11344" s="6">
        <v>600</v>
      </c>
      <c r="D11344" s="7">
        <v>1.41</v>
      </c>
      <c r="E11344" t="s">
        <v>5</v>
      </c>
    </row>
    <row r="11345" spans="1:5" x14ac:dyDescent="0.25">
      <c r="A11345" t="str">
        <f>HYPERLINK("https://www.773grp.com/globalSearch/NCP1216AD133R2/page-1", "NCP1216AD133R2")</f>
        <v>NCP1216AD133R2</v>
      </c>
      <c r="B11345" s="3" t="str">
        <f>HYPERLINK("https://www.773grp.com/manufacturer/onsemi?pageNo=560", "Onsemi")</f>
        <v>Onsemi</v>
      </c>
      <c r="C11345" s="6">
        <v>5000</v>
      </c>
      <c r="D11345" s="7">
        <v>1.41</v>
      </c>
      <c r="E11345" t="s">
        <v>5</v>
      </c>
    </row>
    <row r="11346" spans="1:5" x14ac:dyDescent="0.25">
      <c r="A11346" t="str">
        <f>HYPERLINK("https://www.773grp.com/globalSearch/NCP1216D100R2/page-1", "NCP1216D100R2")</f>
        <v>NCP1216D100R2</v>
      </c>
      <c r="B11346" s="3" t="str">
        <f>HYPERLINK("https://www.773grp.com/manufacturer/onsemi?pageNo=561", "Onsemi")</f>
        <v>Onsemi</v>
      </c>
      <c r="C11346" s="6">
        <v>194732</v>
      </c>
      <c r="D11346" s="7">
        <v>1.41</v>
      </c>
      <c r="E11346" t="s">
        <v>5</v>
      </c>
    </row>
    <row r="11347" spans="1:5" x14ac:dyDescent="0.25">
      <c r="A11347" t="str">
        <f>HYPERLINK("https://www.773grp.com/globalSearch/NCP1216D133R2/page-1", "NCP1216D133R2")</f>
        <v>NCP1216D133R2</v>
      </c>
      <c r="B11347" s="3" t="str">
        <f>HYPERLINK("https://www.773grp.com/manufacturer/onsemi?pageNo=562", "Onsemi")</f>
        <v>Onsemi</v>
      </c>
      <c r="C11347" s="6">
        <v>46455</v>
      </c>
      <c r="D11347" s="7">
        <v>1.41</v>
      </c>
      <c r="E11347" t="s">
        <v>5</v>
      </c>
    </row>
    <row r="11348" spans="1:5" x14ac:dyDescent="0.25">
      <c r="A11348" t="str">
        <f>HYPERLINK("https://www.773grp.com/globalSearch/NCP1217AD100R2/page-1", "NCP1217AD100R2")</f>
        <v>NCP1217AD100R2</v>
      </c>
      <c r="B11348" s="3" t="str">
        <f>HYPERLINK("https://www.773grp.com/manufacturer/onsemi?pageNo=563", "Onsemi")</f>
        <v>Onsemi</v>
      </c>
      <c r="C11348" s="6">
        <v>5000</v>
      </c>
      <c r="D11348" s="7">
        <v>1.41</v>
      </c>
      <c r="E11348" t="s">
        <v>5</v>
      </c>
    </row>
    <row r="11349" spans="1:5" x14ac:dyDescent="0.25">
      <c r="A11349" t="str">
        <f>HYPERLINK("https://www.773grp.com/globalSearch/NCP1217AD65R2/page-1", "NCP1217AD65R2")</f>
        <v>NCP1217AD65R2</v>
      </c>
      <c r="B11349" s="3" t="str">
        <f>HYPERLINK("https://www.773grp.com/manufacturer/onsemi?pageNo=564", "Onsemi")</f>
        <v>Onsemi</v>
      </c>
      <c r="C11349" s="6">
        <v>7500</v>
      </c>
      <c r="D11349" s="7">
        <v>1.41</v>
      </c>
      <c r="E11349" t="s">
        <v>5</v>
      </c>
    </row>
    <row r="11350" spans="1:5" x14ac:dyDescent="0.25">
      <c r="A11350" t="str">
        <f>HYPERLINK("https://www.773grp.com/globalSearch/NCP1217D133R2/page-1", "NCP1217D133R2")</f>
        <v>NCP1217D133R2</v>
      </c>
      <c r="B11350" s="3" t="str">
        <f>HYPERLINK("https://www.773grp.com/manufacturer/onsemi?pageNo=565", "Onsemi")</f>
        <v>Onsemi</v>
      </c>
      <c r="C11350" s="6">
        <v>40000</v>
      </c>
      <c r="D11350" s="7">
        <v>1.41</v>
      </c>
      <c r="E11350" t="s">
        <v>5</v>
      </c>
    </row>
    <row r="11351" spans="1:5" x14ac:dyDescent="0.25">
      <c r="A11351" t="str">
        <f>HYPERLINK("https://www.773grp.com/globalSearch/NCP1217D65R2/page-1", "NCP1217D65R2")</f>
        <v>NCP1217D65R2</v>
      </c>
      <c r="B11351" s="3" t="str">
        <f>HYPERLINK("https://www.773grp.com/manufacturer/onsemi?pageNo=566", "Onsemi")</f>
        <v>Onsemi</v>
      </c>
      <c r="C11351" s="6">
        <v>2470</v>
      </c>
      <c r="D11351" s="7">
        <v>1.41</v>
      </c>
      <c r="E11351" t="s">
        <v>5</v>
      </c>
    </row>
    <row r="11352" spans="1:5" x14ac:dyDescent="0.25">
      <c r="A11352" t="str">
        <f>HYPERLINK("https://www.773grp.com/globalSearch/NCP1377BDR2/page-1", "NCP1377BDR2")</f>
        <v>NCP1377BDR2</v>
      </c>
      <c r="B11352" s="3" t="str">
        <f>HYPERLINK("https://www.773grp.com/manufacturer/onsemi?pageNo=567", "Onsemi")</f>
        <v>Onsemi</v>
      </c>
      <c r="C11352" s="6">
        <v>10000</v>
      </c>
      <c r="D11352" s="7">
        <v>1.41</v>
      </c>
      <c r="E11352" t="s">
        <v>5</v>
      </c>
    </row>
    <row r="11353" spans="1:5" x14ac:dyDescent="0.25">
      <c r="A11353" t="str">
        <f>HYPERLINK("https://www.773grp.com/globalSearch/NCP1377DR2/page-1", "NCP1377DR2")</f>
        <v>NCP1377DR2</v>
      </c>
      <c r="B11353" s="3" t="str">
        <f>HYPERLINK("https://www.773grp.com/manufacturer/onsemi?pageNo=568", "Onsemi")</f>
        <v>Onsemi</v>
      </c>
      <c r="C11353" s="6">
        <v>6923</v>
      </c>
      <c r="D11353" s="7">
        <v>1.41</v>
      </c>
      <c r="E11353" t="s">
        <v>5</v>
      </c>
    </row>
    <row r="11354" spans="1:5" x14ac:dyDescent="0.25">
      <c r="A11354" t="str">
        <f>HYPERLINK("https://www.773grp.com/globalSearch/NCP1378DR2/page-1", "NCP1378DR2")</f>
        <v>NCP1378DR2</v>
      </c>
      <c r="B11354" s="3" t="str">
        <f>HYPERLINK("https://www.773grp.com/manufacturer/onsemi?pageNo=569", "Onsemi")</f>
        <v>Onsemi</v>
      </c>
      <c r="C11354" s="6">
        <v>44974</v>
      </c>
      <c r="D11354" s="7">
        <v>1.41</v>
      </c>
      <c r="E11354" t="s">
        <v>5</v>
      </c>
    </row>
    <row r="11355" spans="1:5" x14ac:dyDescent="0.25">
      <c r="A11355" t="str">
        <f>HYPERLINK("https://www.773grp.com/globalSearch/NCP1596AMNTWG/page-1", "NCP1596AMNTWG")</f>
        <v>NCP1596AMNTWG</v>
      </c>
      <c r="B11355" s="3" t="str">
        <f>HYPERLINK("https://www.773grp.com/manufacturer/onsemi?pageNo=570", "Onsemi")</f>
        <v>Onsemi</v>
      </c>
      <c r="C11355" s="6">
        <v>87000</v>
      </c>
      <c r="D11355" s="7">
        <v>1.41</v>
      </c>
      <c r="E11355" t="s">
        <v>5</v>
      </c>
    </row>
    <row r="11356" spans="1:5" x14ac:dyDescent="0.25">
      <c r="A11356" t="str">
        <f>HYPERLINK("https://www.773grp.com/globalSearch/NCP2815BFCCT2G/page-1", "NCP2815BFCCT2G")</f>
        <v>NCP2815BFCCT2G</v>
      </c>
      <c r="B11356" s="3" t="str">
        <f>HYPERLINK("https://www.773grp.com/manufacturer/onsemi?pageNo=571", "Onsemi")</f>
        <v>Onsemi</v>
      </c>
      <c r="C11356" s="6">
        <v>3000</v>
      </c>
      <c r="D11356" s="7">
        <v>1.41</v>
      </c>
    </row>
    <row r="11357" spans="1:5" x14ac:dyDescent="0.25">
      <c r="A11357" t="str">
        <f>HYPERLINK("https://www.773grp.com/globalSearch/NCP2860DM277R2G/page-1", "NCP2860DM277R2G")</f>
        <v>NCP2860DM277R2G</v>
      </c>
      <c r="B11357" s="3" t="str">
        <f>HYPERLINK("https://www.773grp.com/manufacturer/onsemi?pageNo=572", "Onsemi")</f>
        <v>Onsemi</v>
      </c>
      <c r="C11357" s="6">
        <v>270182</v>
      </c>
      <c r="D11357" s="7">
        <v>1.41</v>
      </c>
      <c r="E11357" t="s">
        <v>23</v>
      </c>
    </row>
    <row r="11358" spans="1:5" x14ac:dyDescent="0.25">
      <c r="A11358" t="str">
        <f>HYPERLINK("https://www.773grp.com/globalSearch/NCP2860DMADJR2G/page-1", "NCP2860DMADJR2G")</f>
        <v>NCP2860DMADJR2G</v>
      </c>
      <c r="B11358" s="3" t="str">
        <f>HYPERLINK("https://www.773grp.com/manufacturer/onsemi?pageNo=573", "Onsemi")</f>
        <v>Onsemi</v>
      </c>
      <c r="C11358" s="6">
        <v>4000</v>
      </c>
      <c r="D11358" s="7">
        <v>1.41</v>
      </c>
    </row>
    <row r="11359" spans="1:5" x14ac:dyDescent="0.25">
      <c r="A11359" t="str">
        <f>HYPERLINK("https://www.773grp.com/globalSearch/NCP2890AFCT2/page-1", "NCP2890AFCT2")</f>
        <v>NCP2890AFCT2</v>
      </c>
      <c r="B11359" s="3" t="str">
        <f>HYPERLINK("https://www.773grp.com/manufacturer/onsemi?pageNo=574", "Onsemi")</f>
        <v>Onsemi</v>
      </c>
      <c r="C11359" s="6">
        <v>6000</v>
      </c>
      <c r="D11359" s="7">
        <v>1.41</v>
      </c>
      <c r="E11359" t="s">
        <v>14</v>
      </c>
    </row>
    <row r="11360" spans="1:5" x14ac:dyDescent="0.25">
      <c r="A11360" t="str">
        <f>HYPERLINK("https://www.773grp.com/globalSearch/NCP3063DR2G/page-1", "NCP3063DR2G")</f>
        <v>NCP3063DR2G</v>
      </c>
      <c r="B11360" s="3" t="str">
        <f>HYPERLINK("https://www.773grp.com/manufacturer/onsemi?pageNo=575", "Onsemi")</f>
        <v>Onsemi</v>
      </c>
      <c r="C11360" s="6">
        <v>30000</v>
      </c>
      <c r="D11360" s="7">
        <v>1.41</v>
      </c>
      <c r="E11360" t="s">
        <v>5</v>
      </c>
    </row>
    <row r="11361" spans="1:5" x14ac:dyDescent="0.25">
      <c r="A11361" t="str">
        <f>HYPERLINK("https://www.773grp.com/globalSearch/NCP317BTG/page-1", "NCP317BTG")</f>
        <v>NCP317BTG</v>
      </c>
      <c r="B11361" s="3" t="str">
        <f>HYPERLINK("https://www.773grp.com/manufacturer/onsemi?pageNo=576", "Onsemi")</f>
        <v>Onsemi</v>
      </c>
      <c r="C11361" s="6">
        <v>80300</v>
      </c>
      <c r="D11361" s="7">
        <v>1.41</v>
      </c>
    </row>
    <row r="11362" spans="1:5" x14ac:dyDescent="0.25">
      <c r="A11362" t="str">
        <f>HYPERLINK("https://www.773grp.com/globalSearch/NCP3334DADJG/page-1", "NCP3334DADJG")</f>
        <v>NCP3334DADJG</v>
      </c>
      <c r="B11362" s="3" t="str">
        <f>HYPERLINK("https://www.773grp.com/manufacturer/onsemi?pageNo=577", "Onsemi")</f>
        <v>Onsemi</v>
      </c>
      <c r="C11362" s="6">
        <v>19790</v>
      </c>
      <c r="D11362" s="7">
        <v>1.41</v>
      </c>
    </row>
    <row r="11363" spans="1:5" x14ac:dyDescent="0.25">
      <c r="A11363" t="str">
        <f>HYPERLINK("https://www.773grp.com/globalSearch/NCP3334DADJR2G/page-1", "NCP3334DADJR2G")</f>
        <v>NCP3334DADJR2G</v>
      </c>
      <c r="B11363" s="3" t="str">
        <f>HYPERLINK("https://www.773grp.com/manufacturer/onsemi?pageNo=578", "Onsemi")</f>
        <v>Onsemi</v>
      </c>
      <c r="C11363" s="6">
        <v>14829</v>
      </c>
      <c r="D11363" s="7">
        <v>1.41</v>
      </c>
    </row>
    <row r="11364" spans="1:5" x14ac:dyDescent="0.25">
      <c r="A11364" t="str">
        <f>HYPERLINK("https://www.773grp.com/globalSearch/NCP5212AMNTXG/page-1", "NCP5212AMNTXG")</f>
        <v>NCP5212AMNTXG</v>
      </c>
      <c r="B11364" s="3" t="str">
        <f>HYPERLINK("https://www.773grp.com/manufacturer/onsemi?pageNo=579", "Onsemi")</f>
        <v>Onsemi</v>
      </c>
      <c r="C11364" s="6">
        <v>9000</v>
      </c>
      <c r="D11364" s="7">
        <v>1.41</v>
      </c>
    </row>
    <row r="11365" spans="1:5" x14ac:dyDescent="0.25">
      <c r="A11365" t="str">
        <f>HYPERLINK("https://www.773grp.com/globalSearch/NCP5212TMNTXG/page-1", "NCP5212TMNTXG")</f>
        <v>NCP5212TMNTXG</v>
      </c>
      <c r="B11365" s="3" t="str">
        <f>HYPERLINK("https://www.773grp.com/manufacturer/onsemi?pageNo=580", "Onsemi")</f>
        <v>Onsemi</v>
      </c>
      <c r="C11365" s="6">
        <v>57000</v>
      </c>
      <c r="D11365" s="7">
        <v>1.41</v>
      </c>
    </row>
    <row r="11366" spans="1:5" x14ac:dyDescent="0.25">
      <c r="A11366" t="str">
        <f>HYPERLINK("https://www.773grp.com/globalSearch/NCP78LC25NTRG/page-1", "NCP78LC25NTRG")</f>
        <v>NCP78LC25NTRG</v>
      </c>
      <c r="B11366" s="3" t="str">
        <f>HYPERLINK("https://www.773grp.com/manufacturer/onsemi?pageNo=581", "Onsemi")</f>
        <v>Onsemi</v>
      </c>
      <c r="C11366" s="6">
        <v>3000</v>
      </c>
      <c r="D11366" s="7">
        <v>1.41</v>
      </c>
    </row>
    <row r="11367" spans="1:5" x14ac:dyDescent="0.25">
      <c r="A11367" t="str">
        <f>HYPERLINK("https://www.773grp.com/globalSearch/NCP78LC27NTRG/page-1", "NCP78LC27NTRG")</f>
        <v>NCP78LC27NTRG</v>
      </c>
      <c r="B11367" s="3" t="str">
        <f>HYPERLINK("https://www.773grp.com/manufacturer/onsemi?pageNo=582", "Onsemi")</f>
        <v>Onsemi</v>
      </c>
      <c r="C11367" s="6">
        <v>3000</v>
      </c>
      <c r="D11367" s="7">
        <v>1.41</v>
      </c>
    </row>
    <row r="11368" spans="1:5" x14ac:dyDescent="0.25">
      <c r="A11368" t="str">
        <f>HYPERLINK("https://www.773grp.com/globalSearch/NCP78LC28NTRG/page-1", "NCP78LC28NTRG")</f>
        <v>NCP78LC28NTRG</v>
      </c>
      <c r="B11368" s="3" t="str">
        <f>HYPERLINK("https://www.773grp.com/manufacturer/onsemi?pageNo=583", "Onsemi")</f>
        <v>Onsemi</v>
      </c>
      <c r="C11368" s="6">
        <v>3000</v>
      </c>
      <c r="D11368" s="7">
        <v>1.41</v>
      </c>
    </row>
    <row r="11369" spans="1:5" x14ac:dyDescent="0.25">
      <c r="A11369" t="str">
        <f>HYPERLINK("https://www.773grp.com/globalSearch/NCP78LC30NTRG/page-1", "NCP78LC30NTRG")</f>
        <v>NCP78LC30NTRG</v>
      </c>
      <c r="B11369" s="3" t="str">
        <f>HYPERLINK("https://www.773grp.com/manufacturer/onsemi?pageNo=584", "Onsemi")</f>
        <v>Onsemi</v>
      </c>
      <c r="C11369" s="6">
        <v>3000</v>
      </c>
      <c r="D11369" s="7">
        <v>1.41</v>
      </c>
    </row>
    <row r="11370" spans="1:5" x14ac:dyDescent="0.25">
      <c r="A11370" t="str">
        <f>HYPERLINK("https://www.773grp.com/globalSearch/NCP78LC33NTRG/page-1", "NCP78LC33NTRG")</f>
        <v>NCP78LC33NTRG</v>
      </c>
      <c r="B11370" s="3" t="str">
        <f>HYPERLINK("https://www.773grp.com/manufacturer/onsemi?pageNo=585", "Onsemi")</f>
        <v>Onsemi</v>
      </c>
      <c r="C11370" s="6">
        <v>6000</v>
      </c>
      <c r="D11370" s="7">
        <v>1.41</v>
      </c>
    </row>
    <row r="11371" spans="1:5" x14ac:dyDescent="0.25">
      <c r="A11371" t="str">
        <f>HYPERLINK("https://www.773grp.com/globalSearch/NCP78LC40NTRG/page-1", "NCP78LC40NTRG")</f>
        <v>NCP78LC40NTRG</v>
      </c>
      <c r="B11371" s="3" t="str">
        <f>HYPERLINK("https://www.773grp.com/manufacturer/onsemi?pageNo=586", "Onsemi")</f>
        <v>Onsemi</v>
      </c>
      <c r="C11371" s="6">
        <v>3000</v>
      </c>
      <c r="D11371" s="7">
        <v>1.41</v>
      </c>
    </row>
    <row r="11372" spans="1:5" x14ac:dyDescent="0.25">
      <c r="A11372" t="str">
        <f>HYPERLINK("https://www.773grp.com/globalSearch/NCP78LC50NTRG/page-1", "NCP78LC50NTRG")</f>
        <v>NCP78LC50NTRG</v>
      </c>
      <c r="B11372" s="3" t="str">
        <f>HYPERLINK("https://www.773grp.com/manufacturer/onsemi?pageNo=587", "Onsemi")</f>
        <v>Onsemi</v>
      </c>
      <c r="C11372" s="6">
        <v>3000</v>
      </c>
      <c r="D11372" s="7">
        <v>1.41</v>
      </c>
    </row>
    <row r="11373" spans="1:5" x14ac:dyDescent="0.25">
      <c r="A11373" t="str">
        <f>HYPERLINK("https://www.773grp.com/globalSearch/NCV1117ST12T3G/page-1", "NCV1117ST12T3G")</f>
        <v>NCV1117ST12T3G</v>
      </c>
      <c r="B11373" s="3" t="str">
        <f>HYPERLINK("https://www.773grp.com/manufacturer/onsemi?pageNo=588", "Onsemi")</f>
        <v>Onsemi</v>
      </c>
      <c r="C11373" s="6">
        <v>178</v>
      </c>
      <c r="D11373" s="7">
        <v>1.41</v>
      </c>
      <c r="E11373" t="s">
        <v>15</v>
      </c>
    </row>
    <row r="11374" spans="1:5" x14ac:dyDescent="0.25">
      <c r="A11374" t="str">
        <f>HYPERLINK("https://www.773grp.com/globalSearch/NCV1117ST15T3G/page-1", "NCV1117ST15T3G")</f>
        <v>NCV1117ST15T3G</v>
      </c>
      <c r="B11374" s="3" t="str">
        <f>HYPERLINK("https://www.773grp.com/manufacturer/onsemi?pageNo=589", "Onsemi")</f>
        <v>Onsemi</v>
      </c>
      <c r="C11374" s="6">
        <v>9762</v>
      </c>
      <c r="D11374" s="7">
        <v>1.41</v>
      </c>
      <c r="E11374" t="s">
        <v>15</v>
      </c>
    </row>
    <row r="11375" spans="1:5" x14ac:dyDescent="0.25">
      <c r="A11375" t="str">
        <f>HYPERLINK("https://www.773grp.com/globalSearch/NCV1117ST18T3G/page-1", "NCV1117ST18T3G")</f>
        <v>NCV1117ST18T3G</v>
      </c>
      <c r="B11375" s="3" t="str">
        <f>HYPERLINK("https://www.773grp.com/manufacturer/onsemi?pageNo=590", "Onsemi")</f>
        <v>Onsemi</v>
      </c>
      <c r="C11375" s="6">
        <v>23983</v>
      </c>
      <c r="D11375" s="7">
        <v>1.41</v>
      </c>
      <c r="E11375" t="s">
        <v>15</v>
      </c>
    </row>
    <row r="11376" spans="1:5" x14ac:dyDescent="0.25">
      <c r="A11376" t="str">
        <f>HYPERLINK("https://www.773grp.com/globalSearch/NCV1117ST50T3G/page-1", "NCV1117ST50T3G")</f>
        <v>NCV1117ST50T3G</v>
      </c>
      <c r="B11376" s="3" t="str">
        <f>HYPERLINK("https://www.773grp.com/manufacturer/onsemi?pageNo=591", "Onsemi")</f>
        <v>Onsemi</v>
      </c>
      <c r="C11376" s="6">
        <v>12000</v>
      </c>
      <c r="D11376" s="7">
        <v>1.41</v>
      </c>
    </row>
    <row r="11377" spans="1:5" x14ac:dyDescent="0.25">
      <c r="A11377" t="str">
        <f>HYPERLINK("https://www.773grp.com/globalSearch/NCV1117STAT3G/page-1", "NCV1117STAT3G")</f>
        <v>NCV1117STAT3G</v>
      </c>
      <c r="B11377" s="3" t="str">
        <f>HYPERLINK("https://www.773grp.com/manufacturer/onsemi?pageNo=592", "Onsemi")</f>
        <v>Onsemi</v>
      </c>
      <c r="C11377" s="6">
        <v>47487</v>
      </c>
      <c r="D11377" s="7">
        <v>1.41</v>
      </c>
      <c r="E11377" t="s">
        <v>21</v>
      </c>
    </row>
    <row r="11378" spans="1:5" x14ac:dyDescent="0.25">
      <c r="A11378" t="str">
        <f>HYPERLINK("https://www.773grp.com/globalSearch/NCV663SQ15T1G/page-1", "NCV663SQ15T1G")</f>
        <v>NCV663SQ15T1G</v>
      </c>
      <c r="B11378" s="3" t="str">
        <f>HYPERLINK("https://www.773grp.com/manufacturer/onsemi?pageNo=593", "Onsemi")</f>
        <v>Onsemi</v>
      </c>
      <c r="C11378" s="6">
        <v>21000</v>
      </c>
      <c r="D11378" s="7">
        <v>1.41</v>
      </c>
      <c r="E11378" t="s">
        <v>15</v>
      </c>
    </row>
    <row r="11379" spans="1:5" x14ac:dyDescent="0.25">
      <c r="A11379" t="str">
        <f>HYPERLINK("https://www.773grp.com/globalSearch/NCV663SQ18T1G/page-1", "NCV663SQ18T1G")</f>
        <v>NCV663SQ18T1G</v>
      </c>
      <c r="B11379" s="3" t="str">
        <f>HYPERLINK("https://www.773grp.com/manufacturer/onsemi?pageNo=594", "Onsemi")</f>
        <v>Onsemi</v>
      </c>
      <c r="C11379" s="6">
        <v>6000</v>
      </c>
      <c r="D11379" s="7">
        <v>1.41</v>
      </c>
    </row>
    <row r="11380" spans="1:5" x14ac:dyDescent="0.25">
      <c r="A11380" t="str">
        <f>HYPERLINK("https://www.773grp.com/globalSearch/NCV663SQ25T1G/page-1", "NCV663SQ25T1G")</f>
        <v>NCV663SQ25T1G</v>
      </c>
      <c r="B11380" s="3" t="str">
        <f>HYPERLINK("https://www.773grp.com/manufacturer/onsemi?pageNo=595", "Onsemi")</f>
        <v>Onsemi</v>
      </c>
      <c r="C11380" s="6">
        <v>14059</v>
      </c>
      <c r="D11380" s="7">
        <v>1.41</v>
      </c>
      <c r="E11380" t="s">
        <v>15</v>
      </c>
    </row>
    <row r="11381" spans="1:5" x14ac:dyDescent="0.25">
      <c r="A11381" t="str">
        <f>HYPERLINK("https://www.773grp.com/globalSearch/NCV663SQ27T1G/page-1", "NCV663SQ27T1G")</f>
        <v>NCV663SQ27T1G</v>
      </c>
      <c r="B11381" s="3" t="str">
        <f>HYPERLINK("https://www.773grp.com/manufacturer/onsemi?pageNo=596", "Onsemi")</f>
        <v>Onsemi</v>
      </c>
      <c r="C11381" s="6">
        <v>12000</v>
      </c>
      <c r="D11381" s="7">
        <v>1.41</v>
      </c>
      <c r="E11381" t="s">
        <v>15</v>
      </c>
    </row>
    <row r="11382" spans="1:5" x14ac:dyDescent="0.25">
      <c r="A11382" t="str">
        <f>HYPERLINK("https://www.773grp.com/globalSearch/NCV663SQ28T1G/page-1", "NCV663SQ28T1G")</f>
        <v>NCV663SQ28T1G</v>
      </c>
      <c r="B11382" s="3" t="str">
        <f>HYPERLINK("https://www.773grp.com/manufacturer/onsemi?pageNo=597", "Onsemi")</f>
        <v>Onsemi</v>
      </c>
      <c r="C11382" s="6">
        <v>9000</v>
      </c>
      <c r="D11382" s="7">
        <v>1.41</v>
      </c>
      <c r="E11382" t="s">
        <v>15</v>
      </c>
    </row>
    <row r="11383" spans="1:5" x14ac:dyDescent="0.25">
      <c r="A11383" t="str">
        <f>HYPERLINK("https://www.773grp.com/globalSearch/NCV663SQ30T1G/page-1", "NCV663SQ30T1G")</f>
        <v>NCV663SQ30T1G</v>
      </c>
      <c r="B11383" s="3" t="str">
        <f>HYPERLINK("https://www.773grp.com/manufacturer/onsemi?pageNo=598", "Onsemi")</f>
        <v>Onsemi</v>
      </c>
      <c r="C11383" s="6">
        <v>5985</v>
      </c>
      <c r="D11383" s="7">
        <v>1.41</v>
      </c>
      <c r="E11383" t="s">
        <v>15</v>
      </c>
    </row>
    <row r="11384" spans="1:5" x14ac:dyDescent="0.25">
      <c r="A11384" t="str">
        <f>HYPERLINK("https://www.773grp.com/globalSearch/NCV663SQ33T1G/page-1", "NCV663SQ33T1G")</f>
        <v>NCV663SQ33T1G</v>
      </c>
      <c r="B11384" s="3" t="str">
        <f>HYPERLINK("https://www.773grp.com/manufacturer/onsemi?pageNo=599", "Onsemi")</f>
        <v>Onsemi</v>
      </c>
      <c r="C11384" s="6">
        <v>14938</v>
      </c>
      <c r="D11384" s="7">
        <v>1.41</v>
      </c>
      <c r="E11384" t="s">
        <v>15</v>
      </c>
    </row>
    <row r="11385" spans="1:5" x14ac:dyDescent="0.25">
      <c r="A11385" t="str">
        <f>HYPERLINK("https://www.773grp.com/globalSearch/NCV663SQ50T1G/page-1", "NCV663SQ50T1G")</f>
        <v>NCV663SQ50T1G</v>
      </c>
      <c r="B11385" s="3" t="str">
        <f>HYPERLINK("https://www.773grp.com/manufacturer/onsemi?pageNo=600", "Onsemi")</f>
        <v>Onsemi</v>
      </c>
      <c r="C11385" s="6">
        <v>23895</v>
      </c>
      <c r="D11385" s="7">
        <v>1.41</v>
      </c>
      <c r="E11385" t="s">
        <v>15</v>
      </c>
    </row>
    <row r="11386" spans="1:5" x14ac:dyDescent="0.25">
      <c r="A11386" t="str">
        <f>HYPERLINK("https://www.773grp.com/globalSearch/NE592N8/page-1", "NE592N8")</f>
        <v>NE592N8</v>
      </c>
      <c r="B11386" s="3" t="str">
        <f>HYPERLINK("https://www.773grp.com/manufacturer/onsemi?pageNo=601", "Onsemi")</f>
        <v>Onsemi</v>
      </c>
      <c r="C11386" s="6">
        <v>300</v>
      </c>
      <c r="D11386" s="7">
        <v>1.41</v>
      </c>
      <c r="E11386" t="s">
        <v>14</v>
      </c>
    </row>
    <row r="11387" spans="1:5" x14ac:dyDescent="0.25">
      <c r="A11387" t="str">
        <f>HYPERLINK("https://www.773grp.com/globalSearch/NJVBDW47G/page-1", "NJVBDW47G")</f>
        <v>NJVBDW47G</v>
      </c>
      <c r="B11387" s="3" t="str">
        <f>HYPERLINK("https://www.773grp.com/manufacturer/onsemi?pageNo=602", "Onsemi")</f>
        <v>Onsemi</v>
      </c>
      <c r="C11387" s="6">
        <v>82</v>
      </c>
      <c r="D11387" s="7">
        <v>1.41</v>
      </c>
    </row>
    <row r="11388" spans="1:5" x14ac:dyDescent="0.25">
      <c r="A11388" t="str">
        <f>HYPERLINK("https://www.773grp.com/globalSearch/NLAS4684FCTCG/page-1", "NLAS4684FCTCG")</f>
        <v>NLAS4684FCTCG</v>
      </c>
      <c r="B11388" s="3" t="str">
        <f>HYPERLINK("https://www.773grp.com/manufacturer/onsemi?pageNo=603", "Onsemi")</f>
        <v>Onsemi</v>
      </c>
      <c r="C11388" s="6">
        <v>300000</v>
      </c>
      <c r="D11388" s="7">
        <v>1.41</v>
      </c>
      <c r="E11388" t="s">
        <v>46</v>
      </c>
    </row>
    <row r="11389" spans="1:5" x14ac:dyDescent="0.25">
      <c r="A11389" t="str">
        <f>HYPERLINK("https://www.773grp.com/globalSearch/NLSF595DTR2G/page-1", "NLSF595DTR2G")</f>
        <v>NLSF595DTR2G</v>
      </c>
      <c r="B11389" s="3" t="str">
        <f>HYPERLINK("https://www.773grp.com/manufacturer/onsemi?pageNo=604", "Onsemi")</f>
        <v>Onsemi</v>
      </c>
      <c r="C11389" s="6">
        <v>2500</v>
      </c>
      <c r="D11389" s="7">
        <v>1.41</v>
      </c>
    </row>
    <row r="11390" spans="1:5" x14ac:dyDescent="0.25">
      <c r="A11390" t="str">
        <f>HYPERLINK("https://www.773grp.com/globalSearch/NTD24N06L-1G/page-1", "NTD24N06L-1G")</f>
        <v>NTD24N06L-1G</v>
      </c>
      <c r="B11390" s="3" t="str">
        <f>HYPERLINK("https://www.773grp.com/manufacturer/onsemi?pageNo=605", "Onsemi")</f>
        <v>Onsemi</v>
      </c>
      <c r="C11390" s="6">
        <v>280</v>
      </c>
      <c r="D11390" s="7">
        <v>1.41</v>
      </c>
      <c r="E11390" t="s">
        <v>84</v>
      </c>
    </row>
    <row r="11391" spans="1:5" x14ac:dyDescent="0.25">
      <c r="A11391" t="str">
        <f>HYPERLINK("https://www.773grp.com/globalSearch/NTD24N06LT4/page-1", "NTD24N06LT4")</f>
        <v>NTD24N06LT4</v>
      </c>
      <c r="B11391" s="3" t="str">
        <f>HYPERLINK("https://www.773grp.com/manufacturer/onsemi?pageNo=606", "Onsemi")</f>
        <v>Onsemi</v>
      </c>
      <c r="C11391" s="6">
        <v>2394</v>
      </c>
      <c r="D11391" s="7">
        <v>1.41</v>
      </c>
      <c r="E11391" t="s">
        <v>84</v>
      </c>
    </row>
    <row r="11392" spans="1:5" x14ac:dyDescent="0.25">
      <c r="A11392" t="str">
        <f>HYPERLINK("https://www.773grp.com/globalSearch/NTD25P03L1G/page-1", "NTD25P03L1G")</f>
        <v>NTD25P03L1G</v>
      </c>
      <c r="B11392" s="3" t="str">
        <f>HYPERLINK("https://www.773grp.com/manufacturer/onsemi?pageNo=607", "Onsemi")</f>
        <v>Onsemi</v>
      </c>
      <c r="C11392" s="6">
        <v>7125</v>
      </c>
      <c r="D11392" s="7">
        <v>1.41</v>
      </c>
    </row>
    <row r="11393" spans="1:5" x14ac:dyDescent="0.25">
      <c r="A11393" t="str">
        <f>HYPERLINK("https://www.773grp.com/globalSearch/NTD25P03LRLG/page-1", "NTD25P03LRLG")</f>
        <v>NTD25P03LRLG</v>
      </c>
      <c r="B11393" s="3" t="str">
        <f>HYPERLINK("https://www.773grp.com/manufacturer/onsemi?pageNo=608", "Onsemi")</f>
        <v>Onsemi</v>
      </c>
      <c r="C11393" s="6">
        <v>3600</v>
      </c>
      <c r="D11393" s="7">
        <v>1.41</v>
      </c>
    </row>
    <row r="11394" spans="1:5" x14ac:dyDescent="0.25">
      <c r="A11394" t="str">
        <f>HYPERLINK("https://www.773grp.com/globalSearch/NTD5865N-1G/page-1", "NTD5865N-1G")</f>
        <v>NTD5865N-1G</v>
      </c>
      <c r="B11394" s="3" t="str">
        <f>HYPERLINK("https://www.773grp.com/manufacturer/onsemi?pageNo=609", "Onsemi")</f>
        <v>Onsemi</v>
      </c>
      <c r="C11394" s="6">
        <v>9650</v>
      </c>
      <c r="D11394" s="7">
        <v>1.41</v>
      </c>
      <c r="E11394" t="s">
        <v>84</v>
      </c>
    </row>
    <row r="11395" spans="1:5" x14ac:dyDescent="0.25">
      <c r="A11395" t="str">
        <f>HYPERLINK("https://www.773grp.com/globalSearch/NTD5865NL-1G/page-1", "NTD5865NL-1G")</f>
        <v>NTD5865NL-1G</v>
      </c>
      <c r="B11395" s="3" t="str">
        <f>HYPERLINK("https://www.773grp.com/manufacturer/onsemi?pageNo=610", "Onsemi")</f>
        <v>Onsemi</v>
      </c>
      <c r="C11395" s="6">
        <v>2040</v>
      </c>
      <c r="D11395" s="7">
        <v>1.41</v>
      </c>
    </row>
    <row r="11396" spans="1:5" x14ac:dyDescent="0.25">
      <c r="A11396" t="str">
        <f>HYPERLINK("https://www.773grp.com/globalSearch/NTD5865NT4G/page-1", "NTD5865NT4G")</f>
        <v>NTD5865NT4G</v>
      </c>
      <c r="B11396" s="3" t="str">
        <f>HYPERLINK("https://www.773grp.com/manufacturer/onsemi?pageNo=611", "Onsemi")</f>
        <v>Onsemi</v>
      </c>
      <c r="C11396" s="6">
        <v>20000</v>
      </c>
      <c r="D11396" s="7">
        <v>1.41</v>
      </c>
    </row>
    <row r="11397" spans="1:5" x14ac:dyDescent="0.25">
      <c r="A11397" t="str">
        <f>HYPERLINK("https://www.773grp.com/globalSearch/NTMFS4836NT1G/page-1", "NTMFS4836NT1G")</f>
        <v>NTMFS4836NT1G</v>
      </c>
      <c r="B11397" s="3" t="str">
        <f>HYPERLINK("https://www.773grp.com/manufacturer/onsemi?pageNo=612", "Onsemi")</f>
        <v>Onsemi</v>
      </c>
      <c r="C11397" s="6">
        <v>111275</v>
      </c>
      <c r="D11397" s="7">
        <v>1.41</v>
      </c>
      <c r="E11397" t="s">
        <v>84</v>
      </c>
    </row>
    <row r="11398" spans="1:5" x14ac:dyDescent="0.25">
      <c r="A11398" t="str">
        <f>HYPERLINK("https://www.773grp.com/globalSearch/NTMFS4846NT1G/page-1", "NTMFS4846NT1G")</f>
        <v>NTMFS4846NT1G</v>
      </c>
      <c r="B11398" s="3" t="str">
        <f>HYPERLINK("https://www.773grp.com/manufacturer/onsemi?pageNo=613", "Onsemi")</f>
        <v>Onsemi</v>
      </c>
      <c r="C11398" s="6">
        <v>44183</v>
      </c>
      <c r="D11398" s="7">
        <v>1.41</v>
      </c>
      <c r="E11398" t="s">
        <v>85</v>
      </c>
    </row>
    <row r="11399" spans="1:5" x14ac:dyDescent="0.25">
      <c r="A11399" t="str">
        <f>HYPERLINK("https://www.773grp.com/globalSearch/NTP18N06LG/page-1", "NTP18N06LG")</f>
        <v>NTP18N06LG</v>
      </c>
      <c r="B11399" s="3" t="str">
        <f>HYPERLINK("https://www.773grp.com/manufacturer/onsemi?pageNo=614", "Onsemi")</f>
        <v>Onsemi</v>
      </c>
      <c r="C11399" s="6">
        <v>106437</v>
      </c>
      <c r="D11399" s="7">
        <v>1.41</v>
      </c>
      <c r="E11399" t="s">
        <v>84</v>
      </c>
    </row>
    <row r="11400" spans="1:5" x14ac:dyDescent="0.25">
      <c r="A11400" t="str">
        <f>HYPERLINK("https://www.773grp.com/globalSearch/NTSJ20100CTG/page-1", "NTSJ20100CTG")</f>
        <v>NTSJ20100CTG</v>
      </c>
      <c r="B11400" s="3" t="str">
        <f>HYPERLINK("https://www.773grp.com/manufacturer/onsemi?pageNo=615", "Onsemi")</f>
        <v>Onsemi</v>
      </c>
      <c r="C11400" s="6">
        <v>1450</v>
      </c>
      <c r="D11400" s="7">
        <v>1.41</v>
      </c>
    </row>
    <row r="11401" spans="1:5" x14ac:dyDescent="0.25">
      <c r="A11401" t="str">
        <f>HYPERLINK("https://www.773grp.com/globalSearch/NTSV30100CTG/page-1", "NTSV30100CTG")</f>
        <v>NTSV30100CTG</v>
      </c>
      <c r="B11401" s="3" t="str">
        <f>HYPERLINK("https://www.773grp.com/manufacturer/onsemi?pageNo=616", "Onsemi")</f>
        <v>Onsemi</v>
      </c>
      <c r="C11401" s="6">
        <v>600</v>
      </c>
      <c r="D11401" s="7">
        <v>1.41</v>
      </c>
    </row>
    <row r="11402" spans="1:5" x14ac:dyDescent="0.25">
      <c r="A11402" t="str">
        <f>HYPERLINK("https://www.773grp.com/globalSearch/NUP4016P5T5G/page-1", "NUP4016P5T5G")</f>
        <v>NUP4016P5T5G</v>
      </c>
      <c r="B11402" s="3" t="str">
        <f>HYPERLINK("https://www.773grp.com/manufacturer/onsemi?pageNo=617", "Onsemi")</f>
        <v>Onsemi</v>
      </c>
      <c r="C11402" s="6">
        <v>47500</v>
      </c>
      <c r="D11402" s="7">
        <v>1.41</v>
      </c>
      <c r="E11402" t="s">
        <v>75</v>
      </c>
    </row>
    <row r="11403" spans="1:5" x14ac:dyDescent="0.25">
      <c r="A11403" t="str">
        <f>HYPERLINK("https://www.773grp.com/globalSearch/NUS5531MTR2G/page-1", "NUS5531MTR2G")</f>
        <v>NUS5531MTR2G</v>
      </c>
      <c r="B11403" s="3" t="str">
        <f>HYPERLINK("https://www.773grp.com/manufacturer/onsemi?pageNo=618", "Onsemi")</f>
        <v>Onsemi</v>
      </c>
      <c r="C11403" s="6">
        <v>303000</v>
      </c>
      <c r="D11403" s="7">
        <v>1.41</v>
      </c>
      <c r="E11403" t="s">
        <v>85</v>
      </c>
    </row>
    <row r="11404" spans="1:5" x14ac:dyDescent="0.25">
      <c r="A11404" t="str">
        <f>HYPERLINK("https://www.773grp.com/globalSearch/PACDN1404CG/page-1", "PACDN1404CG")</f>
        <v>PACDN1404CG</v>
      </c>
      <c r="B11404" s="3" t="str">
        <f>HYPERLINK("https://www.773grp.com/manufacturer/onsemi?pageNo=619", "Onsemi")</f>
        <v>Onsemi</v>
      </c>
      <c r="C11404" s="6">
        <v>3865</v>
      </c>
      <c r="D11404" s="7">
        <v>1.41</v>
      </c>
      <c r="E11404" t="s">
        <v>75</v>
      </c>
    </row>
    <row r="11405" spans="1:5" x14ac:dyDescent="0.25">
      <c r="A11405" t="str">
        <f>HYPERLINK("https://www.773grp.com/globalSearch/SC310001P/page-1", "SC310001P")</f>
        <v>SC310001P</v>
      </c>
      <c r="B11405" s="3" t="str">
        <f>HYPERLINK("https://www.773grp.com/manufacturer/onsemi?pageNo=620", "Onsemi")</f>
        <v>Onsemi</v>
      </c>
      <c r="C11405" s="6">
        <v>2375</v>
      </c>
      <c r="D11405" s="7">
        <v>1.41</v>
      </c>
    </row>
    <row r="11406" spans="1:5" x14ac:dyDescent="0.25">
      <c r="A11406" t="str">
        <f>HYPERLINK("https://www.773grp.com/globalSearch/SC68254DW154R2/page-1", "SC68254DW154R2")</f>
        <v>SC68254DW154R2</v>
      </c>
      <c r="B11406" s="3" t="str">
        <f>HYPERLINK("https://www.773grp.com/manufacturer/onsemi?pageNo=621", "Onsemi")</f>
        <v>Onsemi</v>
      </c>
      <c r="C11406" s="6">
        <v>18000</v>
      </c>
      <c r="D11406" s="7">
        <v>1.41</v>
      </c>
    </row>
    <row r="11407" spans="1:5" x14ac:dyDescent="0.25">
      <c r="A11407" t="str">
        <f>HYPERLINK("https://www.773grp.com/globalSearch/SN74LS640DWR2/page-1", "SN74LS640DWR2")</f>
        <v>SN74LS640DWR2</v>
      </c>
      <c r="B11407" s="3" t="str">
        <f>HYPERLINK("https://www.773grp.com/manufacturer/onsemi?pageNo=622", "Onsemi")</f>
        <v>Onsemi</v>
      </c>
      <c r="C11407" s="6">
        <v>3000</v>
      </c>
      <c r="D11407" s="7">
        <v>1.41</v>
      </c>
      <c r="E11407" t="s">
        <v>11</v>
      </c>
    </row>
    <row r="11408" spans="1:5" x14ac:dyDescent="0.25">
      <c r="A11408" t="str">
        <f>HYPERLINK("https://www.773grp.com/globalSearch/SN74LS640M/page-1", "SN74LS640M")</f>
        <v>SN74LS640M</v>
      </c>
      <c r="B11408" s="3" t="str">
        <f>HYPERLINK("https://www.773grp.com/manufacturer/onsemi?pageNo=623", "Onsemi")</f>
        <v>Onsemi</v>
      </c>
      <c r="C11408" s="6">
        <v>1720</v>
      </c>
      <c r="D11408" s="7">
        <v>1.41</v>
      </c>
      <c r="E11408" t="s">
        <v>11</v>
      </c>
    </row>
    <row r="11409" spans="1:5" x14ac:dyDescent="0.25">
      <c r="A11409" t="str">
        <f>HYPERLINK("https://www.773grp.com/globalSearch/SN74LS640MR1/page-1", "SN74LS640MR1")</f>
        <v>SN74LS640MR1</v>
      </c>
      <c r="B11409" s="3" t="str">
        <f>HYPERLINK("https://www.773grp.com/manufacturer/onsemi?pageNo=624", "Onsemi")</f>
        <v>Onsemi</v>
      </c>
      <c r="C11409" s="6">
        <v>75000</v>
      </c>
      <c r="D11409" s="7">
        <v>1.41</v>
      </c>
      <c r="E11409" t="s">
        <v>11</v>
      </c>
    </row>
    <row r="11410" spans="1:5" x14ac:dyDescent="0.25">
      <c r="A11410" t="str">
        <f>HYPERLINK("https://www.773grp.com/globalSearch/SN74LS641DW/page-1", "SN74LS641DW")</f>
        <v>SN74LS641DW</v>
      </c>
      <c r="B11410" s="3" t="str">
        <f>HYPERLINK("https://www.773grp.com/manufacturer/onsemi?pageNo=625", "Onsemi")</f>
        <v>Onsemi</v>
      </c>
      <c r="C11410" s="6">
        <v>1560</v>
      </c>
      <c r="D11410" s="7">
        <v>1.41</v>
      </c>
      <c r="E11410" t="s">
        <v>11</v>
      </c>
    </row>
    <row r="11411" spans="1:5" x14ac:dyDescent="0.25">
      <c r="A11411" t="str">
        <f>HYPERLINK("https://www.773grp.com/globalSearch/SN74LS641H/page-1", "SN74LS641H")</f>
        <v>SN74LS641H</v>
      </c>
      <c r="B11411" s="3" t="str">
        <f>HYPERLINK("https://www.773grp.com/manufacturer/onsemi?pageNo=626", "Onsemi")</f>
        <v>Onsemi</v>
      </c>
      <c r="C11411" s="6">
        <v>920</v>
      </c>
      <c r="D11411" s="7">
        <v>1.41</v>
      </c>
    </row>
    <row r="11412" spans="1:5" x14ac:dyDescent="0.25">
      <c r="A11412" t="str">
        <f>HYPERLINK("https://www.773grp.com/globalSearch/SN74LS641N/page-1", "SN74LS641N")</f>
        <v>SN74LS641N</v>
      </c>
      <c r="B11412" s="3" t="str">
        <f>HYPERLINK("https://www.773grp.com/manufacturer/onsemi?pageNo=627", "Onsemi")</f>
        <v>Onsemi</v>
      </c>
      <c r="C11412" s="6">
        <v>13979</v>
      </c>
      <c r="D11412" s="7">
        <v>1.41</v>
      </c>
      <c r="E11412" t="s">
        <v>11</v>
      </c>
    </row>
    <row r="11413" spans="1:5" x14ac:dyDescent="0.25">
      <c r="A11413" t="str">
        <f>HYPERLINK("https://www.773grp.com/globalSearch/SN74LS645H/page-1", "SN74LS645H")</f>
        <v>SN74LS645H</v>
      </c>
      <c r="B11413" s="3" t="str">
        <f>HYPERLINK("https://www.773grp.com/manufacturer/onsemi?pageNo=628", "Onsemi")</f>
        <v>Onsemi</v>
      </c>
      <c r="C11413" s="6">
        <v>1764</v>
      </c>
      <c r="D11413" s="7">
        <v>1.41</v>
      </c>
    </row>
    <row r="11414" spans="1:5" x14ac:dyDescent="0.25">
      <c r="A11414" t="str">
        <f>HYPERLINK("https://www.773grp.com/globalSearch/TE02236T/page-1", "TE02236T")</f>
        <v>TE02236T</v>
      </c>
      <c r="B11414" s="3" t="str">
        <f>HYPERLINK("https://www.773grp.com/manufacturer/onsemi?pageNo=629", "Onsemi")</f>
        <v>Onsemi</v>
      </c>
      <c r="C11414" s="6">
        <v>500</v>
      </c>
      <c r="D11414" s="7">
        <v>1.41</v>
      </c>
    </row>
    <row r="11415" spans="1:5" x14ac:dyDescent="0.25">
      <c r="A11415" t="str">
        <f>HYPERLINK("https://www.773grp.com/globalSearch/TIP30CG/page-1", "TIP30CG")</f>
        <v>TIP30CG</v>
      </c>
      <c r="B11415" s="3" t="str">
        <f>HYPERLINK("https://www.773grp.com/manufacturer/onsemi?pageNo=630", "Onsemi")</f>
        <v>Onsemi</v>
      </c>
      <c r="C11415" s="6">
        <v>3876</v>
      </c>
      <c r="D11415" s="7">
        <v>1.41</v>
      </c>
      <c r="E11415" t="s">
        <v>47</v>
      </c>
    </row>
    <row r="11416" spans="1:5" x14ac:dyDescent="0.25">
      <c r="A11416" t="str">
        <f>HYPERLINK("https://www.773grp.com/globalSearch/TIP32AG/page-1", "TIP32AG")</f>
        <v>TIP32AG</v>
      </c>
      <c r="B11416" s="3" t="str">
        <f>HYPERLINK("https://www.773grp.com/manufacturer/onsemi?pageNo=631", "Onsemi")</f>
        <v>Onsemi</v>
      </c>
      <c r="C11416" s="6">
        <v>6899</v>
      </c>
      <c r="D11416" s="7">
        <v>1.41</v>
      </c>
      <c r="E11416" t="s">
        <v>47</v>
      </c>
    </row>
    <row r="11417" spans="1:5" x14ac:dyDescent="0.25">
      <c r="A11417" t="str">
        <f>HYPERLINK("https://www.773grp.com/globalSearch/TIP32BG/page-1", "TIP32BG")</f>
        <v>TIP32BG</v>
      </c>
      <c r="B11417" s="3" t="str">
        <f>HYPERLINK("https://www.773grp.com/manufacturer/onsemi?pageNo=632", "Onsemi")</f>
        <v>Onsemi</v>
      </c>
      <c r="C11417" s="6">
        <v>5988</v>
      </c>
      <c r="D11417" s="7">
        <v>1.41</v>
      </c>
      <c r="E11417" t="s">
        <v>47</v>
      </c>
    </row>
    <row r="11418" spans="1:5" x14ac:dyDescent="0.25">
      <c r="A11418" t="str">
        <f>HYPERLINK("https://www.773grp.com/globalSearch/TIP32CG/page-1", "TIP32CG")</f>
        <v>TIP32CG</v>
      </c>
      <c r="B11418" s="3" t="str">
        <f>HYPERLINK("https://www.773grp.com/manufacturer/onsemi?pageNo=633", "Onsemi")</f>
        <v>Onsemi</v>
      </c>
      <c r="C11418" s="6">
        <v>5497</v>
      </c>
      <c r="D11418" s="7">
        <v>1.41</v>
      </c>
      <c r="E11418" t="s">
        <v>47</v>
      </c>
    </row>
    <row r="11419" spans="1:5" x14ac:dyDescent="0.25">
      <c r="A11419" t="str">
        <f>HYPERLINK("https://www.773grp.com/globalSearch/TIP32G/page-1", "TIP32G")</f>
        <v>TIP32G</v>
      </c>
      <c r="B11419" s="3" t="str">
        <f>HYPERLINK("https://www.773grp.com/manufacturer/onsemi?pageNo=634", "Onsemi")</f>
        <v>Onsemi</v>
      </c>
      <c r="C11419" s="6">
        <v>16143</v>
      </c>
      <c r="D11419" s="7">
        <v>1.41</v>
      </c>
      <c r="E11419" t="s">
        <v>47</v>
      </c>
    </row>
    <row r="11420" spans="1:5" x14ac:dyDescent="0.25">
      <c r="A11420" t="str">
        <f>HYPERLINK("https://www.773grp.com/globalSearch/TL064CN/page-1", "TL064CN")</f>
        <v>TL064CN</v>
      </c>
      <c r="B11420" s="3" t="str">
        <f>HYPERLINK("https://www.773grp.com/manufacturer/onsemi?pageNo=635", "Onsemi")</f>
        <v>Onsemi</v>
      </c>
      <c r="C11420" s="6">
        <v>85</v>
      </c>
      <c r="D11420" s="7">
        <v>1.41</v>
      </c>
      <c r="E11420" t="s">
        <v>10</v>
      </c>
    </row>
    <row r="11421" spans="1:5" x14ac:dyDescent="0.25">
      <c r="A11421" t="str">
        <f>HYPERLINK("https://www.773grp.com/globalSearch/TL064CN/page-1", "TL064CN")</f>
        <v>TL064CN</v>
      </c>
      <c r="B11421" s="3" t="str">
        <f>HYPERLINK("https://www.773grp.com/manufacturer/onsemi?pageNo=636", "Onsemi")</f>
        <v>Onsemi</v>
      </c>
      <c r="C11421" s="6">
        <v>325</v>
      </c>
      <c r="D11421" s="7">
        <v>1.41</v>
      </c>
      <c r="E11421" t="s">
        <v>10</v>
      </c>
    </row>
    <row r="11422" spans="1:5" x14ac:dyDescent="0.25">
      <c r="A11422" t="str">
        <f>HYPERLINK("https://www.773grp.com/globalSearch/TL074CN/page-1", "TL074CN")</f>
        <v>TL074CN</v>
      </c>
      <c r="B11422" s="3" t="str">
        <f>HYPERLINK("https://www.773grp.com/manufacturer/onsemi?pageNo=637", "Onsemi")</f>
        <v>Onsemi</v>
      </c>
      <c r="C11422" s="6">
        <v>26</v>
      </c>
      <c r="D11422" s="7">
        <v>1.41</v>
      </c>
      <c r="E11422" t="s">
        <v>10</v>
      </c>
    </row>
    <row r="11423" spans="1:5" x14ac:dyDescent="0.25">
      <c r="A11423" t="str">
        <f>HYPERLINK("https://www.773grp.com/globalSearch/TL084CN/page-1", "TL084CN")</f>
        <v>TL084CN</v>
      </c>
      <c r="B11423" s="3" t="str">
        <f>HYPERLINK("https://www.773grp.com/manufacturer/onsemi?pageNo=638", "Onsemi")</f>
        <v>Onsemi</v>
      </c>
      <c r="C11423" s="6">
        <v>20789</v>
      </c>
      <c r="D11423" s="7">
        <v>1.41</v>
      </c>
      <c r="E11423" t="s">
        <v>10</v>
      </c>
    </row>
    <row r="11424" spans="1:5" x14ac:dyDescent="0.25">
      <c r="A11424" t="str">
        <f>HYPERLINK("https://www.773grp.com/globalSearch/TL431CPG/page-1", "TL431CPG")</f>
        <v>TL431CPG</v>
      </c>
      <c r="B11424" s="3" t="str">
        <f>HYPERLINK("https://www.773grp.com/manufacturer/onsemi?pageNo=639", "Onsemi")</f>
        <v>Onsemi</v>
      </c>
      <c r="C11424" s="6">
        <v>19350</v>
      </c>
      <c r="D11424" s="7">
        <v>1.41</v>
      </c>
      <c r="E11424" t="s">
        <v>13</v>
      </c>
    </row>
    <row r="11425" spans="1:5" x14ac:dyDescent="0.25">
      <c r="A11425" t="str">
        <f>HYPERLINK("https://www.773grp.com/globalSearch/1N4693/page-1", "1N4693")</f>
        <v>1N4693</v>
      </c>
      <c r="B11425" s="3" t="str">
        <f>HYPERLINK("https://www.773grp.com/manufacturer/onsemi?pageNo=640", "Onsemi")</f>
        <v>Onsemi</v>
      </c>
      <c r="C11425" s="6">
        <v>38</v>
      </c>
      <c r="D11425" s="7">
        <v>1.49</v>
      </c>
      <c r="E11425" t="s">
        <v>77</v>
      </c>
    </row>
    <row r="11426" spans="1:5" x14ac:dyDescent="0.25">
      <c r="A11426" t="str">
        <f>HYPERLINK("https://www.773grp.com/globalSearch/1N4693/page-1", "1N4693")</f>
        <v>1N4693</v>
      </c>
      <c r="B11426" s="3" t="str">
        <f>HYPERLINK("https://www.773grp.com/manufacturer/onsemi?pageNo=641", "Onsemi")</f>
        <v>Onsemi</v>
      </c>
      <c r="C11426" s="6">
        <v>3375</v>
      </c>
      <c r="D11426" s="7">
        <v>1.49</v>
      </c>
      <c r="E11426" t="s">
        <v>77</v>
      </c>
    </row>
    <row r="11427" spans="1:5" x14ac:dyDescent="0.25">
      <c r="A11427" t="str">
        <f>HYPERLINK("https://www.773grp.com/globalSearch/1N4700/page-1", "1N4700")</f>
        <v>1N4700</v>
      </c>
      <c r="B11427" s="3" t="str">
        <f>HYPERLINK("https://www.773grp.com/manufacturer/onsemi?pageNo=642", "Onsemi")</f>
        <v>Onsemi</v>
      </c>
      <c r="C11427" s="6">
        <v>547</v>
      </c>
      <c r="D11427" s="7">
        <v>1.49</v>
      </c>
      <c r="E11427" t="s">
        <v>77</v>
      </c>
    </row>
    <row r="11428" spans="1:5" x14ac:dyDescent="0.25">
      <c r="A11428" t="str">
        <f>HYPERLINK("https://www.773grp.com/globalSearch/2N5190G/page-1", "2N5190G")</f>
        <v>2N5190G</v>
      </c>
      <c r="B11428" s="3" t="str">
        <f>HYPERLINK("https://www.773grp.com/manufacturer/onsemi?pageNo=643", "Onsemi")</f>
        <v>Onsemi</v>
      </c>
      <c r="C11428" s="6">
        <v>475</v>
      </c>
      <c r="D11428" s="7">
        <v>1.49</v>
      </c>
    </row>
    <row r="11429" spans="1:5" x14ac:dyDescent="0.25">
      <c r="A11429" t="str">
        <f>HYPERLINK("https://www.773grp.com/globalSearch/2N5191G/page-1", "2N5191G")</f>
        <v>2N5191G</v>
      </c>
      <c r="B11429" s="3" t="str">
        <f>HYPERLINK("https://www.773grp.com/manufacturer/onsemi?pageNo=644", "Onsemi")</f>
        <v>Onsemi</v>
      </c>
      <c r="C11429" s="6">
        <v>2435</v>
      </c>
      <c r="D11429" s="7">
        <v>1.49</v>
      </c>
    </row>
    <row r="11430" spans="1:5" x14ac:dyDescent="0.25">
      <c r="A11430" t="str">
        <f>HYPERLINK("https://www.773grp.com/globalSearch/2N5192G/page-1", "2N5192G")</f>
        <v>2N5192G</v>
      </c>
      <c r="B11430" s="3" t="str">
        <f>HYPERLINK("https://www.773grp.com/manufacturer/onsemi?pageNo=645", "Onsemi")</f>
        <v>Onsemi</v>
      </c>
      <c r="C11430" s="6">
        <v>49800</v>
      </c>
      <c r="D11430" s="7">
        <v>1.49</v>
      </c>
      <c r="E11430" t="s">
        <v>47</v>
      </c>
    </row>
    <row r="11431" spans="1:5" x14ac:dyDescent="0.25">
      <c r="A11431" t="str">
        <f>HYPERLINK("https://www.773grp.com/globalSearch/ATP202-TL-H/page-1", "ATP202-TL-H")</f>
        <v>ATP202-TL-H</v>
      </c>
      <c r="B11431" s="3" t="str">
        <f>HYPERLINK("https://www.773grp.com/manufacturer/onsemi?pageNo=646", "Onsemi")</f>
        <v>Onsemi</v>
      </c>
      <c r="C11431" s="6">
        <v>3000</v>
      </c>
      <c r="D11431" s="7">
        <v>1.49</v>
      </c>
    </row>
    <row r="11432" spans="1:5" x14ac:dyDescent="0.25">
      <c r="A11432" t="str">
        <f>HYPERLINK("https://www.773grp.com/globalSearch/BUD43B-001/page-1", "BUD43B-001")</f>
        <v>BUD43B-001</v>
      </c>
      <c r="B11432" s="3" t="str">
        <f>HYPERLINK("https://www.773grp.com/manufacturer/onsemi?pageNo=647", "Onsemi")</f>
        <v>Onsemi</v>
      </c>
      <c r="C11432" s="6">
        <v>57675</v>
      </c>
      <c r="D11432" s="7">
        <v>1.49</v>
      </c>
    </row>
    <row r="11433" spans="1:5" x14ac:dyDescent="0.25">
      <c r="A11433" t="str">
        <f>HYPERLINK("https://www.773grp.com/globalSearch/BUH100/page-1", "BUH100")</f>
        <v>BUH100</v>
      </c>
      <c r="B11433" s="3" t="str">
        <f>HYPERLINK("https://www.773grp.com/manufacturer/onsemi?pageNo=648", "Onsemi")</f>
        <v>Onsemi</v>
      </c>
      <c r="C11433" s="6">
        <v>1895</v>
      </c>
      <c r="D11433" s="7">
        <v>1.49</v>
      </c>
      <c r="E11433" t="s">
        <v>47</v>
      </c>
    </row>
    <row r="11434" spans="1:5" x14ac:dyDescent="0.25">
      <c r="A11434" t="str">
        <f>HYPERLINK("https://www.773grp.com/globalSearch/BUL147G/page-1", "BUL147G")</f>
        <v>BUL147G</v>
      </c>
      <c r="B11434" s="3" t="str">
        <f>HYPERLINK("https://www.773grp.com/manufacturer/onsemi?pageNo=649", "Onsemi")</f>
        <v>Onsemi</v>
      </c>
      <c r="C11434" s="6">
        <v>1271</v>
      </c>
      <c r="D11434" s="7">
        <v>1.49</v>
      </c>
      <c r="E11434" t="s">
        <v>47</v>
      </c>
    </row>
    <row r="11435" spans="1:5" x14ac:dyDescent="0.25">
      <c r="A11435" t="str">
        <f>HYPERLINK("https://www.773grp.com/globalSearch/CAT24C128WI-G/page-1", "CAT24C128WI-G")</f>
        <v>CAT24C128WI-G</v>
      </c>
      <c r="B11435" s="3" t="str">
        <f>HYPERLINK("https://www.773grp.com/manufacturer/onsemi?pageNo=650", "Onsemi")</f>
        <v>Onsemi</v>
      </c>
      <c r="C11435" s="6">
        <v>516</v>
      </c>
      <c r="D11435" s="7">
        <v>1.49</v>
      </c>
    </row>
    <row r="11436" spans="1:5" x14ac:dyDescent="0.25">
      <c r="A11436" t="str">
        <f>HYPERLINK("https://www.773grp.com/globalSearch/CAT24C128WI-G/page-1", "CAT24C128WI-G")</f>
        <v>CAT24C128WI-G</v>
      </c>
      <c r="B11436" s="3" t="str">
        <f>HYPERLINK("https://www.773grp.com/manufacturer/onsemi?pageNo=651", "Onsemi")</f>
        <v>Onsemi</v>
      </c>
      <c r="C11436" s="6">
        <v>723</v>
      </c>
      <c r="D11436" s="7">
        <v>1.49</v>
      </c>
    </row>
    <row r="11437" spans="1:5" x14ac:dyDescent="0.25">
      <c r="A11437" t="str">
        <f>HYPERLINK("https://www.773grp.com/globalSearch/CAT24C256WI-GT3/page-1", "CAT24C256WI-GT3")</f>
        <v>CAT24C256WI-GT3</v>
      </c>
      <c r="B11437" s="3" t="str">
        <f>HYPERLINK("https://www.773grp.com/manufacturer/onsemi?pageNo=652", "Onsemi")</f>
        <v>Onsemi</v>
      </c>
      <c r="C11437" s="6">
        <v>50457</v>
      </c>
      <c r="D11437" s="7">
        <v>1.49</v>
      </c>
      <c r="E11437" t="s">
        <v>52</v>
      </c>
    </row>
    <row r="11438" spans="1:5" x14ac:dyDescent="0.25">
      <c r="A11438" t="str">
        <f>HYPERLINK("https://www.773grp.com/globalSearch/CAT25160LI-G/page-1", "CAT25160LI-G")</f>
        <v>CAT25160LI-G</v>
      </c>
      <c r="B11438" s="3" t="str">
        <f>HYPERLINK("https://www.773grp.com/manufacturer/onsemi?pageNo=653", "Onsemi")</f>
        <v>Onsemi</v>
      </c>
      <c r="C11438" s="6">
        <v>12050</v>
      </c>
      <c r="D11438" s="7">
        <v>1.49</v>
      </c>
    </row>
    <row r="11439" spans="1:5" x14ac:dyDescent="0.25">
      <c r="A11439" t="str">
        <f>HYPERLINK("https://www.773grp.com/globalSearch/CAT25640YI-G/page-1", "CAT25640YI-G")</f>
        <v>CAT25640YI-G</v>
      </c>
      <c r="B11439" s="3" t="str">
        <f>HYPERLINK("https://www.773grp.com/manufacturer/onsemi?pageNo=654", "Onsemi")</f>
        <v>Onsemi</v>
      </c>
      <c r="C11439" s="6">
        <v>3200</v>
      </c>
      <c r="D11439" s="7">
        <v>1.49</v>
      </c>
      <c r="E11439" t="s">
        <v>52</v>
      </c>
    </row>
    <row r="11440" spans="1:5" x14ac:dyDescent="0.25">
      <c r="A11440" t="str">
        <f>HYPERLINK("https://www.773grp.com/globalSearch/CAV24C64WE-GT3/page-1", "CAV24C64WE-GT3")</f>
        <v>CAV24C64WE-GT3</v>
      </c>
      <c r="B11440" s="3" t="str">
        <f>HYPERLINK("https://www.773grp.com/manufacturer/onsemi?pageNo=655", "Onsemi")</f>
        <v>Onsemi</v>
      </c>
      <c r="C11440" s="6">
        <v>12000</v>
      </c>
      <c r="D11440" s="7">
        <v>1.49</v>
      </c>
    </row>
    <row r="11441" spans="1:5" x14ac:dyDescent="0.25">
      <c r="A11441" t="str">
        <f>HYPERLINK("https://www.773grp.com/globalSearch/CM1425-03CP/page-1", "CM1425-03CP")</f>
        <v>CM1425-03CP</v>
      </c>
      <c r="B11441" s="3" t="str">
        <f>HYPERLINK("https://www.773grp.com/manufacturer/onsemi?pageNo=656", "Onsemi")</f>
        <v>Onsemi</v>
      </c>
      <c r="C11441" s="6">
        <v>36400</v>
      </c>
      <c r="D11441" s="7">
        <v>1.49</v>
      </c>
      <c r="E11441" t="s">
        <v>79</v>
      </c>
    </row>
    <row r="11442" spans="1:5" x14ac:dyDescent="0.25">
      <c r="A11442" t="str">
        <f>HYPERLINK("https://www.773grp.com/globalSearch/CMPWR330SF/page-1", "CMPWR330SF")</f>
        <v>CMPWR330SF</v>
      </c>
      <c r="B11442" s="3" t="str">
        <f>HYPERLINK("https://www.773grp.com/manufacturer/onsemi?pageNo=657", "Onsemi")</f>
        <v>Onsemi</v>
      </c>
      <c r="C11442" s="6">
        <v>2500</v>
      </c>
      <c r="D11442" s="7">
        <v>1.49</v>
      </c>
    </row>
    <row r="11443" spans="1:5" x14ac:dyDescent="0.25">
      <c r="A11443" t="str">
        <f>HYPERLINK("https://www.773grp.com/globalSearch/LM285D1.2R2G/page-1", "LM285D1.2R2G")</f>
        <v>LM285D1.2R2G</v>
      </c>
      <c r="B11443" s="3" t="str">
        <f>HYPERLINK("https://www.773grp.com/manufacturer/onsemi?pageNo=658", "Onsemi")</f>
        <v>Onsemi</v>
      </c>
      <c r="C11443" s="6">
        <v>113</v>
      </c>
      <c r="D11443" s="7">
        <v>1.49</v>
      </c>
    </row>
    <row r="11444" spans="1:5" x14ac:dyDescent="0.25">
      <c r="A11444" t="str">
        <f>HYPERLINK("https://www.773grp.com/globalSearch/LM285D-1.2R2G/page-1", "LM285D-1.2R2G")</f>
        <v>LM285D-1.2R2G</v>
      </c>
      <c r="B11444" s="3" t="str">
        <f>HYPERLINK("https://www.773grp.com/manufacturer/onsemi?pageNo=659", "Onsemi")</f>
        <v>Onsemi</v>
      </c>
      <c r="C11444" s="6">
        <v>20000</v>
      </c>
      <c r="D11444" s="7">
        <v>1.49</v>
      </c>
    </row>
    <row r="11445" spans="1:5" x14ac:dyDescent="0.25">
      <c r="A11445" t="str">
        <f>HYPERLINK("https://www.773grp.com/globalSearch/LM285D-2.5R2G/page-1", "LM285D-2.5R2G")</f>
        <v>LM285D-2.5R2G</v>
      </c>
      <c r="B11445" s="3" t="str">
        <f>HYPERLINK("https://www.773grp.com/manufacturer/onsemi?pageNo=660", "Onsemi")</f>
        <v>Onsemi</v>
      </c>
      <c r="C11445" s="6">
        <v>32500</v>
      </c>
      <c r="D11445" s="7">
        <v>1.49</v>
      </c>
      <c r="E11445" t="s">
        <v>13</v>
      </c>
    </row>
    <row r="11446" spans="1:5" x14ac:dyDescent="0.25">
      <c r="A11446" t="str">
        <f>HYPERLINK("https://www.773grp.com/globalSearch/LM285Z-1.2G/page-1", "LM285Z-1.2G")</f>
        <v>LM285Z-1.2G</v>
      </c>
      <c r="B11446" s="3" t="str">
        <f>HYPERLINK("https://www.773grp.com/manufacturer/onsemi?pageNo=661", "Onsemi")</f>
        <v>Onsemi</v>
      </c>
      <c r="C11446" s="6">
        <v>20314</v>
      </c>
      <c r="D11446" s="7">
        <v>1.49</v>
      </c>
      <c r="E11446" t="s">
        <v>13</v>
      </c>
    </row>
    <row r="11447" spans="1:5" x14ac:dyDescent="0.25">
      <c r="A11447" t="str">
        <f>HYPERLINK("https://www.773grp.com/globalSearch/LM285Z-2.5G/page-1", "LM285Z-2.5G")</f>
        <v>LM285Z-2.5G</v>
      </c>
      <c r="B11447" s="3" t="str">
        <f>HYPERLINK("https://www.773grp.com/manufacturer/onsemi?pageNo=662", "Onsemi")</f>
        <v>Onsemi</v>
      </c>
      <c r="C11447" s="6">
        <v>9791</v>
      </c>
      <c r="D11447" s="7">
        <v>1.49</v>
      </c>
      <c r="E11447" t="s">
        <v>13</v>
      </c>
    </row>
    <row r="11448" spans="1:5" x14ac:dyDescent="0.25">
      <c r="A11448" t="str">
        <f>HYPERLINK("https://www.773grp.com/globalSearch/LM2931CTV/page-1", "LM2931CTV")</f>
        <v>LM2931CTV</v>
      </c>
      <c r="B11448" s="3" t="str">
        <f>HYPERLINK("https://www.773grp.com/manufacturer/onsemi?pageNo=663", "Onsemi")</f>
        <v>Onsemi</v>
      </c>
      <c r="C11448" s="6">
        <v>5675</v>
      </c>
      <c r="D11448" s="7">
        <v>1.49</v>
      </c>
      <c r="E11448" t="s">
        <v>21</v>
      </c>
    </row>
    <row r="11449" spans="1:5" x14ac:dyDescent="0.25">
      <c r="A11449" t="str">
        <f>HYPERLINK("https://www.773grp.com/globalSearch/LM301ANG/page-1", "LM301ANG")</f>
        <v>LM301ANG</v>
      </c>
      <c r="B11449" s="3" t="str">
        <f>HYPERLINK("https://www.773grp.com/manufacturer/onsemi?pageNo=664", "Onsemi")</f>
        <v>Onsemi</v>
      </c>
      <c r="C11449" s="6">
        <v>16442</v>
      </c>
      <c r="D11449" s="7">
        <v>1.49</v>
      </c>
      <c r="E11449" t="s">
        <v>10</v>
      </c>
    </row>
    <row r="11450" spans="1:5" x14ac:dyDescent="0.25">
      <c r="A11450" t="str">
        <f>HYPERLINK("https://www.773grp.com/globalSearch/LM317MDT-001/page-1", "LM317MDT-001")</f>
        <v>LM317MDT-001</v>
      </c>
      <c r="B11450" s="3" t="str">
        <f>HYPERLINK("https://www.773grp.com/manufacturer/onsemi?pageNo=665", "Onsemi")</f>
        <v>Onsemi</v>
      </c>
      <c r="C11450" s="6">
        <v>100650</v>
      </c>
      <c r="D11450" s="7">
        <v>1.49</v>
      </c>
    </row>
    <row r="11451" spans="1:5" x14ac:dyDescent="0.25">
      <c r="A11451" t="str">
        <f>HYPERLINK("https://www.773grp.com/globalSearch/LM317MOT-000/page-1", "LM317MOT-000")</f>
        <v>LM317MOT-000</v>
      </c>
      <c r="B11451" s="3" t="str">
        <f>HYPERLINK("https://www.773grp.com/manufacturer/onsemi?pageNo=666", "Onsemi")</f>
        <v>Onsemi</v>
      </c>
      <c r="C11451" s="6">
        <v>13200</v>
      </c>
      <c r="D11451" s="7">
        <v>1.49</v>
      </c>
    </row>
    <row r="11452" spans="1:5" x14ac:dyDescent="0.25">
      <c r="A11452" t="str">
        <f>HYPERLINK("https://www.773grp.com/globalSearch/LM385BD-2.5R2G/page-1", "LM385BD-2.5R2G")</f>
        <v>LM385BD-2.5R2G</v>
      </c>
      <c r="B11452" s="3" t="str">
        <f>HYPERLINK("https://www.773grp.com/manufacturer/onsemi?pageNo=667", "Onsemi")</f>
        <v>Onsemi</v>
      </c>
      <c r="C11452" s="6">
        <v>120000</v>
      </c>
      <c r="D11452" s="7">
        <v>1.49</v>
      </c>
    </row>
    <row r="11453" spans="1:5" x14ac:dyDescent="0.25">
      <c r="A11453" t="str">
        <f>HYPERLINK("https://www.773grp.com/globalSearch/LM385BZ-1.2G/page-1", "LM385BZ-1.2G")</f>
        <v>LM385BZ-1.2G</v>
      </c>
      <c r="B11453" s="3" t="str">
        <f>HYPERLINK("https://www.773grp.com/manufacturer/onsemi?pageNo=668", "Onsemi")</f>
        <v>Onsemi</v>
      </c>
      <c r="C11453" s="6">
        <v>53674</v>
      </c>
      <c r="D11453" s="7">
        <v>1.49</v>
      </c>
      <c r="E11453" t="s">
        <v>13</v>
      </c>
    </row>
    <row r="11454" spans="1:5" x14ac:dyDescent="0.25">
      <c r="A11454" t="str">
        <f>HYPERLINK("https://www.773grp.com/globalSearch/LM385BZ-2.5G/page-1", "LM385BZ-2.5G")</f>
        <v>LM385BZ-2.5G</v>
      </c>
      <c r="B11454" s="3" t="str">
        <f>HYPERLINK("https://www.773grp.com/manufacturer/onsemi?pageNo=669", "Onsemi")</f>
        <v>Onsemi</v>
      </c>
      <c r="C11454" s="6">
        <v>5703</v>
      </c>
      <c r="D11454" s="7">
        <v>1.49</v>
      </c>
    </row>
    <row r="11455" spans="1:5" x14ac:dyDescent="0.25">
      <c r="A11455" t="str">
        <f>HYPERLINK("https://www.773grp.com/globalSearch/LM385D-1.2R2G/page-1", "LM385D-1.2R2G")</f>
        <v>LM385D-1.2R2G</v>
      </c>
      <c r="B11455" s="3" t="str">
        <f>HYPERLINK("https://www.773grp.com/manufacturer/onsemi?pageNo=670", "Onsemi")</f>
        <v>Onsemi</v>
      </c>
      <c r="C11455" s="6">
        <v>50000</v>
      </c>
      <c r="D11455" s="7">
        <v>1.49</v>
      </c>
      <c r="E11455" t="s">
        <v>13</v>
      </c>
    </row>
    <row r="11456" spans="1:5" x14ac:dyDescent="0.25">
      <c r="A11456" t="str">
        <f>HYPERLINK("https://www.773grp.com/globalSearch/LM385Z-1.2G/page-1", "LM385Z-1.2G")</f>
        <v>LM385Z-1.2G</v>
      </c>
      <c r="B11456" s="3" t="str">
        <f>HYPERLINK("https://www.773grp.com/manufacturer/onsemi?pageNo=671", "Onsemi")</f>
        <v>Onsemi</v>
      </c>
      <c r="C11456" s="6">
        <v>7051</v>
      </c>
      <c r="D11456" s="7">
        <v>1.49</v>
      </c>
      <c r="E11456" t="s">
        <v>13</v>
      </c>
    </row>
    <row r="11457" spans="1:5" x14ac:dyDescent="0.25">
      <c r="A11457" t="str">
        <f>HYPERLINK("https://www.773grp.com/globalSearch/LM385Z-2.5G/page-1", "LM385Z-2.5G")</f>
        <v>LM385Z-2.5G</v>
      </c>
      <c r="B11457" s="3" t="str">
        <f>HYPERLINK("https://www.773grp.com/manufacturer/onsemi?pageNo=672", "Onsemi")</f>
        <v>Onsemi</v>
      </c>
      <c r="C11457" s="6">
        <v>44050</v>
      </c>
      <c r="D11457" s="7">
        <v>1.49</v>
      </c>
      <c r="E11457" t="s">
        <v>13</v>
      </c>
    </row>
    <row r="11458" spans="1:5" x14ac:dyDescent="0.25">
      <c r="A11458" t="str">
        <f>HYPERLINK("https://www.773grp.com/globalSearch/LP2950CZ-5.0/page-1", "LP2950CZ-5.0")</f>
        <v>LP2950CZ-5.0</v>
      </c>
      <c r="B11458" s="3" t="str">
        <f>HYPERLINK("https://www.773grp.com/manufacturer/onsemi?pageNo=673", "Onsemi")</f>
        <v>Onsemi</v>
      </c>
      <c r="C11458" s="6">
        <v>3653</v>
      </c>
      <c r="D11458" s="7">
        <v>1.49</v>
      </c>
      <c r="E11458" t="s">
        <v>15</v>
      </c>
    </row>
    <row r="11459" spans="1:5" x14ac:dyDescent="0.25">
      <c r="A11459" t="str">
        <f>HYPERLINK("https://www.773grp.com/globalSearch/MAC210A10/page-1", "MAC210A10")</f>
        <v>MAC210A10</v>
      </c>
      <c r="B11459" s="3" t="str">
        <f>HYPERLINK("https://www.773grp.com/manufacturer/onsemi?pageNo=674", "Onsemi")</f>
        <v>Onsemi</v>
      </c>
      <c r="C11459" s="6">
        <v>2500</v>
      </c>
      <c r="D11459" s="7">
        <v>1.49</v>
      </c>
      <c r="E11459" t="s">
        <v>81</v>
      </c>
    </row>
    <row r="11460" spans="1:5" x14ac:dyDescent="0.25">
      <c r="A11460" t="str">
        <f>HYPERLINK("https://www.773grp.com/globalSearch/MAC210A8/page-1", "MAC210A8")</f>
        <v>MAC210A8</v>
      </c>
      <c r="B11460" s="3" t="str">
        <f>HYPERLINK("https://www.773grp.com/manufacturer/onsemi?pageNo=675", "Onsemi")</f>
        <v>Onsemi</v>
      </c>
      <c r="C11460" s="6">
        <v>500</v>
      </c>
      <c r="D11460" s="7">
        <v>1.49</v>
      </c>
      <c r="E11460" t="s">
        <v>81</v>
      </c>
    </row>
    <row r="11461" spans="1:5" x14ac:dyDescent="0.25">
      <c r="A11461" t="str">
        <f>HYPERLINK("https://www.773grp.com/globalSearch/MBR10100/page-1", "MBR10100")</f>
        <v>MBR10100</v>
      </c>
      <c r="B11461" s="3" t="str">
        <f>HYPERLINK("https://www.773grp.com/manufacturer/onsemi?pageNo=676", "Onsemi")</f>
        <v>Onsemi</v>
      </c>
      <c r="C11461" s="6">
        <v>3605</v>
      </c>
      <c r="D11461" s="7">
        <v>1.49</v>
      </c>
      <c r="E11461" t="s">
        <v>82</v>
      </c>
    </row>
    <row r="11462" spans="1:5" x14ac:dyDescent="0.25">
      <c r="A11462" t="str">
        <f>HYPERLINK("https://www.773grp.com/globalSearch/MC14504BFI/page-1", "MC14504BFI")</f>
        <v>MC14504BFI</v>
      </c>
      <c r="B11462" s="3" t="str">
        <f>HYPERLINK("https://www.773grp.com/manufacturer/onsemi?pageNo=677", "Onsemi")</f>
        <v>Onsemi</v>
      </c>
      <c r="C11462" s="6">
        <v>1</v>
      </c>
      <c r="D11462" s="7">
        <v>1.49</v>
      </c>
    </row>
    <row r="11463" spans="1:5" x14ac:dyDescent="0.25">
      <c r="A11463" t="str">
        <f>HYPERLINK("https://www.773grp.com/globalSearch/MC14515BDW/page-1", "MC14515BDW")</f>
        <v>MC14515BDW</v>
      </c>
      <c r="B11463" s="3" t="str">
        <f>HYPERLINK("https://www.773grp.com/manufacturer/onsemi?pageNo=678", "Onsemi")</f>
        <v>Onsemi</v>
      </c>
      <c r="C11463" s="6">
        <v>26</v>
      </c>
      <c r="D11463" s="7">
        <v>1.49</v>
      </c>
      <c r="E11463" t="s">
        <v>32</v>
      </c>
    </row>
    <row r="11464" spans="1:5" x14ac:dyDescent="0.25">
      <c r="A11464" t="str">
        <f>HYPERLINK("https://www.773grp.com/globalSearch/MC14526BCPG/page-1", "MC14526BCPG")</f>
        <v>MC14526BCPG</v>
      </c>
      <c r="B11464" s="3" t="str">
        <f>HYPERLINK("https://www.773grp.com/manufacturer/onsemi?pageNo=679", "Onsemi")</f>
        <v>Onsemi</v>
      </c>
      <c r="C11464" s="6">
        <v>878</v>
      </c>
      <c r="D11464" s="7">
        <v>1.49</v>
      </c>
      <c r="E11464" t="s">
        <v>22</v>
      </c>
    </row>
    <row r="11465" spans="1:5" x14ac:dyDescent="0.25">
      <c r="A11465" t="str">
        <f>HYPERLINK("https://www.773grp.com/globalSearch/MC33072DR2/page-1", "MC33072DR2")</f>
        <v>MC33072DR2</v>
      </c>
      <c r="B11465" s="3" t="str">
        <f>HYPERLINK("https://www.773grp.com/manufacturer/onsemi?pageNo=680", "Onsemi")</f>
        <v>Onsemi</v>
      </c>
      <c r="C11465" s="6">
        <v>12500</v>
      </c>
      <c r="D11465" s="7">
        <v>1.49</v>
      </c>
      <c r="E11465" t="s">
        <v>10</v>
      </c>
    </row>
    <row r="11466" spans="1:5" x14ac:dyDescent="0.25">
      <c r="A11466" t="str">
        <f>HYPERLINK("https://www.773grp.com/globalSearch/MC33151VD/page-1", "MC33151VD")</f>
        <v>MC33151VD</v>
      </c>
      <c r="B11466" s="3" t="str">
        <f>HYPERLINK("https://www.773grp.com/manufacturer/onsemi?pageNo=681", "Onsemi")</f>
        <v>Onsemi</v>
      </c>
      <c r="C11466" s="6">
        <v>294</v>
      </c>
      <c r="D11466" s="7">
        <v>1.49</v>
      </c>
      <c r="E11466" t="s">
        <v>12</v>
      </c>
    </row>
    <row r="11467" spans="1:5" x14ac:dyDescent="0.25">
      <c r="A11467" t="str">
        <f>HYPERLINK("https://www.773grp.com/globalSearch/MC33178DR2G/page-1", "MC33178DR2G")</f>
        <v>MC33178DR2G</v>
      </c>
      <c r="B11467" s="3" t="str">
        <f>HYPERLINK("https://www.773grp.com/manufacturer/onsemi?pageNo=682", "Onsemi")</f>
        <v>Onsemi</v>
      </c>
      <c r="C11467" s="6">
        <v>194407</v>
      </c>
      <c r="D11467" s="7">
        <v>1.49</v>
      </c>
      <c r="E11467" t="s">
        <v>10</v>
      </c>
    </row>
    <row r="11468" spans="1:5" x14ac:dyDescent="0.25">
      <c r="A11468" t="str">
        <f>HYPERLINK("https://www.773grp.com/globalSearch/MC33204VP/page-1", "MC33204VP")</f>
        <v>MC33204VP</v>
      </c>
      <c r="B11468" s="3" t="str">
        <f>HYPERLINK("https://www.773grp.com/manufacturer/onsemi?pageNo=683", "Onsemi")</f>
        <v>Onsemi</v>
      </c>
      <c r="C11468" s="6">
        <v>1155</v>
      </c>
      <c r="D11468" s="7">
        <v>1.49</v>
      </c>
      <c r="E11468" t="s">
        <v>10</v>
      </c>
    </row>
    <row r="11469" spans="1:5" x14ac:dyDescent="0.25">
      <c r="A11469" t="str">
        <f>HYPERLINK("https://www.773grp.com/globalSearch/MC33269T-012G/page-1", "MC33269T-012G")</f>
        <v>MC33269T-012G</v>
      </c>
      <c r="B11469" s="3" t="str">
        <f>HYPERLINK("https://www.773grp.com/manufacturer/onsemi?pageNo=684", "Onsemi")</f>
        <v>Onsemi</v>
      </c>
      <c r="C11469" s="6">
        <v>23627</v>
      </c>
      <c r="D11469" s="7">
        <v>1.49</v>
      </c>
      <c r="E11469" t="s">
        <v>15</v>
      </c>
    </row>
    <row r="11470" spans="1:5" x14ac:dyDescent="0.25">
      <c r="A11470" t="str">
        <f>HYPERLINK("https://www.773grp.com/globalSearch/MC34063ADG/page-1", "MC34063ADG")</f>
        <v>MC34063ADG</v>
      </c>
      <c r="B11470" s="3" t="str">
        <f>HYPERLINK("https://www.773grp.com/manufacturer/onsemi?pageNo=685", "Onsemi")</f>
        <v>Onsemi</v>
      </c>
      <c r="C11470" s="6">
        <v>9214</v>
      </c>
      <c r="D11470" s="7">
        <v>1.49</v>
      </c>
      <c r="E11470" t="s">
        <v>5</v>
      </c>
    </row>
    <row r="11471" spans="1:5" x14ac:dyDescent="0.25">
      <c r="A11471" t="str">
        <f>HYPERLINK("https://www.773grp.com/globalSearch/MC34063ADR2G/page-1", "MC34063ADR2G")</f>
        <v>MC34063ADR2G</v>
      </c>
      <c r="B11471" s="3" t="str">
        <f>HYPERLINK("https://www.773grp.com/manufacturer/onsemi?pageNo=686", "Onsemi")</f>
        <v>Onsemi</v>
      </c>
      <c r="C11471" s="6">
        <v>157775</v>
      </c>
      <c r="D11471" s="7">
        <v>1.49</v>
      </c>
      <c r="E11471" t="s">
        <v>5</v>
      </c>
    </row>
    <row r="11472" spans="1:5" x14ac:dyDescent="0.25">
      <c r="A11472" t="str">
        <f>HYPERLINK("https://www.773grp.com/globalSearch/MC34072DR2G/page-1", "MC34072DR2G")</f>
        <v>MC34072DR2G</v>
      </c>
      <c r="B11472" s="3" t="str">
        <f>HYPERLINK("https://www.773grp.com/manufacturer/onsemi?pageNo=687", "Onsemi")</f>
        <v>Onsemi</v>
      </c>
      <c r="C11472" s="6">
        <v>61218</v>
      </c>
      <c r="D11472" s="7">
        <v>1.49</v>
      </c>
      <c r="E11472" t="s">
        <v>10</v>
      </c>
    </row>
    <row r="11473" spans="1:5" x14ac:dyDescent="0.25">
      <c r="A11473" t="str">
        <f>HYPERLINK("https://www.773grp.com/globalSearch/MC74AC251D/page-1", "MC74AC251D")</f>
        <v>MC74AC251D</v>
      </c>
      <c r="B11473" s="3" t="str">
        <f>HYPERLINK("https://www.773grp.com/manufacturer/onsemi?pageNo=688", "Onsemi")</f>
        <v>Onsemi</v>
      </c>
      <c r="C11473" s="6">
        <v>6641</v>
      </c>
      <c r="D11473" s="7">
        <v>1.49</v>
      </c>
      <c r="E11473" t="s">
        <v>16</v>
      </c>
    </row>
    <row r="11474" spans="1:5" x14ac:dyDescent="0.25">
      <c r="A11474" t="str">
        <f>HYPERLINK("https://www.773grp.com/globalSearch/MC74AC251N/page-1", "MC74AC251N")</f>
        <v>MC74AC251N</v>
      </c>
      <c r="B11474" s="3" t="str">
        <f>HYPERLINK("https://www.773grp.com/manufacturer/onsemi?pageNo=689", "Onsemi")</f>
        <v>Onsemi</v>
      </c>
      <c r="C11474" s="6">
        <v>3125</v>
      </c>
      <c r="D11474" s="7">
        <v>1.49</v>
      </c>
      <c r="E11474" t="s">
        <v>16</v>
      </c>
    </row>
    <row r="11475" spans="1:5" x14ac:dyDescent="0.25">
      <c r="A11475" t="str">
        <f>HYPERLINK("https://www.773grp.com/globalSearch/MC74AC258D/page-1", "MC74AC258D")</f>
        <v>MC74AC258D</v>
      </c>
      <c r="B11475" s="3" t="str">
        <f>HYPERLINK("https://www.773grp.com/manufacturer/onsemi?pageNo=690", "Onsemi")</f>
        <v>Onsemi</v>
      </c>
      <c r="C11475" s="6">
        <v>4766</v>
      </c>
      <c r="D11475" s="7">
        <v>1.49</v>
      </c>
      <c r="E11475" t="s">
        <v>16</v>
      </c>
    </row>
    <row r="11476" spans="1:5" x14ac:dyDescent="0.25">
      <c r="A11476" t="str">
        <f>HYPERLINK("https://www.773grp.com/globalSearch/MC74AC258DR2/page-1", "MC74AC258DR2")</f>
        <v>MC74AC258DR2</v>
      </c>
      <c r="B11476" s="3" t="str">
        <f>HYPERLINK("https://www.773grp.com/manufacturer/onsemi?pageNo=691", "Onsemi")</f>
        <v>Onsemi</v>
      </c>
      <c r="C11476" s="6">
        <v>14400</v>
      </c>
      <c r="D11476" s="7">
        <v>1.49</v>
      </c>
      <c r="E11476" t="s">
        <v>16</v>
      </c>
    </row>
    <row r="11477" spans="1:5" x14ac:dyDescent="0.25">
      <c r="A11477" t="str">
        <f>HYPERLINK("https://www.773grp.com/globalSearch/MC74AC258N/page-1", "MC74AC258N")</f>
        <v>MC74AC258N</v>
      </c>
      <c r="B11477" s="3" t="str">
        <f>HYPERLINK("https://www.773grp.com/manufacturer/onsemi?pageNo=692", "Onsemi")</f>
        <v>Onsemi</v>
      </c>
      <c r="C11477" s="6">
        <v>1112</v>
      </c>
      <c r="D11477" s="7">
        <v>1.49</v>
      </c>
      <c r="E11477" t="s">
        <v>16</v>
      </c>
    </row>
    <row r="11478" spans="1:5" x14ac:dyDescent="0.25">
      <c r="A11478" t="str">
        <f>HYPERLINK("https://www.773grp.com/globalSearch/MC74AC259D/page-1", "MC74AC259D")</f>
        <v>MC74AC259D</v>
      </c>
      <c r="B11478" s="3" t="str">
        <f>HYPERLINK("https://www.773grp.com/manufacturer/onsemi?pageNo=693", "Onsemi")</f>
        <v>Onsemi</v>
      </c>
      <c r="C11478" s="6">
        <v>1616</v>
      </c>
      <c r="D11478" s="7">
        <v>1.49</v>
      </c>
      <c r="E11478" t="s">
        <v>31</v>
      </c>
    </row>
    <row r="11479" spans="1:5" x14ac:dyDescent="0.25">
      <c r="A11479" t="str">
        <f>HYPERLINK("https://www.773grp.com/globalSearch/MC74ACT258D/page-1", "MC74ACT258D")</f>
        <v>MC74ACT258D</v>
      </c>
      <c r="B11479" s="3" t="str">
        <f>HYPERLINK("https://www.773grp.com/manufacturer/onsemi?pageNo=694", "Onsemi")</f>
        <v>Onsemi</v>
      </c>
      <c r="C11479" s="6">
        <v>5568</v>
      </c>
      <c r="D11479" s="7">
        <v>1.49</v>
      </c>
      <c r="E11479" t="s">
        <v>16</v>
      </c>
    </row>
    <row r="11480" spans="1:5" x14ac:dyDescent="0.25">
      <c r="A11480" t="str">
        <f>HYPERLINK("https://www.773grp.com/globalSearch/MC74ACT259D/page-1", "MC74ACT259D")</f>
        <v>MC74ACT259D</v>
      </c>
      <c r="B11480" s="3" t="str">
        <f>HYPERLINK("https://www.773grp.com/manufacturer/onsemi?pageNo=695", "Onsemi")</f>
        <v>Onsemi</v>
      </c>
      <c r="C11480" s="6">
        <v>1296</v>
      </c>
      <c r="D11480" s="7">
        <v>1.49</v>
      </c>
      <c r="E11480" t="s">
        <v>31</v>
      </c>
    </row>
    <row r="11481" spans="1:5" x14ac:dyDescent="0.25">
      <c r="A11481" t="str">
        <f>HYPERLINK("https://www.773grp.com/globalSearch/MC74ACT259DR2/page-1", "MC74ACT259DR2")</f>
        <v>MC74ACT259DR2</v>
      </c>
      <c r="B11481" s="3" t="str">
        <f>HYPERLINK("https://www.773grp.com/manufacturer/onsemi?pageNo=696", "Onsemi")</f>
        <v>Onsemi</v>
      </c>
      <c r="C11481" s="6">
        <v>2500</v>
      </c>
      <c r="D11481" s="7">
        <v>1.49</v>
      </c>
      <c r="E11481" t="s">
        <v>31</v>
      </c>
    </row>
    <row r="11482" spans="1:5" x14ac:dyDescent="0.25">
      <c r="A11482" t="str">
        <f>HYPERLINK("https://www.773grp.com/globalSearch/MC74F521DW/page-1", "MC74F521DW")</f>
        <v>MC74F521DW</v>
      </c>
      <c r="B11482" s="3" t="str">
        <f>HYPERLINK("https://www.773grp.com/manufacturer/onsemi?pageNo=697", "Onsemi")</f>
        <v>Onsemi</v>
      </c>
      <c r="C11482" s="6">
        <v>6</v>
      </c>
      <c r="D11482" s="7">
        <v>1.49</v>
      </c>
      <c r="E11482" t="s">
        <v>38</v>
      </c>
    </row>
    <row r="11483" spans="1:5" x14ac:dyDescent="0.25">
      <c r="A11483" t="str">
        <f>HYPERLINK("https://www.773grp.com/globalSearch/MC74F521DWR2/page-1", "MC74F521DWR2")</f>
        <v>MC74F521DWR2</v>
      </c>
      <c r="B11483" s="3" t="str">
        <f>HYPERLINK("https://www.773grp.com/manufacturer/onsemi?pageNo=698", "Onsemi")</f>
        <v>Onsemi</v>
      </c>
      <c r="C11483" s="6">
        <v>3000</v>
      </c>
      <c r="D11483" s="7">
        <v>1.49</v>
      </c>
      <c r="E11483" t="s">
        <v>38</v>
      </c>
    </row>
    <row r="11484" spans="1:5" x14ac:dyDescent="0.25">
      <c r="A11484" t="str">
        <f>HYPERLINK("https://www.773grp.com/globalSearch/MC74F521M/page-1", "MC74F521M")</f>
        <v>MC74F521M</v>
      </c>
      <c r="B11484" s="3" t="str">
        <f>HYPERLINK("https://www.773grp.com/manufacturer/onsemi?pageNo=699", "Onsemi")</f>
        <v>Onsemi</v>
      </c>
      <c r="C11484" s="6">
        <v>840</v>
      </c>
      <c r="D11484" s="7">
        <v>1.49</v>
      </c>
    </row>
    <row r="11485" spans="1:5" x14ac:dyDescent="0.25">
      <c r="A11485" t="str">
        <f>HYPERLINK("https://www.773grp.com/globalSearch/MC74F521ML1/page-1", "MC74F521ML1")</f>
        <v>MC74F521ML1</v>
      </c>
      <c r="B11485" s="3" t="str">
        <f>HYPERLINK("https://www.773grp.com/manufacturer/onsemi?pageNo=700", "Onsemi")</f>
        <v>Onsemi</v>
      </c>
      <c r="C11485" s="6">
        <v>2000</v>
      </c>
      <c r="D11485" s="7">
        <v>1.49</v>
      </c>
    </row>
    <row r="11486" spans="1:5" x14ac:dyDescent="0.25">
      <c r="A11486" t="str">
        <f>HYPERLINK("https://www.773grp.com/globalSearch/MC74HC158ADR2/page-1", "MC74HC158ADR2")</f>
        <v>MC74HC158ADR2</v>
      </c>
      <c r="B11486" s="3" t="str">
        <f>HYPERLINK("https://www.773grp.com/manufacturer/onsemi?pageNo=701", "Onsemi")</f>
        <v>Onsemi</v>
      </c>
      <c r="C11486" s="6">
        <v>912</v>
      </c>
      <c r="D11486" s="7">
        <v>1.49</v>
      </c>
      <c r="E11486" t="s">
        <v>16</v>
      </c>
    </row>
    <row r="11487" spans="1:5" x14ac:dyDescent="0.25">
      <c r="A11487" t="str">
        <f>HYPERLINK("https://www.773grp.com/globalSearch/MC74HC158AF/page-1", "MC74HC158AF")</f>
        <v>MC74HC158AF</v>
      </c>
      <c r="B11487" s="3" t="str">
        <f>HYPERLINK("https://www.773grp.com/manufacturer/onsemi?pageNo=702", "Onsemi")</f>
        <v>Onsemi</v>
      </c>
      <c r="C11487" s="6">
        <v>1504</v>
      </c>
      <c r="D11487" s="7">
        <v>1.49</v>
      </c>
    </row>
    <row r="11488" spans="1:5" x14ac:dyDescent="0.25">
      <c r="A11488" t="str">
        <f>HYPERLINK("https://www.773grp.com/globalSearch/MC74HC158AN/page-1", "MC74HC158AN")</f>
        <v>MC74HC158AN</v>
      </c>
      <c r="B11488" s="3" t="str">
        <f>HYPERLINK("https://www.773grp.com/manufacturer/onsemi?pageNo=703", "Onsemi")</f>
        <v>Onsemi</v>
      </c>
      <c r="C11488" s="6">
        <v>14568</v>
      </c>
      <c r="D11488" s="7">
        <v>1.49</v>
      </c>
      <c r="E11488" t="s">
        <v>16</v>
      </c>
    </row>
    <row r="11489" spans="1:5" x14ac:dyDescent="0.25">
      <c r="A11489" t="str">
        <f>HYPERLINK("https://www.773grp.com/globalSearch/MC78M05ABTG/page-1", "MC78M05ABTG")</f>
        <v>MC78M05ABTG</v>
      </c>
      <c r="B11489" s="3" t="str">
        <f>HYPERLINK("https://www.773grp.com/manufacturer/onsemi?pageNo=704", "Onsemi")</f>
        <v>Onsemi</v>
      </c>
      <c r="C11489" s="6">
        <v>31250</v>
      </c>
      <c r="D11489" s="7">
        <v>1.49</v>
      </c>
      <c r="E11489" t="s">
        <v>24</v>
      </c>
    </row>
    <row r="11490" spans="1:5" x14ac:dyDescent="0.25">
      <c r="A11490" t="str">
        <f>HYPERLINK("https://www.773grp.com/globalSearch/MC78M12ABTG/page-1", "MC78M12ABTG")</f>
        <v>MC78M12ABTG</v>
      </c>
      <c r="B11490" s="3" t="str">
        <f>HYPERLINK("https://www.773grp.com/manufacturer/onsemi?pageNo=705", "Onsemi")</f>
        <v>Onsemi</v>
      </c>
      <c r="C11490" s="6">
        <v>17600</v>
      </c>
      <c r="D11490" s="7">
        <v>1.49</v>
      </c>
      <c r="E11490" t="s">
        <v>24</v>
      </c>
    </row>
    <row r="11491" spans="1:5" x14ac:dyDescent="0.25">
      <c r="A11491" t="str">
        <f>HYPERLINK("https://www.773grp.com/globalSearch/MC78M12ACT/page-1", "MC78M12ACT")</f>
        <v>MC78M12ACT</v>
      </c>
      <c r="B11491" s="3" t="str">
        <f>HYPERLINK("https://www.773grp.com/manufacturer/onsemi?pageNo=706", "Onsemi")</f>
        <v>Onsemi</v>
      </c>
      <c r="C11491" s="6">
        <v>8500</v>
      </c>
      <c r="D11491" s="7">
        <v>1.49</v>
      </c>
      <c r="E11491" t="s">
        <v>24</v>
      </c>
    </row>
    <row r="11492" spans="1:5" x14ac:dyDescent="0.25">
      <c r="A11492" t="str">
        <f>HYPERLINK("https://www.773grp.com/globalSearch/MC78M15ABTG/page-1", "MC78M15ABTG")</f>
        <v>MC78M15ABTG</v>
      </c>
      <c r="B11492" s="3" t="str">
        <f>HYPERLINK("https://www.773grp.com/manufacturer/onsemi?pageNo=707", "Onsemi")</f>
        <v>Onsemi</v>
      </c>
      <c r="C11492" s="6">
        <v>16164</v>
      </c>
      <c r="D11492" s="7">
        <v>1.49</v>
      </c>
      <c r="E11492" t="s">
        <v>24</v>
      </c>
    </row>
    <row r="11493" spans="1:5" x14ac:dyDescent="0.25">
      <c r="A11493" t="str">
        <f>HYPERLINK("https://www.773grp.com/globalSearch/MC79M15CDT-0001/page-1", "MC79M15CDT-0001")</f>
        <v>MC79M15CDT-0001</v>
      </c>
      <c r="B11493" s="3" t="str">
        <f>HYPERLINK("https://www.773grp.com/manufacturer/onsemi?pageNo=708", "Onsemi")</f>
        <v>Onsemi</v>
      </c>
      <c r="C11493" s="6">
        <v>2400</v>
      </c>
      <c r="D11493" s="7">
        <v>1.49</v>
      </c>
    </row>
    <row r="11494" spans="1:5" x14ac:dyDescent="0.25">
      <c r="A11494" t="str">
        <f>HYPERLINK("https://www.773grp.com/globalSearch/MJD210T4/page-1", "MJD210T4")</f>
        <v>MJD210T4</v>
      </c>
      <c r="B11494" s="3" t="str">
        <f>HYPERLINK("https://www.773grp.com/manufacturer/onsemi?pageNo=709", "Onsemi")</f>
        <v>Onsemi</v>
      </c>
      <c r="C11494" s="6">
        <v>12500</v>
      </c>
      <c r="D11494" s="7">
        <v>1.49</v>
      </c>
    </row>
    <row r="11495" spans="1:5" x14ac:dyDescent="0.25">
      <c r="A11495" t="str">
        <f>HYPERLINK("https://www.773grp.com/globalSearch/MJF15030/page-1", "MJF15030")</f>
        <v>MJF15030</v>
      </c>
      <c r="B11495" s="3" t="str">
        <f>HYPERLINK("https://www.773grp.com/manufacturer/onsemi?pageNo=710", "Onsemi")</f>
        <v>Onsemi</v>
      </c>
      <c r="C11495" s="6">
        <v>115</v>
      </c>
      <c r="D11495" s="7">
        <v>1.49</v>
      </c>
      <c r="E11495" t="s">
        <v>47</v>
      </c>
    </row>
    <row r="11496" spans="1:5" x14ac:dyDescent="0.25">
      <c r="A11496" t="str">
        <f>HYPERLINK("https://www.773grp.com/globalSearch/MJF15031/page-1", "MJF15031")</f>
        <v>MJF15031</v>
      </c>
      <c r="B11496" s="3" t="str">
        <f>HYPERLINK("https://www.773grp.com/manufacturer/onsemi?pageNo=711", "Onsemi")</f>
        <v>Onsemi</v>
      </c>
      <c r="C11496" s="6">
        <v>964</v>
      </c>
      <c r="D11496" s="7">
        <v>1.49</v>
      </c>
      <c r="E11496" t="s">
        <v>47</v>
      </c>
    </row>
    <row r="11497" spans="1:5" x14ac:dyDescent="0.25">
      <c r="A11497" t="str">
        <f>HYPERLINK("https://www.773grp.com/globalSearch/MJF45H11/page-1", "MJF45H11")</f>
        <v>MJF45H11</v>
      </c>
      <c r="B11497" s="3" t="str">
        <f>HYPERLINK("https://www.773grp.com/manufacturer/onsemi?pageNo=712", "Onsemi")</f>
        <v>Onsemi</v>
      </c>
      <c r="C11497" s="6">
        <v>34</v>
      </c>
      <c r="D11497" s="7">
        <v>1.49</v>
      </c>
      <c r="E11497" t="s">
        <v>47</v>
      </c>
    </row>
    <row r="11498" spans="1:5" x14ac:dyDescent="0.25">
      <c r="A11498" t="str">
        <f>HYPERLINK("https://www.773grp.com/globalSearch/MJF6388/page-1", "MJF6388")</f>
        <v>MJF6388</v>
      </c>
      <c r="B11498" s="3" t="str">
        <f>HYPERLINK("https://www.773grp.com/manufacturer/onsemi?pageNo=713", "Onsemi")</f>
        <v>Onsemi</v>
      </c>
      <c r="C11498" s="6">
        <v>12</v>
      </c>
      <c r="D11498" s="7">
        <v>1.49</v>
      </c>
      <c r="E11498" t="s">
        <v>47</v>
      </c>
    </row>
    <row r="11499" spans="1:5" x14ac:dyDescent="0.25">
      <c r="A11499" t="str">
        <f>HYPERLINK("https://www.773grp.com/globalSearch/MMSF1310R2/page-1", "MMSF1310R2")</f>
        <v>MMSF1310R2</v>
      </c>
      <c r="B11499" s="3" t="str">
        <f>HYPERLINK("https://www.773grp.com/manufacturer/onsemi?pageNo=714", "Onsemi")</f>
        <v>Onsemi</v>
      </c>
      <c r="C11499" s="6">
        <v>7430</v>
      </c>
      <c r="D11499" s="7">
        <v>1.49</v>
      </c>
      <c r="E11499" t="s">
        <v>84</v>
      </c>
    </row>
    <row r="11500" spans="1:5" x14ac:dyDescent="0.25">
      <c r="A11500" t="str">
        <f>HYPERLINK("https://www.773grp.com/globalSearch/MMSF2P02ER2/page-1", "MMSF2P02ER2")</f>
        <v>MMSF2P02ER2</v>
      </c>
      <c r="B11500" s="3" t="str">
        <f>HYPERLINK("https://www.773grp.com/manufacturer/onsemi?pageNo=715", "Onsemi")</f>
        <v>Onsemi</v>
      </c>
      <c r="C11500" s="6">
        <v>170000</v>
      </c>
      <c r="D11500" s="7">
        <v>1.49</v>
      </c>
      <c r="E11500" t="s">
        <v>85</v>
      </c>
    </row>
    <row r="11501" spans="1:5" x14ac:dyDescent="0.25">
      <c r="A11501" t="str">
        <f>HYPERLINK("https://www.773grp.com/globalSearch/MMSF7N03ZR2/page-1", "MMSF7N03ZR2")</f>
        <v>MMSF7N03ZR2</v>
      </c>
      <c r="B11501" s="3" t="str">
        <f>HYPERLINK("https://www.773grp.com/manufacturer/onsemi?pageNo=716", "Onsemi")</f>
        <v>Onsemi</v>
      </c>
      <c r="C11501" s="6">
        <v>3000</v>
      </c>
      <c r="D11501" s="7">
        <v>1.49</v>
      </c>
      <c r="E11501" t="s">
        <v>84</v>
      </c>
    </row>
    <row r="11502" spans="1:5" x14ac:dyDescent="0.25">
      <c r="A11502" t="str">
        <f>HYPERLINK("https://www.773grp.com/globalSearch/MR2520LRL/page-1", "MR2520LRL")</f>
        <v>MR2520LRL</v>
      </c>
      <c r="B11502" s="3" t="str">
        <f>HYPERLINK("https://www.773grp.com/manufacturer/onsemi?pageNo=717", "Onsemi")</f>
        <v>Onsemi</v>
      </c>
      <c r="C11502" s="6">
        <v>700</v>
      </c>
      <c r="D11502" s="7">
        <v>1.49</v>
      </c>
      <c r="E11502" t="s">
        <v>75</v>
      </c>
    </row>
    <row r="11503" spans="1:5" x14ac:dyDescent="0.25">
      <c r="A11503" t="str">
        <f>HYPERLINK("https://www.773grp.com/globalSearch/MSRD620CT/page-1", "MSRD620CT")</f>
        <v>MSRD620CT</v>
      </c>
      <c r="B11503" s="3" t="str">
        <f>HYPERLINK("https://www.773grp.com/manufacturer/onsemi?pageNo=718", "Onsemi")</f>
        <v>Onsemi</v>
      </c>
      <c r="C11503" s="6">
        <v>2250</v>
      </c>
      <c r="D11503" s="7">
        <v>1.49</v>
      </c>
      <c r="E11503" t="s">
        <v>82</v>
      </c>
    </row>
    <row r="11504" spans="1:5" x14ac:dyDescent="0.25">
      <c r="A11504" t="str">
        <f>HYPERLINK("https://www.773grp.com/globalSearch/MSRD620CTG/page-1", "MSRD620CTG")</f>
        <v>MSRD620CTG</v>
      </c>
      <c r="B11504" s="3" t="str">
        <f>HYPERLINK("https://www.773grp.com/manufacturer/onsemi?pageNo=719", "Onsemi")</f>
        <v>Onsemi</v>
      </c>
      <c r="C11504" s="6">
        <v>8099</v>
      </c>
      <c r="D11504" s="7">
        <v>1.49</v>
      </c>
      <c r="E11504" t="s">
        <v>82</v>
      </c>
    </row>
    <row r="11505" spans="1:5" x14ac:dyDescent="0.25">
      <c r="A11505" t="str">
        <f>HYPERLINK("https://www.773grp.com/globalSearch/MSRD620CTT4G/page-1", "MSRD620CTT4G")</f>
        <v>MSRD620CTT4G</v>
      </c>
      <c r="B11505" s="3" t="str">
        <f>HYPERLINK("https://www.773grp.com/manufacturer/onsemi?pageNo=720", "Onsemi")</f>
        <v>Onsemi</v>
      </c>
      <c r="C11505" s="6">
        <v>533</v>
      </c>
      <c r="D11505" s="7">
        <v>1.49</v>
      </c>
      <c r="E11505" t="s">
        <v>82</v>
      </c>
    </row>
    <row r="11506" spans="1:5" x14ac:dyDescent="0.25">
      <c r="A11506" t="str">
        <f>HYPERLINK("https://www.773grp.com/globalSearch/MTD12N06EZL/page-1", "MTD12N06EZL")</f>
        <v>MTD12N06EZL</v>
      </c>
      <c r="B11506" s="3" t="str">
        <f>HYPERLINK("https://www.773grp.com/manufacturer/onsemi?pageNo=721", "Onsemi")</f>
        <v>Onsemi</v>
      </c>
      <c r="C11506" s="6">
        <v>2375</v>
      </c>
      <c r="D11506" s="7">
        <v>1.49</v>
      </c>
      <c r="E11506" t="s">
        <v>84</v>
      </c>
    </row>
    <row r="11507" spans="1:5" x14ac:dyDescent="0.25">
      <c r="A11507" t="str">
        <f>HYPERLINK("https://www.773grp.com/globalSearch/MTP27N06L/page-1", "MTP27N06L")</f>
        <v>MTP27N06L</v>
      </c>
      <c r="B11507" s="3" t="str">
        <f>HYPERLINK("https://www.773grp.com/manufacturer/onsemi?pageNo=722", "Onsemi")</f>
        <v>Onsemi</v>
      </c>
      <c r="C11507" s="6">
        <v>2350</v>
      </c>
      <c r="D11507" s="7">
        <v>1.49</v>
      </c>
    </row>
    <row r="11508" spans="1:5" x14ac:dyDescent="0.25">
      <c r="A11508" t="str">
        <f>HYPERLINK("https://www.773grp.com/globalSearch/MUR420SG/page-1", "MUR420SG")</f>
        <v>MUR420SG</v>
      </c>
      <c r="B11508" s="3" t="str">
        <f>HYPERLINK("https://www.773grp.com/manufacturer/onsemi?pageNo=723", "Onsemi")</f>
        <v>Onsemi</v>
      </c>
      <c r="C11508" s="6">
        <v>232353</v>
      </c>
      <c r="D11508" s="7">
        <v>1.49</v>
      </c>
    </row>
    <row r="11509" spans="1:5" x14ac:dyDescent="0.25">
      <c r="A11509" t="str">
        <f>HYPERLINK("https://www.773grp.com/globalSearch/MUR460/page-1", "MUR460")</f>
        <v>MUR460</v>
      </c>
      <c r="B11509" s="3" t="str">
        <f>HYPERLINK("https://www.773grp.com/manufacturer/onsemi?pageNo=724", "Onsemi")</f>
        <v>Onsemi</v>
      </c>
      <c r="C11509" s="6">
        <v>500</v>
      </c>
      <c r="D11509" s="7">
        <v>1.49</v>
      </c>
      <c r="E11509" t="s">
        <v>82</v>
      </c>
    </row>
    <row r="11510" spans="1:5" x14ac:dyDescent="0.25">
      <c r="A11510" t="str">
        <f>HYPERLINK("https://www.773grp.com/globalSearch/MUR550PF/page-1", "MUR550PF")</f>
        <v>MUR550PF</v>
      </c>
      <c r="B11510" s="3" t="str">
        <f>HYPERLINK("https://www.773grp.com/manufacturer/onsemi?pageNo=725", "Onsemi")</f>
        <v>Onsemi</v>
      </c>
      <c r="C11510" s="6">
        <v>2000</v>
      </c>
      <c r="D11510" s="7">
        <v>1.49</v>
      </c>
      <c r="E11510" t="s">
        <v>82</v>
      </c>
    </row>
    <row r="11511" spans="1:5" x14ac:dyDescent="0.25">
      <c r="A11511" t="str">
        <f>HYPERLINK("https://www.773grp.com/globalSearch/MUR550PFG/page-1", "MUR550PFG")</f>
        <v>MUR550PFG</v>
      </c>
      <c r="B11511" s="3" t="str">
        <f>HYPERLINK("https://www.773grp.com/manufacturer/onsemi?pageNo=726", "Onsemi")</f>
        <v>Onsemi</v>
      </c>
      <c r="C11511" s="6">
        <v>9068</v>
      </c>
      <c r="D11511" s="7">
        <v>1.49</v>
      </c>
      <c r="E11511" t="s">
        <v>82</v>
      </c>
    </row>
    <row r="11512" spans="1:5" x14ac:dyDescent="0.25">
      <c r="A11512" t="str">
        <f>HYPERLINK("https://www.773grp.com/globalSearch/MUR840/page-1", "MUR840")</f>
        <v>MUR840</v>
      </c>
      <c r="B11512" s="3" t="str">
        <f>HYPERLINK("https://www.773grp.com/manufacturer/onsemi?pageNo=727", "Onsemi")</f>
        <v>Onsemi</v>
      </c>
      <c r="C11512" s="6">
        <v>43005</v>
      </c>
      <c r="D11512" s="7">
        <v>1.49</v>
      </c>
      <c r="E11512" t="s">
        <v>82</v>
      </c>
    </row>
    <row r="11513" spans="1:5" x14ac:dyDescent="0.25">
      <c r="A11513" t="str">
        <f>HYPERLINK("https://www.773grp.com/globalSearch/MURD620CTG/page-1", "MURD620CTG")</f>
        <v>MURD620CTG</v>
      </c>
      <c r="B11513" s="3" t="str">
        <f>HYPERLINK("https://www.773grp.com/manufacturer/onsemi?pageNo=728", "Onsemi")</f>
        <v>Onsemi</v>
      </c>
      <c r="C11513" s="6">
        <v>24400</v>
      </c>
      <c r="D11513" s="7">
        <v>1.49</v>
      </c>
      <c r="E11513" t="s">
        <v>82</v>
      </c>
    </row>
    <row r="11514" spans="1:5" x14ac:dyDescent="0.25">
      <c r="A11514" t="str">
        <f>HYPERLINK("https://www.773grp.com/globalSearch/MURD620CTH/page-1", "MURD620CTH")</f>
        <v>MURD620CTH</v>
      </c>
      <c r="B11514" s="3" t="str">
        <f>HYPERLINK("https://www.773grp.com/manufacturer/onsemi?pageNo=729", "Onsemi")</f>
        <v>Onsemi</v>
      </c>
      <c r="C11514" s="6">
        <v>9000</v>
      </c>
      <c r="D11514" s="7">
        <v>1.49</v>
      </c>
    </row>
    <row r="11515" spans="1:5" x14ac:dyDescent="0.25">
      <c r="A11515" t="str">
        <f>HYPERLINK("https://www.773grp.com/globalSearch/NCL30081ASNT1G/page-1", "NCL30081ASNT1G")</f>
        <v>NCL30081ASNT1G</v>
      </c>
      <c r="B11515" s="3" t="str">
        <f>HYPERLINK("https://www.773grp.com/manufacturer/onsemi?pageNo=730", "Onsemi")</f>
        <v>Onsemi</v>
      </c>
      <c r="C11515" s="6">
        <v>3000</v>
      </c>
      <c r="D11515" s="7">
        <v>1.49</v>
      </c>
    </row>
    <row r="11516" spans="1:5" x14ac:dyDescent="0.25">
      <c r="A11516" t="str">
        <f>HYPERLINK("https://www.773grp.com/globalSearch/NCL30081BSNT1G/page-1", "NCL30081BSNT1G")</f>
        <v>NCL30081BSNT1G</v>
      </c>
      <c r="B11516" s="3" t="str">
        <f>HYPERLINK("https://www.773grp.com/manufacturer/onsemi?pageNo=731", "Onsemi")</f>
        <v>Onsemi</v>
      </c>
      <c r="C11516" s="6">
        <v>3000</v>
      </c>
      <c r="D11516" s="7">
        <v>1.49</v>
      </c>
    </row>
    <row r="11517" spans="1:5" x14ac:dyDescent="0.25">
      <c r="A11517" t="str">
        <f>HYPERLINK("https://www.773grp.com/globalSearch/NCP1201D100R2G/page-1", "NCP1201D100R2G")</f>
        <v>NCP1201D100R2G</v>
      </c>
      <c r="B11517" s="3" t="str">
        <f>HYPERLINK("https://www.773grp.com/manufacturer/onsemi?pageNo=732", "Onsemi")</f>
        <v>Onsemi</v>
      </c>
      <c r="C11517" s="6">
        <v>15088</v>
      </c>
      <c r="D11517" s="7">
        <v>1.49</v>
      </c>
      <c r="E11517" t="s">
        <v>5</v>
      </c>
    </row>
    <row r="11518" spans="1:5" x14ac:dyDescent="0.25">
      <c r="A11518" t="str">
        <f>HYPERLINK("https://www.773grp.com/globalSearch/NCP1595AMNR2G/page-1", "NCP1595AMNR2G")</f>
        <v>NCP1595AMNR2G</v>
      </c>
      <c r="B11518" s="3" t="str">
        <f>HYPERLINK("https://www.773grp.com/manufacturer/onsemi?pageNo=733", "Onsemi")</f>
        <v>Onsemi</v>
      </c>
      <c r="C11518" s="6">
        <v>6000</v>
      </c>
      <c r="D11518" s="7">
        <v>1.49</v>
      </c>
      <c r="E11518" t="s">
        <v>5</v>
      </c>
    </row>
    <row r="11519" spans="1:5" x14ac:dyDescent="0.25">
      <c r="A11519" t="str">
        <f>HYPERLINK("https://www.773grp.com/globalSearch/NCP346SN2T1G/page-1", "NCP346SN2T1G")</f>
        <v>NCP346SN2T1G</v>
      </c>
      <c r="B11519" s="3" t="str">
        <f>HYPERLINK("https://www.773grp.com/manufacturer/onsemi?pageNo=734", "Onsemi")</f>
        <v>Onsemi</v>
      </c>
      <c r="C11519" s="6">
        <v>25498</v>
      </c>
      <c r="D11519" s="7">
        <v>1.49</v>
      </c>
    </row>
    <row r="11520" spans="1:5" x14ac:dyDescent="0.25">
      <c r="A11520" t="str">
        <f>HYPERLINK("https://www.773grp.com/globalSearch/NCP360MUTXG/page-1", "NCP360MUTXG")</f>
        <v>NCP360MUTXG</v>
      </c>
      <c r="B11520" s="3" t="str">
        <f>HYPERLINK("https://www.773grp.com/manufacturer/onsemi?pageNo=735", "Onsemi")</f>
        <v>Onsemi</v>
      </c>
      <c r="C11520" s="6">
        <v>20000</v>
      </c>
      <c r="D11520" s="7">
        <v>1.49</v>
      </c>
      <c r="E11520" t="s">
        <v>8</v>
      </c>
    </row>
    <row r="11521" spans="1:5" x14ac:dyDescent="0.25">
      <c r="A11521" t="str">
        <f>HYPERLINK("https://www.773grp.com/globalSearch/NCP4589DSN12T1G/page-1", "NCP4589DSN12T1G")</f>
        <v>NCP4589DSN12T1G</v>
      </c>
      <c r="B11521" s="3" t="str">
        <f>HYPERLINK("https://www.773grp.com/manufacturer/onsemi?pageNo=736", "Onsemi")</f>
        <v>Onsemi</v>
      </c>
      <c r="C11521" s="6">
        <v>21000</v>
      </c>
      <c r="D11521" s="7">
        <v>1.49</v>
      </c>
    </row>
    <row r="11522" spans="1:5" x14ac:dyDescent="0.25">
      <c r="A11522" t="str">
        <f>HYPERLINK("https://www.773grp.com/globalSearch/NCP4589DSN18T1G/page-1", "NCP4589DSN18T1G")</f>
        <v>NCP4589DSN18T1G</v>
      </c>
      <c r="B11522" s="3" t="str">
        <f>HYPERLINK("https://www.773grp.com/manufacturer/onsemi?pageNo=737", "Onsemi")</f>
        <v>Onsemi</v>
      </c>
      <c r="C11522" s="6">
        <v>18000</v>
      </c>
      <c r="D11522" s="7">
        <v>1.49</v>
      </c>
    </row>
    <row r="11523" spans="1:5" x14ac:dyDescent="0.25">
      <c r="A11523" t="str">
        <f>HYPERLINK("https://www.773grp.com/globalSearch/NCP4589DSN25T1G/page-1", "NCP4589DSN25T1G")</f>
        <v>NCP4589DSN25T1G</v>
      </c>
      <c r="B11523" s="3" t="str">
        <f>HYPERLINK("https://www.773grp.com/manufacturer/onsemi?pageNo=738", "Onsemi")</f>
        <v>Onsemi</v>
      </c>
      <c r="C11523" s="6">
        <v>3000</v>
      </c>
      <c r="D11523" s="7">
        <v>1.49</v>
      </c>
    </row>
    <row r="11524" spans="1:5" x14ac:dyDescent="0.25">
      <c r="A11524" t="str">
        <f>HYPERLINK("https://www.773grp.com/globalSearch/NCP4589DSN30T1G/page-1", "NCP4589DSN30T1G")</f>
        <v>NCP4589DSN30T1G</v>
      </c>
      <c r="B11524" s="3" t="str">
        <f>HYPERLINK("https://www.773grp.com/manufacturer/onsemi?pageNo=739", "Onsemi")</f>
        <v>Onsemi</v>
      </c>
      <c r="C11524" s="6">
        <v>9000</v>
      </c>
      <c r="D11524" s="7">
        <v>1.49</v>
      </c>
    </row>
    <row r="11525" spans="1:5" x14ac:dyDescent="0.25">
      <c r="A11525" t="str">
        <f>HYPERLINK("https://www.773grp.com/globalSearch/NCP4589DSN33T1G/page-1", "NCP4589DSN33T1G")</f>
        <v>NCP4589DSN33T1G</v>
      </c>
      <c r="B11525" s="3" t="str">
        <f>HYPERLINK("https://www.773grp.com/manufacturer/onsemi?pageNo=740", "Onsemi")</f>
        <v>Onsemi</v>
      </c>
      <c r="C11525" s="6">
        <v>41995</v>
      </c>
      <c r="D11525" s="7">
        <v>1.49</v>
      </c>
      <c r="E11525" t="s">
        <v>15</v>
      </c>
    </row>
    <row r="11526" spans="1:5" x14ac:dyDescent="0.25">
      <c r="A11526" t="str">
        <f>HYPERLINK("https://www.773grp.com/globalSearch/NCP4589DSQ12T1G/page-1", "NCP4589DSQ12T1G")</f>
        <v>NCP4589DSQ12T1G</v>
      </c>
      <c r="B11526" s="3" t="str">
        <f>HYPERLINK("https://www.773grp.com/manufacturer/onsemi?pageNo=741", "Onsemi")</f>
        <v>Onsemi</v>
      </c>
      <c r="C11526" s="6">
        <v>16225</v>
      </c>
      <c r="D11526" s="7">
        <v>1.49</v>
      </c>
    </row>
    <row r="11527" spans="1:5" x14ac:dyDescent="0.25">
      <c r="A11527" t="str">
        <f>HYPERLINK("https://www.773grp.com/globalSearch/NCP4589DSQ18T1G/page-1", "NCP4589DSQ18T1G")</f>
        <v>NCP4589DSQ18T1G</v>
      </c>
      <c r="B11527" s="3" t="str">
        <f>HYPERLINK("https://www.773grp.com/manufacturer/onsemi?pageNo=742", "Onsemi")</f>
        <v>Onsemi</v>
      </c>
      <c r="C11527" s="6">
        <v>18000</v>
      </c>
      <c r="D11527" s="7">
        <v>1.49</v>
      </c>
    </row>
    <row r="11528" spans="1:5" x14ac:dyDescent="0.25">
      <c r="A11528" t="str">
        <f>HYPERLINK("https://www.773grp.com/globalSearch/NCP4589DSQ25T1G/page-1", "NCP4589DSQ25T1G")</f>
        <v>NCP4589DSQ25T1G</v>
      </c>
      <c r="B11528" s="3" t="str">
        <f>HYPERLINK("https://www.773grp.com/manufacturer/onsemi?pageNo=743", "Onsemi")</f>
        <v>Onsemi</v>
      </c>
      <c r="C11528" s="6">
        <v>13330</v>
      </c>
      <c r="D11528" s="7">
        <v>1.49</v>
      </c>
    </row>
    <row r="11529" spans="1:5" x14ac:dyDescent="0.25">
      <c r="A11529" t="str">
        <f>HYPERLINK("https://www.773grp.com/globalSearch/NCP4589DSQ30T1G/page-1", "NCP4589DSQ30T1G")</f>
        <v>NCP4589DSQ30T1G</v>
      </c>
      <c r="B11529" s="3" t="str">
        <f>HYPERLINK("https://www.773grp.com/manufacturer/onsemi?pageNo=744", "Onsemi")</f>
        <v>Onsemi</v>
      </c>
      <c r="C11529" s="6">
        <v>6000</v>
      </c>
      <c r="D11529" s="7">
        <v>1.49</v>
      </c>
    </row>
    <row r="11530" spans="1:5" x14ac:dyDescent="0.25">
      <c r="A11530" t="str">
        <f>HYPERLINK("https://www.773grp.com/globalSearch/NCP4620DSQ18T1G/page-1", "NCP4620DSQ18T1G")</f>
        <v>NCP4620DSQ18T1G</v>
      </c>
      <c r="B11530" s="3" t="str">
        <f>HYPERLINK("https://www.773grp.com/manufacturer/onsemi?pageNo=745", "Onsemi")</f>
        <v>Onsemi</v>
      </c>
      <c r="C11530" s="6">
        <v>12000</v>
      </c>
      <c r="D11530" s="7">
        <v>1.49</v>
      </c>
    </row>
    <row r="11531" spans="1:5" x14ac:dyDescent="0.25">
      <c r="A11531" t="str">
        <f>HYPERLINK("https://www.773grp.com/globalSearch/NCP4620HSQ12T1G/page-1", "NCP4620HSQ12T1G")</f>
        <v>NCP4620HSQ12T1G</v>
      </c>
      <c r="B11531" s="3" t="str">
        <f>HYPERLINK("https://www.773grp.com/manufacturer/onsemi?pageNo=746", "Onsemi")</f>
        <v>Onsemi</v>
      </c>
      <c r="C11531" s="6">
        <v>9000</v>
      </c>
      <c r="D11531" s="7">
        <v>1.49</v>
      </c>
    </row>
    <row r="11532" spans="1:5" x14ac:dyDescent="0.25">
      <c r="A11532" t="str">
        <f>HYPERLINK("https://www.773grp.com/globalSearch/NCP4620HSQ15T1G/page-1", "NCP4620HSQ15T1G")</f>
        <v>NCP4620HSQ15T1G</v>
      </c>
      <c r="B11532" s="3" t="str">
        <f>HYPERLINK("https://www.773grp.com/manufacturer/onsemi?pageNo=747", "Onsemi")</f>
        <v>Onsemi</v>
      </c>
      <c r="C11532" s="6">
        <v>9000</v>
      </c>
      <c r="D11532" s="7">
        <v>1.49</v>
      </c>
    </row>
    <row r="11533" spans="1:5" x14ac:dyDescent="0.25">
      <c r="A11533" t="str">
        <f>HYPERLINK("https://www.773grp.com/globalSearch/NCP4620HSQ18T1G/page-1", "NCP4620HSQ18T1G")</f>
        <v>NCP4620HSQ18T1G</v>
      </c>
      <c r="B11533" s="3" t="str">
        <f>HYPERLINK("https://www.773grp.com/manufacturer/onsemi?pageNo=748", "Onsemi")</f>
        <v>Onsemi</v>
      </c>
      <c r="C11533" s="6">
        <v>9000</v>
      </c>
      <c r="D11533" s="7">
        <v>1.49</v>
      </c>
    </row>
    <row r="11534" spans="1:5" x14ac:dyDescent="0.25">
      <c r="A11534" t="str">
        <f>HYPERLINK("https://www.773grp.com/globalSearch/NCP4620HSQ25T1G/page-1", "NCP4620HSQ25T1G")</f>
        <v>NCP4620HSQ25T1G</v>
      </c>
      <c r="B11534" s="3" t="str">
        <f>HYPERLINK("https://www.773grp.com/manufacturer/onsemi?pageNo=749", "Onsemi")</f>
        <v>Onsemi</v>
      </c>
      <c r="C11534" s="6">
        <v>12000</v>
      </c>
      <c r="D11534" s="7">
        <v>1.49</v>
      </c>
      <c r="E11534" t="s">
        <v>21</v>
      </c>
    </row>
    <row r="11535" spans="1:5" x14ac:dyDescent="0.25">
      <c r="A11535" t="str">
        <f>HYPERLINK("https://www.773grp.com/globalSearch/NCP4683DSQ18T1G/page-1", "NCP4683DSQ18T1G")</f>
        <v>NCP4683DSQ18T1G</v>
      </c>
      <c r="B11535" s="3" t="str">
        <f>HYPERLINK("https://www.773grp.com/manufacturer/onsemi?pageNo=750", "Onsemi")</f>
        <v>Onsemi</v>
      </c>
      <c r="C11535" s="6">
        <v>15000</v>
      </c>
      <c r="D11535" s="7">
        <v>1.49</v>
      </c>
    </row>
    <row r="11536" spans="1:5" x14ac:dyDescent="0.25">
      <c r="A11536" t="str">
        <f>HYPERLINK("https://www.773grp.com/globalSearch/NCP4683DSQ33T1G/page-1", "NCP4683DSQ33T1G")</f>
        <v>NCP4683DSQ33T1G</v>
      </c>
      <c r="B11536" s="3" t="str">
        <f>HYPERLINK("https://www.773grp.com/manufacturer/onsemi?pageNo=751", "Onsemi")</f>
        <v>Onsemi</v>
      </c>
      <c r="C11536" s="6">
        <v>6000</v>
      </c>
      <c r="D11536" s="7">
        <v>1.49</v>
      </c>
    </row>
    <row r="11537" spans="1:5" x14ac:dyDescent="0.25">
      <c r="A11537" t="str">
        <f>HYPERLINK("https://www.773grp.com/globalSearch/NCP4688DSN18T1G/page-1", "NCP4688DSN18T1G")</f>
        <v>NCP4688DSN18T1G</v>
      </c>
      <c r="B11537" s="3" t="str">
        <f>HYPERLINK("https://www.773grp.com/manufacturer/onsemi?pageNo=752", "Onsemi")</f>
        <v>Onsemi</v>
      </c>
      <c r="C11537" s="6">
        <v>3000</v>
      </c>
      <c r="D11537" s="7">
        <v>1.49</v>
      </c>
    </row>
    <row r="11538" spans="1:5" x14ac:dyDescent="0.25">
      <c r="A11538" t="str">
        <f>HYPERLINK("https://www.773grp.com/globalSearch/NCP5208DR2G/page-1", "NCP5208DR2G")</f>
        <v>NCP5208DR2G</v>
      </c>
      <c r="B11538" s="3" t="str">
        <f>HYPERLINK("https://www.773grp.com/manufacturer/onsemi?pageNo=753", "Onsemi")</f>
        <v>Onsemi</v>
      </c>
      <c r="C11538" s="6">
        <v>3190</v>
      </c>
      <c r="D11538" s="7">
        <v>1.49</v>
      </c>
      <c r="E11538" t="s">
        <v>20</v>
      </c>
    </row>
    <row r="11539" spans="1:5" x14ac:dyDescent="0.25">
      <c r="A11539" t="str">
        <f>HYPERLINK("https://www.773grp.com/globalSearch/NCP5500DT15RKG/page-1", "NCP5500DT15RKG")</f>
        <v>NCP5500DT15RKG</v>
      </c>
      <c r="B11539" s="3" t="str">
        <f>HYPERLINK("https://www.773grp.com/manufacturer/onsemi?pageNo=754", "Onsemi")</f>
        <v>Onsemi</v>
      </c>
      <c r="C11539" s="6">
        <v>9249</v>
      </c>
      <c r="D11539" s="7">
        <v>1.49</v>
      </c>
      <c r="E11539" t="s">
        <v>15</v>
      </c>
    </row>
    <row r="11540" spans="1:5" x14ac:dyDescent="0.25">
      <c r="A11540" t="str">
        <f>HYPERLINK("https://www.773grp.com/globalSearch/NCP5500DT33RKG/page-1", "NCP5500DT33RKG")</f>
        <v>NCP5500DT33RKG</v>
      </c>
      <c r="B11540" s="3" t="str">
        <f>HYPERLINK("https://www.773grp.com/manufacturer/onsemi?pageNo=755", "Onsemi")</f>
        <v>Onsemi</v>
      </c>
      <c r="C11540" s="6">
        <v>5202</v>
      </c>
      <c r="D11540" s="7">
        <v>1.49</v>
      </c>
      <c r="E11540" t="s">
        <v>15</v>
      </c>
    </row>
    <row r="11541" spans="1:5" x14ac:dyDescent="0.25">
      <c r="A11541" t="str">
        <f>HYPERLINK("https://www.773grp.com/globalSearch/NCP5500DT50RKG/page-1", "NCP5500DT50RKG")</f>
        <v>NCP5500DT50RKG</v>
      </c>
      <c r="B11541" s="3" t="str">
        <f>HYPERLINK("https://www.773grp.com/manufacturer/onsemi?pageNo=756", "Onsemi")</f>
        <v>Onsemi</v>
      </c>
      <c r="C11541" s="6">
        <v>2215</v>
      </c>
      <c r="D11541" s="7">
        <v>1.49</v>
      </c>
    </row>
    <row r="11542" spans="1:5" x14ac:dyDescent="0.25">
      <c r="A11542" t="str">
        <f>HYPERLINK("https://www.773grp.com/globalSearch/NCP5500DTADJRKG/page-1", "NCP5500DTADJRKG")</f>
        <v>NCP5500DTADJRKG</v>
      </c>
      <c r="B11542" s="3" t="str">
        <f>HYPERLINK("https://www.773grp.com/manufacturer/onsemi?pageNo=757", "Onsemi")</f>
        <v>Onsemi</v>
      </c>
      <c r="C11542" s="6">
        <v>52500</v>
      </c>
      <c r="D11542" s="7">
        <v>1.49</v>
      </c>
      <c r="E11542" t="s">
        <v>18</v>
      </c>
    </row>
    <row r="11543" spans="1:5" x14ac:dyDescent="0.25">
      <c r="A11543" t="str">
        <f>HYPERLINK("https://www.773grp.com/globalSearch/NCP583XV15T2G/page-1", "NCP583XV15T2G")</f>
        <v>NCP583XV15T2G</v>
      </c>
      <c r="B11543" s="3" t="str">
        <f>HYPERLINK("https://www.773grp.com/manufacturer/onsemi?pageNo=758", "Onsemi")</f>
        <v>Onsemi</v>
      </c>
      <c r="C11543" s="6">
        <v>4000</v>
      </c>
      <c r="D11543" s="7">
        <v>1.49</v>
      </c>
      <c r="E11543" t="s">
        <v>15</v>
      </c>
    </row>
    <row r="11544" spans="1:5" x14ac:dyDescent="0.25">
      <c r="A11544" t="str">
        <f>HYPERLINK("https://www.773grp.com/globalSearch/NCP583XV18T2G/page-1", "NCP583XV18T2G")</f>
        <v>NCP583XV18T2G</v>
      </c>
      <c r="B11544" s="3" t="str">
        <f>HYPERLINK("https://www.773grp.com/manufacturer/onsemi?pageNo=759", "Onsemi")</f>
        <v>Onsemi</v>
      </c>
      <c r="C11544" s="6">
        <v>223350</v>
      </c>
      <c r="D11544" s="7">
        <v>1.49</v>
      </c>
      <c r="E11544" t="s">
        <v>15</v>
      </c>
    </row>
    <row r="11545" spans="1:5" x14ac:dyDescent="0.25">
      <c r="A11545" t="str">
        <f>HYPERLINK("https://www.773grp.com/globalSearch/NCP583XV25T2G/page-1", "NCP583XV25T2G")</f>
        <v>NCP583XV25T2G</v>
      </c>
      <c r="B11545" s="3" t="str">
        <f>HYPERLINK("https://www.773grp.com/manufacturer/onsemi?pageNo=760", "Onsemi")</f>
        <v>Onsemi</v>
      </c>
      <c r="C11545" s="6">
        <v>28000</v>
      </c>
      <c r="D11545" s="7">
        <v>1.49</v>
      </c>
      <c r="E11545" t="s">
        <v>15</v>
      </c>
    </row>
    <row r="11546" spans="1:5" x14ac:dyDescent="0.25">
      <c r="A11546" t="str">
        <f>HYPERLINK("https://www.773grp.com/globalSearch/NCP583XV28T2G/page-1", "NCP583XV28T2G")</f>
        <v>NCP583XV28T2G</v>
      </c>
      <c r="B11546" s="3" t="str">
        <f>HYPERLINK("https://www.773grp.com/manufacturer/onsemi?pageNo=761", "Onsemi")</f>
        <v>Onsemi</v>
      </c>
      <c r="C11546" s="6">
        <v>237105</v>
      </c>
      <c r="D11546" s="7">
        <v>1.49</v>
      </c>
      <c r="E11546" t="s">
        <v>15</v>
      </c>
    </row>
    <row r="11547" spans="1:5" x14ac:dyDescent="0.25">
      <c r="A11547" t="str">
        <f>HYPERLINK("https://www.773grp.com/globalSearch/NCP583XV29T2G/page-1", "NCP583XV29T2G")</f>
        <v>NCP583XV29T2G</v>
      </c>
      <c r="B11547" s="3" t="str">
        <f>HYPERLINK("https://www.773grp.com/manufacturer/onsemi?pageNo=762", "Onsemi")</f>
        <v>Onsemi</v>
      </c>
      <c r="C11547" s="6">
        <v>16000</v>
      </c>
      <c r="D11547" s="7">
        <v>1.49</v>
      </c>
      <c r="E11547" t="s">
        <v>15</v>
      </c>
    </row>
    <row r="11548" spans="1:5" x14ac:dyDescent="0.25">
      <c r="A11548" t="str">
        <f>HYPERLINK("https://www.773grp.com/globalSearch/NCP583XV30T2G/page-1", "NCP583XV30T2G")</f>
        <v>NCP583XV30T2G</v>
      </c>
      <c r="B11548" s="3" t="str">
        <f>HYPERLINK("https://www.773grp.com/manufacturer/onsemi?pageNo=763", "Onsemi")</f>
        <v>Onsemi</v>
      </c>
      <c r="C11548" s="6">
        <v>154789</v>
      </c>
      <c r="D11548" s="7">
        <v>1.49</v>
      </c>
      <c r="E11548" t="s">
        <v>15</v>
      </c>
    </row>
    <row r="11549" spans="1:5" x14ac:dyDescent="0.25">
      <c r="A11549" t="str">
        <f>HYPERLINK("https://www.773grp.com/globalSearch/NCP583XV31T2G/page-1", "NCP583XV31T2G")</f>
        <v>NCP583XV31T2G</v>
      </c>
      <c r="B11549" s="3" t="str">
        <f>HYPERLINK("https://www.773grp.com/manufacturer/onsemi?pageNo=764", "Onsemi")</f>
        <v>Onsemi</v>
      </c>
      <c r="C11549" s="6">
        <v>7213</v>
      </c>
      <c r="D11549" s="7">
        <v>1.49</v>
      </c>
      <c r="E11549" t="s">
        <v>15</v>
      </c>
    </row>
    <row r="11550" spans="1:5" x14ac:dyDescent="0.25">
      <c r="A11550" t="str">
        <f>HYPERLINK("https://www.773grp.com/globalSearch/NCP583XV33T2G/page-1", "NCP583XV33T2G")</f>
        <v>NCP583XV33T2G</v>
      </c>
      <c r="B11550" s="3" t="str">
        <f>HYPERLINK("https://www.773grp.com/manufacturer/onsemi?pageNo=765", "Onsemi")</f>
        <v>Onsemi</v>
      </c>
      <c r="C11550" s="6">
        <v>47670</v>
      </c>
      <c r="D11550" s="7">
        <v>1.49</v>
      </c>
      <c r="E11550" t="s">
        <v>15</v>
      </c>
    </row>
    <row r="11551" spans="1:5" x14ac:dyDescent="0.25">
      <c r="A11551" t="str">
        <f>HYPERLINK("https://www.773grp.com/globalSearch/NCP585DSN09T1G/page-1", "NCP585DSN09T1G")</f>
        <v>NCP585DSN09T1G</v>
      </c>
      <c r="B11551" s="3" t="str">
        <f>HYPERLINK("https://www.773grp.com/manufacturer/onsemi?pageNo=766", "Onsemi")</f>
        <v>Onsemi</v>
      </c>
      <c r="C11551" s="6">
        <v>11700</v>
      </c>
      <c r="D11551" s="7">
        <v>1.49</v>
      </c>
      <c r="E11551" t="s">
        <v>15</v>
      </c>
    </row>
    <row r="11552" spans="1:5" x14ac:dyDescent="0.25">
      <c r="A11552" t="str">
        <f>HYPERLINK("https://www.773grp.com/globalSearch/NCP585DSN125T1G/page-1", "NCP585DSN125T1G")</f>
        <v>NCP585DSN125T1G</v>
      </c>
      <c r="B11552" s="3" t="str">
        <f>HYPERLINK("https://www.773grp.com/manufacturer/onsemi?pageNo=767", "Onsemi")</f>
        <v>Onsemi</v>
      </c>
      <c r="C11552" s="6">
        <v>38642</v>
      </c>
      <c r="D11552" s="7">
        <v>1.49</v>
      </c>
      <c r="E11552" t="s">
        <v>15</v>
      </c>
    </row>
    <row r="11553" spans="1:5" x14ac:dyDescent="0.25">
      <c r="A11553" t="str">
        <f>HYPERLINK("https://www.773grp.com/globalSearch/NCP585DSN12T1G/page-1", "NCP585DSN12T1G")</f>
        <v>NCP585DSN12T1G</v>
      </c>
      <c r="B11553" s="3" t="str">
        <f>HYPERLINK("https://www.773grp.com/manufacturer/onsemi?pageNo=768", "Onsemi")</f>
        <v>Onsemi</v>
      </c>
      <c r="C11553" s="6">
        <v>26130</v>
      </c>
      <c r="D11553" s="7">
        <v>1.49</v>
      </c>
      <c r="E11553" t="s">
        <v>15</v>
      </c>
    </row>
    <row r="11554" spans="1:5" x14ac:dyDescent="0.25">
      <c r="A11554" t="str">
        <f>HYPERLINK("https://www.773grp.com/globalSearch/NCP585DSN15T1G/page-1", "NCP585DSN15T1G")</f>
        <v>NCP585DSN15T1G</v>
      </c>
      <c r="B11554" s="3" t="str">
        <f>HYPERLINK("https://www.773grp.com/manufacturer/onsemi?pageNo=769", "Onsemi")</f>
        <v>Onsemi</v>
      </c>
      <c r="C11554" s="6">
        <v>22538</v>
      </c>
      <c r="D11554" s="7">
        <v>1.49</v>
      </c>
      <c r="E11554" t="s">
        <v>15</v>
      </c>
    </row>
    <row r="11555" spans="1:5" x14ac:dyDescent="0.25">
      <c r="A11555" t="str">
        <f>HYPERLINK("https://www.773grp.com/globalSearch/NCP585DSN18T1G/page-1", "NCP585DSN18T1G")</f>
        <v>NCP585DSN18T1G</v>
      </c>
      <c r="B11555" s="3" t="str">
        <f>HYPERLINK("https://www.773grp.com/manufacturer/onsemi?pageNo=770", "Onsemi")</f>
        <v>Onsemi</v>
      </c>
      <c r="C11555" s="6">
        <v>13187</v>
      </c>
      <c r="D11555" s="7">
        <v>1.49</v>
      </c>
      <c r="E11555" t="s">
        <v>15</v>
      </c>
    </row>
    <row r="11556" spans="1:5" x14ac:dyDescent="0.25">
      <c r="A11556" t="str">
        <f>HYPERLINK("https://www.773grp.com/globalSearch/NCP585DSN25T1G/page-1", "NCP585DSN25T1G")</f>
        <v>NCP585DSN25T1G</v>
      </c>
      <c r="B11556" s="3" t="str">
        <f>HYPERLINK("https://www.773grp.com/manufacturer/onsemi?pageNo=771", "Onsemi")</f>
        <v>Onsemi</v>
      </c>
      <c r="C11556" s="6">
        <v>5827</v>
      </c>
      <c r="D11556" s="7">
        <v>1.49</v>
      </c>
    </row>
    <row r="11557" spans="1:5" x14ac:dyDescent="0.25">
      <c r="A11557" t="str">
        <f>HYPERLINK("https://www.773grp.com/globalSearch/NCP585DSN28T1G/page-1", "NCP585DSN28T1G")</f>
        <v>NCP585DSN28T1G</v>
      </c>
      <c r="B11557" s="3" t="str">
        <f>HYPERLINK("https://www.773grp.com/manufacturer/onsemi?pageNo=772", "Onsemi")</f>
        <v>Onsemi</v>
      </c>
      <c r="C11557" s="6">
        <v>3000</v>
      </c>
      <c r="D11557" s="7">
        <v>1.49</v>
      </c>
      <c r="E11557" t="s">
        <v>15</v>
      </c>
    </row>
    <row r="11558" spans="1:5" x14ac:dyDescent="0.25">
      <c r="A11558" t="str">
        <f>HYPERLINK("https://www.773grp.com/globalSearch/NCP585DSN30T1G/page-1", "NCP585DSN30T1G")</f>
        <v>NCP585DSN30T1G</v>
      </c>
      <c r="B11558" s="3" t="str">
        <f>HYPERLINK("https://www.773grp.com/manufacturer/onsemi?pageNo=773", "Onsemi")</f>
        <v>Onsemi</v>
      </c>
      <c r="C11558" s="6">
        <v>5500</v>
      </c>
      <c r="D11558" s="7">
        <v>1.49</v>
      </c>
    </row>
    <row r="11559" spans="1:5" x14ac:dyDescent="0.25">
      <c r="A11559" t="str">
        <f>HYPERLINK("https://www.773grp.com/globalSearch/NCP585DSN33T1G/page-1", "NCP585DSN33T1G")</f>
        <v>NCP585DSN33T1G</v>
      </c>
      <c r="B11559" s="3" t="str">
        <f>HYPERLINK("https://www.773grp.com/manufacturer/onsemi?pageNo=774", "Onsemi")</f>
        <v>Onsemi</v>
      </c>
      <c r="C11559" s="6">
        <v>3000</v>
      </c>
      <c r="D11559" s="7">
        <v>1.49</v>
      </c>
      <c r="E11559" t="s">
        <v>15</v>
      </c>
    </row>
    <row r="11560" spans="1:5" x14ac:dyDescent="0.25">
      <c r="A11560" t="str">
        <f>HYPERLINK("https://www.773grp.com/globalSearch/NCP585HSN09T1G/page-1", "NCP585HSN09T1G")</f>
        <v>NCP585HSN09T1G</v>
      </c>
      <c r="B11560" s="3" t="str">
        <f>HYPERLINK("https://www.773grp.com/manufacturer/onsemi?pageNo=775", "Onsemi")</f>
        <v>Onsemi</v>
      </c>
      <c r="C11560" s="6">
        <v>9000</v>
      </c>
      <c r="D11560" s="7">
        <v>1.49</v>
      </c>
      <c r="E11560" t="s">
        <v>15</v>
      </c>
    </row>
    <row r="11561" spans="1:5" x14ac:dyDescent="0.25">
      <c r="A11561" t="str">
        <f>HYPERLINK("https://www.773grp.com/globalSearch/NCP585HSN10T1G/page-1", "NCP585HSN10T1G")</f>
        <v>NCP585HSN10T1G</v>
      </c>
      <c r="B11561" s="3" t="str">
        <f>HYPERLINK("https://www.773grp.com/manufacturer/onsemi?pageNo=776", "Onsemi")</f>
        <v>Onsemi</v>
      </c>
      <c r="C11561" s="6">
        <v>313042</v>
      </c>
      <c r="D11561" s="7">
        <v>1.49</v>
      </c>
      <c r="E11561" t="s">
        <v>15</v>
      </c>
    </row>
    <row r="11562" spans="1:5" x14ac:dyDescent="0.25">
      <c r="A11562" t="str">
        <f>HYPERLINK("https://www.773grp.com/globalSearch/NCP585HSN12T1G/page-1", "NCP585HSN12T1G")</f>
        <v>NCP585HSN12T1G</v>
      </c>
      <c r="B11562" s="3" t="str">
        <f>HYPERLINK("https://www.773grp.com/manufacturer/onsemi?pageNo=777", "Onsemi")</f>
        <v>Onsemi</v>
      </c>
      <c r="C11562" s="6">
        <v>34748</v>
      </c>
      <c r="D11562" s="7">
        <v>1.49</v>
      </c>
      <c r="E11562" t="s">
        <v>15</v>
      </c>
    </row>
    <row r="11563" spans="1:5" x14ac:dyDescent="0.25">
      <c r="A11563" t="str">
        <f>HYPERLINK("https://www.773grp.com/globalSearch/NCP585HSN18T1G/page-1", "NCP585HSN18T1G")</f>
        <v>NCP585HSN18T1G</v>
      </c>
      <c r="B11563" s="3" t="str">
        <f>HYPERLINK("https://www.773grp.com/manufacturer/onsemi?pageNo=778", "Onsemi")</f>
        <v>Onsemi</v>
      </c>
      <c r="C11563" s="6">
        <v>182685</v>
      </c>
      <c r="D11563" s="7">
        <v>1.49</v>
      </c>
      <c r="E11563" t="s">
        <v>15</v>
      </c>
    </row>
    <row r="11564" spans="1:5" x14ac:dyDescent="0.25">
      <c r="A11564" t="str">
        <f>HYPERLINK("https://www.773grp.com/globalSearch/NCP585HSN30T1G/page-1", "NCP585HSN30T1G")</f>
        <v>NCP585HSN30T1G</v>
      </c>
      <c r="B11564" s="3" t="str">
        <f>HYPERLINK("https://www.773grp.com/manufacturer/onsemi?pageNo=779", "Onsemi")</f>
        <v>Onsemi</v>
      </c>
      <c r="C11564" s="6">
        <v>3000</v>
      </c>
      <c r="D11564" s="7">
        <v>1.49</v>
      </c>
      <c r="E11564" t="s">
        <v>15</v>
      </c>
    </row>
    <row r="11565" spans="1:5" x14ac:dyDescent="0.25">
      <c r="A11565" t="str">
        <f>HYPERLINK("https://www.773grp.com/globalSearch/NCP585LSN09T1G/page-1", "NCP585LSN09T1G")</f>
        <v>NCP585LSN09T1G</v>
      </c>
      <c r="B11565" s="3" t="str">
        <f>HYPERLINK("https://www.773grp.com/manufacturer/onsemi?pageNo=780", "Onsemi")</f>
        <v>Onsemi</v>
      </c>
      <c r="C11565" s="6">
        <v>7396</v>
      </c>
      <c r="D11565" s="7">
        <v>1.49</v>
      </c>
      <c r="E11565" t="s">
        <v>15</v>
      </c>
    </row>
    <row r="11566" spans="1:5" x14ac:dyDescent="0.25">
      <c r="A11566" t="str">
        <f>HYPERLINK("https://www.773grp.com/globalSearch/NCP585LSN18T1G/page-1", "NCP585LSN18T1G")</f>
        <v>NCP585LSN18T1G</v>
      </c>
      <c r="B11566" s="3" t="str">
        <f>HYPERLINK("https://www.773grp.com/manufacturer/onsemi?pageNo=781", "Onsemi")</f>
        <v>Onsemi</v>
      </c>
      <c r="C11566" s="6">
        <v>3001</v>
      </c>
      <c r="D11566" s="7">
        <v>1.49</v>
      </c>
      <c r="E11566" t="s">
        <v>15</v>
      </c>
    </row>
    <row r="11567" spans="1:5" x14ac:dyDescent="0.25">
      <c r="A11567" t="str">
        <f>HYPERLINK("https://www.773grp.com/globalSearch/NCV1009D/page-1", "NCV1009D")</f>
        <v>NCV1009D</v>
      </c>
      <c r="B11567" s="3" t="str">
        <f>HYPERLINK("https://www.773grp.com/manufacturer/onsemi?pageNo=782", "Onsemi")</f>
        <v>Onsemi</v>
      </c>
      <c r="C11567" s="6">
        <v>132</v>
      </c>
      <c r="D11567" s="7">
        <v>1.49</v>
      </c>
      <c r="E11567" t="s">
        <v>13</v>
      </c>
    </row>
    <row r="11568" spans="1:5" x14ac:dyDescent="0.25">
      <c r="A11568" t="str">
        <f>HYPERLINK("https://www.773grp.com/globalSearch/NCV1009DG/page-1", "NCV1009DG")</f>
        <v>NCV1009DG</v>
      </c>
      <c r="B11568" s="3" t="str">
        <f>HYPERLINK("https://www.773grp.com/manufacturer/onsemi?pageNo=783", "Onsemi")</f>
        <v>Onsemi</v>
      </c>
      <c r="C11568" s="6">
        <v>70</v>
      </c>
      <c r="D11568" s="7">
        <v>1.49</v>
      </c>
      <c r="E11568" t="s">
        <v>13</v>
      </c>
    </row>
    <row r="11569" spans="1:5" x14ac:dyDescent="0.25">
      <c r="A11569" t="str">
        <f>HYPERLINK("https://www.773grp.com/globalSearch/NCV1009DR2/page-1", "NCV1009DR2")</f>
        <v>NCV1009DR2</v>
      </c>
      <c r="B11569" s="3" t="str">
        <f>HYPERLINK("https://www.773grp.com/manufacturer/onsemi?pageNo=784", "Onsemi")</f>
        <v>Onsemi</v>
      </c>
      <c r="C11569" s="6">
        <v>21566</v>
      </c>
      <c r="D11569" s="7">
        <v>1.49</v>
      </c>
      <c r="E11569" t="s">
        <v>13</v>
      </c>
    </row>
    <row r="11570" spans="1:5" x14ac:dyDescent="0.25">
      <c r="A11570" t="str">
        <f>HYPERLINK("https://www.773grp.com/globalSearch/NCV1009Z/page-1", "NCV1009Z")</f>
        <v>NCV1009Z</v>
      </c>
      <c r="B11570" s="3" t="str">
        <f>HYPERLINK("https://www.773grp.com/manufacturer/onsemi?pageNo=785", "Onsemi")</f>
        <v>Onsemi</v>
      </c>
      <c r="C11570" s="6">
        <v>4831</v>
      </c>
      <c r="D11570" s="7">
        <v>1.49</v>
      </c>
      <c r="E11570" t="s">
        <v>13</v>
      </c>
    </row>
    <row r="11571" spans="1:5" x14ac:dyDescent="0.25">
      <c r="A11571" t="str">
        <f>HYPERLINK("https://www.773grp.com/globalSearch/NCV1009ZG/page-1", "NCV1009ZG")</f>
        <v>NCV1009ZG</v>
      </c>
      <c r="B11571" s="3" t="str">
        <f>HYPERLINK("https://www.773grp.com/manufacturer/onsemi?pageNo=786", "Onsemi")</f>
        <v>Onsemi</v>
      </c>
      <c r="C11571" s="6">
        <v>24</v>
      </c>
      <c r="D11571" s="7">
        <v>1.49</v>
      </c>
      <c r="E11571" t="s">
        <v>13</v>
      </c>
    </row>
    <row r="11572" spans="1:5" x14ac:dyDescent="0.25">
      <c r="A11572" t="str">
        <f>HYPERLINK("https://www.773grp.com/globalSearch/NCV4269DWR2/page-1", "NCV4269DWR2")</f>
        <v>NCV4269DWR2</v>
      </c>
      <c r="B11572" s="3" t="str">
        <f>HYPERLINK("https://www.773grp.com/manufacturer/onsemi?pageNo=787", "Onsemi")</f>
        <v>Onsemi</v>
      </c>
      <c r="C11572" s="6">
        <v>1000</v>
      </c>
      <c r="D11572" s="7">
        <v>1.49</v>
      </c>
      <c r="E11572" t="s">
        <v>15</v>
      </c>
    </row>
    <row r="11573" spans="1:5" x14ac:dyDescent="0.25">
      <c r="A11573" t="str">
        <f>HYPERLINK("https://www.773grp.com/globalSearch/NCV5501DT15G/page-1", "NCV5501DT15G")</f>
        <v>NCV5501DT15G</v>
      </c>
      <c r="B11573" s="3" t="str">
        <f>HYPERLINK("https://www.773grp.com/manufacturer/onsemi?pageNo=788", "Onsemi")</f>
        <v>Onsemi</v>
      </c>
      <c r="C11573" s="6">
        <v>12114</v>
      </c>
      <c r="D11573" s="7">
        <v>1.49</v>
      </c>
      <c r="E11573" t="s">
        <v>15</v>
      </c>
    </row>
    <row r="11574" spans="1:5" x14ac:dyDescent="0.25">
      <c r="A11574" t="str">
        <f>HYPERLINK("https://www.773grp.com/globalSearch/NCV5501DT15RKG/page-1", "NCV5501DT15RKG")</f>
        <v>NCV5501DT15RKG</v>
      </c>
      <c r="B11574" s="3" t="str">
        <f>HYPERLINK("https://www.773grp.com/manufacturer/onsemi?pageNo=789", "Onsemi")</f>
        <v>Onsemi</v>
      </c>
      <c r="C11574" s="6">
        <v>5634</v>
      </c>
      <c r="D11574" s="7">
        <v>1.49</v>
      </c>
      <c r="E11574" t="s">
        <v>15</v>
      </c>
    </row>
    <row r="11575" spans="1:5" x14ac:dyDescent="0.25">
      <c r="A11575" t="str">
        <f>HYPERLINK("https://www.773grp.com/globalSearch/NCV5501DT33G/page-1", "NCV5501DT33G")</f>
        <v>NCV5501DT33G</v>
      </c>
      <c r="B11575" s="3" t="str">
        <f>HYPERLINK("https://www.773grp.com/manufacturer/onsemi?pageNo=790", "Onsemi")</f>
        <v>Onsemi</v>
      </c>
      <c r="C11575" s="6">
        <v>225</v>
      </c>
      <c r="D11575" s="7">
        <v>1.49</v>
      </c>
    </row>
    <row r="11576" spans="1:5" x14ac:dyDescent="0.25">
      <c r="A11576" t="str">
        <f>HYPERLINK("https://www.773grp.com/globalSearch/NCV5501DT50G/page-1", "NCV5501DT50G")</f>
        <v>NCV5501DT50G</v>
      </c>
      <c r="B11576" s="3" t="str">
        <f>HYPERLINK("https://www.773grp.com/manufacturer/onsemi?pageNo=791", "Onsemi")</f>
        <v>Onsemi</v>
      </c>
      <c r="C11576" s="6">
        <v>975</v>
      </c>
      <c r="D11576" s="7">
        <v>1.49</v>
      </c>
    </row>
    <row r="11577" spans="1:5" x14ac:dyDescent="0.25">
      <c r="A11577" t="str">
        <f>HYPERLINK("https://www.773grp.com/globalSearch/NCV5501DT50RKG/page-1", "NCV5501DT50RKG")</f>
        <v>NCV5501DT50RKG</v>
      </c>
      <c r="B11577" s="3" t="str">
        <f>HYPERLINK("https://www.773grp.com/manufacturer/onsemi?pageNo=792", "Onsemi")</f>
        <v>Onsemi</v>
      </c>
      <c r="C11577" s="6">
        <v>5000</v>
      </c>
      <c r="D11577" s="7">
        <v>1.49</v>
      </c>
    </row>
    <row r="11578" spans="1:5" x14ac:dyDescent="0.25">
      <c r="A11578" t="str">
        <f>HYPERLINK("https://www.773grp.com/globalSearch/NCV8501PDW33/page-1", "NCV8501PDW33")</f>
        <v>NCV8501PDW33</v>
      </c>
      <c r="B11578" s="3" t="str">
        <f>HYPERLINK("https://www.773grp.com/manufacturer/onsemi?pageNo=793", "Onsemi")</f>
        <v>Onsemi</v>
      </c>
      <c r="C11578" s="6">
        <v>94</v>
      </c>
      <c r="D11578" s="7">
        <v>1.49</v>
      </c>
      <c r="E11578" t="s">
        <v>15</v>
      </c>
    </row>
    <row r="11579" spans="1:5" x14ac:dyDescent="0.25">
      <c r="A11579" t="str">
        <f>HYPERLINK("https://www.773grp.com/globalSearch/NLAS44599MNR2/page-1", "NLAS44599MNR2")</f>
        <v>NLAS44599MNR2</v>
      </c>
      <c r="B11579" s="3" t="str">
        <f>HYPERLINK("https://www.773grp.com/manufacturer/onsemi?pageNo=794", "Onsemi")</f>
        <v>Onsemi</v>
      </c>
      <c r="C11579" s="6">
        <v>315000</v>
      </c>
      <c r="D11579" s="7">
        <v>1.49</v>
      </c>
      <c r="E11579" t="s">
        <v>46</v>
      </c>
    </row>
    <row r="11580" spans="1:5" x14ac:dyDescent="0.25">
      <c r="A11580" t="str">
        <f>HYPERLINK("https://www.773grp.com/globalSearch/NLAS4717EPMTR2G/page-1", "NLAS4717EPMTR2G")</f>
        <v>NLAS4717EPMTR2G</v>
      </c>
      <c r="B11580" s="3" t="str">
        <f>HYPERLINK("https://www.773grp.com/manufacturer/onsemi?pageNo=795", "Onsemi")</f>
        <v>Onsemi</v>
      </c>
      <c r="C11580" s="6">
        <v>521961</v>
      </c>
      <c r="D11580" s="7">
        <v>1.49</v>
      </c>
      <c r="E11580" t="s">
        <v>46</v>
      </c>
    </row>
    <row r="11581" spans="1:5" x14ac:dyDescent="0.25">
      <c r="A11581" t="str">
        <f>HYPERLINK("https://www.773grp.com/globalSearch/NLV74HC4052ADR2G/page-1", "NLV74HC4052ADR2G")</f>
        <v>NLV74HC4052ADR2G</v>
      </c>
      <c r="B11581" s="3" t="str">
        <f>HYPERLINK("https://www.773grp.com/manufacturer/onsemi?pageNo=796", "Onsemi")</f>
        <v>Onsemi</v>
      </c>
      <c r="C11581" s="6">
        <v>2137</v>
      </c>
      <c r="D11581" s="7">
        <v>1.49</v>
      </c>
    </row>
    <row r="11582" spans="1:5" x14ac:dyDescent="0.25">
      <c r="A11582" t="str">
        <f>HYPERLINK("https://www.773grp.com/globalSearch/NLVHC4052ADTR2G/page-1", "NLVHC4052ADTR2G")</f>
        <v>NLVHC4052ADTR2G</v>
      </c>
      <c r="B11582" s="3" t="str">
        <f>HYPERLINK("https://www.773grp.com/manufacturer/onsemi?pageNo=797", "Onsemi")</f>
        <v>Onsemi</v>
      </c>
      <c r="C11582" s="6">
        <v>20000</v>
      </c>
      <c r="D11582" s="7">
        <v>1.49</v>
      </c>
    </row>
    <row r="11583" spans="1:5" x14ac:dyDescent="0.25">
      <c r="A11583" t="str">
        <f>HYPERLINK("https://www.773grp.com/globalSearch/NTB27N06L/page-1", "NTB27N06L")</f>
        <v>NTB27N06L</v>
      </c>
      <c r="B11583" s="3" t="str">
        <f>HYPERLINK("https://www.773grp.com/manufacturer/onsemi?pageNo=798", "Onsemi")</f>
        <v>Onsemi</v>
      </c>
      <c r="C11583" s="6">
        <v>275</v>
      </c>
      <c r="D11583" s="7">
        <v>1.49</v>
      </c>
      <c r="E11583" t="s">
        <v>84</v>
      </c>
    </row>
    <row r="11584" spans="1:5" x14ac:dyDescent="0.25">
      <c r="A11584" t="str">
        <f>HYPERLINK("https://www.773grp.com/globalSearch/NTB27N06LT4/page-1", "NTB27N06LT4")</f>
        <v>NTB27N06LT4</v>
      </c>
      <c r="B11584" s="3" t="str">
        <f>HYPERLINK("https://www.773grp.com/manufacturer/onsemi?pageNo=799", "Onsemi")</f>
        <v>Onsemi</v>
      </c>
      <c r="C11584" s="6">
        <v>22400</v>
      </c>
      <c r="D11584" s="7">
        <v>1.49</v>
      </c>
      <c r="E11584" t="s">
        <v>84</v>
      </c>
    </row>
    <row r="11585" spans="1:5" x14ac:dyDescent="0.25">
      <c r="A11585" t="str">
        <f>HYPERLINK("https://www.773grp.com/globalSearch/NTD20N06G/page-1", "NTD20N06G")</f>
        <v>NTD20N06G</v>
      </c>
      <c r="B11585" s="3" t="str">
        <f>HYPERLINK("https://www.773grp.com/manufacturer/onsemi?pageNo=800", "Onsemi")</f>
        <v>Onsemi</v>
      </c>
      <c r="C11585" s="6">
        <v>230</v>
      </c>
      <c r="D11585" s="7">
        <v>1.49</v>
      </c>
      <c r="E11585" t="s">
        <v>84</v>
      </c>
    </row>
    <row r="11586" spans="1:5" x14ac:dyDescent="0.25">
      <c r="A11586" t="str">
        <f>HYPERLINK("https://www.773grp.com/globalSearch/NTD20N06LG/page-1", "NTD20N06LG")</f>
        <v>NTD20N06LG</v>
      </c>
      <c r="B11586" s="3" t="str">
        <f>HYPERLINK("https://www.773grp.com/manufacturer/onsemi?pageNo=801", "Onsemi")</f>
        <v>Onsemi</v>
      </c>
      <c r="C11586" s="6">
        <v>925</v>
      </c>
      <c r="D11586" s="7">
        <v>1.49</v>
      </c>
    </row>
    <row r="11587" spans="1:5" x14ac:dyDescent="0.25">
      <c r="A11587" t="str">
        <f>HYPERLINK("https://www.773grp.com/globalSearch/NTD25P03LT4/page-1", "NTD25P03LT4")</f>
        <v>NTD25P03LT4</v>
      </c>
      <c r="B11587" s="3" t="str">
        <f>HYPERLINK("https://www.773grp.com/manufacturer/onsemi?pageNo=802", "Onsemi")</f>
        <v>Onsemi</v>
      </c>
      <c r="C11587" s="6">
        <v>3265</v>
      </c>
      <c r="D11587" s="7">
        <v>1.49</v>
      </c>
      <c r="E11587" t="s">
        <v>84</v>
      </c>
    </row>
    <row r="11588" spans="1:5" x14ac:dyDescent="0.25">
      <c r="A11588" t="str">
        <f>HYPERLINK("https://www.773grp.com/globalSearch/NTD70N03R-1G/page-1", "NTD70N03R-1G")</f>
        <v>NTD70N03R-1G</v>
      </c>
      <c r="B11588" s="3" t="str">
        <f>HYPERLINK("https://www.773grp.com/manufacturer/onsemi?pageNo=803", "Onsemi")</f>
        <v>Onsemi</v>
      </c>
      <c r="C11588" s="6">
        <v>139757</v>
      </c>
      <c r="D11588" s="7">
        <v>1.49</v>
      </c>
      <c r="E11588" t="s">
        <v>84</v>
      </c>
    </row>
    <row r="11589" spans="1:5" x14ac:dyDescent="0.25">
      <c r="A11589" t="str">
        <f>HYPERLINK("https://www.773grp.com/globalSearch/NTD70N03RT4G/page-1", "NTD70N03RT4G")</f>
        <v>NTD70N03RT4G</v>
      </c>
      <c r="B11589" s="3" t="str">
        <f>HYPERLINK("https://www.773grp.com/manufacturer/onsemi?pageNo=804", "Onsemi")</f>
        <v>Onsemi</v>
      </c>
      <c r="C11589" s="6">
        <v>852227</v>
      </c>
      <c r="D11589" s="7">
        <v>1.49</v>
      </c>
      <c r="E11589" t="s">
        <v>84</v>
      </c>
    </row>
    <row r="11590" spans="1:5" x14ac:dyDescent="0.25">
      <c r="A11590" t="str">
        <f>HYPERLINK("https://www.773grp.com/globalSearch/NTD80N02G/page-1", "NTD80N02G")</f>
        <v>NTD80N02G</v>
      </c>
      <c r="B11590" s="3" t="str">
        <f>HYPERLINK("https://www.773grp.com/manufacturer/onsemi?pageNo=805", "Onsemi")</f>
        <v>Onsemi</v>
      </c>
      <c r="C11590" s="6">
        <v>25</v>
      </c>
      <c r="D11590" s="7">
        <v>1.49</v>
      </c>
      <c r="E11590" t="s">
        <v>84</v>
      </c>
    </row>
    <row r="11591" spans="1:5" x14ac:dyDescent="0.25">
      <c r="A11591" t="str">
        <f>HYPERLINK("https://www.773grp.com/globalSearch/NTMD2C02R2G/page-1", "NTMD2C02R2G")</f>
        <v>NTMD2C02R2G</v>
      </c>
      <c r="B11591" s="3" t="str">
        <f>HYPERLINK("https://www.773grp.com/manufacturer/onsemi?pageNo=806", "Onsemi")</f>
        <v>Onsemi</v>
      </c>
      <c r="C11591" s="6">
        <v>16455</v>
      </c>
      <c r="D11591" s="7">
        <v>1.49</v>
      </c>
      <c r="E11591" t="s">
        <v>84</v>
      </c>
    </row>
    <row r="11592" spans="1:5" x14ac:dyDescent="0.25">
      <c r="A11592" t="str">
        <f>HYPERLINK("https://www.773grp.com/globalSearch/NTMSD3P102R2SG/page-1", "NTMSD3P102R2SG")</f>
        <v>NTMSD3P102R2SG</v>
      </c>
      <c r="B11592" s="3" t="str">
        <f>HYPERLINK("https://www.773grp.com/manufacturer/onsemi?pageNo=807", "Onsemi")</f>
        <v>Onsemi</v>
      </c>
      <c r="C11592" s="6">
        <v>7500</v>
      </c>
      <c r="D11592" s="7">
        <v>1.49</v>
      </c>
      <c r="E11592" t="s">
        <v>85</v>
      </c>
    </row>
    <row r="11593" spans="1:5" x14ac:dyDescent="0.25">
      <c r="A11593" t="str">
        <f>HYPERLINK("https://www.773grp.com/globalSearch/NTP65N02RG/page-1", "NTP65N02RG")</f>
        <v>NTP65N02RG</v>
      </c>
      <c r="B11593" s="3" t="str">
        <f>HYPERLINK("https://www.773grp.com/manufacturer/onsemi?pageNo=808", "Onsemi")</f>
        <v>Onsemi</v>
      </c>
      <c r="C11593" s="6">
        <v>57437</v>
      </c>
      <c r="D11593" s="7">
        <v>1.49</v>
      </c>
      <c r="E11593" t="s">
        <v>84</v>
      </c>
    </row>
    <row r="11594" spans="1:5" x14ac:dyDescent="0.25">
      <c r="A11594" t="str">
        <f>HYPERLINK("https://www.773grp.com/globalSearch/NUP4212UPMUTAG/page-1", "NUP4212UPMUTAG")</f>
        <v>NUP4212UPMUTAG</v>
      </c>
      <c r="B11594" s="3" t="str">
        <f>HYPERLINK("https://www.773grp.com/manufacturer/onsemi?pageNo=809", "Onsemi")</f>
        <v>Onsemi</v>
      </c>
      <c r="C11594" s="6">
        <v>42000</v>
      </c>
      <c r="D11594" s="7">
        <v>1.49</v>
      </c>
      <c r="E11594" t="s">
        <v>75</v>
      </c>
    </row>
    <row r="11595" spans="1:5" x14ac:dyDescent="0.25">
      <c r="A11595" t="str">
        <f>HYPERLINK("https://www.773grp.com/globalSearch/NUP6101DMR2/page-1", "NUP6101DMR2")</f>
        <v>NUP6101DMR2</v>
      </c>
      <c r="B11595" s="3" t="str">
        <f>HYPERLINK("https://www.773grp.com/manufacturer/onsemi?pageNo=810", "Onsemi")</f>
        <v>Onsemi</v>
      </c>
      <c r="C11595" s="6">
        <v>13518</v>
      </c>
      <c r="D11595" s="7">
        <v>1.49</v>
      </c>
      <c r="E11595" t="s">
        <v>75</v>
      </c>
    </row>
    <row r="11596" spans="1:5" x14ac:dyDescent="0.25">
      <c r="A11596" t="str">
        <f>HYPERLINK("https://www.773grp.com/globalSearch/SC78170P/page-1", "SC78170P")</f>
        <v>SC78170P</v>
      </c>
      <c r="B11596" s="3" t="str">
        <f>HYPERLINK("https://www.773grp.com/manufacturer/onsemi?pageNo=811", "Onsemi")</f>
        <v>Onsemi</v>
      </c>
      <c r="C11596" s="6">
        <v>33513</v>
      </c>
      <c r="D11596" s="7">
        <v>1.49</v>
      </c>
    </row>
    <row r="11597" spans="1:5" x14ac:dyDescent="0.25">
      <c r="A11597" t="str">
        <f>HYPERLINK("https://www.773grp.com/globalSearch/SJE5959LFVK/page-1", "SJE5959LFVK")</f>
        <v>SJE5959LFVK</v>
      </c>
      <c r="B11597" s="3" t="str">
        <f>HYPERLINK("https://www.773grp.com/manufacturer/onsemi?pageNo=812", "Onsemi")</f>
        <v>Onsemi</v>
      </c>
      <c r="C11597" s="6">
        <v>14450</v>
      </c>
      <c r="D11597" s="7">
        <v>1.49</v>
      </c>
    </row>
    <row r="11598" spans="1:5" x14ac:dyDescent="0.25">
      <c r="A11598" t="str">
        <f>HYPERLINK("https://www.773grp.com/globalSearch/SR4490/page-1", "SR4490")</f>
        <v>SR4490</v>
      </c>
      <c r="B11598" s="3" t="str">
        <f>HYPERLINK("https://www.773grp.com/manufacturer/onsemi?pageNo=813", "Onsemi")</f>
        <v>Onsemi</v>
      </c>
      <c r="C11598" s="6">
        <v>5000</v>
      </c>
      <c r="D11598" s="7">
        <v>1.49</v>
      </c>
    </row>
    <row r="11599" spans="1:5" x14ac:dyDescent="0.25">
      <c r="A11599" t="str">
        <f>HYPERLINK("https://www.773grp.com/globalSearch/T2500D/page-1", "T2500D")</f>
        <v>T2500D</v>
      </c>
      <c r="B11599" s="3" t="str">
        <f>HYPERLINK("https://www.773grp.com/manufacturer/onsemi?pageNo=814", "Onsemi")</f>
        <v>Onsemi</v>
      </c>
      <c r="C11599" s="6">
        <v>472</v>
      </c>
      <c r="D11599" s="7">
        <v>1.49</v>
      </c>
      <c r="E11599" t="s">
        <v>81</v>
      </c>
    </row>
    <row r="11600" spans="1:5" x14ac:dyDescent="0.25">
      <c r="A11600" t="str">
        <f>HYPERLINK("https://www.773grp.com/globalSearch/TL062CP/page-1", "TL062CP")</f>
        <v>TL062CP</v>
      </c>
      <c r="B11600" s="3" t="str">
        <f>HYPERLINK("https://www.773grp.com/manufacturer/onsemi?pageNo=815", "Onsemi")</f>
        <v>Onsemi</v>
      </c>
      <c r="C11600" s="6">
        <v>900</v>
      </c>
      <c r="D11600" s="7">
        <v>1.49</v>
      </c>
      <c r="E11600" t="s">
        <v>10</v>
      </c>
    </row>
    <row r="11601" spans="1:5" x14ac:dyDescent="0.25">
      <c r="A11601" t="str">
        <f>HYPERLINK("https://www.773grp.com/globalSearch/TL431ACPG/page-1", "TL431ACPG")</f>
        <v>TL431ACPG</v>
      </c>
      <c r="B11601" s="3" t="str">
        <f>HYPERLINK("https://www.773grp.com/manufacturer/onsemi?pageNo=816", "Onsemi")</f>
        <v>Onsemi</v>
      </c>
      <c r="C11601" s="6">
        <v>13450</v>
      </c>
      <c r="D11601" s="7">
        <v>1.49</v>
      </c>
      <c r="E11601" t="s">
        <v>13</v>
      </c>
    </row>
    <row r="11602" spans="1:5" x14ac:dyDescent="0.25">
      <c r="A11602" t="str">
        <f>HYPERLINK("https://www.773grp.com/globalSearch/2SB1204S-E/page-1", "2SB1204S-E")</f>
        <v>2SB1204S-E</v>
      </c>
      <c r="B11602" s="3" t="str">
        <f>HYPERLINK("https://www.773grp.com/manufacturer/onsemi?pageNo=817", "Onsemi")</f>
        <v>Onsemi</v>
      </c>
      <c r="C11602" s="6">
        <v>1000</v>
      </c>
      <c r="D11602" s="7">
        <v>1.54</v>
      </c>
    </row>
    <row r="11603" spans="1:5" x14ac:dyDescent="0.25">
      <c r="A11603" t="str">
        <f>HYPERLINK("https://www.773grp.com/globalSearch/2SD1816S-H/page-1", "2SD1816S-H")</f>
        <v>2SD1816S-H</v>
      </c>
      <c r="B11603" s="3" t="str">
        <f>HYPERLINK("https://www.773grp.com/manufacturer/onsemi?pageNo=818", "Onsemi")</f>
        <v>Onsemi</v>
      </c>
      <c r="C11603" s="6">
        <v>1000</v>
      </c>
      <c r="D11603" s="7">
        <v>1.54</v>
      </c>
    </row>
    <row r="11604" spans="1:5" x14ac:dyDescent="0.25">
      <c r="A11604" t="str">
        <f>HYPERLINK("https://www.773grp.com/globalSearch/CS2843ALN8/page-1", "CS2843ALN8")</f>
        <v>CS2843ALN8</v>
      </c>
      <c r="B11604" s="3" t="str">
        <f>HYPERLINK("https://www.773grp.com/manufacturer/onsemi?pageNo=819", "Onsemi")</f>
        <v>Onsemi</v>
      </c>
      <c r="C11604" s="6">
        <v>50</v>
      </c>
      <c r="D11604" s="7">
        <v>1.54</v>
      </c>
      <c r="E11604" t="s">
        <v>5</v>
      </c>
    </row>
    <row r="11605" spans="1:5" x14ac:dyDescent="0.25">
      <c r="A11605" t="str">
        <f>HYPERLINK("https://www.773grp.com/globalSearch/JLC1562BF/page-1", "JLC1562BF")</f>
        <v>JLC1562BF</v>
      </c>
      <c r="B11605" s="3" t="str">
        <f>HYPERLINK("https://www.773grp.com/manufacturer/onsemi?pageNo=820", "Onsemi")</f>
        <v>Onsemi</v>
      </c>
      <c r="C11605" s="6">
        <v>6000</v>
      </c>
      <c r="D11605" s="7">
        <v>1.54</v>
      </c>
      <c r="E11605" t="s">
        <v>71</v>
      </c>
    </row>
    <row r="11606" spans="1:5" x14ac:dyDescent="0.25">
      <c r="A11606" t="str">
        <f>HYPERLINK("https://www.773grp.com/globalSearch/JLC1562BFEL/page-1", "JLC1562BFEL")</f>
        <v>JLC1562BFEL</v>
      </c>
      <c r="B11606" s="3" t="str">
        <f>HYPERLINK("https://www.773grp.com/manufacturer/onsemi?pageNo=821", "Onsemi")</f>
        <v>Onsemi</v>
      </c>
      <c r="C11606" s="6">
        <v>8000</v>
      </c>
      <c r="D11606" s="7">
        <v>1.54</v>
      </c>
      <c r="E11606" t="s">
        <v>71</v>
      </c>
    </row>
    <row r="11607" spans="1:5" x14ac:dyDescent="0.25">
      <c r="A11607" t="str">
        <f>HYPERLINK("https://www.773grp.com/globalSearch/JLC1562BN/page-1", "JLC1562BN")</f>
        <v>JLC1562BN</v>
      </c>
      <c r="B11607" s="3" t="str">
        <f>HYPERLINK("https://www.773grp.com/manufacturer/onsemi?pageNo=822", "Onsemi")</f>
        <v>Onsemi</v>
      </c>
      <c r="C11607" s="6">
        <v>5000</v>
      </c>
      <c r="D11607" s="7">
        <v>1.54</v>
      </c>
      <c r="E11607" t="s">
        <v>71</v>
      </c>
    </row>
    <row r="11608" spans="1:5" x14ac:dyDescent="0.25">
      <c r="A11608" t="str">
        <f>HYPERLINK("https://www.773grp.com/globalSearch/JLC1563MEL/page-1", "JLC1563MEL")</f>
        <v>JLC1563MEL</v>
      </c>
      <c r="B11608" s="3" t="str">
        <f>HYPERLINK("https://www.773grp.com/manufacturer/onsemi?pageNo=823", "Onsemi")</f>
        <v>Onsemi</v>
      </c>
      <c r="C11608" s="6">
        <v>48000</v>
      </c>
      <c r="D11608" s="7">
        <v>1.54</v>
      </c>
    </row>
    <row r="11609" spans="1:5" x14ac:dyDescent="0.25">
      <c r="A11609" t="str">
        <f>HYPERLINK("https://www.773grp.com/globalSearch/JLC1563P/page-1", "JLC1563P")</f>
        <v>JLC1563P</v>
      </c>
      <c r="B11609" s="3" t="str">
        <f>HYPERLINK("https://www.773grp.com/manufacturer/onsemi?pageNo=824", "Onsemi")</f>
        <v>Onsemi</v>
      </c>
      <c r="C11609" s="6">
        <v>4600</v>
      </c>
      <c r="D11609" s="7">
        <v>1.54</v>
      </c>
      <c r="E11609" t="s">
        <v>17</v>
      </c>
    </row>
    <row r="11610" spans="1:5" x14ac:dyDescent="0.25">
      <c r="A11610" t="str">
        <f>HYPERLINK("https://www.773grp.com/globalSearch/LM201ADG/page-1", "LM201ADG")</f>
        <v>LM201ADG</v>
      </c>
      <c r="B11610" s="3" t="str">
        <f>HYPERLINK("https://www.773grp.com/manufacturer/onsemi?pageNo=825", "Onsemi")</f>
        <v>Onsemi</v>
      </c>
      <c r="C11610" s="6">
        <v>3086</v>
      </c>
      <c r="D11610" s="7">
        <v>1.54</v>
      </c>
      <c r="E11610" t="s">
        <v>10</v>
      </c>
    </row>
    <row r="11611" spans="1:5" x14ac:dyDescent="0.25">
      <c r="A11611" t="str">
        <f>HYPERLINK("https://www.773grp.com/globalSearch/LM201ADR2G/page-1", "LM201ADR2G")</f>
        <v>LM201ADR2G</v>
      </c>
      <c r="B11611" s="3" t="str">
        <f>HYPERLINK("https://www.773grp.com/manufacturer/onsemi?pageNo=826", "Onsemi")</f>
        <v>Onsemi</v>
      </c>
      <c r="C11611" s="6">
        <v>210050</v>
      </c>
      <c r="D11611" s="7">
        <v>1.54</v>
      </c>
      <c r="E11611" t="s">
        <v>10</v>
      </c>
    </row>
    <row r="11612" spans="1:5" x14ac:dyDescent="0.25">
      <c r="A11612" t="str">
        <f>HYPERLINK("https://www.773grp.com/globalSearch/LM2931D2T-5.0R4/page-1", "LM2931D2T-5.0R4")</f>
        <v>LM2931D2T-5.0R4</v>
      </c>
      <c r="B11612" s="3" t="str">
        <f>HYPERLINK("https://www.773grp.com/manufacturer/onsemi?pageNo=827", "Onsemi")</f>
        <v>Onsemi</v>
      </c>
      <c r="C11612" s="6">
        <v>3200</v>
      </c>
      <c r="D11612" s="7">
        <v>1.54</v>
      </c>
      <c r="E11612" t="s">
        <v>15</v>
      </c>
    </row>
    <row r="11613" spans="1:5" x14ac:dyDescent="0.25">
      <c r="A11613" t="str">
        <f>HYPERLINK("https://www.773grp.com/globalSearch/LM317LBDG/page-1", "LM317LBDG")</f>
        <v>LM317LBDG</v>
      </c>
      <c r="B11613" s="3" t="str">
        <f>HYPERLINK("https://www.773grp.com/manufacturer/onsemi?pageNo=828", "Onsemi")</f>
        <v>Onsemi</v>
      </c>
      <c r="C11613" s="6">
        <v>34527</v>
      </c>
      <c r="D11613" s="7">
        <v>1.54</v>
      </c>
    </row>
    <row r="11614" spans="1:5" x14ac:dyDescent="0.25">
      <c r="A11614" t="str">
        <f>HYPERLINK("https://www.773grp.com/globalSearch/LM317LBDR2G/page-1", "LM317LBDR2G")</f>
        <v>LM317LBDR2G</v>
      </c>
      <c r="B11614" s="3" t="str">
        <f>HYPERLINK("https://www.773grp.com/manufacturer/onsemi?pageNo=829", "Onsemi")</f>
        <v>Onsemi</v>
      </c>
      <c r="C11614" s="6">
        <v>60070</v>
      </c>
      <c r="D11614" s="7">
        <v>1.54</v>
      </c>
      <c r="E11614" t="s">
        <v>18</v>
      </c>
    </row>
    <row r="11615" spans="1:5" x14ac:dyDescent="0.25">
      <c r="A11615" t="str">
        <f>HYPERLINK("https://www.773grp.com/globalSearch/LM317MTG/page-1", "LM317MTG")</f>
        <v>LM317MTG</v>
      </c>
      <c r="B11615" s="3" t="str">
        <f>HYPERLINK("https://www.773grp.com/manufacturer/onsemi?pageNo=830", "Onsemi")</f>
        <v>Onsemi</v>
      </c>
      <c r="C11615" s="6">
        <v>3460</v>
      </c>
      <c r="D11615" s="7">
        <v>1.54</v>
      </c>
      <c r="E11615" t="s">
        <v>18</v>
      </c>
    </row>
    <row r="11616" spans="1:5" x14ac:dyDescent="0.25">
      <c r="A11616" t="str">
        <f>HYPERLINK("https://www.773grp.com/globalSearch/MC1413PG/page-1", "MC1413PG")</f>
        <v>MC1413PG</v>
      </c>
      <c r="B11616" s="3" t="str">
        <f>HYPERLINK("https://www.773grp.com/manufacturer/onsemi?pageNo=831", "Onsemi")</f>
        <v>Onsemi</v>
      </c>
      <c r="C11616" s="6">
        <v>32899</v>
      </c>
      <c r="D11616" s="7">
        <v>1.54</v>
      </c>
      <c r="E11616" t="s">
        <v>47</v>
      </c>
    </row>
    <row r="11617" spans="1:5" x14ac:dyDescent="0.25">
      <c r="A11617" t="str">
        <f>HYPERLINK("https://www.773grp.com/globalSearch/MC14518BCPG/page-1", "MC14518BCPG")</f>
        <v>MC14518BCPG</v>
      </c>
      <c r="B11617" s="3" t="str">
        <f>HYPERLINK("https://www.773grp.com/manufacturer/onsemi?pageNo=832", "Onsemi")</f>
        <v>Onsemi</v>
      </c>
      <c r="C11617" s="6">
        <v>874</v>
      </c>
      <c r="D11617" s="7">
        <v>1.54</v>
      </c>
      <c r="E11617" t="s">
        <v>22</v>
      </c>
    </row>
    <row r="11618" spans="1:5" x14ac:dyDescent="0.25">
      <c r="A11618" t="str">
        <f>HYPERLINK("https://www.773grp.com/globalSearch/MC14520BCPG/page-1", "MC14520BCPG")</f>
        <v>MC14520BCPG</v>
      </c>
      <c r="B11618" s="3" t="str">
        <f>HYPERLINK("https://www.773grp.com/manufacturer/onsemi?pageNo=833", "Onsemi")</f>
        <v>Onsemi</v>
      </c>
      <c r="C11618" s="6">
        <v>7220</v>
      </c>
      <c r="D11618" s="7">
        <v>1.54</v>
      </c>
      <c r="E11618" t="s">
        <v>22</v>
      </c>
    </row>
    <row r="11619" spans="1:5" x14ac:dyDescent="0.25">
      <c r="A11619" t="str">
        <f>HYPERLINK("https://www.773grp.com/globalSearch/MC14528BDG/page-1", "MC14528BDG")</f>
        <v>MC14528BDG</v>
      </c>
      <c r="B11619" s="3" t="str">
        <f>HYPERLINK("https://www.773grp.com/manufacturer/onsemi?pageNo=834", "Onsemi")</f>
        <v>Onsemi</v>
      </c>
      <c r="C11619" s="6">
        <v>47</v>
      </c>
      <c r="D11619" s="7">
        <v>1.54</v>
      </c>
      <c r="E11619" t="s">
        <v>44</v>
      </c>
    </row>
    <row r="11620" spans="1:5" x14ac:dyDescent="0.25">
      <c r="A11620" t="str">
        <f>HYPERLINK("https://www.773grp.com/globalSearch/MC14528BDR2G/page-1", "MC14528BDR2G")</f>
        <v>MC14528BDR2G</v>
      </c>
      <c r="B11620" s="3" t="str">
        <f>HYPERLINK("https://www.773grp.com/manufacturer/onsemi?pageNo=835", "Onsemi")</f>
        <v>Onsemi</v>
      </c>
      <c r="C11620" s="6">
        <v>27500</v>
      </c>
      <c r="D11620" s="7">
        <v>1.54</v>
      </c>
      <c r="E11620" t="s">
        <v>44</v>
      </c>
    </row>
    <row r="11621" spans="1:5" x14ac:dyDescent="0.25">
      <c r="A11621" t="str">
        <f>HYPERLINK("https://www.773grp.com/globalSearch/MC14538BDG/page-1", "MC14538BDG")</f>
        <v>MC14538BDG</v>
      </c>
      <c r="B11621" s="3" t="str">
        <f>HYPERLINK("https://www.773grp.com/manufacturer/onsemi?pageNo=836", "Onsemi")</f>
        <v>Onsemi</v>
      </c>
      <c r="C11621" s="6">
        <v>2352</v>
      </c>
      <c r="D11621" s="7">
        <v>1.54</v>
      </c>
      <c r="E11621" t="s">
        <v>44</v>
      </c>
    </row>
    <row r="11622" spans="1:5" x14ac:dyDescent="0.25">
      <c r="A11622" t="str">
        <f>HYPERLINK("https://www.773grp.com/globalSearch/MC14538BDR2G/page-1", "MC14538BDR2G")</f>
        <v>MC14538BDR2G</v>
      </c>
      <c r="B11622" s="3" t="str">
        <f>HYPERLINK("https://www.773grp.com/manufacturer/onsemi?pageNo=837", "Onsemi")</f>
        <v>Onsemi</v>
      </c>
      <c r="C11622" s="6">
        <v>58815</v>
      </c>
      <c r="D11622" s="7">
        <v>1.54</v>
      </c>
      <c r="E11622" t="s">
        <v>44</v>
      </c>
    </row>
    <row r="11623" spans="1:5" x14ac:dyDescent="0.25">
      <c r="A11623" t="str">
        <f>HYPERLINK("https://www.773grp.com/globalSearch/MC33072ADG/page-1", "MC33072ADG")</f>
        <v>MC33072ADG</v>
      </c>
      <c r="B11623" s="3" t="str">
        <f>HYPERLINK("https://www.773grp.com/manufacturer/onsemi?pageNo=838", "Onsemi")</f>
        <v>Onsemi</v>
      </c>
      <c r="C11623" s="6">
        <v>11052</v>
      </c>
      <c r="D11623" s="7">
        <v>1.54</v>
      </c>
      <c r="E11623" t="s">
        <v>10</v>
      </c>
    </row>
    <row r="11624" spans="1:5" x14ac:dyDescent="0.25">
      <c r="A11624" t="str">
        <f>HYPERLINK("https://www.773grp.com/globalSearch/MC33072ADR2G/page-1", "MC33072ADR2G")</f>
        <v>MC33072ADR2G</v>
      </c>
      <c r="B11624" s="3" t="str">
        <f>HYPERLINK("https://www.773grp.com/manufacturer/onsemi?pageNo=839", "Onsemi")</f>
        <v>Onsemi</v>
      </c>
      <c r="C11624" s="6">
        <v>16225</v>
      </c>
      <c r="D11624" s="7">
        <v>1.54</v>
      </c>
      <c r="E11624" t="s">
        <v>10</v>
      </c>
    </row>
    <row r="11625" spans="1:5" x14ac:dyDescent="0.25">
      <c r="A11625" t="str">
        <f>HYPERLINK("https://www.773grp.com/globalSearch/MC33172DR2G/page-1", "MC33172DR2G")</f>
        <v>MC33172DR2G</v>
      </c>
      <c r="B11625" s="3" t="str">
        <f>HYPERLINK("https://www.773grp.com/manufacturer/onsemi?pageNo=840", "Onsemi")</f>
        <v>Onsemi</v>
      </c>
      <c r="C11625" s="6">
        <v>203652</v>
      </c>
      <c r="D11625" s="7">
        <v>1.54</v>
      </c>
      <c r="E11625" t="s">
        <v>10</v>
      </c>
    </row>
    <row r="11626" spans="1:5" x14ac:dyDescent="0.25">
      <c r="A11626" t="str">
        <f>HYPERLINK("https://www.773grp.com/globalSearch/MC33364D1/page-1", "MC33364D1")</f>
        <v>MC33364D1</v>
      </c>
      <c r="B11626" s="3" t="str">
        <f>HYPERLINK("https://www.773grp.com/manufacturer/onsemi?pageNo=841", "Onsemi")</f>
        <v>Onsemi</v>
      </c>
      <c r="C11626" s="6">
        <v>2915</v>
      </c>
      <c r="D11626" s="7">
        <v>1.54</v>
      </c>
      <c r="E11626" t="s">
        <v>5</v>
      </c>
    </row>
    <row r="11627" spans="1:5" x14ac:dyDescent="0.25">
      <c r="A11627" t="str">
        <f>HYPERLINK("https://www.773grp.com/globalSearch/MC33364D2/page-1", "MC33364D2")</f>
        <v>MC33364D2</v>
      </c>
      <c r="B11627" s="3" t="str">
        <f>HYPERLINK("https://www.773grp.com/manufacturer/onsemi?pageNo=842", "Onsemi")</f>
        <v>Onsemi</v>
      </c>
      <c r="C11627" s="6">
        <v>3596</v>
      </c>
      <c r="D11627" s="7">
        <v>1.54</v>
      </c>
      <c r="E11627" t="s">
        <v>5</v>
      </c>
    </row>
    <row r="11628" spans="1:5" x14ac:dyDescent="0.25">
      <c r="A11628" t="str">
        <f>HYPERLINK("https://www.773grp.com/globalSearch/MC33364D2R2/page-1", "MC33364D2R2")</f>
        <v>MC33364D2R2</v>
      </c>
      <c r="B11628" s="3" t="str">
        <f>HYPERLINK("https://www.773grp.com/manufacturer/onsemi?pageNo=843", "Onsemi")</f>
        <v>Onsemi</v>
      </c>
      <c r="C11628" s="6">
        <v>2500</v>
      </c>
      <c r="D11628" s="7">
        <v>1.54</v>
      </c>
      <c r="E11628" t="s">
        <v>5</v>
      </c>
    </row>
    <row r="11629" spans="1:5" x14ac:dyDescent="0.25">
      <c r="A11629" t="str">
        <f>HYPERLINK("https://www.773grp.com/globalSearch/MC33364DR2/page-1", "MC33364DR2")</f>
        <v>MC33364DR2</v>
      </c>
      <c r="B11629" s="3" t="str">
        <f>HYPERLINK("https://www.773grp.com/manufacturer/onsemi?pageNo=844", "Onsemi")</f>
        <v>Onsemi</v>
      </c>
      <c r="C11629" s="6">
        <v>2000</v>
      </c>
      <c r="D11629" s="7">
        <v>1.54</v>
      </c>
      <c r="E11629" t="s">
        <v>5</v>
      </c>
    </row>
    <row r="11630" spans="1:5" x14ac:dyDescent="0.25">
      <c r="A11630" t="str">
        <f>HYPERLINK("https://www.773grp.com/globalSearch/MC33375D-3.0G/page-1", "MC33375D-3.0G")</f>
        <v>MC33375D-3.0G</v>
      </c>
      <c r="B11630" s="3" t="str">
        <f>HYPERLINK("https://www.773grp.com/manufacturer/onsemi?pageNo=845", "Onsemi")</f>
        <v>Onsemi</v>
      </c>
      <c r="C11630" s="6">
        <v>1813</v>
      </c>
      <c r="D11630" s="7">
        <v>1.54</v>
      </c>
      <c r="E11630" t="s">
        <v>15</v>
      </c>
    </row>
    <row r="11631" spans="1:5" x14ac:dyDescent="0.25">
      <c r="A11631" t="str">
        <f>HYPERLINK("https://www.773grp.com/globalSearch/MC34071DG/page-1", "MC34071DG")</f>
        <v>MC34071DG</v>
      </c>
      <c r="B11631" s="3" t="str">
        <f>HYPERLINK("https://www.773grp.com/manufacturer/onsemi?pageNo=846", "Onsemi")</f>
        <v>Onsemi</v>
      </c>
      <c r="C11631" s="6">
        <v>3831</v>
      </c>
      <c r="D11631" s="7">
        <v>1.54</v>
      </c>
      <c r="E11631" t="s">
        <v>10</v>
      </c>
    </row>
    <row r="11632" spans="1:5" x14ac:dyDescent="0.25">
      <c r="A11632" t="str">
        <f>HYPERLINK("https://www.773grp.com/globalSearch/MC34071DR2G/page-1", "MC34071DR2G")</f>
        <v>MC34071DR2G</v>
      </c>
      <c r="B11632" s="3" t="str">
        <f>HYPERLINK("https://www.773grp.com/manufacturer/onsemi?pageNo=847", "Onsemi")</f>
        <v>Onsemi</v>
      </c>
      <c r="C11632" s="6">
        <v>4185</v>
      </c>
      <c r="D11632" s="7">
        <v>1.54</v>
      </c>
      <c r="E11632" t="s">
        <v>10</v>
      </c>
    </row>
    <row r="11633" spans="1:5" x14ac:dyDescent="0.25">
      <c r="A11633" t="str">
        <f>HYPERLINK("https://www.773grp.com/globalSearch/MC34071PG/page-1", "MC34071PG")</f>
        <v>MC34071PG</v>
      </c>
      <c r="B11633" s="3" t="str">
        <f>HYPERLINK("https://www.773grp.com/manufacturer/onsemi?pageNo=848", "Onsemi")</f>
        <v>Onsemi</v>
      </c>
      <c r="C11633" s="6">
        <v>50</v>
      </c>
      <c r="D11633" s="7">
        <v>1.54</v>
      </c>
      <c r="E11633" t="s">
        <v>10</v>
      </c>
    </row>
    <row r="11634" spans="1:5" x14ac:dyDescent="0.25">
      <c r="A11634" t="str">
        <f>HYPERLINK("https://www.773grp.com/globalSearch/MC34072DG/page-1", "MC34072DG")</f>
        <v>MC34072DG</v>
      </c>
      <c r="B11634" s="3" t="str">
        <f>HYPERLINK("https://www.773grp.com/manufacturer/onsemi?pageNo=849", "Onsemi")</f>
        <v>Onsemi</v>
      </c>
      <c r="C11634" s="6">
        <v>5268</v>
      </c>
      <c r="D11634" s="7">
        <v>1.54</v>
      </c>
      <c r="E11634" t="s">
        <v>10</v>
      </c>
    </row>
    <row r="11635" spans="1:5" x14ac:dyDescent="0.25">
      <c r="A11635" t="str">
        <f>HYPERLINK("https://www.773grp.com/globalSearch/MC74AC541MELG/page-1", "MC74AC541MELG")</f>
        <v>MC74AC541MELG</v>
      </c>
      <c r="B11635" s="3" t="str">
        <f>HYPERLINK("https://www.773grp.com/manufacturer/onsemi?pageNo=850", "Onsemi")</f>
        <v>Onsemi</v>
      </c>
      <c r="C11635" s="6">
        <v>10000</v>
      </c>
      <c r="D11635" s="7">
        <v>1.54</v>
      </c>
      <c r="E11635" t="s">
        <v>11</v>
      </c>
    </row>
    <row r="11636" spans="1:5" x14ac:dyDescent="0.25">
      <c r="A11636" t="str">
        <f>HYPERLINK("https://www.773grp.com/globalSearch/MC74AC541MG/page-1", "MC74AC541MG")</f>
        <v>MC74AC541MG</v>
      </c>
      <c r="B11636" s="3" t="str">
        <f>HYPERLINK("https://www.773grp.com/manufacturer/onsemi?pageNo=851", "Onsemi")</f>
        <v>Onsemi</v>
      </c>
      <c r="C11636" s="6">
        <v>7000</v>
      </c>
      <c r="D11636" s="7">
        <v>1.54</v>
      </c>
    </row>
    <row r="11637" spans="1:5" x14ac:dyDescent="0.25">
      <c r="A11637" t="str">
        <f>HYPERLINK("https://www.773grp.com/globalSearch/MC74ACT541MELG/page-1", "MC74ACT541MELG")</f>
        <v>MC74ACT541MELG</v>
      </c>
      <c r="B11637" s="3" t="str">
        <f>HYPERLINK("https://www.773grp.com/manufacturer/onsemi?pageNo=852", "Onsemi")</f>
        <v>Onsemi</v>
      </c>
      <c r="C11637" s="6">
        <v>5101</v>
      </c>
      <c r="D11637" s="7">
        <v>1.54</v>
      </c>
      <c r="E11637" t="s">
        <v>11</v>
      </c>
    </row>
    <row r="11638" spans="1:5" x14ac:dyDescent="0.25">
      <c r="A11638" t="str">
        <f>HYPERLINK("https://www.773grp.com/globalSearch/MC74ACT541MG/page-1", "MC74ACT541MG")</f>
        <v>MC74ACT541MG</v>
      </c>
      <c r="B11638" s="3" t="str">
        <f>HYPERLINK("https://www.773grp.com/manufacturer/onsemi?pageNo=853", "Onsemi")</f>
        <v>Onsemi</v>
      </c>
      <c r="C11638" s="6">
        <v>2560</v>
      </c>
      <c r="D11638" s="7">
        <v>1.54</v>
      </c>
      <c r="E11638" t="s">
        <v>11</v>
      </c>
    </row>
    <row r="11639" spans="1:5" x14ac:dyDescent="0.25">
      <c r="A11639" t="str">
        <f>HYPERLINK("https://www.773grp.com/globalSearch/MC74HC240AFELG/page-1", "MC74HC240AFELG")</f>
        <v>MC74HC240AFELG</v>
      </c>
      <c r="B11639" s="3" t="str">
        <f>HYPERLINK("https://www.773grp.com/manufacturer/onsemi?pageNo=854", "Onsemi")</f>
        <v>Onsemi</v>
      </c>
      <c r="C11639" s="6">
        <v>65214</v>
      </c>
      <c r="D11639" s="7">
        <v>1.54</v>
      </c>
      <c r="E11639" t="s">
        <v>11</v>
      </c>
    </row>
    <row r="11640" spans="1:5" x14ac:dyDescent="0.25">
      <c r="A11640" t="str">
        <f>HYPERLINK("https://www.773grp.com/globalSearch/MC74HC240AFG/page-1", "MC74HC240AFG")</f>
        <v>MC74HC240AFG</v>
      </c>
      <c r="B11640" s="3" t="str">
        <f>HYPERLINK("https://www.773grp.com/manufacturer/onsemi?pageNo=855", "Onsemi")</f>
        <v>Onsemi</v>
      </c>
      <c r="C11640" s="6">
        <v>6902</v>
      </c>
      <c r="D11640" s="7">
        <v>1.54</v>
      </c>
      <c r="E11640" t="s">
        <v>11</v>
      </c>
    </row>
    <row r="11641" spans="1:5" x14ac:dyDescent="0.25">
      <c r="A11641" t="str">
        <f>HYPERLINK("https://www.773grp.com/globalSearch/MC74HC244AFELG/page-1", "MC74HC244AFELG")</f>
        <v>MC74HC244AFELG</v>
      </c>
      <c r="B11641" s="3" t="str">
        <f>HYPERLINK("https://www.773grp.com/manufacturer/onsemi?pageNo=856", "Onsemi")</f>
        <v>Onsemi</v>
      </c>
      <c r="C11641" s="6">
        <v>2909</v>
      </c>
      <c r="D11641" s="7">
        <v>1.54</v>
      </c>
      <c r="E11641" t="s">
        <v>11</v>
      </c>
    </row>
    <row r="11642" spans="1:5" x14ac:dyDescent="0.25">
      <c r="A11642" t="str">
        <f>HYPERLINK("https://www.773grp.com/globalSearch/MC74HC244AFG/page-1", "MC74HC244AFG")</f>
        <v>MC74HC244AFG</v>
      </c>
      <c r="B11642" s="3" t="str">
        <f>HYPERLINK("https://www.773grp.com/manufacturer/onsemi?pageNo=857", "Onsemi")</f>
        <v>Onsemi</v>
      </c>
      <c r="C11642" s="6">
        <v>474</v>
      </c>
      <c r="D11642" s="7">
        <v>1.54</v>
      </c>
      <c r="E11642" t="s">
        <v>11</v>
      </c>
    </row>
    <row r="11643" spans="1:5" x14ac:dyDescent="0.25">
      <c r="A11643" t="str">
        <f>HYPERLINK("https://www.773grp.com/globalSearch/MC74HC245AFG/page-1", "MC74HC245AFG")</f>
        <v>MC74HC245AFG</v>
      </c>
      <c r="B11643" s="3" t="str">
        <f>HYPERLINK("https://www.773grp.com/manufacturer/onsemi?pageNo=858", "Onsemi")</f>
        <v>Onsemi</v>
      </c>
      <c r="C11643" s="6">
        <v>5225</v>
      </c>
      <c r="D11643" s="7">
        <v>1.54</v>
      </c>
      <c r="E11643" t="s">
        <v>11</v>
      </c>
    </row>
    <row r="11644" spans="1:5" x14ac:dyDescent="0.25">
      <c r="A11644" t="str">
        <f>HYPERLINK("https://www.773grp.com/globalSearch/MC74HC273AFG/page-1", "MC74HC273AFG")</f>
        <v>MC74HC273AFG</v>
      </c>
      <c r="B11644" s="3" t="str">
        <f>HYPERLINK("https://www.773grp.com/manufacturer/onsemi?pageNo=859", "Onsemi")</f>
        <v>Onsemi</v>
      </c>
      <c r="C11644" s="6">
        <v>6902</v>
      </c>
      <c r="D11644" s="7">
        <v>1.54</v>
      </c>
      <c r="E11644" t="s">
        <v>31</v>
      </c>
    </row>
    <row r="11645" spans="1:5" x14ac:dyDescent="0.25">
      <c r="A11645" t="str">
        <f>HYPERLINK("https://www.773grp.com/globalSearch/MC74HC299DW/page-1", "MC74HC299DW")</f>
        <v>MC74HC299DW</v>
      </c>
      <c r="B11645" s="3" t="str">
        <f>HYPERLINK("https://www.773grp.com/manufacturer/onsemi?pageNo=860", "Onsemi")</f>
        <v>Onsemi</v>
      </c>
      <c r="C11645" s="6">
        <v>38</v>
      </c>
      <c r="D11645" s="7">
        <v>1.54</v>
      </c>
      <c r="E11645" t="s">
        <v>28</v>
      </c>
    </row>
    <row r="11646" spans="1:5" x14ac:dyDescent="0.25">
      <c r="A11646" t="str">
        <f>HYPERLINK("https://www.773grp.com/globalSearch/MC74HC299F/page-1", "MC74HC299F")</f>
        <v>MC74HC299F</v>
      </c>
      <c r="B11646" s="3" t="str">
        <f>HYPERLINK("https://www.773grp.com/manufacturer/onsemi?pageNo=861", "Onsemi")</f>
        <v>Onsemi</v>
      </c>
      <c r="C11646" s="6">
        <v>4496</v>
      </c>
      <c r="D11646" s="7">
        <v>1.54</v>
      </c>
    </row>
    <row r="11647" spans="1:5" x14ac:dyDescent="0.25">
      <c r="A11647" t="str">
        <f>HYPERLINK("https://www.773grp.com/globalSearch/MC74HC299N/page-1", "MC74HC299N")</f>
        <v>MC74HC299N</v>
      </c>
      <c r="B11647" s="3" t="str">
        <f>HYPERLINK("https://www.773grp.com/manufacturer/onsemi?pageNo=862", "Onsemi")</f>
        <v>Onsemi</v>
      </c>
      <c r="C11647" s="6">
        <v>87</v>
      </c>
      <c r="D11647" s="7">
        <v>1.54</v>
      </c>
      <c r="E11647" t="s">
        <v>28</v>
      </c>
    </row>
    <row r="11648" spans="1:5" x14ac:dyDescent="0.25">
      <c r="A11648" t="str">
        <f>HYPERLINK("https://www.773grp.com/globalSearch/MC74HC373AFG/page-1", "MC74HC373AFG")</f>
        <v>MC74HC373AFG</v>
      </c>
      <c r="B11648" s="3" t="str">
        <f>HYPERLINK("https://www.773grp.com/manufacturer/onsemi?pageNo=863", "Onsemi")</f>
        <v>Onsemi</v>
      </c>
      <c r="C11648" s="6">
        <v>1180</v>
      </c>
      <c r="D11648" s="7">
        <v>1.54</v>
      </c>
      <c r="E11648" t="s">
        <v>11</v>
      </c>
    </row>
    <row r="11649" spans="1:5" x14ac:dyDescent="0.25">
      <c r="A11649" t="str">
        <f>HYPERLINK("https://www.773grp.com/globalSearch/MC74HC374AFG/page-1", "MC74HC374AFG")</f>
        <v>MC74HC374AFG</v>
      </c>
      <c r="B11649" s="3" t="str">
        <f>HYPERLINK("https://www.773grp.com/manufacturer/onsemi?pageNo=864", "Onsemi")</f>
        <v>Onsemi</v>
      </c>
      <c r="C11649" s="6">
        <v>3620</v>
      </c>
      <c r="D11649" s="7">
        <v>1.54</v>
      </c>
      <c r="E11649" t="s">
        <v>11</v>
      </c>
    </row>
    <row r="11650" spans="1:5" x14ac:dyDescent="0.25">
      <c r="A11650" t="str">
        <f>HYPERLINK("https://www.773grp.com/globalSearch/MC74HC564ADW/page-1", "MC74HC564ADW")</f>
        <v>MC74HC564ADW</v>
      </c>
      <c r="B11650" s="3" t="str">
        <f>HYPERLINK("https://www.773grp.com/manufacturer/onsemi?pageNo=865", "Onsemi")</f>
        <v>Onsemi</v>
      </c>
      <c r="C11650" s="6">
        <v>1845</v>
      </c>
      <c r="D11650" s="7">
        <v>1.54</v>
      </c>
      <c r="E11650" t="s">
        <v>11</v>
      </c>
    </row>
    <row r="11651" spans="1:5" x14ac:dyDescent="0.25">
      <c r="A11651" t="str">
        <f>HYPERLINK("https://www.773grp.com/globalSearch/MC74HC564AF/page-1", "MC74HC564AF")</f>
        <v>MC74HC564AF</v>
      </c>
      <c r="B11651" s="3" t="str">
        <f>HYPERLINK("https://www.773grp.com/manufacturer/onsemi?pageNo=866", "Onsemi")</f>
        <v>Onsemi</v>
      </c>
      <c r="C11651" s="6">
        <v>2123</v>
      </c>
      <c r="D11651" s="7">
        <v>1.54</v>
      </c>
    </row>
    <row r="11652" spans="1:5" x14ac:dyDescent="0.25">
      <c r="A11652" t="str">
        <f>HYPERLINK("https://www.773grp.com/globalSearch/MC74HC564AFL2/page-1", "MC74HC564AFL2")</f>
        <v>MC74HC564AFL2</v>
      </c>
      <c r="B11652" s="3" t="str">
        <f>HYPERLINK("https://www.773grp.com/manufacturer/onsemi?pageNo=867", "Onsemi")</f>
        <v>Onsemi</v>
      </c>
      <c r="C11652" s="6">
        <v>2000</v>
      </c>
      <c r="D11652" s="7">
        <v>1.54</v>
      </c>
    </row>
    <row r="11653" spans="1:5" x14ac:dyDescent="0.25">
      <c r="A11653" t="str">
        <f>HYPERLINK("https://www.773grp.com/globalSearch/MC74HC564AN/page-1", "MC74HC564AN")</f>
        <v>MC74HC564AN</v>
      </c>
      <c r="B11653" s="3" t="str">
        <f>HYPERLINK("https://www.773grp.com/manufacturer/onsemi?pageNo=868", "Onsemi")</f>
        <v>Onsemi</v>
      </c>
      <c r="C11653" s="6">
        <v>144</v>
      </c>
      <c r="D11653" s="7">
        <v>1.54</v>
      </c>
      <c r="E11653" t="s">
        <v>11</v>
      </c>
    </row>
    <row r="11654" spans="1:5" x14ac:dyDescent="0.25">
      <c r="A11654" t="str">
        <f>HYPERLINK("https://www.773grp.com/globalSearch/MC74HC573AFELG/page-1", "MC74HC573AFELG")</f>
        <v>MC74HC573AFELG</v>
      </c>
      <c r="B11654" s="3" t="str">
        <f>HYPERLINK("https://www.773grp.com/manufacturer/onsemi?pageNo=869", "Onsemi")</f>
        <v>Onsemi</v>
      </c>
      <c r="C11654" s="6">
        <v>109515</v>
      </c>
      <c r="D11654" s="7">
        <v>1.54</v>
      </c>
      <c r="E11654" t="s">
        <v>11</v>
      </c>
    </row>
    <row r="11655" spans="1:5" x14ac:dyDescent="0.25">
      <c r="A11655" t="str">
        <f>HYPERLINK("https://www.773grp.com/globalSearch/MC74HC574AFELG/page-1", "MC74HC574AFELG")</f>
        <v>MC74HC574AFELG</v>
      </c>
      <c r="B11655" s="3" t="str">
        <f>HYPERLINK("https://www.773grp.com/manufacturer/onsemi?pageNo=870", "Onsemi")</f>
        <v>Onsemi</v>
      </c>
      <c r="C11655" s="6">
        <v>3754</v>
      </c>
      <c r="D11655" s="7">
        <v>1.54</v>
      </c>
      <c r="E11655" t="s">
        <v>11</v>
      </c>
    </row>
    <row r="11656" spans="1:5" x14ac:dyDescent="0.25">
      <c r="A11656" t="str">
        <f>HYPERLINK("https://www.773grp.com/globalSearch/MC74HC574AFG/page-1", "MC74HC574AFG")</f>
        <v>MC74HC574AFG</v>
      </c>
      <c r="B11656" s="3" t="str">
        <f>HYPERLINK("https://www.773grp.com/manufacturer/onsemi?pageNo=871", "Onsemi")</f>
        <v>Onsemi</v>
      </c>
      <c r="C11656" s="6">
        <v>7830</v>
      </c>
      <c r="D11656" s="7">
        <v>1.54</v>
      </c>
      <c r="E11656" t="s">
        <v>11</v>
      </c>
    </row>
    <row r="11657" spans="1:5" x14ac:dyDescent="0.25">
      <c r="A11657" t="str">
        <f>HYPERLINK("https://www.773grp.com/globalSearch/MC74HCT244AFELG/page-1", "MC74HCT244AFELG")</f>
        <v>MC74HCT244AFELG</v>
      </c>
      <c r="B11657" s="3" t="str">
        <f>HYPERLINK("https://www.773grp.com/manufacturer/onsemi?pageNo=872", "Onsemi")</f>
        <v>Onsemi</v>
      </c>
      <c r="C11657" s="6">
        <v>2000</v>
      </c>
      <c r="D11657" s="7">
        <v>1.54</v>
      </c>
      <c r="E11657" t="s">
        <v>11</v>
      </c>
    </row>
    <row r="11658" spans="1:5" x14ac:dyDescent="0.25">
      <c r="A11658" t="str">
        <f>HYPERLINK("https://www.773grp.com/globalSearch/MC74HCT244AFG/page-1", "MC74HCT244AFG")</f>
        <v>MC74HCT244AFG</v>
      </c>
      <c r="B11658" s="3" t="str">
        <f>HYPERLINK("https://www.773grp.com/manufacturer/onsemi?pageNo=873", "Onsemi")</f>
        <v>Onsemi</v>
      </c>
      <c r="C11658" s="6">
        <v>7196</v>
      </c>
      <c r="D11658" s="7">
        <v>1.54</v>
      </c>
      <c r="E11658" t="s">
        <v>11</v>
      </c>
    </row>
    <row r="11659" spans="1:5" x14ac:dyDescent="0.25">
      <c r="A11659" t="str">
        <f>HYPERLINK("https://www.773grp.com/globalSearch/MC74HCT245AFELG/page-1", "MC74HCT245AFELG")</f>
        <v>MC74HCT245AFELG</v>
      </c>
      <c r="B11659" s="3" t="str">
        <f>HYPERLINK("https://www.773grp.com/manufacturer/onsemi?pageNo=874", "Onsemi")</f>
        <v>Onsemi</v>
      </c>
      <c r="C11659" s="6">
        <v>3623</v>
      </c>
      <c r="D11659" s="7">
        <v>1.54</v>
      </c>
    </row>
    <row r="11660" spans="1:5" x14ac:dyDescent="0.25">
      <c r="A11660" t="str">
        <f>HYPERLINK("https://www.773grp.com/globalSearch/MC74HCT374AFELG/page-1", "MC74HCT374AFELG")</f>
        <v>MC74HCT374AFELG</v>
      </c>
      <c r="B11660" s="3" t="str">
        <f>HYPERLINK("https://www.773grp.com/manufacturer/onsemi?pageNo=875", "Onsemi")</f>
        <v>Onsemi</v>
      </c>
      <c r="C11660" s="6">
        <v>1039</v>
      </c>
      <c r="D11660" s="7">
        <v>1.54</v>
      </c>
      <c r="E11660" t="s">
        <v>11</v>
      </c>
    </row>
    <row r="11661" spans="1:5" x14ac:dyDescent="0.25">
      <c r="A11661" t="str">
        <f>HYPERLINK("https://www.773grp.com/globalSearch/MC74HCT573AFELG/page-1", "MC74HCT573AFELG")</f>
        <v>MC74HCT573AFELG</v>
      </c>
      <c r="B11661" s="3" t="str">
        <f>HYPERLINK("https://www.773grp.com/manufacturer/onsemi?pageNo=876", "Onsemi")</f>
        <v>Onsemi</v>
      </c>
      <c r="C11661" s="6">
        <v>665</v>
      </c>
      <c r="D11661" s="7">
        <v>1.54</v>
      </c>
    </row>
    <row r="11662" spans="1:5" x14ac:dyDescent="0.25">
      <c r="A11662" t="str">
        <f>HYPERLINK("https://www.773grp.com/globalSearch/MC74LCX244MELG/page-1", "MC74LCX244MELG")</f>
        <v>MC74LCX244MELG</v>
      </c>
      <c r="B11662" s="3" t="str">
        <f>HYPERLINK("https://www.773grp.com/manufacturer/onsemi?pageNo=877", "Onsemi")</f>
        <v>Onsemi</v>
      </c>
      <c r="C11662" s="6">
        <v>37395</v>
      </c>
      <c r="D11662" s="7">
        <v>1.54</v>
      </c>
      <c r="E11662" t="s">
        <v>11</v>
      </c>
    </row>
    <row r="11663" spans="1:5" x14ac:dyDescent="0.25">
      <c r="A11663" t="str">
        <f>HYPERLINK("https://www.773grp.com/globalSearch/MC74LCX245MELG/page-1", "MC74LCX245MELG")</f>
        <v>MC74LCX245MELG</v>
      </c>
      <c r="B11663" s="3" t="str">
        <f>HYPERLINK("https://www.773grp.com/manufacturer/onsemi?pageNo=878", "Onsemi")</f>
        <v>Onsemi</v>
      </c>
      <c r="C11663" s="6">
        <v>20076</v>
      </c>
      <c r="D11663" s="7">
        <v>1.54</v>
      </c>
      <c r="E11663" t="s">
        <v>11</v>
      </c>
    </row>
    <row r="11664" spans="1:5" x14ac:dyDescent="0.25">
      <c r="A11664" t="str">
        <f>HYPERLINK("https://www.773grp.com/globalSearch/MC74LCX245MG/page-1", "MC74LCX245MG")</f>
        <v>MC74LCX245MG</v>
      </c>
      <c r="B11664" s="3" t="str">
        <f>HYPERLINK("https://www.773grp.com/manufacturer/onsemi?pageNo=879", "Onsemi")</f>
        <v>Onsemi</v>
      </c>
      <c r="C11664" s="6">
        <v>960</v>
      </c>
      <c r="D11664" s="7">
        <v>1.54</v>
      </c>
      <c r="E11664" t="s">
        <v>11</v>
      </c>
    </row>
    <row r="11665" spans="1:5" x14ac:dyDescent="0.25">
      <c r="A11665" t="str">
        <f>HYPERLINK("https://www.773grp.com/globalSearch/MC74LCX373MELG/page-1", "MC74LCX373MELG")</f>
        <v>MC74LCX373MELG</v>
      </c>
      <c r="B11665" s="3" t="str">
        <f>HYPERLINK("https://www.773grp.com/manufacturer/onsemi?pageNo=880", "Onsemi")</f>
        <v>Onsemi</v>
      </c>
      <c r="C11665" s="6">
        <v>11700</v>
      </c>
      <c r="D11665" s="7">
        <v>1.54</v>
      </c>
      <c r="E11665" t="s">
        <v>11</v>
      </c>
    </row>
    <row r="11666" spans="1:5" x14ac:dyDescent="0.25">
      <c r="A11666" t="str">
        <f>HYPERLINK("https://www.773grp.com/globalSearch/MC74LCX374MELG/page-1", "MC74LCX374MELG")</f>
        <v>MC74LCX374MELG</v>
      </c>
      <c r="B11666" s="3" t="str">
        <f>HYPERLINK("https://www.773grp.com/manufacturer/onsemi?pageNo=881", "Onsemi")</f>
        <v>Onsemi</v>
      </c>
      <c r="C11666" s="6">
        <v>25792</v>
      </c>
      <c r="D11666" s="7">
        <v>1.54</v>
      </c>
      <c r="E11666" t="s">
        <v>11</v>
      </c>
    </row>
    <row r="11667" spans="1:5" x14ac:dyDescent="0.25">
      <c r="A11667" t="str">
        <f>HYPERLINK("https://www.773grp.com/globalSearch/MC74LCX574MELG/page-1", "MC74LCX574MELG")</f>
        <v>MC74LCX574MELG</v>
      </c>
      <c r="B11667" s="3" t="str">
        <f>HYPERLINK("https://www.773grp.com/manufacturer/onsemi?pageNo=882", "Onsemi")</f>
        <v>Onsemi</v>
      </c>
      <c r="C11667" s="6">
        <v>25575</v>
      </c>
      <c r="D11667" s="7">
        <v>1.54</v>
      </c>
      <c r="E11667" t="s">
        <v>11</v>
      </c>
    </row>
    <row r="11668" spans="1:5" x14ac:dyDescent="0.25">
      <c r="A11668" t="str">
        <f>HYPERLINK("https://www.773grp.com/globalSearch/MG2040MUTAG/page-1", "MG2040MUTAG")</f>
        <v>MG2040MUTAG</v>
      </c>
      <c r="B11668" s="3" t="str">
        <f>HYPERLINK("https://www.773grp.com/manufacturer/onsemi?pageNo=883", "Onsemi")</f>
        <v>Onsemi</v>
      </c>
      <c r="C11668" s="6">
        <v>9000</v>
      </c>
      <c r="D11668" s="7">
        <v>1.54</v>
      </c>
    </row>
    <row r="11669" spans="1:5" x14ac:dyDescent="0.25">
      <c r="A11669" t="str">
        <f>HYPERLINK("https://www.773grp.com/globalSearch/MJE270G/page-1", "MJE270G")</f>
        <v>MJE270G</v>
      </c>
      <c r="B11669" s="3" t="str">
        <f>HYPERLINK("https://www.773grp.com/manufacturer/onsemi?pageNo=884", "Onsemi")</f>
        <v>Onsemi</v>
      </c>
      <c r="C11669" s="6">
        <v>10250</v>
      </c>
      <c r="D11669" s="7">
        <v>1.54</v>
      </c>
      <c r="E11669" t="s">
        <v>47</v>
      </c>
    </row>
    <row r="11670" spans="1:5" x14ac:dyDescent="0.25">
      <c r="A11670" t="str">
        <f>HYPERLINK("https://www.773grp.com/globalSearch/MMDF6N02HDR2/page-1", "MMDF6N02HDR2")</f>
        <v>MMDF6N02HDR2</v>
      </c>
      <c r="B11670" s="3" t="str">
        <f>HYPERLINK("https://www.773grp.com/manufacturer/onsemi?pageNo=885", "Onsemi")</f>
        <v>Onsemi</v>
      </c>
      <c r="C11670" s="6">
        <v>14945</v>
      </c>
      <c r="D11670" s="7">
        <v>1.54</v>
      </c>
      <c r="E11670" t="s">
        <v>85</v>
      </c>
    </row>
    <row r="11671" spans="1:5" x14ac:dyDescent="0.25">
      <c r="A11671" t="str">
        <f>HYPERLINK("https://www.773grp.com/globalSearch/MMSF10N03ZR2/page-1", "MMSF10N03ZR2")</f>
        <v>MMSF10N03ZR2</v>
      </c>
      <c r="B11671" s="3" t="str">
        <f>HYPERLINK("https://www.773grp.com/manufacturer/onsemi?pageNo=886", "Onsemi")</f>
        <v>Onsemi</v>
      </c>
      <c r="C11671" s="6">
        <v>5664</v>
      </c>
      <c r="D11671" s="7">
        <v>1.54</v>
      </c>
      <c r="E11671" t="s">
        <v>85</v>
      </c>
    </row>
    <row r="11672" spans="1:5" x14ac:dyDescent="0.25">
      <c r="A11672" t="str">
        <f>HYPERLINK("https://www.773grp.com/globalSearch/MTD20P06HDL/page-1", "MTD20P06HDL")</f>
        <v>MTD20P06HDL</v>
      </c>
      <c r="B11672" s="3" t="str">
        <f>HYPERLINK("https://www.773grp.com/manufacturer/onsemi?pageNo=887", "Onsemi")</f>
        <v>Onsemi</v>
      </c>
      <c r="C11672" s="6">
        <v>1</v>
      </c>
      <c r="D11672" s="7">
        <v>1.54</v>
      </c>
      <c r="E11672" t="s">
        <v>84</v>
      </c>
    </row>
    <row r="11673" spans="1:5" x14ac:dyDescent="0.25">
      <c r="A11673" t="str">
        <f>HYPERLINK("https://www.773grp.com/globalSearch/NCP1015AP065G/page-1", "NCP1015AP065G")</f>
        <v>NCP1015AP065G</v>
      </c>
      <c r="B11673" s="3" t="str">
        <f>HYPERLINK("https://www.773grp.com/manufacturer/onsemi?pageNo=888", "Onsemi")</f>
        <v>Onsemi</v>
      </c>
      <c r="C11673" s="6">
        <v>12009</v>
      </c>
      <c r="D11673" s="7">
        <v>1.54</v>
      </c>
      <c r="E11673" t="s">
        <v>5</v>
      </c>
    </row>
    <row r="11674" spans="1:5" x14ac:dyDescent="0.25">
      <c r="A11674" t="str">
        <f>HYPERLINK("https://www.773grp.com/globalSearch/NCP1015AP100G/page-1", "NCP1015AP100G")</f>
        <v>NCP1015AP100G</v>
      </c>
      <c r="B11674" s="3" t="str">
        <f>HYPERLINK("https://www.773grp.com/manufacturer/onsemi?pageNo=889", "Onsemi")</f>
        <v>Onsemi</v>
      </c>
      <c r="C11674" s="6">
        <v>188545</v>
      </c>
      <c r="D11674" s="7">
        <v>1.54</v>
      </c>
      <c r="E11674" t="s">
        <v>5</v>
      </c>
    </row>
    <row r="11675" spans="1:5" x14ac:dyDescent="0.25">
      <c r="A11675" t="str">
        <f>HYPERLINK("https://www.773grp.com/globalSearch/NCP1200AD60R2/page-1", "NCP1200AD60R2")</f>
        <v>NCP1200AD60R2</v>
      </c>
      <c r="B11675" s="3" t="str">
        <f>HYPERLINK("https://www.773grp.com/manufacturer/onsemi?pageNo=890", "Onsemi")</f>
        <v>Onsemi</v>
      </c>
      <c r="C11675" s="6">
        <v>78560</v>
      </c>
      <c r="D11675" s="7">
        <v>1.54</v>
      </c>
      <c r="E11675" t="s">
        <v>5</v>
      </c>
    </row>
    <row r="11676" spans="1:5" x14ac:dyDescent="0.25">
      <c r="A11676" t="str">
        <f>HYPERLINK("https://www.773grp.com/globalSearch/NCP1207AP/page-1", "NCP1207AP")</f>
        <v>NCP1207AP</v>
      </c>
      <c r="B11676" s="3" t="str">
        <f>HYPERLINK("https://www.773grp.com/manufacturer/onsemi?pageNo=891", "Onsemi")</f>
        <v>Onsemi</v>
      </c>
      <c r="C11676" s="6">
        <v>505</v>
      </c>
      <c r="D11676" s="7">
        <v>1.54</v>
      </c>
      <c r="E11676" t="s">
        <v>5</v>
      </c>
    </row>
    <row r="11677" spans="1:5" x14ac:dyDescent="0.25">
      <c r="A11677" t="str">
        <f>HYPERLINK("https://www.773grp.com/globalSearch/NCP1207P/page-1", "NCP1207P")</f>
        <v>NCP1207P</v>
      </c>
      <c r="B11677" s="3" t="str">
        <f>HYPERLINK("https://www.773grp.com/manufacturer/onsemi?pageNo=892", "Onsemi")</f>
        <v>Onsemi</v>
      </c>
      <c r="C11677" s="6">
        <v>67375</v>
      </c>
      <c r="D11677" s="7">
        <v>1.54</v>
      </c>
      <c r="E11677" t="s">
        <v>5</v>
      </c>
    </row>
    <row r="11678" spans="1:5" x14ac:dyDescent="0.25">
      <c r="A11678" t="str">
        <f>HYPERLINK("https://www.773grp.com/globalSearch/NCP1216AP100/page-1", "NCP1216AP100")</f>
        <v>NCP1216AP100</v>
      </c>
      <c r="B11678" s="3" t="str">
        <f>HYPERLINK("https://www.773grp.com/manufacturer/onsemi?pageNo=893", "Onsemi")</f>
        <v>Onsemi</v>
      </c>
      <c r="C11678" s="6">
        <v>3000</v>
      </c>
      <c r="D11678" s="7">
        <v>1.54</v>
      </c>
      <c r="E11678" t="s">
        <v>5</v>
      </c>
    </row>
    <row r="11679" spans="1:5" x14ac:dyDescent="0.25">
      <c r="A11679" t="str">
        <f>HYPERLINK("https://www.773grp.com/globalSearch/NCP1216AP133/page-1", "NCP1216AP133")</f>
        <v>NCP1216AP133</v>
      </c>
      <c r="B11679" s="3" t="str">
        <f>HYPERLINK("https://www.773grp.com/manufacturer/onsemi?pageNo=894", "Onsemi")</f>
        <v>Onsemi</v>
      </c>
      <c r="C11679" s="6">
        <v>3000</v>
      </c>
      <c r="D11679" s="7">
        <v>1.54</v>
      </c>
      <c r="E11679" t="s">
        <v>5</v>
      </c>
    </row>
    <row r="11680" spans="1:5" x14ac:dyDescent="0.25">
      <c r="A11680" t="str">
        <f>HYPERLINK("https://www.773grp.com/globalSearch/NCP1216P133/page-1", "NCP1216P133")</f>
        <v>NCP1216P133</v>
      </c>
      <c r="B11680" s="3" t="str">
        <f>HYPERLINK("https://www.773grp.com/manufacturer/onsemi?pageNo=895", "Onsemi")</f>
        <v>Onsemi</v>
      </c>
      <c r="C11680" s="6">
        <v>20057</v>
      </c>
      <c r="D11680" s="7">
        <v>1.54</v>
      </c>
      <c r="E11680" t="s">
        <v>5</v>
      </c>
    </row>
    <row r="11681" spans="1:5" x14ac:dyDescent="0.25">
      <c r="A11681" t="str">
        <f>HYPERLINK("https://www.773grp.com/globalSearch/NCP1216P65/page-1", "NCP1216P65")</f>
        <v>NCP1216P65</v>
      </c>
      <c r="B11681" s="3" t="str">
        <f>HYPERLINK("https://www.773grp.com/manufacturer/onsemi?pageNo=896", "Onsemi")</f>
        <v>Onsemi</v>
      </c>
      <c r="C11681" s="6">
        <v>1000</v>
      </c>
      <c r="D11681" s="7">
        <v>1.54</v>
      </c>
      <c r="E11681" t="s">
        <v>5</v>
      </c>
    </row>
    <row r="11682" spans="1:5" x14ac:dyDescent="0.25">
      <c r="A11682" t="str">
        <f>HYPERLINK("https://www.773grp.com/globalSearch/NCP1217AP100/page-1", "NCP1217AP100")</f>
        <v>NCP1217AP100</v>
      </c>
      <c r="B11682" s="3" t="str">
        <f>HYPERLINK("https://www.773grp.com/manufacturer/onsemi?pageNo=897", "Onsemi")</f>
        <v>Onsemi</v>
      </c>
      <c r="C11682" s="6">
        <v>2000</v>
      </c>
      <c r="D11682" s="7">
        <v>1.54</v>
      </c>
      <c r="E11682" t="s">
        <v>5</v>
      </c>
    </row>
    <row r="11683" spans="1:5" x14ac:dyDescent="0.25">
      <c r="A11683" t="str">
        <f>HYPERLINK("https://www.773grp.com/globalSearch/NCP1217AP133/page-1", "NCP1217AP133")</f>
        <v>NCP1217AP133</v>
      </c>
      <c r="B11683" s="3" t="str">
        <f>HYPERLINK("https://www.773grp.com/manufacturer/onsemi?pageNo=898", "Onsemi")</f>
        <v>Onsemi</v>
      </c>
      <c r="C11683" s="6">
        <v>2880</v>
      </c>
      <c r="D11683" s="7">
        <v>1.54</v>
      </c>
      <c r="E11683" t="s">
        <v>5</v>
      </c>
    </row>
    <row r="11684" spans="1:5" x14ac:dyDescent="0.25">
      <c r="A11684" t="str">
        <f>HYPERLINK("https://www.773grp.com/globalSearch/NCP1217AP65/page-1", "NCP1217AP65")</f>
        <v>NCP1217AP65</v>
      </c>
      <c r="B11684" s="3" t="str">
        <f>HYPERLINK("https://www.773grp.com/manufacturer/onsemi?pageNo=899", "Onsemi")</f>
        <v>Onsemi</v>
      </c>
      <c r="C11684" s="6">
        <v>4450</v>
      </c>
      <c r="D11684" s="7">
        <v>1.54</v>
      </c>
      <c r="E11684" t="s">
        <v>5</v>
      </c>
    </row>
    <row r="11685" spans="1:5" x14ac:dyDescent="0.25">
      <c r="A11685" t="str">
        <f>HYPERLINK("https://www.773grp.com/globalSearch/NCP1217P100/page-1", "NCP1217P100")</f>
        <v>NCP1217P100</v>
      </c>
      <c r="B11685" s="3" t="str">
        <f>HYPERLINK("https://www.773grp.com/manufacturer/onsemi?pageNo=900", "Onsemi")</f>
        <v>Onsemi</v>
      </c>
      <c r="C11685" s="6">
        <v>4000</v>
      </c>
      <c r="D11685" s="7">
        <v>1.54</v>
      </c>
      <c r="E11685" t="s">
        <v>5</v>
      </c>
    </row>
    <row r="11686" spans="1:5" x14ac:dyDescent="0.25">
      <c r="A11686" t="str">
        <f>HYPERLINK("https://www.773grp.com/globalSearch/NCP1217P133/page-1", "NCP1217P133")</f>
        <v>NCP1217P133</v>
      </c>
      <c r="B11686" s="3" t="str">
        <f>HYPERLINK("https://www.773grp.com/manufacturer/onsemi?pageNo=901", "Onsemi")</f>
        <v>Onsemi</v>
      </c>
      <c r="C11686" s="6">
        <v>4982</v>
      </c>
      <c r="D11686" s="7">
        <v>1.54</v>
      </c>
      <c r="E11686" t="s">
        <v>5</v>
      </c>
    </row>
    <row r="11687" spans="1:5" x14ac:dyDescent="0.25">
      <c r="A11687" t="str">
        <f>HYPERLINK("https://www.773grp.com/globalSearch/NCP1217P65/page-1", "NCP1217P65")</f>
        <v>NCP1217P65</v>
      </c>
      <c r="B11687" s="3" t="str">
        <f>HYPERLINK("https://www.773grp.com/manufacturer/onsemi?pageNo=902", "Onsemi")</f>
        <v>Onsemi</v>
      </c>
      <c r="C11687" s="6">
        <v>10000</v>
      </c>
      <c r="D11687" s="7">
        <v>1.54</v>
      </c>
      <c r="E11687" t="s">
        <v>5</v>
      </c>
    </row>
    <row r="11688" spans="1:5" x14ac:dyDescent="0.25">
      <c r="A11688" t="str">
        <f>HYPERLINK("https://www.773grp.com/globalSearch/NCP1378P/page-1", "NCP1378P")</f>
        <v>NCP1378P</v>
      </c>
      <c r="B11688" s="3" t="str">
        <f>HYPERLINK("https://www.773grp.com/manufacturer/onsemi?pageNo=903", "Onsemi")</f>
        <v>Onsemi</v>
      </c>
      <c r="C11688" s="6">
        <v>465</v>
      </c>
      <c r="D11688" s="7">
        <v>1.54</v>
      </c>
      <c r="E11688" t="s">
        <v>5</v>
      </c>
    </row>
    <row r="11689" spans="1:5" x14ac:dyDescent="0.25">
      <c r="A11689" t="str">
        <f>HYPERLINK("https://www.773grp.com/globalSearch/NCP1601ADR2/page-1", "NCP1601ADR2")</f>
        <v>NCP1601ADR2</v>
      </c>
      <c r="B11689" s="3" t="str">
        <f>HYPERLINK("https://www.773grp.com/manufacturer/onsemi?pageNo=904", "Onsemi")</f>
        <v>Onsemi</v>
      </c>
      <c r="C11689" s="6">
        <v>2500</v>
      </c>
      <c r="D11689" s="7">
        <v>1.54</v>
      </c>
      <c r="E11689" t="s">
        <v>5</v>
      </c>
    </row>
    <row r="11690" spans="1:5" x14ac:dyDescent="0.25">
      <c r="A11690" t="str">
        <f>HYPERLINK("https://www.773grp.com/globalSearch/NCP1601BDR2/page-1", "NCP1601BDR2")</f>
        <v>NCP1601BDR2</v>
      </c>
      <c r="B11690" s="3" t="str">
        <f>HYPERLINK("https://www.773grp.com/manufacturer/onsemi?pageNo=905", "Onsemi")</f>
        <v>Onsemi</v>
      </c>
      <c r="C11690" s="6">
        <v>2500</v>
      </c>
      <c r="D11690" s="7">
        <v>1.54</v>
      </c>
      <c r="E11690" t="s">
        <v>5</v>
      </c>
    </row>
    <row r="11691" spans="1:5" x14ac:dyDescent="0.25">
      <c r="A11691" t="str">
        <f>HYPERLINK("https://www.773grp.com/globalSearch/NCP2811BDTBR2G/page-1", "NCP2811BDTBR2G")</f>
        <v>NCP2811BDTBR2G</v>
      </c>
      <c r="B11691" s="3" t="str">
        <f>HYPERLINK("https://www.773grp.com/manufacturer/onsemi?pageNo=906", "Onsemi")</f>
        <v>Onsemi</v>
      </c>
      <c r="C11691" s="6">
        <v>24415</v>
      </c>
      <c r="D11691" s="7">
        <v>1.54</v>
      </c>
      <c r="E11691" t="s">
        <v>14</v>
      </c>
    </row>
    <row r="11692" spans="1:5" x14ac:dyDescent="0.25">
      <c r="A11692" t="str">
        <f>HYPERLINK("https://www.773grp.com/globalSearch/NCP3004LSQ43T1/page-1", "NCP3004LSQ43T1")</f>
        <v>NCP3004LSQ43T1</v>
      </c>
      <c r="B11692" s="3" t="str">
        <f>HYPERLINK("https://www.773grp.com/manufacturer/onsemi?pageNo=907", "Onsemi")</f>
        <v>Onsemi</v>
      </c>
      <c r="C11692" s="6">
        <v>15000</v>
      </c>
      <c r="D11692" s="7">
        <v>1.54</v>
      </c>
    </row>
    <row r="11693" spans="1:5" x14ac:dyDescent="0.25">
      <c r="A11693" t="str">
        <f>HYPERLINK("https://www.773grp.com/globalSearch/NCP300LSN44T1/page-1", "NCP300LSN44T1")</f>
        <v>NCP300LSN44T1</v>
      </c>
      <c r="B11693" s="3" t="str">
        <f>HYPERLINK("https://www.773grp.com/manufacturer/onsemi?pageNo=908", "Onsemi")</f>
        <v>Onsemi</v>
      </c>
      <c r="C11693" s="6">
        <v>17639</v>
      </c>
      <c r="D11693" s="7">
        <v>1.54</v>
      </c>
      <c r="E11693" t="s">
        <v>26</v>
      </c>
    </row>
    <row r="11694" spans="1:5" x14ac:dyDescent="0.25">
      <c r="A11694" t="str">
        <f>HYPERLINK("https://www.773grp.com/globalSearch/NCP301LSN27T/page-1", "NCP301LSN27T")</f>
        <v>NCP301LSN27T</v>
      </c>
      <c r="B11694" s="3" t="str">
        <f>HYPERLINK("https://www.773grp.com/manufacturer/onsemi?pageNo=909", "Onsemi")</f>
        <v>Onsemi</v>
      </c>
      <c r="C11694" s="6">
        <v>2852</v>
      </c>
      <c r="D11694" s="7">
        <v>1.54</v>
      </c>
    </row>
    <row r="11695" spans="1:5" x14ac:dyDescent="0.25">
      <c r="A11695" t="str">
        <f>HYPERLINK("https://www.773grp.com/globalSearch/NCP301LSN30T1/page-1", "NCP301LSN30T1")</f>
        <v>NCP301LSN30T1</v>
      </c>
      <c r="B11695" s="3" t="str">
        <f>HYPERLINK("https://www.773grp.com/manufacturer/onsemi?pageNo=910", "Onsemi")</f>
        <v>Onsemi</v>
      </c>
      <c r="C11695" s="6">
        <v>18000</v>
      </c>
      <c r="D11695" s="7">
        <v>1.54</v>
      </c>
      <c r="E11695" t="s">
        <v>26</v>
      </c>
    </row>
    <row r="11696" spans="1:5" x14ac:dyDescent="0.25">
      <c r="A11696" t="str">
        <f>HYPERLINK("https://www.773grp.com/globalSearch/NCP301LSN45T1/page-1", "NCP301LSN45T1")</f>
        <v>NCP301LSN45T1</v>
      </c>
      <c r="B11696" s="3" t="str">
        <f>HYPERLINK("https://www.773grp.com/manufacturer/onsemi?pageNo=911", "Onsemi")</f>
        <v>Onsemi</v>
      </c>
      <c r="C11696" s="6">
        <v>2630</v>
      </c>
      <c r="D11696" s="7">
        <v>1.54</v>
      </c>
      <c r="E11696" t="s">
        <v>26</v>
      </c>
    </row>
    <row r="11697" spans="1:5" x14ac:dyDescent="0.25">
      <c r="A11697" t="str">
        <f>HYPERLINK("https://www.773grp.com/globalSearch/NCP303LSN31T1/page-1", "NCP303LSN31T1")</f>
        <v>NCP303LSN31T1</v>
      </c>
      <c r="B11697" s="3" t="str">
        <f>HYPERLINK("https://www.773grp.com/manufacturer/onsemi?pageNo=912", "Onsemi")</f>
        <v>Onsemi</v>
      </c>
      <c r="C11697" s="6">
        <v>2720</v>
      </c>
      <c r="D11697" s="7">
        <v>1.54</v>
      </c>
      <c r="E11697" t="s">
        <v>26</v>
      </c>
    </row>
    <row r="11698" spans="1:5" x14ac:dyDescent="0.25">
      <c r="A11698" t="str">
        <f>HYPERLINK("https://www.773grp.com/globalSearch/NCP5358MNTXG/page-1", "NCP5358MNTXG")</f>
        <v>NCP5358MNTXG</v>
      </c>
      <c r="B11698" s="3" t="str">
        <f>HYPERLINK("https://www.773grp.com/manufacturer/onsemi?pageNo=913", "Onsemi")</f>
        <v>Onsemi</v>
      </c>
      <c r="C11698" s="6">
        <v>76878</v>
      </c>
      <c r="D11698" s="7">
        <v>1.54</v>
      </c>
    </row>
    <row r="11699" spans="1:5" x14ac:dyDescent="0.25">
      <c r="A11699" t="str">
        <f>HYPERLINK("https://www.773grp.com/globalSearch/NCP700BMT18TBG/page-1", "NCP700BMT18TBG")</f>
        <v>NCP700BMT18TBG</v>
      </c>
      <c r="B11699" s="3" t="str">
        <f>HYPERLINK("https://www.773grp.com/manufacturer/onsemi?pageNo=914", "Onsemi")</f>
        <v>Onsemi</v>
      </c>
      <c r="C11699" s="6">
        <v>39216</v>
      </c>
      <c r="D11699" s="7">
        <v>1.54</v>
      </c>
    </row>
    <row r="11700" spans="1:5" x14ac:dyDescent="0.25">
      <c r="A11700" t="str">
        <f>HYPERLINK("https://www.773grp.com/globalSearch/NCP700BMT28TBG/page-1", "NCP700BMT28TBG")</f>
        <v>NCP700BMT28TBG</v>
      </c>
      <c r="B11700" s="3" t="str">
        <f>HYPERLINK("https://www.773grp.com/manufacturer/onsemi?pageNo=915", "Onsemi")</f>
        <v>Onsemi</v>
      </c>
      <c r="C11700" s="6">
        <v>45000</v>
      </c>
      <c r="D11700" s="7">
        <v>1.54</v>
      </c>
    </row>
    <row r="11701" spans="1:5" x14ac:dyDescent="0.25">
      <c r="A11701" t="str">
        <f>HYPERLINK("https://www.773grp.com/globalSearch/NCP700BMT30TBG/page-1", "NCP700BMT30TBG")</f>
        <v>NCP700BMT30TBG</v>
      </c>
      <c r="B11701" s="3" t="str">
        <f>HYPERLINK("https://www.773grp.com/manufacturer/onsemi?pageNo=916", "Onsemi")</f>
        <v>Onsemi</v>
      </c>
      <c r="C11701" s="6">
        <v>21000</v>
      </c>
      <c r="D11701" s="7">
        <v>1.54</v>
      </c>
    </row>
    <row r="11702" spans="1:5" x14ac:dyDescent="0.25">
      <c r="A11702" t="str">
        <f>HYPERLINK("https://www.773grp.com/globalSearch/NCP700BMT33TBG/page-1", "NCP700BMT33TBG")</f>
        <v>NCP700BMT33TBG</v>
      </c>
      <c r="B11702" s="3" t="str">
        <f>HYPERLINK("https://www.773grp.com/manufacturer/onsemi?pageNo=917", "Onsemi")</f>
        <v>Onsemi</v>
      </c>
      <c r="C11702" s="6">
        <v>6246</v>
      </c>
      <c r="D11702" s="7">
        <v>1.54</v>
      </c>
    </row>
    <row r="11703" spans="1:5" x14ac:dyDescent="0.25">
      <c r="A11703" t="str">
        <f>HYPERLINK("https://www.773grp.com/globalSearch/NCP700MN180R2G/page-1", "NCP700MN180R2G")</f>
        <v>NCP700MN180R2G</v>
      </c>
      <c r="B11703" s="3" t="str">
        <f>HYPERLINK("https://www.773grp.com/manufacturer/onsemi?pageNo=918", "Onsemi")</f>
        <v>Onsemi</v>
      </c>
      <c r="C11703" s="6">
        <v>63489</v>
      </c>
      <c r="D11703" s="7">
        <v>1.54</v>
      </c>
      <c r="E11703" t="s">
        <v>15</v>
      </c>
    </row>
    <row r="11704" spans="1:5" x14ac:dyDescent="0.25">
      <c r="A11704" t="str">
        <f>HYPERLINK("https://www.773grp.com/globalSearch/NCP700MN250R2G/page-1", "NCP700MN250R2G")</f>
        <v>NCP700MN250R2G</v>
      </c>
      <c r="B11704" s="3" t="str">
        <f>HYPERLINK("https://www.773grp.com/manufacturer/onsemi?pageNo=919", "Onsemi")</f>
        <v>Onsemi</v>
      </c>
      <c r="C11704" s="6">
        <v>3240</v>
      </c>
      <c r="D11704" s="7">
        <v>1.54</v>
      </c>
      <c r="E11704" t="s">
        <v>15</v>
      </c>
    </row>
    <row r="11705" spans="1:5" x14ac:dyDescent="0.25">
      <c r="A11705" t="str">
        <f>HYPERLINK("https://www.773grp.com/globalSearch/NCP700MN275R2G/page-1", "NCP700MN275R2G")</f>
        <v>NCP700MN275R2G</v>
      </c>
      <c r="B11705" s="3" t="str">
        <f>HYPERLINK("https://www.773grp.com/manufacturer/onsemi?pageNo=920", "Onsemi")</f>
        <v>Onsemi</v>
      </c>
      <c r="C11705" s="6">
        <v>9000</v>
      </c>
      <c r="D11705" s="7">
        <v>1.54</v>
      </c>
      <c r="E11705" t="s">
        <v>15</v>
      </c>
    </row>
    <row r="11706" spans="1:5" x14ac:dyDescent="0.25">
      <c r="A11706" t="str">
        <f>HYPERLINK("https://www.773grp.com/globalSearch/NCP700MN280R2G/page-1", "NCP700MN280R2G")</f>
        <v>NCP700MN280R2G</v>
      </c>
      <c r="B11706" s="3" t="str">
        <f>HYPERLINK("https://www.773grp.com/manufacturer/onsemi?pageNo=921", "Onsemi")</f>
        <v>Onsemi</v>
      </c>
      <c r="C11706" s="6">
        <v>6378</v>
      </c>
      <c r="D11706" s="7">
        <v>1.54</v>
      </c>
      <c r="E11706" t="s">
        <v>15</v>
      </c>
    </row>
    <row r="11707" spans="1:5" x14ac:dyDescent="0.25">
      <c r="A11707" t="str">
        <f>HYPERLINK("https://www.773grp.com/globalSearch/NCP700MN300R2G/page-1", "NCP700MN300R2G")</f>
        <v>NCP700MN300R2G</v>
      </c>
      <c r="B11707" s="3" t="str">
        <f>HYPERLINK("https://www.773grp.com/manufacturer/onsemi?pageNo=922", "Onsemi")</f>
        <v>Onsemi</v>
      </c>
      <c r="C11707" s="6">
        <v>260249</v>
      </c>
      <c r="D11707" s="7">
        <v>1.54</v>
      </c>
      <c r="E11707" t="s">
        <v>15</v>
      </c>
    </row>
    <row r="11708" spans="1:5" x14ac:dyDescent="0.25">
      <c r="A11708" t="str">
        <f>HYPERLINK("https://www.773grp.com/globalSearch/NCP700MN330R2G/page-1", "NCP700MN330R2G")</f>
        <v>NCP700MN330R2G</v>
      </c>
      <c r="B11708" s="3" t="str">
        <f>HYPERLINK("https://www.773grp.com/manufacturer/onsemi?pageNo=923", "Onsemi")</f>
        <v>Onsemi</v>
      </c>
      <c r="C11708" s="6">
        <v>364</v>
      </c>
      <c r="D11708" s="7">
        <v>1.54</v>
      </c>
      <c r="E11708" t="s">
        <v>15</v>
      </c>
    </row>
    <row r="11709" spans="1:5" x14ac:dyDescent="0.25">
      <c r="A11709" t="str">
        <f>HYPERLINK("https://www.773grp.com/globalSearch/NCV1117DT15RKG/page-1", "NCV1117DT15RKG")</f>
        <v>NCV1117DT15RKG</v>
      </c>
      <c r="B11709" s="3" t="str">
        <f>HYPERLINK("https://www.773grp.com/manufacturer/onsemi?pageNo=924", "Onsemi")</f>
        <v>Onsemi</v>
      </c>
      <c r="C11709" s="6">
        <v>7500</v>
      </c>
      <c r="D11709" s="7">
        <v>1.54</v>
      </c>
      <c r="E11709" t="s">
        <v>15</v>
      </c>
    </row>
    <row r="11710" spans="1:5" x14ac:dyDescent="0.25">
      <c r="A11710" t="str">
        <f>HYPERLINK("https://www.773grp.com/globalSearch/NCV1117DT18RKG/page-1", "NCV1117DT18RKG")</f>
        <v>NCV1117DT18RKG</v>
      </c>
      <c r="B11710" s="3" t="str">
        <f>HYPERLINK("https://www.773grp.com/manufacturer/onsemi?pageNo=925", "Onsemi")</f>
        <v>Onsemi</v>
      </c>
      <c r="C11710" s="6">
        <v>4000</v>
      </c>
      <c r="D11710" s="7">
        <v>1.54</v>
      </c>
    </row>
    <row r="11711" spans="1:5" x14ac:dyDescent="0.25">
      <c r="A11711" t="str">
        <f>HYPERLINK("https://www.773grp.com/globalSearch/NCV1117DT18T5G/page-1", "NCV1117DT18T5G")</f>
        <v>NCV1117DT18T5G</v>
      </c>
      <c r="B11711" s="3" t="str">
        <f>HYPERLINK("https://www.773grp.com/manufacturer/onsemi?pageNo=926", "Onsemi")</f>
        <v>Onsemi</v>
      </c>
      <c r="C11711" s="6">
        <v>15000</v>
      </c>
      <c r="D11711" s="7">
        <v>1.54</v>
      </c>
      <c r="E11711" t="s">
        <v>15</v>
      </c>
    </row>
    <row r="11712" spans="1:5" x14ac:dyDescent="0.25">
      <c r="A11712" t="str">
        <f>HYPERLINK("https://www.773grp.com/globalSearch/NCV1117DT20RKG/page-1", "NCV1117DT20RKG")</f>
        <v>NCV1117DT20RKG</v>
      </c>
      <c r="B11712" s="3" t="str">
        <f>HYPERLINK("https://www.773grp.com/manufacturer/onsemi?pageNo=927", "Onsemi")</f>
        <v>Onsemi</v>
      </c>
      <c r="C11712" s="6">
        <v>5000</v>
      </c>
      <c r="D11712" s="7">
        <v>1.54</v>
      </c>
      <c r="E11712" t="s">
        <v>15</v>
      </c>
    </row>
    <row r="11713" spans="1:5" x14ac:dyDescent="0.25">
      <c r="A11713" t="str">
        <f>HYPERLINK("https://www.773grp.com/globalSearch/NCV1117DT25RKG/page-1", "NCV1117DT25RKG")</f>
        <v>NCV1117DT25RKG</v>
      </c>
      <c r="B11713" s="3" t="str">
        <f>HYPERLINK("https://www.773grp.com/manufacturer/onsemi?pageNo=928", "Onsemi")</f>
        <v>Onsemi</v>
      </c>
      <c r="C11713" s="6">
        <v>39725</v>
      </c>
      <c r="D11713" s="7">
        <v>1.54</v>
      </c>
      <c r="E11713" t="s">
        <v>15</v>
      </c>
    </row>
    <row r="11714" spans="1:5" x14ac:dyDescent="0.25">
      <c r="A11714" t="str">
        <f>HYPERLINK("https://www.773grp.com/globalSearch/NCV1117DT50RKG/page-1", "NCV1117DT50RKG")</f>
        <v>NCV1117DT50RKG</v>
      </c>
      <c r="B11714" s="3" t="str">
        <f>HYPERLINK("https://www.773grp.com/manufacturer/onsemi?pageNo=929", "Onsemi")</f>
        <v>Onsemi</v>
      </c>
      <c r="C11714" s="6">
        <v>5000</v>
      </c>
      <c r="D11714" s="7">
        <v>1.54</v>
      </c>
    </row>
    <row r="11715" spans="1:5" x14ac:dyDescent="0.25">
      <c r="A11715" t="str">
        <f>HYPERLINK("https://www.773grp.com/globalSearch/NCV1117DTARKG/page-1", "NCV1117DTARKG")</f>
        <v>NCV1117DTARKG</v>
      </c>
      <c r="B11715" s="3" t="str">
        <f>HYPERLINK("https://www.773grp.com/manufacturer/onsemi?pageNo=930", "Onsemi")</f>
        <v>Onsemi</v>
      </c>
      <c r="C11715" s="6">
        <v>3970</v>
      </c>
      <c r="D11715" s="7">
        <v>1.54</v>
      </c>
      <c r="E11715" t="s">
        <v>21</v>
      </c>
    </row>
    <row r="11716" spans="1:5" x14ac:dyDescent="0.25">
      <c r="A11716" t="str">
        <f>HYPERLINK("https://www.773grp.com/globalSearch/NCV301LSN12T1/page-1", "NCV301LSN12T1")</f>
        <v>NCV301LSN12T1</v>
      </c>
      <c r="B11716" s="3" t="str">
        <f>HYPERLINK("https://www.773grp.com/manufacturer/onsemi?pageNo=931", "Onsemi")</f>
        <v>Onsemi</v>
      </c>
      <c r="C11716" s="6">
        <v>6000</v>
      </c>
      <c r="D11716" s="7">
        <v>1.54</v>
      </c>
      <c r="E11716" t="s">
        <v>26</v>
      </c>
    </row>
    <row r="11717" spans="1:5" x14ac:dyDescent="0.25">
      <c r="A11717" t="str">
        <f>HYPERLINK("https://www.773grp.com/globalSearch/NCV301LSN16T1/page-1", "NCV301LSN16T1")</f>
        <v>NCV301LSN16T1</v>
      </c>
      <c r="B11717" s="3" t="str">
        <f>HYPERLINK("https://www.773grp.com/manufacturer/onsemi?pageNo=932", "Onsemi")</f>
        <v>Onsemi</v>
      </c>
      <c r="C11717" s="6">
        <v>6000</v>
      </c>
      <c r="D11717" s="7">
        <v>1.54</v>
      </c>
      <c r="E11717" t="s">
        <v>26</v>
      </c>
    </row>
    <row r="11718" spans="1:5" x14ac:dyDescent="0.25">
      <c r="A11718" t="str">
        <f>HYPERLINK("https://www.773grp.com/globalSearch/NCV301LSN28T1/page-1", "NCV301LSN28T1")</f>
        <v>NCV301LSN28T1</v>
      </c>
      <c r="B11718" s="3" t="str">
        <f>HYPERLINK("https://www.773grp.com/manufacturer/onsemi?pageNo=933", "Onsemi")</f>
        <v>Onsemi</v>
      </c>
      <c r="C11718" s="6">
        <v>18000</v>
      </c>
      <c r="D11718" s="7">
        <v>1.54</v>
      </c>
      <c r="E11718" t="s">
        <v>26</v>
      </c>
    </row>
    <row r="11719" spans="1:5" x14ac:dyDescent="0.25">
      <c r="A11719" t="str">
        <f>HYPERLINK("https://www.773grp.com/globalSearch/NCV33164D-3R2/page-1", "NCV33164D-3R2")</f>
        <v>NCV33164D-3R2</v>
      </c>
      <c r="B11719" s="3" t="str">
        <f>HYPERLINK("https://www.773grp.com/manufacturer/onsemi?pageNo=934", "Onsemi")</f>
        <v>Onsemi</v>
      </c>
      <c r="C11719" s="6">
        <v>6200</v>
      </c>
      <c r="D11719" s="7">
        <v>1.54</v>
      </c>
      <c r="E11719" t="s">
        <v>26</v>
      </c>
    </row>
    <row r="11720" spans="1:5" x14ac:dyDescent="0.25">
      <c r="A11720" t="str">
        <f>HYPERLINK("https://www.773grp.com/globalSearch/NCV4275DS/page-1", "NCV4275DS")</f>
        <v>NCV4275DS</v>
      </c>
      <c r="B11720" s="3" t="str">
        <f>HYPERLINK("https://www.773grp.com/manufacturer/onsemi?pageNo=935", "Onsemi")</f>
        <v>Onsemi</v>
      </c>
      <c r="C11720" s="6">
        <v>50</v>
      </c>
      <c r="D11720" s="7">
        <v>1.54</v>
      </c>
      <c r="E11720" t="s">
        <v>15</v>
      </c>
    </row>
    <row r="11721" spans="1:5" x14ac:dyDescent="0.25">
      <c r="A11721" t="str">
        <f>HYPERLINK("https://www.773grp.com/globalSearch/NCV4299D2/page-1", "NCV4299D2")</f>
        <v>NCV4299D2</v>
      </c>
      <c r="B11721" s="3" t="str">
        <f>HYPERLINK("https://www.773grp.com/manufacturer/onsemi?pageNo=936", "Onsemi")</f>
        <v>Onsemi</v>
      </c>
      <c r="C11721" s="6">
        <v>495</v>
      </c>
      <c r="D11721" s="7">
        <v>1.54</v>
      </c>
      <c r="E11721" t="s">
        <v>15</v>
      </c>
    </row>
    <row r="11722" spans="1:5" x14ac:dyDescent="0.25">
      <c r="A11722" t="str">
        <f>HYPERLINK("https://www.773grp.com/globalSearch/NCV612SQ15T2G/page-1", "NCV612SQ15T2G")</f>
        <v>NCV612SQ15T2G</v>
      </c>
      <c r="B11722" s="3" t="str">
        <f>HYPERLINK("https://www.773grp.com/manufacturer/onsemi?pageNo=937", "Onsemi")</f>
        <v>Onsemi</v>
      </c>
      <c r="C11722" s="6">
        <v>72000</v>
      </c>
      <c r="D11722" s="7">
        <v>1.54</v>
      </c>
      <c r="E11722" t="s">
        <v>24</v>
      </c>
    </row>
    <row r="11723" spans="1:5" x14ac:dyDescent="0.25">
      <c r="A11723" t="str">
        <f>HYPERLINK("https://www.773grp.com/globalSearch/NCV612SQ28T2G/page-1", "NCV612SQ28T2G")</f>
        <v>NCV612SQ28T2G</v>
      </c>
      <c r="B11723" s="3" t="str">
        <f>HYPERLINK("https://www.773grp.com/manufacturer/onsemi?pageNo=938", "Onsemi")</f>
        <v>Onsemi</v>
      </c>
      <c r="C11723" s="6">
        <v>6000</v>
      </c>
      <c r="D11723" s="7">
        <v>1.54</v>
      </c>
      <c r="E11723" t="s">
        <v>24</v>
      </c>
    </row>
    <row r="11724" spans="1:5" x14ac:dyDescent="0.25">
      <c r="A11724" t="str">
        <f>HYPERLINK("https://www.773grp.com/globalSearch/NCV612SQ30T2G/page-1", "NCV612SQ30T2G")</f>
        <v>NCV612SQ30T2G</v>
      </c>
      <c r="B11724" s="3" t="str">
        <f>HYPERLINK("https://www.773grp.com/manufacturer/onsemi?pageNo=939", "Onsemi")</f>
        <v>Onsemi</v>
      </c>
      <c r="C11724" s="6">
        <v>6000</v>
      </c>
      <c r="D11724" s="7">
        <v>1.54</v>
      </c>
    </row>
    <row r="11725" spans="1:5" x14ac:dyDescent="0.25">
      <c r="A11725" t="str">
        <f>HYPERLINK("https://www.773grp.com/globalSearch/NCV612SQ50T2G/page-1", "NCV612SQ50T2G")</f>
        <v>NCV612SQ50T2G</v>
      </c>
      <c r="B11725" s="3" t="str">
        <f>HYPERLINK("https://www.773grp.com/manufacturer/onsemi?pageNo=940", "Onsemi")</f>
        <v>Onsemi</v>
      </c>
      <c r="C11725" s="6">
        <v>18000</v>
      </c>
      <c r="D11725" s="7">
        <v>1.54</v>
      </c>
      <c r="E11725" t="s">
        <v>24</v>
      </c>
    </row>
    <row r="11726" spans="1:5" x14ac:dyDescent="0.25">
      <c r="A11726" t="str">
        <f>HYPERLINK("https://www.773grp.com/globalSearch/NCV662SQ15T1G/page-1", "NCV662SQ15T1G")</f>
        <v>NCV662SQ15T1G</v>
      </c>
      <c r="B11726" s="3" t="str">
        <f>HYPERLINK("https://www.773grp.com/manufacturer/onsemi?pageNo=941", "Onsemi")</f>
        <v>Onsemi</v>
      </c>
      <c r="C11726" s="6">
        <v>38894</v>
      </c>
      <c r="D11726" s="7">
        <v>1.54</v>
      </c>
      <c r="E11726" t="s">
        <v>15</v>
      </c>
    </row>
    <row r="11727" spans="1:5" x14ac:dyDescent="0.25">
      <c r="A11727" t="str">
        <f>HYPERLINK("https://www.773grp.com/globalSearch/NCV662SQ18T1G/page-1", "NCV662SQ18T1G")</f>
        <v>NCV662SQ18T1G</v>
      </c>
      <c r="B11727" s="3" t="str">
        <f>HYPERLINK("https://www.773grp.com/manufacturer/onsemi?pageNo=942", "Onsemi")</f>
        <v>Onsemi</v>
      </c>
      <c r="C11727" s="6">
        <v>11700</v>
      </c>
      <c r="D11727" s="7">
        <v>1.54</v>
      </c>
      <c r="E11727" t="s">
        <v>15</v>
      </c>
    </row>
    <row r="11728" spans="1:5" x14ac:dyDescent="0.25">
      <c r="A11728" t="str">
        <f>HYPERLINK("https://www.773grp.com/globalSearch/NCV662SQ25T1G/page-1", "NCV662SQ25T1G")</f>
        <v>NCV662SQ25T1G</v>
      </c>
      <c r="B11728" s="3" t="str">
        <f>HYPERLINK("https://www.773grp.com/manufacturer/onsemi?pageNo=943", "Onsemi")</f>
        <v>Onsemi</v>
      </c>
      <c r="C11728" s="6">
        <v>3000</v>
      </c>
      <c r="D11728" s="7">
        <v>1.54</v>
      </c>
      <c r="E11728" t="s">
        <v>15</v>
      </c>
    </row>
    <row r="11729" spans="1:5" x14ac:dyDescent="0.25">
      <c r="A11729" t="str">
        <f>HYPERLINK("https://www.773grp.com/globalSearch/NCV662SQ27T1G/page-1", "NCV662SQ27T1G")</f>
        <v>NCV662SQ27T1G</v>
      </c>
      <c r="B11729" s="3" t="str">
        <f>HYPERLINK("https://www.773grp.com/manufacturer/onsemi?pageNo=944", "Onsemi")</f>
        <v>Onsemi</v>
      </c>
      <c r="C11729" s="6">
        <v>7550</v>
      </c>
      <c r="D11729" s="7">
        <v>1.54</v>
      </c>
      <c r="E11729" t="s">
        <v>15</v>
      </c>
    </row>
    <row r="11730" spans="1:5" x14ac:dyDescent="0.25">
      <c r="A11730" t="str">
        <f>HYPERLINK("https://www.773grp.com/globalSearch/NCV662SQ28T1G/page-1", "NCV662SQ28T1G")</f>
        <v>NCV662SQ28T1G</v>
      </c>
      <c r="B11730" s="3" t="str">
        <f>HYPERLINK("https://www.773grp.com/manufacturer/onsemi?pageNo=945", "Onsemi")</f>
        <v>Onsemi</v>
      </c>
      <c r="C11730" s="6">
        <v>23505</v>
      </c>
      <c r="D11730" s="7">
        <v>1.54</v>
      </c>
      <c r="E11730" t="s">
        <v>15</v>
      </c>
    </row>
    <row r="11731" spans="1:5" x14ac:dyDescent="0.25">
      <c r="A11731" t="str">
        <f>HYPERLINK("https://www.773grp.com/globalSearch/NCV662SQ30T1G/page-1", "NCV662SQ30T1G")</f>
        <v>NCV662SQ30T1G</v>
      </c>
      <c r="B11731" s="3" t="str">
        <f>HYPERLINK("https://www.773grp.com/manufacturer/onsemi?pageNo=946", "Onsemi")</f>
        <v>Onsemi</v>
      </c>
      <c r="C11731" s="6">
        <v>2240</v>
      </c>
      <c r="D11731" s="7">
        <v>1.54</v>
      </c>
      <c r="E11731" t="s">
        <v>15</v>
      </c>
    </row>
    <row r="11732" spans="1:5" x14ac:dyDescent="0.25">
      <c r="A11732" t="str">
        <f>HYPERLINK("https://www.773grp.com/globalSearch/NCV662SQ33T1G/page-1", "NCV662SQ33T1G")</f>
        <v>NCV662SQ33T1G</v>
      </c>
      <c r="B11732" s="3" t="str">
        <f>HYPERLINK("https://www.773grp.com/manufacturer/onsemi?pageNo=947", "Onsemi")</f>
        <v>Onsemi</v>
      </c>
      <c r="C11732" s="6">
        <v>8644</v>
      </c>
      <c r="D11732" s="7">
        <v>1.54</v>
      </c>
      <c r="E11732" t="s">
        <v>15</v>
      </c>
    </row>
    <row r="11733" spans="1:5" x14ac:dyDescent="0.25">
      <c r="A11733" t="str">
        <f>HYPERLINK("https://www.773grp.com/globalSearch/NCV662SQ50T1G/page-1", "NCV662SQ50T1G")</f>
        <v>NCV662SQ50T1G</v>
      </c>
      <c r="B11733" s="3" t="str">
        <f>HYPERLINK("https://www.773grp.com/manufacturer/onsemi?pageNo=948", "Onsemi")</f>
        <v>Onsemi</v>
      </c>
      <c r="C11733" s="6">
        <v>29950</v>
      </c>
      <c r="D11733" s="7">
        <v>1.54</v>
      </c>
      <c r="E11733" t="s">
        <v>15</v>
      </c>
    </row>
    <row r="11734" spans="1:5" x14ac:dyDescent="0.25">
      <c r="A11734" t="str">
        <f>HYPERLINK("https://www.773grp.com/globalSearch/NCV78M05BTG/page-1", "NCV78M05BTG")</f>
        <v>NCV78M05BTG</v>
      </c>
      <c r="B11734" s="3" t="str">
        <f>HYPERLINK("https://www.773grp.com/manufacturer/onsemi?pageNo=949", "Onsemi")</f>
        <v>Onsemi</v>
      </c>
      <c r="C11734" s="6">
        <v>6400</v>
      </c>
      <c r="D11734" s="7">
        <v>1.54</v>
      </c>
    </row>
    <row r="11735" spans="1:5" x14ac:dyDescent="0.25">
      <c r="A11735" t="str">
        <f>HYPERLINK("https://www.773grp.com/globalSearch/NCV8450STT3G/page-1", "NCV8450STT3G")</f>
        <v>NCV8450STT3G</v>
      </c>
      <c r="B11735" s="3" t="str">
        <f>HYPERLINK("https://www.773grp.com/manufacturer/onsemi?pageNo=950", "Onsemi")</f>
        <v>Onsemi</v>
      </c>
      <c r="C11735" s="6">
        <v>4000</v>
      </c>
      <c r="D11735" s="7">
        <v>1.54</v>
      </c>
    </row>
    <row r="11736" spans="1:5" x14ac:dyDescent="0.25">
      <c r="A11736" t="str">
        <f>HYPERLINK("https://www.773grp.com/globalSearch/NE592D8G/page-1", "NE592D8G")</f>
        <v>NE592D8G</v>
      </c>
      <c r="B11736" s="3" t="str">
        <f>HYPERLINK("https://www.773grp.com/manufacturer/onsemi?pageNo=951", "Onsemi")</f>
        <v>Onsemi</v>
      </c>
      <c r="C11736" s="6">
        <v>1567</v>
      </c>
      <c r="D11736" s="7">
        <v>1.54</v>
      </c>
    </row>
    <row r="11737" spans="1:5" x14ac:dyDescent="0.25">
      <c r="A11737" t="str">
        <f>HYPERLINK("https://www.773grp.com/globalSearch/NE592D8R2G/page-1", "NE592D8R2G")</f>
        <v>NE592D8R2G</v>
      </c>
      <c r="B11737" s="3" t="str">
        <f>HYPERLINK("https://www.773grp.com/manufacturer/onsemi?pageNo=952", "Onsemi")</f>
        <v>Onsemi</v>
      </c>
      <c r="C11737" s="6">
        <v>1408</v>
      </c>
      <c r="D11737" s="7">
        <v>1.54</v>
      </c>
    </row>
    <row r="11738" spans="1:5" x14ac:dyDescent="0.25">
      <c r="A11738" t="str">
        <f>HYPERLINK("https://www.773grp.com/globalSearch/NLV14532BDR2G/page-1", "NLV14532BDR2G")</f>
        <v>NLV14532BDR2G</v>
      </c>
      <c r="B11738" s="3" t="str">
        <f>HYPERLINK("https://www.773grp.com/manufacturer/onsemi?pageNo=953", "Onsemi")</f>
        <v>Onsemi</v>
      </c>
      <c r="C11738" s="6">
        <v>7500</v>
      </c>
      <c r="D11738" s="7">
        <v>1.54</v>
      </c>
    </row>
    <row r="11739" spans="1:5" x14ac:dyDescent="0.25">
      <c r="A11739" t="str">
        <f>HYPERLINK("https://www.773grp.com/globalSearch/NRVBB1060T4G/page-1", "NRVBB1060T4G")</f>
        <v>NRVBB1060T4G</v>
      </c>
      <c r="B11739" s="3" t="str">
        <f>HYPERLINK("https://www.773grp.com/manufacturer/onsemi?pageNo=954", "Onsemi")</f>
        <v>Onsemi</v>
      </c>
      <c r="C11739" s="6">
        <v>34400</v>
      </c>
      <c r="D11739" s="7">
        <v>1.54</v>
      </c>
    </row>
    <row r="11740" spans="1:5" x14ac:dyDescent="0.25">
      <c r="A11740" t="str">
        <f>HYPERLINK("https://www.773grp.com/globalSearch/NTD5804NT4G/page-1", "NTD5804NT4G")</f>
        <v>NTD5804NT4G</v>
      </c>
      <c r="B11740" s="3" t="str">
        <f>HYPERLINK("https://www.773grp.com/manufacturer/onsemi?pageNo=955", "Onsemi")</f>
        <v>Onsemi</v>
      </c>
      <c r="C11740" s="6">
        <v>2500</v>
      </c>
      <c r="D11740" s="7">
        <v>1.54</v>
      </c>
    </row>
    <row r="11741" spans="1:5" x14ac:dyDescent="0.25">
      <c r="A11741" t="str">
        <f>HYPERLINK("https://www.773grp.com/globalSearch/NTD6416ANL-1G/page-1", "NTD6416ANL-1G")</f>
        <v>NTD6416ANL-1G</v>
      </c>
      <c r="B11741" s="3" t="str">
        <f>HYPERLINK("https://www.773grp.com/manufacturer/onsemi?pageNo=956", "Onsemi")</f>
        <v>Onsemi</v>
      </c>
      <c r="C11741" s="6">
        <v>2625</v>
      </c>
      <c r="D11741" s="7">
        <v>1.54</v>
      </c>
    </row>
    <row r="11742" spans="1:5" x14ac:dyDescent="0.25">
      <c r="A11742" t="str">
        <f>HYPERLINK("https://www.773grp.com/globalSearch/NTD6416ANLT4G/page-1", "NTD6416ANLT4G")</f>
        <v>NTD6416ANLT4G</v>
      </c>
      <c r="B11742" s="3" t="str">
        <f>HYPERLINK("https://www.773grp.com/manufacturer/onsemi?pageNo=957", "Onsemi")</f>
        <v>Onsemi</v>
      </c>
      <c r="C11742" s="6">
        <v>36910</v>
      </c>
      <c r="D11742" s="7">
        <v>1.54</v>
      </c>
      <c r="E11742" t="s">
        <v>84</v>
      </c>
    </row>
    <row r="11743" spans="1:5" x14ac:dyDescent="0.25">
      <c r="A11743" t="str">
        <f>HYPERLINK("https://www.773grp.com/globalSearch/NTMFS4707NT1G/page-1", "NTMFS4707NT1G")</f>
        <v>NTMFS4707NT1G</v>
      </c>
      <c r="B11743" s="3" t="str">
        <f>HYPERLINK("https://www.773grp.com/manufacturer/onsemi?pageNo=958", "Onsemi")</f>
        <v>Onsemi</v>
      </c>
      <c r="C11743" s="6">
        <v>55126</v>
      </c>
      <c r="D11743" s="7">
        <v>1.54</v>
      </c>
      <c r="E11743" t="s">
        <v>85</v>
      </c>
    </row>
    <row r="11744" spans="1:5" x14ac:dyDescent="0.25">
      <c r="A11744" t="str">
        <f>HYPERLINK("https://www.773grp.com/globalSearch/NTMFS4835NT1G/page-1", "NTMFS4835NT1G")</f>
        <v>NTMFS4835NT1G</v>
      </c>
      <c r="B11744" s="3" t="str">
        <f>HYPERLINK("https://www.773grp.com/manufacturer/onsemi?pageNo=959", "Onsemi")</f>
        <v>Onsemi</v>
      </c>
      <c r="C11744" s="6">
        <v>19107</v>
      </c>
      <c r="D11744" s="7">
        <v>1.54</v>
      </c>
      <c r="E11744" t="s">
        <v>84</v>
      </c>
    </row>
    <row r="11745" spans="1:5" x14ac:dyDescent="0.25">
      <c r="A11745" t="str">
        <f>HYPERLINK("https://www.773grp.com/globalSearch/NTMFS4835NT3G/page-1", "NTMFS4835NT3G")</f>
        <v>NTMFS4835NT3G</v>
      </c>
      <c r="B11745" s="3" t="str">
        <f>HYPERLINK("https://www.773grp.com/manufacturer/onsemi?pageNo=960", "Onsemi")</f>
        <v>Onsemi</v>
      </c>
      <c r="C11745" s="6">
        <v>325000</v>
      </c>
      <c r="D11745" s="7">
        <v>1.54</v>
      </c>
      <c r="E11745" t="s">
        <v>84</v>
      </c>
    </row>
    <row r="11746" spans="1:5" x14ac:dyDescent="0.25">
      <c r="A11746" t="str">
        <f>HYPERLINK("https://www.773grp.com/globalSearch/NTMFS4935NT1G/page-1", "NTMFS4935NT1G")</f>
        <v>NTMFS4935NT1G</v>
      </c>
      <c r="B11746" s="3" t="str">
        <f>HYPERLINK("https://www.773grp.com/manufacturer/onsemi?pageNo=961", "Onsemi")</f>
        <v>Onsemi</v>
      </c>
      <c r="C11746" s="6">
        <v>1985910</v>
      </c>
      <c r="D11746" s="7">
        <v>1.54</v>
      </c>
      <c r="E11746" t="s">
        <v>84</v>
      </c>
    </row>
    <row r="11747" spans="1:5" x14ac:dyDescent="0.25">
      <c r="A11747" t="str">
        <f>HYPERLINK("https://www.773grp.com/globalSearch/NTMS5P02R2/page-1", "NTMS5P02R2")</f>
        <v>NTMS5P02R2</v>
      </c>
      <c r="B11747" s="3" t="str">
        <f>HYPERLINK("https://www.773grp.com/manufacturer/onsemi?pageNo=962", "Onsemi")</f>
        <v>Onsemi</v>
      </c>
      <c r="C11747" s="6">
        <v>2500</v>
      </c>
      <c r="D11747" s="7">
        <v>1.54</v>
      </c>
      <c r="E11747" t="s">
        <v>85</v>
      </c>
    </row>
    <row r="11748" spans="1:5" x14ac:dyDescent="0.25">
      <c r="A11748" t="str">
        <f>HYPERLINK("https://www.773grp.com/globalSearch/NTP125N02RG/page-1", "NTP125N02RG")</f>
        <v>NTP125N02RG</v>
      </c>
      <c r="B11748" s="3" t="str">
        <f>HYPERLINK("https://www.773grp.com/manufacturer/onsemi?pageNo=963", "Onsemi")</f>
        <v>Onsemi</v>
      </c>
      <c r="C11748" s="6">
        <v>24625</v>
      </c>
      <c r="D11748" s="7">
        <v>1.54</v>
      </c>
      <c r="E11748" t="s">
        <v>84</v>
      </c>
    </row>
    <row r="11749" spans="1:5" x14ac:dyDescent="0.25">
      <c r="A11749" t="str">
        <f>HYPERLINK("https://www.773grp.com/globalSearch/NTQD6968NR2G/page-1", "NTQD6968NR2G")</f>
        <v>NTQD6968NR2G</v>
      </c>
      <c r="B11749" s="3" t="str">
        <f>HYPERLINK("https://www.773grp.com/manufacturer/onsemi?pageNo=964", "Onsemi")</f>
        <v>Onsemi</v>
      </c>
      <c r="C11749" s="6">
        <v>14075</v>
      </c>
      <c r="D11749" s="7">
        <v>1.54</v>
      </c>
      <c r="E11749" t="s">
        <v>84</v>
      </c>
    </row>
    <row r="11750" spans="1:5" x14ac:dyDescent="0.25">
      <c r="A11750" t="str">
        <f>HYPERLINK("https://www.773grp.com/globalSearch/NTQD6968R2/page-1", "NTQD6968R2")</f>
        <v>NTQD6968R2</v>
      </c>
      <c r="B11750" s="3" t="str">
        <f>HYPERLINK("https://www.773grp.com/manufacturer/onsemi?pageNo=965", "Onsemi")</f>
        <v>Onsemi</v>
      </c>
      <c r="C11750" s="6">
        <v>20040</v>
      </c>
      <c r="D11750" s="7">
        <v>1.54</v>
      </c>
      <c r="E11750" t="s">
        <v>84</v>
      </c>
    </row>
    <row r="11751" spans="1:5" x14ac:dyDescent="0.25">
      <c r="A11751" t="str">
        <f>HYPERLINK("https://www.773grp.com/globalSearch/NTQS6463R2/page-1", "NTQS6463R2")</f>
        <v>NTQS6463R2</v>
      </c>
      <c r="B11751" s="3" t="str">
        <f>HYPERLINK("https://www.773grp.com/manufacturer/onsemi?pageNo=966", "Onsemi")</f>
        <v>Onsemi</v>
      </c>
      <c r="C11751" s="6">
        <v>5050</v>
      </c>
      <c r="D11751" s="7">
        <v>1.54</v>
      </c>
      <c r="E11751" t="s">
        <v>85</v>
      </c>
    </row>
    <row r="11752" spans="1:5" x14ac:dyDescent="0.25">
      <c r="A11752" t="str">
        <f>HYPERLINK("https://www.773grp.com/globalSearch/SAC319M/page-1", "SAC319M")</f>
        <v>SAC319M</v>
      </c>
      <c r="B11752" s="3" t="str">
        <f>HYPERLINK("https://www.773grp.com/manufacturer/onsemi?pageNo=967", "Onsemi")</f>
        <v>Onsemi</v>
      </c>
      <c r="C11752" s="6">
        <v>9500</v>
      </c>
      <c r="D11752" s="7">
        <v>1.54</v>
      </c>
    </row>
    <row r="11753" spans="1:5" x14ac:dyDescent="0.25">
      <c r="A11753" t="str">
        <f>HYPERLINK("https://www.773grp.com/globalSearch/SAC729-008/page-1", "SAC729-008")</f>
        <v>SAC729-008</v>
      </c>
      <c r="B11753" s="3" t="str">
        <f>HYPERLINK("https://www.773grp.com/manufacturer/onsemi?pageNo=968", "Onsemi")</f>
        <v>Onsemi</v>
      </c>
      <c r="C11753" s="6">
        <v>171350</v>
      </c>
      <c r="D11753" s="7">
        <v>1.54</v>
      </c>
    </row>
    <row r="11754" spans="1:5" x14ac:dyDescent="0.25">
      <c r="A11754" t="str">
        <f>HYPERLINK("https://www.773grp.com/globalSearch/SC34063AP1G/page-1", "SC34063AP1G")</f>
        <v>SC34063AP1G</v>
      </c>
      <c r="B11754" s="3" t="str">
        <f>HYPERLINK("https://www.773grp.com/manufacturer/onsemi?pageNo=969", "Onsemi")</f>
        <v>Onsemi</v>
      </c>
      <c r="C11754" s="6">
        <v>6350</v>
      </c>
      <c r="D11754" s="7">
        <v>1.54</v>
      </c>
      <c r="E11754" t="s">
        <v>5</v>
      </c>
    </row>
    <row r="11755" spans="1:5" x14ac:dyDescent="0.25">
      <c r="A11755" t="str">
        <f>HYPERLINK("https://www.773grp.com/globalSearch/SCR2131/page-1", "SCR2131")</f>
        <v>SCR2131</v>
      </c>
      <c r="B11755" s="3" t="str">
        <f>HYPERLINK("https://www.773grp.com/manufacturer/onsemi?pageNo=970", "Onsemi")</f>
        <v>Onsemi</v>
      </c>
      <c r="C11755" s="6">
        <v>14500</v>
      </c>
      <c r="D11755" s="7">
        <v>1.54</v>
      </c>
    </row>
    <row r="11756" spans="1:5" x14ac:dyDescent="0.25">
      <c r="A11756" t="str">
        <f>HYPERLINK("https://www.773grp.com/globalSearch/SCV301LSN22T1G/page-1", "SCV301LSN22T1G")</f>
        <v>SCV301LSN22T1G</v>
      </c>
      <c r="B11756" s="3" t="str">
        <f>HYPERLINK("https://www.773grp.com/manufacturer/onsemi?pageNo=971", "Onsemi")</f>
        <v>Onsemi</v>
      </c>
      <c r="C11756" s="6">
        <v>9000</v>
      </c>
      <c r="D11756" s="7">
        <v>1.54</v>
      </c>
    </row>
    <row r="11757" spans="1:5" x14ac:dyDescent="0.25">
      <c r="A11757" t="str">
        <f>HYPERLINK("https://www.773grp.com/globalSearch/SCY991351BDR2G/page-1", "SCY991351BDR2G")</f>
        <v>SCY991351BDR2G</v>
      </c>
      <c r="B11757" s="3" t="str">
        <f>HYPERLINK("https://www.773grp.com/manufacturer/onsemi?pageNo=972", "Onsemi")</f>
        <v>Onsemi</v>
      </c>
      <c r="C11757" s="6">
        <v>35000</v>
      </c>
      <c r="D11757" s="7">
        <v>1.54</v>
      </c>
    </row>
    <row r="11758" spans="1:5" x14ac:dyDescent="0.25">
      <c r="A11758" t="str">
        <f>HYPERLINK("https://www.773grp.com/globalSearch/SFT1446-TL-H/page-1", "SFT1446-TL-H")</f>
        <v>SFT1446-TL-H</v>
      </c>
      <c r="B11758" s="3" t="str">
        <f>HYPERLINK("https://www.773grp.com/manufacturer/onsemi?pageNo=973", "Onsemi")</f>
        <v>Onsemi</v>
      </c>
      <c r="C11758" s="6">
        <v>27300</v>
      </c>
      <c r="D11758" s="7">
        <v>1.54</v>
      </c>
    </row>
    <row r="11759" spans="1:5" x14ac:dyDescent="0.25">
      <c r="A11759" t="str">
        <f>HYPERLINK("https://www.773grp.com/globalSearch/SN74LS195AD/page-1", "SN74LS195AD")</f>
        <v>SN74LS195AD</v>
      </c>
      <c r="B11759" s="3" t="str">
        <f>HYPERLINK("https://www.773grp.com/manufacturer/onsemi?pageNo=974", "Onsemi")</f>
        <v>Onsemi</v>
      </c>
      <c r="C11759" s="6">
        <v>7887</v>
      </c>
      <c r="D11759" s="7">
        <v>1.54</v>
      </c>
      <c r="E11759" t="s">
        <v>28</v>
      </c>
    </row>
    <row r="11760" spans="1:5" x14ac:dyDescent="0.25">
      <c r="A11760" t="str">
        <f>HYPERLINK("https://www.773grp.com/globalSearch/TIP32C/page-1", "TIP32C")</f>
        <v>TIP32C</v>
      </c>
      <c r="B11760" s="3" t="str">
        <f>HYPERLINK("https://www.773grp.com/manufacturer/onsemi?pageNo=975", "Onsemi")</f>
        <v>Onsemi</v>
      </c>
      <c r="C11760" s="6">
        <v>271762</v>
      </c>
      <c r="D11760" s="7">
        <v>1.54</v>
      </c>
      <c r="E11760" t="s">
        <v>47</v>
      </c>
    </row>
    <row r="11761" spans="1:5" x14ac:dyDescent="0.25">
      <c r="A11761" t="str">
        <f>HYPERLINK("https://www.773grp.com/globalSearch/TIP47/page-1", "TIP47")</f>
        <v>TIP47</v>
      </c>
      <c r="B11761" s="3" t="str">
        <f>HYPERLINK("https://www.773grp.com/manufacturer/onsemi?pageNo=976", "Onsemi")</f>
        <v>Onsemi</v>
      </c>
      <c r="C11761" s="6">
        <v>3400</v>
      </c>
      <c r="D11761" s="7">
        <v>1.54</v>
      </c>
      <c r="E11761" t="s">
        <v>47</v>
      </c>
    </row>
    <row r="11762" spans="1:5" x14ac:dyDescent="0.25">
      <c r="A11762" t="str">
        <f>HYPERLINK("https://www.773grp.com/globalSearch/TL074ACN/page-1", "TL074ACN")</f>
        <v>TL074ACN</v>
      </c>
      <c r="B11762" s="3" t="str">
        <f>HYPERLINK("https://www.773grp.com/manufacturer/onsemi?pageNo=977", "Onsemi")</f>
        <v>Onsemi</v>
      </c>
      <c r="C11762" s="6">
        <v>50</v>
      </c>
      <c r="D11762" s="7">
        <v>1.54</v>
      </c>
      <c r="E11762" t="s">
        <v>10</v>
      </c>
    </row>
    <row r="11763" spans="1:5" x14ac:dyDescent="0.25">
      <c r="A11763" t="str">
        <f>HYPERLINK("https://www.773grp.com/globalSearch/TL431IPG/page-1", "TL431IPG")</f>
        <v>TL431IPG</v>
      </c>
      <c r="B11763" s="3" t="str">
        <f>HYPERLINK("https://www.773grp.com/manufacturer/onsemi?pageNo=978", "Onsemi")</f>
        <v>Onsemi</v>
      </c>
      <c r="C11763" s="6">
        <v>5890</v>
      </c>
      <c r="D11763" s="7">
        <v>1.54</v>
      </c>
      <c r="E11763" t="s">
        <v>13</v>
      </c>
    </row>
    <row r="11764" spans="1:5" x14ac:dyDescent="0.25">
      <c r="A11764" t="str">
        <f>HYPERLINK("https://www.773grp.com/globalSearch/2N6040G/page-1", "2N6040G")</f>
        <v>2N6040G</v>
      </c>
      <c r="B11764" s="3" t="str">
        <f>HYPERLINK("https://www.773grp.com/manufacturer/onsemi?pageNo=979", "Onsemi")</f>
        <v>Onsemi</v>
      </c>
      <c r="C11764" s="6">
        <v>9983</v>
      </c>
      <c r="D11764" s="7">
        <v>1.59</v>
      </c>
      <c r="E11764" t="s">
        <v>47</v>
      </c>
    </row>
    <row r="11765" spans="1:5" x14ac:dyDescent="0.25">
      <c r="A11765" t="str">
        <f>HYPERLINK("https://www.773grp.com/globalSearch/2N6042G/page-1", "2N6042G")</f>
        <v>2N6042G</v>
      </c>
      <c r="B11765" s="3" t="str">
        <f>HYPERLINK("https://www.773grp.com/manufacturer/onsemi?pageNo=980", "Onsemi")</f>
        <v>Onsemi</v>
      </c>
      <c r="C11765" s="6">
        <v>2627</v>
      </c>
      <c r="D11765" s="7">
        <v>1.59</v>
      </c>
      <c r="E11765" t="s">
        <v>47</v>
      </c>
    </row>
    <row r="11766" spans="1:5" x14ac:dyDescent="0.25">
      <c r="A11766" t="str">
        <f>HYPERLINK("https://www.773grp.com/globalSearch/AMIS30600LINI1G/page-1", "AMIS30600LINI1G")</f>
        <v>AMIS30600LINI1G</v>
      </c>
      <c r="B11766" s="3" t="str">
        <f>HYPERLINK("https://www.773grp.com/manufacturer/onsemi?pageNo=981", "Onsemi")</f>
        <v>Onsemi</v>
      </c>
      <c r="C11766" s="6">
        <v>854</v>
      </c>
      <c r="D11766" s="7">
        <v>1.59</v>
      </c>
      <c r="E11766" t="s">
        <v>45</v>
      </c>
    </row>
    <row r="11767" spans="1:5" x14ac:dyDescent="0.25">
      <c r="A11767" t="str">
        <f>HYPERLINK("https://www.773grp.com/globalSearch/ATP206-TL-H/page-1", "ATP206-TL-H")</f>
        <v>ATP206-TL-H</v>
      </c>
      <c r="B11767" s="3" t="str">
        <f>HYPERLINK("https://www.773grp.com/manufacturer/onsemi?pageNo=982", "Onsemi")</f>
        <v>Onsemi</v>
      </c>
      <c r="C11767" s="6">
        <v>3000</v>
      </c>
      <c r="D11767" s="7">
        <v>1.59</v>
      </c>
    </row>
    <row r="11768" spans="1:5" x14ac:dyDescent="0.25">
      <c r="A11768" t="str">
        <f>HYPERLINK("https://www.773grp.com/globalSearch/BDX34BG/page-1", "BDX34BG")</f>
        <v>BDX34BG</v>
      </c>
      <c r="B11768" s="3" t="str">
        <f>HYPERLINK("https://www.773grp.com/manufacturer/onsemi?pageNo=983", "Onsemi")</f>
        <v>Onsemi</v>
      </c>
      <c r="C11768" s="6">
        <v>2977</v>
      </c>
      <c r="D11768" s="7">
        <v>1.59</v>
      </c>
      <c r="E11768" t="s">
        <v>47</v>
      </c>
    </row>
    <row r="11769" spans="1:5" x14ac:dyDescent="0.25">
      <c r="A11769" t="str">
        <f>HYPERLINK("https://www.773grp.com/globalSearch/BDX34CG/page-1", "BDX34CG")</f>
        <v>BDX34CG</v>
      </c>
      <c r="B11769" s="3" t="str">
        <f>HYPERLINK("https://www.773grp.com/manufacturer/onsemi?pageNo=984", "Onsemi")</f>
        <v>Onsemi</v>
      </c>
      <c r="C11769" s="6">
        <v>3470</v>
      </c>
      <c r="D11769" s="7">
        <v>1.59</v>
      </c>
      <c r="E11769" t="s">
        <v>47</v>
      </c>
    </row>
    <row r="11770" spans="1:5" x14ac:dyDescent="0.25">
      <c r="A11770" t="str">
        <f>HYPERLINK("https://www.773grp.com/globalSearch/BDX54BG/page-1", "BDX54BG")</f>
        <v>BDX54BG</v>
      </c>
      <c r="B11770" s="3" t="str">
        <f>HYPERLINK("https://www.773grp.com/manufacturer/onsemi?pageNo=985", "Onsemi")</f>
        <v>Onsemi</v>
      </c>
      <c r="C11770" s="6">
        <v>1498</v>
      </c>
      <c r="D11770" s="7">
        <v>1.59</v>
      </c>
      <c r="E11770" t="s">
        <v>47</v>
      </c>
    </row>
    <row r="11771" spans="1:5" x14ac:dyDescent="0.25">
      <c r="A11771" t="str">
        <f>HYPERLINK("https://www.773grp.com/globalSearch/BDX54CG/page-1", "BDX54CG")</f>
        <v>BDX54CG</v>
      </c>
      <c r="B11771" s="3" t="str">
        <f>HYPERLINK("https://www.773grp.com/manufacturer/onsemi?pageNo=986", "Onsemi")</f>
        <v>Onsemi</v>
      </c>
      <c r="C11771" s="6">
        <v>4937</v>
      </c>
      <c r="D11771" s="7">
        <v>1.59</v>
      </c>
      <c r="E11771" t="s">
        <v>47</v>
      </c>
    </row>
    <row r="11772" spans="1:5" x14ac:dyDescent="0.25">
      <c r="A11772" t="str">
        <f>HYPERLINK("https://www.773grp.com/globalSearch/BUL42D/page-1", "BUL42D")</f>
        <v>BUL42D</v>
      </c>
      <c r="B11772" s="3" t="str">
        <f>HYPERLINK("https://www.773grp.com/manufacturer/onsemi?pageNo=987", "Onsemi")</f>
        <v>Onsemi</v>
      </c>
      <c r="C11772" s="6">
        <v>2500</v>
      </c>
      <c r="D11772" s="7">
        <v>1.59</v>
      </c>
      <c r="E11772" t="s">
        <v>47</v>
      </c>
    </row>
    <row r="11773" spans="1:5" x14ac:dyDescent="0.25">
      <c r="A11773" t="str">
        <f>HYPERLINK("https://www.773grp.com/globalSearch/BUV26/page-1", "BUV26")</f>
        <v>BUV26</v>
      </c>
      <c r="B11773" s="3" t="str">
        <f>HYPERLINK("https://www.773grp.com/manufacturer/onsemi?pageNo=988", "Onsemi")</f>
        <v>Onsemi</v>
      </c>
      <c r="C11773" s="6">
        <v>300</v>
      </c>
      <c r="D11773" s="7">
        <v>1.59</v>
      </c>
      <c r="E11773" t="s">
        <v>47</v>
      </c>
    </row>
    <row r="11774" spans="1:5" x14ac:dyDescent="0.25">
      <c r="A11774" t="str">
        <f>HYPERLINK("https://www.773grp.com/globalSearch/BYW51-200/page-1", "BYW51-200")</f>
        <v>BYW51-200</v>
      </c>
      <c r="B11774" s="3" t="str">
        <f>HYPERLINK("https://www.773grp.com/manufacturer/onsemi?pageNo=989", "Onsemi")</f>
        <v>Onsemi</v>
      </c>
      <c r="C11774" s="6">
        <v>8600</v>
      </c>
      <c r="D11774" s="7">
        <v>1.59</v>
      </c>
      <c r="E11774" t="s">
        <v>82</v>
      </c>
    </row>
    <row r="11775" spans="1:5" x14ac:dyDescent="0.25">
      <c r="A11775" t="str">
        <f>HYPERLINK("https://www.773grp.com/globalSearch/CAT24C256HU4IGT3/page-1", "CAT24C256HU4IGT3")</f>
        <v>CAT24C256HU4IGT3</v>
      </c>
      <c r="B11775" s="3" t="str">
        <f>HYPERLINK("https://www.773grp.com/manufacturer/onsemi?pageNo=990", "Onsemi")</f>
        <v>Onsemi</v>
      </c>
      <c r="C11775" s="6">
        <v>477000</v>
      </c>
      <c r="D11775" s="7">
        <v>1.59</v>
      </c>
    </row>
    <row r="11776" spans="1:5" x14ac:dyDescent="0.25">
      <c r="A11776" t="str">
        <f>HYPERLINK("https://www.773grp.com/globalSearch/CAT6219180VP5GT4/page-1", "CAT6219180VP5GT4")</f>
        <v>CAT6219180VP5GT4</v>
      </c>
      <c r="B11776" s="3" t="str">
        <f>HYPERLINK("https://www.773grp.com/manufacturer/onsemi?pageNo=991", "Onsemi")</f>
        <v>Onsemi</v>
      </c>
      <c r="C11776" s="6">
        <v>8000</v>
      </c>
      <c r="D11776" s="7">
        <v>1.59</v>
      </c>
    </row>
    <row r="11777" spans="1:5" x14ac:dyDescent="0.25">
      <c r="A11777" t="str">
        <f>HYPERLINK("https://www.773grp.com/globalSearch/CAT6219-280MV2T3/page-1", "CAT6219-280MV2T3")</f>
        <v>CAT6219-280MV2T3</v>
      </c>
      <c r="B11777" s="3" t="str">
        <f>HYPERLINK("https://www.773grp.com/manufacturer/onsemi?pageNo=992", "Onsemi")</f>
        <v>Onsemi</v>
      </c>
      <c r="C11777" s="6">
        <v>72975</v>
      </c>
      <c r="D11777" s="7">
        <v>1.59</v>
      </c>
      <c r="E11777" t="s">
        <v>15</v>
      </c>
    </row>
    <row r="11778" spans="1:5" x14ac:dyDescent="0.25">
      <c r="A11778" t="str">
        <f>HYPERLINK("https://www.773grp.com/globalSearch/CM1213-08MR/page-1", "CM1213-08MR")</f>
        <v>CM1213-08MR</v>
      </c>
      <c r="B11778" s="3" t="str">
        <f>HYPERLINK("https://www.773grp.com/manufacturer/onsemi?pageNo=993", "Onsemi")</f>
        <v>Onsemi</v>
      </c>
      <c r="C11778" s="6">
        <v>38236</v>
      </c>
      <c r="D11778" s="7">
        <v>1.59</v>
      </c>
    </row>
    <row r="11779" spans="1:5" x14ac:dyDescent="0.25">
      <c r="A11779" t="str">
        <f>HYPERLINK("https://www.773grp.com/globalSearch/CS5201-1GST3/page-1", "CS5201-1GST3")</f>
        <v>CS5201-1GST3</v>
      </c>
      <c r="B11779" s="3" t="str">
        <f>HYPERLINK("https://www.773grp.com/manufacturer/onsemi?pageNo=994", "Onsemi")</f>
        <v>Onsemi</v>
      </c>
      <c r="C11779" s="6">
        <v>5015</v>
      </c>
      <c r="D11779" s="7">
        <v>1.59</v>
      </c>
      <c r="E11779" t="s">
        <v>21</v>
      </c>
    </row>
    <row r="11780" spans="1:5" x14ac:dyDescent="0.25">
      <c r="A11780" t="str">
        <f>HYPERLINK("https://www.773grp.com/globalSearch/CS5201-1GSTR3/page-1", "CS5201-1GSTR3")</f>
        <v>CS5201-1GSTR3</v>
      </c>
      <c r="B11780" s="3" t="str">
        <f>HYPERLINK("https://www.773grp.com/manufacturer/onsemi?pageNo=995", "Onsemi")</f>
        <v>Onsemi</v>
      </c>
      <c r="C11780" s="6">
        <v>7130</v>
      </c>
      <c r="D11780" s="7">
        <v>1.59</v>
      </c>
      <c r="E11780" t="s">
        <v>21</v>
      </c>
    </row>
    <row r="11781" spans="1:5" x14ac:dyDescent="0.25">
      <c r="A11781" t="str">
        <f>HYPERLINK("https://www.773grp.com/globalSearch/CS5201-1GT3/page-1", "CS5201-1GT3")</f>
        <v>CS5201-1GT3</v>
      </c>
      <c r="B11781" s="3" t="str">
        <f>HYPERLINK("https://www.773grp.com/manufacturer/onsemi?pageNo=996", "Onsemi")</f>
        <v>Onsemi</v>
      </c>
      <c r="C11781" s="6">
        <v>2600</v>
      </c>
      <c r="D11781" s="7">
        <v>1.59</v>
      </c>
      <c r="E11781" t="s">
        <v>21</v>
      </c>
    </row>
    <row r="11782" spans="1:5" x14ac:dyDescent="0.25">
      <c r="A11782" t="str">
        <f>HYPERLINK("https://www.773grp.com/globalSearch/CS5201-3GSTR3/page-1", "CS5201-3GSTR3")</f>
        <v>CS5201-3GSTR3</v>
      </c>
      <c r="B11782" s="3" t="str">
        <f>HYPERLINK("https://www.773grp.com/manufacturer/onsemi?pageNo=997", "Onsemi")</f>
        <v>Onsemi</v>
      </c>
      <c r="C11782" s="6">
        <v>19464</v>
      </c>
      <c r="D11782" s="7">
        <v>1.59</v>
      </c>
      <c r="E11782" t="s">
        <v>15</v>
      </c>
    </row>
    <row r="11783" spans="1:5" x14ac:dyDescent="0.25">
      <c r="A11783" t="str">
        <f>HYPERLINK("https://www.773grp.com/globalSearch/CS5201-3GT3/page-1", "CS5201-3GT3")</f>
        <v>CS5201-3GT3</v>
      </c>
      <c r="B11783" s="3" t="str">
        <f>HYPERLINK("https://www.773grp.com/manufacturer/onsemi?pageNo=998", "Onsemi")</f>
        <v>Onsemi</v>
      </c>
      <c r="C11783" s="6">
        <v>1150</v>
      </c>
      <c r="D11783" s="7">
        <v>1.59</v>
      </c>
      <c r="E11783" t="s">
        <v>15</v>
      </c>
    </row>
    <row r="11784" spans="1:5" x14ac:dyDescent="0.25">
      <c r="A11784" t="str">
        <f>HYPERLINK("https://www.773grp.com/globalSearch/ECH8662-TL-H/page-1", "ECH8662-TL-H")</f>
        <v>ECH8662-TL-H</v>
      </c>
      <c r="B11784" s="3" t="str">
        <f>HYPERLINK("https://www.773grp.com/manufacturer/onsemi?pageNo=999", "Onsemi")</f>
        <v>Onsemi</v>
      </c>
      <c r="C11784" s="6">
        <v>50850</v>
      </c>
      <c r="D11784" s="7">
        <v>1.59</v>
      </c>
    </row>
    <row r="11785" spans="1:5" x14ac:dyDescent="0.25">
      <c r="A11785" t="str">
        <f>HYPERLINK("https://www.773grp.com/globalSearch/LM201ANG/page-1", "LM201ANG")</f>
        <v>LM201ANG</v>
      </c>
      <c r="B11785" s="3" t="str">
        <f>HYPERLINK("https://www.773grp.com/manufacturer/onsemi?pageNo=1000", "Onsemi")</f>
        <v>Onsemi</v>
      </c>
      <c r="C11785" s="6">
        <v>1370</v>
      </c>
      <c r="D11785" s="7">
        <v>1.59</v>
      </c>
      <c r="E11785" t="s">
        <v>10</v>
      </c>
    </row>
    <row r="11786" spans="1:5" x14ac:dyDescent="0.25">
      <c r="A11786" t="str">
        <f>HYPERLINK("https://www.773grp.com/globalSearch/LM2931AD2T-5.0R4/page-1", "LM2931AD2T-5.0R4")</f>
        <v>LM2931AD2T-5.0R4</v>
      </c>
      <c r="B11786" s="3" t="str">
        <f>HYPERLINK("https://www.773grp.com/manufacturer/onsemi?pageNo=1001", "Onsemi")</f>
        <v>Onsemi</v>
      </c>
      <c r="C11786" s="6">
        <v>4270</v>
      </c>
      <c r="D11786" s="7">
        <v>1.59</v>
      </c>
      <c r="E11786" t="s">
        <v>15</v>
      </c>
    </row>
    <row r="11787" spans="1:5" x14ac:dyDescent="0.25">
      <c r="A11787" t="str">
        <f>HYPERLINK("https://www.773grp.com/globalSearch/LM337MT/page-1", "LM337MT")</f>
        <v>LM337MT</v>
      </c>
      <c r="B11787" s="3" t="str">
        <f>HYPERLINK("https://www.773grp.com/manufacturer/onsemi?pageNo=1002", "Onsemi")</f>
        <v>Onsemi</v>
      </c>
      <c r="C11787" s="6">
        <v>3455</v>
      </c>
      <c r="D11787" s="7">
        <v>1.59</v>
      </c>
      <c r="E11787" t="s">
        <v>33</v>
      </c>
    </row>
    <row r="11788" spans="1:5" x14ac:dyDescent="0.25">
      <c r="A11788" t="str">
        <f>HYPERLINK("https://www.773grp.com/globalSearch/M74HC390D/page-1", "M74HC390D")</f>
        <v>M74HC390D</v>
      </c>
      <c r="B11788" s="3" t="str">
        <f>HYPERLINK("https://www.773grp.com/manufacturer/onsemi?pageNo=1003", "Onsemi")</f>
        <v>Onsemi</v>
      </c>
      <c r="C11788" s="6">
        <v>2380</v>
      </c>
      <c r="D11788" s="7">
        <v>1.59</v>
      </c>
    </row>
    <row r="11789" spans="1:5" x14ac:dyDescent="0.25">
      <c r="A11789" t="str">
        <f>HYPERLINK("https://www.773grp.com/globalSearch/MAX708SESA-TG/page-1", "MAX708SESA-TG")</f>
        <v>MAX708SESA-TG</v>
      </c>
      <c r="B11789" s="3" t="str">
        <f>HYPERLINK("https://www.773grp.com/manufacturer/onsemi?pageNo=1004", "Onsemi")</f>
        <v>Onsemi</v>
      </c>
      <c r="C11789" s="6">
        <v>10000</v>
      </c>
      <c r="D11789" s="7">
        <v>1.59</v>
      </c>
      <c r="E11789" t="s">
        <v>26</v>
      </c>
    </row>
    <row r="11790" spans="1:5" x14ac:dyDescent="0.25">
      <c r="A11790" t="str">
        <f>HYPERLINK("https://www.773grp.com/globalSearch/MAX812REUS-T/page-1", "MAX812REUS-T")</f>
        <v>MAX812REUS-T</v>
      </c>
      <c r="B11790" s="3" t="str">
        <f>HYPERLINK("https://www.773grp.com/manufacturer/onsemi?pageNo=1005", "Onsemi")</f>
        <v>Onsemi</v>
      </c>
      <c r="C11790" s="6">
        <v>166364</v>
      </c>
      <c r="D11790" s="7">
        <v>1.59</v>
      </c>
      <c r="E11790" t="s">
        <v>26</v>
      </c>
    </row>
    <row r="11791" spans="1:5" x14ac:dyDescent="0.25">
      <c r="A11791" t="str">
        <f>HYPERLINK("https://www.773grp.com/globalSearch/MBR2045CTG/page-1", "MBR2045CTG")</f>
        <v>MBR2045CTG</v>
      </c>
      <c r="B11791" s="3" t="str">
        <f>HYPERLINK("https://www.773grp.com/manufacturer/onsemi?pageNo=1006", "Onsemi")</f>
        <v>Onsemi</v>
      </c>
      <c r="C11791" s="6">
        <v>201634</v>
      </c>
      <c r="D11791" s="7">
        <v>1.59</v>
      </c>
      <c r="E11791" t="s">
        <v>82</v>
      </c>
    </row>
    <row r="11792" spans="1:5" x14ac:dyDescent="0.25">
      <c r="A11792" t="str">
        <f>HYPERLINK("https://www.773grp.com/globalSearch/MBR2045CTH/page-1", "MBR2045CTH")</f>
        <v>MBR2045CTH</v>
      </c>
      <c r="B11792" s="3" t="str">
        <f>HYPERLINK("https://www.773grp.com/manufacturer/onsemi?pageNo=1007", "Onsemi")</f>
        <v>Onsemi</v>
      </c>
      <c r="C11792" s="6">
        <v>2800</v>
      </c>
      <c r="D11792" s="7">
        <v>1.59</v>
      </c>
    </row>
    <row r="11793" spans="1:5" x14ac:dyDescent="0.25">
      <c r="A11793" t="str">
        <f>HYPERLINK("https://www.773grp.com/globalSearch/MBRA320T3G/page-1", "MBRA320T3G")</f>
        <v>MBRA320T3G</v>
      </c>
      <c r="B11793" s="3" t="str">
        <f>HYPERLINK("https://www.773grp.com/manufacturer/onsemi?pageNo=1008", "Onsemi")</f>
        <v>Onsemi</v>
      </c>
      <c r="C11793" s="6">
        <v>661</v>
      </c>
      <c r="D11793" s="7">
        <v>1.59</v>
      </c>
    </row>
    <row r="11794" spans="1:5" x14ac:dyDescent="0.25">
      <c r="A11794" t="str">
        <f>HYPERLINK("https://www.773grp.com/globalSearch/MBRF2045CTG/page-1", "MBRF2045CTG")</f>
        <v>MBRF2045CTG</v>
      </c>
      <c r="B11794" s="3" t="str">
        <f>HYPERLINK("https://www.773grp.com/manufacturer/onsemi?pageNo=1009", "Onsemi")</f>
        <v>Onsemi</v>
      </c>
      <c r="C11794" s="6">
        <v>178500</v>
      </c>
      <c r="D11794" s="7">
        <v>1.59</v>
      </c>
      <c r="E11794" t="s">
        <v>82</v>
      </c>
    </row>
    <row r="11795" spans="1:5" x14ac:dyDescent="0.25">
      <c r="A11795" t="str">
        <f>HYPERLINK("https://www.773grp.com/globalSearch/MBRS320T3/page-1", "MBRS320T3")</f>
        <v>MBRS320T3</v>
      </c>
      <c r="B11795" s="3" t="str">
        <f>HYPERLINK("https://www.773grp.com/manufacturer/onsemi?pageNo=1010", "Onsemi")</f>
        <v>Onsemi</v>
      </c>
      <c r="C11795" s="6">
        <v>900</v>
      </c>
      <c r="D11795" s="7">
        <v>1.59</v>
      </c>
    </row>
    <row r="11796" spans="1:5" x14ac:dyDescent="0.25">
      <c r="A11796" t="str">
        <f>HYPERLINK("https://www.773grp.com/globalSearch/MBRS320T3G/page-1", "MBRS320T3G")</f>
        <v>MBRS320T3G</v>
      </c>
      <c r="B11796" s="3" t="str">
        <f>HYPERLINK("https://www.773grp.com/manufacturer/onsemi?pageNo=1011", "Onsemi")</f>
        <v>Onsemi</v>
      </c>
      <c r="C11796" s="6">
        <v>116875</v>
      </c>
      <c r="D11796" s="7">
        <v>1.59</v>
      </c>
      <c r="E11796" t="s">
        <v>82</v>
      </c>
    </row>
    <row r="11797" spans="1:5" x14ac:dyDescent="0.25">
      <c r="A11797" t="str">
        <f>HYPERLINK("https://www.773grp.com/globalSearch/MBRS330T3/page-1", "MBRS330T3")</f>
        <v>MBRS330T3</v>
      </c>
      <c r="B11797" s="3" t="str">
        <f>HYPERLINK("https://www.773grp.com/manufacturer/onsemi?pageNo=1012", "Onsemi")</f>
        <v>Onsemi</v>
      </c>
      <c r="C11797" s="6">
        <v>6985</v>
      </c>
      <c r="D11797" s="7">
        <v>1.59</v>
      </c>
      <c r="E11797" t="s">
        <v>82</v>
      </c>
    </row>
    <row r="11798" spans="1:5" x14ac:dyDescent="0.25">
      <c r="A11798" t="str">
        <f>HYPERLINK("https://www.773grp.com/globalSearch/MBRS330T3G/page-1", "MBRS330T3G")</f>
        <v>MBRS330T3G</v>
      </c>
      <c r="B11798" s="3" t="str">
        <f>HYPERLINK("https://www.773grp.com/manufacturer/onsemi?pageNo=1013", "Onsemi")</f>
        <v>Onsemi</v>
      </c>
      <c r="C11798" s="6">
        <v>24790</v>
      </c>
      <c r="D11798" s="7">
        <v>1.59</v>
      </c>
      <c r="E11798" t="s">
        <v>82</v>
      </c>
    </row>
    <row r="11799" spans="1:5" x14ac:dyDescent="0.25">
      <c r="A11799" t="str">
        <f>HYPERLINK("https://www.773grp.com/globalSearch/MC1413BP/page-1", "MC1413BP")</f>
        <v>MC1413BP</v>
      </c>
      <c r="B11799" s="3" t="str">
        <f>HYPERLINK("https://www.773grp.com/manufacturer/onsemi?pageNo=1014", "Onsemi")</f>
        <v>Onsemi</v>
      </c>
      <c r="C11799" s="6">
        <v>100</v>
      </c>
      <c r="D11799" s="7">
        <v>1.59</v>
      </c>
      <c r="E11799" t="s">
        <v>47</v>
      </c>
    </row>
    <row r="11800" spans="1:5" x14ac:dyDescent="0.25">
      <c r="A11800" t="str">
        <f>HYPERLINK("https://www.773grp.com/globalSearch/MC1413BPG/page-1", "MC1413BPG")</f>
        <v>MC1413BPG</v>
      </c>
      <c r="B11800" s="3" t="str">
        <f>HYPERLINK("https://www.773grp.com/manufacturer/onsemi?pageNo=1015", "Onsemi")</f>
        <v>Onsemi</v>
      </c>
      <c r="C11800" s="6">
        <v>27975</v>
      </c>
      <c r="D11800" s="7">
        <v>1.59</v>
      </c>
      <c r="E11800" t="s">
        <v>47</v>
      </c>
    </row>
    <row r="11801" spans="1:5" x14ac:dyDescent="0.25">
      <c r="A11801" t="str">
        <f>HYPERLINK("https://www.773grp.com/globalSearch/MC14521BD/page-1", "MC14521BD")</f>
        <v>MC14521BD</v>
      </c>
      <c r="B11801" s="3" t="str">
        <f>HYPERLINK("https://www.773grp.com/manufacturer/onsemi?pageNo=1016", "Onsemi")</f>
        <v>Onsemi</v>
      </c>
      <c r="C11801" s="6">
        <v>432</v>
      </c>
      <c r="D11801" s="7">
        <v>1.59</v>
      </c>
      <c r="E11801" t="s">
        <v>44</v>
      </c>
    </row>
    <row r="11802" spans="1:5" x14ac:dyDescent="0.25">
      <c r="A11802" t="str">
        <f>HYPERLINK("https://www.773grp.com/globalSearch/MC14521BDG/page-1", "MC14521BDG")</f>
        <v>MC14521BDG</v>
      </c>
      <c r="B11802" s="3" t="str">
        <f>HYPERLINK("https://www.773grp.com/manufacturer/onsemi?pageNo=1017", "Onsemi")</f>
        <v>Onsemi</v>
      </c>
      <c r="C11802" s="6">
        <v>960</v>
      </c>
      <c r="D11802" s="7">
        <v>1.59</v>
      </c>
      <c r="E11802" t="s">
        <v>44</v>
      </c>
    </row>
    <row r="11803" spans="1:5" x14ac:dyDescent="0.25">
      <c r="A11803" t="str">
        <f>HYPERLINK("https://www.773grp.com/globalSearch/MC14521BDR2/page-1", "MC14521BDR2")</f>
        <v>MC14521BDR2</v>
      </c>
      <c r="B11803" s="3" t="str">
        <f>HYPERLINK("https://www.773grp.com/manufacturer/onsemi?pageNo=1018", "Onsemi")</f>
        <v>Onsemi</v>
      </c>
      <c r="C11803" s="6">
        <v>8010</v>
      </c>
      <c r="D11803" s="7">
        <v>1.59</v>
      </c>
      <c r="E11803" t="s">
        <v>44</v>
      </c>
    </row>
    <row r="11804" spans="1:5" x14ac:dyDescent="0.25">
      <c r="A11804" t="str">
        <f>HYPERLINK("https://www.773grp.com/globalSearch/MC14521BDR2G/page-1", "MC14521BDR2G")</f>
        <v>MC14521BDR2G</v>
      </c>
      <c r="B11804" s="3" t="str">
        <f>HYPERLINK("https://www.773grp.com/manufacturer/onsemi?pageNo=1019", "Onsemi")</f>
        <v>Onsemi</v>
      </c>
      <c r="C11804" s="6">
        <v>2500</v>
      </c>
      <c r="D11804" s="7">
        <v>1.59</v>
      </c>
      <c r="E11804" t="s">
        <v>44</v>
      </c>
    </row>
    <row r="11805" spans="1:5" x14ac:dyDescent="0.25">
      <c r="A11805" t="str">
        <f>HYPERLINK("https://www.773grp.com/globalSearch/MC3302DG/page-1", "MC3302DG")</f>
        <v>MC3302DG</v>
      </c>
      <c r="B11805" s="3" t="str">
        <f>HYPERLINK("https://www.773grp.com/manufacturer/onsemi?pageNo=1020", "Onsemi")</f>
        <v>Onsemi</v>
      </c>
      <c r="C11805" s="6">
        <v>1215</v>
      </c>
      <c r="D11805" s="7">
        <v>1.59</v>
      </c>
      <c r="E11805" t="s">
        <v>6</v>
      </c>
    </row>
    <row r="11806" spans="1:5" x14ac:dyDescent="0.25">
      <c r="A11806" t="str">
        <f>HYPERLINK("https://www.773grp.com/globalSearch/MC3302DR2G/page-1", "MC3302DR2G")</f>
        <v>MC3302DR2G</v>
      </c>
      <c r="B11806" s="3" t="str">
        <f>HYPERLINK("https://www.773grp.com/manufacturer/onsemi?pageNo=1021", "Onsemi")</f>
        <v>Onsemi</v>
      </c>
      <c r="C11806" s="6">
        <v>12239</v>
      </c>
      <c r="D11806" s="7">
        <v>1.59</v>
      </c>
      <c r="E11806" t="s">
        <v>6</v>
      </c>
    </row>
    <row r="11807" spans="1:5" x14ac:dyDescent="0.25">
      <c r="A11807" t="str">
        <f>HYPERLINK("https://www.773grp.com/globalSearch/MC33172DG/page-1", "MC33172DG")</f>
        <v>MC33172DG</v>
      </c>
      <c r="B11807" s="3" t="str">
        <f>HYPERLINK("https://www.773grp.com/manufacturer/onsemi?pageNo=1022", "Onsemi")</f>
        <v>Onsemi</v>
      </c>
      <c r="C11807" s="6">
        <v>1558</v>
      </c>
      <c r="D11807" s="7">
        <v>1.59</v>
      </c>
    </row>
    <row r="11808" spans="1:5" x14ac:dyDescent="0.25">
      <c r="A11808" t="str">
        <f>HYPERLINK("https://www.773grp.com/globalSearch/MC33262CDR2G/page-1", "MC33262CDR2G")</f>
        <v>MC33262CDR2G</v>
      </c>
      <c r="B11808" s="3" t="str">
        <f>HYPERLINK("https://www.773grp.com/manufacturer/onsemi?pageNo=1023", "Onsemi")</f>
        <v>Onsemi</v>
      </c>
      <c r="C11808" s="6">
        <v>1539</v>
      </c>
      <c r="D11808" s="7">
        <v>1.59</v>
      </c>
    </row>
    <row r="11809" spans="1:5" x14ac:dyDescent="0.25">
      <c r="A11809" t="str">
        <f>HYPERLINK("https://www.773grp.com/globalSearch/MC33262DG/page-1", "MC33262DG")</f>
        <v>MC33262DG</v>
      </c>
      <c r="B11809" s="3" t="str">
        <f>HYPERLINK("https://www.773grp.com/manufacturer/onsemi?pageNo=1024", "Onsemi")</f>
        <v>Onsemi</v>
      </c>
      <c r="C11809" s="6">
        <v>21112</v>
      </c>
      <c r="D11809" s="7">
        <v>1.59</v>
      </c>
    </row>
    <row r="11810" spans="1:5" x14ac:dyDescent="0.25">
      <c r="A11810" t="str">
        <f>HYPERLINK("https://www.773grp.com/globalSearch/MC34063AP1G/page-1", "MC34063AP1G")</f>
        <v>MC34063AP1G</v>
      </c>
      <c r="B11810" s="3" t="str">
        <f>HYPERLINK("https://www.773grp.com/manufacturer/onsemi?pageNo=1025", "Onsemi")</f>
        <v>Onsemi</v>
      </c>
      <c r="C11810" s="6">
        <v>35885</v>
      </c>
      <c r="D11810" s="7">
        <v>1.59</v>
      </c>
      <c r="E11810" t="s">
        <v>5</v>
      </c>
    </row>
    <row r="11811" spans="1:5" x14ac:dyDescent="0.25">
      <c r="A11811" t="str">
        <f>HYPERLINK("https://www.773grp.com/globalSearch/MC34064DM-5R2/page-1", "MC34064DM-5R2")</f>
        <v>MC34064DM-5R2</v>
      </c>
      <c r="B11811" s="3" t="str">
        <f>HYPERLINK("https://www.773grp.com/manufacturer/onsemi?pageNo=1026", "Onsemi")</f>
        <v>Onsemi</v>
      </c>
      <c r="C11811" s="6">
        <v>3880</v>
      </c>
      <c r="D11811" s="7">
        <v>1.59</v>
      </c>
      <c r="E11811" t="s">
        <v>26</v>
      </c>
    </row>
    <row r="11812" spans="1:5" x14ac:dyDescent="0.25">
      <c r="A11812" t="str">
        <f>HYPERLINK("https://www.773grp.com/globalSearch/MC34071ADG/page-1", "MC34071ADG")</f>
        <v>MC34071ADG</v>
      </c>
      <c r="B11812" s="3" t="str">
        <f>HYPERLINK("https://www.773grp.com/manufacturer/onsemi?pageNo=1027", "Onsemi")</f>
        <v>Onsemi</v>
      </c>
      <c r="C11812" s="6">
        <v>3541</v>
      </c>
      <c r="D11812" s="7">
        <v>1.59</v>
      </c>
      <c r="E11812" t="s">
        <v>10</v>
      </c>
    </row>
    <row r="11813" spans="1:5" x14ac:dyDescent="0.25">
      <c r="A11813" t="str">
        <f>HYPERLINK("https://www.773grp.com/globalSearch/MC34071ADR2G/page-1", "MC34071ADR2G")</f>
        <v>MC34071ADR2G</v>
      </c>
      <c r="B11813" s="3" t="str">
        <f>HYPERLINK("https://www.773grp.com/manufacturer/onsemi?pageNo=1028", "Onsemi")</f>
        <v>Onsemi</v>
      </c>
      <c r="C11813" s="6">
        <v>8382</v>
      </c>
      <c r="D11813" s="7">
        <v>1.59</v>
      </c>
      <c r="E11813" t="s">
        <v>10</v>
      </c>
    </row>
    <row r="11814" spans="1:5" x14ac:dyDescent="0.25">
      <c r="A11814" t="str">
        <f>HYPERLINK("https://www.773grp.com/globalSearch/MC34071APG/page-1", "MC34071APG")</f>
        <v>MC34071APG</v>
      </c>
      <c r="B11814" s="3" t="str">
        <f>HYPERLINK("https://www.773grp.com/manufacturer/onsemi?pageNo=1029", "Onsemi")</f>
        <v>Onsemi</v>
      </c>
      <c r="C11814" s="6">
        <v>1259</v>
      </c>
      <c r="D11814" s="7">
        <v>1.59</v>
      </c>
      <c r="E11814" t="s">
        <v>10</v>
      </c>
    </row>
    <row r="11815" spans="1:5" x14ac:dyDescent="0.25">
      <c r="A11815" t="str">
        <f>HYPERLINK("https://www.773grp.com/globalSearch/MC34072PG/page-1", "MC34072PG")</f>
        <v>MC34072PG</v>
      </c>
      <c r="B11815" s="3" t="str">
        <f>HYPERLINK("https://www.773grp.com/manufacturer/onsemi?pageNo=1030", "Onsemi")</f>
        <v>Onsemi</v>
      </c>
      <c r="C11815" s="6">
        <v>7800</v>
      </c>
      <c r="D11815" s="7">
        <v>1.59</v>
      </c>
      <c r="E11815" t="s">
        <v>10</v>
      </c>
    </row>
    <row r="11816" spans="1:5" x14ac:dyDescent="0.25">
      <c r="A11816" t="str">
        <f>HYPERLINK("https://www.773grp.com/globalSearch/MC74A5-33SNTR/page-1", "MC74A5-33SNTR")</f>
        <v>MC74A5-33SNTR</v>
      </c>
      <c r="B11816" s="3" t="str">
        <f>HYPERLINK("https://www.773grp.com/manufacturer/onsemi?pageNo=1031", "Onsemi")</f>
        <v>Onsemi</v>
      </c>
      <c r="C11816" s="6">
        <v>23900</v>
      </c>
      <c r="D11816" s="7">
        <v>1.59</v>
      </c>
      <c r="E11816" t="s">
        <v>9</v>
      </c>
    </row>
    <row r="11817" spans="1:5" x14ac:dyDescent="0.25">
      <c r="A11817" t="str">
        <f>HYPERLINK("https://www.773grp.com/globalSearch/MC74ACT299DWG/page-1", "MC74ACT299DWG")</f>
        <v>MC74ACT299DWG</v>
      </c>
      <c r="B11817" s="3" t="str">
        <f>HYPERLINK("https://www.773grp.com/manufacturer/onsemi?pageNo=1032", "Onsemi")</f>
        <v>Onsemi</v>
      </c>
      <c r="C11817" s="6">
        <v>1026</v>
      </c>
      <c r="D11817" s="7">
        <v>1.59</v>
      </c>
      <c r="E11817" t="s">
        <v>28</v>
      </c>
    </row>
    <row r="11818" spans="1:5" x14ac:dyDescent="0.25">
      <c r="A11818" t="str">
        <f>HYPERLINK("https://www.773grp.com/globalSearch/MC74LCX16240DTR2/page-1", "MC74LCX16240DTR2")</f>
        <v>MC74LCX16240DTR2</v>
      </c>
      <c r="B11818" s="3" t="str">
        <f>HYPERLINK("https://www.773grp.com/manufacturer/onsemi?pageNo=1033", "Onsemi")</f>
        <v>Onsemi</v>
      </c>
      <c r="C11818" s="6">
        <v>10000</v>
      </c>
      <c r="D11818" s="7">
        <v>1.59</v>
      </c>
      <c r="E11818" t="s">
        <v>11</v>
      </c>
    </row>
    <row r="11819" spans="1:5" x14ac:dyDescent="0.25">
      <c r="A11819" t="str">
        <f>HYPERLINK("https://www.773grp.com/globalSearch/MC74LCX16240DTRG/page-1", "MC74LCX16240DTRG")</f>
        <v>MC74LCX16240DTRG</v>
      </c>
      <c r="B11819" s="3" t="str">
        <f>HYPERLINK("https://www.773grp.com/manufacturer/onsemi?pageNo=1034", "Onsemi")</f>
        <v>Onsemi</v>
      </c>
      <c r="C11819" s="6">
        <v>2475</v>
      </c>
      <c r="D11819" s="7">
        <v>1.59</v>
      </c>
      <c r="E11819" t="s">
        <v>11</v>
      </c>
    </row>
    <row r="11820" spans="1:5" x14ac:dyDescent="0.25">
      <c r="A11820" t="str">
        <f>HYPERLINK("https://www.773grp.com/globalSearch/MC74LCX16244DT/page-1", "MC74LCX16244DT")</f>
        <v>MC74LCX16244DT</v>
      </c>
      <c r="B11820" s="3" t="str">
        <f>HYPERLINK("https://www.773grp.com/manufacturer/onsemi?pageNo=1035", "Onsemi")</f>
        <v>Onsemi</v>
      </c>
      <c r="C11820" s="6">
        <v>13455</v>
      </c>
      <c r="D11820" s="7">
        <v>1.59</v>
      </c>
      <c r="E11820" t="s">
        <v>11</v>
      </c>
    </row>
    <row r="11821" spans="1:5" x14ac:dyDescent="0.25">
      <c r="A11821" t="str">
        <f>HYPERLINK("https://www.773grp.com/globalSearch/MC74LCX16244DTR2/page-1", "MC74LCX16244DTR2")</f>
        <v>MC74LCX16244DTR2</v>
      </c>
      <c r="B11821" s="3" t="str">
        <f>HYPERLINK("https://www.773grp.com/manufacturer/onsemi?pageNo=1036", "Onsemi")</f>
        <v>Onsemi</v>
      </c>
      <c r="C11821" s="6">
        <v>241510</v>
      </c>
      <c r="D11821" s="7">
        <v>1.59</v>
      </c>
      <c r="E11821" t="s">
        <v>11</v>
      </c>
    </row>
    <row r="11822" spans="1:5" x14ac:dyDescent="0.25">
      <c r="A11822" t="str">
        <f>HYPERLINK("https://www.773grp.com/globalSearch/MC74LCX16244DTRG/page-1", "MC74LCX16244DTRG")</f>
        <v>MC74LCX16244DTRG</v>
      </c>
      <c r="B11822" s="3" t="str">
        <f>HYPERLINK("https://www.773grp.com/manufacturer/onsemi?pageNo=1037", "Onsemi")</f>
        <v>Onsemi</v>
      </c>
      <c r="C11822" s="6">
        <v>62430</v>
      </c>
      <c r="D11822" s="7">
        <v>1.59</v>
      </c>
      <c r="E11822" t="s">
        <v>11</v>
      </c>
    </row>
    <row r="11823" spans="1:5" x14ac:dyDescent="0.25">
      <c r="A11823" t="str">
        <f>HYPERLINK("https://www.773grp.com/globalSearch/MC74LCX16245DTR2/page-1", "MC74LCX16245DTR2")</f>
        <v>MC74LCX16245DTR2</v>
      </c>
      <c r="B11823" s="3" t="str">
        <f>HYPERLINK("https://www.773grp.com/manufacturer/onsemi?pageNo=1038", "Onsemi")</f>
        <v>Onsemi</v>
      </c>
      <c r="C11823" s="6">
        <v>32236</v>
      </c>
      <c r="D11823" s="7">
        <v>1.59</v>
      </c>
      <c r="E11823" t="s">
        <v>11</v>
      </c>
    </row>
    <row r="11824" spans="1:5" x14ac:dyDescent="0.25">
      <c r="A11824" t="str">
        <f>HYPERLINK("https://www.773grp.com/globalSearch/MC74LCX16373DT/page-1", "MC74LCX16373DT")</f>
        <v>MC74LCX16373DT</v>
      </c>
      <c r="B11824" s="3" t="str">
        <f>HYPERLINK("https://www.773grp.com/manufacturer/onsemi?pageNo=1039", "Onsemi")</f>
        <v>Onsemi</v>
      </c>
      <c r="C11824" s="6">
        <v>12747</v>
      </c>
      <c r="D11824" s="7">
        <v>1.59</v>
      </c>
      <c r="E11824" t="s">
        <v>11</v>
      </c>
    </row>
    <row r="11825" spans="1:5" x14ac:dyDescent="0.25">
      <c r="A11825" t="str">
        <f>HYPERLINK("https://www.773grp.com/globalSearch/MC74LCX16373DTR2/page-1", "MC74LCX16373DTR2")</f>
        <v>MC74LCX16373DTR2</v>
      </c>
      <c r="B11825" s="3" t="str">
        <f>HYPERLINK("https://www.773grp.com/manufacturer/onsemi?pageNo=1040", "Onsemi")</f>
        <v>Onsemi</v>
      </c>
      <c r="C11825" s="6">
        <v>192330</v>
      </c>
      <c r="D11825" s="7">
        <v>1.59</v>
      </c>
      <c r="E11825" t="s">
        <v>11</v>
      </c>
    </row>
    <row r="11826" spans="1:5" x14ac:dyDescent="0.25">
      <c r="A11826" t="str">
        <f>HYPERLINK("https://www.773grp.com/globalSearch/MC74LCX16374DT/page-1", "MC74LCX16374DT")</f>
        <v>MC74LCX16374DT</v>
      </c>
      <c r="B11826" s="3" t="str">
        <f>HYPERLINK("https://www.773grp.com/manufacturer/onsemi?pageNo=1041", "Onsemi")</f>
        <v>Onsemi</v>
      </c>
      <c r="C11826" s="6">
        <v>3393</v>
      </c>
      <c r="D11826" s="7">
        <v>1.59</v>
      </c>
      <c r="E11826" t="s">
        <v>11</v>
      </c>
    </row>
    <row r="11827" spans="1:5" x14ac:dyDescent="0.25">
      <c r="A11827" t="str">
        <f>HYPERLINK("https://www.773grp.com/globalSearch/MC74LCX16374DTR2/page-1", "MC74LCX16374DTR2")</f>
        <v>MC74LCX16374DTR2</v>
      </c>
      <c r="B11827" s="3" t="str">
        <f>HYPERLINK("https://www.773grp.com/manufacturer/onsemi?pageNo=1042", "Onsemi")</f>
        <v>Onsemi</v>
      </c>
      <c r="C11827" s="6">
        <v>46889</v>
      </c>
      <c r="D11827" s="7">
        <v>1.59</v>
      </c>
      <c r="E11827" t="s">
        <v>11</v>
      </c>
    </row>
    <row r="11828" spans="1:5" x14ac:dyDescent="0.25">
      <c r="A11828" t="str">
        <f>HYPERLINK("https://www.773grp.com/globalSearch/MC74LCX16374DTRG/page-1", "MC74LCX16374DTRG")</f>
        <v>MC74LCX16374DTRG</v>
      </c>
      <c r="B11828" s="3" t="str">
        <f>HYPERLINK("https://www.773grp.com/manufacturer/onsemi?pageNo=1043", "Onsemi")</f>
        <v>Onsemi</v>
      </c>
      <c r="C11828" s="6">
        <v>15535</v>
      </c>
      <c r="D11828" s="7">
        <v>1.59</v>
      </c>
      <c r="E11828" t="s">
        <v>11</v>
      </c>
    </row>
    <row r="11829" spans="1:5" x14ac:dyDescent="0.25">
      <c r="A11829" t="str">
        <f>HYPERLINK("https://www.773grp.com/globalSearch/MC74LCX540MELG/page-1", "MC74LCX540MELG")</f>
        <v>MC74LCX540MELG</v>
      </c>
      <c r="B11829" s="3" t="str">
        <f>HYPERLINK("https://www.773grp.com/manufacturer/onsemi?pageNo=1044", "Onsemi")</f>
        <v>Onsemi</v>
      </c>
      <c r="C11829" s="6">
        <v>10599</v>
      </c>
      <c r="D11829" s="7">
        <v>1.59</v>
      </c>
      <c r="E11829" t="s">
        <v>11</v>
      </c>
    </row>
    <row r="11830" spans="1:5" x14ac:dyDescent="0.25">
      <c r="A11830" t="str">
        <f>HYPERLINK("https://www.773grp.com/globalSearch/MC74LCX541MELG/page-1", "MC74LCX541MELG")</f>
        <v>MC74LCX541MELG</v>
      </c>
      <c r="B11830" s="3" t="str">
        <f>HYPERLINK("https://www.773grp.com/manufacturer/onsemi?pageNo=1045", "Onsemi")</f>
        <v>Onsemi</v>
      </c>
      <c r="C11830" s="6">
        <v>43385</v>
      </c>
      <c r="D11830" s="7">
        <v>1.59</v>
      </c>
      <c r="E11830" t="s">
        <v>11</v>
      </c>
    </row>
    <row r="11831" spans="1:5" x14ac:dyDescent="0.25">
      <c r="A11831" t="str">
        <f>HYPERLINK("https://www.773grp.com/globalSearch/MC74LVX8051DR2G/page-1", "MC74LVX8051DR2G")</f>
        <v>MC74LVX8051DR2G</v>
      </c>
      <c r="B11831" s="3" t="str">
        <f>HYPERLINK("https://www.773grp.com/manufacturer/onsemi?pageNo=1046", "Onsemi")</f>
        <v>Onsemi</v>
      </c>
      <c r="C11831" s="6">
        <v>9596</v>
      </c>
      <c r="D11831" s="7">
        <v>1.59</v>
      </c>
      <c r="E11831" t="s">
        <v>46</v>
      </c>
    </row>
    <row r="11832" spans="1:5" x14ac:dyDescent="0.25">
      <c r="A11832" t="str">
        <f>HYPERLINK("https://www.773grp.com/globalSearch/MC74LVX8051DTG/page-1", "MC74LVX8051DTG")</f>
        <v>MC74LVX8051DTG</v>
      </c>
      <c r="B11832" s="3" t="str">
        <f>HYPERLINK("https://www.773grp.com/manufacturer/onsemi?pageNo=1047", "Onsemi")</f>
        <v>Onsemi</v>
      </c>
      <c r="C11832" s="6">
        <v>5453</v>
      </c>
      <c r="D11832" s="7">
        <v>1.59</v>
      </c>
      <c r="E11832" t="s">
        <v>46</v>
      </c>
    </row>
    <row r="11833" spans="1:5" x14ac:dyDescent="0.25">
      <c r="A11833" t="str">
        <f>HYPERLINK("https://www.773grp.com/globalSearch/MC74LVX8053DR2G/page-1", "MC74LVX8053DR2G")</f>
        <v>MC74LVX8053DR2G</v>
      </c>
      <c r="B11833" s="3" t="str">
        <f>HYPERLINK("https://www.773grp.com/manufacturer/onsemi?pageNo=1048", "Onsemi")</f>
        <v>Onsemi</v>
      </c>
      <c r="C11833" s="6">
        <v>7890</v>
      </c>
      <c r="D11833" s="7">
        <v>1.59</v>
      </c>
      <c r="E11833" t="s">
        <v>46</v>
      </c>
    </row>
    <row r="11834" spans="1:5" x14ac:dyDescent="0.25">
      <c r="A11834" t="str">
        <f>HYPERLINK("https://www.773grp.com/globalSearch/MC74LVX8053DTR2G/page-1", "MC74LVX8053DTR2G")</f>
        <v>MC74LVX8053DTR2G</v>
      </c>
      <c r="B11834" s="3" t="str">
        <f>HYPERLINK("https://www.773grp.com/manufacturer/onsemi?pageNo=1049", "Onsemi")</f>
        <v>Onsemi</v>
      </c>
      <c r="C11834" s="6">
        <v>11489</v>
      </c>
      <c r="D11834" s="7">
        <v>1.59</v>
      </c>
      <c r="E11834" t="s">
        <v>46</v>
      </c>
    </row>
    <row r="11835" spans="1:5" x14ac:dyDescent="0.25">
      <c r="A11835" t="str">
        <f>HYPERLINK("https://www.773grp.com/globalSearch/MC74LVXT8051DG/page-1", "MC74LVXT8051DG")</f>
        <v>MC74LVXT8051DG</v>
      </c>
      <c r="B11835" s="3" t="str">
        <f>HYPERLINK("https://www.773grp.com/manufacturer/onsemi?pageNo=1050", "Onsemi")</f>
        <v>Onsemi</v>
      </c>
      <c r="C11835" s="6">
        <v>9958</v>
      </c>
      <c r="D11835" s="7">
        <v>1.59</v>
      </c>
      <c r="E11835" t="s">
        <v>46</v>
      </c>
    </row>
    <row r="11836" spans="1:5" x14ac:dyDescent="0.25">
      <c r="A11836" t="str">
        <f>HYPERLINK("https://www.773grp.com/globalSearch/MC74LVXT8051DR2G/page-1", "MC74LVXT8051DR2G")</f>
        <v>MC74LVXT8051DR2G</v>
      </c>
      <c r="B11836" s="3" t="str">
        <f>HYPERLINK("https://www.773grp.com/manufacturer/onsemi?pageNo=1051", "Onsemi")</f>
        <v>Onsemi</v>
      </c>
      <c r="C11836" s="6">
        <v>13675</v>
      </c>
      <c r="D11836" s="7">
        <v>1.59</v>
      </c>
      <c r="E11836" t="s">
        <v>46</v>
      </c>
    </row>
    <row r="11837" spans="1:5" x14ac:dyDescent="0.25">
      <c r="A11837" t="str">
        <f>HYPERLINK("https://www.773grp.com/globalSearch/MC74LVXT8053DR2G/page-1", "MC74LVXT8053DR2G")</f>
        <v>MC74LVXT8053DR2G</v>
      </c>
      <c r="B11837" s="3" t="str">
        <f>HYPERLINK("https://www.773grp.com/manufacturer/onsemi?pageNo=1052", "Onsemi")</f>
        <v>Onsemi</v>
      </c>
      <c r="C11837" s="6">
        <v>5000</v>
      </c>
      <c r="D11837" s="7">
        <v>1.59</v>
      </c>
      <c r="E11837" t="s">
        <v>46</v>
      </c>
    </row>
    <row r="11838" spans="1:5" x14ac:dyDescent="0.25">
      <c r="A11838" t="str">
        <f>HYPERLINK("https://www.773grp.com/globalSearch/MC7805BDTG/page-1", "MC7805BDTG")</f>
        <v>MC7805BDTG</v>
      </c>
      <c r="B11838" s="3" t="str">
        <f>HYPERLINK("https://www.773grp.com/manufacturer/onsemi?pageNo=1053", "Onsemi")</f>
        <v>Onsemi</v>
      </c>
      <c r="C11838" s="6">
        <v>4975</v>
      </c>
      <c r="D11838" s="7">
        <v>1.59</v>
      </c>
      <c r="E11838" t="s">
        <v>24</v>
      </c>
    </row>
    <row r="11839" spans="1:5" x14ac:dyDescent="0.25">
      <c r="A11839" t="str">
        <f>HYPERLINK("https://www.773grp.com/globalSearch/MC7805BDTRKG/page-1", "MC7805BDTRKG")</f>
        <v>MC7805BDTRKG</v>
      </c>
      <c r="B11839" s="3" t="str">
        <f>HYPERLINK("https://www.773grp.com/manufacturer/onsemi?pageNo=1054", "Onsemi")</f>
        <v>Onsemi</v>
      </c>
      <c r="C11839" s="6">
        <v>120719</v>
      </c>
      <c r="D11839" s="7">
        <v>1.59</v>
      </c>
      <c r="E11839" t="s">
        <v>24</v>
      </c>
    </row>
    <row r="11840" spans="1:5" x14ac:dyDescent="0.25">
      <c r="A11840" t="str">
        <f>HYPERLINK("https://www.773grp.com/globalSearch/MC7808BDTG/page-1", "MC7808BDTG")</f>
        <v>MC7808BDTG</v>
      </c>
      <c r="B11840" s="3" t="str">
        <f>HYPERLINK("https://www.773grp.com/manufacturer/onsemi?pageNo=1055", "Onsemi")</f>
        <v>Onsemi</v>
      </c>
      <c r="C11840" s="6">
        <v>20395</v>
      </c>
      <c r="D11840" s="7">
        <v>1.59</v>
      </c>
      <c r="E11840" t="s">
        <v>24</v>
      </c>
    </row>
    <row r="11841" spans="1:5" x14ac:dyDescent="0.25">
      <c r="A11841" t="str">
        <f>HYPERLINK("https://www.773grp.com/globalSearch/MC7808BDTRKG/page-1", "MC7808BDTRKG")</f>
        <v>MC7808BDTRKG</v>
      </c>
      <c r="B11841" s="3" t="str">
        <f>HYPERLINK("https://www.773grp.com/manufacturer/onsemi?pageNo=1056", "Onsemi")</f>
        <v>Onsemi</v>
      </c>
      <c r="C11841" s="6">
        <v>29966</v>
      </c>
      <c r="D11841" s="7">
        <v>1.59</v>
      </c>
      <c r="E11841" t="s">
        <v>24</v>
      </c>
    </row>
    <row r="11842" spans="1:5" x14ac:dyDescent="0.25">
      <c r="A11842" t="str">
        <f>HYPERLINK("https://www.773grp.com/globalSearch/MC7812BDTG/page-1", "MC7812BDTG")</f>
        <v>MC7812BDTG</v>
      </c>
      <c r="B11842" s="3" t="str">
        <f>HYPERLINK("https://www.773grp.com/manufacturer/onsemi?pageNo=1057", "Onsemi")</f>
        <v>Onsemi</v>
      </c>
      <c r="C11842" s="6">
        <v>11025</v>
      </c>
      <c r="D11842" s="7">
        <v>1.59</v>
      </c>
      <c r="E11842" t="s">
        <v>24</v>
      </c>
    </row>
    <row r="11843" spans="1:5" x14ac:dyDescent="0.25">
      <c r="A11843" t="str">
        <f>HYPERLINK("https://www.773grp.com/globalSearch/MC7812BDTRKG/page-1", "MC7812BDTRKG")</f>
        <v>MC7812BDTRKG</v>
      </c>
      <c r="B11843" s="3" t="str">
        <f>HYPERLINK("https://www.773grp.com/manufacturer/onsemi?pageNo=1058", "Onsemi")</f>
        <v>Onsemi</v>
      </c>
      <c r="C11843" s="6">
        <v>2500</v>
      </c>
      <c r="D11843" s="7">
        <v>1.59</v>
      </c>
    </row>
    <row r="11844" spans="1:5" x14ac:dyDescent="0.25">
      <c r="A11844" t="str">
        <f>HYPERLINK("https://www.773grp.com/globalSearch/MC7815BDTG/page-1", "MC7815BDTG")</f>
        <v>MC7815BDTG</v>
      </c>
      <c r="B11844" s="3" t="str">
        <f>HYPERLINK("https://www.773grp.com/manufacturer/onsemi?pageNo=1059", "Onsemi")</f>
        <v>Onsemi</v>
      </c>
      <c r="C11844" s="6">
        <v>1938</v>
      </c>
      <c r="D11844" s="7">
        <v>1.59</v>
      </c>
    </row>
    <row r="11845" spans="1:5" x14ac:dyDescent="0.25">
      <c r="A11845" t="str">
        <f>HYPERLINK("https://www.773grp.com/globalSearch/MC7815BDTRKG/page-1", "MC7815BDTRKG")</f>
        <v>MC7815BDTRKG</v>
      </c>
      <c r="B11845" s="3" t="str">
        <f>HYPERLINK("https://www.773grp.com/manufacturer/onsemi?pageNo=1060", "Onsemi")</f>
        <v>Onsemi</v>
      </c>
      <c r="C11845" s="6">
        <v>5000</v>
      </c>
      <c r="D11845" s="7">
        <v>1.59</v>
      </c>
    </row>
    <row r="11846" spans="1:5" x14ac:dyDescent="0.25">
      <c r="A11846" t="str">
        <f>HYPERLINK("https://www.773grp.com/globalSearch/MC78FC30HT1G/page-1", "MC78FC30HT1G")</f>
        <v>MC78FC30HT1G</v>
      </c>
      <c r="B11846" s="3" t="str">
        <f>HYPERLINK("https://www.773grp.com/manufacturer/onsemi?pageNo=1061", "Onsemi")</f>
        <v>Onsemi</v>
      </c>
      <c r="C11846" s="6">
        <v>3000</v>
      </c>
      <c r="D11846" s="7">
        <v>1.59</v>
      </c>
      <c r="E11846" t="s">
        <v>15</v>
      </c>
    </row>
    <row r="11847" spans="1:5" x14ac:dyDescent="0.25">
      <c r="A11847" t="str">
        <f>HYPERLINK("https://www.773grp.com/globalSearch/MC78FC33HT1G/page-1", "MC78FC33HT1G")</f>
        <v>MC78FC33HT1G</v>
      </c>
      <c r="B11847" s="3" t="str">
        <f>HYPERLINK("https://www.773grp.com/manufacturer/onsemi?pageNo=1062", "Onsemi")</f>
        <v>Onsemi</v>
      </c>
      <c r="C11847" s="6">
        <v>108744</v>
      </c>
      <c r="D11847" s="7">
        <v>1.59</v>
      </c>
      <c r="E11847" t="s">
        <v>15</v>
      </c>
    </row>
    <row r="11848" spans="1:5" x14ac:dyDescent="0.25">
      <c r="A11848" t="str">
        <f>HYPERLINK("https://www.773grp.com/globalSearch/MC78FC40HT1G/page-1", "MC78FC40HT1G")</f>
        <v>MC78FC40HT1G</v>
      </c>
      <c r="B11848" s="3" t="str">
        <f>HYPERLINK("https://www.773grp.com/manufacturer/onsemi?pageNo=1063", "Onsemi")</f>
        <v>Onsemi</v>
      </c>
      <c r="C11848" s="6">
        <v>1000</v>
      </c>
      <c r="D11848" s="7">
        <v>1.59</v>
      </c>
    </row>
    <row r="11849" spans="1:5" x14ac:dyDescent="0.25">
      <c r="A11849" t="str">
        <f>HYPERLINK("https://www.773grp.com/globalSearch/MC78FC50HT1G/page-1", "MC78FC50HT1G")</f>
        <v>MC78FC50HT1G</v>
      </c>
      <c r="B11849" s="3" t="str">
        <f>HYPERLINK("https://www.773grp.com/manufacturer/onsemi?pageNo=1064", "Onsemi")</f>
        <v>Onsemi</v>
      </c>
      <c r="C11849" s="6">
        <v>1000</v>
      </c>
      <c r="D11849" s="7">
        <v>1.59</v>
      </c>
    </row>
    <row r="11850" spans="1:5" x14ac:dyDescent="0.25">
      <c r="A11850" t="str">
        <f>HYPERLINK("https://www.773grp.com/globalSearch/MCR12DCMT4G/page-1", "MCR12DCMT4G")</f>
        <v>MCR12DCMT4G</v>
      </c>
      <c r="B11850" s="3" t="str">
        <f>HYPERLINK("https://www.773grp.com/manufacturer/onsemi?pageNo=1065", "Onsemi")</f>
        <v>Onsemi</v>
      </c>
      <c r="C11850" s="6">
        <v>2500</v>
      </c>
      <c r="D11850" s="7">
        <v>1.59</v>
      </c>
      <c r="E11850" t="s">
        <v>76</v>
      </c>
    </row>
    <row r="11851" spans="1:5" x14ac:dyDescent="0.25">
      <c r="A11851" t="str">
        <f>HYPERLINK("https://www.773grp.com/globalSearch/MCR12DSMT4G/page-1", "MCR12DSMT4G")</f>
        <v>MCR12DSMT4G</v>
      </c>
      <c r="B11851" s="3" t="str">
        <f>HYPERLINK("https://www.773grp.com/manufacturer/onsemi?pageNo=1066", "Onsemi")</f>
        <v>Onsemi</v>
      </c>
      <c r="C11851" s="6">
        <v>107500</v>
      </c>
      <c r="D11851" s="7">
        <v>1.59</v>
      </c>
      <c r="E11851" t="s">
        <v>76</v>
      </c>
    </row>
    <row r="11852" spans="1:5" x14ac:dyDescent="0.25">
      <c r="A11852" t="str">
        <f>HYPERLINK("https://www.773grp.com/globalSearch/MCR218-6T/page-1", "MCR218-6T")</f>
        <v>MCR218-6T</v>
      </c>
      <c r="B11852" s="3" t="str">
        <f>HYPERLINK("https://www.773grp.com/manufacturer/onsemi?pageNo=1067", "Onsemi")</f>
        <v>Onsemi</v>
      </c>
      <c r="C11852" s="6">
        <v>3250</v>
      </c>
      <c r="D11852" s="7">
        <v>1.59</v>
      </c>
    </row>
    <row r="11853" spans="1:5" x14ac:dyDescent="0.25">
      <c r="A11853" t="str">
        <f>HYPERLINK("https://www.773grp.com/globalSearch/MCR8DSMT4G/page-1", "MCR8DSMT4G")</f>
        <v>MCR8DSMT4G</v>
      </c>
      <c r="B11853" s="3" t="str">
        <f>HYPERLINK("https://www.773grp.com/manufacturer/onsemi?pageNo=1068", "Onsemi")</f>
        <v>Onsemi</v>
      </c>
      <c r="C11853" s="6">
        <v>12087</v>
      </c>
      <c r="D11853" s="7">
        <v>1.59</v>
      </c>
      <c r="E11853" t="s">
        <v>76</v>
      </c>
    </row>
    <row r="11854" spans="1:5" x14ac:dyDescent="0.25">
      <c r="A11854" t="str">
        <f>HYPERLINK("https://www.773grp.com/globalSearch/MCR8DSNT4G/page-1", "MCR8DSNT4G")</f>
        <v>MCR8DSNT4G</v>
      </c>
      <c r="B11854" s="3" t="str">
        <f>HYPERLINK("https://www.773grp.com/manufacturer/onsemi?pageNo=1069", "Onsemi")</f>
        <v>Onsemi</v>
      </c>
      <c r="C11854" s="6">
        <v>2250</v>
      </c>
      <c r="D11854" s="7">
        <v>1.59</v>
      </c>
      <c r="E11854" t="s">
        <v>76</v>
      </c>
    </row>
    <row r="11855" spans="1:5" x14ac:dyDescent="0.25">
      <c r="A11855" t="str">
        <f>HYPERLINK("https://www.773grp.com/globalSearch/MJD31CT4/page-1", "MJD31CT4")</f>
        <v>MJD31CT4</v>
      </c>
      <c r="B11855" s="3" t="str">
        <f>HYPERLINK("https://www.773grp.com/manufacturer/onsemi?pageNo=1070", "Onsemi")</f>
        <v>Onsemi</v>
      </c>
      <c r="C11855" s="6">
        <v>25000</v>
      </c>
      <c r="D11855" s="7">
        <v>1.59</v>
      </c>
    </row>
    <row r="11856" spans="1:5" x14ac:dyDescent="0.25">
      <c r="A11856" t="str">
        <f>HYPERLINK("https://www.773grp.com/globalSearch/MMDFS2P102R2/page-1", "MMDFS2P102R2")</f>
        <v>MMDFS2P102R2</v>
      </c>
      <c r="B11856" s="3" t="str">
        <f>HYPERLINK("https://www.773grp.com/manufacturer/onsemi?pageNo=1071", "Onsemi")</f>
        <v>Onsemi</v>
      </c>
      <c r="C11856" s="6">
        <v>1340</v>
      </c>
      <c r="D11856" s="7">
        <v>1.59</v>
      </c>
      <c r="E11856" t="s">
        <v>84</v>
      </c>
    </row>
    <row r="11857" spans="1:5" x14ac:dyDescent="0.25">
      <c r="A11857" t="str">
        <f>HYPERLINK("https://www.773grp.com/globalSearch/MMT05A230T3G/page-1", "MMT05A230T3G")</f>
        <v>MMT05A230T3G</v>
      </c>
      <c r="B11857" s="3" t="str">
        <f>HYPERLINK("https://www.773grp.com/manufacturer/onsemi?pageNo=1072", "Onsemi")</f>
        <v>Onsemi</v>
      </c>
      <c r="C11857" s="6">
        <v>5000</v>
      </c>
      <c r="D11857" s="7">
        <v>1.59</v>
      </c>
      <c r="E11857" t="s">
        <v>88</v>
      </c>
    </row>
    <row r="11858" spans="1:5" x14ac:dyDescent="0.25">
      <c r="A11858" t="str">
        <f>HYPERLINK("https://www.773grp.com/globalSearch/MMT05A310T3G/page-1", "MMT05A310T3G")</f>
        <v>MMT05A310T3G</v>
      </c>
      <c r="B11858" s="3" t="str">
        <f>HYPERLINK("https://www.773grp.com/manufacturer/onsemi?pageNo=1073", "Onsemi")</f>
        <v>Onsemi</v>
      </c>
      <c r="C11858" s="6">
        <v>59974</v>
      </c>
      <c r="D11858" s="7">
        <v>1.59</v>
      </c>
      <c r="E11858" t="s">
        <v>88</v>
      </c>
    </row>
    <row r="11859" spans="1:5" x14ac:dyDescent="0.25">
      <c r="A11859" t="str">
        <f>HYPERLINK("https://www.773grp.com/globalSearch/MMT05B350T3G/page-1", "MMT05B350T3G")</f>
        <v>MMT05B350T3G</v>
      </c>
      <c r="B11859" s="3" t="str">
        <f>HYPERLINK("https://www.773grp.com/manufacturer/onsemi?pageNo=1074", "Onsemi")</f>
        <v>Onsemi</v>
      </c>
      <c r="C11859" s="6">
        <v>19944</v>
      </c>
      <c r="D11859" s="7">
        <v>1.59</v>
      </c>
      <c r="E11859" t="s">
        <v>88</v>
      </c>
    </row>
    <row r="11860" spans="1:5" x14ac:dyDescent="0.25">
      <c r="A11860" t="str">
        <f>HYPERLINK("https://www.773grp.com/globalSearch/MTD6N20ET4G/page-1", "MTD6N20ET4G")</f>
        <v>MTD6N20ET4G</v>
      </c>
      <c r="B11860" s="3" t="str">
        <f>HYPERLINK("https://www.773grp.com/manufacturer/onsemi?pageNo=1075", "Onsemi")</f>
        <v>Onsemi</v>
      </c>
      <c r="C11860" s="6">
        <v>12547</v>
      </c>
      <c r="D11860" s="7">
        <v>1.59</v>
      </c>
      <c r="E11860" t="s">
        <v>84</v>
      </c>
    </row>
    <row r="11861" spans="1:5" x14ac:dyDescent="0.25">
      <c r="A11861" t="str">
        <f>HYPERLINK("https://www.773grp.com/globalSearch/MUR1510/page-1", "MUR1510")</f>
        <v>MUR1510</v>
      </c>
      <c r="B11861" s="3" t="str">
        <f>HYPERLINK("https://www.773grp.com/manufacturer/onsemi?pageNo=1076", "Onsemi")</f>
        <v>Onsemi</v>
      </c>
      <c r="C11861" s="6">
        <v>735</v>
      </c>
      <c r="D11861" s="7">
        <v>1.59</v>
      </c>
      <c r="E11861" t="s">
        <v>82</v>
      </c>
    </row>
    <row r="11862" spans="1:5" x14ac:dyDescent="0.25">
      <c r="A11862" t="str">
        <f>HYPERLINK("https://www.773grp.com/globalSearch/NCL30105DR2G/page-1", "NCL30105DR2G")</f>
        <v>NCL30105DR2G</v>
      </c>
      <c r="B11862" s="3" t="str">
        <f>HYPERLINK("https://www.773grp.com/manufacturer/onsemi?pageNo=1077", "Onsemi")</f>
        <v>Onsemi</v>
      </c>
      <c r="C11862" s="6">
        <v>242500</v>
      </c>
      <c r="D11862" s="7">
        <v>1.59</v>
      </c>
    </row>
    <row r="11863" spans="1:5" x14ac:dyDescent="0.25">
      <c r="A11863" t="str">
        <f>HYPERLINK("https://www.773grp.com/globalSearch/NCP1012AP065G/page-1", "NCP1012AP065G")</f>
        <v>NCP1012AP065G</v>
      </c>
      <c r="B11863" s="3" t="str">
        <f>HYPERLINK("https://www.773grp.com/manufacturer/onsemi?pageNo=1078", "Onsemi")</f>
        <v>Onsemi</v>
      </c>
      <c r="C11863" s="6">
        <v>13010</v>
      </c>
      <c r="D11863" s="7">
        <v>1.59</v>
      </c>
      <c r="E11863" t="s">
        <v>5</v>
      </c>
    </row>
    <row r="11864" spans="1:5" x14ac:dyDescent="0.25">
      <c r="A11864" t="str">
        <f>HYPERLINK("https://www.773grp.com/globalSearch/NCP1013AP065G/page-1", "NCP1013AP065G")</f>
        <v>NCP1013AP065G</v>
      </c>
      <c r="B11864" s="3" t="str">
        <f>HYPERLINK("https://www.773grp.com/manufacturer/onsemi?pageNo=1079", "Onsemi")</f>
        <v>Onsemi</v>
      </c>
      <c r="C11864" s="6">
        <v>9368</v>
      </c>
      <c r="D11864" s="7">
        <v>1.59</v>
      </c>
      <c r="E11864" t="s">
        <v>5</v>
      </c>
    </row>
    <row r="11865" spans="1:5" x14ac:dyDescent="0.25">
      <c r="A11865" t="str">
        <f>HYPERLINK("https://www.773grp.com/globalSearch/NCP1013AP100G/page-1", "NCP1013AP100G")</f>
        <v>NCP1013AP100G</v>
      </c>
      <c r="B11865" s="3" t="str">
        <f>HYPERLINK("https://www.773grp.com/manufacturer/onsemi?pageNo=1080", "Onsemi")</f>
        <v>Onsemi</v>
      </c>
      <c r="C11865" s="6">
        <v>2000</v>
      </c>
      <c r="D11865" s="7">
        <v>1.59</v>
      </c>
    </row>
    <row r="11866" spans="1:5" x14ac:dyDescent="0.25">
      <c r="A11866" t="str">
        <f>HYPERLINK("https://www.773grp.com/globalSearch/NCP1013AP133G/page-1", "NCP1013AP133G")</f>
        <v>NCP1013AP133G</v>
      </c>
      <c r="B11866" s="3" t="str">
        <f>HYPERLINK("https://www.773grp.com/manufacturer/onsemi?pageNo=1081", "Onsemi")</f>
        <v>Onsemi</v>
      </c>
      <c r="C11866" s="6">
        <v>21000</v>
      </c>
      <c r="D11866" s="7">
        <v>1.59</v>
      </c>
      <c r="E11866" t="s">
        <v>5</v>
      </c>
    </row>
    <row r="11867" spans="1:5" x14ac:dyDescent="0.25">
      <c r="A11867" t="str">
        <f>HYPERLINK("https://www.773grp.com/globalSearch/NCP1014AP065G/page-1", "NCP1014AP065G")</f>
        <v>NCP1014AP065G</v>
      </c>
      <c r="B11867" s="3" t="str">
        <f>HYPERLINK("https://www.773grp.com/manufacturer/onsemi?pageNo=1082", "Onsemi")</f>
        <v>Onsemi</v>
      </c>
      <c r="C11867" s="6">
        <v>40</v>
      </c>
      <c r="D11867" s="7">
        <v>1.59</v>
      </c>
      <c r="E11867" t="s">
        <v>5</v>
      </c>
    </row>
    <row r="11868" spans="1:5" x14ac:dyDescent="0.25">
      <c r="A11868" t="str">
        <f>HYPERLINK("https://www.773grp.com/globalSearch/NCP112D/page-1", "NCP112D")</f>
        <v>NCP112D</v>
      </c>
      <c r="B11868" s="3" t="str">
        <f>HYPERLINK("https://www.773grp.com/manufacturer/onsemi?pageNo=1083", "Onsemi")</f>
        <v>Onsemi</v>
      </c>
      <c r="C11868" s="6">
        <v>1923</v>
      </c>
      <c r="D11868" s="7">
        <v>1.59</v>
      </c>
      <c r="E11868" t="s">
        <v>26</v>
      </c>
    </row>
    <row r="11869" spans="1:5" x14ac:dyDescent="0.25">
      <c r="A11869" t="str">
        <f>HYPERLINK("https://www.773grp.com/globalSearch/NCP112DR2/page-1", "NCP112DR2")</f>
        <v>NCP112DR2</v>
      </c>
      <c r="B11869" s="3" t="str">
        <f>HYPERLINK("https://www.773grp.com/manufacturer/onsemi?pageNo=1084", "Onsemi")</f>
        <v>Onsemi</v>
      </c>
      <c r="C11869" s="6">
        <v>4945</v>
      </c>
      <c r="D11869" s="7">
        <v>1.59</v>
      </c>
      <c r="E11869" t="s">
        <v>26</v>
      </c>
    </row>
    <row r="11870" spans="1:5" x14ac:dyDescent="0.25">
      <c r="A11870" t="str">
        <f>HYPERLINK("https://www.773grp.com/globalSearch/NCP112DR2G/page-1", "NCP112DR2G")</f>
        <v>NCP112DR2G</v>
      </c>
      <c r="B11870" s="3" t="str">
        <f>HYPERLINK("https://www.773grp.com/manufacturer/onsemi?pageNo=1085", "Onsemi")</f>
        <v>Onsemi</v>
      </c>
      <c r="C11870" s="6">
        <v>2445</v>
      </c>
      <c r="D11870" s="7">
        <v>1.59</v>
      </c>
      <c r="E11870" t="s">
        <v>26</v>
      </c>
    </row>
    <row r="11871" spans="1:5" x14ac:dyDescent="0.25">
      <c r="A11871" t="str">
        <f>HYPERLINK("https://www.773grp.com/globalSearch/NCP112P/page-1", "NCP112P")</f>
        <v>NCP112P</v>
      </c>
      <c r="B11871" s="3" t="str">
        <f>HYPERLINK("https://www.773grp.com/manufacturer/onsemi?pageNo=1086", "Onsemi")</f>
        <v>Onsemi</v>
      </c>
      <c r="C11871" s="6">
        <v>2438</v>
      </c>
      <c r="D11871" s="7">
        <v>1.59</v>
      </c>
      <c r="E11871" t="s">
        <v>26</v>
      </c>
    </row>
    <row r="11872" spans="1:5" x14ac:dyDescent="0.25">
      <c r="A11872" t="str">
        <f>HYPERLINK("https://www.773grp.com/globalSearch/NCP112PG/page-1", "NCP112PG")</f>
        <v>NCP112PG</v>
      </c>
      <c r="B11872" s="3" t="str">
        <f>HYPERLINK("https://www.773grp.com/manufacturer/onsemi?pageNo=1087", "Onsemi")</f>
        <v>Onsemi</v>
      </c>
      <c r="C11872" s="6">
        <v>2045</v>
      </c>
      <c r="D11872" s="7">
        <v>1.59</v>
      </c>
      <c r="E11872" t="s">
        <v>26</v>
      </c>
    </row>
    <row r="11873" spans="1:5" x14ac:dyDescent="0.25">
      <c r="A11873" t="str">
        <f>HYPERLINK("https://www.773grp.com/globalSearch/NCP1200AP60/page-1", "NCP1200AP60")</f>
        <v>NCP1200AP60</v>
      </c>
      <c r="B11873" s="3" t="str">
        <f>HYPERLINK("https://www.773grp.com/manufacturer/onsemi?pageNo=1088", "Onsemi")</f>
        <v>Onsemi</v>
      </c>
      <c r="C11873" s="6">
        <v>6350</v>
      </c>
      <c r="D11873" s="7">
        <v>1.59</v>
      </c>
      <c r="E11873" t="s">
        <v>5</v>
      </c>
    </row>
    <row r="11874" spans="1:5" x14ac:dyDescent="0.25">
      <c r="A11874" t="str">
        <f>HYPERLINK("https://www.773grp.com/globalSearch/NCP1201P100G/page-1", "NCP1201P100G")</f>
        <v>NCP1201P100G</v>
      </c>
      <c r="B11874" s="3" t="str">
        <f>HYPERLINK("https://www.773grp.com/manufacturer/onsemi?pageNo=1089", "Onsemi")</f>
        <v>Onsemi</v>
      </c>
      <c r="C11874" s="6">
        <v>7093</v>
      </c>
      <c r="D11874" s="7">
        <v>1.59</v>
      </c>
      <c r="E11874" t="s">
        <v>5</v>
      </c>
    </row>
    <row r="11875" spans="1:5" x14ac:dyDescent="0.25">
      <c r="A11875" t="str">
        <f>HYPERLINK("https://www.773grp.com/globalSearch/NCP1201P60G/page-1", "NCP1201P60G")</f>
        <v>NCP1201P60G</v>
      </c>
      <c r="B11875" s="3" t="str">
        <f>HYPERLINK("https://www.773grp.com/manufacturer/onsemi?pageNo=1090", "Onsemi")</f>
        <v>Onsemi</v>
      </c>
      <c r="C11875" s="6">
        <v>3422</v>
      </c>
      <c r="D11875" s="7">
        <v>1.59</v>
      </c>
      <c r="E11875" t="s">
        <v>5</v>
      </c>
    </row>
    <row r="11876" spans="1:5" x14ac:dyDescent="0.25">
      <c r="A11876" t="str">
        <f>HYPERLINK("https://www.773grp.com/globalSearch/NCP1377BP/page-1", "NCP1377BP")</f>
        <v>NCP1377BP</v>
      </c>
      <c r="B11876" s="3" t="str">
        <f>HYPERLINK("https://www.773grp.com/manufacturer/onsemi?pageNo=1091", "Onsemi")</f>
        <v>Onsemi</v>
      </c>
      <c r="C11876" s="6">
        <v>7000</v>
      </c>
      <c r="D11876" s="7">
        <v>1.59</v>
      </c>
      <c r="E11876" t="s">
        <v>5</v>
      </c>
    </row>
    <row r="11877" spans="1:5" x14ac:dyDescent="0.25">
      <c r="A11877" t="str">
        <f>HYPERLINK("https://www.773grp.com/globalSearch/NCP1597BMNTWG/page-1", "NCP1597BMNTWG")</f>
        <v>NCP1597BMNTWG</v>
      </c>
      <c r="B11877" s="3" t="str">
        <f>HYPERLINK("https://www.773grp.com/manufacturer/onsemi?pageNo=1092", "Onsemi")</f>
        <v>Onsemi</v>
      </c>
      <c r="C11877" s="6">
        <v>6000</v>
      </c>
      <c r="D11877" s="7">
        <v>1.59</v>
      </c>
      <c r="E11877" t="s">
        <v>5</v>
      </c>
    </row>
    <row r="11878" spans="1:5" x14ac:dyDescent="0.25">
      <c r="A11878" t="str">
        <f>HYPERLINK("https://www.773grp.com/globalSearch/NCP1606ADR2G/page-1", "NCP1606ADR2G")</f>
        <v>NCP1606ADR2G</v>
      </c>
      <c r="B11878" s="3" t="str">
        <f>HYPERLINK("https://www.773grp.com/manufacturer/onsemi?pageNo=1093", "Onsemi")</f>
        <v>Onsemi</v>
      </c>
      <c r="C11878" s="6">
        <v>93547</v>
      </c>
      <c r="D11878" s="7">
        <v>1.59</v>
      </c>
      <c r="E11878" t="s">
        <v>5</v>
      </c>
    </row>
    <row r="11879" spans="1:5" x14ac:dyDescent="0.25">
      <c r="A11879" t="str">
        <f>HYPERLINK("https://www.773grp.com/globalSearch/NCP1606BDR2G/page-1", "NCP1606BDR2G")</f>
        <v>NCP1606BDR2G</v>
      </c>
      <c r="B11879" s="3" t="str">
        <f>HYPERLINK("https://www.773grp.com/manufacturer/onsemi?pageNo=1094", "Onsemi")</f>
        <v>Onsemi</v>
      </c>
      <c r="C11879" s="6">
        <v>42585</v>
      </c>
      <c r="D11879" s="7">
        <v>1.59</v>
      </c>
      <c r="E11879" t="s">
        <v>5</v>
      </c>
    </row>
    <row r="11880" spans="1:5" x14ac:dyDescent="0.25">
      <c r="A11880" t="str">
        <f>HYPERLINK("https://www.773grp.com/globalSearch/NCP1729SN35T1G/page-1", "NCP1729SN35T1G")</f>
        <v>NCP1729SN35T1G</v>
      </c>
      <c r="B11880" s="3" t="str">
        <f>HYPERLINK("https://www.773grp.com/manufacturer/onsemi?pageNo=1095", "Onsemi")</f>
        <v>Onsemi</v>
      </c>
      <c r="C11880" s="6">
        <v>7000</v>
      </c>
      <c r="D11880" s="7">
        <v>1.59</v>
      </c>
      <c r="E11880" t="s">
        <v>5</v>
      </c>
    </row>
    <row r="11881" spans="1:5" x14ac:dyDescent="0.25">
      <c r="A11881" t="str">
        <f>HYPERLINK("https://www.773grp.com/globalSearch/NCP2811AFCT1G/page-1", "NCP2811AFCT1G")</f>
        <v>NCP2811AFCT1G</v>
      </c>
      <c r="B11881" s="3" t="str">
        <f>HYPERLINK("https://www.773grp.com/manufacturer/onsemi?pageNo=1096", "Onsemi")</f>
        <v>Onsemi</v>
      </c>
      <c r="C11881" s="6">
        <v>42000</v>
      </c>
      <c r="D11881" s="7">
        <v>1.59</v>
      </c>
      <c r="E11881" t="s">
        <v>14</v>
      </c>
    </row>
    <row r="11882" spans="1:5" x14ac:dyDescent="0.25">
      <c r="A11882" t="str">
        <f>HYPERLINK("https://www.773grp.com/globalSearch/NCP2811AMTTXG/page-1", "NCP2811AMTTXG")</f>
        <v>NCP2811AMTTXG</v>
      </c>
      <c r="B11882" s="3" t="str">
        <f>HYPERLINK("https://www.773grp.com/manufacturer/onsemi?pageNo=1097", "Onsemi")</f>
        <v>Onsemi</v>
      </c>
      <c r="C11882" s="6">
        <v>5800</v>
      </c>
      <c r="D11882" s="7">
        <v>1.59</v>
      </c>
      <c r="E11882" t="s">
        <v>14</v>
      </c>
    </row>
    <row r="11883" spans="1:5" x14ac:dyDescent="0.25">
      <c r="A11883" t="str">
        <f>HYPERLINK("https://www.773grp.com/globalSearch/NCP2811BFCT1G/page-1", "NCP2811BFCT1G")</f>
        <v>NCP2811BFCT1G</v>
      </c>
      <c r="B11883" s="3" t="str">
        <f>HYPERLINK("https://www.773grp.com/manufacturer/onsemi?pageNo=1098", "Onsemi")</f>
        <v>Onsemi</v>
      </c>
      <c r="C11883" s="6">
        <v>366000</v>
      </c>
      <c r="D11883" s="7">
        <v>1.59</v>
      </c>
    </row>
    <row r="11884" spans="1:5" x14ac:dyDescent="0.25">
      <c r="A11884" t="str">
        <f>HYPERLINK("https://www.773grp.com/globalSearch/NCP2811BMTTXG/page-1", "NCP2811BMTTXG")</f>
        <v>NCP2811BMTTXG</v>
      </c>
      <c r="B11884" s="3" t="str">
        <f>HYPERLINK("https://www.773grp.com/manufacturer/onsemi?pageNo=1099", "Onsemi")</f>
        <v>Onsemi</v>
      </c>
      <c r="C11884" s="6">
        <v>6000</v>
      </c>
      <c r="D11884" s="7">
        <v>1.59</v>
      </c>
      <c r="E11884" t="s">
        <v>14</v>
      </c>
    </row>
    <row r="11885" spans="1:5" x14ac:dyDescent="0.25">
      <c r="A11885" t="str">
        <f>HYPERLINK("https://www.773grp.com/globalSearch/NCP2820AFCT2G/page-1", "NCP2820AFCT2G")</f>
        <v>NCP2820AFCT2G</v>
      </c>
      <c r="B11885" s="3" t="str">
        <f>HYPERLINK("https://www.773grp.com/manufacturer/onsemi?pageNo=1100", "Onsemi")</f>
        <v>Onsemi</v>
      </c>
      <c r="C11885" s="6">
        <v>26775</v>
      </c>
      <c r="D11885" s="7">
        <v>1.59</v>
      </c>
      <c r="E11885" t="s">
        <v>14</v>
      </c>
    </row>
    <row r="11886" spans="1:5" x14ac:dyDescent="0.25">
      <c r="A11886" t="str">
        <f>HYPERLINK("https://www.773grp.com/globalSearch/NCP3020ADR2G/page-1", "NCP3020ADR2G")</f>
        <v>NCP3020ADR2G</v>
      </c>
      <c r="B11886" s="3" t="str">
        <f>HYPERLINK("https://www.773grp.com/manufacturer/onsemi?pageNo=1101", "Onsemi")</f>
        <v>Onsemi</v>
      </c>
      <c r="C11886" s="6">
        <v>7867</v>
      </c>
      <c r="D11886" s="7">
        <v>1.59</v>
      </c>
      <c r="E11886" t="s">
        <v>5</v>
      </c>
    </row>
    <row r="11887" spans="1:5" x14ac:dyDescent="0.25">
      <c r="A11887" t="str">
        <f>HYPERLINK("https://www.773grp.com/globalSearch/NCP3020BDR2G/page-1", "NCP3020BDR2G")</f>
        <v>NCP3020BDR2G</v>
      </c>
      <c r="B11887" s="3" t="str">
        <f>HYPERLINK("https://www.773grp.com/manufacturer/onsemi?pageNo=1102", "Onsemi")</f>
        <v>Onsemi</v>
      </c>
      <c r="C11887" s="6">
        <v>39333</v>
      </c>
      <c r="D11887" s="7">
        <v>1.59</v>
      </c>
      <c r="E11887" t="s">
        <v>5</v>
      </c>
    </row>
    <row r="11888" spans="1:5" x14ac:dyDescent="0.25">
      <c r="A11888" t="str">
        <f>HYPERLINK("https://www.773grp.com/globalSearch/NCP3030ADR2G/page-1", "NCP3030ADR2G")</f>
        <v>NCP3030ADR2G</v>
      </c>
      <c r="B11888" s="3" t="str">
        <f>HYPERLINK("https://www.773grp.com/manufacturer/onsemi?pageNo=1103", "Onsemi")</f>
        <v>Onsemi</v>
      </c>
      <c r="C11888" s="6">
        <v>47374</v>
      </c>
      <c r="D11888" s="7">
        <v>1.59</v>
      </c>
    </row>
    <row r="11889" spans="1:5" x14ac:dyDescent="0.25">
      <c r="A11889" t="str">
        <f>HYPERLINK("https://www.773grp.com/globalSearch/NCP3030BDR2G/page-1", "NCP3030BDR2G")</f>
        <v>NCP3030BDR2G</v>
      </c>
      <c r="B11889" s="3" t="str">
        <f>HYPERLINK("https://www.773grp.com/manufacturer/onsemi?pageNo=1104", "Onsemi")</f>
        <v>Onsemi</v>
      </c>
      <c r="C11889" s="6">
        <v>12790</v>
      </c>
      <c r="D11889" s="7">
        <v>1.59</v>
      </c>
    </row>
    <row r="11890" spans="1:5" x14ac:dyDescent="0.25">
      <c r="A11890" t="str">
        <f>HYPERLINK("https://www.773grp.com/globalSearch/NCP3063BDR2G/page-1", "NCP3063BDR2G")</f>
        <v>NCP3063BDR2G</v>
      </c>
      <c r="B11890" s="3" t="str">
        <f>HYPERLINK("https://www.773grp.com/manufacturer/onsemi?pageNo=1105", "Onsemi")</f>
        <v>Onsemi</v>
      </c>
      <c r="C11890" s="6">
        <v>97159</v>
      </c>
      <c r="D11890" s="7">
        <v>1.59</v>
      </c>
      <c r="E11890" t="s">
        <v>5</v>
      </c>
    </row>
    <row r="11891" spans="1:5" x14ac:dyDescent="0.25">
      <c r="A11891" t="str">
        <f>HYPERLINK("https://www.773grp.com/globalSearch/NCP3063MNTXG/page-1", "NCP3063MNTXG")</f>
        <v>NCP3063MNTXG</v>
      </c>
      <c r="B11891" s="3" t="str">
        <f>HYPERLINK("https://www.773grp.com/manufacturer/onsemi?pageNo=1106", "Onsemi")</f>
        <v>Onsemi</v>
      </c>
      <c r="C11891" s="6">
        <v>53056</v>
      </c>
      <c r="D11891" s="7">
        <v>1.59</v>
      </c>
    </row>
    <row r="11892" spans="1:5" x14ac:dyDescent="0.25">
      <c r="A11892" t="str">
        <f>HYPERLINK("https://www.773grp.com/globalSearch/NCP3064DR2G/page-1", "NCP3064DR2G")</f>
        <v>NCP3064DR2G</v>
      </c>
      <c r="B11892" s="3" t="str">
        <f>HYPERLINK("https://www.773grp.com/manufacturer/onsemi?pageNo=1107", "Onsemi")</f>
        <v>Onsemi</v>
      </c>
      <c r="C11892" s="6">
        <v>51500</v>
      </c>
      <c r="D11892" s="7">
        <v>1.59</v>
      </c>
      <c r="E11892" t="s">
        <v>5</v>
      </c>
    </row>
    <row r="11893" spans="1:5" x14ac:dyDescent="0.25">
      <c r="A11893" t="str">
        <f>HYPERLINK("https://www.773grp.com/globalSearch/NCP3127ADR2G/page-1", "NCP3127ADR2G")</f>
        <v>NCP3127ADR2G</v>
      </c>
      <c r="B11893" s="3" t="str">
        <f>HYPERLINK("https://www.773grp.com/manufacturer/onsemi?pageNo=1108", "Onsemi")</f>
        <v>Onsemi</v>
      </c>
      <c r="C11893" s="6">
        <v>122993</v>
      </c>
      <c r="D11893" s="7">
        <v>1.59</v>
      </c>
      <c r="E11893" t="s">
        <v>5</v>
      </c>
    </row>
    <row r="11894" spans="1:5" x14ac:dyDescent="0.25">
      <c r="A11894" t="str">
        <f>HYPERLINK("https://www.773grp.com/globalSearch/NCP346SN1T1G/page-1", "NCP346SN1T1G")</f>
        <v>NCP346SN1T1G</v>
      </c>
      <c r="B11894" s="3" t="str">
        <f>HYPERLINK("https://www.773grp.com/manufacturer/onsemi?pageNo=1109", "Onsemi")</f>
        <v>Onsemi</v>
      </c>
      <c r="C11894" s="6">
        <v>195704</v>
      </c>
      <c r="D11894" s="7">
        <v>1.59</v>
      </c>
      <c r="E11894" t="s">
        <v>26</v>
      </c>
    </row>
    <row r="11895" spans="1:5" x14ac:dyDescent="0.25">
      <c r="A11895" t="str">
        <f>HYPERLINK("https://www.773grp.com/globalSearch/NCP362AMUTBG/page-1", "NCP362AMUTBG")</f>
        <v>NCP362AMUTBG</v>
      </c>
      <c r="B11895" s="3" t="str">
        <f>HYPERLINK("https://www.773grp.com/manufacturer/onsemi?pageNo=1110", "Onsemi")</f>
        <v>Onsemi</v>
      </c>
      <c r="C11895" s="6">
        <v>3000</v>
      </c>
      <c r="D11895" s="7">
        <v>1.59</v>
      </c>
      <c r="E11895" t="s">
        <v>75</v>
      </c>
    </row>
    <row r="11896" spans="1:5" x14ac:dyDescent="0.25">
      <c r="A11896" t="str">
        <f>HYPERLINK("https://www.773grp.com/globalSearch/NCP391FCALT2G/page-1", "NCP391FCALT2G")</f>
        <v>NCP391FCALT2G</v>
      </c>
      <c r="B11896" s="3" t="str">
        <f>HYPERLINK("https://www.773grp.com/manufacturer/onsemi?pageNo=1111", "Onsemi")</f>
        <v>Onsemi</v>
      </c>
      <c r="C11896" s="6">
        <v>57000</v>
      </c>
      <c r="D11896" s="7">
        <v>1.59</v>
      </c>
    </row>
    <row r="11897" spans="1:5" x14ac:dyDescent="0.25">
      <c r="A11897" t="str">
        <f>HYPERLINK("https://www.773grp.com/globalSearch/NCP4589DMX12TCG/page-1", "NCP4589DMX12TCG")</f>
        <v>NCP4589DMX12TCG</v>
      </c>
      <c r="B11897" s="3" t="str">
        <f>HYPERLINK("https://www.773grp.com/manufacturer/onsemi?pageNo=1112", "Onsemi")</f>
        <v>Onsemi</v>
      </c>
      <c r="C11897" s="6">
        <v>25000</v>
      </c>
      <c r="D11897" s="7">
        <v>1.59</v>
      </c>
      <c r="E11897" t="s">
        <v>15</v>
      </c>
    </row>
    <row r="11898" spans="1:5" x14ac:dyDescent="0.25">
      <c r="A11898" t="str">
        <f>HYPERLINK("https://www.773grp.com/globalSearch/NCP4589DMX18TCG/page-1", "NCP4589DMX18TCG")</f>
        <v>NCP4589DMX18TCG</v>
      </c>
      <c r="B11898" s="3" t="str">
        <f>HYPERLINK("https://www.773grp.com/manufacturer/onsemi?pageNo=1113", "Onsemi")</f>
        <v>Onsemi</v>
      </c>
      <c r="C11898" s="6">
        <v>24988</v>
      </c>
      <c r="D11898" s="7">
        <v>1.59</v>
      </c>
    </row>
    <row r="11899" spans="1:5" x14ac:dyDescent="0.25">
      <c r="A11899" t="str">
        <f>HYPERLINK("https://www.773grp.com/globalSearch/NCP4589DMX28TCG/page-1", "NCP4589DMX28TCG")</f>
        <v>NCP4589DMX28TCG</v>
      </c>
      <c r="B11899" s="3" t="str">
        <f>HYPERLINK("https://www.773grp.com/manufacturer/onsemi?pageNo=1114", "Onsemi")</f>
        <v>Onsemi</v>
      </c>
      <c r="C11899" s="6">
        <v>5000</v>
      </c>
      <c r="D11899" s="7">
        <v>1.59</v>
      </c>
    </row>
    <row r="11900" spans="1:5" x14ac:dyDescent="0.25">
      <c r="A11900" t="str">
        <f>HYPERLINK("https://www.773grp.com/globalSearch/NCP4589DMX30TCG/page-1", "NCP4589DMX30TCG")</f>
        <v>NCP4589DMX30TCG</v>
      </c>
      <c r="B11900" s="3" t="str">
        <f>HYPERLINK("https://www.773grp.com/manufacturer/onsemi?pageNo=1115", "Onsemi")</f>
        <v>Onsemi</v>
      </c>
      <c r="C11900" s="6">
        <v>30000</v>
      </c>
      <c r="D11900" s="7">
        <v>1.59</v>
      </c>
    </row>
    <row r="11901" spans="1:5" x14ac:dyDescent="0.25">
      <c r="A11901" t="str">
        <f>HYPERLINK("https://www.773grp.com/globalSearch/NCP4589DMX33TCG/page-1", "NCP4589DMX33TCG")</f>
        <v>NCP4589DMX33TCG</v>
      </c>
      <c r="B11901" s="3" t="str">
        <f>HYPERLINK("https://www.773grp.com/manufacturer/onsemi?pageNo=1116", "Onsemi")</f>
        <v>Onsemi</v>
      </c>
      <c r="C11901" s="6">
        <v>25000</v>
      </c>
      <c r="D11901" s="7">
        <v>1.59</v>
      </c>
    </row>
    <row r="11902" spans="1:5" x14ac:dyDescent="0.25">
      <c r="A11902" t="str">
        <f>HYPERLINK("https://www.773grp.com/globalSearch/NCP4625DSN12T1G/page-1", "NCP4625DSN12T1G")</f>
        <v>NCP4625DSN12T1G</v>
      </c>
      <c r="B11902" s="3" t="str">
        <f>HYPERLINK("https://www.773grp.com/manufacturer/onsemi?pageNo=1117", "Onsemi")</f>
        <v>Onsemi</v>
      </c>
      <c r="C11902" s="6">
        <v>6000</v>
      </c>
      <c r="D11902" s="7">
        <v>1.59</v>
      </c>
    </row>
    <row r="11903" spans="1:5" x14ac:dyDescent="0.25">
      <c r="A11903" t="str">
        <f>HYPERLINK("https://www.773grp.com/globalSearch/NCP4625DSN18T1G/page-1", "NCP4625DSN18T1G")</f>
        <v>NCP4625DSN18T1G</v>
      </c>
      <c r="B11903" s="3" t="str">
        <f>HYPERLINK("https://www.773grp.com/manufacturer/onsemi?pageNo=1118", "Onsemi")</f>
        <v>Onsemi</v>
      </c>
      <c r="C11903" s="6">
        <v>6000</v>
      </c>
      <c r="D11903" s="7">
        <v>1.59</v>
      </c>
    </row>
    <row r="11904" spans="1:5" x14ac:dyDescent="0.25">
      <c r="A11904" t="str">
        <f>HYPERLINK("https://www.773grp.com/globalSearch/NCP4625DSN28T1G/page-1", "NCP4625DSN28T1G")</f>
        <v>NCP4625DSN28T1G</v>
      </c>
      <c r="B11904" s="3" t="str">
        <f>HYPERLINK("https://www.773grp.com/manufacturer/onsemi?pageNo=1119", "Onsemi")</f>
        <v>Onsemi</v>
      </c>
      <c r="C11904" s="6">
        <v>3000</v>
      </c>
      <c r="D11904" s="7">
        <v>1.59</v>
      </c>
      <c r="E11904" t="s">
        <v>21</v>
      </c>
    </row>
    <row r="11905" spans="1:5" x14ac:dyDescent="0.25">
      <c r="A11905" t="str">
        <f>HYPERLINK("https://www.773grp.com/globalSearch/NCP4625DSN30T1G/page-1", "NCP4625DSN30T1G")</f>
        <v>NCP4625DSN30T1G</v>
      </c>
      <c r="B11905" s="3" t="str">
        <f>HYPERLINK("https://www.773grp.com/manufacturer/onsemi?pageNo=1120", "Onsemi")</f>
        <v>Onsemi</v>
      </c>
      <c r="C11905" s="6">
        <v>6000</v>
      </c>
      <c r="D11905" s="7">
        <v>1.59</v>
      </c>
    </row>
    <row r="11906" spans="1:5" x14ac:dyDescent="0.25">
      <c r="A11906" t="str">
        <f>HYPERLINK("https://www.773grp.com/globalSearch/NCP4625HSN12T1G/page-1", "NCP4625HSN12T1G")</f>
        <v>NCP4625HSN12T1G</v>
      </c>
      <c r="B11906" s="3" t="str">
        <f>HYPERLINK("https://www.773grp.com/manufacturer/onsemi?pageNo=1121", "Onsemi")</f>
        <v>Onsemi</v>
      </c>
      <c r="C11906" s="6">
        <v>9000</v>
      </c>
      <c r="D11906" s="7">
        <v>1.59</v>
      </c>
    </row>
    <row r="11907" spans="1:5" x14ac:dyDescent="0.25">
      <c r="A11907" t="str">
        <f>HYPERLINK("https://www.773grp.com/globalSearch/NCP4625HSN18T1G/page-1", "NCP4625HSN18T1G")</f>
        <v>NCP4625HSN18T1G</v>
      </c>
      <c r="B11907" s="3" t="str">
        <f>HYPERLINK("https://www.773grp.com/manufacturer/onsemi?pageNo=1122", "Onsemi")</f>
        <v>Onsemi</v>
      </c>
      <c r="C11907" s="6">
        <v>6000</v>
      </c>
      <c r="D11907" s="7">
        <v>1.59</v>
      </c>
    </row>
    <row r="11908" spans="1:5" x14ac:dyDescent="0.25">
      <c r="A11908" t="str">
        <f>HYPERLINK("https://www.773grp.com/globalSearch/NCP4625HSN28T1G/page-1", "NCP4625HSN28T1G")</f>
        <v>NCP4625HSN28T1G</v>
      </c>
      <c r="B11908" s="3" t="str">
        <f>HYPERLINK("https://www.773grp.com/manufacturer/onsemi?pageNo=1123", "Onsemi")</f>
        <v>Onsemi</v>
      </c>
      <c r="C11908" s="6">
        <v>6000</v>
      </c>
      <c r="D11908" s="7">
        <v>1.59</v>
      </c>
    </row>
    <row r="11909" spans="1:5" x14ac:dyDescent="0.25">
      <c r="A11909" t="str">
        <f>HYPERLINK("https://www.773grp.com/globalSearch/NCP4625HSN30T1G/page-1", "NCP4625HSN30T1G")</f>
        <v>NCP4625HSN30T1G</v>
      </c>
      <c r="B11909" s="3" t="str">
        <f>HYPERLINK("https://www.773grp.com/manufacturer/onsemi?pageNo=1124", "Onsemi")</f>
        <v>Onsemi</v>
      </c>
      <c r="C11909" s="6">
        <v>9000</v>
      </c>
      <c r="D11909" s="7">
        <v>1.59</v>
      </c>
    </row>
    <row r="11910" spans="1:5" x14ac:dyDescent="0.25">
      <c r="A11910" t="str">
        <f>HYPERLINK("https://www.773grp.com/globalSearch/NCP4625HSN50T1G/page-1", "NCP4625HSN50T1G")</f>
        <v>NCP4625HSN50T1G</v>
      </c>
      <c r="B11910" s="3" t="str">
        <f>HYPERLINK("https://www.773grp.com/manufacturer/onsemi?pageNo=1125", "Onsemi")</f>
        <v>Onsemi</v>
      </c>
      <c r="C11910" s="6">
        <v>3000</v>
      </c>
      <c r="D11910" s="7">
        <v>1.59</v>
      </c>
    </row>
    <row r="11911" spans="1:5" x14ac:dyDescent="0.25">
      <c r="A11911" t="str">
        <f>HYPERLINK("https://www.773grp.com/globalSearch/NCP4683DMU12TCG/page-1", "NCP4683DMU12TCG")</f>
        <v>NCP4683DMU12TCG</v>
      </c>
      <c r="B11911" s="3" t="str">
        <f>HYPERLINK("https://www.773grp.com/manufacturer/onsemi?pageNo=1126", "Onsemi")</f>
        <v>Onsemi</v>
      </c>
      <c r="C11911" s="6">
        <v>20000</v>
      </c>
      <c r="D11911" s="7">
        <v>1.59</v>
      </c>
    </row>
    <row r="11912" spans="1:5" x14ac:dyDescent="0.25">
      <c r="A11912" t="str">
        <f>HYPERLINK("https://www.773grp.com/globalSearch/NCP4683DMU185TCG/page-1", "NCP4683DMU185TCG")</f>
        <v>NCP4683DMU185TCG</v>
      </c>
      <c r="B11912" s="3" t="str">
        <f>HYPERLINK("https://www.773grp.com/manufacturer/onsemi?pageNo=1127", "Onsemi")</f>
        <v>Onsemi</v>
      </c>
      <c r="C11912" s="6">
        <v>30000</v>
      </c>
      <c r="D11912" s="7">
        <v>1.59</v>
      </c>
    </row>
    <row r="11913" spans="1:5" x14ac:dyDescent="0.25">
      <c r="A11913" t="str">
        <f>HYPERLINK("https://www.773grp.com/globalSearch/NCP4683DMU285TCG/page-1", "NCP4683DMU285TCG")</f>
        <v>NCP4683DMU285TCG</v>
      </c>
      <c r="B11913" s="3" t="str">
        <f>HYPERLINK("https://www.773grp.com/manufacturer/onsemi?pageNo=1128", "Onsemi")</f>
        <v>Onsemi</v>
      </c>
      <c r="C11913" s="6">
        <v>10000</v>
      </c>
      <c r="D11913" s="7">
        <v>1.59</v>
      </c>
    </row>
    <row r="11914" spans="1:5" x14ac:dyDescent="0.25">
      <c r="A11914" t="str">
        <f>HYPERLINK("https://www.773grp.com/globalSearch/NCP4683HMU12TCG/page-1", "NCP4683HMU12TCG")</f>
        <v>NCP4683HMU12TCG</v>
      </c>
      <c r="B11914" s="3" t="str">
        <f>HYPERLINK("https://www.773grp.com/manufacturer/onsemi?pageNo=1129", "Onsemi")</f>
        <v>Onsemi</v>
      </c>
      <c r="C11914" s="6">
        <v>30000</v>
      </c>
      <c r="D11914" s="7">
        <v>1.59</v>
      </c>
    </row>
    <row r="11915" spans="1:5" x14ac:dyDescent="0.25">
      <c r="A11915" t="str">
        <f>HYPERLINK("https://www.773grp.com/globalSearch/NCP4683HMU185TCG/page-1", "NCP4683HMU185TCG")</f>
        <v>NCP4683HMU185TCG</v>
      </c>
      <c r="B11915" s="3" t="str">
        <f>HYPERLINK("https://www.773grp.com/manufacturer/onsemi?pageNo=1130", "Onsemi")</f>
        <v>Onsemi</v>
      </c>
      <c r="C11915" s="6">
        <v>30000</v>
      </c>
      <c r="D11915" s="7">
        <v>1.59</v>
      </c>
    </row>
    <row r="11916" spans="1:5" x14ac:dyDescent="0.25">
      <c r="A11916" t="str">
        <f>HYPERLINK("https://www.773grp.com/globalSearch/NCP4687DH12T1G/page-1", "NCP4687DH12T1G")</f>
        <v>NCP4687DH12T1G</v>
      </c>
      <c r="B11916" s="3" t="str">
        <f>HYPERLINK("https://www.773grp.com/manufacturer/onsemi?pageNo=1131", "Onsemi")</f>
        <v>Onsemi</v>
      </c>
      <c r="C11916" s="6">
        <v>1000</v>
      </c>
      <c r="D11916" s="7">
        <v>1.59</v>
      </c>
    </row>
    <row r="11917" spans="1:5" x14ac:dyDescent="0.25">
      <c r="A11917" t="str">
        <f>HYPERLINK("https://www.773grp.com/globalSearch/NCP4894MNR2/page-1", "NCP4894MNR2")</f>
        <v>NCP4894MNR2</v>
      </c>
      <c r="B11917" s="3" t="str">
        <f>HYPERLINK("https://www.773grp.com/manufacturer/onsemi?pageNo=1132", "Onsemi")</f>
        <v>Onsemi</v>
      </c>
      <c r="C11917" s="6">
        <v>3000</v>
      </c>
      <c r="D11917" s="7">
        <v>1.59</v>
      </c>
      <c r="E11917" t="s">
        <v>14</v>
      </c>
    </row>
    <row r="11918" spans="1:5" x14ac:dyDescent="0.25">
      <c r="A11918" t="str">
        <f>HYPERLINK("https://www.773grp.com/globalSearch/NCP5005SNT1G/page-1", "NCP5005SNT1G")</f>
        <v>NCP5005SNT1G</v>
      </c>
      <c r="B11918" s="3" t="str">
        <f>HYPERLINK("https://www.773grp.com/manufacturer/onsemi?pageNo=1133", "Onsemi")</f>
        <v>Onsemi</v>
      </c>
      <c r="C11918" s="6">
        <v>369734</v>
      </c>
      <c r="D11918" s="7">
        <v>1.59</v>
      </c>
      <c r="E11918" t="s">
        <v>7</v>
      </c>
    </row>
    <row r="11919" spans="1:5" x14ac:dyDescent="0.25">
      <c r="A11919" t="str">
        <f>HYPERLINK("https://www.773grp.com/globalSearch/NCP5006SNT1G/page-1", "NCP5006SNT1G")</f>
        <v>NCP5006SNT1G</v>
      </c>
      <c r="B11919" s="3" t="str">
        <f>HYPERLINK("https://www.773grp.com/manufacturer/onsemi?pageNo=1134", "Onsemi")</f>
        <v>Onsemi</v>
      </c>
      <c r="C11919" s="6">
        <v>185768</v>
      </c>
      <c r="D11919" s="7">
        <v>1.59</v>
      </c>
      <c r="E11919" t="s">
        <v>7</v>
      </c>
    </row>
    <row r="11920" spans="1:5" x14ac:dyDescent="0.25">
      <c r="A11920" t="str">
        <f>HYPERLINK("https://www.773grp.com/globalSearch/NCP5007SNT1G/page-1", "NCP5007SNT1G")</f>
        <v>NCP5007SNT1G</v>
      </c>
      <c r="B11920" s="3" t="str">
        <f>HYPERLINK("https://www.773grp.com/manufacturer/onsemi?pageNo=1135", "Onsemi")</f>
        <v>Onsemi</v>
      </c>
      <c r="C11920" s="6">
        <v>2818</v>
      </c>
      <c r="D11920" s="7">
        <v>1.59</v>
      </c>
      <c r="E11920" t="s">
        <v>7</v>
      </c>
    </row>
    <row r="11921" spans="1:5" x14ac:dyDescent="0.25">
      <c r="A11921" t="str">
        <f>HYPERLINK("https://www.773grp.com/globalSearch/NCP5351MNR2G/page-1", "NCP5351MNR2G")</f>
        <v>NCP5351MNR2G</v>
      </c>
      <c r="B11921" s="3" t="str">
        <f>HYPERLINK("https://www.773grp.com/manufacturer/onsemi?pageNo=1136", "Onsemi")</f>
        <v>Onsemi</v>
      </c>
      <c r="C11921" s="6">
        <v>6000</v>
      </c>
      <c r="D11921" s="7">
        <v>1.59</v>
      </c>
      <c r="E11921" t="s">
        <v>12</v>
      </c>
    </row>
    <row r="11922" spans="1:5" x14ac:dyDescent="0.25">
      <c r="A11922" t="str">
        <f>HYPERLINK("https://www.773grp.com/globalSearch/NCP5426SN13T1G/page-1", "NCP5426SN13T1G")</f>
        <v>NCP5426SN13T1G</v>
      </c>
      <c r="B11922" s="3" t="str">
        <f>HYPERLINK("https://www.773grp.com/manufacturer/onsemi?pageNo=1137", "Onsemi")</f>
        <v>Onsemi</v>
      </c>
      <c r="C11922" s="6">
        <v>2900</v>
      </c>
      <c r="D11922" s="7">
        <v>1.59</v>
      </c>
      <c r="E11922" t="s">
        <v>15</v>
      </c>
    </row>
    <row r="11923" spans="1:5" x14ac:dyDescent="0.25">
      <c r="A11923" t="str">
        <f>HYPERLINK("https://www.773grp.com/globalSearch/NCP566ST12T3G/page-1", "NCP566ST12T3G")</f>
        <v>NCP566ST12T3G</v>
      </c>
      <c r="B11923" s="3" t="str">
        <f>HYPERLINK("https://www.773grp.com/manufacturer/onsemi?pageNo=1138", "Onsemi")</f>
        <v>Onsemi</v>
      </c>
      <c r="C11923" s="6">
        <v>13908</v>
      </c>
      <c r="D11923" s="7">
        <v>1.59</v>
      </c>
      <c r="E11923" t="s">
        <v>15</v>
      </c>
    </row>
    <row r="11924" spans="1:5" x14ac:dyDescent="0.25">
      <c r="A11924" t="str">
        <f>HYPERLINK("https://www.773grp.com/globalSearch/NCP631GD2TR4/page-1", "NCP631GD2TR4")</f>
        <v>NCP631GD2TR4</v>
      </c>
      <c r="B11924" s="3" t="str">
        <f>HYPERLINK("https://www.773grp.com/manufacturer/onsemi?pageNo=1139", "Onsemi")</f>
        <v>Onsemi</v>
      </c>
      <c r="C11924" s="6">
        <v>51180</v>
      </c>
      <c r="D11924" s="7">
        <v>1.59</v>
      </c>
      <c r="E11924" t="s">
        <v>15</v>
      </c>
    </row>
    <row r="11925" spans="1:5" x14ac:dyDescent="0.25">
      <c r="A11925" t="str">
        <f>HYPERLINK("https://www.773grp.com/globalSearch/NCP631GD2TR4G/page-1", "NCP631GD2TR4G")</f>
        <v>NCP631GD2TR4G</v>
      </c>
      <c r="B11925" s="3" t="str">
        <f>HYPERLINK("https://www.773grp.com/manufacturer/onsemi?pageNo=1140", "Onsemi")</f>
        <v>Onsemi</v>
      </c>
      <c r="C11925" s="6">
        <v>115715</v>
      </c>
      <c r="D11925" s="7">
        <v>1.59</v>
      </c>
      <c r="E11925" t="s">
        <v>15</v>
      </c>
    </row>
    <row r="11926" spans="1:5" x14ac:dyDescent="0.25">
      <c r="A11926" t="str">
        <f>HYPERLINK("https://www.773grp.com/globalSearch/NCP6335DFCT1G/page-1", "NCP6335DFCT1G")</f>
        <v>NCP6335DFCT1G</v>
      </c>
      <c r="B11926" s="3" t="str">
        <f>HYPERLINK("https://www.773grp.com/manufacturer/onsemi?pageNo=1141", "Onsemi")</f>
        <v>Onsemi</v>
      </c>
      <c r="C11926" s="6">
        <v>3000</v>
      </c>
      <c r="D11926" s="7">
        <v>1.59</v>
      </c>
    </row>
    <row r="11927" spans="1:5" x14ac:dyDescent="0.25">
      <c r="A11927" t="str">
        <f>HYPERLINK("https://www.773grp.com/globalSearch/NCP9001SNT1G/page-1", "NCP9001SNT1G")</f>
        <v>NCP9001SNT1G</v>
      </c>
      <c r="B11927" s="3" t="str">
        <f>HYPERLINK("https://www.773grp.com/manufacturer/onsemi?pageNo=1142", "Onsemi")</f>
        <v>Onsemi</v>
      </c>
      <c r="C11927" s="6">
        <v>6000</v>
      </c>
      <c r="D11927" s="7">
        <v>1.59</v>
      </c>
      <c r="E11927" t="s">
        <v>5</v>
      </c>
    </row>
    <row r="11928" spans="1:5" x14ac:dyDescent="0.25">
      <c r="A11928" t="str">
        <f>HYPERLINK("https://www.773grp.com/globalSearch/NCS2001SN1T1G/page-1", "NCS2001SN1T1G")</f>
        <v>NCS2001SN1T1G</v>
      </c>
      <c r="B11928" s="3" t="str">
        <f>HYPERLINK("https://www.773grp.com/manufacturer/onsemi?pageNo=1143", "Onsemi")</f>
        <v>Onsemi</v>
      </c>
      <c r="C11928" s="6">
        <v>17885</v>
      </c>
      <c r="D11928" s="7">
        <v>1.59</v>
      </c>
      <c r="E11928" t="s">
        <v>10</v>
      </c>
    </row>
    <row r="11929" spans="1:5" x14ac:dyDescent="0.25">
      <c r="A11929" t="str">
        <f>HYPERLINK("https://www.773grp.com/globalSearch/NCS2001SN2T1G/page-1", "NCS2001SN2T1G")</f>
        <v>NCS2001SN2T1G</v>
      </c>
      <c r="B11929" s="3" t="str">
        <f>HYPERLINK("https://www.773grp.com/manufacturer/onsemi?pageNo=1144", "Onsemi")</f>
        <v>Onsemi</v>
      </c>
      <c r="C11929" s="6">
        <v>37778</v>
      </c>
      <c r="D11929" s="7">
        <v>1.59</v>
      </c>
      <c r="E11929" t="s">
        <v>10</v>
      </c>
    </row>
    <row r="11930" spans="1:5" x14ac:dyDescent="0.25">
      <c r="A11930" t="str">
        <f>HYPERLINK("https://www.773grp.com/globalSearch/NCS2001SQ1T2G/page-1", "NCS2001SQ1T2G")</f>
        <v>NCS2001SQ1T2G</v>
      </c>
      <c r="B11930" s="3" t="str">
        <f>HYPERLINK("https://www.773grp.com/manufacturer/onsemi?pageNo=1145", "Onsemi")</f>
        <v>Onsemi</v>
      </c>
      <c r="C11930" s="6">
        <v>48948</v>
      </c>
      <c r="D11930" s="7">
        <v>1.59</v>
      </c>
      <c r="E11930" t="s">
        <v>10</v>
      </c>
    </row>
    <row r="11931" spans="1:5" x14ac:dyDescent="0.25">
      <c r="A11931" t="str">
        <f>HYPERLINK("https://www.773grp.com/globalSearch/NCS2001SQ2T2G/page-1", "NCS2001SQ2T2G")</f>
        <v>NCS2001SQ2T2G</v>
      </c>
      <c r="B11931" s="3" t="str">
        <f>HYPERLINK("https://www.773grp.com/manufacturer/onsemi?pageNo=1146", "Onsemi")</f>
        <v>Onsemi</v>
      </c>
      <c r="C11931" s="6">
        <v>6000</v>
      </c>
      <c r="D11931" s="7">
        <v>1.59</v>
      </c>
      <c r="E11931" t="s">
        <v>10</v>
      </c>
    </row>
    <row r="11932" spans="1:5" x14ac:dyDescent="0.25">
      <c r="A11932" t="str">
        <f>HYPERLINK("https://www.773grp.com/globalSearch/NCT47SNT1/page-1", "NCT47SNT1")</f>
        <v>NCT47SNT1</v>
      </c>
      <c r="B11932" s="3" t="str">
        <f>HYPERLINK("https://www.773grp.com/manufacturer/onsemi?pageNo=1147", "Onsemi")</f>
        <v>Onsemi</v>
      </c>
      <c r="C11932" s="6">
        <v>65894</v>
      </c>
      <c r="D11932" s="7">
        <v>1.59</v>
      </c>
      <c r="E11932" t="s">
        <v>36</v>
      </c>
    </row>
    <row r="11933" spans="1:5" x14ac:dyDescent="0.25">
      <c r="A11933" t="str">
        <f>HYPERLINK("https://www.773grp.com/globalSearch/NCT51SN095T1/page-1", "NCT51SN095T1")</f>
        <v>NCT51SN095T1</v>
      </c>
      <c r="B11933" s="3" t="str">
        <f>HYPERLINK("https://www.773grp.com/manufacturer/onsemi?pageNo=1148", "Onsemi")</f>
        <v>Onsemi</v>
      </c>
      <c r="C11933" s="6">
        <v>36000</v>
      </c>
      <c r="D11933" s="7">
        <v>1.59</v>
      </c>
      <c r="E11933" t="s">
        <v>36</v>
      </c>
    </row>
    <row r="11934" spans="1:5" x14ac:dyDescent="0.25">
      <c r="A11934" t="str">
        <f>HYPERLINK("https://www.773grp.com/globalSearch/NCT51SN115T1/page-1", "NCT51SN115T1")</f>
        <v>NCT51SN115T1</v>
      </c>
      <c r="B11934" s="3" t="str">
        <f>HYPERLINK("https://www.773grp.com/manufacturer/onsemi?pageNo=1149", "Onsemi")</f>
        <v>Onsemi</v>
      </c>
      <c r="C11934" s="6">
        <v>232000</v>
      </c>
      <c r="D11934" s="7">
        <v>1.59</v>
      </c>
      <c r="E11934" t="s">
        <v>36</v>
      </c>
    </row>
    <row r="11935" spans="1:5" x14ac:dyDescent="0.25">
      <c r="A11935" t="str">
        <f>HYPERLINK("https://www.773grp.com/globalSearch/NCT52SN095T1/page-1", "NCT52SN095T1")</f>
        <v>NCT52SN095T1</v>
      </c>
      <c r="B11935" s="3" t="str">
        <f>HYPERLINK("https://www.773grp.com/manufacturer/onsemi?pageNo=1150", "Onsemi")</f>
        <v>Onsemi</v>
      </c>
      <c r="C11935" s="6">
        <v>258000</v>
      </c>
      <c r="D11935" s="7">
        <v>1.59</v>
      </c>
      <c r="E11935" t="s">
        <v>36</v>
      </c>
    </row>
    <row r="11936" spans="1:5" x14ac:dyDescent="0.25">
      <c r="A11936" t="str">
        <f>HYPERLINK("https://www.773grp.com/globalSearch/NCV2931D-5.0R2G/page-1", "NCV2931D-5.0R2G")</f>
        <v>NCV2931D-5.0R2G</v>
      </c>
      <c r="B11936" s="3" t="str">
        <f>HYPERLINK("https://www.773grp.com/manufacturer/onsemi?pageNo=1151", "Onsemi")</f>
        <v>Onsemi</v>
      </c>
      <c r="C11936" s="6">
        <v>840</v>
      </c>
      <c r="D11936" s="7">
        <v>1.59</v>
      </c>
      <c r="E11936" t="s">
        <v>15</v>
      </c>
    </row>
    <row r="11937" spans="1:5" x14ac:dyDescent="0.25">
      <c r="A11937" t="str">
        <f>HYPERLINK("https://www.773grp.com/globalSearch/NCV3843BVD1R2G/page-1", "NCV3843BVD1R2G")</f>
        <v>NCV3843BVD1R2G</v>
      </c>
      <c r="B11937" s="3" t="str">
        <f>HYPERLINK("https://www.773grp.com/manufacturer/onsemi?pageNo=1152", "Onsemi")</f>
        <v>Onsemi</v>
      </c>
      <c r="C11937" s="6">
        <v>46595</v>
      </c>
      <c r="D11937" s="7">
        <v>1.59</v>
      </c>
      <c r="E11937" t="s">
        <v>5</v>
      </c>
    </row>
    <row r="11938" spans="1:5" x14ac:dyDescent="0.25">
      <c r="A11938" t="str">
        <f>HYPERLINK("https://www.773grp.com/globalSearch/NCV3843BVDR2G/page-1", "NCV3843BVDR2G")</f>
        <v>NCV3843BVDR2G</v>
      </c>
      <c r="B11938" s="3" t="str">
        <f>HYPERLINK("https://www.773grp.com/manufacturer/onsemi?pageNo=1153", "Onsemi")</f>
        <v>Onsemi</v>
      </c>
      <c r="C11938" s="6">
        <v>19747</v>
      </c>
      <c r="D11938" s="7">
        <v>1.59</v>
      </c>
      <c r="E11938" t="s">
        <v>5</v>
      </c>
    </row>
    <row r="11939" spans="1:5" x14ac:dyDescent="0.25">
      <c r="A11939" t="str">
        <f>HYPERLINK("https://www.773grp.com/globalSearch/NCV4949ADR2G/page-1", "NCV4949ADR2G")</f>
        <v>NCV4949ADR2G</v>
      </c>
      <c r="B11939" s="3" t="str">
        <f>HYPERLINK("https://www.773grp.com/manufacturer/onsemi?pageNo=1154", "Onsemi")</f>
        <v>Onsemi</v>
      </c>
      <c r="C11939" s="6">
        <v>5000</v>
      </c>
      <c r="D11939" s="7">
        <v>1.59</v>
      </c>
    </row>
    <row r="11940" spans="1:5" x14ac:dyDescent="0.25">
      <c r="A11940" t="str">
        <f>HYPERLINK("https://www.773grp.com/globalSearch/NCV7805BDTRKG/page-1", "NCV7805BDTRKG")</f>
        <v>NCV7805BDTRKG</v>
      </c>
      <c r="B11940" s="3" t="str">
        <f>HYPERLINK("https://www.773grp.com/manufacturer/onsemi?pageNo=1155", "Onsemi")</f>
        <v>Onsemi</v>
      </c>
      <c r="C11940" s="6">
        <v>24250</v>
      </c>
      <c r="D11940" s="7">
        <v>1.59</v>
      </c>
      <c r="E11940" t="s">
        <v>24</v>
      </c>
    </row>
    <row r="11941" spans="1:5" x14ac:dyDescent="0.25">
      <c r="A11941" t="str">
        <f>HYPERLINK("https://www.773grp.com/globalSearch/NCV8440ASTT1G/page-1", "NCV8440ASTT1G")</f>
        <v>NCV8440ASTT1G</v>
      </c>
      <c r="B11941" s="3" t="str">
        <f>HYPERLINK("https://www.773grp.com/manufacturer/onsemi?pageNo=1156", "Onsemi")</f>
        <v>Onsemi</v>
      </c>
      <c r="C11941" s="6">
        <v>3900</v>
      </c>
      <c r="D11941" s="7">
        <v>1.59</v>
      </c>
    </row>
    <row r="11942" spans="1:5" x14ac:dyDescent="0.25">
      <c r="A11942" t="str">
        <f>HYPERLINK("https://www.773grp.com/globalSearch/NCV8440STT3G/page-1", "NCV8440STT3G")</f>
        <v>NCV8440STT3G</v>
      </c>
      <c r="B11942" s="3" t="str">
        <f>HYPERLINK("https://www.773grp.com/manufacturer/onsemi?pageNo=1157", "Onsemi")</f>
        <v>Onsemi</v>
      </c>
      <c r="C11942" s="6">
        <v>3000</v>
      </c>
      <c r="D11942" s="7">
        <v>1.59</v>
      </c>
      <c r="E11942" t="s">
        <v>84</v>
      </c>
    </row>
    <row r="11943" spans="1:5" x14ac:dyDescent="0.25">
      <c r="A11943" t="str">
        <f>HYPERLINK("https://www.773grp.com/globalSearch/NCV8502D80/page-1", "NCV8502D80")</f>
        <v>NCV8502D80</v>
      </c>
      <c r="B11943" s="3" t="str">
        <f>HYPERLINK("https://www.773grp.com/manufacturer/onsemi?pageNo=1158", "Onsemi")</f>
        <v>Onsemi</v>
      </c>
      <c r="C11943" s="6">
        <v>980</v>
      </c>
      <c r="D11943" s="7">
        <v>1.59</v>
      </c>
      <c r="E11943" t="s">
        <v>15</v>
      </c>
    </row>
    <row r="11944" spans="1:5" x14ac:dyDescent="0.25">
      <c r="A11944" t="str">
        <f>HYPERLINK("https://www.773grp.com/globalSearch/NCV8502DADJ/page-1", "NCV8502DADJ")</f>
        <v>NCV8502DADJ</v>
      </c>
      <c r="B11944" s="3" t="str">
        <f>HYPERLINK("https://www.773grp.com/manufacturer/onsemi?pageNo=1159", "Onsemi")</f>
        <v>Onsemi</v>
      </c>
      <c r="C11944" s="6">
        <v>1372</v>
      </c>
      <c r="D11944" s="7">
        <v>1.59</v>
      </c>
      <c r="E11944" t="s">
        <v>21</v>
      </c>
    </row>
    <row r="11945" spans="1:5" x14ac:dyDescent="0.25">
      <c r="A11945" t="str">
        <f>HYPERLINK("https://www.773grp.com/globalSearch/NCV8504PW25R2/page-1", "NCV8504PW25R2")</f>
        <v>NCV8504PW25R2</v>
      </c>
      <c r="B11945" s="3" t="str">
        <f>HYPERLINK("https://www.773grp.com/manufacturer/onsemi?pageNo=1160", "Onsemi")</f>
        <v>Onsemi</v>
      </c>
      <c r="C11945" s="6">
        <v>2000</v>
      </c>
      <c r="D11945" s="7">
        <v>1.59</v>
      </c>
      <c r="E11945" t="s">
        <v>15</v>
      </c>
    </row>
    <row r="11946" spans="1:5" x14ac:dyDescent="0.25">
      <c r="A11946" t="str">
        <f>HYPERLINK("https://www.773grp.com/globalSearch/NE592N14/page-1", "NE592N14")</f>
        <v>NE592N14</v>
      </c>
      <c r="B11946" s="3" t="str">
        <f>HYPERLINK("https://www.773grp.com/manufacturer/onsemi?pageNo=1161", "Onsemi")</f>
        <v>Onsemi</v>
      </c>
      <c r="C11946" s="6">
        <v>1307</v>
      </c>
      <c r="D11946" s="7">
        <v>1.59</v>
      </c>
      <c r="E11946" t="s">
        <v>14</v>
      </c>
    </row>
    <row r="11947" spans="1:5" x14ac:dyDescent="0.25">
      <c r="A11947" t="str">
        <f>HYPERLINK("https://www.773grp.com/globalSearch/NIF9N05CLT3/page-1", "NIF9N05CLT3")</f>
        <v>NIF9N05CLT3</v>
      </c>
      <c r="B11947" s="3" t="str">
        <f>HYPERLINK("https://www.773grp.com/manufacturer/onsemi?pageNo=1162", "Onsemi")</f>
        <v>Onsemi</v>
      </c>
      <c r="C11947" s="6">
        <v>7319</v>
      </c>
      <c r="D11947" s="7">
        <v>1.59</v>
      </c>
      <c r="E11947" t="s">
        <v>84</v>
      </c>
    </row>
    <row r="11948" spans="1:5" x14ac:dyDescent="0.25">
      <c r="A11948" t="str">
        <f>HYPERLINK("https://www.773grp.com/globalSearch/NLAS4717FCT1G/page-1", "NLAS4717FCT1G")</f>
        <v>NLAS4717FCT1G</v>
      </c>
      <c r="B11948" s="3" t="str">
        <f>HYPERLINK("https://www.773grp.com/manufacturer/onsemi?pageNo=1163", "Onsemi")</f>
        <v>Onsemi</v>
      </c>
      <c r="C11948" s="6">
        <v>803865</v>
      </c>
      <c r="D11948" s="7">
        <v>1.59</v>
      </c>
      <c r="E11948" t="s">
        <v>46</v>
      </c>
    </row>
    <row r="11949" spans="1:5" x14ac:dyDescent="0.25">
      <c r="A11949" t="str">
        <f>HYPERLINK("https://www.773grp.com/globalSearch/NLAS7213MUTBG/page-1", "NLAS7213MUTBG")</f>
        <v>NLAS7213MUTBG</v>
      </c>
      <c r="B11949" s="3" t="str">
        <f>HYPERLINK("https://www.773grp.com/manufacturer/onsemi?pageNo=1164", "Onsemi")</f>
        <v>Onsemi</v>
      </c>
      <c r="C11949" s="6">
        <v>86946</v>
      </c>
      <c r="D11949" s="7">
        <v>1.59</v>
      </c>
    </row>
    <row r="11950" spans="1:5" x14ac:dyDescent="0.25">
      <c r="A11950" t="str">
        <f>HYPERLINK("https://www.773grp.com/globalSearch/NLAS7222AMTR2G/page-1", "NLAS7222AMTR2G")</f>
        <v>NLAS7222AMTR2G</v>
      </c>
      <c r="B11950" s="3" t="str">
        <f>HYPERLINK("https://www.773grp.com/manufacturer/onsemi?pageNo=1165", "Onsemi")</f>
        <v>Onsemi</v>
      </c>
      <c r="C11950" s="6">
        <v>16818</v>
      </c>
      <c r="D11950" s="7">
        <v>1.59</v>
      </c>
      <c r="E11950" t="s">
        <v>46</v>
      </c>
    </row>
    <row r="11951" spans="1:5" x14ac:dyDescent="0.25">
      <c r="A11951" t="str">
        <f>HYPERLINK("https://www.773grp.com/globalSearch/NLAS7222AMUR2G/page-1", "NLAS7222AMUR2G")</f>
        <v>NLAS7222AMUR2G</v>
      </c>
      <c r="B11951" s="3" t="str">
        <f>HYPERLINK("https://www.773grp.com/manufacturer/onsemi?pageNo=1166", "Onsemi")</f>
        <v>Onsemi</v>
      </c>
      <c r="C11951" s="6">
        <v>17859</v>
      </c>
      <c r="D11951" s="7">
        <v>1.59</v>
      </c>
      <c r="E11951" t="s">
        <v>46</v>
      </c>
    </row>
    <row r="11952" spans="1:5" x14ac:dyDescent="0.25">
      <c r="A11952" t="str">
        <f>HYPERLINK("https://www.773grp.com/globalSearch/NLAS7222BMUTAG/page-1", "NLAS7222BMUTAG")</f>
        <v>NLAS7222BMUTAG</v>
      </c>
      <c r="B11952" s="3" t="str">
        <f>HYPERLINK("https://www.773grp.com/manufacturer/onsemi?pageNo=1167", "Onsemi")</f>
        <v>Onsemi</v>
      </c>
      <c r="C11952" s="6">
        <v>327000</v>
      </c>
      <c r="D11952" s="7">
        <v>1.59</v>
      </c>
    </row>
    <row r="11953" spans="1:5" x14ac:dyDescent="0.25">
      <c r="A11953" t="str">
        <f>HYPERLINK("https://www.773grp.com/globalSearch/NLAS7222BMUTBG/page-1", "NLAS7222BMUTBG")</f>
        <v>NLAS7222BMUTBG</v>
      </c>
      <c r="B11953" s="3" t="str">
        <f>HYPERLINK("https://www.773grp.com/manufacturer/onsemi?pageNo=1168", "Onsemi")</f>
        <v>Onsemi</v>
      </c>
      <c r="C11953" s="6">
        <v>362271</v>
      </c>
      <c r="D11953" s="7">
        <v>1.59</v>
      </c>
      <c r="E11953" t="s">
        <v>46</v>
      </c>
    </row>
    <row r="11954" spans="1:5" x14ac:dyDescent="0.25">
      <c r="A11954" t="str">
        <f>HYPERLINK("https://www.773grp.com/globalSearch/NLAS7222CMUTBG/page-1", "NLAS7222CMUTBG")</f>
        <v>NLAS7222CMUTBG</v>
      </c>
      <c r="B11954" s="3" t="str">
        <f>HYPERLINK("https://www.773grp.com/manufacturer/onsemi?pageNo=1169", "Onsemi")</f>
        <v>Onsemi</v>
      </c>
      <c r="C11954" s="6">
        <v>3000</v>
      </c>
      <c r="D11954" s="7">
        <v>1.59</v>
      </c>
      <c r="E11954" t="s">
        <v>46</v>
      </c>
    </row>
    <row r="11955" spans="1:5" x14ac:dyDescent="0.25">
      <c r="A11955" t="str">
        <f>HYPERLINK("https://www.773grp.com/globalSearch/NLAST4051DTR2G/page-1", "NLAST4051DTR2G")</f>
        <v>NLAST4051DTR2G</v>
      </c>
      <c r="B11955" s="3" t="str">
        <f>HYPERLINK("https://www.773grp.com/manufacturer/onsemi?pageNo=1170", "Onsemi")</f>
        <v>Onsemi</v>
      </c>
      <c r="C11955" s="6">
        <v>2500</v>
      </c>
      <c r="D11955" s="7">
        <v>1.59</v>
      </c>
    </row>
    <row r="11956" spans="1:5" x14ac:dyDescent="0.25">
      <c r="A11956" t="str">
        <f>HYPERLINK("https://www.773grp.com/globalSearch/NLSX4014MUTAG/page-1", "NLSX4014MUTAG")</f>
        <v>NLSX4014MUTAG</v>
      </c>
      <c r="B11956" s="3" t="str">
        <f>HYPERLINK("https://www.773grp.com/manufacturer/onsemi?pageNo=1171", "Onsemi")</f>
        <v>Onsemi</v>
      </c>
      <c r="C11956" s="6">
        <v>89505</v>
      </c>
      <c r="D11956" s="7">
        <v>1.59</v>
      </c>
      <c r="E11956" t="s">
        <v>11</v>
      </c>
    </row>
    <row r="11957" spans="1:5" x14ac:dyDescent="0.25">
      <c r="A11957" t="str">
        <f>HYPERLINK("https://www.773grp.com/globalSearch/NLSX4373MUTAG/page-1", "NLSX4373MUTAG")</f>
        <v>NLSX4373MUTAG</v>
      </c>
      <c r="B11957" s="3" t="str">
        <f>HYPERLINK("https://www.773grp.com/manufacturer/onsemi?pageNo=1172", "Onsemi")</f>
        <v>Onsemi</v>
      </c>
      <c r="C11957" s="6">
        <v>205000</v>
      </c>
      <c r="D11957" s="7">
        <v>1.59</v>
      </c>
    </row>
    <row r="11958" spans="1:5" x14ac:dyDescent="0.25">
      <c r="A11958" t="str">
        <f>HYPERLINK("https://www.773grp.com/globalSearch/NLSX5014MUTAG/page-1", "NLSX5014MUTAG")</f>
        <v>NLSX5014MUTAG</v>
      </c>
      <c r="B11958" s="3" t="str">
        <f>HYPERLINK("https://www.773grp.com/manufacturer/onsemi?pageNo=1173", "Onsemi")</f>
        <v>Onsemi</v>
      </c>
      <c r="C11958" s="6">
        <v>90000</v>
      </c>
      <c r="D11958" s="7">
        <v>1.59</v>
      </c>
    </row>
    <row r="11959" spans="1:5" x14ac:dyDescent="0.25">
      <c r="A11959" t="str">
        <f>HYPERLINK("https://www.773grp.com/globalSearch/NTB65N02RT4G/page-1", "NTB65N02RT4G")</f>
        <v>NTB65N02RT4G</v>
      </c>
      <c r="B11959" s="3" t="str">
        <f>HYPERLINK("https://www.773grp.com/manufacturer/onsemi?pageNo=1174", "Onsemi")</f>
        <v>Onsemi</v>
      </c>
      <c r="C11959" s="6">
        <v>4000</v>
      </c>
      <c r="D11959" s="7">
        <v>1.59</v>
      </c>
      <c r="E11959" t="s">
        <v>84</v>
      </c>
    </row>
    <row r="11960" spans="1:5" x14ac:dyDescent="0.25">
      <c r="A11960" t="str">
        <f>HYPERLINK("https://www.773grp.com/globalSearch/NTD110N02R-001G/page-1", "NTD110N02R-001G")</f>
        <v>NTD110N02R-001G</v>
      </c>
      <c r="B11960" s="3" t="str">
        <f>HYPERLINK("https://www.773grp.com/manufacturer/onsemi?pageNo=1175", "Onsemi")</f>
        <v>Onsemi</v>
      </c>
      <c r="C11960" s="6">
        <v>17861</v>
      </c>
      <c r="D11960" s="7">
        <v>1.59</v>
      </c>
      <c r="E11960" t="s">
        <v>84</v>
      </c>
    </row>
    <row r="11961" spans="1:5" x14ac:dyDescent="0.25">
      <c r="A11961" t="str">
        <f>HYPERLINK("https://www.773grp.com/globalSearch/NTD110N02RG/page-1", "NTD110N02RG")</f>
        <v>NTD110N02RG</v>
      </c>
      <c r="B11961" s="3" t="str">
        <f>HYPERLINK("https://www.773grp.com/manufacturer/onsemi?pageNo=1176", "Onsemi")</f>
        <v>Onsemi</v>
      </c>
      <c r="C11961" s="6">
        <v>25100</v>
      </c>
      <c r="D11961" s="7">
        <v>1.59</v>
      </c>
      <c r="E11961" t="s">
        <v>84</v>
      </c>
    </row>
    <row r="11962" spans="1:5" x14ac:dyDescent="0.25">
      <c r="A11962" t="str">
        <f>HYPERLINK("https://www.773grp.com/globalSearch/NTD25P03LG/page-1", "NTD25P03LG")</f>
        <v>NTD25P03LG</v>
      </c>
      <c r="B11962" s="3" t="str">
        <f>HYPERLINK("https://www.773grp.com/manufacturer/onsemi?pageNo=1177", "Onsemi")</f>
        <v>Onsemi</v>
      </c>
      <c r="C11962" s="6">
        <v>2300</v>
      </c>
      <c r="D11962" s="7">
        <v>1.59</v>
      </c>
    </row>
    <row r="11963" spans="1:5" x14ac:dyDescent="0.25">
      <c r="A11963" t="str">
        <f>HYPERLINK("https://www.773grp.com/globalSearch/NTD4404N1G/page-1", "NTD4404N1G")</f>
        <v>NTD4404N1G</v>
      </c>
      <c r="B11963" s="3" t="str">
        <f>HYPERLINK("https://www.773grp.com/manufacturer/onsemi?pageNo=1178", "Onsemi")</f>
        <v>Onsemi</v>
      </c>
      <c r="C11963" s="6">
        <v>9300</v>
      </c>
      <c r="D11963" s="7">
        <v>1.59</v>
      </c>
    </row>
    <row r="11964" spans="1:5" x14ac:dyDescent="0.25">
      <c r="A11964" t="str">
        <f>HYPERLINK("https://www.773grp.com/globalSearch/NTD5413NT4G/page-1", "NTD5413NT4G")</f>
        <v>NTD5413NT4G</v>
      </c>
      <c r="B11964" s="3" t="str">
        <f>HYPERLINK("https://www.773grp.com/manufacturer/onsemi?pageNo=1179", "Onsemi")</f>
        <v>Onsemi</v>
      </c>
      <c r="C11964" s="6">
        <v>2500</v>
      </c>
      <c r="D11964" s="7">
        <v>1.59</v>
      </c>
      <c r="E11964" t="s">
        <v>84</v>
      </c>
    </row>
    <row r="11965" spans="1:5" x14ac:dyDescent="0.25">
      <c r="A11965" t="str">
        <f>HYPERLINK("https://www.773grp.com/globalSearch/NTD60N03/page-1", "NTD60N03")</f>
        <v>NTD60N03</v>
      </c>
      <c r="B11965" s="3" t="str">
        <f>HYPERLINK("https://www.773grp.com/manufacturer/onsemi?pageNo=1180", "Onsemi")</f>
        <v>Onsemi</v>
      </c>
      <c r="C11965" s="6">
        <v>7203</v>
      </c>
      <c r="D11965" s="7">
        <v>1.59</v>
      </c>
      <c r="E11965" t="s">
        <v>84</v>
      </c>
    </row>
    <row r="11966" spans="1:5" x14ac:dyDescent="0.25">
      <c r="A11966" t="str">
        <f>HYPERLINK("https://www.773grp.com/globalSearch/NTD60N03-001/page-1", "NTD60N03-001")</f>
        <v>NTD60N03-001</v>
      </c>
      <c r="B11966" s="3" t="str">
        <f>HYPERLINK("https://www.773grp.com/manufacturer/onsemi?pageNo=1181", "Onsemi")</f>
        <v>Onsemi</v>
      </c>
      <c r="C11966" s="6">
        <v>29240</v>
      </c>
      <c r="D11966" s="7">
        <v>1.59</v>
      </c>
    </row>
    <row r="11967" spans="1:5" x14ac:dyDescent="0.25">
      <c r="A11967" t="str">
        <f>HYPERLINK("https://www.773grp.com/globalSearch/NTD60N03T4/page-1", "NTD60N03T4")</f>
        <v>NTD60N03T4</v>
      </c>
      <c r="B11967" s="3" t="str">
        <f>HYPERLINK("https://www.773grp.com/manufacturer/onsemi?pageNo=1182", "Onsemi")</f>
        <v>Onsemi</v>
      </c>
      <c r="C11967" s="6">
        <v>56559</v>
      </c>
      <c r="D11967" s="7">
        <v>1.59</v>
      </c>
      <c r="E11967" t="s">
        <v>84</v>
      </c>
    </row>
    <row r="11968" spans="1:5" x14ac:dyDescent="0.25">
      <c r="A11968" t="str">
        <f>HYPERLINK("https://www.773grp.com/globalSearch/NTD6600N-1G/page-1", "NTD6600N-1G")</f>
        <v>NTD6600N-1G</v>
      </c>
      <c r="B11968" s="3" t="str">
        <f>HYPERLINK("https://www.773grp.com/manufacturer/onsemi?pageNo=1183", "Onsemi")</f>
        <v>Onsemi</v>
      </c>
      <c r="C11968" s="6">
        <v>1425</v>
      </c>
      <c r="D11968" s="7">
        <v>1.59</v>
      </c>
      <c r="E11968" t="s">
        <v>84</v>
      </c>
    </row>
    <row r="11969" spans="1:5" x14ac:dyDescent="0.25">
      <c r="A11969" t="str">
        <f>HYPERLINK("https://www.773grp.com/globalSearch/NTD6600NT4G/page-1", "NTD6600NT4G")</f>
        <v>NTD6600NT4G</v>
      </c>
      <c r="B11969" s="3" t="str">
        <f>HYPERLINK("https://www.773grp.com/manufacturer/onsemi?pageNo=1184", "Onsemi")</f>
        <v>Onsemi</v>
      </c>
      <c r="C11969" s="6">
        <v>27</v>
      </c>
      <c r="D11969" s="7">
        <v>1.59</v>
      </c>
      <c r="E11969" t="s">
        <v>84</v>
      </c>
    </row>
    <row r="11970" spans="1:5" x14ac:dyDescent="0.25">
      <c r="A11970" t="str">
        <f>HYPERLINK("https://www.773grp.com/globalSearch/NTD78N03R-1G/page-1", "NTD78N03R-1G")</f>
        <v>NTD78N03R-1G</v>
      </c>
      <c r="B11970" s="3" t="str">
        <f>HYPERLINK("https://www.773grp.com/manufacturer/onsemi?pageNo=1185", "Onsemi")</f>
        <v>Onsemi</v>
      </c>
      <c r="C11970" s="6">
        <v>4050</v>
      </c>
      <c r="D11970" s="7">
        <v>1.59</v>
      </c>
      <c r="E11970" t="s">
        <v>84</v>
      </c>
    </row>
    <row r="11971" spans="1:5" x14ac:dyDescent="0.25">
      <c r="A11971" t="str">
        <f>HYPERLINK("https://www.773grp.com/globalSearch/NTLGF3402PT1G/page-1", "NTLGF3402PT1G")</f>
        <v>NTLGF3402PT1G</v>
      </c>
      <c r="B11971" s="3" t="str">
        <f>HYPERLINK("https://www.773grp.com/manufacturer/onsemi?pageNo=1186", "Onsemi")</f>
        <v>Onsemi</v>
      </c>
      <c r="C11971" s="6">
        <v>5200</v>
      </c>
      <c r="D11971" s="7">
        <v>1.59</v>
      </c>
      <c r="E11971" t="s">
        <v>84</v>
      </c>
    </row>
    <row r="11972" spans="1:5" x14ac:dyDescent="0.25">
      <c r="A11972" t="str">
        <f>HYPERLINK("https://www.773grp.com/globalSearch/NTLGF3501NT1G/page-1", "NTLGF3501NT1G")</f>
        <v>NTLGF3501NT1G</v>
      </c>
      <c r="B11972" s="3" t="str">
        <f>HYPERLINK("https://www.773grp.com/manufacturer/onsemi?pageNo=1187", "Onsemi")</f>
        <v>Onsemi</v>
      </c>
      <c r="C11972" s="6">
        <v>6000</v>
      </c>
      <c r="D11972" s="7">
        <v>1.59</v>
      </c>
      <c r="E11972" t="s">
        <v>84</v>
      </c>
    </row>
    <row r="11973" spans="1:5" x14ac:dyDescent="0.25">
      <c r="A11973" t="str">
        <f>HYPERLINK("https://www.773grp.com/globalSearch/NTMD5836NLR2G/page-1", "NTMD5836NLR2G")</f>
        <v>NTMD5836NLR2G</v>
      </c>
      <c r="B11973" s="3" t="str">
        <f>HYPERLINK("https://www.773grp.com/manufacturer/onsemi?pageNo=1188", "Onsemi")</f>
        <v>Onsemi</v>
      </c>
      <c r="C11973" s="6">
        <v>2300</v>
      </c>
      <c r="D11973" s="7">
        <v>1.59</v>
      </c>
    </row>
    <row r="11974" spans="1:5" x14ac:dyDescent="0.25">
      <c r="A11974" t="str">
        <f>HYPERLINK("https://www.773grp.com/globalSearch/NTMFS4120NT1G/page-1", "NTMFS4120NT1G")</f>
        <v>NTMFS4120NT1G</v>
      </c>
      <c r="B11974" s="3" t="str">
        <f>HYPERLINK("https://www.773grp.com/manufacturer/onsemi?pageNo=1189", "Onsemi")</f>
        <v>Onsemi</v>
      </c>
      <c r="C11974" s="6">
        <v>131261</v>
      </c>
      <c r="D11974" s="7">
        <v>1.59</v>
      </c>
      <c r="E11974" t="s">
        <v>85</v>
      </c>
    </row>
    <row r="11975" spans="1:5" x14ac:dyDescent="0.25">
      <c r="A11975" t="str">
        <f>HYPERLINK("https://www.773grp.com/globalSearch/NTMS4503NR2G/page-1", "NTMS4503NR2G")</f>
        <v>NTMS4503NR2G</v>
      </c>
      <c r="B11975" s="3" t="str">
        <f>HYPERLINK("https://www.773grp.com/manufacturer/onsemi?pageNo=1190", "Onsemi")</f>
        <v>Onsemi</v>
      </c>
      <c r="C11975" s="6">
        <v>5000</v>
      </c>
      <c r="D11975" s="7">
        <v>1.59</v>
      </c>
    </row>
    <row r="11976" spans="1:5" x14ac:dyDescent="0.25">
      <c r="A11976" t="str">
        <f>HYPERLINK("https://www.773grp.com/globalSearch/NTMS4840NR2G/page-1", "NTMS4840NR2G")</f>
        <v>NTMS4840NR2G</v>
      </c>
      <c r="B11976" s="3" t="str">
        <f>HYPERLINK("https://www.773grp.com/manufacturer/onsemi?pageNo=1191", "Onsemi")</f>
        <v>Onsemi</v>
      </c>
      <c r="C11976" s="6">
        <v>21120</v>
      </c>
      <c r="D11976" s="7">
        <v>1.59</v>
      </c>
      <c r="E11976" t="s">
        <v>85</v>
      </c>
    </row>
    <row r="11977" spans="1:5" x14ac:dyDescent="0.25">
      <c r="A11977" t="str">
        <f>HYPERLINK("https://www.773grp.com/globalSearch/NTP18N06G/page-1", "NTP18N06G")</f>
        <v>NTP18N06G</v>
      </c>
      <c r="B11977" s="3" t="str">
        <f>HYPERLINK("https://www.773grp.com/manufacturer/onsemi?pageNo=1192", "Onsemi")</f>
        <v>Onsemi</v>
      </c>
      <c r="C11977" s="6">
        <v>1885</v>
      </c>
      <c r="D11977" s="7">
        <v>1.59</v>
      </c>
      <c r="E11977" t="s">
        <v>84</v>
      </c>
    </row>
    <row r="11978" spans="1:5" x14ac:dyDescent="0.25">
      <c r="A11978" t="str">
        <f>HYPERLINK("https://www.773grp.com/globalSearch/NTP18N06L/page-1", "NTP18N06L")</f>
        <v>NTP18N06L</v>
      </c>
      <c r="B11978" s="3" t="str">
        <f>HYPERLINK("https://www.773grp.com/manufacturer/onsemi?pageNo=1193", "Onsemi")</f>
        <v>Onsemi</v>
      </c>
      <c r="C11978" s="6">
        <v>1717</v>
      </c>
      <c r="D11978" s="7">
        <v>1.59</v>
      </c>
      <c r="E11978" t="s">
        <v>84</v>
      </c>
    </row>
    <row r="11979" spans="1:5" x14ac:dyDescent="0.25">
      <c r="A11979" t="str">
        <f>HYPERLINK("https://www.773grp.com/globalSearch/NUF4107FCT1G/page-1", "NUF4107FCT1G")</f>
        <v>NUF4107FCT1G</v>
      </c>
      <c r="B11979" s="3" t="str">
        <f>HYPERLINK("https://www.773grp.com/manufacturer/onsemi?pageNo=1194", "Onsemi")</f>
        <v>Onsemi</v>
      </c>
      <c r="C11979" s="6">
        <v>197984</v>
      </c>
      <c r="D11979" s="7">
        <v>1.59</v>
      </c>
      <c r="E11979" t="s">
        <v>79</v>
      </c>
    </row>
    <row r="11980" spans="1:5" x14ac:dyDescent="0.25">
      <c r="A11980" t="str">
        <f>HYPERLINK("https://www.773grp.com/globalSearch/NY5HP02NAA/page-1", "NY5HP02NAA")</f>
        <v>NY5HP02NAA</v>
      </c>
      <c r="B11980" s="3" t="str">
        <f>HYPERLINK("https://www.773grp.com/manufacturer/onsemi?pageNo=1195", "Onsemi")</f>
        <v>Onsemi</v>
      </c>
      <c r="C11980" s="6">
        <v>10</v>
      </c>
      <c r="D11980" s="7">
        <v>1.59</v>
      </c>
    </row>
    <row r="11981" spans="1:5" x14ac:dyDescent="0.25">
      <c r="A11981" t="str">
        <f>HYPERLINK("https://www.773grp.com/globalSearch/P1P8160AG-10CR/page-1", "P1P8160AG-10CR")</f>
        <v>P1P8160AG-10CR</v>
      </c>
      <c r="B11981" s="3" t="str">
        <f>HYPERLINK("https://www.773grp.com/manufacturer/onsemi?pageNo=1196", "Onsemi")</f>
        <v>Onsemi</v>
      </c>
      <c r="C11981" s="6">
        <v>24248</v>
      </c>
      <c r="D11981" s="7">
        <v>1.59</v>
      </c>
      <c r="E11981" t="s">
        <v>65</v>
      </c>
    </row>
    <row r="11982" spans="1:5" x14ac:dyDescent="0.25">
      <c r="A11982" t="str">
        <f>HYPERLINK("https://www.773grp.com/globalSearch/SG3525ADW/page-1", "SG3525ADW")</f>
        <v>SG3525ADW</v>
      </c>
      <c r="B11982" s="3" t="str">
        <f>HYPERLINK("https://www.773grp.com/manufacturer/onsemi?pageNo=1197", "Onsemi")</f>
        <v>Onsemi</v>
      </c>
      <c r="C11982" s="6">
        <v>2266</v>
      </c>
      <c r="D11982" s="7">
        <v>1.59</v>
      </c>
      <c r="E11982" t="s">
        <v>5</v>
      </c>
    </row>
    <row r="11983" spans="1:5" x14ac:dyDescent="0.25">
      <c r="A11983" t="str">
        <f>HYPERLINK("https://www.773grp.com/globalSearch/SR4263/page-1", "SR4263")</f>
        <v>SR4263</v>
      </c>
      <c r="B11983" s="3" t="str">
        <f>HYPERLINK("https://www.773grp.com/manufacturer/onsemi?pageNo=1198", "Onsemi")</f>
        <v>Onsemi</v>
      </c>
      <c r="C11983" s="6">
        <v>3500</v>
      </c>
      <c r="D11983" s="7">
        <v>1.59</v>
      </c>
    </row>
    <row r="11984" spans="1:5" x14ac:dyDescent="0.25">
      <c r="A11984" t="str">
        <f>HYPERLINK("https://www.773grp.com/globalSearch/SR4431/page-1", "SR4431")</f>
        <v>SR4431</v>
      </c>
      <c r="B11984" s="3" t="str">
        <f>HYPERLINK("https://www.773grp.com/manufacturer/onsemi?pageNo=1199", "Onsemi")</f>
        <v>Onsemi</v>
      </c>
      <c r="C11984" s="6">
        <v>5000</v>
      </c>
      <c r="D11984" s="7">
        <v>1.59</v>
      </c>
    </row>
    <row r="11985" spans="1:5" x14ac:dyDescent="0.25">
      <c r="A11985" t="str">
        <f>HYPERLINK("https://www.773grp.com/globalSearch/SR4436LRL/page-1", "SR4436LRL")</f>
        <v>SR4436LRL</v>
      </c>
      <c r="B11985" s="3" t="str">
        <f>HYPERLINK("https://www.773grp.com/manufacturer/onsemi?pageNo=1200", "Onsemi")</f>
        <v>Onsemi</v>
      </c>
      <c r="C11985" s="6">
        <v>2400</v>
      </c>
      <c r="D11985" s="7">
        <v>1.59</v>
      </c>
    </row>
    <row r="11986" spans="1:5" x14ac:dyDescent="0.25">
      <c r="A11986" t="str">
        <f>HYPERLINK("https://www.773grp.com/globalSearch/TIP115G/page-1", "TIP115G")</f>
        <v>TIP115G</v>
      </c>
      <c r="B11986" s="3" t="str">
        <f>HYPERLINK("https://www.773grp.com/manufacturer/onsemi?pageNo=1201", "Onsemi")</f>
        <v>Onsemi</v>
      </c>
      <c r="C11986" s="6">
        <v>9120</v>
      </c>
      <c r="D11986" s="7">
        <v>1.59</v>
      </c>
      <c r="E11986" t="s">
        <v>47</v>
      </c>
    </row>
    <row r="11987" spans="1:5" x14ac:dyDescent="0.25">
      <c r="A11987" t="str">
        <f>HYPERLINK("https://www.773grp.com/globalSearch/TIP117G/page-1", "TIP117G")</f>
        <v>TIP117G</v>
      </c>
      <c r="B11987" s="3" t="str">
        <f>HYPERLINK("https://www.773grp.com/manufacturer/onsemi?pageNo=1202", "Onsemi")</f>
        <v>Onsemi</v>
      </c>
      <c r="C11987" s="6">
        <v>900</v>
      </c>
      <c r="D11987" s="7">
        <v>1.59</v>
      </c>
      <c r="E11987" t="s">
        <v>47</v>
      </c>
    </row>
    <row r="11988" spans="1:5" x14ac:dyDescent="0.25">
      <c r="A11988" t="str">
        <f>HYPERLINK("https://www.773grp.com/globalSearch/TIP125G/page-1", "TIP125G")</f>
        <v>TIP125G</v>
      </c>
      <c r="B11988" s="3" t="str">
        <f>HYPERLINK("https://www.773grp.com/manufacturer/onsemi?pageNo=1203", "Onsemi")</f>
        <v>Onsemi</v>
      </c>
      <c r="C11988" s="6">
        <v>2390</v>
      </c>
      <c r="D11988" s="7">
        <v>1.59</v>
      </c>
      <c r="E11988" t="s">
        <v>47</v>
      </c>
    </row>
    <row r="11989" spans="1:5" x14ac:dyDescent="0.25">
      <c r="A11989" t="str">
        <f>HYPERLINK("https://www.773grp.com/globalSearch/TIP126G/page-1", "TIP126G")</f>
        <v>TIP126G</v>
      </c>
      <c r="B11989" s="3" t="str">
        <f>HYPERLINK("https://www.773grp.com/manufacturer/onsemi?pageNo=1204", "Onsemi")</f>
        <v>Onsemi</v>
      </c>
      <c r="C11989" s="6">
        <v>9953</v>
      </c>
      <c r="D11989" s="7">
        <v>1.59</v>
      </c>
      <c r="E11989" t="s">
        <v>47</v>
      </c>
    </row>
    <row r="11990" spans="1:5" x14ac:dyDescent="0.25">
      <c r="A11990" t="str">
        <f>HYPERLINK("https://www.773grp.com/globalSearch/TIP127G/page-1", "TIP127G")</f>
        <v>TIP127G</v>
      </c>
      <c r="B11990" s="3" t="str">
        <f>HYPERLINK("https://www.773grp.com/manufacturer/onsemi?pageNo=1205", "Onsemi")</f>
        <v>Onsemi</v>
      </c>
      <c r="C11990" s="6">
        <v>9096</v>
      </c>
      <c r="D11990" s="7">
        <v>1.59</v>
      </c>
      <c r="E11990" t="s">
        <v>47</v>
      </c>
    </row>
    <row r="11991" spans="1:5" x14ac:dyDescent="0.25">
      <c r="A11991" t="str">
        <f>HYPERLINK("https://www.773grp.com/globalSearch/TIP132G/page-1", "TIP132G")</f>
        <v>TIP132G</v>
      </c>
      <c r="B11991" s="3" t="str">
        <f>HYPERLINK("https://www.773grp.com/manufacturer/onsemi?pageNo=1206", "Onsemi")</f>
        <v>Onsemi</v>
      </c>
      <c r="C11991" s="6">
        <v>88880</v>
      </c>
      <c r="D11991" s="7">
        <v>1.59</v>
      </c>
      <c r="E11991" t="s">
        <v>47</v>
      </c>
    </row>
    <row r="11992" spans="1:5" x14ac:dyDescent="0.25">
      <c r="A11992" t="str">
        <f>HYPERLINK("https://www.773grp.com/globalSearch/TL084ACN/page-1", "TL084ACN")</f>
        <v>TL084ACN</v>
      </c>
      <c r="B11992" s="3" t="str">
        <f>HYPERLINK("https://www.773grp.com/manufacturer/onsemi?pageNo=1207", "Onsemi")</f>
        <v>Onsemi</v>
      </c>
      <c r="C11992" s="6">
        <v>652</v>
      </c>
      <c r="D11992" s="7">
        <v>1.59</v>
      </c>
      <c r="E11992" t="s">
        <v>10</v>
      </c>
    </row>
    <row r="11993" spans="1:5" x14ac:dyDescent="0.25">
      <c r="A11993" t="str">
        <f>HYPERLINK("https://www.773grp.com/globalSearch/TL431AIPG/page-1", "TL431AIPG")</f>
        <v>TL431AIPG</v>
      </c>
      <c r="B11993" s="3" t="str">
        <f>HYPERLINK("https://www.773grp.com/manufacturer/onsemi?pageNo=1208", "Onsemi")</f>
        <v>Onsemi</v>
      </c>
      <c r="C11993" s="6">
        <v>3198</v>
      </c>
      <c r="D11993" s="7">
        <v>1.59</v>
      </c>
      <c r="E11993" t="s">
        <v>13</v>
      </c>
    </row>
    <row r="11994" spans="1:5" x14ac:dyDescent="0.25">
      <c r="A11994" t="str">
        <f>HYPERLINK("https://www.773grp.com/globalSearch/2N6043G/page-1", "2N6043G")</f>
        <v>2N6043G</v>
      </c>
      <c r="B11994" s="3" t="str">
        <f>HYPERLINK("https://www.773grp.com/manufacturer/onsemi?pageNo=1209", "Onsemi")</f>
        <v>Onsemi</v>
      </c>
      <c r="C11994" s="6">
        <v>9601</v>
      </c>
      <c r="D11994" s="7">
        <v>1.64</v>
      </c>
      <c r="E11994" t="s">
        <v>47</v>
      </c>
    </row>
    <row r="11995" spans="1:5" x14ac:dyDescent="0.25">
      <c r="A11995" t="str">
        <f>HYPERLINK("https://www.773grp.com/globalSearch/2N6348A/page-1", "2N6348A")</f>
        <v>2N6348A</v>
      </c>
      <c r="B11995" s="3" t="str">
        <f>HYPERLINK("https://www.773grp.com/manufacturer/onsemi?pageNo=1210", "Onsemi")</f>
        <v>Onsemi</v>
      </c>
      <c r="C11995" s="6">
        <v>2575</v>
      </c>
      <c r="D11995" s="7">
        <v>1.64</v>
      </c>
      <c r="E11995" t="s">
        <v>81</v>
      </c>
    </row>
    <row r="11996" spans="1:5" x14ac:dyDescent="0.25">
      <c r="A11996" t="str">
        <f>HYPERLINK("https://www.773grp.com/globalSearch/BYW80-100/page-1", "BYW80-100")</f>
        <v>BYW80-100</v>
      </c>
      <c r="B11996" s="3" t="str">
        <f>HYPERLINK("https://www.773grp.com/manufacturer/onsemi?pageNo=1211", "Onsemi")</f>
        <v>Onsemi</v>
      </c>
      <c r="C11996" s="6">
        <v>360</v>
      </c>
      <c r="D11996" s="7">
        <v>1.64</v>
      </c>
      <c r="E11996" t="s">
        <v>82</v>
      </c>
    </row>
    <row r="11997" spans="1:5" x14ac:dyDescent="0.25">
      <c r="A11997" t="str">
        <f>HYPERLINK("https://www.773grp.com/globalSearch/CAT25128VI-GT3/page-1", "CAT25128VI-GT3")</f>
        <v>CAT25128VI-GT3</v>
      </c>
      <c r="B11997" s="3" t="str">
        <f>HYPERLINK("https://www.773grp.com/manufacturer/onsemi?pageNo=1212", "Onsemi")</f>
        <v>Onsemi</v>
      </c>
      <c r="C11997" s="6">
        <v>3000</v>
      </c>
      <c r="D11997" s="7">
        <v>1.64</v>
      </c>
    </row>
    <row r="11998" spans="1:5" x14ac:dyDescent="0.25">
      <c r="A11998" t="str">
        <f>HYPERLINK("https://www.773grp.com/globalSearch/CAT25128YI-GT3/page-1", "CAT25128YI-GT3")</f>
        <v>CAT25128YI-GT3</v>
      </c>
      <c r="B11998" s="3" t="str">
        <f>HYPERLINK("https://www.773grp.com/manufacturer/onsemi?pageNo=1213", "Onsemi")</f>
        <v>Onsemi</v>
      </c>
      <c r="C11998" s="6">
        <v>39000</v>
      </c>
      <c r="D11998" s="7">
        <v>1.64</v>
      </c>
      <c r="E11998" t="s">
        <v>52</v>
      </c>
    </row>
    <row r="11999" spans="1:5" x14ac:dyDescent="0.25">
      <c r="A11999" t="str">
        <f>HYPERLINK("https://www.773grp.com/globalSearch/CS52015-1GST3/page-1", "CS52015-1GST3")</f>
        <v>CS52015-1GST3</v>
      </c>
      <c r="B11999" s="3" t="str">
        <f>HYPERLINK("https://www.773grp.com/manufacturer/onsemi?pageNo=1214", "Onsemi")</f>
        <v>Onsemi</v>
      </c>
      <c r="C11999" s="6">
        <v>1075</v>
      </c>
      <c r="D11999" s="7">
        <v>1.64</v>
      </c>
      <c r="E11999" t="s">
        <v>21</v>
      </c>
    </row>
    <row r="12000" spans="1:5" x14ac:dyDescent="0.25">
      <c r="A12000" t="str">
        <f>HYPERLINK("https://www.773grp.com/globalSearch/CS52015-1GSTR3/page-1", "CS52015-1GSTR3")</f>
        <v>CS52015-1GSTR3</v>
      </c>
      <c r="B12000" s="3" t="str">
        <f>HYPERLINK("https://www.773grp.com/manufacturer/onsemi?pageNo=1215", "Onsemi")</f>
        <v>Onsemi</v>
      </c>
      <c r="C12000" s="6">
        <v>3000</v>
      </c>
      <c r="D12000" s="7">
        <v>1.64</v>
      </c>
      <c r="E12000" t="s">
        <v>21</v>
      </c>
    </row>
    <row r="12001" spans="1:5" x14ac:dyDescent="0.25">
      <c r="A12001" t="str">
        <f>HYPERLINK("https://www.773grp.com/globalSearch/CS52015-3GST3/page-1", "CS52015-3GST3")</f>
        <v>CS52015-3GST3</v>
      </c>
      <c r="B12001" s="3" t="str">
        <f>HYPERLINK("https://www.773grp.com/manufacturer/onsemi?pageNo=1216", "Onsemi")</f>
        <v>Onsemi</v>
      </c>
      <c r="C12001" s="6">
        <v>3040</v>
      </c>
      <c r="D12001" s="7">
        <v>1.64</v>
      </c>
      <c r="E12001" t="s">
        <v>15</v>
      </c>
    </row>
    <row r="12002" spans="1:5" x14ac:dyDescent="0.25">
      <c r="A12002" t="str">
        <f>HYPERLINK("https://www.773grp.com/globalSearch/CS52015-3GSTR3/page-1", "CS52015-3GSTR3")</f>
        <v>CS52015-3GSTR3</v>
      </c>
      <c r="B12002" s="3" t="str">
        <f>HYPERLINK("https://www.773grp.com/manufacturer/onsemi?pageNo=1217", "Onsemi")</f>
        <v>Onsemi</v>
      </c>
      <c r="C12002" s="6">
        <v>10000</v>
      </c>
      <c r="D12002" s="7">
        <v>1.64</v>
      </c>
      <c r="E12002" t="s">
        <v>15</v>
      </c>
    </row>
    <row r="12003" spans="1:5" x14ac:dyDescent="0.25">
      <c r="A12003" t="str">
        <f>HYPERLINK("https://www.773grp.com/globalSearch/IRF610/page-1", "IRF610")</f>
        <v>IRF610</v>
      </c>
      <c r="B12003" s="3" t="str">
        <f>HYPERLINK("https://www.773grp.com/manufacturer/onsemi?pageNo=1218", "Onsemi")</f>
        <v>Onsemi</v>
      </c>
      <c r="C12003" s="6">
        <v>1157</v>
      </c>
      <c r="D12003" s="7">
        <v>1.64</v>
      </c>
      <c r="E12003" t="s">
        <v>84</v>
      </c>
    </row>
    <row r="12004" spans="1:5" x14ac:dyDescent="0.25">
      <c r="A12004" t="str">
        <f>HYPERLINK("https://www.773grp.com/globalSearch/J111RLRPG/page-1", "J111RLRPG")</f>
        <v>J111RLRPG</v>
      </c>
      <c r="B12004" s="3" t="str">
        <f>HYPERLINK("https://www.773grp.com/manufacturer/onsemi?pageNo=1219", "Onsemi")</f>
        <v>Onsemi</v>
      </c>
      <c r="C12004" s="6">
        <v>2976</v>
      </c>
      <c r="D12004" s="7">
        <v>1.64</v>
      </c>
      <c r="E12004" t="s">
        <v>85</v>
      </c>
    </row>
    <row r="12005" spans="1:5" x14ac:dyDescent="0.25">
      <c r="A12005" t="str">
        <f>HYPERLINK("https://www.773grp.com/globalSearch/L4949N/page-1", "L4949N")</f>
        <v>L4949N</v>
      </c>
      <c r="B12005" s="3" t="str">
        <f>HYPERLINK("https://www.773grp.com/manufacturer/onsemi?pageNo=1220", "Onsemi")</f>
        <v>Onsemi</v>
      </c>
      <c r="C12005" s="6">
        <v>18</v>
      </c>
      <c r="D12005" s="7">
        <v>1.64</v>
      </c>
      <c r="E12005" t="s">
        <v>15</v>
      </c>
    </row>
    <row r="12006" spans="1:5" x14ac:dyDescent="0.25">
      <c r="A12006" t="str">
        <f>HYPERLINK("https://www.773grp.com/globalSearch/LB11861MC-AH/page-1", "LB11861MC-AH")</f>
        <v>LB11861MC-AH</v>
      </c>
      <c r="B12006" s="3" t="str">
        <f>HYPERLINK("https://www.773grp.com/manufacturer/onsemi?pageNo=1221", "Onsemi")</f>
        <v>Onsemi</v>
      </c>
      <c r="C12006" s="6">
        <v>76861</v>
      </c>
      <c r="D12006" s="7">
        <v>1.64</v>
      </c>
    </row>
    <row r="12007" spans="1:5" x14ac:dyDescent="0.25">
      <c r="A12007" t="str">
        <f>HYPERLINK("https://www.773grp.com/globalSearch/LB11867FV-TLM-H/page-1", "LB11867FV-TLM-H")</f>
        <v>LB11867FV-TLM-H</v>
      </c>
      <c r="B12007" s="3" t="str">
        <f>HYPERLINK("https://www.773grp.com/manufacturer/onsemi?pageNo=1222", "Onsemi")</f>
        <v>Onsemi</v>
      </c>
      <c r="C12007" s="6">
        <v>3000</v>
      </c>
      <c r="D12007" s="7">
        <v>1.64</v>
      </c>
    </row>
    <row r="12008" spans="1:5" x14ac:dyDescent="0.25">
      <c r="A12008" t="str">
        <f>HYPERLINK("https://www.773grp.com/globalSearch/LM317MBTG/page-1", "LM317MBTG")</f>
        <v>LM317MBTG</v>
      </c>
      <c r="B12008" s="3" t="str">
        <f>HYPERLINK("https://www.773grp.com/manufacturer/onsemi?pageNo=1223", "Onsemi")</f>
        <v>Onsemi</v>
      </c>
      <c r="C12008" s="6">
        <v>12880</v>
      </c>
      <c r="D12008" s="7">
        <v>1.64</v>
      </c>
      <c r="E12008" t="s">
        <v>18</v>
      </c>
    </row>
    <row r="12009" spans="1:5" x14ac:dyDescent="0.25">
      <c r="A12009" t="str">
        <f>HYPERLINK("https://www.773grp.com/globalSearch/LP2950ACZ-3.3/page-1", "LP2950ACZ-3.3")</f>
        <v>LP2950ACZ-3.3</v>
      </c>
      <c r="B12009" s="3" t="str">
        <f>HYPERLINK("https://www.773grp.com/manufacturer/onsemi?pageNo=1224", "Onsemi")</f>
        <v>Onsemi</v>
      </c>
      <c r="C12009" s="6">
        <v>4000</v>
      </c>
      <c r="D12009" s="7">
        <v>1.64</v>
      </c>
      <c r="E12009" t="s">
        <v>15</v>
      </c>
    </row>
    <row r="12010" spans="1:5" x14ac:dyDescent="0.25">
      <c r="A12010" t="str">
        <f>HYPERLINK("https://www.773grp.com/globalSearch/LP2950ACZ-5.0/page-1", "LP2950ACZ-5.0")</f>
        <v>LP2950ACZ-5.0</v>
      </c>
      <c r="B12010" s="3" t="str">
        <f>HYPERLINK("https://www.773grp.com/manufacturer/onsemi?pageNo=1225", "Onsemi")</f>
        <v>Onsemi</v>
      </c>
      <c r="C12010" s="6">
        <v>6420</v>
      </c>
      <c r="D12010" s="7">
        <v>1.64</v>
      </c>
      <c r="E12010" t="s">
        <v>15</v>
      </c>
    </row>
    <row r="12011" spans="1:5" x14ac:dyDescent="0.25">
      <c r="A12011" t="str">
        <f>HYPERLINK("https://www.773grp.com/globalSearch/LP2950ACZ-5.0RA/page-1", "LP2950ACZ-5.0RA")</f>
        <v>LP2950ACZ-5.0RA</v>
      </c>
      <c r="B12011" s="3" t="str">
        <f>HYPERLINK("https://www.773grp.com/manufacturer/onsemi?pageNo=1226", "Onsemi")</f>
        <v>Onsemi</v>
      </c>
      <c r="C12011" s="6">
        <v>2000</v>
      </c>
      <c r="D12011" s="7">
        <v>1.64</v>
      </c>
      <c r="E12011" t="s">
        <v>15</v>
      </c>
    </row>
    <row r="12012" spans="1:5" x14ac:dyDescent="0.25">
      <c r="A12012" t="str">
        <f>HYPERLINK("https://www.773grp.com/globalSearch/LSC1142P/page-1", "LSC1142P")</f>
        <v>LSC1142P</v>
      </c>
      <c r="B12012" s="3" t="str">
        <f>HYPERLINK("https://www.773grp.com/manufacturer/onsemi?pageNo=1227", "Onsemi")</f>
        <v>Onsemi</v>
      </c>
      <c r="C12012" s="6">
        <v>75</v>
      </c>
      <c r="D12012" s="7">
        <v>1.64</v>
      </c>
    </row>
    <row r="12013" spans="1:5" x14ac:dyDescent="0.25">
      <c r="A12013" t="str">
        <f>HYPERLINK("https://www.773grp.com/globalSearch/MAC15-010/page-1", "MAC15-010")</f>
        <v>MAC15-010</v>
      </c>
      <c r="B12013" s="3" t="str">
        <f>HYPERLINK("https://www.773grp.com/manufacturer/onsemi?pageNo=1228", "Onsemi")</f>
        <v>Onsemi</v>
      </c>
      <c r="C12013" s="6">
        <v>1000</v>
      </c>
      <c r="D12013" s="7">
        <v>1.64</v>
      </c>
    </row>
    <row r="12014" spans="1:5" x14ac:dyDescent="0.25">
      <c r="A12014" t="str">
        <f>HYPERLINK("https://www.773grp.com/globalSearch/MAC15A6/page-1", "MAC15A6")</f>
        <v>MAC15A6</v>
      </c>
      <c r="B12014" s="3" t="str">
        <f>HYPERLINK("https://www.773grp.com/manufacturer/onsemi?pageNo=1229", "Onsemi")</f>
        <v>Onsemi</v>
      </c>
      <c r="C12014" s="6">
        <v>2820</v>
      </c>
      <c r="D12014" s="7">
        <v>1.64</v>
      </c>
      <c r="E12014" t="s">
        <v>81</v>
      </c>
    </row>
    <row r="12015" spans="1:5" x14ac:dyDescent="0.25">
      <c r="A12015" t="str">
        <f>HYPERLINK("https://www.773grp.com/globalSearch/MBRD330T4/page-1", "MBRD330T4")</f>
        <v>MBRD330T4</v>
      </c>
      <c r="B12015" s="3" t="str">
        <f>HYPERLINK("https://www.773grp.com/manufacturer/onsemi?pageNo=1230", "Onsemi")</f>
        <v>Onsemi</v>
      </c>
      <c r="C12015" s="6">
        <v>2500</v>
      </c>
      <c r="D12015" s="7">
        <v>1.64</v>
      </c>
      <c r="E12015" t="s">
        <v>82</v>
      </c>
    </row>
    <row r="12016" spans="1:5" x14ac:dyDescent="0.25">
      <c r="A12016" t="str">
        <f>HYPERLINK("https://www.773grp.com/globalSearch/MBRD620CTT4G/page-1", "MBRD620CTT4G")</f>
        <v>MBRD620CTT4G</v>
      </c>
      <c r="B12016" s="3" t="str">
        <f>HYPERLINK("https://www.773grp.com/manufacturer/onsemi?pageNo=1231", "Onsemi")</f>
        <v>Onsemi</v>
      </c>
      <c r="C12016" s="6">
        <v>3140</v>
      </c>
      <c r="D12016" s="7">
        <v>1.64</v>
      </c>
    </row>
    <row r="12017" spans="1:5" x14ac:dyDescent="0.25">
      <c r="A12017" t="str">
        <f>HYPERLINK("https://www.773grp.com/globalSearch/MBRD640CTG/page-1", "MBRD640CTG")</f>
        <v>MBRD640CTG</v>
      </c>
      <c r="B12017" s="3" t="str">
        <f>HYPERLINK("https://www.773grp.com/manufacturer/onsemi?pageNo=1232", "Onsemi")</f>
        <v>Onsemi</v>
      </c>
      <c r="C12017" s="6">
        <v>89385</v>
      </c>
      <c r="D12017" s="7">
        <v>1.64</v>
      </c>
    </row>
    <row r="12018" spans="1:5" x14ac:dyDescent="0.25">
      <c r="A12018" t="str">
        <f>HYPERLINK("https://www.773grp.com/globalSearch/MBRD640CTT4G/page-1", "MBRD640CTT4G")</f>
        <v>MBRD640CTT4G</v>
      </c>
      <c r="B12018" s="3" t="str">
        <f>HYPERLINK("https://www.773grp.com/manufacturer/onsemi?pageNo=1233", "Onsemi")</f>
        <v>Onsemi</v>
      </c>
      <c r="C12018" s="6">
        <v>40006</v>
      </c>
      <c r="D12018" s="7">
        <v>1.64</v>
      </c>
      <c r="E12018" t="s">
        <v>82</v>
      </c>
    </row>
    <row r="12019" spans="1:5" x14ac:dyDescent="0.25">
      <c r="A12019" t="str">
        <f>HYPERLINK("https://www.773grp.com/globalSearch/MBRD650CTG/page-1", "MBRD650CTG")</f>
        <v>MBRD650CTG</v>
      </c>
      <c r="B12019" s="3" t="str">
        <f>HYPERLINK("https://www.773grp.com/manufacturer/onsemi?pageNo=1234", "Onsemi")</f>
        <v>Onsemi</v>
      </c>
      <c r="C12019" s="6">
        <v>75</v>
      </c>
      <c r="D12019" s="7">
        <v>1.64</v>
      </c>
    </row>
    <row r="12020" spans="1:5" x14ac:dyDescent="0.25">
      <c r="A12020" t="str">
        <f>HYPERLINK("https://www.773grp.com/globalSearch/MBRD650CTT4G/page-1", "MBRD650CTT4G")</f>
        <v>MBRD650CTT4G</v>
      </c>
      <c r="B12020" s="3" t="str">
        <f>HYPERLINK("https://www.773grp.com/manufacturer/onsemi?pageNo=1235", "Onsemi")</f>
        <v>Onsemi</v>
      </c>
      <c r="C12020" s="6">
        <v>25000</v>
      </c>
      <c r="D12020" s="7">
        <v>1.64</v>
      </c>
      <c r="E12020" t="s">
        <v>82</v>
      </c>
    </row>
    <row r="12021" spans="1:5" x14ac:dyDescent="0.25">
      <c r="A12021" t="str">
        <f>HYPERLINK("https://www.773grp.com/globalSearch/MBRD660CTT4G/page-1", "MBRD660CTT4G")</f>
        <v>MBRD660CTT4G</v>
      </c>
      <c r="B12021" s="3" t="str">
        <f>HYPERLINK("https://www.773grp.com/manufacturer/onsemi?pageNo=1236", "Onsemi")</f>
        <v>Onsemi</v>
      </c>
      <c r="C12021" s="6">
        <v>18253</v>
      </c>
      <c r="D12021" s="7">
        <v>1.64</v>
      </c>
    </row>
    <row r="12022" spans="1:5" x14ac:dyDescent="0.25">
      <c r="A12022" t="str">
        <f>HYPERLINK("https://www.773grp.com/globalSearch/MC10211P/page-1", "MC10211P")</f>
        <v>MC10211P</v>
      </c>
      <c r="B12022" s="3" t="str">
        <f>HYPERLINK("https://www.773grp.com/manufacturer/onsemi?pageNo=1237", "Onsemi")</f>
        <v>Onsemi</v>
      </c>
      <c r="C12022" s="6">
        <v>1465</v>
      </c>
      <c r="D12022" s="7">
        <v>1.64</v>
      </c>
      <c r="E12022" t="s">
        <v>27</v>
      </c>
    </row>
    <row r="12023" spans="1:5" x14ac:dyDescent="0.25">
      <c r="A12023" t="str">
        <f>HYPERLINK("https://www.773grp.com/globalSearch/MC10212P/page-1", "MC10212P")</f>
        <v>MC10212P</v>
      </c>
      <c r="B12023" s="3" t="str">
        <f>HYPERLINK("https://www.773grp.com/manufacturer/onsemi?pageNo=1238", "Onsemi")</f>
        <v>Onsemi</v>
      </c>
      <c r="C12023" s="6">
        <v>4325</v>
      </c>
      <c r="D12023" s="7">
        <v>1.64</v>
      </c>
      <c r="E12023" t="s">
        <v>27</v>
      </c>
    </row>
    <row r="12024" spans="1:5" x14ac:dyDescent="0.25">
      <c r="A12024" t="str">
        <f>HYPERLINK("https://www.773grp.com/globalSearch/MC14099BCPG/page-1", "MC14099BCPG")</f>
        <v>MC14099BCPG</v>
      </c>
      <c r="B12024" s="3" t="str">
        <f>HYPERLINK("https://www.773grp.com/manufacturer/onsemi?pageNo=1239", "Onsemi")</f>
        <v>Onsemi</v>
      </c>
      <c r="C12024" s="6">
        <v>1000</v>
      </c>
      <c r="D12024" s="7">
        <v>1.64</v>
      </c>
      <c r="E12024" t="s">
        <v>31</v>
      </c>
    </row>
    <row r="12025" spans="1:5" x14ac:dyDescent="0.25">
      <c r="A12025" t="str">
        <f>HYPERLINK("https://www.773grp.com/globalSearch/MC14099BDWG/page-1", "MC14099BDWG")</f>
        <v>MC14099BDWG</v>
      </c>
      <c r="B12025" s="3" t="str">
        <f>HYPERLINK("https://www.773grp.com/manufacturer/onsemi?pageNo=1240", "Onsemi")</f>
        <v>Onsemi</v>
      </c>
      <c r="C12025" s="6">
        <v>3469</v>
      </c>
      <c r="D12025" s="7">
        <v>1.64</v>
      </c>
      <c r="E12025" t="s">
        <v>31</v>
      </c>
    </row>
    <row r="12026" spans="1:5" x14ac:dyDescent="0.25">
      <c r="A12026" t="str">
        <f>HYPERLINK("https://www.773grp.com/globalSearch/MC14099BDWR2G/page-1", "MC14099BDWR2G")</f>
        <v>MC14099BDWR2G</v>
      </c>
      <c r="B12026" s="3" t="str">
        <f>HYPERLINK("https://www.773grp.com/manufacturer/onsemi?pageNo=1241", "Onsemi")</f>
        <v>Onsemi</v>
      </c>
      <c r="C12026" s="6">
        <v>2000</v>
      </c>
      <c r="D12026" s="7">
        <v>1.64</v>
      </c>
    </row>
    <row r="12027" spans="1:5" x14ac:dyDescent="0.25">
      <c r="A12027" t="str">
        <f>HYPERLINK("https://www.773grp.com/globalSearch/MC3302PG/page-1", "MC3302PG")</f>
        <v>MC3302PG</v>
      </c>
      <c r="B12027" s="3" t="str">
        <f>HYPERLINK("https://www.773grp.com/manufacturer/onsemi?pageNo=1242", "Onsemi")</f>
        <v>Onsemi</v>
      </c>
      <c r="C12027" s="6">
        <v>16438</v>
      </c>
      <c r="D12027" s="7">
        <v>1.64</v>
      </c>
      <c r="E12027" t="s">
        <v>6</v>
      </c>
    </row>
    <row r="12028" spans="1:5" x14ac:dyDescent="0.25">
      <c r="A12028" t="str">
        <f>HYPERLINK("https://www.773grp.com/globalSearch/MC33071D/page-1", "MC33071D")</f>
        <v>MC33071D</v>
      </c>
      <c r="B12028" s="3" t="str">
        <f>HYPERLINK("https://www.773grp.com/manufacturer/onsemi?pageNo=1243", "Onsemi")</f>
        <v>Onsemi</v>
      </c>
      <c r="C12028" s="6">
        <v>196</v>
      </c>
      <c r="D12028" s="7">
        <v>1.64</v>
      </c>
      <c r="E12028" t="s">
        <v>10</v>
      </c>
    </row>
    <row r="12029" spans="1:5" x14ac:dyDescent="0.25">
      <c r="A12029" t="str">
        <f>HYPERLINK("https://www.773grp.com/globalSearch/MC33071DG/page-1", "MC33071DG")</f>
        <v>MC33071DG</v>
      </c>
      <c r="B12029" s="3" t="str">
        <f>HYPERLINK("https://www.773grp.com/manufacturer/onsemi?pageNo=1244", "Onsemi")</f>
        <v>Onsemi</v>
      </c>
      <c r="C12029" s="6">
        <v>1203</v>
      </c>
      <c r="D12029" s="7">
        <v>1.64</v>
      </c>
      <c r="E12029" t="s">
        <v>10</v>
      </c>
    </row>
    <row r="12030" spans="1:5" x14ac:dyDescent="0.25">
      <c r="A12030" t="str">
        <f>HYPERLINK("https://www.773grp.com/globalSearch/MC33071DR2G/page-1", "MC33071DR2G")</f>
        <v>MC33071DR2G</v>
      </c>
      <c r="B12030" s="3" t="str">
        <f>HYPERLINK("https://www.773grp.com/manufacturer/onsemi?pageNo=1245", "Onsemi")</f>
        <v>Onsemi</v>
      </c>
      <c r="C12030" s="6">
        <v>14947</v>
      </c>
      <c r="D12030" s="7">
        <v>1.64</v>
      </c>
      <c r="E12030" t="s">
        <v>10</v>
      </c>
    </row>
    <row r="12031" spans="1:5" x14ac:dyDescent="0.25">
      <c r="A12031" t="str">
        <f>HYPERLINK("https://www.773grp.com/globalSearch/MC33072DG/page-1", "MC33072DG")</f>
        <v>MC33072DG</v>
      </c>
      <c r="B12031" s="3" t="str">
        <f>HYPERLINK("https://www.773grp.com/manufacturer/onsemi?pageNo=1246", "Onsemi")</f>
        <v>Onsemi</v>
      </c>
      <c r="C12031" s="6">
        <v>5810</v>
      </c>
      <c r="D12031" s="7">
        <v>1.64</v>
      </c>
      <c r="E12031" t="s">
        <v>10</v>
      </c>
    </row>
    <row r="12032" spans="1:5" x14ac:dyDescent="0.25">
      <c r="A12032" t="str">
        <f>HYPERLINK("https://www.773grp.com/globalSearch/MC33072DR2G/page-1", "MC33072DR2G")</f>
        <v>MC33072DR2G</v>
      </c>
      <c r="B12032" s="3" t="str">
        <f>HYPERLINK("https://www.773grp.com/manufacturer/onsemi?pageNo=1247", "Onsemi")</f>
        <v>Onsemi</v>
      </c>
      <c r="C12032" s="6">
        <v>33662</v>
      </c>
      <c r="D12032" s="7">
        <v>1.64</v>
      </c>
      <c r="E12032" t="s">
        <v>10</v>
      </c>
    </row>
    <row r="12033" spans="1:5" x14ac:dyDescent="0.25">
      <c r="A12033" t="str">
        <f>HYPERLINK("https://www.773grp.com/globalSearch/MC33072PG/page-1", "MC33072PG")</f>
        <v>MC33072PG</v>
      </c>
      <c r="B12033" s="3" t="str">
        <f>HYPERLINK("https://www.773grp.com/manufacturer/onsemi?pageNo=1248", "Onsemi")</f>
        <v>Onsemi</v>
      </c>
      <c r="C12033" s="6">
        <v>3278</v>
      </c>
      <c r="D12033" s="7">
        <v>1.64</v>
      </c>
      <c r="E12033" t="s">
        <v>10</v>
      </c>
    </row>
    <row r="12034" spans="1:5" x14ac:dyDescent="0.25">
      <c r="A12034" t="str">
        <f>HYPERLINK("https://www.773grp.com/globalSearch/MC33171DG/page-1", "MC33171DG")</f>
        <v>MC33171DG</v>
      </c>
      <c r="B12034" s="3" t="str">
        <f>HYPERLINK("https://www.773grp.com/manufacturer/onsemi?pageNo=1249", "Onsemi")</f>
        <v>Onsemi</v>
      </c>
      <c r="C12034" s="6">
        <v>3461</v>
      </c>
      <c r="D12034" s="7">
        <v>1.64</v>
      </c>
      <c r="E12034" t="s">
        <v>10</v>
      </c>
    </row>
    <row r="12035" spans="1:5" x14ac:dyDescent="0.25">
      <c r="A12035" t="str">
        <f>HYPERLINK("https://www.773grp.com/globalSearch/MC33171DR2G/page-1", "MC33171DR2G")</f>
        <v>MC33171DR2G</v>
      </c>
      <c r="B12035" s="3" t="str">
        <f>HYPERLINK("https://www.773grp.com/manufacturer/onsemi?pageNo=1250", "Onsemi")</f>
        <v>Onsemi</v>
      </c>
      <c r="C12035" s="6">
        <v>18336</v>
      </c>
      <c r="D12035" s="7">
        <v>1.64</v>
      </c>
    </row>
    <row r="12036" spans="1:5" x14ac:dyDescent="0.25">
      <c r="A12036" t="str">
        <f>HYPERLINK("https://www.773grp.com/globalSearch/MC33171PG/page-1", "MC33171PG")</f>
        <v>MC33171PG</v>
      </c>
      <c r="B12036" s="3" t="str">
        <f>HYPERLINK("https://www.773grp.com/manufacturer/onsemi?pageNo=1251", "Onsemi")</f>
        <v>Onsemi</v>
      </c>
      <c r="C12036" s="6">
        <v>9699</v>
      </c>
      <c r="D12036" s="7">
        <v>1.64</v>
      </c>
      <c r="E12036" t="s">
        <v>10</v>
      </c>
    </row>
    <row r="12037" spans="1:5" x14ac:dyDescent="0.25">
      <c r="A12037" t="str">
        <f>HYPERLINK("https://www.773grp.com/globalSearch/MC33172D/page-1", "MC33172D")</f>
        <v>MC33172D</v>
      </c>
      <c r="B12037" s="3" t="str">
        <f>HYPERLINK("https://www.773grp.com/manufacturer/onsemi?pageNo=1252", "Onsemi")</f>
        <v>Onsemi</v>
      </c>
      <c r="C12037" s="6">
        <v>4802</v>
      </c>
      <c r="D12037" s="7">
        <v>1.64</v>
      </c>
      <c r="E12037" t="s">
        <v>10</v>
      </c>
    </row>
    <row r="12038" spans="1:5" x14ac:dyDescent="0.25">
      <c r="A12038" t="str">
        <f>HYPERLINK("https://www.773grp.com/globalSearch/MC33172DR2/page-1", "MC33172DR2")</f>
        <v>MC33172DR2</v>
      </c>
      <c r="B12038" s="3" t="str">
        <f>HYPERLINK("https://www.773grp.com/manufacturer/onsemi?pageNo=1253", "Onsemi")</f>
        <v>Onsemi</v>
      </c>
      <c r="C12038" s="6">
        <v>1132</v>
      </c>
      <c r="D12038" s="7">
        <v>1.64</v>
      </c>
    </row>
    <row r="12039" spans="1:5" x14ac:dyDescent="0.25">
      <c r="A12039" t="str">
        <f>HYPERLINK("https://www.773grp.com/globalSearch/MC33178DG/page-1", "MC33178DG")</f>
        <v>MC33178DG</v>
      </c>
      <c r="B12039" s="3" t="str">
        <f>HYPERLINK("https://www.773grp.com/manufacturer/onsemi?pageNo=1254", "Onsemi")</f>
        <v>Onsemi</v>
      </c>
      <c r="C12039" s="6">
        <v>7546</v>
      </c>
      <c r="D12039" s="7">
        <v>1.64</v>
      </c>
    </row>
    <row r="12040" spans="1:5" x14ac:dyDescent="0.25">
      <c r="A12040" t="str">
        <f>HYPERLINK("https://www.773grp.com/globalSearch/MC33275D-2.5G/page-1", "MC33275D-2.5G")</f>
        <v>MC33275D-2.5G</v>
      </c>
      <c r="B12040" s="3" t="str">
        <f>HYPERLINK("https://www.773grp.com/manufacturer/onsemi?pageNo=1255", "Onsemi")</f>
        <v>Onsemi</v>
      </c>
      <c r="C12040" s="6">
        <v>2967</v>
      </c>
      <c r="D12040" s="7">
        <v>1.64</v>
      </c>
      <c r="E12040" t="s">
        <v>15</v>
      </c>
    </row>
    <row r="12041" spans="1:5" x14ac:dyDescent="0.25">
      <c r="A12041" t="str">
        <f>HYPERLINK("https://www.773grp.com/globalSearch/MC33275D-2.5R2G/page-1", "MC33275D-2.5R2G")</f>
        <v>MC33275D-2.5R2G</v>
      </c>
      <c r="B12041" s="3" t="str">
        <f>HYPERLINK("https://www.773grp.com/manufacturer/onsemi?pageNo=1256", "Onsemi")</f>
        <v>Onsemi</v>
      </c>
      <c r="C12041" s="6">
        <v>4851</v>
      </c>
      <c r="D12041" s="7">
        <v>1.64</v>
      </c>
    </row>
    <row r="12042" spans="1:5" x14ac:dyDescent="0.25">
      <c r="A12042" t="str">
        <f>HYPERLINK("https://www.773grp.com/globalSearch/MC33275D-3.0G/page-1", "MC33275D-3.0G")</f>
        <v>MC33275D-3.0G</v>
      </c>
      <c r="B12042" s="3" t="str">
        <f>HYPERLINK("https://www.773grp.com/manufacturer/onsemi?pageNo=1257", "Onsemi")</f>
        <v>Onsemi</v>
      </c>
      <c r="C12042" s="6">
        <v>294</v>
      </c>
      <c r="D12042" s="7">
        <v>1.64</v>
      </c>
      <c r="E12042" t="s">
        <v>15</v>
      </c>
    </row>
    <row r="12043" spans="1:5" x14ac:dyDescent="0.25">
      <c r="A12043" t="str">
        <f>HYPERLINK("https://www.773grp.com/globalSearch/MC33275D-3.0R2G/page-1", "MC33275D-3.0R2G")</f>
        <v>MC33275D-3.0R2G</v>
      </c>
      <c r="B12043" s="3" t="str">
        <f>HYPERLINK("https://www.773grp.com/manufacturer/onsemi?pageNo=1258", "Onsemi")</f>
        <v>Onsemi</v>
      </c>
      <c r="C12043" s="6">
        <v>14403</v>
      </c>
      <c r="D12043" s="7">
        <v>1.64</v>
      </c>
      <c r="E12043" t="s">
        <v>15</v>
      </c>
    </row>
    <row r="12044" spans="1:5" x14ac:dyDescent="0.25">
      <c r="A12044" t="str">
        <f>HYPERLINK("https://www.773grp.com/globalSearch/MC33275D3.3G/page-1", "MC33275D3.3G")</f>
        <v>MC33275D3.3G</v>
      </c>
      <c r="B12044" s="3" t="str">
        <f>HYPERLINK("https://www.773grp.com/manufacturer/onsemi?pageNo=1259", "Onsemi")</f>
        <v>Onsemi</v>
      </c>
      <c r="C12044" s="6">
        <v>567</v>
      </c>
      <c r="D12044" s="7">
        <v>1.64</v>
      </c>
    </row>
    <row r="12045" spans="1:5" x14ac:dyDescent="0.25">
      <c r="A12045" t="str">
        <f>HYPERLINK("https://www.773grp.com/globalSearch/MC33275D-3.3G/page-1", "MC33275D-3.3G")</f>
        <v>MC33275D-3.3G</v>
      </c>
      <c r="B12045" s="3" t="str">
        <f>HYPERLINK("https://www.773grp.com/manufacturer/onsemi?pageNo=1260", "Onsemi")</f>
        <v>Onsemi</v>
      </c>
      <c r="C12045" s="6">
        <v>17836</v>
      </c>
      <c r="D12045" s="7">
        <v>1.64</v>
      </c>
      <c r="E12045" t="s">
        <v>15</v>
      </c>
    </row>
    <row r="12046" spans="1:5" x14ac:dyDescent="0.25">
      <c r="A12046" t="str">
        <f>HYPERLINK("https://www.773grp.com/globalSearch/MC33275D-3.3R2G/page-1", "MC33275D-3.3R2G")</f>
        <v>MC33275D-3.3R2G</v>
      </c>
      <c r="B12046" s="3" t="str">
        <f>HYPERLINK("https://www.773grp.com/manufacturer/onsemi?pageNo=1261", "Onsemi")</f>
        <v>Onsemi</v>
      </c>
      <c r="C12046" s="6">
        <v>5000</v>
      </c>
      <c r="D12046" s="7">
        <v>1.64</v>
      </c>
      <c r="E12046" t="s">
        <v>15</v>
      </c>
    </row>
    <row r="12047" spans="1:5" x14ac:dyDescent="0.25">
      <c r="A12047" t="str">
        <f>HYPERLINK("https://www.773grp.com/globalSearch/MC33275D-5.0G/page-1", "MC33275D-5.0G")</f>
        <v>MC33275D-5.0G</v>
      </c>
      <c r="B12047" s="3" t="str">
        <f>HYPERLINK("https://www.773grp.com/manufacturer/onsemi?pageNo=1262", "Onsemi")</f>
        <v>Onsemi</v>
      </c>
      <c r="C12047" s="6">
        <v>1704</v>
      </c>
      <c r="D12047" s="7">
        <v>1.64</v>
      </c>
    </row>
    <row r="12048" spans="1:5" x14ac:dyDescent="0.25">
      <c r="A12048" t="str">
        <f>HYPERLINK("https://www.773grp.com/globalSearch/MC33275D-5.0R2G/page-1", "MC33275D-5.0R2G")</f>
        <v>MC33275D-5.0R2G</v>
      </c>
      <c r="B12048" s="3" t="str">
        <f>HYPERLINK("https://www.773grp.com/manufacturer/onsemi?pageNo=1263", "Onsemi")</f>
        <v>Onsemi</v>
      </c>
      <c r="C12048" s="6">
        <v>20000</v>
      </c>
      <c r="D12048" s="7">
        <v>1.64</v>
      </c>
      <c r="E12048" t="s">
        <v>15</v>
      </c>
    </row>
    <row r="12049" spans="1:5" x14ac:dyDescent="0.25">
      <c r="A12049" t="str">
        <f>HYPERLINK("https://www.773grp.com/globalSearch/MC33275ST-2.5T3G/page-1", "MC33275ST-2.5T3G")</f>
        <v>MC33275ST-2.5T3G</v>
      </c>
      <c r="B12049" s="3" t="str">
        <f>HYPERLINK("https://www.773grp.com/manufacturer/onsemi?pageNo=1264", "Onsemi")</f>
        <v>Onsemi</v>
      </c>
      <c r="C12049" s="6">
        <v>7604</v>
      </c>
      <c r="D12049" s="7">
        <v>1.64</v>
      </c>
      <c r="E12049" t="s">
        <v>15</v>
      </c>
    </row>
    <row r="12050" spans="1:5" x14ac:dyDescent="0.25">
      <c r="A12050" t="str">
        <f>HYPERLINK("https://www.773grp.com/globalSearch/MC33275ST-3.0T3G/page-1", "MC33275ST-3.0T3G")</f>
        <v>MC33275ST-3.0T3G</v>
      </c>
      <c r="B12050" s="3" t="str">
        <f>HYPERLINK("https://www.773grp.com/manufacturer/onsemi?pageNo=1265", "Onsemi")</f>
        <v>Onsemi</v>
      </c>
      <c r="C12050" s="6">
        <v>5657</v>
      </c>
      <c r="D12050" s="7">
        <v>1.64</v>
      </c>
      <c r="E12050" t="s">
        <v>15</v>
      </c>
    </row>
    <row r="12051" spans="1:5" x14ac:dyDescent="0.25">
      <c r="A12051" t="str">
        <f>HYPERLINK("https://www.773grp.com/globalSearch/MC33275ST-3.3T3G/page-1", "MC33275ST-3.3T3G")</f>
        <v>MC33275ST-3.3T3G</v>
      </c>
      <c r="B12051" s="3" t="str">
        <f>HYPERLINK("https://www.773grp.com/manufacturer/onsemi?pageNo=1266", "Onsemi")</f>
        <v>Onsemi</v>
      </c>
      <c r="C12051" s="6">
        <v>22151</v>
      </c>
      <c r="D12051" s="7">
        <v>1.64</v>
      </c>
    </row>
    <row r="12052" spans="1:5" x14ac:dyDescent="0.25">
      <c r="A12052" t="str">
        <f>HYPERLINK("https://www.773grp.com/globalSearch/MC340742ADG/page-1", "MC340742ADG")</f>
        <v>MC340742ADG</v>
      </c>
      <c r="B12052" s="3" t="str">
        <f>HYPERLINK("https://www.773grp.com/manufacturer/onsemi?pageNo=1267", "Onsemi")</f>
        <v>Onsemi</v>
      </c>
      <c r="C12052" s="6">
        <v>56</v>
      </c>
      <c r="D12052" s="7">
        <v>1.64</v>
      </c>
    </row>
    <row r="12053" spans="1:5" x14ac:dyDescent="0.25">
      <c r="A12053" t="str">
        <f>HYPERLINK("https://www.773grp.com/globalSearch/MC74F373ML1/page-1", "MC74F373ML1")</f>
        <v>MC74F373ML1</v>
      </c>
      <c r="B12053" s="3" t="str">
        <f>HYPERLINK("https://www.773grp.com/manufacturer/onsemi?pageNo=1268", "Onsemi")</f>
        <v>Onsemi</v>
      </c>
      <c r="C12053" s="6">
        <v>3000</v>
      </c>
      <c r="D12053" s="7">
        <v>1.64</v>
      </c>
    </row>
    <row r="12054" spans="1:5" x14ac:dyDescent="0.25">
      <c r="A12054" t="str">
        <f>HYPERLINK("https://www.773grp.com/globalSearch/MC7805CD2T/page-1", "MC7805CD2T")</f>
        <v>MC7805CD2T</v>
      </c>
      <c r="B12054" s="3" t="str">
        <f>HYPERLINK("https://www.773grp.com/manufacturer/onsemi?pageNo=1269", "Onsemi")</f>
        <v>Onsemi</v>
      </c>
      <c r="C12054" s="6">
        <v>1850</v>
      </c>
      <c r="D12054" s="7">
        <v>1.64</v>
      </c>
      <c r="E12054" t="s">
        <v>24</v>
      </c>
    </row>
    <row r="12055" spans="1:5" x14ac:dyDescent="0.25">
      <c r="A12055" t="str">
        <f>HYPERLINK("https://www.773grp.com/globalSearch/MC7805CD2TG/page-1", "MC7805CD2TG")</f>
        <v>MC7805CD2TG</v>
      </c>
      <c r="B12055" s="3" t="str">
        <f>HYPERLINK("https://www.773grp.com/manufacturer/onsemi?pageNo=1270", "Onsemi")</f>
        <v>Onsemi</v>
      </c>
      <c r="C12055" s="6">
        <v>10200</v>
      </c>
      <c r="D12055" s="7">
        <v>1.64</v>
      </c>
      <c r="E12055" t="s">
        <v>24</v>
      </c>
    </row>
    <row r="12056" spans="1:5" x14ac:dyDescent="0.25">
      <c r="A12056" t="str">
        <f>HYPERLINK("https://www.773grp.com/globalSearch/MC7805CD2TR4G/page-1", "MC7805CD2TR4G")</f>
        <v>MC7805CD2TR4G</v>
      </c>
      <c r="B12056" s="3" t="str">
        <f>HYPERLINK("https://www.773grp.com/manufacturer/onsemi?pageNo=1271", "Onsemi")</f>
        <v>Onsemi</v>
      </c>
      <c r="C12056" s="6">
        <v>65157</v>
      </c>
      <c r="D12056" s="7">
        <v>1.64</v>
      </c>
      <c r="E12056" t="s">
        <v>24</v>
      </c>
    </row>
    <row r="12057" spans="1:5" x14ac:dyDescent="0.25">
      <c r="A12057" t="str">
        <f>HYPERLINK("https://www.773grp.com/globalSearch/MC7808CD2TG/page-1", "MC7808CD2TG")</f>
        <v>MC7808CD2TG</v>
      </c>
      <c r="B12057" s="3" t="str">
        <f>HYPERLINK("https://www.773grp.com/manufacturer/onsemi?pageNo=1272", "Onsemi")</f>
        <v>Onsemi</v>
      </c>
      <c r="C12057" s="6">
        <v>20720</v>
      </c>
      <c r="D12057" s="7">
        <v>1.64</v>
      </c>
      <c r="E12057" t="s">
        <v>24</v>
      </c>
    </row>
    <row r="12058" spans="1:5" x14ac:dyDescent="0.25">
      <c r="A12058" t="str">
        <f>HYPERLINK("https://www.773grp.com/globalSearch/MC7808CD2TR4G/page-1", "MC7808CD2TR4G")</f>
        <v>MC7808CD2TR4G</v>
      </c>
      <c r="B12058" s="3" t="str">
        <f>HYPERLINK("https://www.773grp.com/manufacturer/onsemi?pageNo=1273", "Onsemi")</f>
        <v>Onsemi</v>
      </c>
      <c r="C12058" s="6">
        <v>4000</v>
      </c>
      <c r="D12058" s="7">
        <v>1.64</v>
      </c>
      <c r="E12058" t="s">
        <v>24</v>
      </c>
    </row>
    <row r="12059" spans="1:5" x14ac:dyDescent="0.25">
      <c r="A12059" t="str">
        <f>HYPERLINK("https://www.773grp.com/globalSearch/MC7809CD2TG/page-1", "MC7809CD2TG")</f>
        <v>MC7809CD2TG</v>
      </c>
      <c r="B12059" s="3" t="str">
        <f>HYPERLINK("https://www.773grp.com/manufacturer/onsemi?pageNo=1274", "Onsemi")</f>
        <v>Onsemi</v>
      </c>
      <c r="C12059" s="6">
        <v>1820</v>
      </c>
      <c r="D12059" s="7">
        <v>1.64</v>
      </c>
      <c r="E12059" t="s">
        <v>24</v>
      </c>
    </row>
    <row r="12060" spans="1:5" x14ac:dyDescent="0.25">
      <c r="A12060" t="str">
        <f>HYPERLINK("https://www.773grp.com/globalSearch/MC7809CD2TR4G/page-1", "MC7809CD2TR4G")</f>
        <v>MC7809CD2TR4G</v>
      </c>
      <c r="B12060" s="3" t="str">
        <f>HYPERLINK("https://www.773grp.com/manufacturer/onsemi?pageNo=1275", "Onsemi")</f>
        <v>Onsemi</v>
      </c>
      <c r="C12060" s="6">
        <v>4000</v>
      </c>
      <c r="D12060" s="7">
        <v>1.64</v>
      </c>
    </row>
    <row r="12061" spans="1:5" x14ac:dyDescent="0.25">
      <c r="A12061" t="str">
        <f>HYPERLINK("https://www.773grp.com/globalSearch/MC7812CD2TG/page-1", "MC7812CD2TG")</f>
        <v>MC7812CD2TG</v>
      </c>
      <c r="B12061" s="3" t="str">
        <f>HYPERLINK("https://www.773grp.com/manufacturer/onsemi?pageNo=1276", "Onsemi")</f>
        <v>Onsemi</v>
      </c>
      <c r="C12061" s="6">
        <v>3317</v>
      </c>
      <c r="D12061" s="7">
        <v>1.64</v>
      </c>
      <c r="E12061" t="s">
        <v>24</v>
      </c>
    </row>
    <row r="12062" spans="1:5" x14ac:dyDescent="0.25">
      <c r="A12062" t="str">
        <f>HYPERLINK("https://www.773grp.com/globalSearch/MC7812CD2TR4/page-1", "MC7812CD2TR4")</f>
        <v>MC7812CD2TR4</v>
      </c>
      <c r="B12062" s="3" t="str">
        <f>HYPERLINK("https://www.773grp.com/manufacturer/onsemi?pageNo=1277", "Onsemi")</f>
        <v>Onsemi</v>
      </c>
      <c r="C12062" s="6">
        <v>2400</v>
      </c>
      <c r="D12062" s="7">
        <v>1.64</v>
      </c>
      <c r="E12062" t="s">
        <v>24</v>
      </c>
    </row>
    <row r="12063" spans="1:5" x14ac:dyDescent="0.25">
      <c r="A12063" t="str">
        <f>HYPERLINK("https://www.773grp.com/globalSearch/MC7812CD2TR4G/page-1", "MC7812CD2TR4G")</f>
        <v>MC7812CD2TR4G</v>
      </c>
      <c r="B12063" s="3" t="str">
        <f>HYPERLINK("https://www.773grp.com/manufacturer/onsemi?pageNo=1278", "Onsemi")</f>
        <v>Onsemi</v>
      </c>
      <c r="C12063" s="6">
        <v>18400</v>
      </c>
      <c r="D12063" s="7">
        <v>1.64</v>
      </c>
      <c r="E12063" t="s">
        <v>24</v>
      </c>
    </row>
    <row r="12064" spans="1:5" x14ac:dyDescent="0.25">
      <c r="A12064" t="str">
        <f>HYPERLINK("https://www.773grp.com/globalSearch/MC7815CD2TG/page-1", "MC7815CD2TG")</f>
        <v>MC7815CD2TG</v>
      </c>
      <c r="B12064" s="3" t="str">
        <f>HYPERLINK("https://www.773grp.com/manufacturer/onsemi?pageNo=1279", "Onsemi")</f>
        <v>Onsemi</v>
      </c>
      <c r="C12064" s="6">
        <v>1600</v>
      </c>
      <c r="D12064" s="7">
        <v>1.64</v>
      </c>
      <c r="E12064" t="s">
        <v>24</v>
      </c>
    </row>
    <row r="12065" spans="1:5" x14ac:dyDescent="0.25">
      <c r="A12065" t="str">
        <f>HYPERLINK("https://www.773grp.com/globalSearch/MC7815CD2TR4G/page-1", "MC7815CD2TR4G")</f>
        <v>MC7815CD2TR4G</v>
      </c>
      <c r="B12065" s="3" t="str">
        <f>HYPERLINK("https://www.773grp.com/manufacturer/onsemi?pageNo=1280", "Onsemi")</f>
        <v>Onsemi</v>
      </c>
      <c r="C12065" s="6">
        <v>555</v>
      </c>
      <c r="D12065" s="7">
        <v>1.64</v>
      </c>
      <c r="E12065" t="s">
        <v>24</v>
      </c>
    </row>
    <row r="12066" spans="1:5" x14ac:dyDescent="0.25">
      <c r="A12066" t="str">
        <f>HYPERLINK("https://www.773grp.com/globalSearch/MC7824CD2TG/page-1", "MC7824CD2TG")</f>
        <v>MC7824CD2TG</v>
      </c>
      <c r="B12066" s="3" t="str">
        <f>HYPERLINK("https://www.773grp.com/manufacturer/onsemi?pageNo=1281", "Onsemi")</f>
        <v>Onsemi</v>
      </c>
      <c r="C12066" s="6">
        <v>6250</v>
      </c>
      <c r="D12066" s="7">
        <v>1.64</v>
      </c>
      <c r="E12066" t="s">
        <v>24</v>
      </c>
    </row>
    <row r="12067" spans="1:5" x14ac:dyDescent="0.25">
      <c r="A12067" t="str">
        <f>HYPERLINK("https://www.773grp.com/globalSearch/MC7905CD2TG/page-1", "MC7905CD2TG")</f>
        <v>MC7905CD2TG</v>
      </c>
      <c r="B12067" s="3" t="str">
        <f>HYPERLINK("https://www.773grp.com/manufacturer/onsemi?pageNo=1282", "Onsemi")</f>
        <v>Onsemi</v>
      </c>
      <c r="C12067" s="6">
        <v>3130</v>
      </c>
      <c r="D12067" s="7">
        <v>1.64</v>
      </c>
      <c r="E12067" t="s">
        <v>53</v>
      </c>
    </row>
    <row r="12068" spans="1:5" x14ac:dyDescent="0.25">
      <c r="A12068" t="str">
        <f>HYPERLINK("https://www.773grp.com/globalSearch/MC7905CD2TR4G/page-1", "MC7905CD2TR4G")</f>
        <v>MC7905CD2TR4G</v>
      </c>
      <c r="B12068" s="3" t="str">
        <f>HYPERLINK("https://www.773grp.com/manufacturer/onsemi?pageNo=1283", "Onsemi")</f>
        <v>Onsemi</v>
      </c>
      <c r="C12068" s="6">
        <v>9600</v>
      </c>
      <c r="D12068" s="7">
        <v>1.64</v>
      </c>
      <c r="E12068" t="s">
        <v>53</v>
      </c>
    </row>
    <row r="12069" spans="1:5" x14ac:dyDescent="0.25">
      <c r="A12069" t="str">
        <f>HYPERLINK("https://www.773grp.com/globalSearch/MC7906CD2TG/page-1", "MC7906CD2TG")</f>
        <v>MC7906CD2TG</v>
      </c>
      <c r="B12069" s="3" t="str">
        <f>HYPERLINK("https://www.773grp.com/manufacturer/onsemi?pageNo=1284", "Onsemi")</f>
        <v>Onsemi</v>
      </c>
      <c r="C12069" s="6">
        <v>7470</v>
      </c>
      <c r="D12069" s="7">
        <v>1.64</v>
      </c>
      <c r="E12069" t="s">
        <v>53</v>
      </c>
    </row>
    <row r="12070" spans="1:5" x14ac:dyDescent="0.25">
      <c r="A12070" t="str">
        <f>HYPERLINK("https://www.773grp.com/globalSearch/MC7908CD2TG/page-1", "MC7908CD2TG")</f>
        <v>MC7908CD2TG</v>
      </c>
      <c r="B12070" s="3" t="str">
        <f>HYPERLINK("https://www.773grp.com/manufacturer/onsemi?pageNo=1285", "Onsemi")</f>
        <v>Onsemi</v>
      </c>
      <c r="C12070" s="6">
        <v>5075</v>
      </c>
      <c r="D12070" s="7">
        <v>1.64</v>
      </c>
      <c r="E12070" t="s">
        <v>53</v>
      </c>
    </row>
    <row r="12071" spans="1:5" x14ac:dyDescent="0.25">
      <c r="A12071" t="str">
        <f>HYPERLINK("https://www.773grp.com/globalSearch/MC7912CD2TG/page-1", "MC7912CD2TG")</f>
        <v>MC7912CD2TG</v>
      </c>
      <c r="B12071" s="3" t="str">
        <f>HYPERLINK("https://www.773grp.com/manufacturer/onsemi?pageNo=1286", "Onsemi")</f>
        <v>Onsemi</v>
      </c>
      <c r="C12071" s="6">
        <v>4770</v>
      </c>
      <c r="D12071" s="7">
        <v>1.64</v>
      </c>
      <c r="E12071" t="s">
        <v>53</v>
      </c>
    </row>
    <row r="12072" spans="1:5" x14ac:dyDescent="0.25">
      <c r="A12072" t="str">
        <f>HYPERLINK("https://www.773grp.com/globalSearch/MC7912CD2TR4G/page-1", "MC7912CD2TR4G")</f>
        <v>MC7912CD2TR4G</v>
      </c>
      <c r="B12072" s="3" t="str">
        <f>HYPERLINK("https://www.773grp.com/manufacturer/onsemi?pageNo=1287", "Onsemi")</f>
        <v>Onsemi</v>
      </c>
      <c r="C12072" s="6">
        <v>4000</v>
      </c>
      <c r="D12072" s="7">
        <v>1.64</v>
      </c>
      <c r="E12072" t="s">
        <v>53</v>
      </c>
    </row>
    <row r="12073" spans="1:5" x14ac:dyDescent="0.25">
      <c r="A12073" t="str">
        <f>HYPERLINK("https://www.773grp.com/globalSearch/MC7915CD2TG/page-1", "MC7915CD2TG")</f>
        <v>MC7915CD2TG</v>
      </c>
      <c r="B12073" s="3" t="str">
        <f>HYPERLINK("https://www.773grp.com/manufacturer/onsemi?pageNo=1288", "Onsemi")</f>
        <v>Onsemi</v>
      </c>
      <c r="C12073" s="6">
        <v>4000</v>
      </c>
      <c r="D12073" s="7">
        <v>1.64</v>
      </c>
      <c r="E12073" t="s">
        <v>53</v>
      </c>
    </row>
    <row r="12074" spans="1:5" x14ac:dyDescent="0.25">
      <c r="A12074" t="str">
        <f>HYPERLINK("https://www.773grp.com/globalSearch/MC7915CD2TR4G/page-1", "MC7915CD2TR4G")</f>
        <v>MC7915CD2TR4G</v>
      </c>
      <c r="B12074" s="3" t="str">
        <f>HYPERLINK("https://www.773grp.com/manufacturer/onsemi?pageNo=1289", "Onsemi")</f>
        <v>Onsemi</v>
      </c>
      <c r="C12074" s="6">
        <v>1757</v>
      </c>
      <c r="D12074" s="7">
        <v>1.64</v>
      </c>
      <c r="E12074" t="s">
        <v>53</v>
      </c>
    </row>
    <row r="12075" spans="1:5" x14ac:dyDescent="0.25">
      <c r="A12075" t="str">
        <f>HYPERLINK("https://www.773grp.com/globalSearch/MCR25M/page-1", "MCR25M")</f>
        <v>MCR25M</v>
      </c>
      <c r="B12075" s="3" t="str">
        <f>HYPERLINK("https://www.773grp.com/manufacturer/onsemi?pageNo=1290", "Onsemi")</f>
        <v>Onsemi</v>
      </c>
      <c r="C12075" s="6">
        <v>42</v>
      </c>
      <c r="D12075" s="7">
        <v>1.64</v>
      </c>
      <c r="E12075" t="s">
        <v>76</v>
      </c>
    </row>
    <row r="12076" spans="1:5" x14ac:dyDescent="0.25">
      <c r="A12076" t="str">
        <f>HYPERLINK("https://www.773grp.com/globalSearch/MCR25N/page-1", "MCR25N")</f>
        <v>MCR25N</v>
      </c>
      <c r="B12076" s="3" t="str">
        <f>HYPERLINK("https://www.773grp.com/manufacturer/onsemi?pageNo=1291", "Onsemi")</f>
        <v>Onsemi</v>
      </c>
      <c r="C12076" s="6">
        <v>25</v>
      </c>
      <c r="D12076" s="7">
        <v>1.64</v>
      </c>
      <c r="E12076" t="s">
        <v>76</v>
      </c>
    </row>
    <row r="12077" spans="1:5" x14ac:dyDescent="0.25">
      <c r="A12077" t="str">
        <f>HYPERLINK("https://www.773grp.com/globalSearch/MCR703AT4G/page-1", "MCR703AT4G")</f>
        <v>MCR703AT4G</v>
      </c>
      <c r="B12077" s="3" t="str">
        <f>HYPERLINK("https://www.773grp.com/manufacturer/onsemi?pageNo=1292", "Onsemi")</f>
        <v>Onsemi</v>
      </c>
      <c r="C12077" s="6">
        <v>5000</v>
      </c>
      <c r="D12077" s="7">
        <v>1.64</v>
      </c>
      <c r="E12077" t="s">
        <v>76</v>
      </c>
    </row>
    <row r="12078" spans="1:5" x14ac:dyDescent="0.25">
      <c r="A12078" t="str">
        <f>HYPERLINK("https://www.773grp.com/globalSearch/MCR708A1G/page-1", "MCR708A1G")</f>
        <v>MCR708A1G</v>
      </c>
      <c r="B12078" s="3" t="str">
        <f>HYPERLINK("https://www.773grp.com/manufacturer/onsemi?pageNo=1293", "Onsemi")</f>
        <v>Onsemi</v>
      </c>
      <c r="C12078" s="6">
        <v>83730</v>
      </c>
      <c r="D12078" s="7">
        <v>1.64</v>
      </c>
      <c r="E12078" t="s">
        <v>76</v>
      </c>
    </row>
    <row r="12079" spans="1:5" x14ac:dyDescent="0.25">
      <c r="A12079" t="str">
        <f>HYPERLINK("https://www.773grp.com/globalSearch/MCR708AG/page-1", "MCR708AG")</f>
        <v>MCR708AG</v>
      </c>
      <c r="B12079" s="3" t="str">
        <f>HYPERLINK("https://www.773grp.com/manufacturer/onsemi?pageNo=1294", "Onsemi")</f>
        <v>Onsemi</v>
      </c>
      <c r="C12079" s="6">
        <v>2025</v>
      </c>
      <c r="D12079" s="7">
        <v>1.64</v>
      </c>
    </row>
    <row r="12080" spans="1:5" x14ac:dyDescent="0.25">
      <c r="A12080" t="str">
        <f>HYPERLINK("https://www.773grp.com/globalSearch/MCR708AT4G/page-1", "MCR708AT4G")</f>
        <v>MCR708AT4G</v>
      </c>
      <c r="B12080" s="3" t="str">
        <f>HYPERLINK("https://www.773grp.com/manufacturer/onsemi?pageNo=1295", "Onsemi")</f>
        <v>Onsemi</v>
      </c>
      <c r="C12080" s="6">
        <v>9704</v>
      </c>
      <c r="D12080" s="7">
        <v>1.64</v>
      </c>
    </row>
    <row r="12081" spans="1:5" x14ac:dyDescent="0.25">
      <c r="A12081" t="str">
        <f>HYPERLINK("https://www.773grp.com/globalSearch/MJB6488/page-1", "MJB6488")</f>
        <v>MJB6488</v>
      </c>
      <c r="B12081" s="3" t="str">
        <f>HYPERLINK("https://www.773grp.com/manufacturer/onsemi?pageNo=1296", "Onsemi")</f>
        <v>Onsemi</v>
      </c>
      <c r="C12081" s="6">
        <v>3800</v>
      </c>
      <c r="D12081" s="7">
        <v>1.64</v>
      </c>
      <c r="E12081" t="s">
        <v>47</v>
      </c>
    </row>
    <row r="12082" spans="1:5" x14ac:dyDescent="0.25">
      <c r="A12082" t="str">
        <f>HYPERLINK("https://www.773grp.com/globalSearch/MUR620CTG/page-1", "MUR620CTG")</f>
        <v>MUR620CTG</v>
      </c>
      <c r="B12082" s="3" t="str">
        <f>HYPERLINK("https://www.773grp.com/manufacturer/onsemi?pageNo=1297", "Onsemi")</f>
        <v>Onsemi</v>
      </c>
      <c r="C12082" s="6">
        <v>87099</v>
      </c>
      <c r="D12082" s="7">
        <v>1.64</v>
      </c>
      <c r="E12082" t="s">
        <v>82</v>
      </c>
    </row>
    <row r="12083" spans="1:5" x14ac:dyDescent="0.25">
      <c r="A12083" t="str">
        <f>HYPERLINK("https://www.773grp.com/globalSearch/NCL30082ADMR2G/page-1", "NCL30082ADMR2G")</f>
        <v>NCL30082ADMR2G</v>
      </c>
      <c r="B12083" s="3" t="str">
        <f>HYPERLINK("https://www.773grp.com/manufacturer/onsemi?pageNo=1298", "Onsemi")</f>
        <v>Onsemi</v>
      </c>
      <c r="C12083" s="6">
        <v>12000</v>
      </c>
      <c r="D12083" s="7">
        <v>1.64</v>
      </c>
    </row>
    <row r="12084" spans="1:5" x14ac:dyDescent="0.25">
      <c r="A12084" t="str">
        <f>HYPERLINK("https://www.773grp.com/globalSearch/NCL30082BDMR2G/page-1", "NCL30082BDMR2G")</f>
        <v>NCL30082BDMR2G</v>
      </c>
      <c r="B12084" s="3" t="str">
        <f>HYPERLINK("https://www.773grp.com/manufacturer/onsemi?pageNo=1299", "Onsemi")</f>
        <v>Onsemi</v>
      </c>
      <c r="C12084" s="6">
        <v>4000</v>
      </c>
      <c r="D12084" s="7">
        <v>1.64</v>
      </c>
    </row>
    <row r="12085" spans="1:5" x14ac:dyDescent="0.25">
      <c r="A12085" t="str">
        <f>HYPERLINK("https://www.773grp.com/globalSearch/NCL30083ADMR2G/page-1", "NCL30083ADMR2G")</f>
        <v>NCL30083ADMR2G</v>
      </c>
      <c r="B12085" s="3" t="str">
        <f>HYPERLINK("https://www.773grp.com/manufacturer/onsemi?pageNo=1300", "Onsemi")</f>
        <v>Onsemi</v>
      </c>
      <c r="C12085" s="6">
        <v>12000</v>
      </c>
      <c r="D12085" s="7">
        <v>1.64</v>
      </c>
    </row>
    <row r="12086" spans="1:5" x14ac:dyDescent="0.25">
      <c r="A12086" t="str">
        <f>HYPERLINK("https://www.773grp.com/globalSearch/NCL30083BDMR2G/page-1", "NCL30083BDMR2G")</f>
        <v>NCL30083BDMR2G</v>
      </c>
      <c r="B12086" s="3" t="str">
        <f>HYPERLINK("https://www.773grp.com/manufacturer/onsemi?pageNo=1301", "Onsemi")</f>
        <v>Onsemi</v>
      </c>
      <c r="C12086" s="6">
        <v>4000</v>
      </c>
      <c r="D12086" s="7">
        <v>1.64</v>
      </c>
    </row>
    <row r="12087" spans="1:5" x14ac:dyDescent="0.25">
      <c r="A12087" t="str">
        <f>HYPERLINK("https://www.773grp.com/globalSearch/NCP1200D100R/page-1", "NCP1200D100R")</f>
        <v>NCP1200D100R</v>
      </c>
      <c r="B12087" s="3" t="str">
        <f>HYPERLINK("https://www.773grp.com/manufacturer/onsemi?pageNo=1302", "Onsemi")</f>
        <v>Onsemi</v>
      </c>
      <c r="C12087" s="6">
        <v>5000</v>
      </c>
      <c r="D12087" s="7">
        <v>1.64</v>
      </c>
    </row>
    <row r="12088" spans="1:5" x14ac:dyDescent="0.25">
      <c r="A12088" t="str">
        <f>HYPERLINK("https://www.773grp.com/globalSearch/NCP1200D100R2G/page-1", "NCP1200D100R2G")</f>
        <v>NCP1200D100R2G</v>
      </c>
      <c r="B12088" s="3" t="str">
        <f>HYPERLINK("https://www.773grp.com/manufacturer/onsemi?pageNo=1303", "Onsemi")</f>
        <v>Onsemi</v>
      </c>
      <c r="C12088" s="6">
        <v>57500</v>
      </c>
      <c r="D12088" s="7">
        <v>1.64</v>
      </c>
      <c r="E12088" t="s">
        <v>5</v>
      </c>
    </row>
    <row r="12089" spans="1:5" x14ac:dyDescent="0.25">
      <c r="A12089" t="str">
        <f>HYPERLINK("https://www.773grp.com/globalSearch/NCP1200D40R2G/page-1", "NCP1200D40R2G")</f>
        <v>NCP1200D40R2G</v>
      </c>
      <c r="B12089" s="3" t="str">
        <f>HYPERLINK("https://www.773grp.com/manufacturer/onsemi?pageNo=1304", "Onsemi")</f>
        <v>Onsemi</v>
      </c>
      <c r="C12089" s="6">
        <v>19627</v>
      </c>
      <c r="D12089" s="7">
        <v>1.64</v>
      </c>
      <c r="E12089" t="s">
        <v>5</v>
      </c>
    </row>
    <row r="12090" spans="1:5" x14ac:dyDescent="0.25">
      <c r="A12090" t="str">
        <f>HYPERLINK("https://www.773grp.com/globalSearch/NCP1200D60R2G/page-1", "NCP1200D60R2G")</f>
        <v>NCP1200D60R2G</v>
      </c>
      <c r="B12090" s="3" t="str">
        <f>HYPERLINK("https://www.773grp.com/manufacturer/onsemi?pageNo=1305", "Onsemi")</f>
        <v>Onsemi</v>
      </c>
      <c r="C12090" s="6">
        <v>95800</v>
      </c>
      <c r="D12090" s="7">
        <v>1.64</v>
      </c>
      <c r="E12090" t="s">
        <v>5</v>
      </c>
    </row>
    <row r="12091" spans="1:5" x14ac:dyDescent="0.25">
      <c r="A12091" t="str">
        <f>HYPERLINK("https://www.773grp.com/globalSearch/NCP1203D100R2G/page-1", "NCP1203D100R2G")</f>
        <v>NCP1203D100R2G</v>
      </c>
      <c r="B12091" s="3" t="str">
        <f>HYPERLINK("https://www.773grp.com/manufacturer/onsemi?pageNo=1306", "Onsemi")</f>
        <v>Onsemi</v>
      </c>
      <c r="C12091" s="6">
        <v>19411</v>
      </c>
      <c r="D12091" s="7">
        <v>1.64</v>
      </c>
      <c r="E12091" t="s">
        <v>5</v>
      </c>
    </row>
    <row r="12092" spans="1:5" x14ac:dyDescent="0.25">
      <c r="A12092" t="str">
        <f>HYPERLINK("https://www.773grp.com/globalSearch/NCP1203D40R2G/page-1", "NCP1203D40R2G")</f>
        <v>NCP1203D40R2G</v>
      </c>
      <c r="B12092" s="3" t="str">
        <f>HYPERLINK("https://www.773grp.com/manufacturer/onsemi?pageNo=1307", "Onsemi")</f>
        <v>Onsemi</v>
      </c>
      <c r="C12092" s="6">
        <v>8935</v>
      </c>
      <c r="D12092" s="7">
        <v>1.64</v>
      </c>
      <c r="E12092" t="s">
        <v>5</v>
      </c>
    </row>
    <row r="12093" spans="1:5" x14ac:dyDescent="0.25">
      <c r="A12093" t="str">
        <f>HYPERLINK("https://www.773grp.com/globalSearch/NCP1203D60R2G/page-1", "NCP1203D60R2G")</f>
        <v>NCP1203D60R2G</v>
      </c>
      <c r="B12093" s="3" t="str">
        <f>HYPERLINK("https://www.773grp.com/manufacturer/onsemi?pageNo=1308", "Onsemi")</f>
        <v>Onsemi</v>
      </c>
      <c r="C12093" s="6">
        <v>15669</v>
      </c>
      <c r="D12093" s="7">
        <v>1.64</v>
      </c>
      <c r="E12093" t="s">
        <v>5</v>
      </c>
    </row>
    <row r="12094" spans="1:5" x14ac:dyDescent="0.25">
      <c r="A12094" t="str">
        <f>HYPERLINK("https://www.773grp.com/globalSearch/NCP1500DMR2/page-1", "NCP1500DMR2")</f>
        <v>NCP1500DMR2</v>
      </c>
      <c r="B12094" s="3" t="str">
        <f>HYPERLINK("https://www.773grp.com/manufacturer/onsemi?pageNo=1309", "Onsemi")</f>
        <v>Onsemi</v>
      </c>
      <c r="C12094" s="6">
        <v>16000</v>
      </c>
      <c r="D12094" s="7">
        <v>1.64</v>
      </c>
      <c r="E12094" t="s">
        <v>5</v>
      </c>
    </row>
    <row r="12095" spans="1:5" x14ac:dyDescent="0.25">
      <c r="A12095" t="str">
        <f>HYPERLINK("https://www.773grp.com/globalSearch/NCV1117DT50RK/page-1", "NCV1117DT50RK")</f>
        <v>NCV1117DT50RK</v>
      </c>
      <c r="B12095" s="3" t="str">
        <f>HYPERLINK("https://www.773grp.com/manufacturer/onsemi?pageNo=1310", "Onsemi")</f>
        <v>Onsemi</v>
      </c>
      <c r="C12095" s="6">
        <v>5000</v>
      </c>
      <c r="D12095" s="7">
        <v>1.64</v>
      </c>
      <c r="E12095" t="s">
        <v>15</v>
      </c>
    </row>
    <row r="12096" spans="1:5" x14ac:dyDescent="0.25">
      <c r="A12096" t="str">
        <f>HYPERLINK("https://www.773grp.com/globalSearch/NCV317BTG/page-1", "NCV317BTG")</f>
        <v>NCV317BTG</v>
      </c>
      <c r="B12096" s="3" t="str">
        <f>HYPERLINK("https://www.773grp.com/manufacturer/onsemi?pageNo=1311", "Onsemi")</f>
        <v>Onsemi</v>
      </c>
      <c r="C12096" s="6">
        <v>1000</v>
      </c>
      <c r="D12096" s="7">
        <v>1.64</v>
      </c>
    </row>
    <row r="12097" spans="1:5" x14ac:dyDescent="0.25">
      <c r="A12097" t="str">
        <f>HYPERLINK("https://www.773grp.com/globalSearch/NCV8501D33R2/page-1", "NCV8501D33R2")</f>
        <v>NCV8501D33R2</v>
      </c>
      <c r="B12097" s="3" t="str">
        <f>HYPERLINK("https://www.773grp.com/manufacturer/onsemi?pageNo=1312", "Onsemi")</f>
        <v>Onsemi</v>
      </c>
      <c r="C12097" s="6">
        <v>106</v>
      </c>
      <c r="D12097" s="7">
        <v>1.64</v>
      </c>
      <c r="E12097" t="s">
        <v>15</v>
      </c>
    </row>
    <row r="12098" spans="1:5" x14ac:dyDescent="0.25">
      <c r="A12098" t="str">
        <f>HYPERLINK("https://www.773grp.com/globalSearch/NCV8508DW50/page-1", "NCV8508DW50")</f>
        <v>NCV8508DW50</v>
      </c>
      <c r="B12098" s="3" t="str">
        <f>HYPERLINK("https://www.773grp.com/manufacturer/onsemi?pageNo=1313", "Onsemi")</f>
        <v>Onsemi</v>
      </c>
      <c r="C12098" s="6">
        <v>1078</v>
      </c>
      <c r="D12098" s="7">
        <v>1.64</v>
      </c>
      <c r="E12098" t="s">
        <v>15</v>
      </c>
    </row>
    <row r="12099" spans="1:5" x14ac:dyDescent="0.25">
      <c r="A12099" t="str">
        <f>HYPERLINK("https://www.773grp.com/globalSearch/NRVBD660CTT4/page-1", "NRVBD660CTT4")</f>
        <v>NRVBD660CTT4</v>
      </c>
      <c r="B12099" s="3" t="str">
        <f>HYPERLINK("https://www.773grp.com/manufacturer/onsemi?pageNo=1314", "Onsemi")</f>
        <v>Onsemi</v>
      </c>
      <c r="C12099" s="6">
        <v>5000</v>
      </c>
      <c r="D12099" s="7">
        <v>1.64</v>
      </c>
    </row>
    <row r="12100" spans="1:5" x14ac:dyDescent="0.25">
      <c r="A12100" t="str">
        <f>HYPERLINK("https://www.773grp.com/globalSearch/NTD20N06T4G/page-1", "NTD20N06T4G")</f>
        <v>NTD20N06T4G</v>
      </c>
      <c r="B12100" s="3" t="str">
        <f>HYPERLINK("https://www.773grp.com/manufacturer/onsemi?pageNo=1315", "Onsemi")</f>
        <v>Onsemi</v>
      </c>
      <c r="C12100" s="6">
        <v>14957</v>
      </c>
      <c r="D12100" s="7">
        <v>1.64</v>
      </c>
      <c r="E12100" t="s">
        <v>84</v>
      </c>
    </row>
    <row r="12101" spans="1:5" x14ac:dyDescent="0.25">
      <c r="A12101" t="str">
        <f>HYPERLINK("https://www.773grp.com/globalSearch/NTD80N02-001/page-1", "NTD80N02-001")</f>
        <v>NTD80N02-001</v>
      </c>
      <c r="B12101" s="3" t="str">
        <f>HYPERLINK("https://www.773grp.com/manufacturer/onsemi?pageNo=1316", "Onsemi")</f>
        <v>Onsemi</v>
      </c>
      <c r="C12101" s="6">
        <v>529607</v>
      </c>
      <c r="D12101" s="7">
        <v>1.64</v>
      </c>
      <c r="E12101" t="s">
        <v>84</v>
      </c>
    </row>
    <row r="12102" spans="1:5" x14ac:dyDescent="0.25">
      <c r="A12102" t="str">
        <f>HYPERLINK("https://www.773grp.com/globalSearch/NTSB30120CT-1G/page-1", "NTSB30120CT-1G")</f>
        <v>NTSB30120CT-1G</v>
      </c>
      <c r="B12102" s="3" t="str">
        <f>HYPERLINK("https://www.773grp.com/manufacturer/onsemi?pageNo=1317", "Onsemi")</f>
        <v>Onsemi</v>
      </c>
      <c r="C12102" s="6">
        <v>109350</v>
      </c>
      <c r="D12102" s="7">
        <v>1.64</v>
      </c>
    </row>
    <row r="12103" spans="1:5" x14ac:dyDescent="0.25">
      <c r="A12103" t="str">
        <f>HYPERLINK("https://www.773grp.com/globalSearch/NTSJ30U80CTG/page-1", "NTSJ30U80CTG")</f>
        <v>NTSJ30U80CTG</v>
      </c>
      <c r="B12103" s="3" t="str">
        <f>HYPERLINK("https://www.773grp.com/manufacturer/onsemi?pageNo=1318", "Onsemi")</f>
        <v>Onsemi</v>
      </c>
      <c r="C12103" s="6">
        <v>600</v>
      </c>
      <c r="D12103" s="7">
        <v>1.64</v>
      </c>
    </row>
    <row r="12104" spans="1:5" x14ac:dyDescent="0.25">
      <c r="A12104" t="str">
        <f>HYPERLINK("https://www.773grp.com/globalSearch/NVMFS4841NT1G/page-1", "NVMFS4841NT1G")</f>
        <v>NVMFS4841NT1G</v>
      </c>
      <c r="B12104" s="3" t="str">
        <f>HYPERLINK("https://www.773grp.com/manufacturer/onsemi?pageNo=1319", "Onsemi")</f>
        <v>Onsemi</v>
      </c>
      <c r="C12104" s="6">
        <v>1500</v>
      </c>
      <c r="D12104" s="7">
        <v>1.64</v>
      </c>
    </row>
    <row r="12105" spans="1:5" x14ac:dyDescent="0.25">
      <c r="A12105" t="str">
        <f>HYPERLINK("https://www.773grp.com/globalSearch/SCY33178DR2G/page-1", "SCY33178DR2G")</f>
        <v>SCY33178DR2G</v>
      </c>
      <c r="B12105" s="3" t="str">
        <f>HYPERLINK("https://www.773grp.com/manufacturer/onsemi?pageNo=1320", "Onsemi")</f>
        <v>Onsemi</v>
      </c>
      <c r="C12105" s="6">
        <v>2500</v>
      </c>
      <c r="D12105" s="7">
        <v>1.64</v>
      </c>
    </row>
    <row r="12106" spans="1:5" x14ac:dyDescent="0.25">
      <c r="A12106" t="str">
        <f>HYPERLINK("https://www.773grp.com/globalSearch/SJE163/page-1", "SJE163")</f>
        <v>SJE163</v>
      </c>
      <c r="B12106" s="3" t="str">
        <f>HYPERLINK("https://www.773grp.com/manufacturer/onsemi?pageNo=1321", "Onsemi")</f>
        <v>Onsemi</v>
      </c>
      <c r="C12106" s="6">
        <v>18000</v>
      </c>
      <c r="D12106" s="7">
        <v>1.64</v>
      </c>
    </row>
    <row r="12107" spans="1:5" x14ac:dyDescent="0.25">
      <c r="A12107" t="str">
        <f>HYPERLINK("https://www.773grp.com/globalSearch/SN74LS299DW/page-1", "SN74LS299DW")</f>
        <v>SN74LS299DW</v>
      </c>
      <c r="B12107" s="3" t="str">
        <f>HYPERLINK("https://www.773grp.com/manufacturer/onsemi?pageNo=1322", "Onsemi")</f>
        <v>Onsemi</v>
      </c>
      <c r="C12107" s="6">
        <v>2356</v>
      </c>
      <c r="D12107" s="7">
        <v>1.64</v>
      </c>
      <c r="E12107" t="s">
        <v>28</v>
      </c>
    </row>
    <row r="12108" spans="1:5" x14ac:dyDescent="0.25">
      <c r="A12108" t="str">
        <f>HYPERLINK("https://www.773grp.com/globalSearch/SN74LS299DWR2/page-1", "SN74LS299DWR2")</f>
        <v>SN74LS299DWR2</v>
      </c>
      <c r="B12108" s="3" t="str">
        <f>HYPERLINK("https://www.773grp.com/manufacturer/onsemi?pageNo=1323", "Onsemi")</f>
        <v>Onsemi</v>
      </c>
      <c r="C12108" s="6">
        <v>4000</v>
      </c>
      <c r="D12108" s="7">
        <v>1.64</v>
      </c>
      <c r="E12108" t="s">
        <v>28</v>
      </c>
    </row>
    <row r="12109" spans="1:5" x14ac:dyDescent="0.25">
      <c r="A12109" t="str">
        <f>HYPERLINK("https://www.773grp.com/globalSearch/TE02221/page-1", "TE02221")</f>
        <v>TE02221</v>
      </c>
      <c r="B12109" s="3" t="str">
        <f>HYPERLINK("https://www.773grp.com/manufacturer/onsemi?pageNo=1324", "Onsemi")</f>
        <v>Onsemi</v>
      </c>
      <c r="C12109" s="6">
        <v>13700</v>
      </c>
      <c r="D12109" s="7">
        <v>1.64</v>
      </c>
    </row>
    <row r="12110" spans="1:5" x14ac:dyDescent="0.25">
      <c r="A12110" t="str">
        <f>HYPERLINK("https://www.773grp.com/globalSearch/TE02462T/page-1", "TE02462T")</f>
        <v>TE02462T</v>
      </c>
      <c r="B12110" s="3" t="str">
        <f>HYPERLINK("https://www.773grp.com/manufacturer/onsemi?pageNo=1325", "Onsemi")</f>
        <v>Onsemi</v>
      </c>
      <c r="C12110" s="6">
        <v>12100</v>
      </c>
      <c r="D12110" s="7">
        <v>1.64</v>
      </c>
    </row>
    <row r="12111" spans="1:5" x14ac:dyDescent="0.25">
      <c r="A12111" t="str">
        <f>HYPERLINK("https://www.773grp.com/globalSearch/TE02463T/page-1", "TE02463T")</f>
        <v>TE02463T</v>
      </c>
      <c r="B12111" s="3" t="str">
        <f>HYPERLINK("https://www.773grp.com/manufacturer/onsemi?pageNo=1326", "Onsemi")</f>
        <v>Onsemi</v>
      </c>
      <c r="C12111" s="6">
        <v>9000</v>
      </c>
      <c r="D12111" s="7">
        <v>1.64</v>
      </c>
    </row>
    <row r="12112" spans="1:5" x14ac:dyDescent="0.25">
      <c r="A12112" t="str">
        <f>HYPERLINK("https://www.773grp.com/globalSearch/TIP110G/page-1", "TIP110G")</f>
        <v>TIP110G</v>
      </c>
      <c r="B12112" s="3" t="str">
        <f>HYPERLINK("https://www.773grp.com/manufacturer/onsemi?pageNo=1327", "Onsemi")</f>
        <v>Onsemi</v>
      </c>
      <c r="C12112" s="6">
        <v>1817</v>
      </c>
      <c r="D12112" s="7">
        <v>1.64</v>
      </c>
    </row>
    <row r="12113" spans="1:5" x14ac:dyDescent="0.25">
      <c r="A12113" t="str">
        <f>HYPERLINK("https://www.773grp.com/globalSearch/TIP112G/page-1", "TIP112G")</f>
        <v>TIP112G</v>
      </c>
      <c r="B12113" s="3" t="str">
        <f>HYPERLINK("https://www.773grp.com/manufacturer/onsemi?pageNo=1328", "Onsemi")</f>
        <v>Onsemi</v>
      </c>
      <c r="C12113" s="6">
        <v>11848</v>
      </c>
      <c r="D12113" s="7">
        <v>1.64</v>
      </c>
      <c r="E12113" t="s">
        <v>47</v>
      </c>
    </row>
    <row r="12114" spans="1:5" x14ac:dyDescent="0.25">
      <c r="A12114" t="str">
        <f>HYPERLINK("https://www.773grp.com/globalSearch/TIP42/page-1", "TIP42")</f>
        <v>TIP42</v>
      </c>
      <c r="B12114" s="3" t="str">
        <f>HYPERLINK("https://www.773grp.com/manufacturer/onsemi?pageNo=1329", "Onsemi")</f>
        <v>Onsemi</v>
      </c>
      <c r="C12114" s="6">
        <v>1192</v>
      </c>
      <c r="D12114" s="7">
        <v>1.64</v>
      </c>
      <c r="E12114" t="s">
        <v>47</v>
      </c>
    </row>
    <row r="12115" spans="1:5" x14ac:dyDescent="0.25">
      <c r="A12115" t="str">
        <f>HYPERLINK("https://www.773grp.com/globalSearch/TL064CD/page-1", "TL064CD")</f>
        <v>TL064CD</v>
      </c>
      <c r="B12115" s="3" t="str">
        <f>HYPERLINK("https://www.773grp.com/manufacturer/onsemi?pageNo=1330", "Onsemi")</f>
        <v>Onsemi</v>
      </c>
      <c r="C12115" s="6">
        <v>85</v>
      </c>
      <c r="D12115" s="7">
        <v>1.64</v>
      </c>
      <c r="E12115" t="s">
        <v>10</v>
      </c>
    </row>
    <row r="12116" spans="1:5" x14ac:dyDescent="0.25">
      <c r="A12116" t="str">
        <f>HYPERLINK("https://www.773grp.com/globalSearch/TL431BIPG/page-1", "TL431BIPG")</f>
        <v>TL431BIPG</v>
      </c>
      <c r="B12116" s="3" t="str">
        <f>HYPERLINK("https://www.773grp.com/manufacturer/onsemi?pageNo=1331", "Onsemi")</f>
        <v>Onsemi</v>
      </c>
      <c r="C12116" s="6">
        <v>4200</v>
      </c>
      <c r="D12116" s="7">
        <v>1.64</v>
      </c>
      <c r="E12116" t="s">
        <v>13</v>
      </c>
    </row>
    <row r="12117" spans="1:5" x14ac:dyDescent="0.25">
      <c r="A12117" t="str">
        <f>HYPERLINK("https://www.773grp.com/globalSearch/BDX33BG/page-1", "BDX33BG")</f>
        <v>BDX33BG</v>
      </c>
      <c r="B12117" s="3" t="str">
        <f>HYPERLINK("https://www.773grp.com/manufacturer/onsemi?pageNo=1332", "Onsemi")</f>
        <v>Onsemi</v>
      </c>
      <c r="C12117" s="6">
        <v>2740</v>
      </c>
      <c r="D12117" s="7">
        <v>1.69</v>
      </c>
      <c r="E12117" t="s">
        <v>47</v>
      </c>
    </row>
    <row r="12118" spans="1:5" x14ac:dyDescent="0.25">
      <c r="A12118" t="str">
        <f>HYPERLINK("https://www.773grp.com/globalSearch/BDX33CG/page-1", "BDX33CG")</f>
        <v>BDX33CG</v>
      </c>
      <c r="B12118" s="3" t="str">
        <f>HYPERLINK("https://www.773grp.com/manufacturer/onsemi?pageNo=1333", "Onsemi")</f>
        <v>Onsemi</v>
      </c>
      <c r="C12118" s="6">
        <v>3233</v>
      </c>
      <c r="D12118" s="7">
        <v>1.69</v>
      </c>
      <c r="E12118" t="s">
        <v>47</v>
      </c>
    </row>
    <row r="12119" spans="1:5" x14ac:dyDescent="0.25">
      <c r="A12119" t="str">
        <f>HYPERLINK("https://www.773grp.com/globalSearch/BDX53BG/page-1", "BDX53BG")</f>
        <v>BDX53BG</v>
      </c>
      <c r="B12119" s="3" t="str">
        <f>HYPERLINK("https://www.773grp.com/manufacturer/onsemi?pageNo=1334", "Onsemi")</f>
        <v>Onsemi</v>
      </c>
      <c r="C12119" s="6">
        <v>83897</v>
      </c>
      <c r="D12119" s="7">
        <v>1.69</v>
      </c>
      <c r="E12119" t="s">
        <v>47</v>
      </c>
    </row>
    <row r="12120" spans="1:5" x14ac:dyDescent="0.25">
      <c r="A12120" t="str">
        <f>HYPERLINK("https://www.773grp.com/globalSearch/CAT24C256YI-G/page-1", "CAT24C256YI-G")</f>
        <v>CAT24C256YI-G</v>
      </c>
      <c r="B12120" s="3" t="str">
        <f>HYPERLINK("https://www.773grp.com/manufacturer/onsemi?pageNo=1335", "Onsemi")</f>
        <v>Onsemi</v>
      </c>
      <c r="C12120" s="6">
        <v>4</v>
      </c>
      <c r="D12120" s="7">
        <v>1.69</v>
      </c>
    </row>
    <row r="12121" spans="1:5" x14ac:dyDescent="0.25">
      <c r="A12121" t="str">
        <f>HYPERLINK("https://www.773grp.com/globalSearch/CAT25128LI-G/page-1", "CAT25128LI-G")</f>
        <v>CAT25128LI-G</v>
      </c>
      <c r="B12121" s="3" t="str">
        <f>HYPERLINK("https://www.773grp.com/manufacturer/onsemi?pageNo=1336", "Onsemi")</f>
        <v>Onsemi</v>
      </c>
      <c r="C12121" s="6">
        <v>100</v>
      </c>
      <c r="D12121" s="7">
        <v>1.69</v>
      </c>
    </row>
    <row r="12122" spans="1:5" x14ac:dyDescent="0.25">
      <c r="A12122" t="str">
        <f>HYPERLINK("https://www.773grp.com/globalSearch/CAT3648HV3-GT2/page-1", "CAT3648HV3-GT2")</f>
        <v>CAT3648HV3-GT2</v>
      </c>
      <c r="B12122" s="3" t="str">
        <f>HYPERLINK("https://www.773grp.com/manufacturer/onsemi?pageNo=1337", "Onsemi")</f>
        <v>Onsemi</v>
      </c>
      <c r="C12122" s="6">
        <v>18000</v>
      </c>
      <c r="D12122" s="7">
        <v>1.69</v>
      </c>
      <c r="E12122" t="s">
        <v>7</v>
      </c>
    </row>
    <row r="12123" spans="1:5" x14ac:dyDescent="0.25">
      <c r="A12123" t="str">
        <f>HYPERLINK("https://www.773grp.com/globalSearch/EMI4183MTTAG/page-1", "EMI4183MTTAG")</f>
        <v>EMI4183MTTAG</v>
      </c>
      <c r="B12123" s="3" t="str">
        <f>HYPERLINK("https://www.773grp.com/manufacturer/onsemi?pageNo=1338", "Onsemi")</f>
        <v>Onsemi</v>
      </c>
      <c r="C12123" s="6">
        <v>177000</v>
      </c>
      <c r="D12123" s="7">
        <v>1.69</v>
      </c>
      <c r="E12123" t="s">
        <v>79</v>
      </c>
    </row>
    <row r="12124" spans="1:5" x14ac:dyDescent="0.25">
      <c r="A12124" t="str">
        <f>HYPERLINK("https://www.773grp.com/globalSearch/LM317MDTG/page-1", "LM317MDTG")</f>
        <v>LM317MDTG</v>
      </c>
      <c r="B12124" s="3" t="str">
        <f>HYPERLINK("https://www.773grp.com/manufacturer/onsemi?pageNo=1339", "Onsemi")</f>
        <v>Onsemi</v>
      </c>
      <c r="C12124" s="6">
        <v>35025</v>
      </c>
      <c r="D12124" s="7">
        <v>1.69</v>
      </c>
      <c r="E12124" t="s">
        <v>18</v>
      </c>
    </row>
    <row r="12125" spans="1:5" x14ac:dyDescent="0.25">
      <c r="A12125" t="str">
        <f>HYPERLINK("https://www.773grp.com/globalSearch/LM317MDTRKG/page-1", "LM317MDTRKG")</f>
        <v>LM317MDTRKG</v>
      </c>
      <c r="B12125" s="3" t="str">
        <f>HYPERLINK("https://www.773grp.com/manufacturer/onsemi?pageNo=1340", "Onsemi")</f>
        <v>Onsemi</v>
      </c>
      <c r="C12125" s="6">
        <v>31644</v>
      </c>
      <c r="D12125" s="7">
        <v>1.69</v>
      </c>
      <c r="E12125" t="s">
        <v>18</v>
      </c>
    </row>
    <row r="12126" spans="1:5" x14ac:dyDescent="0.25">
      <c r="A12126" t="str">
        <f>HYPERLINK("https://www.773grp.com/globalSearch/MAX1720EUTG/page-1", "MAX1720EUTG")</f>
        <v>MAX1720EUTG</v>
      </c>
      <c r="B12126" s="3" t="str">
        <f>HYPERLINK("https://www.773grp.com/manufacturer/onsemi?pageNo=1341", "Onsemi")</f>
        <v>Onsemi</v>
      </c>
      <c r="C12126" s="6">
        <v>3000</v>
      </c>
      <c r="D12126" s="7">
        <v>1.69</v>
      </c>
    </row>
    <row r="12127" spans="1:5" x14ac:dyDescent="0.25">
      <c r="A12127" t="str">
        <f>HYPERLINK("https://www.773grp.com/globalSearch/MAX8863QEUK-T/page-1", "MAX8863QEUK-T")</f>
        <v>MAX8863QEUK-T</v>
      </c>
      <c r="B12127" s="3" t="str">
        <f>HYPERLINK("https://www.773grp.com/manufacturer/onsemi?pageNo=1342", "Onsemi")</f>
        <v>Onsemi</v>
      </c>
      <c r="C12127" s="6">
        <v>15000</v>
      </c>
      <c r="D12127" s="7">
        <v>1.69</v>
      </c>
      <c r="E12127" t="s">
        <v>15</v>
      </c>
    </row>
    <row r="12128" spans="1:5" x14ac:dyDescent="0.25">
      <c r="A12128" t="str">
        <f>HYPERLINK("https://www.773grp.com/globalSearch/MAX8863SEUK-T/page-1", "MAX8863SEUK-T")</f>
        <v>MAX8863SEUK-T</v>
      </c>
      <c r="B12128" s="3" t="str">
        <f>HYPERLINK("https://www.773grp.com/manufacturer/onsemi?pageNo=1343", "Onsemi")</f>
        <v>Onsemi</v>
      </c>
      <c r="C12128" s="6">
        <v>30000</v>
      </c>
      <c r="D12128" s="7">
        <v>1.69</v>
      </c>
      <c r="E12128" t="s">
        <v>15</v>
      </c>
    </row>
    <row r="12129" spans="1:5" x14ac:dyDescent="0.25">
      <c r="A12129" t="str">
        <f>HYPERLINK("https://www.773grp.com/globalSearch/MAX8864TEUK-T/page-1", "MAX8864TEUK-T")</f>
        <v>MAX8864TEUK-T</v>
      </c>
      <c r="B12129" s="3" t="str">
        <f>HYPERLINK("https://www.773grp.com/manufacturer/onsemi?pageNo=1344", "Onsemi")</f>
        <v>Onsemi</v>
      </c>
      <c r="C12129" s="6">
        <v>5325</v>
      </c>
      <c r="D12129" s="7">
        <v>1.69</v>
      </c>
      <c r="E12129" t="s">
        <v>23</v>
      </c>
    </row>
    <row r="12130" spans="1:5" x14ac:dyDescent="0.25">
      <c r="A12130" t="str">
        <f>HYPERLINK("https://www.773grp.com/globalSearch/MC1496DG/page-1", "MC1496DG")</f>
        <v>MC1496DG</v>
      </c>
      <c r="B12130" s="3" t="str">
        <f>HYPERLINK("https://www.773grp.com/manufacturer/onsemi?pageNo=1345", "Onsemi")</f>
        <v>Onsemi</v>
      </c>
      <c r="C12130" s="6">
        <v>3104</v>
      </c>
      <c r="D12130" s="7">
        <v>1.69</v>
      </c>
      <c r="E12130" t="s">
        <v>19</v>
      </c>
    </row>
    <row r="12131" spans="1:5" x14ac:dyDescent="0.25">
      <c r="A12131" t="str">
        <f>HYPERLINK("https://www.773grp.com/globalSearch/MC1496DR2/page-1", "MC1496DR2")</f>
        <v>MC1496DR2</v>
      </c>
      <c r="B12131" s="3" t="str">
        <f>HYPERLINK("https://www.773grp.com/manufacturer/onsemi?pageNo=1346", "Onsemi")</f>
        <v>Onsemi</v>
      </c>
      <c r="C12131" s="6">
        <v>1510</v>
      </c>
      <c r="D12131" s="7">
        <v>1.69</v>
      </c>
    </row>
    <row r="12132" spans="1:5" x14ac:dyDescent="0.25">
      <c r="A12132" t="str">
        <f>HYPERLINK("https://www.773grp.com/globalSearch/MC1496DR2G/page-1", "MC1496DR2G")</f>
        <v>MC1496DR2G</v>
      </c>
      <c r="B12132" s="3" t="str">
        <f>HYPERLINK("https://www.773grp.com/manufacturer/onsemi?pageNo=1347", "Onsemi")</f>
        <v>Onsemi</v>
      </c>
      <c r="C12132" s="6">
        <v>21464</v>
      </c>
      <c r="D12132" s="7">
        <v>1.69</v>
      </c>
      <c r="E12132" t="s">
        <v>19</v>
      </c>
    </row>
    <row r="12133" spans="1:5" x14ac:dyDescent="0.25">
      <c r="A12133" t="str">
        <f>HYPERLINK("https://www.773grp.com/globalSearch/MC33063AP1G/page-1", "MC33063AP1G")</f>
        <v>MC33063AP1G</v>
      </c>
      <c r="B12133" s="3" t="str">
        <f>HYPERLINK("https://www.773grp.com/manufacturer/onsemi?pageNo=1348", "Onsemi")</f>
        <v>Onsemi</v>
      </c>
      <c r="C12133" s="6">
        <v>17006</v>
      </c>
      <c r="D12133" s="7">
        <v>1.69</v>
      </c>
      <c r="E12133" t="s">
        <v>5</v>
      </c>
    </row>
    <row r="12134" spans="1:5" x14ac:dyDescent="0.25">
      <c r="A12134" t="str">
        <f>HYPERLINK("https://www.773grp.com/globalSearch/MC33064D-5R2G/page-1", "MC33064D-5R2G")</f>
        <v>MC33064D-5R2G</v>
      </c>
      <c r="B12134" s="3" t="str">
        <f>HYPERLINK("https://www.773grp.com/manufacturer/onsemi?pageNo=1", "Onsemi")</f>
        <v>Onsemi</v>
      </c>
      <c r="C12134" s="6">
        <v>14280</v>
      </c>
      <c r="D12134" s="7">
        <v>1.69</v>
      </c>
      <c r="E12134" t="s">
        <v>26</v>
      </c>
    </row>
    <row r="12135" spans="1:5" x14ac:dyDescent="0.25">
      <c r="A12135" t="str">
        <f>HYPERLINK("https://www.773grp.com/globalSearch/MC33064P-5G/page-1", "MC33064P-5G")</f>
        <v>MC33064P-5G</v>
      </c>
      <c r="B12135" s="3" t="str">
        <f>HYPERLINK("https://www.773grp.com/manufacturer/onsemi?pageNo=2", "Onsemi")</f>
        <v>Onsemi</v>
      </c>
      <c r="C12135" s="6">
        <v>68000</v>
      </c>
      <c r="D12135" s="7">
        <v>1.69</v>
      </c>
      <c r="E12135" t="s">
        <v>26</v>
      </c>
    </row>
    <row r="12136" spans="1:5" x14ac:dyDescent="0.25">
      <c r="A12136" t="str">
        <f>HYPERLINK("https://www.773grp.com/globalSearch/MC33071ADG/page-1", "MC33071ADG")</f>
        <v>MC33071ADG</v>
      </c>
      <c r="B12136" s="3" t="str">
        <f>HYPERLINK("https://www.773grp.com/manufacturer/onsemi?pageNo=3", "Onsemi")</f>
        <v>Onsemi</v>
      </c>
      <c r="C12136" s="6">
        <v>7032</v>
      </c>
      <c r="D12136" s="7">
        <v>1.69</v>
      </c>
      <c r="E12136" t="s">
        <v>10</v>
      </c>
    </row>
    <row r="12137" spans="1:5" x14ac:dyDescent="0.25">
      <c r="A12137" t="str">
        <f>HYPERLINK("https://www.773grp.com/globalSearch/MC33071ADR2G/page-1", "MC33071ADR2G")</f>
        <v>MC33071ADR2G</v>
      </c>
      <c r="B12137" s="3" t="str">
        <f>HYPERLINK("https://www.773grp.com/manufacturer/onsemi?pageNo=4", "Onsemi")</f>
        <v>Onsemi</v>
      </c>
      <c r="C12137" s="6">
        <v>12851</v>
      </c>
      <c r="D12137" s="7">
        <v>1.69</v>
      </c>
      <c r="E12137" t="s">
        <v>10</v>
      </c>
    </row>
    <row r="12138" spans="1:5" x14ac:dyDescent="0.25">
      <c r="A12138" t="str">
        <f>HYPERLINK("https://www.773grp.com/globalSearch/MC33072AP/page-1", "MC33072AP")</f>
        <v>MC33072AP</v>
      </c>
      <c r="B12138" s="3" t="str">
        <f>HYPERLINK("https://www.773grp.com/manufacturer/onsemi?pageNo=5", "Onsemi")</f>
        <v>Onsemi</v>
      </c>
      <c r="C12138" s="6">
        <v>2190</v>
      </c>
      <c r="D12138" s="7">
        <v>1.69</v>
      </c>
    </row>
    <row r="12139" spans="1:5" x14ac:dyDescent="0.25">
      <c r="A12139" t="str">
        <f>HYPERLINK("https://www.773grp.com/globalSearch/MC33072APG/page-1", "MC33072APG")</f>
        <v>MC33072APG</v>
      </c>
      <c r="B12139" s="3" t="str">
        <f>HYPERLINK("https://www.773grp.com/manufacturer/onsemi?pageNo=6", "Onsemi")</f>
        <v>Onsemi</v>
      </c>
      <c r="C12139" s="6">
        <v>919</v>
      </c>
      <c r="D12139" s="7">
        <v>1.69</v>
      </c>
      <c r="E12139" t="s">
        <v>10</v>
      </c>
    </row>
    <row r="12140" spans="1:5" x14ac:dyDescent="0.25">
      <c r="A12140" t="str">
        <f>HYPERLINK("https://www.773grp.com/globalSearch/MC33164D-3R2G/page-1", "MC33164D-3R2G")</f>
        <v>MC33164D-3R2G</v>
      </c>
      <c r="B12140" s="3" t="str">
        <f>HYPERLINK("https://www.773grp.com/manufacturer/onsemi?pageNo=7", "Onsemi")</f>
        <v>Onsemi</v>
      </c>
      <c r="C12140" s="6">
        <v>27500</v>
      </c>
      <c r="D12140" s="7">
        <v>1.69</v>
      </c>
    </row>
    <row r="12141" spans="1:5" x14ac:dyDescent="0.25">
      <c r="A12141" t="str">
        <f>HYPERLINK("https://www.773grp.com/globalSearch/MC33164D-5R2G/page-1", "MC33164D-5R2G")</f>
        <v>MC33164D-5R2G</v>
      </c>
      <c r="B12141" s="3" t="str">
        <f>HYPERLINK("https://www.773grp.com/manufacturer/onsemi?pageNo=8", "Onsemi")</f>
        <v>Onsemi</v>
      </c>
      <c r="C12141" s="6">
        <v>27540</v>
      </c>
      <c r="D12141" s="7">
        <v>1.69</v>
      </c>
      <c r="E12141" t="s">
        <v>26</v>
      </c>
    </row>
    <row r="12142" spans="1:5" x14ac:dyDescent="0.25">
      <c r="A12142" t="str">
        <f>HYPERLINK("https://www.773grp.com/globalSearch/MC33164P-5G/page-1", "MC33164P-5G")</f>
        <v>MC33164P-5G</v>
      </c>
      <c r="B12142" s="3" t="str">
        <f>HYPERLINK("https://www.773grp.com/manufacturer/onsemi?pageNo=9", "Onsemi")</f>
        <v>Onsemi</v>
      </c>
      <c r="C12142" s="6">
        <v>45290</v>
      </c>
      <c r="D12142" s="7">
        <v>1.69</v>
      </c>
      <c r="E12142" t="s">
        <v>26</v>
      </c>
    </row>
    <row r="12143" spans="1:5" x14ac:dyDescent="0.25">
      <c r="A12143" t="str">
        <f>HYPERLINK("https://www.773grp.com/globalSearch/MC33260DR2/page-1", "MC33260DR2")</f>
        <v>MC33260DR2</v>
      </c>
      <c r="B12143" s="3" t="str">
        <f>HYPERLINK("https://www.773grp.com/manufacturer/onsemi?pageNo=10", "Onsemi")</f>
        <v>Onsemi</v>
      </c>
      <c r="C12143" s="6">
        <v>42795</v>
      </c>
      <c r="D12143" s="7">
        <v>1.69</v>
      </c>
      <c r="E12143" t="s">
        <v>5</v>
      </c>
    </row>
    <row r="12144" spans="1:5" x14ac:dyDescent="0.25">
      <c r="A12144" t="str">
        <f>HYPERLINK("https://www.773grp.com/globalSearch/MC33269D-3.3G/page-1", "MC33269D-3.3G")</f>
        <v>MC33269D-3.3G</v>
      </c>
      <c r="B12144" s="3" t="str">
        <f>HYPERLINK("https://www.773grp.com/manufacturer/onsemi?pageNo=11", "Onsemi")</f>
        <v>Onsemi</v>
      </c>
      <c r="C12144" s="6">
        <v>4156</v>
      </c>
      <c r="D12144" s="7">
        <v>1.69</v>
      </c>
      <c r="E12144" t="s">
        <v>15</v>
      </c>
    </row>
    <row r="12145" spans="1:5" x14ac:dyDescent="0.25">
      <c r="A12145" t="str">
        <f>HYPERLINK("https://www.773grp.com/globalSearch/MC33269D-5.0G/page-1", "MC33269D-5.0G")</f>
        <v>MC33269D-5.0G</v>
      </c>
      <c r="B12145" s="3" t="str">
        <f>HYPERLINK("https://www.773grp.com/manufacturer/onsemi?pageNo=12", "Onsemi")</f>
        <v>Onsemi</v>
      </c>
      <c r="C12145" s="6">
        <v>2504</v>
      </c>
      <c r="D12145" s="7">
        <v>1.69</v>
      </c>
    </row>
    <row r="12146" spans="1:5" x14ac:dyDescent="0.25">
      <c r="A12146" t="str">
        <f>HYPERLINK("https://www.773grp.com/globalSearch/MC33269DG/page-1", "MC33269DG")</f>
        <v>MC33269DG</v>
      </c>
      <c r="B12146" s="3" t="str">
        <f>HYPERLINK("https://www.773grp.com/manufacturer/onsemi?pageNo=13", "Onsemi")</f>
        <v>Onsemi</v>
      </c>
      <c r="C12146" s="6">
        <v>3612</v>
      </c>
      <c r="D12146" s="7">
        <v>1.69</v>
      </c>
      <c r="E12146" t="s">
        <v>21</v>
      </c>
    </row>
    <row r="12147" spans="1:5" x14ac:dyDescent="0.25">
      <c r="A12147" t="str">
        <f>HYPERLINK("https://www.773grp.com/globalSearch/MC33269DR2/page-1", "MC33269DR2")</f>
        <v>MC33269DR2</v>
      </c>
      <c r="B12147" s="3" t="str">
        <f>HYPERLINK("https://www.773grp.com/manufacturer/onsemi?pageNo=14", "Onsemi")</f>
        <v>Onsemi</v>
      </c>
      <c r="C12147" s="6">
        <v>5000</v>
      </c>
      <c r="D12147" s="7">
        <v>1.69</v>
      </c>
      <c r="E12147" t="s">
        <v>21</v>
      </c>
    </row>
    <row r="12148" spans="1:5" x14ac:dyDescent="0.25">
      <c r="A12148" t="str">
        <f>HYPERLINK("https://www.773grp.com/globalSearch/MC33269DR2-012G/page-1", "MC33269DR2-012G")</f>
        <v>MC33269DR2-012G</v>
      </c>
      <c r="B12148" s="3" t="str">
        <f>HYPERLINK("https://www.773grp.com/manufacturer/onsemi?pageNo=15", "Onsemi")</f>
        <v>Onsemi</v>
      </c>
      <c r="C12148" s="6">
        <v>20669</v>
      </c>
      <c r="D12148" s="7">
        <v>1.69</v>
      </c>
      <c r="E12148" t="s">
        <v>15</v>
      </c>
    </row>
    <row r="12149" spans="1:5" x14ac:dyDescent="0.25">
      <c r="A12149" t="str">
        <f>HYPERLINK("https://www.773grp.com/globalSearch/MC33269DR2-3.3G/page-1", "MC33269DR2-3.3G")</f>
        <v>MC33269DR2-3.3G</v>
      </c>
      <c r="B12149" s="3" t="str">
        <f>HYPERLINK("https://www.773grp.com/manufacturer/onsemi?pageNo=16", "Onsemi")</f>
        <v>Onsemi</v>
      </c>
      <c r="C12149" s="6">
        <v>42867</v>
      </c>
      <c r="D12149" s="7">
        <v>1.69</v>
      </c>
      <c r="E12149" t="s">
        <v>15</v>
      </c>
    </row>
    <row r="12150" spans="1:5" x14ac:dyDescent="0.25">
      <c r="A12150" t="str">
        <f>HYPERLINK("https://www.773grp.com/globalSearch/MC33269DR2-5.0G/page-1", "MC33269DR2-5.0G")</f>
        <v>MC33269DR2-5.0G</v>
      </c>
      <c r="B12150" s="3" t="str">
        <f>HYPERLINK("https://www.773grp.com/manufacturer/onsemi?pageNo=17", "Onsemi")</f>
        <v>Onsemi</v>
      </c>
      <c r="C12150" s="6">
        <v>9663</v>
      </c>
      <c r="D12150" s="7">
        <v>1.69</v>
      </c>
      <c r="E12150" t="s">
        <v>15</v>
      </c>
    </row>
    <row r="12151" spans="1:5" x14ac:dyDescent="0.25">
      <c r="A12151" t="str">
        <f>HYPERLINK("https://www.773grp.com/globalSearch/MC33269DR2G/page-1", "MC33269DR2G")</f>
        <v>MC33269DR2G</v>
      </c>
      <c r="B12151" s="3" t="str">
        <f>HYPERLINK("https://www.773grp.com/manufacturer/onsemi?pageNo=18", "Onsemi")</f>
        <v>Onsemi</v>
      </c>
      <c r="C12151" s="6">
        <v>13913</v>
      </c>
      <c r="D12151" s="7">
        <v>1.69</v>
      </c>
    </row>
    <row r="12152" spans="1:5" x14ac:dyDescent="0.25">
      <c r="A12152" t="str">
        <f>HYPERLINK("https://www.773grp.com/globalSearch/MC33275DT-2.5G/page-1", "MC33275DT-2.5G")</f>
        <v>MC33275DT-2.5G</v>
      </c>
      <c r="B12152" s="3" t="str">
        <f>HYPERLINK("https://www.773grp.com/manufacturer/onsemi?pageNo=19", "Onsemi")</f>
        <v>Onsemi</v>
      </c>
      <c r="C12152" s="6">
        <v>4403</v>
      </c>
      <c r="D12152" s="7">
        <v>1.69</v>
      </c>
      <c r="E12152" t="s">
        <v>15</v>
      </c>
    </row>
    <row r="12153" spans="1:5" x14ac:dyDescent="0.25">
      <c r="A12153" t="str">
        <f>HYPERLINK("https://www.773grp.com/globalSearch/MC33275DT-2.5RKG/page-1", "MC33275DT-2.5RKG")</f>
        <v>MC33275DT-2.5RKG</v>
      </c>
      <c r="B12153" s="3" t="str">
        <f>HYPERLINK("https://www.773grp.com/manufacturer/onsemi?pageNo=20", "Onsemi")</f>
        <v>Onsemi</v>
      </c>
      <c r="C12153" s="6">
        <v>12335</v>
      </c>
      <c r="D12153" s="7">
        <v>1.69</v>
      </c>
      <c r="E12153" t="s">
        <v>15</v>
      </c>
    </row>
    <row r="12154" spans="1:5" x14ac:dyDescent="0.25">
      <c r="A12154" t="str">
        <f>HYPERLINK("https://www.773grp.com/globalSearch/MC33275DT-3.0RKG/page-1", "MC33275DT-3.0RKG")</f>
        <v>MC33275DT-3.0RKG</v>
      </c>
      <c r="B12154" s="3" t="str">
        <f>HYPERLINK("https://www.773grp.com/manufacturer/onsemi?pageNo=21", "Onsemi")</f>
        <v>Onsemi</v>
      </c>
      <c r="C12154" s="6">
        <v>9251</v>
      </c>
      <c r="D12154" s="7">
        <v>1.69</v>
      </c>
      <c r="E12154" t="s">
        <v>15</v>
      </c>
    </row>
    <row r="12155" spans="1:5" x14ac:dyDescent="0.25">
      <c r="A12155" t="str">
        <f>HYPERLINK("https://www.773grp.com/globalSearch/MC33275DT-3.3G/page-1", "MC33275DT-3.3G")</f>
        <v>MC33275DT-3.3G</v>
      </c>
      <c r="B12155" s="3" t="str">
        <f>HYPERLINK("https://www.773grp.com/manufacturer/onsemi?pageNo=22", "Onsemi")</f>
        <v>Onsemi</v>
      </c>
      <c r="C12155" s="6">
        <v>1300</v>
      </c>
      <c r="D12155" s="7">
        <v>1.69</v>
      </c>
      <c r="E12155" t="s">
        <v>15</v>
      </c>
    </row>
    <row r="12156" spans="1:5" x14ac:dyDescent="0.25">
      <c r="A12156" t="str">
        <f>HYPERLINK("https://www.773grp.com/globalSearch/MC33275DT-3.3RKG/page-1", "MC33275DT-3.3RKG")</f>
        <v>MC33275DT-3.3RKG</v>
      </c>
      <c r="B12156" s="3" t="str">
        <f>HYPERLINK("https://www.773grp.com/manufacturer/onsemi?pageNo=23", "Onsemi")</f>
        <v>Onsemi</v>
      </c>
      <c r="C12156" s="6">
        <v>40182</v>
      </c>
      <c r="D12156" s="7">
        <v>1.69</v>
      </c>
    </row>
    <row r="12157" spans="1:5" x14ac:dyDescent="0.25">
      <c r="A12157" t="str">
        <f>HYPERLINK("https://www.773grp.com/globalSearch/MC33275DT-5.0G/page-1", "MC33275DT-5.0G")</f>
        <v>MC33275DT-5.0G</v>
      </c>
      <c r="B12157" s="3" t="str">
        <f>HYPERLINK("https://www.773grp.com/manufacturer/onsemi?pageNo=24", "Onsemi")</f>
        <v>Onsemi</v>
      </c>
      <c r="C12157" s="6">
        <v>1200</v>
      </c>
      <c r="D12157" s="7">
        <v>1.69</v>
      </c>
    </row>
    <row r="12158" spans="1:5" x14ac:dyDescent="0.25">
      <c r="A12158" t="str">
        <f>HYPERLINK("https://www.773grp.com/globalSearch/MC33275DT-5.0RKG/page-1", "MC33275DT-5.0RKG")</f>
        <v>MC33275DT-5.0RKG</v>
      </c>
      <c r="B12158" s="3" t="str">
        <f>HYPERLINK("https://www.773grp.com/manufacturer/onsemi?pageNo=25", "Onsemi")</f>
        <v>Onsemi</v>
      </c>
      <c r="C12158" s="6">
        <v>8482</v>
      </c>
      <c r="D12158" s="7">
        <v>1.69</v>
      </c>
      <c r="E12158" t="s">
        <v>15</v>
      </c>
    </row>
    <row r="12159" spans="1:5" x14ac:dyDescent="0.25">
      <c r="A12159" t="str">
        <f>HYPERLINK("https://www.773grp.com/globalSearch/MC33567D-1R2G/page-1", "MC33567D-1R2G")</f>
        <v>MC33567D-1R2G</v>
      </c>
      <c r="B12159" s="3" t="str">
        <f>HYPERLINK("https://www.773grp.com/manufacturer/onsemi?pageNo=26", "Onsemi")</f>
        <v>Onsemi</v>
      </c>
      <c r="C12159" s="6">
        <v>4000</v>
      </c>
      <c r="D12159" s="7">
        <v>1.69</v>
      </c>
      <c r="E12159" t="s">
        <v>36</v>
      </c>
    </row>
    <row r="12160" spans="1:5" x14ac:dyDescent="0.25">
      <c r="A12160" t="str">
        <f>HYPERLINK("https://www.773grp.com/globalSearch/MC33567D-3R2G/page-1", "MC33567D-3R2G")</f>
        <v>MC33567D-3R2G</v>
      </c>
      <c r="B12160" s="3" t="str">
        <f>HYPERLINK("https://www.773grp.com/manufacturer/onsemi?pageNo=27", "Onsemi")</f>
        <v>Onsemi</v>
      </c>
      <c r="C12160" s="6">
        <v>8552</v>
      </c>
      <c r="D12160" s="7">
        <v>1.69</v>
      </c>
      <c r="E12160" t="s">
        <v>36</v>
      </c>
    </row>
    <row r="12161" spans="1:5" x14ac:dyDescent="0.25">
      <c r="A12161" t="str">
        <f>HYPERLINK("https://www.773grp.com/globalSearch/MC34064D-5R2G/page-1", "MC34064D-5R2G")</f>
        <v>MC34064D-5R2G</v>
      </c>
      <c r="B12161" s="3" t="str">
        <f>HYPERLINK("https://www.773grp.com/manufacturer/onsemi?pageNo=28", "Onsemi")</f>
        <v>Onsemi</v>
      </c>
      <c r="C12161" s="6">
        <v>38775</v>
      </c>
      <c r="D12161" s="7">
        <v>1.69</v>
      </c>
      <c r="E12161" t="s">
        <v>26</v>
      </c>
    </row>
    <row r="12162" spans="1:5" x14ac:dyDescent="0.25">
      <c r="A12162" t="str">
        <f>HYPERLINK("https://www.773grp.com/globalSearch/MC34064P-5G/page-1", "MC34064P-5G")</f>
        <v>MC34064P-5G</v>
      </c>
      <c r="B12162" s="3" t="str">
        <f>HYPERLINK("https://www.773grp.com/manufacturer/onsemi?pageNo=29", "Onsemi")</f>
        <v>Onsemi</v>
      </c>
      <c r="C12162" s="6">
        <v>83353</v>
      </c>
      <c r="D12162" s="7">
        <v>1.69</v>
      </c>
      <c r="E12162" t="s">
        <v>26</v>
      </c>
    </row>
    <row r="12163" spans="1:5" x14ac:dyDescent="0.25">
      <c r="A12163" t="str">
        <f>HYPERLINK("https://www.773grp.com/globalSearch/MC34064P-5RAG/page-1", "MC34064P-5RAG")</f>
        <v>MC34064P-5RAG</v>
      </c>
      <c r="B12163" s="3" t="str">
        <f>HYPERLINK("https://www.773grp.com/manufacturer/onsemi?pageNo=30", "Onsemi")</f>
        <v>Onsemi</v>
      </c>
      <c r="C12163" s="6">
        <v>40000</v>
      </c>
      <c r="D12163" s="7">
        <v>1.69</v>
      </c>
    </row>
    <row r="12164" spans="1:5" x14ac:dyDescent="0.25">
      <c r="A12164" t="str">
        <f>HYPERLINK("https://www.773grp.com/globalSearch/MC34164D-3R2G/page-1", "MC34164D-3R2G")</f>
        <v>MC34164D-3R2G</v>
      </c>
      <c r="B12164" s="3" t="str">
        <f>HYPERLINK("https://www.773grp.com/manufacturer/onsemi?pageNo=31", "Onsemi")</f>
        <v>Onsemi</v>
      </c>
      <c r="C12164" s="6">
        <v>72500</v>
      </c>
      <c r="D12164" s="7">
        <v>1.69</v>
      </c>
      <c r="E12164" t="s">
        <v>26</v>
      </c>
    </row>
    <row r="12165" spans="1:5" x14ac:dyDescent="0.25">
      <c r="A12165" t="str">
        <f>HYPERLINK("https://www.773grp.com/globalSearch/MC34164P-5G/page-1", "MC34164P-5G")</f>
        <v>MC34164P-5G</v>
      </c>
      <c r="B12165" s="3" t="str">
        <f>HYPERLINK("https://www.773grp.com/manufacturer/onsemi?pageNo=32", "Onsemi")</f>
        <v>Onsemi</v>
      </c>
      <c r="C12165" s="6">
        <v>7715</v>
      </c>
      <c r="D12165" s="7">
        <v>1.69</v>
      </c>
    </row>
    <row r="12166" spans="1:5" x14ac:dyDescent="0.25">
      <c r="A12166" t="str">
        <f>HYPERLINK("https://www.773grp.com/globalSearch/MC74F574DW/page-1", "MC74F574DW")</f>
        <v>MC74F574DW</v>
      </c>
      <c r="B12166" s="3" t="str">
        <f>HYPERLINK("https://www.773grp.com/manufacturer/onsemi?pageNo=33", "Onsemi")</f>
        <v>Onsemi</v>
      </c>
      <c r="C12166" s="6">
        <v>1089</v>
      </c>
      <c r="D12166" s="7">
        <v>1.69</v>
      </c>
      <c r="E12166" t="s">
        <v>11</v>
      </c>
    </row>
    <row r="12167" spans="1:5" x14ac:dyDescent="0.25">
      <c r="A12167" t="str">
        <f>HYPERLINK("https://www.773grp.com/globalSearch/MC74F574N/page-1", "MC74F574N")</f>
        <v>MC74F574N</v>
      </c>
      <c r="B12167" s="3" t="str">
        <f>HYPERLINK("https://www.773grp.com/manufacturer/onsemi?pageNo=34", "Onsemi")</f>
        <v>Onsemi</v>
      </c>
      <c r="C12167" s="6">
        <v>1275</v>
      </c>
      <c r="D12167" s="7">
        <v>1.69</v>
      </c>
      <c r="E12167" t="s">
        <v>11</v>
      </c>
    </row>
    <row r="12168" spans="1:5" x14ac:dyDescent="0.25">
      <c r="A12168" t="str">
        <f>HYPERLINK("https://www.773grp.com/globalSearch/MC74HC640AN/page-1", "MC74HC640AN")</f>
        <v>MC74HC640AN</v>
      </c>
      <c r="B12168" s="3" t="str">
        <f>HYPERLINK("https://www.773grp.com/manufacturer/onsemi?pageNo=35", "Onsemi")</f>
        <v>Onsemi</v>
      </c>
      <c r="C12168" s="6">
        <v>10431</v>
      </c>
      <c r="D12168" s="7">
        <v>1.69</v>
      </c>
      <c r="E12168" t="s">
        <v>11</v>
      </c>
    </row>
    <row r="12169" spans="1:5" x14ac:dyDescent="0.25">
      <c r="A12169" t="str">
        <f>HYPERLINK("https://www.773grp.com/globalSearch/MPF6659RLRA/page-1", "MPF6659RLRA")</f>
        <v>MPF6659RLRA</v>
      </c>
      <c r="B12169" s="3" t="str">
        <f>HYPERLINK("https://www.773grp.com/manufacturer/onsemi?pageNo=36", "Onsemi")</f>
        <v>Onsemi</v>
      </c>
      <c r="C12169" s="6">
        <v>10933</v>
      </c>
      <c r="D12169" s="7">
        <v>1.69</v>
      </c>
      <c r="E12169" t="s">
        <v>85</v>
      </c>
    </row>
    <row r="12170" spans="1:5" x14ac:dyDescent="0.25">
      <c r="A12170" t="str">
        <f>HYPERLINK("https://www.773grp.com/globalSearch/MUR840G/page-1", "MUR840G")</f>
        <v>MUR840G</v>
      </c>
      <c r="B12170" s="3" t="str">
        <f>HYPERLINK("https://www.773grp.com/manufacturer/onsemi?pageNo=37", "Onsemi")</f>
        <v>Onsemi</v>
      </c>
      <c r="C12170" s="6">
        <v>3864</v>
      </c>
      <c r="D12170" s="7">
        <v>1.69</v>
      </c>
      <c r="E12170" t="s">
        <v>82</v>
      </c>
    </row>
    <row r="12171" spans="1:5" x14ac:dyDescent="0.25">
      <c r="A12171" t="str">
        <f>HYPERLINK("https://www.773grp.com/globalSearch/MUR860G/page-1", "MUR860G")</f>
        <v>MUR860G</v>
      </c>
      <c r="B12171" s="3" t="str">
        <f>HYPERLINK("https://www.773grp.com/manufacturer/onsemi?pageNo=38", "Onsemi")</f>
        <v>Onsemi</v>
      </c>
      <c r="C12171" s="6">
        <v>14700</v>
      </c>
      <c r="D12171" s="7">
        <v>1.69</v>
      </c>
      <c r="E12171" t="s">
        <v>82</v>
      </c>
    </row>
    <row r="12172" spans="1:5" x14ac:dyDescent="0.25">
      <c r="A12172" t="str">
        <f>HYPERLINK("https://www.773grp.com/globalSearch/MUR860H/page-1", "MUR860H")</f>
        <v>MUR860H</v>
      </c>
      <c r="B12172" s="3" t="str">
        <f>HYPERLINK("https://www.773grp.com/manufacturer/onsemi?pageNo=39", "Onsemi")</f>
        <v>Onsemi</v>
      </c>
      <c r="C12172" s="6">
        <v>3850</v>
      </c>
      <c r="D12172" s="7">
        <v>1.69</v>
      </c>
    </row>
    <row r="12173" spans="1:5" x14ac:dyDescent="0.25">
      <c r="A12173" t="str">
        <f>HYPERLINK("https://www.773grp.com/globalSearch/NCP1010AP065G/page-1", "NCP1010AP065G")</f>
        <v>NCP1010AP065G</v>
      </c>
      <c r="B12173" s="3" t="str">
        <f>HYPERLINK("https://www.773grp.com/manufacturer/onsemi?pageNo=40", "Onsemi")</f>
        <v>Onsemi</v>
      </c>
      <c r="C12173" s="6">
        <v>734</v>
      </c>
      <c r="D12173" s="7">
        <v>1.69</v>
      </c>
      <c r="E12173" t="s">
        <v>5</v>
      </c>
    </row>
    <row r="12174" spans="1:5" x14ac:dyDescent="0.25">
      <c r="A12174" t="str">
        <f>HYPERLINK("https://www.773grp.com/globalSearch/NCP1010AP100G/page-1", "NCP1010AP100G")</f>
        <v>NCP1010AP100G</v>
      </c>
      <c r="B12174" s="3" t="str">
        <f>HYPERLINK("https://www.773grp.com/manufacturer/onsemi?pageNo=41", "Onsemi")</f>
        <v>Onsemi</v>
      </c>
      <c r="C12174" s="6">
        <v>2000</v>
      </c>
      <c r="D12174" s="7">
        <v>1.69</v>
      </c>
    </row>
    <row r="12175" spans="1:5" x14ac:dyDescent="0.25">
      <c r="A12175" t="str">
        <f>HYPERLINK("https://www.773grp.com/globalSearch/NCP1010AP130G/page-1", "NCP1010AP130G")</f>
        <v>NCP1010AP130G</v>
      </c>
      <c r="B12175" s="3" t="str">
        <f>HYPERLINK("https://www.773grp.com/manufacturer/onsemi?pageNo=42", "Onsemi")</f>
        <v>Onsemi</v>
      </c>
      <c r="C12175" s="6">
        <v>3960</v>
      </c>
      <c r="D12175" s="7">
        <v>1.69</v>
      </c>
      <c r="E12175" t="s">
        <v>5</v>
      </c>
    </row>
    <row r="12176" spans="1:5" x14ac:dyDescent="0.25">
      <c r="A12176" t="str">
        <f>HYPERLINK("https://www.773grp.com/globalSearch/NCP1010ST100T3G/page-1", "NCP1010ST100T3G")</f>
        <v>NCP1010ST100T3G</v>
      </c>
      <c r="B12176" s="3" t="str">
        <f>HYPERLINK("https://www.773grp.com/manufacturer/onsemi?pageNo=43", "Onsemi")</f>
        <v>Onsemi</v>
      </c>
      <c r="C12176" s="6">
        <v>8000</v>
      </c>
      <c r="D12176" s="7">
        <v>1.69</v>
      </c>
    </row>
    <row r="12177" spans="1:5" x14ac:dyDescent="0.25">
      <c r="A12177" t="str">
        <f>HYPERLINK("https://www.773grp.com/globalSearch/NCP1011AP065G/page-1", "NCP1011AP065G")</f>
        <v>NCP1011AP065G</v>
      </c>
      <c r="B12177" s="3" t="str">
        <f>HYPERLINK("https://www.773grp.com/manufacturer/onsemi?pageNo=44", "Onsemi")</f>
        <v>Onsemi</v>
      </c>
      <c r="C12177" s="6">
        <v>2084</v>
      </c>
      <c r="D12177" s="7">
        <v>1.69</v>
      </c>
    </row>
    <row r="12178" spans="1:5" x14ac:dyDescent="0.25">
      <c r="A12178" t="str">
        <f>HYPERLINK("https://www.773grp.com/globalSearch/NCP1011AP100G/page-1", "NCP1011AP100G")</f>
        <v>NCP1011AP100G</v>
      </c>
      <c r="B12178" s="3" t="str">
        <f>HYPERLINK("https://www.773grp.com/manufacturer/onsemi?pageNo=45", "Onsemi")</f>
        <v>Onsemi</v>
      </c>
      <c r="C12178" s="6">
        <v>77820</v>
      </c>
      <c r="D12178" s="7">
        <v>1.69</v>
      </c>
    </row>
    <row r="12179" spans="1:5" x14ac:dyDescent="0.25">
      <c r="A12179" t="str">
        <f>HYPERLINK("https://www.773grp.com/globalSearch/NCP1011ST65T3G/page-1", "NCP1011ST65T3G")</f>
        <v>NCP1011ST65T3G</v>
      </c>
      <c r="B12179" s="3" t="str">
        <f>HYPERLINK("https://www.773grp.com/manufacturer/onsemi?pageNo=46", "Onsemi")</f>
        <v>Onsemi</v>
      </c>
      <c r="C12179" s="6">
        <v>20500</v>
      </c>
      <c r="D12179" s="7">
        <v>1.69</v>
      </c>
      <c r="E12179" t="s">
        <v>5</v>
      </c>
    </row>
    <row r="12180" spans="1:5" x14ac:dyDescent="0.25">
      <c r="A12180" t="str">
        <f>HYPERLINK("https://www.773grp.com/globalSearch/NCP1053XP136/page-1", "NCP1053XP136")</f>
        <v>NCP1053XP136</v>
      </c>
      <c r="B12180" s="3" t="str">
        <f>HYPERLINK("https://www.773grp.com/manufacturer/onsemi?pageNo=47", "Onsemi")</f>
        <v>Onsemi</v>
      </c>
      <c r="C12180" s="6">
        <v>2100</v>
      </c>
      <c r="D12180" s="7">
        <v>1.69</v>
      </c>
    </row>
    <row r="12181" spans="1:5" x14ac:dyDescent="0.25">
      <c r="A12181" t="str">
        <f>HYPERLINK("https://www.773grp.com/globalSearch/NCP1230D100R2G/page-1", "NCP1230D100R2G")</f>
        <v>NCP1230D100R2G</v>
      </c>
      <c r="B12181" s="3" t="str">
        <f>HYPERLINK("https://www.773grp.com/manufacturer/onsemi?pageNo=48", "Onsemi")</f>
        <v>Onsemi</v>
      </c>
      <c r="C12181" s="6">
        <v>76809</v>
      </c>
      <c r="D12181" s="7">
        <v>1.69</v>
      </c>
      <c r="E12181" t="s">
        <v>5</v>
      </c>
    </row>
    <row r="12182" spans="1:5" x14ac:dyDescent="0.25">
      <c r="A12182" t="str">
        <f>HYPERLINK("https://www.773grp.com/globalSearch/NCP1230D133R2G/page-1", "NCP1230D133R2G")</f>
        <v>NCP1230D133R2G</v>
      </c>
      <c r="B12182" s="3" t="str">
        <f>HYPERLINK("https://www.773grp.com/manufacturer/onsemi?pageNo=49", "Onsemi")</f>
        <v>Onsemi</v>
      </c>
      <c r="C12182" s="6">
        <v>37763</v>
      </c>
      <c r="D12182" s="7">
        <v>1.69</v>
      </c>
      <c r="E12182" t="s">
        <v>5</v>
      </c>
    </row>
    <row r="12183" spans="1:5" x14ac:dyDescent="0.25">
      <c r="A12183" t="str">
        <f>HYPERLINK("https://www.773grp.com/globalSearch/NCP1230D165R2G/page-1", "NCP1230D165R2G")</f>
        <v>NCP1230D165R2G</v>
      </c>
      <c r="B12183" s="3" t="str">
        <f>HYPERLINK("https://www.773grp.com/manufacturer/onsemi?pageNo=50", "Onsemi")</f>
        <v>Onsemi</v>
      </c>
      <c r="C12183" s="6">
        <v>19500</v>
      </c>
      <c r="D12183" s="7">
        <v>1.69</v>
      </c>
      <c r="E12183" t="s">
        <v>5</v>
      </c>
    </row>
    <row r="12184" spans="1:5" x14ac:dyDescent="0.25">
      <c r="A12184" t="str">
        <f>HYPERLINK("https://www.773grp.com/globalSearch/NCP1230D65R2G/page-1", "NCP1230D65R2G")</f>
        <v>NCP1230D65R2G</v>
      </c>
      <c r="B12184" s="3" t="str">
        <f>HYPERLINK("https://www.773grp.com/manufacturer/onsemi?pageNo=51", "Onsemi")</f>
        <v>Onsemi</v>
      </c>
      <c r="C12184" s="6">
        <v>2480</v>
      </c>
      <c r="D12184" s="7">
        <v>1.69</v>
      </c>
    </row>
    <row r="12185" spans="1:5" x14ac:dyDescent="0.25">
      <c r="A12185" t="str">
        <f>HYPERLINK("https://www.773grp.com/globalSearch/NCP1234BD100R2G/page-1", "NCP1234BD100R2G")</f>
        <v>NCP1234BD100R2G</v>
      </c>
      <c r="B12185" s="3" t="str">
        <f>HYPERLINK("https://www.773grp.com/manufacturer/onsemi?pageNo=52", "Onsemi")</f>
        <v>Onsemi</v>
      </c>
      <c r="C12185" s="6">
        <v>6560</v>
      </c>
      <c r="D12185" s="7">
        <v>1.69</v>
      </c>
    </row>
    <row r="12186" spans="1:5" x14ac:dyDescent="0.25">
      <c r="A12186" t="str">
        <f>HYPERLINK("https://www.773grp.com/globalSearch/NCP1252ADR2G/page-1", "NCP1252ADR2G")</f>
        <v>NCP1252ADR2G</v>
      </c>
      <c r="B12186" s="3" t="str">
        <f>HYPERLINK("https://www.773grp.com/manufacturer/onsemi?pageNo=53", "Onsemi")</f>
        <v>Onsemi</v>
      </c>
      <c r="C12186" s="6">
        <v>15000</v>
      </c>
      <c r="D12186" s="7">
        <v>1.69</v>
      </c>
    </row>
    <row r="12187" spans="1:5" x14ac:dyDescent="0.25">
      <c r="A12187" t="str">
        <f>HYPERLINK("https://www.773grp.com/globalSearch/NCP1252BDR2G/page-1", "NCP1252BDR2G")</f>
        <v>NCP1252BDR2G</v>
      </c>
      <c r="B12187" s="3" t="str">
        <f>HYPERLINK("https://www.773grp.com/manufacturer/onsemi?pageNo=54", "Onsemi")</f>
        <v>Onsemi</v>
      </c>
      <c r="C12187" s="6">
        <v>25000</v>
      </c>
      <c r="D12187" s="7">
        <v>1.69</v>
      </c>
    </row>
    <row r="12188" spans="1:5" x14ac:dyDescent="0.25">
      <c r="A12188" t="str">
        <f>HYPERLINK("https://www.773grp.com/globalSearch/NCP1252CDR2G/page-1", "NCP1252CDR2G")</f>
        <v>NCP1252CDR2G</v>
      </c>
      <c r="B12188" s="3" t="str">
        <f>HYPERLINK("https://www.773grp.com/manufacturer/onsemi?pageNo=55", "Onsemi")</f>
        <v>Onsemi</v>
      </c>
      <c r="C12188" s="6">
        <v>4485</v>
      </c>
      <c r="D12188" s="7">
        <v>1.69</v>
      </c>
    </row>
    <row r="12189" spans="1:5" x14ac:dyDescent="0.25">
      <c r="A12189" t="str">
        <f>HYPERLINK("https://www.773grp.com/globalSearch/NCP1351ADR2G/page-1", "NCP1351ADR2G")</f>
        <v>NCP1351ADR2G</v>
      </c>
      <c r="B12189" s="3" t="str">
        <f>HYPERLINK("https://www.773grp.com/manufacturer/onsemi?pageNo=56", "Onsemi")</f>
        <v>Onsemi</v>
      </c>
      <c r="C12189" s="6">
        <v>36734</v>
      </c>
      <c r="D12189" s="7">
        <v>1.69</v>
      </c>
      <c r="E12189" t="s">
        <v>5</v>
      </c>
    </row>
    <row r="12190" spans="1:5" x14ac:dyDescent="0.25">
      <c r="A12190" t="str">
        <f>HYPERLINK("https://www.773grp.com/globalSearch/NCP1351CDR2G/page-1", "NCP1351CDR2G")</f>
        <v>NCP1351CDR2G</v>
      </c>
      <c r="B12190" s="3" t="str">
        <f>HYPERLINK("https://www.773grp.com/manufacturer/onsemi?pageNo=57", "Onsemi")</f>
        <v>Onsemi</v>
      </c>
      <c r="C12190" s="6">
        <v>7500</v>
      </c>
      <c r="D12190" s="7">
        <v>1.69</v>
      </c>
      <c r="E12190" t="s">
        <v>5</v>
      </c>
    </row>
    <row r="12191" spans="1:5" x14ac:dyDescent="0.25">
      <c r="A12191" t="str">
        <f>HYPERLINK("https://www.773grp.com/globalSearch/NCP1351DDR2G/page-1", "NCP1351DDR2G")</f>
        <v>NCP1351DDR2G</v>
      </c>
      <c r="B12191" s="3" t="str">
        <f>HYPERLINK("https://www.773grp.com/manufacturer/onsemi?pageNo=58", "Onsemi")</f>
        <v>Onsemi</v>
      </c>
      <c r="C12191" s="6">
        <v>104438</v>
      </c>
      <c r="D12191" s="7">
        <v>1.69</v>
      </c>
      <c r="E12191" t="s">
        <v>5</v>
      </c>
    </row>
    <row r="12192" spans="1:5" x14ac:dyDescent="0.25">
      <c r="A12192" t="str">
        <f>HYPERLINK("https://www.773grp.com/globalSearch/NCP1411DMR2G/page-1", "NCP1411DMR2G")</f>
        <v>NCP1411DMR2G</v>
      </c>
      <c r="B12192" s="3" t="str">
        <f>HYPERLINK("https://www.773grp.com/manufacturer/onsemi?pageNo=59", "Onsemi")</f>
        <v>Onsemi</v>
      </c>
      <c r="C12192" s="6">
        <v>12007</v>
      </c>
      <c r="D12192" s="7">
        <v>1.69</v>
      </c>
      <c r="E12192" t="s">
        <v>5</v>
      </c>
    </row>
    <row r="12193" spans="1:5" x14ac:dyDescent="0.25">
      <c r="A12193" t="str">
        <f>HYPERLINK("https://www.773grp.com/globalSearch/NCP1450ASN19T1/page-1", "NCP1450ASN19T1")</f>
        <v>NCP1450ASN19T1</v>
      </c>
      <c r="B12193" s="3" t="str">
        <f>HYPERLINK("https://www.773grp.com/manufacturer/onsemi?pageNo=60", "Onsemi")</f>
        <v>Onsemi</v>
      </c>
      <c r="C12193" s="6">
        <v>2788</v>
      </c>
      <c r="D12193" s="7">
        <v>1.69</v>
      </c>
      <c r="E12193" t="s">
        <v>5</v>
      </c>
    </row>
    <row r="12194" spans="1:5" x14ac:dyDescent="0.25">
      <c r="A12194" t="str">
        <f>HYPERLINK("https://www.773grp.com/globalSearch/NCP2860DM300R2/page-1", "NCP2860DM300R2")</f>
        <v>NCP2860DM300R2</v>
      </c>
      <c r="B12194" s="3" t="str">
        <f>HYPERLINK("https://www.773grp.com/manufacturer/onsemi?pageNo=61", "Onsemi")</f>
        <v>Onsemi</v>
      </c>
      <c r="C12194" s="6">
        <v>8000</v>
      </c>
      <c r="D12194" s="7">
        <v>1.69</v>
      </c>
      <c r="E12194" t="s">
        <v>23</v>
      </c>
    </row>
    <row r="12195" spans="1:5" x14ac:dyDescent="0.25">
      <c r="A12195" t="str">
        <f>HYPERLINK("https://www.773grp.com/globalSearch/NCP302LSN47T1/page-1", "NCP302LSN47T1")</f>
        <v>NCP302LSN47T1</v>
      </c>
      <c r="B12195" s="3" t="str">
        <f>HYPERLINK("https://www.773grp.com/manufacturer/onsemi?pageNo=62", "Onsemi")</f>
        <v>Onsemi</v>
      </c>
      <c r="C12195" s="6">
        <v>8090</v>
      </c>
      <c r="D12195" s="7">
        <v>1.69</v>
      </c>
      <c r="E12195" t="s">
        <v>26</v>
      </c>
    </row>
    <row r="12196" spans="1:5" x14ac:dyDescent="0.25">
      <c r="A12196" t="str">
        <f>HYPERLINK("https://www.773grp.com/globalSearch/NCP3063PG/page-1", "NCP3063PG")</f>
        <v>NCP3063PG</v>
      </c>
      <c r="B12196" s="3" t="str">
        <f>HYPERLINK("https://www.773grp.com/manufacturer/onsemi?pageNo=63", "Onsemi")</f>
        <v>Onsemi</v>
      </c>
      <c r="C12196" s="6">
        <v>1050</v>
      </c>
      <c r="D12196" s="7">
        <v>1.69</v>
      </c>
      <c r="E12196" t="s">
        <v>5</v>
      </c>
    </row>
    <row r="12197" spans="1:5" x14ac:dyDescent="0.25">
      <c r="A12197" t="str">
        <f>HYPERLINK("https://www.773grp.com/globalSearch/NCP4671DSN09T1G/page-1", "NCP4671DSN09T1G")</f>
        <v>NCP4671DSN09T1G</v>
      </c>
      <c r="B12197" s="3" t="str">
        <f>HYPERLINK("https://www.773grp.com/manufacturer/onsemi?pageNo=64", "Onsemi")</f>
        <v>Onsemi</v>
      </c>
      <c r="C12197" s="6">
        <v>21000</v>
      </c>
      <c r="D12197" s="7">
        <v>1.69</v>
      </c>
    </row>
    <row r="12198" spans="1:5" x14ac:dyDescent="0.25">
      <c r="A12198" t="str">
        <f>HYPERLINK("https://www.773grp.com/globalSearch/NCP4671DSN10T1G/page-1", "NCP4671DSN10T1G")</f>
        <v>NCP4671DSN10T1G</v>
      </c>
      <c r="B12198" s="3" t="str">
        <f>HYPERLINK("https://www.773grp.com/manufacturer/onsemi?pageNo=65", "Onsemi")</f>
        <v>Onsemi</v>
      </c>
      <c r="C12198" s="6">
        <v>21000</v>
      </c>
      <c r="D12198" s="7">
        <v>1.69</v>
      </c>
    </row>
    <row r="12199" spans="1:5" x14ac:dyDescent="0.25">
      <c r="A12199" t="str">
        <f>HYPERLINK("https://www.773grp.com/globalSearch/NCP4671DSN12T1G/page-1", "NCP4671DSN12T1G")</f>
        <v>NCP4671DSN12T1G</v>
      </c>
      <c r="B12199" s="3" t="str">
        <f>HYPERLINK("https://www.773grp.com/manufacturer/onsemi?pageNo=66", "Onsemi")</f>
        <v>Onsemi</v>
      </c>
      <c r="C12199" s="6">
        <v>21000</v>
      </c>
      <c r="D12199" s="7">
        <v>1.69</v>
      </c>
    </row>
    <row r="12200" spans="1:5" x14ac:dyDescent="0.25">
      <c r="A12200" t="str">
        <f>HYPERLINK("https://www.773grp.com/globalSearch/NCP4671DSN13T1G/page-1", "NCP4671DSN13T1G")</f>
        <v>NCP4671DSN13T1G</v>
      </c>
      <c r="B12200" s="3" t="str">
        <f>HYPERLINK("https://www.773grp.com/manufacturer/onsemi?pageNo=67", "Onsemi")</f>
        <v>Onsemi</v>
      </c>
      <c r="C12200" s="6">
        <v>18000</v>
      </c>
      <c r="D12200" s="7">
        <v>1.69</v>
      </c>
    </row>
    <row r="12201" spans="1:5" x14ac:dyDescent="0.25">
      <c r="A12201" t="str">
        <f>HYPERLINK("https://www.773grp.com/globalSearch/NCP4671DSN15T1G/page-1", "NCP4671DSN15T1G")</f>
        <v>NCP4671DSN15T1G</v>
      </c>
      <c r="B12201" s="3" t="str">
        <f>HYPERLINK("https://www.773grp.com/manufacturer/onsemi?pageNo=68", "Onsemi")</f>
        <v>Onsemi</v>
      </c>
      <c r="C12201" s="6">
        <v>3000</v>
      </c>
      <c r="D12201" s="7">
        <v>1.69</v>
      </c>
    </row>
    <row r="12202" spans="1:5" x14ac:dyDescent="0.25">
      <c r="A12202" t="str">
        <f>HYPERLINK("https://www.773grp.com/globalSearch/NCP4894FCT1/page-1", "NCP4894FCT1")</f>
        <v>NCP4894FCT1</v>
      </c>
      <c r="B12202" s="3" t="str">
        <f>HYPERLINK("https://www.773grp.com/manufacturer/onsemi?pageNo=69", "Onsemi")</f>
        <v>Onsemi</v>
      </c>
      <c r="C12202" s="6">
        <v>306000</v>
      </c>
      <c r="D12202" s="7">
        <v>1.69</v>
      </c>
      <c r="E12202" t="s">
        <v>14</v>
      </c>
    </row>
    <row r="12203" spans="1:5" x14ac:dyDescent="0.25">
      <c r="A12203" t="str">
        <f>HYPERLINK("https://www.773grp.com/globalSearch/NCP5104DR2G/page-1", "NCP5104DR2G")</f>
        <v>NCP5104DR2G</v>
      </c>
      <c r="B12203" s="3" t="str">
        <f>HYPERLINK("https://www.773grp.com/manufacturer/onsemi?pageNo=70", "Onsemi")</f>
        <v>Onsemi</v>
      </c>
      <c r="C12203" s="6">
        <v>9272</v>
      </c>
      <c r="D12203" s="7">
        <v>1.69</v>
      </c>
      <c r="E12203" t="s">
        <v>8</v>
      </c>
    </row>
    <row r="12204" spans="1:5" x14ac:dyDescent="0.25">
      <c r="A12204" t="str">
        <f>HYPERLINK("https://www.773grp.com/globalSearch/NCP5106ADR2G/page-1", "NCP5106ADR2G")</f>
        <v>NCP5106ADR2G</v>
      </c>
      <c r="B12204" s="3" t="str">
        <f>HYPERLINK("https://www.773grp.com/manufacturer/onsemi?pageNo=71", "Onsemi")</f>
        <v>Onsemi</v>
      </c>
      <c r="C12204" s="6">
        <v>19337</v>
      </c>
      <c r="D12204" s="7">
        <v>1.69</v>
      </c>
      <c r="E12204" t="s">
        <v>8</v>
      </c>
    </row>
    <row r="12205" spans="1:5" x14ac:dyDescent="0.25">
      <c r="A12205" t="str">
        <f>HYPERLINK("https://www.773grp.com/globalSearch/NCP5106BDR2G/page-1", "NCP5106BDR2G")</f>
        <v>NCP5106BDR2G</v>
      </c>
      <c r="B12205" s="3" t="str">
        <f>HYPERLINK("https://www.773grp.com/manufacturer/onsemi?pageNo=72", "Onsemi")</f>
        <v>Onsemi</v>
      </c>
      <c r="C12205" s="6">
        <v>7714</v>
      </c>
      <c r="D12205" s="7">
        <v>1.69</v>
      </c>
      <c r="E12205" t="s">
        <v>8</v>
      </c>
    </row>
    <row r="12206" spans="1:5" x14ac:dyDescent="0.25">
      <c r="A12206" t="str">
        <f>HYPERLINK("https://www.773grp.com/globalSearch/NCP5109BDR2G/page-1", "NCP5109BDR2G")</f>
        <v>NCP5109BDR2G</v>
      </c>
      <c r="B12206" s="3" t="str">
        <f>HYPERLINK("https://www.773grp.com/manufacturer/onsemi?pageNo=73", "Onsemi")</f>
        <v>Onsemi</v>
      </c>
      <c r="C12206" s="6">
        <v>2400</v>
      </c>
      <c r="D12206" s="7">
        <v>1.69</v>
      </c>
    </row>
    <row r="12207" spans="1:5" x14ac:dyDescent="0.25">
      <c r="A12207" t="str">
        <f>HYPERLINK("https://www.773grp.com/globalSearch/NCP5111DR2G/page-1", "NCP5111DR2G")</f>
        <v>NCP5111DR2G</v>
      </c>
      <c r="B12207" s="3" t="str">
        <f>HYPERLINK("https://www.773grp.com/manufacturer/onsemi?pageNo=74", "Onsemi")</f>
        <v>Onsemi</v>
      </c>
      <c r="C12207" s="6">
        <v>3874</v>
      </c>
      <c r="D12207" s="7">
        <v>1.69</v>
      </c>
    </row>
    <row r="12208" spans="1:5" x14ac:dyDescent="0.25">
      <c r="A12208" t="str">
        <f>HYPERLINK("https://www.773grp.com/globalSearch/NCP5504DTRKG/page-1", "NCP5504DTRKG")</f>
        <v>NCP5504DTRKG</v>
      </c>
      <c r="B12208" s="3" t="str">
        <f>HYPERLINK("https://www.773grp.com/manufacturer/onsemi?pageNo=75", "Onsemi")</f>
        <v>Onsemi</v>
      </c>
      <c r="C12208" s="6">
        <v>2210</v>
      </c>
      <c r="D12208" s="7">
        <v>1.69</v>
      </c>
    </row>
    <row r="12209" spans="1:5" x14ac:dyDescent="0.25">
      <c r="A12209" t="str">
        <f>HYPERLINK("https://www.773grp.com/globalSearch/NCP6334BMTAATBG/page-1", "NCP6334BMTAATBG")</f>
        <v>NCP6334BMTAATBG</v>
      </c>
      <c r="B12209" s="3" t="str">
        <f>HYPERLINK("https://www.773grp.com/manufacturer/onsemi?pageNo=76", "Onsemi")</f>
        <v>Onsemi</v>
      </c>
      <c r="C12209" s="6">
        <v>27000</v>
      </c>
      <c r="D12209" s="7">
        <v>1.69</v>
      </c>
    </row>
    <row r="12210" spans="1:5" x14ac:dyDescent="0.25">
      <c r="A12210" t="str">
        <f>HYPERLINK("https://www.773grp.com/globalSearch/NCP6334BMTBBTBG/page-1", "NCP6334BMTBBTBG")</f>
        <v>NCP6334BMTBBTBG</v>
      </c>
      <c r="B12210" s="3" t="str">
        <f>HYPERLINK("https://www.773grp.com/manufacturer/onsemi?pageNo=77", "Onsemi")</f>
        <v>Onsemi</v>
      </c>
      <c r="C12210" s="6">
        <v>3000</v>
      </c>
      <c r="D12210" s="7">
        <v>1.69</v>
      </c>
    </row>
    <row r="12211" spans="1:5" x14ac:dyDescent="0.25">
      <c r="A12211" t="str">
        <f>HYPERLINK("https://www.773grp.com/globalSearch/NCP6334CMTAATBG/page-1", "NCP6334CMTAATBG")</f>
        <v>NCP6334CMTAATBG</v>
      </c>
      <c r="B12211" s="3" t="str">
        <f>HYPERLINK("https://www.773grp.com/manufacturer/onsemi?pageNo=78", "Onsemi")</f>
        <v>Onsemi</v>
      </c>
      <c r="C12211" s="6">
        <v>60000</v>
      </c>
      <c r="D12211" s="7">
        <v>1.69</v>
      </c>
    </row>
    <row r="12212" spans="1:5" x14ac:dyDescent="0.25">
      <c r="A12212" t="str">
        <f>HYPERLINK("https://www.773grp.com/globalSearch/NCP803SN263T1/page-1", "NCP803SN263T1")</f>
        <v>NCP803SN263T1</v>
      </c>
      <c r="B12212" s="3" t="str">
        <f>HYPERLINK("https://www.773grp.com/manufacturer/onsemi?pageNo=79", "Onsemi")</f>
        <v>Onsemi</v>
      </c>
      <c r="C12212" s="6">
        <v>2894</v>
      </c>
      <c r="D12212" s="7">
        <v>1.69</v>
      </c>
      <c r="E12212" t="s">
        <v>26</v>
      </c>
    </row>
    <row r="12213" spans="1:5" x14ac:dyDescent="0.25">
      <c r="A12213" t="str">
        <f>HYPERLINK("https://www.773grp.com/globalSearch/NCP803SN308T1/page-1", "NCP803SN308T1")</f>
        <v>NCP803SN308T1</v>
      </c>
      <c r="B12213" s="3" t="str">
        <f>HYPERLINK("https://www.773grp.com/manufacturer/onsemi?pageNo=80", "Onsemi")</f>
        <v>Onsemi</v>
      </c>
      <c r="C12213" s="6">
        <v>2439</v>
      </c>
      <c r="D12213" s="7">
        <v>1.69</v>
      </c>
      <c r="E12213" t="s">
        <v>26</v>
      </c>
    </row>
    <row r="12214" spans="1:5" x14ac:dyDescent="0.25">
      <c r="A12214" t="str">
        <f>HYPERLINK("https://www.773grp.com/globalSearch/NCP81172MNTXG/page-1", "NCP81172MNTXG")</f>
        <v>NCP81172MNTXG</v>
      </c>
      <c r="B12214" s="3" t="str">
        <f>HYPERLINK("https://www.773grp.com/manufacturer/onsemi?pageNo=81", "Onsemi")</f>
        <v>Onsemi</v>
      </c>
      <c r="C12214" s="6">
        <v>95000</v>
      </c>
      <c r="D12214" s="7">
        <v>1.69</v>
      </c>
    </row>
    <row r="12215" spans="1:5" x14ac:dyDescent="0.25">
      <c r="A12215" t="str">
        <f>HYPERLINK("https://www.773grp.com/globalSearch/NCS2002SN2T1G/page-1", "NCS2002SN2T1G")</f>
        <v>NCS2002SN2T1G</v>
      </c>
      <c r="B12215" s="3" t="str">
        <f>HYPERLINK("https://www.773grp.com/manufacturer/onsemi?pageNo=82", "Onsemi")</f>
        <v>Onsemi</v>
      </c>
      <c r="C12215" s="6">
        <v>7793</v>
      </c>
      <c r="D12215" s="7">
        <v>1.69</v>
      </c>
      <c r="E12215" t="s">
        <v>10</v>
      </c>
    </row>
    <row r="12216" spans="1:5" x14ac:dyDescent="0.25">
      <c r="A12216" t="str">
        <f>HYPERLINK("https://www.773grp.com/globalSearch/NCV300LSN28T1G/page-1", "NCV300LSN28T1G")</f>
        <v>NCV300LSN28T1G</v>
      </c>
      <c r="B12216" s="3" t="str">
        <f>HYPERLINK("https://www.773grp.com/manufacturer/onsemi?pageNo=83", "Onsemi")</f>
        <v>Onsemi</v>
      </c>
      <c r="C12216" s="6">
        <v>6000</v>
      </c>
      <c r="D12216" s="7">
        <v>1.69</v>
      </c>
      <c r="E12216" t="s">
        <v>26</v>
      </c>
    </row>
    <row r="12217" spans="1:5" x14ac:dyDescent="0.25">
      <c r="A12217" t="str">
        <f>HYPERLINK("https://www.773grp.com/globalSearch/NCV301HSN27T1G/page-1", "NCV301HSN27T1G")</f>
        <v>NCV301HSN27T1G</v>
      </c>
      <c r="B12217" s="3" t="str">
        <f>HYPERLINK("https://www.773grp.com/manufacturer/onsemi?pageNo=84", "Onsemi")</f>
        <v>Onsemi</v>
      </c>
      <c r="C12217" s="6">
        <v>3000</v>
      </c>
      <c r="D12217" s="7">
        <v>1.69</v>
      </c>
    </row>
    <row r="12218" spans="1:5" x14ac:dyDescent="0.25">
      <c r="A12218" t="str">
        <f>HYPERLINK("https://www.773grp.com/globalSearch/NCV301LSN12T1G/page-1", "NCV301LSN12T1G")</f>
        <v>NCV301LSN12T1G</v>
      </c>
      <c r="B12218" s="3" t="str">
        <f>HYPERLINK("https://www.773grp.com/manufacturer/onsemi?pageNo=85", "Onsemi")</f>
        <v>Onsemi</v>
      </c>
      <c r="C12218" s="6">
        <v>24000</v>
      </c>
      <c r="D12218" s="7">
        <v>1.69</v>
      </c>
      <c r="E12218" t="s">
        <v>26</v>
      </c>
    </row>
    <row r="12219" spans="1:5" x14ac:dyDescent="0.25">
      <c r="A12219" t="str">
        <f>HYPERLINK("https://www.773grp.com/globalSearch/NCV301LSN28T1G/page-1", "NCV301LSN28T1G")</f>
        <v>NCV301LSN28T1G</v>
      </c>
      <c r="B12219" s="3" t="str">
        <f>HYPERLINK("https://www.773grp.com/manufacturer/onsemi?pageNo=86", "Onsemi")</f>
        <v>Onsemi</v>
      </c>
      <c r="C12219" s="6">
        <v>6000</v>
      </c>
      <c r="D12219" s="7">
        <v>1.69</v>
      </c>
      <c r="E12219" t="s">
        <v>26</v>
      </c>
    </row>
    <row r="12220" spans="1:5" x14ac:dyDescent="0.25">
      <c r="A12220" t="str">
        <f>HYPERLINK("https://www.773grp.com/globalSearch/NCV301LSN40T1G/page-1", "NCV301LSN40T1G")</f>
        <v>NCV301LSN40T1G</v>
      </c>
      <c r="B12220" s="3" t="str">
        <f>HYPERLINK("https://www.773grp.com/manufacturer/onsemi?pageNo=87", "Onsemi")</f>
        <v>Onsemi</v>
      </c>
      <c r="C12220" s="6">
        <v>5758</v>
      </c>
      <c r="D12220" s="7">
        <v>1.69</v>
      </c>
      <c r="E12220" t="s">
        <v>26</v>
      </c>
    </row>
    <row r="12221" spans="1:5" x14ac:dyDescent="0.25">
      <c r="A12221" t="str">
        <f>HYPERLINK("https://www.773grp.com/globalSearch/NCV303LSN10T1G/page-1", "NCV303LSN10T1G")</f>
        <v>NCV303LSN10T1G</v>
      </c>
      <c r="B12221" s="3" t="str">
        <f>HYPERLINK("https://www.773grp.com/manufacturer/onsemi?pageNo=88", "Onsemi")</f>
        <v>Onsemi</v>
      </c>
      <c r="C12221" s="6">
        <v>23994</v>
      </c>
      <c r="D12221" s="7">
        <v>1.69</v>
      </c>
      <c r="E12221" t="s">
        <v>26</v>
      </c>
    </row>
    <row r="12222" spans="1:5" x14ac:dyDescent="0.25">
      <c r="A12222" t="str">
        <f>HYPERLINK("https://www.773grp.com/globalSearch/NCV303LSN14T1G/page-1", "NCV303LSN14T1G")</f>
        <v>NCV303LSN14T1G</v>
      </c>
      <c r="B12222" s="3" t="str">
        <f>HYPERLINK("https://www.773grp.com/manufacturer/onsemi?pageNo=89", "Onsemi")</f>
        <v>Onsemi</v>
      </c>
      <c r="C12222" s="6">
        <v>18000</v>
      </c>
      <c r="D12222" s="7">
        <v>1.69</v>
      </c>
      <c r="E12222" t="s">
        <v>26</v>
      </c>
    </row>
    <row r="12223" spans="1:5" x14ac:dyDescent="0.25">
      <c r="A12223" t="str">
        <f>HYPERLINK("https://www.773grp.com/globalSearch/NCV303LSN15T1G/page-1", "NCV303LSN15T1G")</f>
        <v>NCV303LSN15T1G</v>
      </c>
      <c r="B12223" s="3" t="str">
        <f>HYPERLINK("https://www.773grp.com/manufacturer/onsemi?pageNo=90", "Onsemi")</f>
        <v>Onsemi</v>
      </c>
      <c r="C12223" s="6">
        <v>21000</v>
      </c>
      <c r="D12223" s="7">
        <v>1.69</v>
      </c>
      <c r="E12223" t="s">
        <v>26</v>
      </c>
    </row>
    <row r="12224" spans="1:5" x14ac:dyDescent="0.25">
      <c r="A12224" t="str">
        <f>HYPERLINK("https://www.773grp.com/globalSearch/NCV303LSN23T1G/page-1", "NCV303LSN23T1G")</f>
        <v>NCV303LSN23T1G</v>
      </c>
      <c r="B12224" s="3" t="str">
        <f>HYPERLINK("https://www.773grp.com/manufacturer/onsemi?pageNo=91", "Onsemi")</f>
        <v>Onsemi</v>
      </c>
      <c r="C12224" s="6">
        <v>5995</v>
      </c>
      <c r="D12224" s="7">
        <v>1.69</v>
      </c>
      <c r="E12224" t="s">
        <v>26</v>
      </c>
    </row>
    <row r="12225" spans="1:5" x14ac:dyDescent="0.25">
      <c r="A12225" t="str">
        <f>HYPERLINK("https://www.773grp.com/globalSearch/NCV303LSN28T1G/page-1", "NCV303LSN28T1G")</f>
        <v>NCV303LSN28T1G</v>
      </c>
      <c r="B12225" s="3" t="str">
        <f>HYPERLINK("https://www.773grp.com/manufacturer/onsemi?pageNo=92", "Onsemi")</f>
        <v>Onsemi</v>
      </c>
      <c r="C12225" s="6">
        <v>21000</v>
      </c>
      <c r="D12225" s="7">
        <v>1.69</v>
      </c>
    </row>
    <row r="12226" spans="1:5" x14ac:dyDescent="0.25">
      <c r="A12226" t="str">
        <f>HYPERLINK("https://www.773grp.com/globalSearch/NCV303LSN29T1G/page-1", "NCV303LSN29T1G")</f>
        <v>NCV303LSN29T1G</v>
      </c>
      <c r="B12226" s="3" t="str">
        <f>HYPERLINK("https://www.773grp.com/manufacturer/onsemi?pageNo=93", "Onsemi")</f>
        <v>Onsemi</v>
      </c>
      <c r="C12226" s="6">
        <v>2970</v>
      </c>
      <c r="D12226" s="7">
        <v>1.69</v>
      </c>
      <c r="E12226" t="s">
        <v>26</v>
      </c>
    </row>
    <row r="12227" spans="1:5" x14ac:dyDescent="0.25">
      <c r="A12227" t="str">
        <f>HYPERLINK("https://www.773grp.com/globalSearch/NCV303LSN30T1G/page-1", "NCV303LSN30T1G")</f>
        <v>NCV303LSN30T1G</v>
      </c>
      <c r="B12227" s="3" t="str">
        <f>HYPERLINK("https://www.773grp.com/manufacturer/onsemi?pageNo=94", "Onsemi")</f>
        <v>Onsemi</v>
      </c>
      <c r="C12227" s="6">
        <v>35329</v>
      </c>
      <c r="D12227" s="7">
        <v>1.69</v>
      </c>
      <c r="E12227" t="s">
        <v>26</v>
      </c>
    </row>
    <row r="12228" spans="1:5" x14ac:dyDescent="0.25">
      <c r="A12228" t="str">
        <f>HYPERLINK("https://www.773grp.com/globalSearch/NCV303LSN44T1G/page-1", "NCV303LSN44T1G")</f>
        <v>NCV303LSN44T1G</v>
      </c>
      <c r="B12228" s="3" t="str">
        <f>HYPERLINK("https://www.773grp.com/manufacturer/onsemi?pageNo=95", "Onsemi")</f>
        <v>Onsemi</v>
      </c>
      <c r="C12228" s="6">
        <v>13989</v>
      </c>
      <c r="D12228" s="7">
        <v>1.69</v>
      </c>
      <c r="E12228" t="s">
        <v>26</v>
      </c>
    </row>
    <row r="12229" spans="1:5" x14ac:dyDescent="0.25">
      <c r="A12229" t="str">
        <f>HYPERLINK("https://www.773grp.com/globalSearch/NCV303LSN45T1G/page-1", "NCV303LSN45T1G")</f>
        <v>NCV303LSN45T1G</v>
      </c>
      <c r="B12229" s="3" t="str">
        <f>HYPERLINK("https://www.773grp.com/manufacturer/onsemi?pageNo=96", "Onsemi")</f>
        <v>Onsemi</v>
      </c>
      <c r="C12229" s="6">
        <v>1754</v>
      </c>
      <c r="D12229" s="7">
        <v>1.69</v>
      </c>
      <c r="E12229" t="s">
        <v>26</v>
      </c>
    </row>
    <row r="12230" spans="1:5" x14ac:dyDescent="0.25">
      <c r="A12230" t="str">
        <f>HYPERLINK("https://www.773grp.com/globalSearch/NCV303LSN47T1G/page-1", "NCV303LSN47T1G")</f>
        <v>NCV303LSN47T1G</v>
      </c>
      <c r="B12230" s="3" t="str">
        <f>HYPERLINK("https://www.773grp.com/manufacturer/onsemi?pageNo=97", "Onsemi")</f>
        <v>Onsemi</v>
      </c>
      <c r="C12230" s="6">
        <v>17875</v>
      </c>
      <c r="D12230" s="7">
        <v>1.69</v>
      </c>
      <c r="E12230" t="s">
        <v>26</v>
      </c>
    </row>
    <row r="12231" spans="1:5" x14ac:dyDescent="0.25">
      <c r="A12231" t="str">
        <f>HYPERLINK("https://www.773grp.com/globalSearch/NCV303LSN49T1G/page-1", "NCV303LSN49T1G")</f>
        <v>NCV303LSN49T1G</v>
      </c>
      <c r="B12231" s="3" t="str">
        <f>HYPERLINK("https://www.773grp.com/manufacturer/onsemi?pageNo=98", "Onsemi")</f>
        <v>Onsemi</v>
      </c>
      <c r="C12231" s="6">
        <v>24000</v>
      </c>
      <c r="D12231" s="7">
        <v>1.69</v>
      </c>
      <c r="E12231" t="s">
        <v>26</v>
      </c>
    </row>
    <row r="12232" spans="1:5" x14ac:dyDescent="0.25">
      <c r="A12232" t="str">
        <f>HYPERLINK("https://www.773grp.com/globalSearch/NCV317LBDG/page-1", "NCV317LBDG")</f>
        <v>NCV317LBDG</v>
      </c>
      <c r="B12232" s="3" t="str">
        <f>HYPERLINK("https://www.773grp.com/manufacturer/onsemi?pageNo=99", "Onsemi")</f>
        <v>Onsemi</v>
      </c>
      <c r="C12232" s="6">
        <v>4104</v>
      </c>
      <c r="D12232" s="7">
        <v>1.69</v>
      </c>
      <c r="E12232" t="s">
        <v>18</v>
      </c>
    </row>
    <row r="12233" spans="1:5" x14ac:dyDescent="0.25">
      <c r="A12233" t="str">
        <f>HYPERLINK("https://www.773grp.com/globalSearch/NCV317LBDR2G/page-1", "NCV317LBDR2G")</f>
        <v>NCV317LBDR2G</v>
      </c>
      <c r="B12233" s="3" t="str">
        <f>HYPERLINK("https://www.773grp.com/manufacturer/onsemi?pageNo=100", "Onsemi")</f>
        <v>Onsemi</v>
      </c>
      <c r="C12233" s="6">
        <v>6366</v>
      </c>
      <c r="D12233" s="7">
        <v>1.69</v>
      </c>
      <c r="E12233" t="s">
        <v>18</v>
      </c>
    </row>
    <row r="12234" spans="1:5" x14ac:dyDescent="0.25">
      <c r="A12234" t="str">
        <f>HYPERLINK("https://www.773grp.com/globalSearch/NCV5500DT15RKG/page-1", "NCV5500DT15RKG")</f>
        <v>NCV5500DT15RKG</v>
      </c>
      <c r="B12234" s="3" t="str">
        <f>HYPERLINK("https://www.773grp.com/manufacturer/onsemi?pageNo=101", "Onsemi")</f>
        <v>Onsemi</v>
      </c>
      <c r="C12234" s="6">
        <v>29034</v>
      </c>
      <c r="D12234" s="7">
        <v>1.69</v>
      </c>
      <c r="E12234" t="s">
        <v>15</v>
      </c>
    </row>
    <row r="12235" spans="1:5" x14ac:dyDescent="0.25">
      <c r="A12235" t="str">
        <f>HYPERLINK("https://www.773grp.com/globalSearch/NCV809LTRG/page-1", "NCV809LTRG")</f>
        <v>NCV809LTRG</v>
      </c>
      <c r="B12235" s="3" t="str">
        <f>HYPERLINK("https://www.773grp.com/manufacturer/onsemi?pageNo=102", "Onsemi")</f>
        <v>Onsemi</v>
      </c>
      <c r="C12235" s="6">
        <v>9000</v>
      </c>
      <c r="D12235" s="7">
        <v>1.69</v>
      </c>
    </row>
    <row r="12236" spans="1:5" x14ac:dyDescent="0.25">
      <c r="A12236" t="str">
        <f>HYPERLINK("https://www.773grp.com/globalSearch/NE592D14G/page-1", "NE592D14G")</f>
        <v>NE592D14G</v>
      </c>
      <c r="B12236" s="3" t="str">
        <f>HYPERLINK("https://www.773grp.com/manufacturer/onsemi?pageNo=103", "Onsemi")</f>
        <v>Onsemi</v>
      </c>
      <c r="C12236" s="6">
        <v>249</v>
      </c>
      <c r="D12236" s="7">
        <v>1.69</v>
      </c>
      <c r="E12236" t="s">
        <v>14</v>
      </c>
    </row>
    <row r="12237" spans="1:5" x14ac:dyDescent="0.25">
      <c r="A12237" t="str">
        <f>HYPERLINK("https://www.773grp.com/globalSearch/NE592D14R2G/page-1", "NE592D14R2G")</f>
        <v>NE592D14R2G</v>
      </c>
      <c r="B12237" s="3" t="str">
        <f>HYPERLINK("https://www.773grp.com/manufacturer/onsemi?pageNo=104", "Onsemi")</f>
        <v>Onsemi</v>
      </c>
      <c r="C12237" s="6">
        <v>600</v>
      </c>
      <c r="D12237" s="7">
        <v>1.69</v>
      </c>
      <c r="E12237" t="s">
        <v>14</v>
      </c>
    </row>
    <row r="12238" spans="1:5" x14ac:dyDescent="0.25">
      <c r="A12238" t="str">
        <f>HYPERLINK("https://www.773grp.com/globalSearch/NLAS4051QS/page-1", "NLAS4051QS")</f>
        <v>NLAS4051QS</v>
      </c>
      <c r="B12238" s="3" t="str">
        <f>HYPERLINK("https://www.773grp.com/manufacturer/onsemi?pageNo=105", "Onsemi")</f>
        <v>Onsemi</v>
      </c>
      <c r="C12238" s="6">
        <v>1372</v>
      </c>
      <c r="D12238" s="7">
        <v>1.69</v>
      </c>
    </row>
    <row r="12239" spans="1:5" x14ac:dyDescent="0.25">
      <c r="A12239" t="str">
        <f>HYPERLINK("https://www.773grp.com/globalSearch/NLAS4053DR2/page-1", "NLAS4053DR2")</f>
        <v>NLAS4053DR2</v>
      </c>
      <c r="B12239" s="3" t="str">
        <f>HYPERLINK("https://www.773grp.com/manufacturer/onsemi?pageNo=106", "Onsemi")</f>
        <v>Onsemi</v>
      </c>
      <c r="C12239" s="6">
        <v>2190</v>
      </c>
      <c r="D12239" s="7">
        <v>1.69</v>
      </c>
      <c r="E12239" t="s">
        <v>46</v>
      </c>
    </row>
    <row r="12240" spans="1:5" x14ac:dyDescent="0.25">
      <c r="A12240" t="str">
        <f>HYPERLINK("https://www.773grp.com/globalSearch/NLAS9099MN1R2G/page-1", "NLAS9099MN1R2G")</f>
        <v>NLAS9099MN1R2G</v>
      </c>
      <c r="B12240" s="3" t="str">
        <f>HYPERLINK("https://www.773grp.com/manufacturer/onsemi?pageNo=107", "Onsemi")</f>
        <v>Onsemi</v>
      </c>
      <c r="C12240" s="6">
        <v>438000</v>
      </c>
      <c r="D12240" s="7">
        <v>1.69</v>
      </c>
    </row>
    <row r="12241" spans="1:5" x14ac:dyDescent="0.25">
      <c r="A12241" t="str">
        <f>HYPERLINK("https://www.773grp.com/globalSearch/NTD20N06L/page-1", "NTD20N06L")</f>
        <v>NTD20N06L</v>
      </c>
      <c r="B12241" s="3" t="str">
        <f>HYPERLINK("https://www.773grp.com/manufacturer/onsemi?pageNo=108", "Onsemi")</f>
        <v>Onsemi</v>
      </c>
      <c r="C12241" s="6">
        <v>1823</v>
      </c>
      <c r="D12241" s="7">
        <v>1.69</v>
      </c>
      <c r="E12241" t="s">
        <v>84</v>
      </c>
    </row>
    <row r="12242" spans="1:5" x14ac:dyDescent="0.25">
      <c r="A12242" t="str">
        <f>HYPERLINK("https://www.773grp.com/globalSearch/NTD20N06L-001/page-1", "NTD20N06L-001")</f>
        <v>NTD20N06L-001</v>
      </c>
      <c r="B12242" s="3" t="str">
        <f>HYPERLINK("https://www.773grp.com/manufacturer/onsemi?pageNo=109", "Onsemi")</f>
        <v>Onsemi</v>
      </c>
      <c r="C12242" s="6">
        <v>1851</v>
      </c>
      <c r="D12242" s="7">
        <v>1.69</v>
      </c>
      <c r="E12242" t="s">
        <v>84</v>
      </c>
    </row>
    <row r="12243" spans="1:5" x14ac:dyDescent="0.25">
      <c r="A12243" t="str">
        <f>HYPERLINK("https://www.773grp.com/globalSearch/NTD20N06T4/page-1", "NTD20N06T4")</f>
        <v>NTD20N06T4</v>
      </c>
      <c r="B12243" s="3" t="str">
        <f>HYPERLINK("https://www.773grp.com/manufacturer/onsemi?pageNo=110", "Onsemi")</f>
        <v>Onsemi</v>
      </c>
      <c r="C12243" s="6">
        <v>2500</v>
      </c>
      <c r="D12243" s="7">
        <v>1.69</v>
      </c>
      <c r="E12243" t="s">
        <v>84</v>
      </c>
    </row>
    <row r="12244" spans="1:5" x14ac:dyDescent="0.25">
      <c r="A12244" t="str">
        <f>HYPERLINK("https://www.773grp.com/globalSearch/NTD4302G/page-1", "NTD4302G")</f>
        <v>NTD4302G</v>
      </c>
      <c r="B12244" s="3" t="str">
        <f>HYPERLINK("https://www.773grp.com/manufacturer/onsemi?pageNo=111", "Onsemi")</f>
        <v>Onsemi</v>
      </c>
      <c r="C12244" s="6">
        <v>55175</v>
      </c>
      <c r="D12244" s="7">
        <v>1.69</v>
      </c>
    </row>
    <row r="12245" spans="1:5" x14ac:dyDescent="0.25">
      <c r="A12245" t="str">
        <f>HYPERLINK("https://www.773grp.com/globalSearch/NTD4302T4G/page-1", "NTD4302T4G")</f>
        <v>NTD4302T4G</v>
      </c>
      <c r="B12245" s="3" t="str">
        <f>HYPERLINK("https://www.773grp.com/manufacturer/onsemi?pageNo=112", "Onsemi")</f>
        <v>Onsemi</v>
      </c>
      <c r="C12245" s="6">
        <v>1400</v>
      </c>
      <c r="D12245" s="7">
        <v>1.69</v>
      </c>
      <c r="E12245" t="s">
        <v>84</v>
      </c>
    </row>
    <row r="12246" spans="1:5" x14ac:dyDescent="0.25">
      <c r="A12246" t="str">
        <f>HYPERLINK("https://www.773grp.com/globalSearch/NTD4854N-1G/page-1", "NTD4854N-1G")</f>
        <v>NTD4854N-1G</v>
      </c>
      <c r="B12246" s="3" t="str">
        <f>HYPERLINK("https://www.773grp.com/manufacturer/onsemi?pageNo=113", "Onsemi")</f>
        <v>Onsemi</v>
      </c>
      <c r="C12246" s="6">
        <v>1800</v>
      </c>
      <c r="D12246" s="7">
        <v>1.69</v>
      </c>
      <c r="E12246" t="s">
        <v>84</v>
      </c>
    </row>
    <row r="12247" spans="1:5" x14ac:dyDescent="0.25">
      <c r="A12247" t="str">
        <f>HYPERLINK("https://www.773grp.com/globalSearch/NTD4854N-35G/page-1", "NTD4854N-35G")</f>
        <v>NTD4854N-35G</v>
      </c>
      <c r="B12247" s="3" t="str">
        <f>HYPERLINK("https://www.773grp.com/manufacturer/onsemi?pageNo=114", "Onsemi")</f>
        <v>Onsemi</v>
      </c>
      <c r="C12247" s="6">
        <v>4950</v>
      </c>
      <c r="D12247" s="7">
        <v>1.69</v>
      </c>
      <c r="E12247" t="s">
        <v>84</v>
      </c>
    </row>
    <row r="12248" spans="1:5" x14ac:dyDescent="0.25">
      <c r="A12248" t="str">
        <f>HYPERLINK("https://www.773grp.com/globalSearch/NTD4854NT4G/page-1", "NTD4854NT4G")</f>
        <v>NTD4854NT4G</v>
      </c>
      <c r="B12248" s="3" t="str">
        <f>HYPERLINK("https://www.773grp.com/manufacturer/onsemi?pageNo=115", "Onsemi")</f>
        <v>Onsemi</v>
      </c>
      <c r="C12248" s="6">
        <v>51325</v>
      </c>
      <c r="D12248" s="7">
        <v>1.69</v>
      </c>
      <c r="E12248" t="s">
        <v>84</v>
      </c>
    </row>
    <row r="12249" spans="1:5" x14ac:dyDescent="0.25">
      <c r="A12249" t="str">
        <f>HYPERLINK("https://www.773grp.com/globalSearch/NTLGD3502NT1G/page-1", "NTLGD3502NT1G")</f>
        <v>NTLGD3502NT1G</v>
      </c>
      <c r="B12249" s="3" t="str">
        <f>HYPERLINK("https://www.773grp.com/manufacturer/onsemi?pageNo=116", "Onsemi")</f>
        <v>Onsemi</v>
      </c>
      <c r="C12249" s="6">
        <v>14990</v>
      </c>
      <c r="D12249" s="7">
        <v>1.69</v>
      </c>
      <c r="E12249" t="s">
        <v>84</v>
      </c>
    </row>
    <row r="12250" spans="1:5" x14ac:dyDescent="0.25">
      <c r="A12250" t="str">
        <f>HYPERLINK("https://www.773grp.com/globalSearch/NTLGD3502NT2G/page-1", "NTLGD3502NT2G")</f>
        <v>NTLGD3502NT2G</v>
      </c>
      <c r="B12250" s="3" t="str">
        <f>HYPERLINK("https://www.773grp.com/manufacturer/onsemi?pageNo=117", "Onsemi")</f>
        <v>Onsemi</v>
      </c>
      <c r="C12250" s="6">
        <v>3000</v>
      </c>
      <c r="D12250" s="7">
        <v>1.69</v>
      </c>
      <c r="E12250" t="s">
        <v>84</v>
      </c>
    </row>
    <row r="12251" spans="1:5" x14ac:dyDescent="0.25">
      <c r="A12251" t="str">
        <f>HYPERLINK("https://www.773grp.com/globalSearch/NTMD6P02R2SG/page-1", "NTMD6P02R2SG")</f>
        <v>NTMD6P02R2SG</v>
      </c>
      <c r="B12251" s="3" t="str">
        <f>HYPERLINK("https://www.773grp.com/manufacturer/onsemi?pageNo=118", "Onsemi")</f>
        <v>Onsemi</v>
      </c>
      <c r="C12251" s="6">
        <v>15000</v>
      </c>
      <c r="D12251" s="7">
        <v>1.69</v>
      </c>
      <c r="E12251" t="s">
        <v>85</v>
      </c>
    </row>
    <row r="12252" spans="1:5" x14ac:dyDescent="0.25">
      <c r="A12252" t="str">
        <f>HYPERLINK("https://www.773grp.com/globalSearch/NTMSD6N303R2G/page-1", "NTMSD6N303R2G")</f>
        <v>NTMSD6N303R2G</v>
      </c>
      <c r="B12252" s="3" t="str">
        <f>HYPERLINK("https://www.773grp.com/manufacturer/onsemi?pageNo=119", "Onsemi")</f>
        <v>Onsemi</v>
      </c>
      <c r="C12252" s="6">
        <v>130000</v>
      </c>
      <c r="D12252" s="7">
        <v>1.69</v>
      </c>
      <c r="E12252" t="s">
        <v>84</v>
      </c>
    </row>
    <row r="12253" spans="1:5" x14ac:dyDescent="0.25">
      <c r="A12253" t="str">
        <f>HYPERLINK("https://www.773grp.com/globalSearch/NVTP2955G/page-1", "NVTP2955G")</f>
        <v>NVTP2955G</v>
      </c>
      <c r="B12253" s="3" t="str">
        <f>HYPERLINK("https://www.773grp.com/manufacturer/onsemi?pageNo=120", "Onsemi")</f>
        <v>Onsemi</v>
      </c>
      <c r="C12253" s="6">
        <v>3300</v>
      </c>
      <c r="D12253" s="7">
        <v>1.69</v>
      </c>
    </row>
    <row r="12254" spans="1:5" x14ac:dyDescent="0.25">
      <c r="A12254" t="str">
        <f>HYPERLINK("https://www.773grp.com/globalSearch/PACVGA201QR/page-1", "PACVGA201QR")</f>
        <v>PACVGA201QR</v>
      </c>
      <c r="B12254" s="3" t="str">
        <f>HYPERLINK("https://www.773grp.com/manufacturer/onsemi?pageNo=121", "Onsemi")</f>
        <v>Onsemi</v>
      </c>
      <c r="C12254" s="6">
        <v>1380</v>
      </c>
      <c r="D12254" s="7">
        <v>1.69</v>
      </c>
    </row>
    <row r="12255" spans="1:5" x14ac:dyDescent="0.25">
      <c r="A12255" t="str">
        <f>HYPERLINK("https://www.773grp.com/globalSearch/SBR139/page-1", "SBR139")</f>
        <v>SBR139</v>
      </c>
      <c r="B12255" s="3" t="str">
        <f>HYPERLINK("https://www.773grp.com/manufacturer/onsemi?pageNo=122", "Onsemi")</f>
        <v>Onsemi</v>
      </c>
      <c r="C12255" s="6">
        <v>4700</v>
      </c>
      <c r="D12255" s="7">
        <v>1.69</v>
      </c>
    </row>
    <row r="12256" spans="1:5" x14ac:dyDescent="0.25">
      <c r="A12256" t="str">
        <f>HYPERLINK("https://www.773grp.com/globalSearch/SCY991351DDR2G/page-1", "SCY991351DDR2G")</f>
        <v>SCY991351DDR2G</v>
      </c>
      <c r="B12256" s="3" t="str">
        <f>HYPERLINK("https://www.773grp.com/manufacturer/onsemi?pageNo=123", "Onsemi")</f>
        <v>Onsemi</v>
      </c>
      <c r="C12256" s="6">
        <v>15000</v>
      </c>
      <c r="D12256" s="7">
        <v>1.69</v>
      </c>
    </row>
    <row r="12257" spans="1:5" x14ac:dyDescent="0.25">
      <c r="A12257" t="str">
        <f>HYPERLINK("https://www.773grp.com/globalSearch/SN74LS299N/page-1", "SN74LS299N")</f>
        <v>SN74LS299N</v>
      </c>
      <c r="B12257" s="3" t="str">
        <f>HYPERLINK("https://www.773grp.com/manufacturer/onsemi?pageNo=124", "Onsemi")</f>
        <v>Onsemi</v>
      </c>
      <c r="C12257" s="6">
        <v>22369</v>
      </c>
      <c r="D12257" s="7">
        <v>1.69</v>
      </c>
      <c r="E12257" t="s">
        <v>28</v>
      </c>
    </row>
    <row r="12258" spans="1:5" x14ac:dyDescent="0.25">
      <c r="A12258" t="str">
        <f>HYPERLINK("https://www.773grp.com/globalSearch/SN74LS540DW/page-1", "SN74LS540DW")</f>
        <v>SN74LS540DW</v>
      </c>
      <c r="B12258" s="3" t="str">
        <f>HYPERLINK("https://www.773grp.com/manufacturer/onsemi?pageNo=125", "Onsemi")</f>
        <v>Onsemi</v>
      </c>
      <c r="C12258" s="6">
        <v>139</v>
      </c>
      <c r="D12258" s="7">
        <v>1.69</v>
      </c>
      <c r="E12258" t="s">
        <v>11</v>
      </c>
    </row>
    <row r="12259" spans="1:5" x14ac:dyDescent="0.25">
      <c r="A12259" t="str">
        <f>HYPERLINK("https://www.773grp.com/globalSearch/SN74LS540M/page-1", "SN74LS540M")</f>
        <v>SN74LS540M</v>
      </c>
      <c r="B12259" s="3" t="str">
        <f>HYPERLINK("https://www.773grp.com/manufacturer/onsemi?pageNo=126", "Onsemi")</f>
        <v>Onsemi</v>
      </c>
      <c r="C12259" s="6">
        <v>1600</v>
      </c>
      <c r="D12259" s="7">
        <v>1.69</v>
      </c>
    </row>
    <row r="12260" spans="1:5" x14ac:dyDescent="0.25">
      <c r="A12260" t="str">
        <f>HYPERLINK("https://www.773grp.com/globalSearch/TCA0372BDP1G/page-1", "TCA0372BDP1G")</f>
        <v>TCA0372BDP1G</v>
      </c>
      <c r="B12260" s="3" t="str">
        <f>HYPERLINK("https://www.773grp.com/manufacturer/onsemi?pageNo=127", "Onsemi")</f>
        <v>Onsemi</v>
      </c>
      <c r="C12260" s="6">
        <v>59200</v>
      </c>
      <c r="D12260" s="7">
        <v>1.69</v>
      </c>
      <c r="E12260" t="s">
        <v>10</v>
      </c>
    </row>
    <row r="12261" spans="1:5" x14ac:dyDescent="0.25">
      <c r="A12261" t="str">
        <f>HYPERLINK("https://www.773grp.com/globalSearch/TIP131G/page-1", "TIP131G")</f>
        <v>TIP131G</v>
      </c>
      <c r="B12261" s="3" t="str">
        <f>HYPERLINK("https://www.773grp.com/manufacturer/onsemi?pageNo=128", "Onsemi")</f>
        <v>Onsemi</v>
      </c>
      <c r="C12261" s="6">
        <v>3435</v>
      </c>
      <c r="D12261" s="7">
        <v>1.69</v>
      </c>
      <c r="E12261" t="s">
        <v>47</v>
      </c>
    </row>
    <row r="12262" spans="1:5" x14ac:dyDescent="0.25">
      <c r="A12262" t="str">
        <f>HYPERLINK("https://www.773grp.com/globalSearch/UC3842BD1R2G/page-1", "UC3842BD1R2G")</f>
        <v>UC3842BD1R2G</v>
      </c>
      <c r="B12262" s="3" t="str">
        <f>HYPERLINK("https://www.773grp.com/manufacturer/onsemi?pageNo=129", "Onsemi")</f>
        <v>Onsemi</v>
      </c>
      <c r="C12262" s="6">
        <v>179041</v>
      </c>
      <c r="D12262" s="7">
        <v>1.69</v>
      </c>
      <c r="E12262" t="s">
        <v>5</v>
      </c>
    </row>
    <row r="12263" spans="1:5" x14ac:dyDescent="0.25">
      <c r="A12263" t="str">
        <f>HYPERLINK("https://www.773grp.com/globalSearch/UC3842BDR2G/page-1", "UC3842BDR2G")</f>
        <v>UC3842BDR2G</v>
      </c>
      <c r="B12263" s="3" t="str">
        <f>HYPERLINK("https://www.773grp.com/manufacturer/onsemi?pageNo=130", "Onsemi")</f>
        <v>Onsemi</v>
      </c>
      <c r="C12263" s="6">
        <v>52506</v>
      </c>
      <c r="D12263" s="7">
        <v>1.69</v>
      </c>
      <c r="E12263" t="s">
        <v>5</v>
      </c>
    </row>
    <row r="12264" spans="1:5" x14ac:dyDescent="0.25">
      <c r="A12264" t="str">
        <f>HYPERLINK("https://www.773grp.com/globalSearch/UC3842BNG/page-1", "UC3842BNG")</f>
        <v>UC3842BNG</v>
      </c>
      <c r="B12264" s="3" t="str">
        <f>HYPERLINK("https://www.773grp.com/manufacturer/onsemi?pageNo=131", "Onsemi")</f>
        <v>Onsemi</v>
      </c>
      <c r="C12264" s="6">
        <v>267873</v>
      </c>
      <c r="D12264" s="7">
        <v>1.69</v>
      </c>
      <c r="E12264" t="s">
        <v>5</v>
      </c>
    </row>
    <row r="12265" spans="1:5" x14ac:dyDescent="0.25">
      <c r="A12265" t="str">
        <f>HYPERLINK("https://www.773grp.com/globalSearch/UC3843BD1G/page-1", "UC3843BD1G")</f>
        <v>UC3843BD1G</v>
      </c>
      <c r="B12265" s="3" t="str">
        <f>HYPERLINK("https://www.773grp.com/manufacturer/onsemi?pageNo=132", "Onsemi")</f>
        <v>Onsemi</v>
      </c>
      <c r="C12265" s="6">
        <v>71636</v>
      </c>
      <c r="D12265" s="7">
        <v>1.69</v>
      </c>
      <c r="E12265" t="s">
        <v>5</v>
      </c>
    </row>
    <row r="12266" spans="1:5" x14ac:dyDescent="0.25">
      <c r="A12266" t="str">
        <f>HYPERLINK("https://www.773grp.com/globalSearch/UC3843BD1R2G/page-1", "UC3843BD1R2G")</f>
        <v>UC3843BD1R2G</v>
      </c>
      <c r="B12266" s="3" t="str">
        <f>HYPERLINK("https://www.773grp.com/manufacturer/onsemi?pageNo=133", "Onsemi")</f>
        <v>Onsemi</v>
      </c>
      <c r="C12266" s="6">
        <v>334662</v>
      </c>
      <c r="D12266" s="7">
        <v>1.69</v>
      </c>
      <c r="E12266" t="s">
        <v>5</v>
      </c>
    </row>
    <row r="12267" spans="1:5" x14ac:dyDescent="0.25">
      <c r="A12267" t="str">
        <f>HYPERLINK("https://www.773grp.com/globalSearch/UC3843BDR2G/page-1", "UC3843BDR2G")</f>
        <v>UC3843BDR2G</v>
      </c>
      <c r="B12267" s="3" t="str">
        <f>HYPERLINK("https://www.773grp.com/manufacturer/onsemi?pageNo=134", "Onsemi")</f>
        <v>Onsemi</v>
      </c>
      <c r="C12267" s="6">
        <v>12520</v>
      </c>
      <c r="D12267" s="7">
        <v>1.69</v>
      </c>
      <c r="E12267" t="s">
        <v>5</v>
      </c>
    </row>
    <row r="12268" spans="1:5" x14ac:dyDescent="0.25">
      <c r="A12268" t="str">
        <f>HYPERLINK("https://www.773grp.com/globalSearch/UC3843BNG/page-1", "UC3843BNG")</f>
        <v>UC3843BNG</v>
      </c>
      <c r="B12268" s="3" t="str">
        <f>HYPERLINK("https://www.773grp.com/manufacturer/onsemi?pageNo=135", "Onsemi")</f>
        <v>Onsemi</v>
      </c>
      <c r="C12268" s="6">
        <v>85912</v>
      </c>
      <c r="D12268" s="7">
        <v>1.69</v>
      </c>
      <c r="E12268" t="s">
        <v>5</v>
      </c>
    </row>
    <row r="12269" spans="1:5" x14ac:dyDescent="0.25">
      <c r="A12269" t="str">
        <f>HYPERLINK("https://www.773grp.com/globalSearch/UC3844BD1R2G/page-1", "UC3844BD1R2G")</f>
        <v>UC3844BD1R2G</v>
      </c>
      <c r="B12269" s="3" t="str">
        <f>HYPERLINK("https://www.773grp.com/manufacturer/onsemi?pageNo=136", "Onsemi")</f>
        <v>Onsemi</v>
      </c>
      <c r="C12269" s="6">
        <v>533993</v>
      </c>
      <c r="D12269" s="7">
        <v>1.69</v>
      </c>
      <c r="E12269" t="s">
        <v>5</v>
      </c>
    </row>
    <row r="12270" spans="1:5" x14ac:dyDescent="0.25">
      <c r="A12270" t="str">
        <f>HYPERLINK("https://www.773grp.com/globalSearch/UC3844BDR2G/page-1", "UC3844BDR2G")</f>
        <v>UC3844BDR2G</v>
      </c>
      <c r="B12270" s="3" t="str">
        <f>HYPERLINK("https://www.773grp.com/manufacturer/onsemi?pageNo=137", "Onsemi")</f>
        <v>Onsemi</v>
      </c>
      <c r="C12270" s="6">
        <v>13189</v>
      </c>
      <c r="D12270" s="7">
        <v>1.69</v>
      </c>
      <c r="E12270" t="s">
        <v>5</v>
      </c>
    </row>
    <row r="12271" spans="1:5" x14ac:dyDescent="0.25">
      <c r="A12271" t="str">
        <f>HYPERLINK("https://www.773grp.com/globalSearch/UC3844BNG/page-1", "UC3844BNG")</f>
        <v>UC3844BNG</v>
      </c>
      <c r="B12271" s="3" t="str">
        <f>HYPERLINK("https://www.773grp.com/manufacturer/onsemi?pageNo=138", "Onsemi")</f>
        <v>Onsemi</v>
      </c>
      <c r="C12271" s="6">
        <v>82782</v>
      </c>
      <c r="D12271" s="7">
        <v>1.69</v>
      </c>
      <c r="E12271" t="s">
        <v>5</v>
      </c>
    </row>
    <row r="12272" spans="1:5" x14ac:dyDescent="0.25">
      <c r="A12272" t="str">
        <f>HYPERLINK("https://www.773grp.com/globalSearch/UC3845BD1G/page-1", "UC3845BD1G")</f>
        <v>UC3845BD1G</v>
      </c>
      <c r="B12272" s="3" t="str">
        <f>HYPERLINK("https://www.773grp.com/manufacturer/onsemi?pageNo=139", "Onsemi")</f>
        <v>Onsemi</v>
      </c>
      <c r="C12272" s="6">
        <v>56</v>
      </c>
      <c r="D12272" s="7">
        <v>1.69</v>
      </c>
    </row>
    <row r="12273" spans="1:5" x14ac:dyDescent="0.25">
      <c r="A12273" t="str">
        <f>HYPERLINK("https://www.773grp.com/globalSearch/UC3845BD1R2G/page-1", "UC3845BD1R2G")</f>
        <v>UC3845BD1R2G</v>
      </c>
      <c r="B12273" s="3" t="str">
        <f>HYPERLINK("https://www.773grp.com/manufacturer/onsemi?pageNo=140", "Onsemi")</f>
        <v>Onsemi</v>
      </c>
      <c r="C12273" s="6">
        <v>7769</v>
      </c>
      <c r="D12273" s="7">
        <v>1.69</v>
      </c>
      <c r="E12273" t="s">
        <v>5</v>
      </c>
    </row>
    <row r="12274" spans="1:5" x14ac:dyDescent="0.25">
      <c r="A12274" t="str">
        <f>HYPERLINK("https://www.773grp.com/globalSearch/UC3845BDR2G/page-1", "UC3845BDR2G")</f>
        <v>UC3845BDR2G</v>
      </c>
      <c r="B12274" s="3" t="str">
        <f>HYPERLINK("https://www.773grp.com/manufacturer/onsemi?pageNo=141", "Onsemi")</f>
        <v>Onsemi</v>
      </c>
      <c r="C12274" s="6">
        <v>37500</v>
      </c>
      <c r="D12274" s="7">
        <v>1.69</v>
      </c>
      <c r="E12274" t="s">
        <v>5</v>
      </c>
    </row>
    <row r="12275" spans="1:5" x14ac:dyDescent="0.25">
      <c r="A12275" t="str">
        <f>HYPERLINK("https://www.773grp.com/globalSearch/UC3845BNG/page-1", "UC3845BNG")</f>
        <v>UC3845BNG</v>
      </c>
      <c r="B12275" s="3" t="str">
        <f>HYPERLINK("https://www.773grp.com/manufacturer/onsemi?pageNo=142", "Onsemi")</f>
        <v>Onsemi</v>
      </c>
      <c r="C12275" s="6">
        <v>40318</v>
      </c>
      <c r="D12275" s="7">
        <v>1.69</v>
      </c>
      <c r="E12275" t="s">
        <v>5</v>
      </c>
    </row>
    <row r="12276" spans="1:5" x14ac:dyDescent="0.25">
      <c r="A12276" t="str">
        <f>HYPERLINK("https://www.773grp.com/globalSearch/UD1006FR-H/page-1", "UD1006FR-H")</f>
        <v>UD1006FR-H</v>
      </c>
      <c r="B12276" s="3" t="str">
        <f>HYPERLINK("https://www.773grp.com/manufacturer/onsemi?pageNo=143", "Onsemi")</f>
        <v>Onsemi</v>
      </c>
      <c r="C12276" s="6">
        <v>759150</v>
      </c>
      <c r="D12276" s="7">
        <v>1.69</v>
      </c>
    </row>
    <row r="12277" spans="1:5" x14ac:dyDescent="0.25">
      <c r="A12277" t="str">
        <f>HYPERLINK("https://www.773grp.com/globalSearch/ULN2804A/page-1", "ULN2804A")</f>
        <v>ULN2804A</v>
      </c>
      <c r="B12277" s="3" t="str">
        <f>HYPERLINK("https://www.773grp.com/manufacturer/onsemi?pageNo=144", "Onsemi")</f>
        <v>Onsemi</v>
      </c>
      <c r="C12277" s="6">
        <v>48</v>
      </c>
      <c r="D12277" s="7">
        <v>1.69</v>
      </c>
      <c r="E12277" t="s">
        <v>47</v>
      </c>
    </row>
    <row r="12278" spans="1:5" x14ac:dyDescent="0.25">
      <c r="A12278" t="str">
        <f>HYPERLINK("https://www.773grp.com/globalSearch/AMIS30660CANH2G/page-1", "AMIS30660CANH2G")</f>
        <v>AMIS30660CANH2G</v>
      </c>
      <c r="B12278" s="3" t="str">
        <f>HYPERLINK("https://www.773grp.com/manufacturer/onsemi?pageNo=145", "Onsemi")</f>
        <v>Onsemi</v>
      </c>
      <c r="C12278" s="6">
        <v>1946</v>
      </c>
      <c r="D12278" s="7">
        <v>1.74</v>
      </c>
    </row>
    <row r="12279" spans="1:5" x14ac:dyDescent="0.25">
      <c r="A12279" t="str">
        <f>HYPERLINK("https://www.773grp.com/globalSearch/AMIS30660CANH2RG/page-1", "AMIS30660CANH2RG")</f>
        <v>AMIS30660CANH2RG</v>
      </c>
      <c r="B12279" s="3" t="str">
        <f>HYPERLINK("https://www.773grp.com/manufacturer/onsemi?pageNo=146", "Onsemi")</f>
        <v>Onsemi</v>
      </c>
      <c r="C12279" s="6">
        <v>21146</v>
      </c>
      <c r="D12279" s="7">
        <v>1.74</v>
      </c>
      <c r="E12279" t="s">
        <v>45</v>
      </c>
    </row>
    <row r="12280" spans="1:5" x14ac:dyDescent="0.25">
      <c r="A12280" t="str">
        <f>HYPERLINK("https://www.773grp.com/globalSearch/AMIS30663CANG2G/page-1", "AMIS30663CANG2G")</f>
        <v>AMIS30663CANG2G</v>
      </c>
      <c r="B12280" s="3" t="str">
        <f>HYPERLINK("https://www.773grp.com/manufacturer/onsemi?pageNo=147", "Onsemi")</f>
        <v>Onsemi</v>
      </c>
      <c r="C12280" s="6">
        <v>576</v>
      </c>
      <c r="D12280" s="7">
        <v>1.74</v>
      </c>
    </row>
    <row r="12281" spans="1:5" x14ac:dyDescent="0.25">
      <c r="A12281" t="str">
        <f>HYPERLINK("https://www.773grp.com/globalSearch/AMIS30663CANG2RG/page-1", "AMIS30663CANG2RG")</f>
        <v>AMIS30663CANG2RG</v>
      </c>
      <c r="B12281" s="3" t="str">
        <f>HYPERLINK("https://www.773grp.com/manufacturer/onsemi?pageNo=148", "Onsemi")</f>
        <v>Onsemi</v>
      </c>
      <c r="C12281" s="6">
        <v>5635</v>
      </c>
      <c r="D12281" s="7">
        <v>1.74</v>
      </c>
      <c r="E12281" t="s">
        <v>45</v>
      </c>
    </row>
    <row r="12282" spans="1:5" x14ac:dyDescent="0.25">
      <c r="A12282" t="str">
        <f>HYPERLINK("https://www.773grp.com/globalSearch/BUX85G/page-1", "BUX85G")</f>
        <v>BUX85G</v>
      </c>
      <c r="B12282" s="3" t="str">
        <f>HYPERLINK("https://www.773grp.com/manufacturer/onsemi?pageNo=149", "Onsemi")</f>
        <v>Onsemi</v>
      </c>
      <c r="C12282" s="6">
        <v>3093</v>
      </c>
      <c r="D12282" s="7">
        <v>1.74</v>
      </c>
      <c r="E12282" t="s">
        <v>47</v>
      </c>
    </row>
    <row r="12283" spans="1:5" x14ac:dyDescent="0.25">
      <c r="A12283" t="str">
        <f>HYPERLINK("https://www.773grp.com/globalSearch/CAT25128XI-T2/page-1", "CAT25128XI-T2")</f>
        <v>CAT25128XI-T2</v>
      </c>
      <c r="B12283" s="3" t="str">
        <f>HYPERLINK("https://www.773grp.com/manufacturer/onsemi?pageNo=150", "Onsemi")</f>
        <v>Onsemi</v>
      </c>
      <c r="C12283" s="6">
        <v>2000</v>
      </c>
      <c r="D12283" s="7">
        <v>1.74</v>
      </c>
      <c r="E12283" t="s">
        <v>52</v>
      </c>
    </row>
    <row r="12284" spans="1:5" x14ac:dyDescent="0.25">
      <c r="A12284" t="str">
        <f>HYPERLINK("https://www.773grp.com/globalSearch/CS8182YDF8/page-1", "CS8182YDF8")</f>
        <v>CS8182YDF8</v>
      </c>
      <c r="B12284" s="3" t="str">
        <f>HYPERLINK("https://www.773grp.com/manufacturer/onsemi?pageNo=151", "Onsemi")</f>
        <v>Onsemi</v>
      </c>
      <c r="C12284" s="6">
        <v>7411</v>
      </c>
      <c r="D12284" s="7">
        <v>1.74</v>
      </c>
      <c r="E12284" t="s">
        <v>21</v>
      </c>
    </row>
    <row r="12285" spans="1:5" x14ac:dyDescent="0.25">
      <c r="A12285" t="str">
        <f>HYPERLINK("https://www.773grp.com/globalSearch/LA59700MC-AH/page-1", "LA59700MC-AH")</f>
        <v>LA59700MC-AH</v>
      </c>
      <c r="B12285" s="3" t="str">
        <f>HYPERLINK("https://www.773grp.com/manufacturer/onsemi?pageNo=152", "Onsemi")</f>
        <v>Onsemi</v>
      </c>
      <c r="C12285" s="6">
        <v>6000</v>
      </c>
      <c r="D12285" s="7">
        <v>1.74</v>
      </c>
    </row>
    <row r="12286" spans="1:5" x14ac:dyDescent="0.25">
      <c r="A12286" t="str">
        <f>HYPERLINK("https://www.773grp.com/globalSearch/LM317D2TG/page-1", "LM317D2TG")</f>
        <v>LM317D2TG</v>
      </c>
      <c r="B12286" s="3" t="str">
        <f>HYPERLINK("https://www.773grp.com/manufacturer/onsemi?pageNo=153", "Onsemi")</f>
        <v>Onsemi</v>
      </c>
      <c r="C12286" s="6">
        <v>64677</v>
      </c>
      <c r="D12286" s="7">
        <v>1.74</v>
      </c>
      <c r="E12286" t="s">
        <v>18</v>
      </c>
    </row>
    <row r="12287" spans="1:5" x14ac:dyDescent="0.25">
      <c r="A12287" t="str">
        <f>HYPERLINK("https://www.773grp.com/globalSearch/LM317D2TR4G/page-1", "LM317D2TR4G")</f>
        <v>LM317D2TR4G</v>
      </c>
      <c r="B12287" s="3" t="str">
        <f>HYPERLINK("https://www.773grp.com/manufacturer/onsemi?pageNo=154", "Onsemi")</f>
        <v>Onsemi</v>
      </c>
      <c r="C12287" s="6">
        <v>38566</v>
      </c>
      <c r="D12287" s="7">
        <v>1.74</v>
      </c>
      <c r="E12287" t="s">
        <v>18</v>
      </c>
    </row>
    <row r="12288" spans="1:5" x14ac:dyDescent="0.25">
      <c r="A12288" t="str">
        <f>HYPERLINK("https://www.773grp.com/globalSearch/LM317MABTG/page-1", "LM317MABTG")</f>
        <v>LM317MABTG</v>
      </c>
      <c r="B12288" s="3" t="str">
        <f>HYPERLINK("https://www.773grp.com/manufacturer/onsemi?pageNo=155", "Onsemi")</f>
        <v>Onsemi</v>
      </c>
      <c r="C12288" s="6">
        <v>43550</v>
      </c>
      <c r="D12288" s="7">
        <v>1.74</v>
      </c>
      <c r="E12288" t="s">
        <v>18</v>
      </c>
    </row>
    <row r="12289" spans="1:5" x14ac:dyDescent="0.25">
      <c r="A12289" t="str">
        <f>HYPERLINK("https://www.773grp.com/globalSearch/MAX811LEUS-T/page-1", "MAX811LEUS-T")</f>
        <v>MAX811LEUS-T</v>
      </c>
      <c r="B12289" s="3" t="str">
        <f>HYPERLINK("https://www.773grp.com/manufacturer/onsemi?pageNo=156", "Onsemi")</f>
        <v>Onsemi</v>
      </c>
      <c r="C12289" s="6">
        <v>117000</v>
      </c>
      <c r="D12289" s="7">
        <v>1.74</v>
      </c>
      <c r="E12289" t="s">
        <v>26</v>
      </c>
    </row>
    <row r="12290" spans="1:5" x14ac:dyDescent="0.25">
      <c r="A12290" t="str">
        <f>HYPERLINK("https://www.773grp.com/globalSearch/MAX811MEUS-T/page-1", "MAX811MEUS-T")</f>
        <v>MAX811MEUS-T</v>
      </c>
      <c r="B12290" s="3" t="str">
        <f>HYPERLINK("https://www.773grp.com/manufacturer/onsemi?pageNo=157", "Onsemi")</f>
        <v>Onsemi</v>
      </c>
      <c r="C12290" s="6">
        <v>162164</v>
      </c>
      <c r="D12290" s="7">
        <v>1.74</v>
      </c>
      <c r="E12290" t="s">
        <v>26</v>
      </c>
    </row>
    <row r="12291" spans="1:5" x14ac:dyDescent="0.25">
      <c r="A12291" t="str">
        <f>HYPERLINK("https://www.773grp.com/globalSearch/MAX811SEUS-T/page-1", "MAX811SEUS-T")</f>
        <v>MAX811SEUS-T</v>
      </c>
      <c r="B12291" s="3" t="str">
        <f>HYPERLINK("https://www.773grp.com/manufacturer/onsemi?pageNo=158", "Onsemi")</f>
        <v>Onsemi</v>
      </c>
      <c r="C12291" s="6">
        <v>201245</v>
      </c>
      <c r="D12291" s="7">
        <v>1.74</v>
      </c>
      <c r="E12291" t="s">
        <v>26</v>
      </c>
    </row>
    <row r="12292" spans="1:5" x14ac:dyDescent="0.25">
      <c r="A12292" t="str">
        <f>HYPERLINK("https://www.773grp.com/globalSearch/MAX812LEUS-T/page-1", "MAX812LEUS-T")</f>
        <v>MAX812LEUS-T</v>
      </c>
      <c r="B12292" s="3" t="str">
        <f>HYPERLINK("https://www.773grp.com/manufacturer/onsemi?pageNo=159", "Onsemi")</f>
        <v>Onsemi</v>
      </c>
      <c r="C12292" s="6">
        <v>244725</v>
      </c>
      <c r="D12292" s="7">
        <v>1.74</v>
      </c>
      <c r="E12292" t="s">
        <v>26</v>
      </c>
    </row>
    <row r="12293" spans="1:5" x14ac:dyDescent="0.25">
      <c r="A12293" t="str">
        <f>HYPERLINK("https://www.773grp.com/globalSearch/MAX812MEUS-T/page-1", "MAX812MEUS-T")</f>
        <v>MAX812MEUS-T</v>
      </c>
      <c r="B12293" s="3" t="str">
        <f>HYPERLINK("https://www.773grp.com/manufacturer/onsemi?pageNo=160", "Onsemi")</f>
        <v>Onsemi</v>
      </c>
      <c r="C12293" s="6">
        <v>202833</v>
      </c>
      <c r="D12293" s="7">
        <v>1.74</v>
      </c>
      <c r="E12293" t="s">
        <v>26</v>
      </c>
    </row>
    <row r="12294" spans="1:5" x14ac:dyDescent="0.25">
      <c r="A12294" t="str">
        <f>HYPERLINK("https://www.773grp.com/globalSearch/MAX812SEUS-T/page-1", "MAX812SEUS-T")</f>
        <v>MAX812SEUS-T</v>
      </c>
      <c r="B12294" s="3" t="str">
        <f>HYPERLINK("https://www.773grp.com/manufacturer/onsemi?pageNo=161", "Onsemi")</f>
        <v>Onsemi</v>
      </c>
      <c r="C12294" s="6">
        <v>205543</v>
      </c>
      <c r="D12294" s="7">
        <v>1.74</v>
      </c>
      <c r="E12294" t="s">
        <v>26</v>
      </c>
    </row>
    <row r="12295" spans="1:5" x14ac:dyDescent="0.25">
      <c r="A12295" t="str">
        <f>HYPERLINK("https://www.773grp.com/globalSearch/MBR16100CT/page-1", "MBR16100CT")</f>
        <v>MBR16100CT</v>
      </c>
      <c r="B12295" s="3" t="str">
        <f>HYPERLINK("https://www.773grp.com/manufacturer/onsemi?pageNo=162", "Onsemi")</f>
        <v>Onsemi</v>
      </c>
      <c r="C12295" s="6">
        <v>368951</v>
      </c>
      <c r="D12295" s="7">
        <v>1.74</v>
      </c>
      <c r="E12295" t="s">
        <v>82</v>
      </c>
    </row>
    <row r="12296" spans="1:5" x14ac:dyDescent="0.25">
      <c r="A12296" t="str">
        <f>HYPERLINK("https://www.773grp.com/globalSearch/MBRF20L60CTG/page-1", "MBRF20L60CTG")</f>
        <v>MBRF20L60CTG</v>
      </c>
      <c r="B12296" s="3" t="str">
        <f>HYPERLINK("https://www.773grp.com/manufacturer/onsemi?pageNo=163", "Onsemi")</f>
        <v>Onsemi</v>
      </c>
      <c r="C12296" s="6">
        <v>17</v>
      </c>
      <c r="D12296" s="7">
        <v>1.74</v>
      </c>
      <c r="E12296" t="s">
        <v>82</v>
      </c>
    </row>
    <row r="12297" spans="1:5" x14ac:dyDescent="0.25">
      <c r="A12297" t="str">
        <f>HYPERLINK("https://www.773grp.com/globalSearch/MC1121DMR2/page-1", "MC1121DMR2")</f>
        <v>MC1121DMR2</v>
      </c>
      <c r="B12297" s="3" t="str">
        <f>HYPERLINK("https://www.773grp.com/manufacturer/onsemi?pageNo=164", "Onsemi")</f>
        <v>Onsemi</v>
      </c>
      <c r="C12297" s="6">
        <v>683188</v>
      </c>
      <c r="D12297" s="7">
        <v>1.74</v>
      </c>
      <c r="E12297" t="s">
        <v>5</v>
      </c>
    </row>
    <row r="12298" spans="1:5" x14ac:dyDescent="0.25">
      <c r="A12298" t="str">
        <f>HYPERLINK("https://www.773grp.com/globalSearch/MC14515BCP/page-1", "MC14515BCP")</f>
        <v>MC14515BCP</v>
      </c>
      <c r="B12298" s="3" t="str">
        <f>HYPERLINK("https://www.773grp.com/manufacturer/onsemi?pageNo=165", "Onsemi")</f>
        <v>Onsemi</v>
      </c>
      <c r="C12298" s="6">
        <v>469</v>
      </c>
      <c r="D12298" s="7">
        <v>1.74</v>
      </c>
      <c r="E12298" t="s">
        <v>32</v>
      </c>
    </row>
    <row r="12299" spans="1:5" x14ac:dyDescent="0.25">
      <c r="A12299" t="str">
        <f>HYPERLINK("https://www.773grp.com/globalSearch/MC14515BCPG/page-1", "MC14515BCPG")</f>
        <v>MC14515BCPG</v>
      </c>
      <c r="B12299" s="3" t="str">
        <f>HYPERLINK("https://www.773grp.com/manufacturer/onsemi?pageNo=166", "Onsemi")</f>
        <v>Onsemi</v>
      </c>
      <c r="C12299" s="6">
        <v>98</v>
      </c>
      <c r="D12299" s="7">
        <v>1.74</v>
      </c>
      <c r="E12299" t="s">
        <v>32</v>
      </c>
    </row>
    <row r="12300" spans="1:5" x14ac:dyDescent="0.25">
      <c r="A12300" t="str">
        <f>HYPERLINK("https://www.773grp.com/globalSearch/MC14521BCPG/page-1", "MC14521BCPG")</f>
        <v>MC14521BCPG</v>
      </c>
      <c r="B12300" s="3" t="str">
        <f>HYPERLINK("https://www.773grp.com/manufacturer/onsemi?pageNo=167", "Onsemi")</f>
        <v>Onsemi</v>
      </c>
      <c r="C12300" s="6">
        <v>376</v>
      </c>
      <c r="D12300" s="7">
        <v>1.74</v>
      </c>
      <c r="E12300" t="s">
        <v>44</v>
      </c>
    </row>
    <row r="12301" spans="1:5" x14ac:dyDescent="0.25">
      <c r="A12301" t="str">
        <f>HYPERLINK("https://www.773grp.com/globalSearch/MC14521BFELG/page-1", "MC14521BFELG")</f>
        <v>MC14521BFELG</v>
      </c>
      <c r="B12301" s="3" t="str">
        <f>HYPERLINK("https://www.773grp.com/manufacturer/onsemi?pageNo=168", "Onsemi")</f>
        <v>Onsemi</v>
      </c>
      <c r="C12301" s="6">
        <v>1871</v>
      </c>
      <c r="D12301" s="7">
        <v>1.74</v>
      </c>
      <c r="E12301" t="s">
        <v>44</v>
      </c>
    </row>
    <row r="12302" spans="1:5" x14ac:dyDescent="0.25">
      <c r="A12302" t="str">
        <f>HYPERLINK("https://www.773grp.com/globalSearch/MC14521BFG/page-1", "MC14521BFG")</f>
        <v>MC14521BFG</v>
      </c>
      <c r="B12302" s="3" t="str">
        <f>HYPERLINK("https://www.773grp.com/manufacturer/onsemi?pageNo=169", "Onsemi")</f>
        <v>Onsemi</v>
      </c>
      <c r="C12302" s="6">
        <v>1681</v>
      </c>
      <c r="D12302" s="7">
        <v>1.74</v>
      </c>
      <c r="E12302" t="s">
        <v>44</v>
      </c>
    </row>
    <row r="12303" spans="1:5" x14ac:dyDescent="0.25">
      <c r="A12303" t="str">
        <f>HYPERLINK("https://www.773grp.com/globalSearch/MC33161DG/page-1", "MC33161DG")</f>
        <v>MC33161DG</v>
      </c>
      <c r="B12303" s="3" t="str">
        <f>HYPERLINK("https://www.773grp.com/manufacturer/onsemi?pageNo=170", "Onsemi")</f>
        <v>Onsemi</v>
      </c>
      <c r="C12303" s="6">
        <v>206</v>
      </c>
      <c r="D12303" s="7">
        <v>1.74</v>
      </c>
      <c r="E12303" t="s">
        <v>26</v>
      </c>
    </row>
    <row r="12304" spans="1:5" x14ac:dyDescent="0.25">
      <c r="A12304" t="str">
        <f>HYPERLINK("https://www.773grp.com/globalSearch/MC33161DR2G/page-1", "MC33161DR2G")</f>
        <v>MC33161DR2G</v>
      </c>
      <c r="B12304" s="3" t="str">
        <f>HYPERLINK("https://www.773grp.com/manufacturer/onsemi?pageNo=171", "Onsemi")</f>
        <v>Onsemi</v>
      </c>
      <c r="C12304" s="6">
        <v>12200</v>
      </c>
      <c r="D12304" s="7">
        <v>1.74</v>
      </c>
      <c r="E12304" t="s">
        <v>26</v>
      </c>
    </row>
    <row r="12305" spans="1:5" x14ac:dyDescent="0.25">
      <c r="A12305" t="str">
        <f>HYPERLINK("https://www.773grp.com/globalSearch/MC33264D-3.8/page-1", "MC33264D-3.8")</f>
        <v>MC33264D-3.8</v>
      </c>
      <c r="B12305" s="3" t="str">
        <f>HYPERLINK("https://www.773grp.com/manufacturer/onsemi?pageNo=172", "Onsemi")</f>
        <v>Onsemi</v>
      </c>
      <c r="C12305" s="6">
        <v>980</v>
      </c>
      <c r="D12305" s="7">
        <v>1.74</v>
      </c>
      <c r="E12305" t="s">
        <v>15</v>
      </c>
    </row>
    <row r="12306" spans="1:5" x14ac:dyDescent="0.25">
      <c r="A12306" t="str">
        <f>HYPERLINK("https://www.773grp.com/globalSearch/MC33264D-5.0/page-1", "MC33264D-5.0")</f>
        <v>MC33264D-5.0</v>
      </c>
      <c r="B12306" s="3" t="str">
        <f>HYPERLINK("https://www.773grp.com/manufacturer/onsemi?pageNo=173", "Onsemi")</f>
        <v>Onsemi</v>
      </c>
      <c r="C12306" s="6">
        <v>701</v>
      </c>
      <c r="D12306" s="7">
        <v>1.74</v>
      </c>
      <c r="E12306" t="s">
        <v>15</v>
      </c>
    </row>
    <row r="12307" spans="1:5" x14ac:dyDescent="0.25">
      <c r="A12307" t="str">
        <f>HYPERLINK("https://www.773grp.com/globalSearch/MC33269DT-012G/page-1", "MC33269DT-012G")</f>
        <v>MC33269DT-012G</v>
      </c>
      <c r="B12307" s="3" t="str">
        <f>HYPERLINK("https://www.773grp.com/manufacturer/onsemi?pageNo=174", "Onsemi")</f>
        <v>Onsemi</v>
      </c>
      <c r="C12307" s="6">
        <v>1725</v>
      </c>
      <c r="D12307" s="7">
        <v>1.74</v>
      </c>
    </row>
    <row r="12308" spans="1:5" x14ac:dyDescent="0.25">
      <c r="A12308" t="str">
        <f>HYPERLINK("https://www.773grp.com/globalSearch/MC33269DT-3.3G/page-1", "MC33269DT-3.3G")</f>
        <v>MC33269DT-3.3G</v>
      </c>
      <c r="B12308" s="3" t="str">
        <f>HYPERLINK("https://www.773grp.com/manufacturer/onsemi?pageNo=175", "Onsemi")</f>
        <v>Onsemi</v>
      </c>
      <c r="C12308" s="6">
        <v>52475</v>
      </c>
      <c r="D12308" s="7">
        <v>1.74</v>
      </c>
      <c r="E12308" t="s">
        <v>15</v>
      </c>
    </row>
    <row r="12309" spans="1:5" x14ac:dyDescent="0.25">
      <c r="A12309" t="str">
        <f>HYPERLINK("https://www.773grp.com/globalSearch/MC33269DT-5.0G/page-1", "MC33269DT-5.0G")</f>
        <v>MC33269DT-5.0G</v>
      </c>
      <c r="B12309" s="3" t="str">
        <f>HYPERLINK("https://www.773grp.com/manufacturer/onsemi?pageNo=176", "Onsemi")</f>
        <v>Onsemi</v>
      </c>
      <c r="C12309" s="6">
        <v>12582</v>
      </c>
      <c r="D12309" s="7">
        <v>1.74</v>
      </c>
      <c r="E12309" t="s">
        <v>15</v>
      </c>
    </row>
    <row r="12310" spans="1:5" x14ac:dyDescent="0.25">
      <c r="A12310" t="str">
        <f>HYPERLINK("https://www.773grp.com/globalSearch/MC33269DTG/page-1", "MC33269DTG")</f>
        <v>MC33269DTG</v>
      </c>
      <c r="B12310" s="3" t="str">
        <f>HYPERLINK("https://www.773grp.com/manufacturer/onsemi?pageNo=177", "Onsemi")</f>
        <v>Onsemi</v>
      </c>
      <c r="C12310" s="6">
        <v>3675</v>
      </c>
      <c r="D12310" s="7">
        <v>1.74</v>
      </c>
      <c r="E12310" t="s">
        <v>21</v>
      </c>
    </row>
    <row r="12311" spans="1:5" x14ac:dyDescent="0.25">
      <c r="A12311" t="str">
        <f>HYPERLINK("https://www.773grp.com/globalSearch/MC33269DTRK-012G/page-1", "MC33269DTRK-012G")</f>
        <v>MC33269DTRK-012G</v>
      </c>
      <c r="B12311" s="3" t="str">
        <f>HYPERLINK("https://www.773grp.com/manufacturer/onsemi?pageNo=178", "Onsemi")</f>
        <v>Onsemi</v>
      </c>
      <c r="C12311" s="6">
        <v>2139</v>
      </c>
      <c r="D12311" s="7">
        <v>1.74</v>
      </c>
      <c r="E12311" t="s">
        <v>15</v>
      </c>
    </row>
    <row r="12312" spans="1:5" x14ac:dyDescent="0.25">
      <c r="A12312" t="str">
        <f>HYPERLINK("https://www.773grp.com/globalSearch/MC33269DTRK-3.3G/page-1", "MC33269DTRK-3.3G")</f>
        <v>MC33269DTRK-3.3G</v>
      </c>
      <c r="B12312" s="3" t="str">
        <f>HYPERLINK("https://www.773grp.com/manufacturer/onsemi?pageNo=179", "Onsemi")</f>
        <v>Onsemi</v>
      </c>
      <c r="C12312" s="6">
        <v>8382</v>
      </c>
      <c r="D12312" s="7">
        <v>1.74</v>
      </c>
      <c r="E12312" t="s">
        <v>15</v>
      </c>
    </row>
    <row r="12313" spans="1:5" x14ac:dyDescent="0.25">
      <c r="A12313" t="str">
        <f>HYPERLINK("https://www.773grp.com/globalSearch/MC33269DTRK-5.0G/page-1", "MC33269DTRK-5.0G")</f>
        <v>MC33269DTRK-5.0G</v>
      </c>
      <c r="B12313" s="3" t="str">
        <f>HYPERLINK("https://www.773grp.com/manufacturer/onsemi?pageNo=180", "Onsemi")</f>
        <v>Onsemi</v>
      </c>
      <c r="C12313" s="6">
        <v>41624</v>
      </c>
      <c r="D12313" s="7">
        <v>1.74</v>
      </c>
      <c r="E12313" t="s">
        <v>15</v>
      </c>
    </row>
    <row r="12314" spans="1:5" x14ac:dyDescent="0.25">
      <c r="A12314" t="str">
        <f>HYPERLINK("https://www.773grp.com/globalSearch/MC33269DTRKG/page-1", "MC33269DTRKG")</f>
        <v>MC33269DTRKG</v>
      </c>
      <c r="B12314" s="3" t="str">
        <f>HYPERLINK("https://www.773grp.com/manufacturer/onsemi?pageNo=181", "Onsemi")</f>
        <v>Onsemi</v>
      </c>
      <c r="C12314" s="6">
        <v>15564</v>
      </c>
      <c r="D12314" s="7">
        <v>1.74</v>
      </c>
      <c r="E12314" t="s">
        <v>21</v>
      </c>
    </row>
    <row r="12315" spans="1:5" x14ac:dyDescent="0.25">
      <c r="A12315" t="str">
        <f>HYPERLINK("https://www.773grp.com/globalSearch/MC33375D-2.5G/page-1", "MC33375D-2.5G")</f>
        <v>MC33375D-2.5G</v>
      </c>
      <c r="B12315" s="3" t="str">
        <f>HYPERLINK("https://www.773grp.com/manufacturer/onsemi?pageNo=182", "Onsemi")</f>
        <v>Onsemi</v>
      </c>
      <c r="C12315" s="6">
        <v>9752</v>
      </c>
      <c r="D12315" s="7">
        <v>1.74</v>
      </c>
      <c r="E12315" t="s">
        <v>15</v>
      </c>
    </row>
    <row r="12316" spans="1:5" x14ac:dyDescent="0.25">
      <c r="A12316" t="str">
        <f>HYPERLINK("https://www.773grp.com/globalSearch/MC33375D-2.5R2G/page-1", "MC33375D-2.5R2G")</f>
        <v>MC33375D-2.5R2G</v>
      </c>
      <c r="B12316" s="3" t="str">
        <f>HYPERLINK("https://www.773grp.com/manufacturer/onsemi?pageNo=183", "Onsemi")</f>
        <v>Onsemi</v>
      </c>
      <c r="C12316" s="6">
        <v>4309</v>
      </c>
      <c r="D12316" s="7">
        <v>1.74</v>
      </c>
      <c r="E12316" t="s">
        <v>15</v>
      </c>
    </row>
    <row r="12317" spans="1:5" x14ac:dyDescent="0.25">
      <c r="A12317" t="str">
        <f>HYPERLINK("https://www.773grp.com/globalSearch/MC33375D-3.0R2G/page-1", "MC33375D-3.0R2G")</f>
        <v>MC33375D-3.0R2G</v>
      </c>
      <c r="B12317" s="3" t="str">
        <f>HYPERLINK("https://www.773grp.com/manufacturer/onsemi?pageNo=184", "Onsemi")</f>
        <v>Onsemi</v>
      </c>
      <c r="C12317" s="6">
        <v>2500</v>
      </c>
      <c r="D12317" s="7">
        <v>1.74</v>
      </c>
      <c r="E12317" t="s">
        <v>15</v>
      </c>
    </row>
    <row r="12318" spans="1:5" x14ac:dyDescent="0.25">
      <c r="A12318" t="str">
        <f>HYPERLINK("https://www.773grp.com/globalSearch/MC33375D-3.3R2G/page-1", "MC33375D-3.3R2G")</f>
        <v>MC33375D-3.3R2G</v>
      </c>
      <c r="B12318" s="3" t="str">
        <f>HYPERLINK("https://www.773grp.com/manufacturer/onsemi?pageNo=185", "Onsemi")</f>
        <v>Onsemi</v>
      </c>
      <c r="C12318" s="6">
        <v>1990</v>
      </c>
      <c r="D12318" s="7">
        <v>1.74</v>
      </c>
    </row>
    <row r="12319" spans="1:5" x14ac:dyDescent="0.25">
      <c r="A12319" t="str">
        <f>HYPERLINK("https://www.773grp.com/globalSearch/MC33375D-5.0G/page-1", "MC33375D-5.0G")</f>
        <v>MC33375D-5.0G</v>
      </c>
      <c r="B12319" s="3" t="str">
        <f>HYPERLINK("https://www.773grp.com/manufacturer/onsemi?pageNo=186", "Onsemi")</f>
        <v>Onsemi</v>
      </c>
      <c r="C12319" s="6">
        <v>15156</v>
      </c>
      <c r="D12319" s="7">
        <v>1.74</v>
      </c>
      <c r="E12319" t="s">
        <v>15</v>
      </c>
    </row>
    <row r="12320" spans="1:5" x14ac:dyDescent="0.25">
      <c r="A12320" t="str">
        <f>HYPERLINK("https://www.773grp.com/globalSearch/MC33375D-5.0R2G/page-1", "MC33375D-5.0R2G")</f>
        <v>MC33375D-5.0R2G</v>
      </c>
      <c r="B12320" s="3" t="str">
        <f>HYPERLINK("https://www.773grp.com/manufacturer/onsemi?pageNo=187", "Onsemi")</f>
        <v>Onsemi</v>
      </c>
      <c r="C12320" s="6">
        <v>11383</v>
      </c>
      <c r="D12320" s="7">
        <v>1.74</v>
      </c>
      <c r="E12320" t="s">
        <v>15</v>
      </c>
    </row>
    <row r="12321" spans="1:5" x14ac:dyDescent="0.25">
      <c r="A12321" t="str">
        <f>HYPERLINK("https://www.773grp.com/globalSearch/MC33375ST-1.8T3G/page-1", "MC33375ST-1.8T3G")</f>
        <v>MC33375ST-1.8T3G</v>
      </c>
      <c r="B12321" s="3" t="str">
        <f>HYPERLINK("https://www.773grp.com/manufacturer/onsemi?pageNo=188", "Onsemi")</f>
        <v>Onsemi</v>
      </c>
      <c r="C12321" s="6">
        <v>3179</v>
      </c>
      <c r="D12321" s="7">
        <v>1.74</v>
      </c>
    </row>
    <row r="12322" spans="1:5" x14ac:dyDescent="0.25">
      <c r="A12322" t="str">
        <f>HYPERLINK("https://www.773grp.com/globalSearch/MC33375ST-2.5T3G/page-1", "MC33375ST-2.5T3G")</f>
        <v>MC33375ST-2.5T3G</v>
      </c>
      <c r="B12322" s="3" t="str">
        <f>HYPERLINK("https://www.773grp.com/manufacturer/onsemi?pageNo=189", "Onsemi")</f>
        <v>Onsemi</v>
      </c>
      <c r="C12322" s="6">
        <v>15883</v>
      </c>
      <c r="D12322" s="7">
        <v>1.74</v>
      </c>
      <c r="E12322" t="s">
        <v>15</v>
      </c>
    </row>
    <row r="12323" spans="1:5" x14ac:dyDescent="0.25">
      <c r="A12323" t="str">
        <f>HYPERLINK("https://www.773grp.com/globalSearch/MC33375ST-3.3T3G/page-1", "MC33375ST-3.3T3G")</f>
        <v>MC33375ST-3.3T3G</v>
      </c>
      <c r="B12323" s="3" t="str">
        <f>HYPERLINK("https://www.773grp.com/manufacturer/onsemi?pageNo=190", "Onsemi")</f>
        <v>Onsemi</v>
      </c>
      <c r="C12323" s="6">
        <v>11475</v>
      </c>
      <c r="D12323" s="7">
        <v>1.74</v>
      </c>
      <c r="E12323" t="s">
        <v>15</v>
      </c>
    </row>
    <row r="12324" spans="1:5" x14ac:dyDescent="0.25">
      <c r="A12324" t="str">
        <f>HYPERLINK("https://www.773grp.com/globalSearch/MC33375ST-5.0T3G/page-1", "MC33375ST-5.0T3G")</f>
        <v>MC33375ST-5.0T3G</v>
      </c>
      <c r="B12324" s="3" t="str">
        <f>HYPERLINK("https://www.773grp.com/manufacturer/onsemi?pageNo=191", "Onsemi")</f>
        <v>Onsemi</v>
      </c>
      <c r="C12324" s="6">
        <v>32000</v>
      </c>
      <c r="D12324" s="7">
        <v>1.74</v>
      </c>
      <c r="E12324" t="s">
        <v>15</v>
      </c>
    </row>
    <row r="12325" spans="1:5" x14ac:dyDescent="0.25">
      <c r="A12325" t="str">
        <f>HYPERLINK("https://www.773grp.com/globalSearch/MC33463H-30LT1/page-1", "MC33463H-30LT1")</f>
        <v>MC33463H-30LT1</v>
      </c>
      <c r="B12325" s="3" t="str">
        <f>HYPERLINK("https://www.773grp.com/manufacturer/onsemi?pageNo=192", "Onsemi")</f>
        <v>Onsemi</v>
      </c>
      <c r="C12325" s="6">
        <v>14000</v>
      </c>
      <c r="D12325" s="7">
        <v>1.74</v>
      </c>
      <c r="E12325" t="s">
        <v>5</v>
      </c>
    </row>
    <row r="12326" spans="1:5" x14ac:dyDescent="0.25">
      <c r="A12326" t="str">
        <f>HYPERLINK("https://www.773grp.com/globalSearch/MC33502D/page-1", "MC33502D")</f>
        <v>MC33502D</v>
      </c>
      <c r="B12326" s="3" t="str">
        <f>HYPERLINK("https://www.773grp.com/manufacturer/onsemi?pageNo=193", "Onsemi")</f>
        <v>Onsemi</v>
      </c>
      <c r="C12326" s="6">
        <v>19380</v>
      </c>
      <c r="D12326" s="7">
        <v>1.74</v>
      </c>
      <c r="E12326" t="s">
        <v>10</v>
      </c>
    </row>
    <row r="12327" spans="1:5" x14ac:dyDescent="0.25">
      <c r="A12327" t="str">
        <f>HYPERLINK("https://www.773grp.com/globalSearch/MC33502DR2/page-1", "MC33502DR2")</f>
        <v>MC33502DR2</v>
      </c>
      <c r="B12327" s="3" t="str">
        <f>HYPERLINK("https://www.773grp.com/manufacturer/onsemi?pageNo=194", "Onsemi")</f>
        <v>Onsemi</v>
      </c>
      <c r="C12327" s="6">
        <v>11894</v>
      </c>
      <c r="D12327" s="7">
        <v>1.74</v>
      </c>
      <c r="E12327" t="s">
        <v>10</v>
      </c>
    </row>
    <row r="12328" spans="1:5" x14ac:dyDescent="0.25">
      <c r="A12328" t="str">
        <f>HYPERLINK("https://www.773grp.com/globalSearch/MC33502P/page-1", "MC33502P")</f>
        <v>MC33502P</v>
      </c>
      <c r="B12328" s="3" t="str">
        <f>HYPERLINK("https://www.773grp.com/manufacturer/onsemi?pageNo=195", "Onsemi")</f>
        <v>Onsemi</v>
      </c>
      <c r="C12328" s="6">
        <v>1930</v>
      </c>
      <c r="D12328" s="7">
        <v>1.74</v>
      </c>
      <c r="E12328" t="s">
        <v>10</v>
      </c>
    </row>
    <row r="12329" spans="1:5" x14ac:dyDescent="0.25">
      <c r="A12329" t="str">
        <f>HYPERLINK("https://www.773grp.com/globalSearch/MC34063BDR2G/page-1", "MC34063BDR2G")</f>
        <v>MC34063BDR2G</v>
      </c>
      <c r="B12329" s="3" t="str">
        <f>HYPERLINK("https://www.773grp.com/manufacturer/onsemi?pageNo=196", "Onsemi")</f>
        <v>Onsemi</v>
      </c>
      <c r="C12329" s="6">
        <v>2500</v>
      </c>
      <c r="D12329" s="7">
        <v>1.74</v>
      </c>
      <c r="E12329" t="s">
        <v>5</v>
      </c>
    </row>
    <row r="12330" spans="1:5" x14ac:dyDescent="0.25">
      <c r="A12330" t="str">
        <f>HYPERLINK("https://www.773grp.com/globalSearch/MC34072ADG/page-1", "MC34072ADG")</f>
        <v>MC34072ADG</v>
      </c>
      <c r="B12330" s="3" t="str">
        <f>HYPERLINK("https://www.773grp.com/manufacturer/onsemi?pageNo=197", "Onsemi")</f>
        <v>Onsemi</v>
      </c>
      <c r="C12330" s="6">
        <v>7690</v>
      </c>
      <c r="D12330" s="7">
        <v>1.74</v>
      </c>
      <c r="E12330" t="s">
        <v>10</v>
      </c>
    </row>
    <row r="12331" spans="1:5" x14ac:dyDescent="0.25">
      <c r="A12331" t="str">
        <f>HYPERLINK("https://www.773grp.com/globalSearch/MC34072ADR2G/page-1", "MC34072ADR2G")</f>
        <v>MC34072ADR2G</v>
      </c>
      <c r="B12331" s="3" t="str">
        <f>HYPERLINK("https://www.773grp.com/manufacturer/onsemi?pageNo=198", "Onsemi")</f>
        <v>Onsemi</v>
      </c>
      <c r="C12331" s="6">
        <v>4173</v>
      </c>
      <c r="D12331" s="7">
        <v>1.74</v>
      </c>
    </row>
    <row r="12332" spans="1:5" x14ac:dyDescent="0.25">
      <c r="A12332" t="str">
        <f>HYPERLINK("https://www.773grp.com/globalSearch/MC34072APG/page-1", "MC34072APG")</f>
        <v>MC34072APG</v>
      </c>
      <c r="B12332" s="3" t="str">
        <f>HYPERLINK("https://www.773grp.com/manufacturer/onsemi?pageNo=199", "Onsemi")</f>
        <v>Onsemi</v>
      </c>
      <c r="C12332" s="6">
        <v>11385</v>
      </c>
      <c r="D12332" s="7">
        <v>1.74</v>
      </c>
      <c r="E12332" t="s">
        <v>10</v>
      </c>
    </row>
    <row r="12333" spans="1:5" x14ac:dyDescent="0.25">
      <c r="A12333" t="str">
        <f>HYPERLINK("https://www.773grp.com/globalSearch/MC34161DG/page-1", "MC34161DG")</f>
        <v>MC34161DG</v>
      </c>
      <c r="B12333" s="3" t="str">
        <f>HYPERLINK("https://www.773grp.com/manufacturer/onsemi?pageNo=200", "Onsemi")</f>
        <v>Onsemi</v>
      </c>
      <c r="C12333" s="6">
        <v>5184</v>
      </c>
      <c r="D12333" s="7">
        <v>1.74</v>
      </c>
      <c r="E12333" t="s">
        <v>26</v>
      </c>
    </row>
    <row r="12334" spans="1:5" x14ac:dyDescent="0.25">
      <c r="A12334" t="str">
        <f>HYPERLINK("https://www.773grp.com/globalSearch/MC34161DMR2G/page-1", "MC34161DMR2G")</f>
        <v>MC34161DMR2G</v>
      </c>
      <c r="B12334" s="3" t="str">
        <f>HYPERLINK("https://www.773grp.com/manufacturer/onsemi?pageNo=201", "Onsemi")</f>
        <v>Onsemi</v>
      </c>
      <c r="C12334" s="6">
        <v>4000</v>
      </c>
      <c r="D12334" s="7">
        <v>1.74</v>
      </c>
    </row>
    <row r="12335" spans="1:5" x14ac:dyDescent="0.25">
      <c r="A12335" t="str">
        <f>HYPERLINK("https://www.773grp.com/globalSearch/MC74ACT353D/page-1", "MC74ACT353D")</f>
        <v>MC74ACT353D</v>
      </c>
      <c r="B12335" s="3" t="str">
        <f>HYPERLINK("https://www.773grp.com/manufacturer/onsemi?pageNo=202", "Onsemi")</f>
        <v>Onsemi</v>
      </c>
      <c r="C12335" s="6">
        <v>3442</v>
      </c>
      <c r="D12335" s="7">
        <v>1.74</v>
      </c>
      <c r="E12335" t="s">
        <v>16</v>
      </c>
    </row>
    <row r="12336" spans="1:5" x14ac:dyDescent="0.25">
      <c r="A12336" t="str">
        <f>HYPERLINK("https://www.773grp.com/globalSearch/MC74ACT373SDR2/page-1", "MC74ACT373SDR2")</f>
        <v>MC74ACT373SDR2</v>
      </c>
      <c r="B12336" s="3" t="str">
        <f>HYPERLINK("https://www.773grp.com/manufacturer/onsemi?pageNo=203", "Onsemi")</f>
        <v>Onsemi</v>
      </c>
      <c r="C12336" s="6">
        <v>2000</v>
      </c>
      <c r="D12336" s="7">
        <v>1.74</v>
      </c>
    </row>
    <row r="12337" spans="1:5" x14ac:dyDescent="0.25">
      <c r="A12337" t="str">
        <f>HYPERLINK("https://www.773grp.com/globalSearch/MC74ACT640DW/page-1", "MC74ACT640DW")</f>
        <v>MC74ACT640DW</v>
      </c>
      <c r="B12337" s="3" t="str">
        <f>HYPERLINK("https://www.773grp.com/manufacturer/onsemi?pageNo=204", "Onsemi")</f>
        <v>Onsemi</v>
      </c>
      <c r="C12337" s="6">
        <v>284</v>
      </c>
      <c r="D12337" s="7">
        <v>1.74</v>
      </c>
      <c r="E12337" t="s">
        <v>11</v>
      </c>
    </row>
    <row r="12338" spans="1:5" x14ac:dyDescent="0.25">
      <c r="A12338" t="str">
        <f>HYPERLINK("https://www.773grp.com/globalSearch/MC74HC393AF/page-1", "MC74HC393AF")</f>
        <v>MC74HC393AF</v>
      </c>
      <c r="B12338" s="3" t="str">
        <f>HYPERLINK("https://www.773grp.com/manufacturer/onsemi?pageNo=205", "Onsemi")</f>
        <v>Onsemi</v>
      </c>
      <c r="C12338" s="6">
        <v>550</v>
      </c>
      <c r="D12338" s="7">
        <v>1.74</v>
      </c>
    </row>
    <row r="12339" spans="1:5" x14ac:dyDescent="0.25">
      <c r="A12339" t="str">
        <f>HYPERLINK("https://www.773grp.com/globalSearch/MC74LVX4245DT/page-1", "MC74LVX4245DT")</f>
        <v>MC74LVX4245DT</v>
      </c>
      <c r="B12339" s="3" t="str">
        <f>HYPERLINK("https://www.773grp.com/manufacturer/onsemi?pageNo=206", "Onsemi")</f>
        <v>Onsemi</v>
      </c>
      <c r="C12339" s="6">
        <v>107</v>
      </c>
      <c r="D12339" s="7">
        <v>1.74</v>
      </c>
      <c r="E12339" t="s">
        <v>11</v>
      </c>
    </row>
    <row r="12340" spans="1:5" x14ac:dyDescent="0.25">
      <c r="A12340" t="str">
        <f>HYPERLINK("https://www.773grp.com/globalSearch/MC74LVX4245DW/page-1", "MC74LVX4245DW")</f>
        <v>MC74LVX4245DW</v>
      </c>
      <c r="B12340" s="3" t="str">
        <f>HYPERLINK("https://www.773grp.com/manufacturer/onsemi?pageNo=207", "Onsemi")</f>
        <v>Onsemi</v>
      </c>
      <c r="C12340" s="6">
        <v>13486</v>
      </c>
      <c r="D12340" s="7">
        <v>1.74</v>
      </c>
      <c r="E12340" t="s">
        <v>11</v>
      </c>
    </row>
    <row r="12341" spans="1:5" x14ac:dyDescent="0.25">
      <c r="A12341" t="str">
        <f>HYPERLINK("https://www.773grp.com/globalSearch/MC74LVX4245DWR2/page-1", "MC74LVX4245DWR2")</f>
        <v>MC74LVX4245DWR2</v>
      </c>
      <c r="B12341" s="3" t="str">
        <f>HYPERLINK("https://www.773grp.com/manufacturer/onsemi?pageNo=208", "Onsemi")</f>
        <v>Onsemi</v>
      </c>
      <c r="C12341" s="6">
        <v>17350</v>
      </c>
      <c r="D12341" s="7">
        <v>1.74</v>
      </c>
      <c r="E12341" t="s">
        <v>11</v>
      </c>
    </row>
    <row r="12342" spans="1:5" x14ac:dyDescent="0.25">
      <c r="A12342" t="str">
        <f>HYPERLINK("https://www.773grp.com/globalSearch/MC74LVX8051MG/page-1", "MC74LVX8051MG")</f>
        <v>MC74LVX8051MG</v>
      </c>
      <c r="B12342" s="3" t="str">
        <f>HYPERLINK("https://www.773grp.com/manufacturer/onsemi?pageNo=209", "Onsemi")</f>
        <v>Onsemi</v>
      </c>
      <c r="C12342" s="6">
        <v>22300</v>
      </c>
      <c r="D12342" s="7">
        <v>1.74</v>
      </c>
      <c r="E12342" t="s">
        <v>46</v>
      </c>
    </row>
    <row r="12343" spans="1:5" x14ac:dyDescent="0.25">
      <c r="A12343" t="str">
        <f>HYPERLINK("https://www.773grp.com/globalSearch/MC74LVX8053MELG/page-1", "MC74LVX8053MELG")</f>
        <v>MC74LVX8053MELG</v>
      </c>
      <c r="B12343" s="3" t="str">
        <f>HYPERLINK("https://www.773grp.com/manufacturer/onsemi?pageNo=210", "Onsemi")</f>
        <v>Onsemi</v>
      </c>
      <c r="C12343" s="6">
        <v>34000</v>
      </c>
      <c r="D12343" s="7">
        <v>1.74</v>
      </c>
      <c r="E12343" t="s">
        <v>46</v>
      </c>
    </row>
    <row r="12344" spans="1:5" x14ac:dyDescent="0.25">
      <c r="A12344" t="str">
        <f>HYPERLINK("https://www.773grp.com/globalSearch/MC74LVX8053MG/page-1", "MC74LVX8053MG")</f>
        <v>MC74LVX8053MG</v>
      </c>
      <c r="B12344" s="3" t="str">
        <f>HYPERLINK("https://www.773grp.com/manufacturer/onsemi?pageNo=211", "Onsemi")</f>
        <v>Onsemi</v>
      </c>
      <c r="C12344" s="6">
        <v>11650</v>
      </c>
      <c r="D12344" s="7">
        <v>1.74</v>
      </c>
      <c r="E12344" t="s">
        <v>46</v>
      </c>
    </row>
    <row r="12345" spans="1:5" x14ac:dyDescent="0.25">
      <c r="A12345" t="str">
        <f>HYPERLINK("https://www.773grp.com/globalSearch/MC74LVXC3245DT/page-1", "MC74LVXC3245DT")</f>
        <v>MC74LVXC3245DT</v>
      </c>
      <c r="B12345" s="3" t="str">
        <f>HYPERLINK("https://www.773grp.com/manufacturer/onsemi?pageNo=212", "Onsemi")</f>
        <v>Onsemi</v>
      </c>
      <c r="C12345" s="6">
        <v>2004</v>
      </c>
      <c r="D12345" s="7">
        <v>1.74</v>
      </c>
      <c r="E12345" t="s">
        <v>11</v>
      </c>
    </row>
    <row r="12346" spans="1:5" x14ac:dyDescent="0.25">
      <c r="A12346" t="str">
        <f>HYPERLINK("https://www.773grp.com/globalSearch/MC74LVXC3245DWR2/page-1", "MC74LVXC3245DWR2")</f>
        <v>MC74LVXC3245DWR2</v>
      </c>
      <c r="B12346" s="3" t="str">
        <f>HYPERLINK("https://www.773grp.com/manufacturer/onsemi?pageNo=213", "Onsemi")</f>
        <v>Onsemi</v>
      </c>
      <c r="C12346" s="6">
        <v>1800</v>
      </c>
      <c r="D12346" s="7">
        <v>1.74</v>
      </c>
      <c r="E12346" t="s">
        <v>11</v>
      </c>
    </row>
    <row r="12347" spans="1:5" x14ac:dyDescent="0.25">
      <c r="A12347" t="str">
        <f>HYPERLINK("https://www.773grp.com/globalSearch/MC74LVXT8051MELG/page-1", "MC74LVXT8051MELG")</f>
        <v>MC74LVXT8051MELG</v>
      </c>
      <c r="B12347" s="3" t="str">
        <f>HYPERLINK("https://www.773grp.com/manufacturer/onsemi?pageNo=214", "Onsemi")</f>
        <v>Onsemi</v>
      </c>
      <c r="C12347" s="6">
        <v>22000</v>
      </c>
      <c r="D12347" s="7">
        <v>1.74</v>
      </c>
      <c r="E12347" t="s">
        <v>46</v>
      </c>
    </row>
    <row r="12348" spans="1:5" x14ac:dyDescent="0.25">
      <c r="A12348" t="str">
        <f>HYPERLINK("https://www.773grp.com/globalSearch/MC74LVXT8051MG/page-1", "MC74LVXT8051MG")</f>
        <v>MC74LVXT8051MG</v>
      </c>
      <c r="B12348" s="3" t="str">
        <f>HYPERLINK("https://www.773grp.com/manufacturer/onsemi?pageNo=215", "Onsemi")</f>
        <v>Onsemi</v>
      </c>
      <c r="C12348" s="6">
        <v>12500</v>
      </c>
      <c r="D12348" s="7">
        <v>1.74</v>
      </c>
      <c r="E12348" t="s">
        <v>46</v>
      </c>
    </row>
    <row r="12349" spans="1:5" x14ac:dyDescent="0.25">
      <c r="A12349" t="str">
        <f>HYPERLINK("https://www.773grp.com/globalSearch/MC7805ACD2TG/page-1", "MC7805ACD2TG")</f>
        <v>MC7805ACD2TG</v>
      </c>
      <c r="B12349" s="3" t="str">
        <f>HYPERLINK("https://www.773grp.com/manufacturer/onsemi?pageNo=216", "Onsemi")</f>
        <v>Onsemi</v>
      </c>
      <c r="C12349" s="6">
        <v>7577</v>
      </c>
      <c r="D12349" s="7">
        <v>1.74</v>
      </c>
      <c r="E12349" t="s">
        <v>24</v>
      </c>
    </row>
    <row r="12350" spans="1:5" x14ac:dyDescent="0.25">
      <c r="A12350" t="str">
        <f>HYPERLINK("https://www.773grp.com/globalSearch/MC7805ACD2TR4G/page-1", "MC7805ACD2TR4G")</f>
        <v>MC7805ACD2TR4G</v>
      </c>
      <c r="B12350" s="3" t="str">
        <f>HYPERLINK("https://www.773grp.com/manufacturer/onsemi?pageNo=217", "Onsemi")</f>
        <v>Onsemi</v>
      </c>
      <c r="C12350" s="6">
        <v>1767</v>
      </c>
      <c r="D12350" s="7">
        <v>1.74</v>
      </c>
    </row>
    <row r="12351" spans="1:5" x14ac:dyDescent="0.25">
      <c r="A12351" t="str">
        <f>HYPERLINK("https://www.773grp.com/globalSearch/MC7805BD2TG/page-1", "MC7805BD2TG")</f>
        <v>MC7805BD2TG</v>
      </c>
      <c r="B12351" s="3" t="str">
        <f>HYPERLINK("https://www.773grp.com/manufacturer/onsemi?pageNo=218", "Onsemi")</f>
        <v>Onsemi</v>
      </c>
      <c r="C12351" s="6">
        <v>8137</v>
      </c>
      <c r="D12351" s="7">
        <v>1.74</v>
      </c>
      <c r="E12351" t="s">
        <v>24</v>
      </c>
    </row>
    <row r="12352" spans="1:5" x14ac:dyDescent="0.25">
      <c r="A12352" t="str">
        <f>HYPERLINK("https://www.773grp.com/globalSearch/MC7805BD2TR4G/page-1", "MC7805BD2TR4G")</f>
        <v>MC7805BD2TR4G</v>
      </c>
      <c r="B12352" s="3" t="str">
        <f>HYPERLINK("https://www.773grp.com/manufacturer/onsemi?pageNo=219", "Onsemi")</f>
        <v>Onsemi</v>
      </c>
      <c r="C12352" s="6">
        <v>25131</v>
      </c>
      <c r="D12352" s="7">
        <v>1.74</v>
      </c>
      <c r="E12352" t="s">
        <v>24</v>
      </c>
    </row>
    <row r="12353" spans="1:5" x14ac:dyDescent="0.25">
      <c r="A12353" t="str">
        <f>HYPERLINK("https://www.773grp.com/globalSearch/MC7806BD2TG/page-1", "MC7806BD2TG")</f>
        <v>MC7806BD2TG</v>
      </c>
      <c r="B12353" s="3" t="str">
        <f>HYPERLINK("https://www.773grp.com/manufacturer/onsemi?pageNo=220", "Onsemi")</f>
        <v>Onsemi</v>
      </c>
      <c r="C12353" s="6">
        <v>1750</v>
      </c>
      <c r="D12353" s="7">
        <v>1.74</v>
      </c>
      <c r="E12353" t="s">
        <v>24</v>
      </c>
    </row>
    <row r="12354" spans="1:5" x14ac:dyDescent="0.25">
      <c r="A12354" t="str">
        <f>HYPERLINK("https://www.773grp.com/globalSearch/MC7806BD2TR4G/page-1", "MC7806BD2TR4G")</f>
        <v>MC7806BD2TR4G</v>
      </c>
      <c r="B12354" s="3" t="str">
        <f>HYPERLINK("https://www.773grp.com/manufacturer/onsemi?pageNo=221", "Onsemi")</f>
        <v>Onsemi</v>
      </c>
      <c r="C12354" s="6">
        <v>1600</v>
      </c>
      <c r="D12354" s="7">
        <v>1.74</v>
      </c>
      <c r="E12354" t="s">
        <v>24</v>
      </c>
    </row>
    <row r="12355" spans="1:5" x14ac:dyDescent="0.25">
      <c r="A12355" t="str">
        <f>HYPERLINK("https://www.773grp.com/globalSearch/MC7808BD2TG/page-1", "MC7808BD2TG")</f>
        <v>MC7808BD2TG</v>
      </c>
      <c r="B12355" s="3" t="str">
        <f>HYPERLINK("https://www.773grp.com/manufacturer/onsemi?pageNo=222", "Onsemi")</f>
        <v>Onsemi</v>
      </c>
      <c r="C12355" s="6">
        <v>4050</v>
      </c>
      <c r="D12355" s="7">
        <v>1.74</v>
      </c>
      <c r="E12355" t="s">
        <v>24</v>
      </c>
    </row>
    <row r="12356" spans="1:5" x14ac:dyDescent="0.25">
      <c r="A12356" t="str">
        <f>HYPERLINK("https://www.773grp.com/globalSearch/MC7808BD2TR4G/page-1", "MC7808BD2TR4G")</f>
        <v>MC7808BD2TR4G</v>
      </c>
      <c r="B12356" s="3" t="str">
        <f>HYPERLINK("https://www.773grp.com/manufacturer/onsemi?pageNo=223", "Onsemi")</f>
        <v>Onsemi</v>
      </c>
      <c r="C12356" s="6">
        <v>800</v>
      </c>
      <c r="D12356" s="7">
        <v>1.74</v>
      </c>
    </row>
    <row r="12357" spans="1:5" x14ac:dyDescent="0.25">
      <c r="A12357" t="str">
        <f>HYPERLINK("https://www.773grp.com/globalSearch/MC7812ACD2TG/page-1", "MC7812ACD2TG")</f>
        <v>MC7812ACD2TG</v>
      </c>
      <c r="B12357" s="3" t="str">
        <f>HYPERLINK("https://www.773grp.com/manufacturer/onsemi?pageNo=224", "Onsemi")</f>
        <v>Onsemi</v>
      </c>
      <c r="C12357" s="6">
        <v>1772</v>
      </c>
      <c r="D12357" s="7">
        <v>1.74</v>
      </c>
      <c r="E12357" t="s">
        <v>24</v>
      </c>
    </row>
    <row r="12358" spans="1:5" x14ac:dyDescent="0.25">
      <c r="A12358" t="str">
        <f>HYPERLINK("https://www.773grp.com/globalSearch/MC7812ACD2TR4G/page-1", "MC7812ACD2TR4G")</f>
        <v>MC7812ACD2TR4G</v>
      </c>
      <c r="B12358" s="3" t="str">
        <f>HYPERLINK("https://www.773grp.com/manufacturer/onsemi?pageNo=225", "Onsemi")</f>
        <v>Onsemi</v>
      </c>
      <c r="C12358" s="6">
        <v>800</v>
      </c>
      <c r="D12358" s="7">
        <v>1.74</v>
      </c>
      <c r="E12358" t="s">
        <v>24</v>
      </c>
    </row>
    <row r="12359" spans="1:5" x14ac:dyDescent="0.25">
      <c r="A12359" t="str">
        <f>HYPERLINK("https://www.773grp.com/globalSearch/MC7812BD2TR4G/page-1", "MC7812BD2TR4G")</f>
        <v>MC7812BD2TR4G</v>
      </c>
      <c r="B12359" s="3" t="str">
        <f>HYPERLINK("https://www.773grp.com/manufacturer/onsemi?pageNo=226", "Onsemi")</f>
        <v>Onsemi</v>
      </c>
      <c r="C12359" s="6">
        <v>17600</v>
      </c>
      <c r="D12359" s="7">
        <v>1.74</v>
      </c>
      <c r="E12359" t="s">
        <v>24</v>
      </c>
    </row>
    <row r="12360" spans="1:5" x14ac:dyDescent="0.25">
      <c r="A12360" t="str">
        <f>HYPERLINK("https://www.773grp.com/globalSearch/MC7815ACD2TG/page-1", "MC7815ACD2TG")</f>
        <v>MC7815ACD2TG</v>
      </c>
      <c r="B12360" s="3" t="str">
        <f>HYPERLINK("https://www.773grp.com/manufacturer/onsemi?pageNo=227", "Onsemi")</f>
        <v>Onsemi</v>
      </c>
      <c r="C12360" s="6">
        <v>3608</v>
      </c>
      <c r="D12360" s="7">
        <v>1.74</v>
      </c>
      <c r="E12360" t="s">
        <v>24</v>
      </c>
    </row>
    <row r="12361" spans="1:5" x14ac:dyDescent="0.25">
      <c r="A12361" t="str">
        <f>HYPERLINK("https://www.773grp.com/globalSearch/MC7815BD2TG/page-1", "MC7815BD2TG")</f>
        <v>MC7815BD2TG</v>
      </c>
      <c r="B12361" s="3" t="str">
        <f>HYPERLINK("https://www.773grp.com/manufacturer/onsemi?pageNo=228", "Onsemi")</f>
        <v>Onsemi</v>
      </c>
      <c r="C12361" s="6">
        <v>250</v>
      </c>
      <c r="D12361" s="7">
        <v>1.74</v>
      </c>
    </row>
    <row r="12362" spans="1:5" x14ac:dyDescent="0.25">
      <c r="A12362" t="str">
        <f>HYPERLINK("https://www.773grp.com/globalSearch/MC7815BD2TR4G/page-1", "MC7815BD2TR4G")</f>
        <v>MC7815BD2TR4G</v>
      </c>
      <c r="B12362" s="3" t="str">
        <f>HYPERLINK("https://www.773grp.com/manufacturer/onsemi?pageNo=229", "Onsemi")</f>
        <v>Onsemi</v>
      </c>
      <c r="C12362" s="6">
        <v>3800</v>
      </c>
      <c r="D12362" s="7">
        <v>1.74</v>
      </c>
      <c r="E12362" t="s">
        <v>24</v>
      </c>
    </row>
    <row r="12363" spans="1:5" x14ac:dyDescent="0.25">
      <c r="A12363" t="str">
        <f>HYPERLINK("https://www.773grp.com/globalSearch/MC7824BD2TG/page-1", "MC7824BD2TG")</f>
        <v>MC7824BD2TG</v>
      </c>
      <c r="B12363" s="3" t="str">
        <f>HYPERLINK("https://www.773grp.com/manufacturer/onsemi?pageNo=230", "Onsemi")</f>
        <v>Onsemi</v>
      </c>
      <c r="C12363" s="6">
        <v>1400</v>
      </c>
      <c r="D12363" s="7">
        <v>1.74</v>
      </c>
    </row>
    <row r="12364" spans="1:5" x14ac:dyDescent="0.25">
      <c r="A12364" t="str">
        <f>HYPERLINK("https://www.773grp.com/globalSearch/MC7824BD2TR4/page-1", "MC7824BD2TR4")</f>
        <v>MC7824BD2TR4</v>
      </c>
      <c r="B12364" s="3" t="str">
        <f>HYPERLINK("https://www.773grp.com/manufacturer/onsemi?pageNo=231", "Onsemi")</f>
        <v>Onsemi</v>
      </c>
      <c r="C12364" s="6">
        <v>1600</v>
      </c>
      <c r="D12364" s="7">
        <v>1.74</v>
      </c>
      <c r="E12364" t="s">
        <v>24</v>
      </c>
    </row>
    <row r="12365" spans="1:5" x14ac:dyDescent="0.25">
      <c r="A12365" t="str">
        <f>HYPERLINK("https://www.773grp.com/globalSearch/MC7905ACD2TG/page-1", "MC7905ACD2TG")</f>
        <v>MC7905ACD2TG</v>
      </c>
      <c r="B12365" s="3" t="str">
        <f>HYPERLINK("https://www.773grp.com/manufacturer/onsemi?pageNo=232", "Onsemi")</f>
        <v>Onsemi</v>
      </c>
      <c r="C12365" s="6">
        <v>19295</v>
      </c>
      <c r="D12365" s="7">
        <v>1.74</v>
      </c>
      <c r="E12365" t="s">
        <v>53</v>
      </c>
    </row>
    <row r="12366" spans="1:5" x14ac:dyDescent="0.25">
      <c r="A12366" t="str">
        <f>HYPERLINK("https://www.773grp.com/globalSearch/MC7905ACD2TR4/page-1", "MC7905ACD2TR4")</f>
        <v>MC7905ACD2TR4</v>
      </c>
      <c r="B12366" s="3" t="str">
        <f>HYPERLINK("https://www.773grp.com/manufacturer/onsemi?pageNo=233", "Onsemi")</f>
        <v>Onsemi</v>
      </c>
      <c r="C12366" s="6">
        <v>800</v>
      </c>
      <c r="D12366" s="7">
        <v>1.74</v>
      </c>
      <c r="E12366" t="s">
        <v>53</v>
      </c>
    </row>
    <row r="12367" spans="1:5" x14ac:dyDescent="0.25">
      <c r="A12367" t="str">
        <f>HYPERLINK("https://www.773grp.com/globalSearch/MC7905ACD2TR4G/page-1", "MC7905ACD2TR4G")</f>
        <v>MC7905ACD2TR4G</v>
      </c>
      <c r="B12367" s="3" t="str">
        <f>HYPERLINK("https://www.773grp.com/manufacturer/onsemi?pageNo=234", "Onsemi")</f>
        <v>Onsemi</v>
      </c>
      <c r="C12367" s="6">
        <v>800</v>
      </c>
      <c r="D12367" s="7">
        <v>1.74</v>
      </c>
    </row>
    <row r="12368" spans="1:5" x14ac:dyDescent="0.25">
      <c r="A12368" t="str">
        <f>HYPERLINK("https://www.773grp.com/globalSearch/MC7905BD2TG/page-1", "MC7905BD2TG")</f>
        <v>MC7905BD2TG</v>
      </c>
      <c r="B12368" s="3" t="str">
        <f>HYPERLINK("https://www.773grp.com/manufacturer/onsemi?pageNo=235", "Onsemi")</f>
        <v>Onsemi</v>
      </c>
      <c r="C12368" s="6">
        <v>4329</v>
      </c>
      <c r="D12368" s="7">
        <v>1.74</v>
      </c>
      <c r="E12368" t="s">
        <v>53</v>
      </c>
    </row>
    <row r="12369" spans="1:5" x14ac:dyDescent="0.25">
      <c r="A12369" t="str">
        <f>HYPERLINK("https://www.773grp.com/globalSearch/MC7905BD2TR4/page-1", "MC7905BD2TR4")</f>
        <v>MC7905BD2TR4</v>
      </c>
      <c r="B12369" s="3" t="str">
        <f>HYPERLINK("https://www.773grp.com/manufacturer/onsemi?pageNo=236", "Onsemi")</f>
        <v>Onsemi</v>
      </c>
      <c r="C12369" s="6">
        <v>2400</v>
      </c>
      <c r="D12369" s="7">
        <v>1.74</v>
      </c>
      <c r="E12369" t="s">
        <v>53</v>
      </c>
    </row>
    <row r="12370" spans="1:5" x14ac:dyDescent="0.25">
      <c r="A12370" t="str">
        <f>HYPERLINK("https://www.773grp.com/globalSearch/MC7905BD2TR4G/page-1", "MC7905BD2TR4G")</f>
        <v>MC7905BD2TR4G</v>
      </c>
      <c r="B12370" s="3" t="str">
        <f>HYPERLINK("https://www.773grp.com/manufacturer/onsemi?pageNo=237", "Onsemi")</f>
        <v>Onsemi</v>
      </c>
      <c r="C12370" s="6">
        <v>1600</v>
      </c>
      <c r="D12370" s="7">
        <v>1.74</v>
      </c>
      <c r="E12370" t="s">
        <v>53</v>
      </c>
    </row>
    <row r="12371" spans="1:5" x14ac:dyDescent="0.25">
      <c r="A12371" t="str">
        <f>HYPERLINK("https://www.773grp.com/globalSearch/MC7912ACD2TG/page-1", "MC7912ACD2TG")</f>
        <v>MC7912ACD2TG</v>
      </c>
      <c r="B12371" s="3" t="str">
        <f>HYPERLINK("https://www.773grp.com/manufacturer/onsemi?pageNo=238", "Onsemi")</f>
        <v>Onsemi</v>
      </c>
      <c r="C12371" s="6">
        <v>1000</v>
      </c>
      <c r="D12371" s="7">
        <v>1.74</v>
      </c>
    </row>
    <row r="12372" spans="1:5" x14ac:dyDescent="0.25">
      <c r="A12372" t="str">
        <f>HYPERLINK("https://www.773grp.com/globalSearch/MC7912BD2TG/page-1", "MC7912BD2TG")</f>
        <v>MC7912BD2TG</v>
      </c>
      <c r="B12372" s="3" t="str">
        <f>HYPERLINK("https://www.773grp.com/manufacturer/onsemi?pageNo=239", "Onsemi")</f>
        <v>Onsemi</v>
      </c>
      <c r="C12372" s="6">
        <v>21000</v>
      </c>
      <c r="D12372" s="7">
        <v>1.74</v>
      </c>
      <c r="E12372" t="s">
        <v>53</v>
      </c>
    </row>
    <row r="12373" spans="1:5" x14ac:dyDescent="0.25">
      <c r="A12373" t="str">
        <f>HYPERLINK("https://www.773grp.com/globalSearch/MC7915ACD2TG/page-1", "MC7915ACD2TG")</f>
        <v>MC7915ACD2TG</v>
      </c>
      <c r="B12373" s="3" t="str">
        <f>HYPERLINK("https://www.773grp.com/manufacturer/onsemi?pageNo=240", "Onsemi")</f>
        <v>Onsemi</v>
      </c>
      <c r="C12373" s="6">
        <v>1350</v>
      </c>
      <c r="D12373" s="7">
        <v>1.74</v>
      </c>
      <c r="E12373" t="s">
        <v>53</v>
      </c>
    </row>
    <row r="12374" spans="1:5" x14ac:dyDescent="0.25">
      <c r="A12374" t="str">
        <f>HYPERLINK("https://www.773grp.com/globalSearch/MC7915BD2T/page-1", "MC7915BD2T")</f>
        <v>MC7915BD2T</v>
      </c>
      <c r="B12374" s="3" t="str">
        <f>HYPERLINK("https://www.773grp.com/manufacturer/onsemi?pageNo=241", "Onsemi")</f>
        <v>Onsemi</v>
      </c>
      <c r="C12374" s="6">
        <v>390</v>
      </c>
      <c r="D12374" s="7">
        <v>1.74</v>
      </c>
      <c r="E12374" t="s">
        <v>53</v>
      </c>
    </row>
    <row r="12375" spans="1:5" x14ac:dyDescent="0.25">
      <c r="A12375" t="str">
        <f>HYPERLINK("https://www.773grp.com/globalSearch/MC7915BD2TG/page-1", "MC7915BD2TG")</f>
        <v>MC7915BD2TG</v>
      </c>
      <c r="B12375" s="3" t="str">
        <f>HYPERLINK("https://www.773grp.com/manufacturer/onsemi?pageNo=242", "Onsemi")</f>
        <v>Onsemi</v>
      </c>
      <c r="C12375" s="6">
        <v>581</v>
      </c>
      <c r="D12375" s="7">
        <v>1.74</v>
      </c>
      <c r="E12375" t="s">
        <v>53</v>
      </c>
    </row>
    <row r="12376" spans="1:5" x14ac:dyDescent="0.25">
      <c r="A12376" t="str">
        <f>HYPERLINK("https://www.773grp.com/globalSearch/MCR218-6FP/page-1", "MCR218-6FP")</f>
        <v>MCR218-6FP</v>
      </c>
      <c r="B12376" s="3" t="str">
        <f>HYPERLINK("https://www.773grp.com/manufacturer/onsemi?pageNo=243", "Onsemi")</f>
        <v>Onsemi</v>
      </c>
      <c r="C12376" s="6">
        <v>28086</v>
      </c>
      <c r="D12376" s="7">
        <v>1.74</v>
      </c>
      <c r="E12376" t="s">
        <v>76</v>
      </c>
    </row>
    <row r="12377" spans="1:5" x14ac:dyDescent="0.25">
      <c r="A12377" t="str">
        <f>HYPERLINK("https://www.773grp.com/globalSearch/MJB41CG/page-1", "MJB41CG")</f>
        <v>MJB41CG</v>
      </c>
      <c r="B12377" s="3" t="str">
        <f>HYPERLINK("https://www.773grp.com/manufacturer/onsemi?pageNo=244", "Onsemi")</f>
        <v>Onsemi</v>
      </c>
      <c r="C12377" s="6">
        <v>110</v>
      </c>
      <c r="D12377" s="7">
        <v>1.74</v>
      </c>
      <c r="E12377" t="s">
        <v>47</v>
      </c>
    </row>
    <row r="12378" spans="1:5" x14ac:dyDescent="0.25">
      <c r="A12378" t="str">
        <f>HYPERLINK("https://www.773grp.com/globalSearch/MJB41CT4G/page-1", "MJB41CT4G")</f>
        <v>MJB41CT4G</v>
      </c>
      <c r="B12378" s="3" t="str">
        <f>HYPERLINK("https://www.773grp.com/manufacturer/onsemi?pageNo=245", "Onsemi")</f>
        <v>Onsemi</v>
      </c>
      <c r="C12378" s="6">
        <v>37126</v>
      </c>
      <c r="D12378" s="7">
        <v>1.74</v>
      </c>
      <c r="E12378" t="s">
        <v>47</v>
      </c>
    </row>
    <row r="12379" spans="1:5" x14ac:dyDescent="0.25">
      <c r="A12379" t="str">
        <f>HYPERLINK("https://www.773grp.com/globalSearch/MJE5740/page-1", "MJE5740")</f>
        <v>MJE5740</v>
      </c>
      <c r="B12379" s="3" t="str">
        <f>HYPERLINK("https://www.773grp.com/manufacturer/onsemi?pageNo=246", "Onsemi")</f>
        <v>Onsemi</v>
      </c>
      <c r="C12379" s="6">
        <v>15</v>
      </c>
      <c r="D12379" s="7">
        <v>1.74</v>
      </c>
      <c r="E12379" t="s">
        <v>47</v>
      </c>
    </row>
    <row r="12380" spans="1:5" x14ac:dyDescent="0.25">
      <c r="A12380" t="str">
        <f>HYPERLINK("https://www.773grp.com/globalSearch/MUR1610CTG/page-1", "MUR1610CTG")</f>
        <v>MUR1610CTG</v>
      </c>
      <c r="B12380" s="3" t="str">
        <f>HYPERLINK("https://www.773grp.com/manufacturer/onsemi?pageNo=247", "Onsemi")</f>
        <v>Onsemi</v>
      </c>
      <c r="C12380" s="6">
        <v>6770</v>
      </c>
      <c r="D12380" s="7">
        <v>1.74</v>
      </c>
      <c r="E12380" t="s">
        <v>82</v>
      </c>
    </row>
    <row r="12381" spans="1:5" x14ac:dyDescent="0.25">
      <c r="A12381" t="str">
        <f>HYPERLINK("https://www.773grp.com/globalSearch/MUR1615CTG/page-1", "MUR1615CTG")</f>
        <v>MUR1615CTG</v>
      </c>
      <c r="B12381" s="3" t="str">
        <f>HYPERLINK("https://www.773grp.com/manufacturer/onsemi?pageNo=248", "Onsemi")</f>
        <v>Onsemi</v>
      </c>
      <c r="C12381" s="6">
        <v>2692</v>
      </c>
      <c r="D12381" s="7">
        <v>1.74</v>
      </c>
      <c r="E12381" t="s">
        <v>82</v>
      </c>
    </row>
    <row r="12382" spans="1:5" x14ac:dyDescent="0.25">
      <c r="A12382" t="str">
        <f>HYPERLINK("https://www.773grp.com/globalSearch/MUR1620CTG/page-1", "MUR1620CTG")</f>
        <v>MUR1620CTG</v>
      </c>
      <c r="B12382" s="3" t="str">
        <f>HYPERLINK("https://www.773grp.com/manufacturer/onsemi?pageNo=249", "Onsemi")</f>
        <v>Onsemi</v>
      </c>
      <c r="C12382" s="6">
        <v>46090</v>
      </c>
      <c r="D12382" s="7">
        <v>1.74</v>
      </c>
      <c r="E12382" t="s">
        <v>82</v>
      </c>
    </row>
    <row r="12383" spans="1:5" x14ac:dyDescent="0.25">
      <c r="A12383" t="str">
        <f>HYPERLINK("https://www.773grp.com/globalSearch/MUR1620CTR/page-1", "MUR1620CTR")</f>
        <v>MUR1620CTR</v>
      </c>
      <c r="B12383" s="3" t="str">
        <f>HYPERLINK("https://www.773grp.com/manufacturer/onsemi?pageNo=250", "Onsemi")</f>
        <v>Onsemi</v>
      </c>
      <c r="C12383" s="6">
        <v>48094</v>
      </c>
      <c r="D12383" s="7">
        <v>1.74</v>
      </c>
      <c r="E12383" t="s">
        <v>82</v>
      </c>
    </row>
    <row r="12384" spans="1:5" x14ac:dyDescent="0.25">
      <c r="A12384" t="str">
        <f>HYPERLINK("https://www.773grp.com/globalSearch/MURS360T3/page-1", "MURS360T3")</f>
        <v>MURS360T3</v>
      </c>
      <c r="B12384" s="3" t="str">
        <f>HYPERLINK("https://www.773grp.com/manufacturer/onsemi?pageNo=251", "Onsemi")</f>
        <v>Onsemi</v>
      </c>
      <c r="C12384" s="6">
        <v>5000</v>
      </c>
      <c r="D12384" s="7">
        <v>1.74</v>
      </c>
    </row>
    <row r="12385" spans="1:5" x14ac:dyDescent="0.25">
      <c r="A12385" t="str">
        <f>HYPERLINK("https://www.773grp.com/globalSearch/NCP383LMUAJAATXG/page-1", "NCP383LMUAJAATXG")</f>
        <v>NCP383LMUAJAATXG</v>
      </c>
      <c r="B12385" s="3" t="str">
        <f>HYPERLINK("https://www.773grp.com/manufacturer/onsemi?pageNo=252", "Onsemi")</f>
        <v>Onsemi</v>
      </c>
      <c r="C12385" s="6">
        <v>882000</v>
      </c>
      <c r="D12385" s="7">
        <v>1.74</v>
      </c>
    </row>
    <row r="12386" spans="1:5" x14ac:dyDescent="0.25">
      <c r="A12386" t="str">
        <f>HYPERLINK("https://www.773grp.com/globalSearch/NCP5008DMR2/page-1", "NCP5008DMR2")</f>
        <v>NCP5008DMR2</v>
      </c>
      <c r="B12386" s="3" t="str">
        <f>HYPERLINK("https://www.773grp.com/manufacturer/onsemi?pageNo=253", "Onsemi")</f>
        <v>Onsemi</v>
      </c>
      <c r="C12386" s="6">
        <v>39931</v>
      </c>
      <c r="D12386" s="7">
        <v>1.74</v>
      </c>
      <c r="E12386" t="s">
        <v>7</v>
      </c>
    </row>
    <row r="12387" spans="1:5" x14ac:dyDescent="0.25">
      <c r="A12387" t="str">
        <f>HYPERLINK("https://www.773grp.com/globalSearch/NCP81031MNTWG/page-1", "NCP81031MNTWG")</f>
        <v>NCP81031MNTWG</v>
      </c>
      <c r="B12387" s="3" t="str">
        <f>HYPERLINK("https://www.773grp.com/manufacturer/onsemi?pageNo=254", "Onsemi")</f>
        <v>Onsemi</v>
      </c>
      <c r="C12387" s="6">
        <v>3000</v>
      </c>
      <c r="D12387" s="7">
        <v>1.74</v>
      </c>
    </row>
    <row r="12388" spans="1:5" x14ac:dyDescent="0.25">
      <c r="A12388" t="str">
        <f>HYPERLINK("https://www.773grp.com/globalSearch/NCS36000DG/page-1", "NCS36000DG")</f>
        <v>NCS36000DG</v>
      </c>
      <c r="B12388" s="3" t="str">
        <f>HYPERLINK("https://www.773grp.com/manufacturer/onsemi?pageNo=255", "Onsemi")</f>
        <v>Onsemi</v>
      </c>
      <c r="C12388" s="6">
        <v>220</v>
      </c>
      <c r="D12388" s="7">
        <v>1.74</v>
      </c>
    </row>
    <row r="12389" spans="1:5" x14ac:dyDescent="0.25">
      <c r="A12389" t="str">
        <f>HYPERLINK("https://www.773grp.com/globalSearch/NCV8560MN150R2G/page-1", "NCV8560MN150R2G")</f>
        <v>NCV8560MN150R2G</v>
      </c>
      <c r="B12389" s="3" t="str">
        <f>HYPERLINK("https://www.773grp.com/manufacturer/onsemi?pageNo=256", "Onsemi")</f>
        <v>Onsemi</v>
      </c>
      <c r="C12389" s="6">
        <v>3250</v>
      </c>
      <c r="D12389" s="7">
        <v>1.74</v>
      </c>
    </row>
    <row r="12390" spans="1:5" x14ac:dyDescent="0.25">
      <c r="A12390" t="str">
        <f>HYPERLINK("https://www.773grp.com/globalSearch/NCV8560MN180R2G/page-1", "NCV8560MN180R2G")</f>
        <v>NCV8560MN180R2G</v>
      </c>
      <c r="B12390" s="3" t="str">
        <f>HYPERLINK("https://www.773grp.com/manufacturer/onsemi?pageNo=257", "Onsemi")</f>
        <v>Onsemi</v>
      </c>
      <c r="C12390" s="6">
        <v>26980</v>
      </c>
      <c r="D12390" s="7">
        <v>1.74</v>
      </c>
      <c r="E12390" t="s">
        <v>15</v>
      </c>
    </row>
    <row r="12391" spans="1:5" x14ac:dyDescent="0.25">
      <c r="A12391" t="str">
        <f>HYPERLINK("https://www.773grp.com/globalSearch/NCV8560MN250R2G/page-1", "NCV8560MN250R2G")</f>
        <v>NCV8560MN250R2G</v>
      </c>
      <c r="B12391" s="3" t="str">
        <f>HYPERLINK("https://www.773grp.com/manufacturer/onsemi?pageNo=258", "Onsemi")</f>
        <v>Onsemi</v>
      </c>
      <c r="C12391" s="6">
        <v>8900</v>
      </c>
      <c r="D12391" s="7">
        <v>1.74</v>
      </c>
      <c r="E12391" t="s">
        <v>15</v>
      </c>
    </row>
    <row r="12392" spans="1:5" x14ac:dyDescent="0.25">
      <c r="A12392" t="str">
        <f>HYPERLINK("https://www.773grp.com/globalSearch/NCV8560MN280R2G/page-1", "NCV8560MN280R2G")</f>
        <v>NCV8560MN280R2G</v>
      </c>
      <c r="B12392" s="3" t="str">
        <f>HYPERLINK("https://www.773grp.com/manufacturer/onsemi?pageNo=259", "Onsemi")</f>
        <v>Onsemi</v>
      </c>
      <c r="C12392" s="6">
        <v>6000</v>
      </c>
      <c r="D12392" s="7">
        <v>1.74</v>
      </c>
      <c r="E12392" t="s">
        <v>15</v>
      </c>
    </row>
    <row r="12393" spans="1:5" x14ac:dyDescent="0.25">
      <c r="A12393" t="str">
        <f>HYPERLINK("https://www.773grp.com/globalSearch/NCV8560MN300R2G/page-1", "NCV8560MN300R2G")</f>
        <v>NCV8560MN300R2G</v>
      </c>
      <c r="B12393" s="3" t="str">
        <f>HYPERLINK("https://www.773grp.com/manufacturer/onsemi?pageNo=260", "Onsemi")</f>
        <v>Onsemi</v>
      </c>
      <c r="C12393" s="6">
        <v>18000</v>
      </c>
      <c r="D12393" s="7">
        <v>1.74</v>
      </c>
      <c r="E12393" t="s">
        <v>15</v>
      </c>
    </row>
    <row r="12394" spans="1:5" x14ac:dyDescent="0.25">
      <c r="A12394" t="str">
        <f>HYPERLINK("https://www.773grp.com/globalSearch/NCV8560MN330R2G/page-1", "NCV8560MN330R2G")</f>
        <v>NCV8560MN330R2G</v>
      </c>
      <c r="B12394" s="3" t="str">
        <f>HYPERLINK("https://www.773grp.com/manufacturer/onsemi?pageNo=261", "Onsemi")</f>
        <v>Onsemi</v>
      </c>
      <c r="C12394" s="6">
        <v>24000</v>
      </c>
      <c r="D12394" s="7">
        <v>1.74</v>
      </c>
      <c r="E12394" t="s">
        <v>15</v>
      </c>
    </row>
    <row r="12395" spans="1:5" x14ac:dyDescent="0.25">
      <c r="A12395" t="str">
        <f>HYPERLINK("https://www.773grp.com/globalSearch/NCV8560MN350R2G/page-1", "NCV8560MN350R2G")</f>
        <v>NCV8560MN350R2G</v>
      </c>
      <c r="B12395" s="3" t="str">
        <f>HYPERLINK("https://www.773grp.com/manufacturer/onsemi?pageNo=262", "Onsemi")</f>
        <v>Onsemi</v>
      </c>
      <c r="C12395" s="6">
        <v>18000</v>
      </c>
      <c r="D12395" s="7">
        <v>1.74</v>
      </c>
      <c r="E12395" t="s">
        <v>15</v>
      </c>
    </row>
    <row r="12396" spans="1:5" x14ac:dyDescent="0.25">
      <c r="A12396" t="str">
        <f>HYPERLINK("https://www.773grp.com/globalSearch/NCV8560MN500R2G/page-1", "NCV8560MN500R2G")</f>
        <v>NCV8560MN500R2G</v>
      </c>
      <c r="B12396" s="3" t="str">
        <f>HYPERLINK("https://www.773grp.com/manufacturer/onsemi?pageNo=263", "Onsemi")</f>
        <v>Onsemi</v>
      </c>
      <c r="C12396" s="6">
        <v>5850</v>
      </c>
      <c r="D12396" s="7">
        <v>1.74</v>
      </c>
      <c r="E12396" t="s">
        <v>15</v>
      </c>
    </row>
    <row r="12397" spans="1:5" x14ac:dyDescent="0.25">
      <c r="A12397" t="str">
        <f>HYPERLINK("https://www.773grp.com/globalSearch/NCV8560MNADJR2G/page-1", "NCV8560MNADJR2G")</f>
        <v>NCV8560MNADJR2G</v>
      </c>
      <c r="B12397" s="3" t="str">
        <f>HYPERLINK("https://www.773grp.com/manufacturer/onsemi?pageNo=264", "Onsemi")</f>
        <v>Onsemi</v>
      </c>
      <c r="C12397" s="6">
        <v>3005</v>
      </c>
      <c r="D12397" s="7">
        <v>1.74</v>
      </c>
    </row>
    <row r="12398" spans="1:5" x14ac:dyDescent="0.25">
      <c r="A12398" t="str">
        <f>HYPERLINK("https://www.773grp.com/globalSearch/NE5532D8/page-1", "NE5532D8")</f>
        <v>NE5532D8</v>
      </c>
      <c r="B12398" s="3" t="str">
        <f>HYPERLINK("https://www.773grp.com/manufacturer/onsemi?pageNo=265", "Onsemi")</f>
        <v>Onsemi</v>
      </c>
      <c r="C12398" s="6">
        <v>2005</v>
      </c>
      <c r="D12398" s="7">
        <v>1.74</v>
      </c>
      <c r="E12398" t="s">
        <v>10</v>
      </c>
    </row>
    <row r="12399" spans="1:5" x14ac:dyDescent="0.25">
      <c r="A12399" t="str">
        <f>HYPERLINK("https://www.773grp.com/globalSearch/NE592N14G/page-1", "NE592N14G")</f>
        <v>NE592N14G</v>
      </c>
      <c r="B12399" s="3" t="str">
        <f>HYPERLINK("https://www.773grp.com/manufacturer/onsemi?pageNo=266", "Onsemi")</f>
        <v>Onsemi</v>
      </c>
      <c r="C12399" s="6">
        <v>3614</v>
      </c>
      <c r="D12399" s="7">
        <v>1.74</v>
      </c>
      <c r="E12399" t="s">
        <v>14</v>
      </c>
    </row>
    <row r="12400" spans="1:5" x14ac:dyDescent="0.25">
      <c r="A12400" t="str">
        <f>HYPERLINK("https://www.773grp.com/globalSearch/NLV14521BDG/page-1", "NLV14521BDG")</f>
        <v>NLV14521BDG</v>
      </c>
      <c r="B12400" s="3" t="str">
        <f>HYPERLINK("https://www.773grp.com/manufacturer/onsemi?pageNo=267", "Onsemi")</f>
        <v>Onsemi</v>
      </c>
      <c r="C12400" s="6">
        <v>5088</v>
      </c>
      <c r="D12400" s="7">
        <v>1.74</v>
      </c>
    </row>
    <row r="12401" spans="1:5" x14ac:dyDescent="0.25">
      <c r="A12401" t="str">
        <f>HYPERLINK("https://www.773grp.com/globalSearch/NLV14521BDR2G/page-1", "NLV14521BDR2G")</f>
        <v>NLV14521BDR2G</v>
      </c>
      <c r="B12401" s="3" t="str">
        <f>HYPERLINK("https://www.773grp.com/manufacturer/onsemi?pageNo=268", "Onsemi")</f>
        <v>Onsemi</v>
      </c>
      <c r="C12401" s="6">
        <v>7500</v>
      </c>
      <c r="D12401" s="7">
        <v>1.74</v>
      </c>
    </row>
    <row r="12402" spans="1:5" x14ac:dyDescent="0.25">
      <c r="A12402" t="str">
        <f>HYPERLINK("https://www.773grp.com/globalSearch/NRVBS330T3G/page-1", "NRVBS330T3G")</f>
        <v>NRVBS330T3G</v>
      </c>
      <c r="B12402" s="3" t="str">
        <f>HYPERLINK("https://www.773grp.com/manufacturer/onsemi?pageNo=269", "Onsemi")</f>
        <v>Onsemi</v>
      </c>
      <c r="C12402" s="6">
        <v>10000</v>
      </c>
      <c r="D12402" s="7">
        <v>1.74</v>
      </c>
    </row>
    <row r="12403" spans="1:5" x14ac:dyDescent="0.25">
      <c r="A12403" t="str">
        <f>HYPERLINK("https://www.773grp.com/globalSearch/NTD110N02RT4G/page-1", "NTD110N02RT4G")</f>
        <v>NTD110N02RT4G</v>
      </c>
      <c r="B12403" s="3" t="str">
        <f>HYPERLINK("https://www.773grp.com/manufacturer/onsemi?pageNo=270", "Onsemi")</f>
        <v>Onsemi</v>
      </c>
      <c r="C12403" s="6">
        <v>5643</v>
      </c>
      <c r="D12403" s="7">
        <v>1.74</v>
      </c>
      <c r="E12403" t="s">
        <v>84</v>
      </c>
    </row>
    <row r="12404" spans="1:5" x14ac:dyDescent="0.25">
      <c r="A12404" t="str">
        <f>HYPERLINK("https://www.773grp.com/globalSearch/NTMS4802NR2G/page-1", "NTMS4802NR2G")</f>
        <v>NTMS4802NR2G</v>
      </c>
      <c r="B12404" s="3" t="str">
        <f>HYPERLINK("https://www.773grp.com/manufacturer/onsemi?pageNo=271", "Onsemi")</f>
        <v>Onsemi</v>
      </c>
      <c r="C12404" s="6">
        <v>10000</v>
      </c>
      <c r="D12404" s="7">
        <v>1.74</v>
      </c>
      <c r="E12404" t="s">
        <v>85</v>
      </c>
    </row>
    <row r="12405" spans="1:5" x14ac:dyDescent="0.25">
      <c r="A12405" t="str">
        <f>HYPERLINK("https://www.773grp.com/globalSearch/NUC2401MNTAG/page-1", "NUC2401MNTAG")</f>
        <v>NUC2401MNTAG</v>
      </c>
      <c r="B12405" s="3" t="str">
        <f>HYPERLINK("https://www.773grp.com/manufacturer/onsemi?pageNo=272", "Onsemi")</f>
        <v>Onsemi</v>
      </c>
      <c r="C12405" s="6">
        <v>179696</v>
      </c>
      <c r="D12405" s="7">
        <v>1.74</v>
      </c>
      <c r="E12405" t="s">
        <v>75</v>
      </c>
    </row>
    <row r="12406" spans="1:5" x14ac:dyDescent="0.25">
      <c r="A12406" t="str">
        <f>HYPERLINK("https://www.773grp.com/globalSearch/SE5230/page-1", "SE5230")</f>
        <v>SE5230</v>
      </c>
      <c r="B12406" s="3" t="str">
        <f>HYPERLINK("https://www.773grp.com/manufacturer/onsemi?pageNo=273", "Onsemi")</f>
        <v>Onsemi</v>
      </c>
      <c r="C12406" s="6">
        <v>1666</v>
      </c>
      <c r="D12406" s="7">
        <v>1.74</v>
      </c>
    </row>
    <row r="12407" spans="1:5" x14ac:dyDescent="0.25">
      <c r="A12407" t="str">
        <f>HYPERLINK("https://www.773grp.com/globalSearch/TL062VD/page-1", "TL062VD")</f>
        <v>TL062VD</v>
      </c>
      <c r="B12407" s="3" t="str">
        <f>HYPERLINK("https://www.773grp.com/manufacturer/onsemi?pageNo=274", "Onsemi")</f>
        <v>Onsemi</v>
      </c>
      <c r="C12407" s="6">
        <v>11459</v>
      </c>
      <c r="D12407" s="7">
        <v>1.74</v>
      </c>
      <c r="E12407" t="s">
        <v>10</v>
      </c>
    </row>
    <row r="12408" spans="1:5" x14ac:dyDescent="0.25">
      <c r="A12408" t="str">
        <f>HYPERLINK("https://www.773grp.com/globalSearch/2N6487G/page-1", "2N6487G")</f>
        <v>2N6487G</v>
      </c>
      <c r="B12408" s="3" t="str">
        <f>HYPERLINK("https://www.773grp.com/manufacturer/onsemi?pageNo=275", "Onsemi")</f>
        <v>Onsemi</v>
      </c>
      <c r="C12408" s="6">
        <v>2671</v>
      </c>
      <c r="D12408" s="7">
        <v>1.79</v>
      </c>
      <c r="E12408" t="s">
        <v>47</v>
      </c>
    </row>
    <row r="12409" spans="1:5" x14ac:dyDescent="0.25">
      <c r="A12409" t="str">
        <f>HYPERLINK("https://www.773grp.com/globalSearch/2N6488G/page-1", "2N6488G")</f>
        <v>2N6488G</v>
      </c>
      <c r="B12409" s="3" t="str">
        <f>HYPERLINK("https://www.773grp.com/manufacturer/onsemi?pageNo=276", "Onsemi")</f>
        <v>Onsemi</v>
      </c>
      <c r="C12409" s="6">
        <v>68336</v>
      </c>
      <c r="D12409" s="7">
        <v>1.79</v>
      </c>
      <c r="E12409" t="s">
        <v>47</v>
      </c>
    </row>
    <row r="12410" spans="1:5" x14ac:dyDescent="0.25">
      <c r="A12410" t="str">
        <f>HYPERLINK("https://www.773grp.com/globalSearch/2N6667G/page-1", "2N6667G")</f>
        <v>2N6667G</v>
      </c>
      <c r="B12410" s="3" t="str">
        <f>HYPERLINK("https://www.773grp.com/manufacturer/onsemi?pageNo=277", "Onsemi")</f>
        <v>Onsemi</v>
      </c>
      <c r="C12410" s="6">
        <v>783</v>
      </c>
      <c r="D12410" s="7">
        <v>1.79</v>
      </c>
      <c r="E12410" t="s">
        <v>47</v>
      </c>
    </row>
    <row r="12411" spans="1:5" x14ac:dyDescent="0.25">
      <c r="A12411" t="str">
        <f>HYPERLINK("https://www.773grp.com/globalSearch/ADP3193AJCPZ-RL/page-1", "ADP3193AJCPZ-RL")</f>
        <v>ADP3193AJCPZ-RL</v>
      </c>
      <c r="B12411" s="3" t="str">
        <f>HYPERLINK("https://www.773grp.com/manufacturer/onsemi?pageNo=278", "Onsemi")</f>
        <v>Onsemi</v>
      </c>
      <c r="C12411" s="6">
        <v>15302</v>
      </c>
      <c r="D12411" s="7">
        <v>1.79</v>
      </c>
      <c r="E12411" t="s">
        <v>5</v>
      </c>
    </row>
    <row r="12412" spans="1:5" x14ac:dyDescent="0.25">
      <c r="A12412" t="str">
        <f>HYPERLINK("https://www.773grp.com/globalSearch/BD809G/page-1", "BD809G")</f>
        <v>BD809G</v>
      </c>
      <c r="B12412" s="3" t="str">
        <f>HYPERLINK("https://www.773grp.com/manufacturer/onsemi?pageNo=279", "Onsemi")</f>
        <v>Onsemi</v>
      </c>
      <c r="C12412" s="6">
        <v>1551</v>
      </c>
      <c r="D12412" s="7">
        <v>1.79</v>
      </c>
      <c r="E12412" t="s">
        <v>47</v>
      </c>
    </row>
    <row r="12413" spans="1:5" x14ac:dyDescent="0.25">
      <c r="A12413" t="str">
        <f>HYPERLINK("https://www.773grp.com/globalSearch/BYW29-200G/page-1", "BYW29-200G")</f>
        <v>BYW29-200G</v>
      </c>
      <c r="B12413" s="3" t="str">
        <f>HYPERLINK("https://www.773grp.com/manufacturer/onsemi?pageNo=280", "Onsemi")</f>
        <v>Onsemi</v>
      </c>
      <c r="C12413" s="6">
        <v>59600</v>
      </c>
      <c r="D12413" s="7">
        <v>1.79</v>
      </c>
      <c r="E12413" t="s">
        <v>82</v>
      </c>
    </row>
    <row r="12414" spans="1:5" x14ac:dyDescent="0.25">
      <c r="A12414" t="str">
        <f>HYPERLINK("https://www.773grp.com/globalSearch/BYW80-200G/page-1", "BYW80-200G")</f>
        <v>BYW80-200G</v>
      </c>
      <c r="B12414" s="3" t="str">
        <f>HYPERLINK("https://www.773grp.com/manufacturer/onsemi?pageNo=281", "Onsemi")</f>
        <v>Onsemi</v>
      </c>
      <c r="C12414" s="6">
        <v>15</v>
      </c>
      <c r="D12414" s="7">
        <v>1.79</v>
      </c>
    </row>
    <row r="12415" spans="1:5" x14ac:dyDescent="0.25">
      <c r="A12415" t="str">
        <f>HYPERLINK("https://www.773grp.com/globalSearch/CAT102TDI-GT3/page-1", "CAT102TDI-GT3")</f>
        <v>CAT102TDI-GT3</v>
      </c>
      <c r="B12415" s="3" t="str">
        <f>HYPERLINK("https://www.773grp.com/manufacturer/onsemi?pageNo=282", "Onsemi")</f>
        <v>Onsemi</v>
      </c>
      <c r="C12415" s="6">
        <v>3000</v>
      </c>
      <c r="D12415" s="7">
        <v>1.79</v>
      </c>
    </row>
    <row r="12416" spans="1:5" x14ac:dyDescent="0.25">
      <c r="A12416" t="str">
        <f>HYPERLINK("https://www.773grp.com/globalSearch/CS5201-1GDPR3/page-1", "CS5201-1GDPR3")</f>
        <v>CS5201-1GDPR3</v>
      </c>
      <c r="B12416" s="3" t="str">
        <f>HYPERLINK("https://www.773grp.com/manufacturer/onsemi?pageNo=283", "Onsemi")</f>
        <v>Onsemi</v>
      </c>
      <c r="C12416" s="6">
        <v>2236</v>
      </c>
      <c r="D12416" s="7">
        <v>1.79</v>
      </c>
      <c r="E12416" t="s">
        <v>21</v>
      </c>
    </row>
    <row r="12417" spans="1:5" x14ac:dyDescent="0.25">
      <c r="A12417" t="str">
        <f>HYPERLINK("https://www.773grp.com/globalSearch/CS52015-1GT3/page-1", "CS52015-1GT3")</f>
        <v>CS52015-1GT3</v>
      </c>
      <c r="B12417" s="3" t="str">
        <f>HYPERLINK("https://www.773grp.com/manufacturer/onsemi?pageNo=284", "Onsemi")</f>
        <v>Onsemi</v>
      </c>
      <c r="C12417" s="6">
        <v>16850</v>
      </c>
      <c r="D12417" s="7">
        <v>1.79</v>
      </c>
      <c r="E12417" t="s">
        <v>21</v>
      </c>
    </row>
    <row r="12418" spans="1:5" x14ac:dyDescent="0.25">
      <c r="A12418" t="str">
        <f>HYPERLINK("https://www.773grp.com/globalSearch/CS52015-3GDP3/page-1", "CS52015-3GDP3")</f>
        <v>CS52015-3GDP3</v>
      </c>
      <c r="B12418" s="3" t="str">
        <f>HYPERLINK("https://www.773grp.com/manufacturer/onsemi?pageNo=285", "Onsemi")</f>
        <v>Onsemi</v>
      </c>
      <c r="C12418" s="6">
        <v>787</v>
      </c>
      <c r="D12418" s="7">
        <v>1.79</v>
      </c>
      <c r="E12418" t="s">
        <v>15</v>
      </c>
    </row>
    <row r="12419" spans="1:5" x14ac:dyDescent="0.25">
      <c r="A12419" t="str">
        <f>HYPERLINK("https://www.773grp.com/globalSearch/CS52015-3GDPR3/page-1", "CS52015-3GDPR3")</f>
        <v>CS52015-3GDPR3</v>
      </c>
      <c r="B12419" s="3" t="str">
        <f>HYPERLINK("https://www.773grp.com/manufacturer/onsemi?pageNo=286", "Onsemi")</f>
        <v>Onsemi</v>
      </c>
      <c r="C12419" s="6">
        <v>1500</v>
      </c>
      <c r="D12419" s="7">
        <v>1.79</v>
      </c>
      <c r="E12419" t="s">
        <v>15</v>
      </c>
    </row>
    <row r="12420" spans="1:5" x14ac:dyDescent="0.25">
      <c r="A12420" t="str">
        <f>HYPERLINK("https://www.773grp.com/globalSearch/CS52015-3GT3/page-1", "CS52015-3GT3")</f>
        <v>CS52015-3GT3</v>
      </c>
      <c r="B12420" s="3" t="str">
        <f>HYPERLINK("https://www.773grp.com/manufacturer/onsemi?pageNo=287", "Onsemi")</f>
        <v>Onsemi</v>
      </c>
      <c r="C12420" s="6">
        <v>11750</v>
      </c>
      <c r="D12420" s="7">
        <v>1.79</v>
      </c>
      <c r="E12420" t="s">
        <v>15</v>
      </c>
    </row>
    <row r="12421" spans="1:5" x14ac:dyDescent="0.25">
      <c r="A12421" t="str">
        <f>HYPERLINK("https://www.773grp.com/globalSearch/J110RLRAG/page-1", "J110RLRAG")</f>
        <v>J110RLRAG</v>
      </c>
      <c r="B12421" s="3" t="str">
        <f>HYPERLINK("https://www.773grp.com/manufacturer/onsemi?pageNo=288", "Onsemi")</f>
        <v>Onsemi</v>
      </c>
      <c r="C12421" s="6">
        <v>37800</v>
      </c>
      <c r="D12421" s="7">
        <v>1.79</v>
      </c>
      <c r="E12421" t="s">
        <v>85</v>
      </c>
    </row>
    <row r="12422" spans="1:5" x14ac:dyDescent="0.25">
      <c r="A12422" t="str">
        <f>HYPERLINK("https://www.773grp.com/globalSearch/LM317MADTRKG/page-1", "LM317MADTRKG")</f>
        <v>LM317MADTRKG</v>
      </c>
      <c r="B12422" s="3" t="str">
        <f>HYPERLINK("https://www.773grp.com/manufacturer/onsemi?pageNo=289", "Onsemi")</f>
        <v>Onsemi</v>
      </c>
      <c r="C12422" s="6">
        <v>5927</v>
      </c>
      <c r="D12422" s="7">
        <v>1.79</v>
      </c>
      <c r="E12422" t="s">
        <v>18</v>
      </c>
    </row>
    <row r="12423" spans="1:5" x14ac:dyDescent="0.25">
      <c r="A12423" t="str">
        <f>HYPERLINK("https://www.773grp.com/globalSearch/LM317MBDTG/page-1", "LM317MBDTG")</f>
        <v>LM317MBDTG</v>
      </c>
      <c r="B12423" s="3" t="str">
        <f>HYPERLINK("https://www.773grp.com/manufacturer/onsemi?pageNo=290", "Onsemi")</f>
        <v>Onsemi</v>
      </c>
      <c r="C12423" s="6">
        <v>75</v>
      </c>
      <c r="D12423" s="7">
        <v>1.79</v>
      </c>
      <c r="E12423" t="s">
        <v>18</v>
      </c>
    </row>
    <row r="12424" spans="1:5" x14ac:dyDescent="0.25">
      <c r="A12424" t="str">
        <f>HYPERLINK("https://www.773grp.com/globalSearch/LM317MBDTRKG/page-1", "LM317MBDTRKG")</f>
        <v>LM317MBDTRKG</v>
      </c>
      <c r="B12424" s="3" t="str">
        <f>HYPERLINK("https://www.773grp.com/manufacturer/onsemi?pageNo=291", "Onsemi")</f>
        <v>Onsemi</v>
      </c>
      <c r="C12424" s="6">
        <v>62258</v>
      </c>
      <c r="D12424" s="7">
        <v>1.79</v>
      </c>
    </row>
    <row r="12425" spans="1:5" x14ac:dyDescent="0.25">
      <c r="A12425" t="str">
        <f>HYPERLINK("https://www.773grp.com/globalSearch/LP2951CDM-3.0R2G/page-1", "LP2951CDM-3.0R2G")</f>
        <v>LP2951CDM-3.0R2G</v>
      </c>
      <c r="B12425" s="3" t="str">
        <f>HYPERLINK("https://www.773grp.com/manufacturer/onsemi?pageNo=292", "Onsemi")</f>
        <v>Onsemi</v>
      </c>
      <c r="C12425" s="6">
        <v>3150</v>
      </c>
      <c r="D12425" s="7">
        <v>1.79</v>
      </c>
      <c r="E12425" t="s">
        <v>23</v>
      </c>
    </row>
    <row r="12426" spans="1:5" x14ac:dyDescent="0.25">
      <c r="A12426" t="str">
        <f>HYPERLINK("https://www.773grp.com/globalSearch/LP2951CDM-3.3R2G/page-1", "LP2951CDM-3.3R2G")</f>
        <v>LP2951CDM-3.3R2G</v>
      </c>
      <c r="B12426" s="3" t="str">
        <f>HYPERLINK("https://www.773grp.com/manufacturer/onsemi?pageNo=293", "Onsemi")</f>
        <v>Onsemi</v>
      </c>
      <c r="C12426" s="6">
        <v>39805</v>
      </c>
      <c r="D12426" s="7">
        <v>1.79</v>
      </c>
      <c r="E12426" t="s">
        <v>23</v>
      </c>
    </row>
    <row r="12427" spans="1:5" x14ac:dyDescent="0.25">
      <c r="A12427" t="str">
        <f>HYPERLINK("https://www.773grp.com/globalSearch/LP2951CDMR2G/page-1", "LP2951CDMR2G")</f>
        <v>LP2951CDMR2G</v>
      </c>
      <c r="B12427" s="3" t="str">
        <f>HYPERLINK("https://www.773grp.com/manufacturer/onsemi?pageNo=294", "Onsemi")</f>
        <v>Onsemi</v>
      </c>
      <c r="C12427" s="6">
        <v>3273</v>
      </c>
      <c r="D12427" s="7">
        <v>1.79</v>
      </c>
      <c r="E12427" t="s">
        <v>23</v>
      </c>
    </row>
    <row r="12428" spans="1:5" x14ac:dyDescent="0.25">
      <c r="A12428" t="str">
        <f>HYPERLINK("https://www.773grp.com/globalSearch/MBR10H100CTG/page-1", "MBR10H100CTG")</f>
        <v>MBR10H100CTG</v>
      </c>
      <c r="B12428" s="3" t="str">
        <f>HYPERLINK("https://www.773grp.com/manufacturer/onsemi?pageNo=295", "Onsemi")</f>
        <v>Onsemi</v>
      </c>
      <c r="C12428" s="6">
        <v>134776</v>
      </c>
      <c r="D12428" s="7">
        <v>1.79</v>
      </c>
      <c r="E12428" t="s">
        <v>82</v>
      </c>
    </row>
    <row r="12429" spans="1:5" x14ac:dyDescent="0.25">
      <c r="A12429" t="str">
        <f>HYPERLINK("https://www.773grp.com/globalSearch/MBR4015CTL/page-1", "MBR4015CTL")</f>
        <v>MBR4015CTL</v>
      </c>
      <c r="B12429" s="3" t="str">
        <f>HYPERLINK("https://www.773grp.com/manufacturer/onsemi?pageNo=296", "Onsemi")</f>
        <v>Onsemi</v>
      </c>
      <c r="C12429" s="6">
        <v>5065</v>
      </c>
      <c r="D12429" s="7">
        <v>1.79</v>
      </c>
      <c r="E12429" t="s">
        <v>82</v>
      </c>
    </row>
    <row r="12430" spans="1:5" x14ac:dyDescent="0.25">
      <c r="A12430" t="str">
        <f>HYPERLINK("https://www.773grp.com/globalSearch/MBRB3045CT-1G/page-1", "MBRB3045CT-1G")</f>
        <v>MBRB3045CT-1G</v>
      </c>
      <c r="B12430" s="3" t="str">
        <f>HYPERLINK("https://www.773grp.com/manufacturer/onsemi?pageNo=297", "Onsemi")</f>
        <v>Onsemi</v>
      </c>
      <c r="C12430" s="6">
        <v>35100</v>
      </c>
      <c r="D12430" s="7">
        <v>1.79</v>
      </c>
      <c r="E12430" t="s">
        <v>82</v>
      </c>
    </row>
    <row r="12431" spans="1:5" x14ac:dyDescent="0.25">
      <c r="A12431" t="str">
        <f>HYPERLINK("https://www.773grp.com/globalSearch/MC14022BCPG/page-1", "MC14022BCPG")</f>
        <v>MC14022BCPG</v>
      </c>
      <c r="B12431" s="3" t="str">
        <f>HYPERLINK("https://www.773grp.com/manufacturer/onsemi?pageNo=298", "Onsemi")</f>
        <v>Onsemi</v>
      </c>
      <c r="C12431" s="6">
        <v>9158</v>
      </c>
      <c r="D12431" s="7">
        <v>1.79</v>
      </c>
      <c r="E12431" t="s">
        <v>22</v>
      </c>
    </row>
    <row r="12432" spans="1:5" x14ac:dyDescent="0.25">
      <c r="A12432" t="str">
        <f>HYPERLINK("https://www.773grp.com/globalSearch/MC1496BDG/page-1", "MC1496BDG")</f>
        <v>MC1496BDG</v>
      </c>
      <c r="B12432" s="3" t="str">
        <f>HYPERLINK("https://www.773grp.com/manufacturer/onsemi?pageNo=299", "Onsemi")</f>
        <v>Onsemi</v>
      </c>
      <c r="C12432" s="6">
        <v>720</v>
      </c>
      <c r="D12432" s="7">
        <v>1.79</v>
      </c>
    </row>
    <row r="12433" spans="1:5" x14ac:dyDescent="0.25">
      <c r="A12433" t="str">
        <f>HYPERLINK("https://www.773grp.com/globalSearch/MC1496BDR2G/page-1", "MC1496BDR2G")</f>
        <v>MC1496BDR2G</v>
      </c>
      <c r="B12433" s="3" t="str">
        <f>HYPERLINK("https://www.773grp.com/manufacturer/onsemi?pageNo=300", "Onsemi")</f>
        <v>Onsemi</v>
      </c>
      <c r="C12433" s="6">
        <v>32500</v>
      </c>
      <c r="D12433" s="7">
        <v>1.79</v>
      </c>
    </row>
    <row r="12434" spans="1:5" x14ac:dyDescent="0.25">
      <c r="A12434" t="str">
        <f>HYPERLINK("https://www.773grp.com/globalSearch/MC1496BPG/page-1", "MC1496BPG")</f>
        <v>MC1496BPG</v>
      </c>
      <c r="B12434" s="3" t="str">
        <f>HYPERLINK("https://www.773grp.com/manufacturer/onsemi?pageNo=301", "Onsemi")</f>
        <v>Onsemi</v>
      </c>
      <c r="C12434" s="6">
        <v>13</v>
      </c>
      <c r="D12434" s="7">
        <v>1.79</v>
      </c>
      <c r="E12434" t="s">
        <v>19</v>
      </c>
    </row>
    <row r="12435" spans="1:5" x14ac:dyDescent="0.25">
      <c r="A12435" t="str">
        <f>HYPERLINK("https://www.773grp.com/globalSearch/MC33063ADG/page-1", "MC33063ADG")</f>
        <v>MC33063ADG</v>
      </c>
      <c r="B12435" s="3" t="str">
        <f>HYPERLINK("https://www.773grp.com/manufacturer/onsemi?pageNo=302", "Onsemi")</f>
        <v>Onsemi</v>
      </c>
      <c r="C12435" s="6">
        <v>17934</v>
      </c>
      <c r="D12435" s="7">
        <v>1.79</v>
      </c>
      <c r="E12435" t="s">
        <v>5</v>
      </c>
    </row>
    <row r="12436" spans="1:5" x14ac:dyDescent="0.25">
      <c r="A12436" t="str">
        <f>HYPERLINK("https://www.773grp.com/globalSearch/MC33063ADR2G/page-1", "MC33063ADR2G")</f>
        <v>MC33063ADR2G</v>
      </c>
      <c r="B12436" s="3" t="str">
        <f>HYPERLINK("https://www.773grp.com/manufacturer/onsemi?pageNo=303", "Onsemi")</f>
        <v>Onsemi</v>
      </c>
      <c r="C12436" s="6">
        <v>140000</v>
      </c>
      <c r="D12436" s="7">
        <v>1.79</v>
      </c>
      <c r="E12436" t="s">
        <v>5</v>
      </c>
    </row>
    <row r="12437" spans="1:5" x14ac:dyDescent="0.25">
      <c r="A12437" t="str">
        <f>HYPERLINK("https://www.773grp.com/globalSearch/MC33202DG/page-1", "MC33202DG")</f>
        <v>MC33202DG</v>
      </c>
      <c r="B12437" s="3" t="str">
        <f>HYPERLINK("https://www.773grp.com/manufacturer/onsemi?pageNo=304", "Onsemi")</f>
        <v>Onsemi</v>
      </c>
      <c r="C12437" s="6">
        <v>5992</v>
      </c>
      <c r="D12437" s="7">
        <v>1.79</v>
      </c>
      <c r="E12437" t="s">
        <v>10</v>
      </c>
    </row>
    <row r="12438" spans="1:5" x14ac:dyDescent="0.25">
      <c r="A12438" t="str">
        <f>HYPERLINK("https://www.773grp.com/globalSearch/MC33202DR2G/page-1", "MC33202DR2G")</f>
        <v>MC33202DR2G</v>
      </c>
      <c r="B12438" s="3" t="str">
        <f>HYPERLINK("https://www.773grp.com/manufacturer/onsemi?pageNo=305", "Onsemi")</f>
        <v>Onsemi</v>
      </c>
      <c r="C12438" s="6">
        <v>55900</v>
      </c>
      <c r="D12438" s="7">
        <v>1.79</v>
      </c>
      <c r="E12438" t="s">
        <v>10</v>
      </c>
    </row>
    <row r="12439" spans="1:5" x14ac:dyDescent="0.25">
      <c r="A12439" t="str">
        <f>HYPERLINK("https://www.773grp.com/globalSearch/MC33565DR2G/page-1", "MC33565DR2G")</f>
        <v>MC33565DR2G</v>
      </c>
      <c r="B12439" s="3" t="str">
        <f>HYPERLINK("https://www.773grp.com/manufacturer/onsemi?pageNo=306", "Onsemi")</f>
        <v>Onsemi</v>
      </c>
      <c r="C12439" s="6">
        <v>4950</v>
      </c>
      <c r="D12439" s="7">
        <v>1.79</v>
      </c>
      <c r="E12439" t="s">
        <v>15</v>
      </c>
    </row>
    <row r="12440" spans="1:5" x14ac:dyDescent="0.25">
      <c r="A12440" t="str">
        <f>HYPERLINK("https://www.773grp.com/globalSearch/MC34063AMG/page-1", "MC34063AMG")</f>
        <v>MC34063AMG</v>
      </c>
      <c r="B12440" s="3" t="str">
        <f>HYPERLINK("https://www.773grp.com/manufacturer/onsemi?pageNo=307", "Onsemi")</f>
        <v>Onsemi</v>
      </c>
      <c r="C12440" s="6">
        <v>29</v>
      </c>
      <c r="D12440" s="7">
        <v>1.79</v>
      </c>
      <c r="E12440" t="s">
        <v>5</v>
      </c>
    </row>
    <row r="12441" spans="1:5" x14ac:dyDescent="0.25">
      <c r="A12441" t="str">
        <f>HYPERLINK("https://www.773grp.com/globalSearch/MC74AC112N/page-1", "MC74AC112N")</f>
        <v>MC74AC112N</v>
      </c>
      <c r="B12441" s="3" t="str">
        <f>HYPERLINK("https://www.773grp.com/manufacturer/onsemi?pageNo=308", "Onsemi")</f>
        <v>Onsemi</v>
      </c>
      <c r="C12441" s="6">
        <v>55</v>
      </c>
      <c r="D12441" s="7">
        <v>1.79</v>
      </c>
      <c r="E12441" t="s">
        <v>31</v>
      </c>
    </row>
    <row r="12442" spans="1:5" x14ac:dyDescent="0.25">
      <c r="A12442" t="str">
        <f>HYPERLINK("https://www.773grp.com/globalSearch/MC74LCX245SDR2/page-1", "MC74LCX245SDR2")</f>
        <v>MC74LCX245SDR2</v>
      </c>
      <c r="B12442" s="3" t="str">
        <f>HYPERLINK("https://www.773grp.com/manufacturer/onsemi?pageNo=309", "Onsemi")</f>
        <v>Onsemi</v>
      </c>
      <c r="C12442" s="6">
        <v>1000</v>
      </c>
      <c r="D12442" s="7">
        <v>1.79</v>
      </c>
      <c r="E12442" t="s">
        <v>11</v>
      </c>
    </row>
    <row r="12443" spans="1:5" x14ac:dyDescent="0.25">
      <c r="A12443" t="str">
        <f>HYPERLINK("https://www.773grp.com/globalSearch/MCR704ARL/page-1", "MCR704ARL")</f>
        <v>MCR704ARL</v>
      </c>
      <c r="B12443" s="3" t="str">
        <f>HYPERLINK("https://www.773grp.com/manufacturer/onsemi?pageNo=310", "Onsemi")</f>
        <v>Onsemi</v>
      </c>
      <c r="C12443" s="6">
        <v>3450</v>
      </c>
      <c r="D12443" s="7">
        <v>1.79</v>
      </c>
      <c r="E12443" t="s">
        <v>76</v>
      </c>
    </row>
    <row r="12444" spans="1:5" x14ac:dyDescent="0.25">
      <c r="A12444" t="str">
        <f>HYPERLINK("https://www.773grp.com/globalSearch/MJE13007G/page-1", "MJE13007G")</f>
        <v>MJE13007G</v>
      </c>
      <c r="B12444" s="3" t="str">
        <f>HYPERLINK("https://www.773grp.com/manufacturer/onsemi?pageNo=311", "Onsemi")</f>
        <v>Onsemi</v>
      </c>
      <c r="C12444" s="6">
        <v>15100</v>
      </c>
      <c r="D12444" s="7">
        <v>1.79</v>
      </c>
      <c r="E12444" t="s">
        <v>47</v>
      </c>
    </row>
    <row r="12445" spans="1:5" x14ac:dyDescent="0.25">
      <c r="A12445" t="str">
        <f>HYPERLINK("https://www.773grp.com/globalSearch/MTD1312T4/page-1", "MTD1312T4")</f>
        <v>MTD1312T4</v>
      </c>
      <c r="B12445" s="3" t="str">
        <f>HYPERLINK("https://www.773grp.com/manufacturer/onsemi?pageNo=312", "Onsemi")</f>
        <v>Onsemi</v>
      </c>
      <c r="C12445" s="6">
        <v>4590</v>
      </c>
      <c r="D12445" s="7">
        <v>1.79</v>
      </c>
      <c r="E12445" t="s">
        <v>84</v>
      </c>
    </row>
    <row r="12446" spans="1:5" x14ac:dyDescent="0.25">
      <c r="A12446" t="str">
        <f>HYPERLINK("https://www.773grp.com/globalSearch/MTP4N40E/page-1", "MTP4N40E")</f>
        <v>MTP4N40E</v>
      </c>
      <c r="B12446" s="3" t="str">
        <f>HYPERLINK("https://www.773grp.com/manufacturer/onsemi?pageNo=313", "Onsemi")</f>
        <v>Onsemi</v>
      </c>
      <c r="C12446" s="6">
        <v>5499</v>
      </c>
      <c r="D12446" s="7">
        <v>1.79</v>
      </c>
      <c r="E12446" t="s">
        <v>84</v>
      </c>
    </row>
    <row r="12447" spans="1:5" x14ac:dyDescent="0.25">
      <c r="A12447" t="str">
        <f>HYPERLINK("https://www.773grp.com/globalSearch/MUR805G/page-1", "MUR805G")</f>
        <v>MUR805G</v>
      </c>
      <c r="B12447" s="3" t="str">
        <f>HYPERLINK("https://www.773grp.com/manufacturer/onsemi?pageNo=314", "Onsemi")</f>
        <v>Onsemi</v>
      </c>
      <c r="C12447" s="6">
        <v>13640</v>
      </c>
      <c r="D12447" s="7">
        <v>1.79</v>
      </c>
      <c r="E12447" t="s">
        <v>82</v>
      </c>
    </row>
    <row r="12448" spans="1:5" x14ac:dyDescent="0.25">
      <c r="A12448" t="str">
        <f>HYPERLINK("https://www.773grp.com/globalSearch/MUR810G/page-1", "MUR810G")</f>
        <v>MUR810G</v>
      </c>
      <c r="B12448" s="3" t="str">
        <f>HYPERLINK("https://www.773grp.com/manufacturer/onsemi?pageNo=315", "Onsemi")</f>
        <v>Onsemi</v>
      </c>
      <c r="C12448" s="6">
        <v>3000</v>
      </c>
      <c r="D12448" s="7">
        <v>1.79</v>
      </c>
      <c r="E12448" t="s">
        <v>82</v>
      </c>
    </row>
    <row r="12449" spans="1:5" x14ac:dyDescent="0.25">
      <c r="A12449" t="str">
        <f>HYPERLINK("https://www.773grp.com/globalSearch/MUR815G/page-1", "MUR815G")</f>
        <v>MUR815G</v>
      </c>
      <c r="B12449" s="3" t="str">
        <f>HYPERLINK("https://www.773grp.com/manufacturer/onsemi?pageNo=316", "Onsemi")</f>
        <v>Onsemi</v>
      </c>
      <c r="C12449" s="6">
        <v>518</v>
      </c>
      <c r="D12449" s="7">
        <v>1.79</v>
      </c>
      <c r="E12449" t="s">
        <v>82</v>
      </c>
    </row>
    <row r="12450" spans="1:5" x14ac:dyDescent="0.25">
      <c r="A12450" t="str">
        <f>HYPERLINK("https://www.773grp.com/globalSearch/MUR820G/page-1", "MUR820G")</f>
        <v>MUR820G</v>
      </c>
      <c r="B12450" s="3" t="str">
        <f>HYPERLINK("https://www.773grp.com/manufacturer/onsemi?pageNo=317", "Onsemi")</f>
        <v>Onsemi</v>
      </c>
      <c r="C12450" s="6">
        <v>12258</v>
      </c>
      <c r="D12450" s="7">
        <v>1.79</v>
      </c>
      <c r="E12450" t="s">
        <v>82</v>
      </c>
    </row>
    <row r="12451" spans="1:5" x14ac:dyDescent="0.25">
      <c r="A12451" t="str">
        <f>HYPERLINK("https://www.773grp.com/globalSearch/MURF1620CT/page-1", "MURF1620CT")</f>
        <v>MURF1620CT</v>
      </c>
      <c r="B12451" s="3" t="str">
        <f>HYPERLINK("https://www.773grp.com/manufacturer/onsemi?pageNo=318", "Onsemi")</f>
        <v>Onsemi</v>
      </c>
      <c r="C12451" s="6">
        <v>900</v>
      </c>
      <c r="D12451" s="7">
        <v>1.79</v>
      </c>
      <c r="E12451" t="s">
        <v>82</v>
      </c>
    </row>
    <row r="12452" spans="1:5" x14ac:dyDescent="0.25">
      <c r="A12452" t="str">
        <f>HYPERLINK("https://www.773grp.com/globalSearch/NCP1200P40G/page-1", "NCP1200P40G")</f>
        <v>NCP1200P40G</v>
      </c>
      <c r="B12452" s="3" t="str">
        <f>HYPERLINK("https://www.773grp.com/manufacturer/onsemi?pageNo=319", "Onsemi")</f>
        <v>Onsemi</v>
      </c>
      <c r="C12452" s="6">
        <v>200</v>
      </c>
      <c r="D12452" s="7">
        <v>1.79</v>
      </c>
      <c r="E12452" t="s">
        <v>5</v>
      </c>
    </row>
    <row r="12453" spans="1:5" x14ac:dyDescent="0.25">
      <c r="A12453" t="str">
        <f>HYPERLINK("https://www.773grp.com/globalSearch/NCP1200P60G/page-1", "NCP1200P60G")</f>
        <v>NCP1200P60G</v>
      </c>
      <c r="B12453" s="3" t="str">
        <f>HYPERLINK("https://www.773grp.com/manufacturer/onsemi?pageNo=320", "Onsemi")</f>
        <v>Onsemi</v>
      </c>
      <c r="C12453" s="6">
        <v>125032</v>
      </c>
      <c r="D12453" s="7">
        <v>1.79</v>
      </c>
      <c r="E12453" t="s">
        <v>5</v>
      </c>
    </row>
    <row r="12454" spans="1:5" x14ac:dyDescent="0.25">
      <c r="A12454" t="str">
        <f>HYPERLINK("https://www.773grp.com/globalSearch/NCP1203P100G/page-1", "NCP1203P100G")</f>
        <v>NCP1203P100G</v>
      </c>
      <c r="B12454" s="3" t="str">
        <f>HYPERLINK("https://www.773grp.com/manufacturer/onsemi?pageNo=321", "Onsemi")</f>
        <v>Onsemi</v>
      </c>
      <c r="C12454" s="6">
        <v>177691</v>
      </c>
      <c r="D12454" s="7">
        <v>1.79</v>
      </c>
      <c r="E12454" t="s">
        <v>5</v>
      </c>
    </row>
    <row r="12455" spans="1:5" x14ac:dyDescent="0.25">
      <c r="A12455" t="str">
        <f>HYPERLINK("https://www.773grp.com/globalSearch/NCP1203P40G/page-1", "NCP1203P40G")</f>
        <v>NCP1203P40G</v>
      </c>
      <c r="B12455" s="3" t="str">
        <f>HYPERLINK("https://www.773grp.com/manufacturer/onsemi?pageNo=322", "Onsemi")</f>
        <v>Onsemi</v>
      </c>
      <c r="C12455" s="6">
        <v>69582</v>
      </c>
      <c r="D12455" s="7">
        <v>1.79</v>
      </c>
      <c r="E12455" t="s">
        <v>5</v>
      </c>
    </row>
    <row r="12456" spans="1:5" x14ac:dyDescent="0.25">
      <c r="A12456" t="str">
        <f>HYPERLINK("https://www.773grp.com/globalSearch/NCP1586DR2G/page-1", "NCP1586DR2G")</f>
        <v>NCP1586DR2G</v>
      </c>
      <c r="B12456" s="3" t="str">
        <f>HYPERLINK("https://www.773grp.com/manufacturer/onsemi?pageNo=323", "Onsemi")</f>
        <v>Onsemi</v>
      </c>
      <c r="C12456" s="6">
        <v>1160</v>
      </c>
      <c r="D12456" s="7">
        <v>1.79</v>
      </c>
      <c r="E12456" t="s">
        <v>5</v>
      </c>
    </row>
    <row r="12457" spans="1:5" x14ac:dyDescent="0.25">
      <c r="A12457" t="str">
        <f>HYPERLINK("https://www.773grp.com/globalSearch/NCP3335ADM150R2G/page-1", "NCP3335ADM150R2G")</f>
        <v>NCP3335ADM150R2G</v>
      </c>
      <c r="B12457" s="3" t="str">
        <f>HYPERLINK("https://www.773grp.com/manufacturer/onsemi?pageNo=324", "Onsemi")</f>
        <v>Onsemi</v>
      </c>
      <c r="C12457" s="6">
        <v>7607</v>
      </c>
      <c r="D12457" s="7">
        <v>1.79</v>
      </c>
      <c r="E12457" t="s">
        <v>39</v>
      </c>
    </row>
    <row r="12458" spans="1:5" x14ac:dyDescent="0.25">
      <c r="A12458" t="str">
        <f>HYPERLINK("https://www.773grp.com/globalSearch/NCP3335ADM180R2G/page-1", "NCP3335ADM180R2G")</f>
        <v>NCP3335ADM180R2G</v>
      </c>
      <c r="B12458" s="3" t="str">
        <f>HYPERLINK("https://www.773grp.com/manufacturer/onsemi?pageNo=325", "Onsemi")</f>
        <v>Onsemi</v>
      </c>
      <c r="C12458" s="6">
        <v>10273</v>
      </c>
      <c r="D12458" s="7">
        <v>1.79</v>
      </c>
      <c r="E12458" t="s">
        <v>39</v>
      </c>
    </row>
    <row r="12459" spans="1:5" x14ac:dyDescent="0.25">
      <c r="A12459" t="str">
        <f>HYPERLINK("https://www.773grp.com/globalSearch/NCP3335ADM250R2G/page-1", "NCP3335ADM250R2G")</f>
        <v>NCP3335ADM250R2G</v>
      </c>
      <c r="B12459" s="3" t="str">
        <f>HYPERLINK("https://www.773grp.com/manufacturer/onsemi?pageNo=326", "Onsemi")</f>
        <v>Onsemi</v>
      </c>
      <c r="C12459" s="6">
        <v>6544</v>
      </c>
      <c r="D12459" s="7">
        <v>1.79</v>
      </c>
      <c r="E12459" t="s">
        <v>39</v>
      </c>
    </row>
    <row r="12460" spans="1:5" x14ac:dyDescent="0.25">
      <c r="A12460" t="str">
        <f>HYPERLINK("https://www.773grp.com/globalSearch/NCP3335ADM280R2G/page-1", "NCP3335ADM280R2G")</f>
        <v>NCP3335ADM280R2G</v>
      </c>
      <c r="B12460" s="3" t="str">
        <f>HYPERLINK("https://www.773grp.com/manufacturer/onsemi?pageNo=327", "Onsemi")</f>
        <v>Onsemi</v>
      </c>
      <c r="C12460" s="6">
        <v>11900</v>
      </c>
      <c r="D12460" s="7">
        <v>1.79</v>
      </c>
      <c r="E12460" t="s">
        <v>39</v>
      </c>
    </row>
    <row r="12461" spans="1:5" x14ac:dyDescent="0.25">
      <c r="A12461" t="str">
        <f>HYPERLINK("https://www.773grp.com/globalSearch/NCP3335ADM285R2G/page-1", "NCP3335ADM285R2G")</f>
        <v>NCP3335ADM285R2G</v>
      </c>
      <c r="B12461" s="3" t="str">
        <f>HYPERLINK("https://www.773grp.com/manufacturer/onsemi?pageNo=328", "Onsemi")</f>
        <v>Onsemi</v>
      </c>
      <c r="C12461" s="6">
        <v>11895</v>
      </c>
      <c r="D12461" s="7">
        <v>1.79</v>
      </c>
      <c r="E12461" t="s">
        <v>39</v>
      </c>
    </row>
    <row r="12462" spans="1:5" x14ac:dyDescent="0.25">
      <c r="A12462" t="str">
        <f>HYPERLINK("https://www.773grp.com/globalSearch/NCP3335ADM300R2G/page-1", "NCP3335ADM300R2G")</f>
        <v>NCP3335ADM300R2G</v>
      </c>
      <c r="B12462" s="3" t="str">
        <f>HYPERLINK("https://www.773grp.com/manufacturer/onsemi?pageNo=329", "Onsemi")</f>
        <v>Onsemi</v>
      </c>
      <c r="C12462" s="6">
        <v>3895</v>
      </c>
      <c r="D12462" s="7">
        <v>1.79</v>
      </c>
      <c r="E12462" t="s">
        <v>39</v>
      </c>
    </row>
    <row r="12463" spans="1:5" x14ac:dyDescent="0.25">
      <c r="A12463" t="str">
        <f>HYPERLINK("https://www.773grp.com/globalSearch/NCP3335ADM330R2G/page-1", "NCP3335ADM330R2G")</f>
        <v>NCP3335ADM330R2G</v>
      </c>
      <c r="B12463" s="3" t="str">
        <f>HYPERLINK("https://www.773grp.com/manufacturer/onsemi?pageNo=330", "Onsemi")</f>
        <v>Onsemi</v>
      </c>
      <c r="C12463" s="6">
        <v>104000</v>
      </c>
      <c r="D12463" s="7">
        <v>1.79</v>
      </c>
      <c r="E12463" t="s">
        <v>39</v>
      </c>
    </row>
    <row r="12464" spans="1:5" x14ac:dyDescent="0.25">
      <c r="A12464" t="str">
        <f>HYPERLINK("https://www.773grp.com/globalSearch/NCP3335ADM500R2G/page-1", "NCP3335ADM500R2G")</f>
        <v>NCP3335ADM500R2G</v>
      </c>
      <c r="B12464" s="3" t="str">
        <f>HYPERLINK("https://www.773grp.com/manufacturer/onsemi?pageNo=331", "Onsemi")</f>
        <v>Onsemi</v>
      </c>
      <c r="C12464" s="6">
        <v>48736</v>
      </c>
      <c r="D12464" s="7">
        <v>1.79</v>
      </c>
      <c r="E12464" t="s">
        <v>39</v>
      </c>
    </row>
    <row r="12465" spans="1:5" x14ac:dyDescent="0.25">
      <c r="A12465" t="str">
        <f>HYPERLINK("https://www.773grp.com/globalSearch/NCP3337MN180R2G/page-1", "NCP3337MN180R2G")</f>
        <v>NCP3337MN180R2G</v>
      </c>
      <c r="B12465" s="3" t="str">
        <f>HYPERLINK("https://www.773grp.com/manufacturer/onsemi?pageNo=332", "Onsemi")</f>
        <v>Onsemi</v>
      </c>
      <c r="C12465" s="6">
        <v>8925</v>
      </c>
      <c r="D12465" s="7">
        <v>1.79</v>
      </c>
    </row>
    <row r="12466" spans="1:5" x14ac:dyDescent="0.25">
      <c r="A12466" t="str">
        <f>HYPERLINK("https://www.773grp.com/globalSearch/NCP3337MN250R2G/page-1", "NCP3337MN250R2G")</f>
        <v>NCP3337MN250R2G</v>
      </c>
      <c r="B12466" s="3" t="str">
        <f>HYPERLINK("https://www.773grp.com/manufacturer/onsemi?pageNo=333", "Onsemi")</f>
        <v>Onsemi</v>
      </c>
      <c r="C12466" s="6">
        <v>15000</v>
      </c>
      <c r="D12466" s="7">
        <v>1.79</v>
      </c>
      <c r="E12466" t="s">
        <v>15</v>
      </c>
    </row>
    <row r="12467" spans="1:5" x14ac:dyDescent="0.25">
      <c r="A12467" t="str">
        <f>HYPERLINK("https://www.773grp.com/globalSearch/NCP3337MN330R2G/page-1", "NCP3337MN330R2G")</f>
        <v>NCP3337MN330R2G</v>
      </c>
      <c r="B12467" s="3" t="str">
        <f>HYPERLINK("https://www.773grp.com/manufacturer/onsemi?pageNo=334", "Onsemi")</f>
        <v>Onsemi</v>
      </c>
      <c r="C12467" s="6">
        <v>12000</v>
      </c>
      <c r="D12467" s="7">
        <v>1.79</v>
      </c>
    </row>
    <row r="12468" spans="1:5" x14ac:dyDescent="0.25">
      <c r="A12468" t="str">
        <f>HYPERLINK("https://www.773grp.com/globalSearch/NCP3337MN500R2G/page-1", "NCP3337MN500R2G")</f>
        <v>NCP3337MN500R2G</v>
      </c>
      <c r="B12468" s="3" t="str">
        <f>HYPERLINK("https://www.773grp.com/manufacturer/onsemi?pageNo=335", "Onsemi")</f>
        <v>Onsemi</v>
      </c>
      <c r="C12468" s="6">
        <v>8990</v>
      </c>
      <c r="D12468" s="7">
        <v>1.79</v>
      </c>
    </row>
    <row r="12469" spans="1:5" x14ac:dyDescent="0.25">
      <c r="A12469" t="str">
        <f>HYPERLINK("https://www.773grp.com/globalSearch/NCP3418BDR2G/page-1", "NCP3418BDR2G")</f>
        <v>NCP3418BDR2G</v>
      </c>
      <c r="B12469" s="3" t="str">
        <f>HYPERLINK("https://www.773grp.com/manufacturer/onsemi?pageNo=336", "Onsemi")</f>
        <v>Onsemi</v>
      </c>
      <c r="C12469" s="6">
        <v>160000</v>
      </c>
      <c r="D12469" s="7">
        <v>1.79</v>
      </c>
      <c r="E12469" t="s">
        <v>12</v>
      </c>
    </row>
    <row r="12470" spans="1:5" x14ac:dyDescent="0.25">
      <c r="A12470" t="str">
        <f>HYPERLINK("https://www.773grp.com/globalSearch/NCP4523G1T1/page-1", "NCP4523G1T1")</f>
        <v>NCP4523G1T1</v>
      </c>
      <c r="B12470" s="3" t="str">
        <f>HYPERLINK("https://www.773grp.com/manufacturer/onsemi?pageNo=337", "Onsemi")</f>
        <v>Onsemi</v>
      </c>
      <c r="C12470" s="6">
        <v>249110</v>
      </c>
      <c r="D12470" s="7">
        <v>1.79</v>
      </c>
      <c r="E12470" t="s">
        <v>39</v>
      </c>
    </row>
    <row r="12471" spans="1:5" x14ac:dyDescent="0.25">
      <c r="A12471" t="str">
        <f>HYPERLINK("https://www.773grp.com/globalSearch/NCP4523G1T1G/page-1", "NCP4523G1T1G")</f>
        <v>NCP4523G1T1G</v>
      </c>
      <c r="B12471" s="3" t="str">
        <f>HYPERLINK("https://www.773grp.com/manufacturer/onsemi?pageNo=338", "Onsemi")</f>
        <v>Onsemi</v>
      </c>
      <c r="C12471" s="6">
        <v>174000</v>
      </c>
      <c r="D12471" s="7">
        <v>1.79</v>
      </c>
      <c r="E12471" t="s">
        <v>39</v>
      </c>
    </row>
    <row r="12472" spans="1:5" x14ac:dyDescent="0.25">
      <c r="A12472" t="str">
        <f>HYPERLINK("https://www.773grp.com/globalSearch/NCP4523G20T1/page-1", "NCP4523G20T1")</f>
        <v>NCP4523G20T1</v>
      </c>
      <c r="B12472" s="3" t="str">
        <f>HYPERLINK("https://www.773grp.com/manufacturer/onsemi?pageNo=339", "Onsemi")</f>
        <v>Onsemi</v>
      </c>
      <c r="C12472" s="6">
        <v>3000</v>
      </c>
      <c r="D12472" s="7">
        <v>1.79</v>
      </c>
      <c r="E12472" t="s">
        <v>39</v>
      </c>
    </row>
    <row r="12473" spans="1:5" x14ac:dyDescent="0.25">
      <c r="A12473" t="str">
        <f>HYPERLINK("https://www.773grp.com/globalSearch/NCP4523G20T1G/page-1", "NCP4523G20T1G")</f>
        <v>NCP4523G20T1G</v>
      </c>
      <c r="B12473" s="3" t="str">
        <f>HYPERLINK("https://www.773grp.com/manufacturer/onsemi?pageNo=340", "Onsemi")</f>
        <v>Onsemi</v>
      </c>
      <c r="C12473" s="6">
        <v>9000</v>
      </c>
      <c r="D12473" s="7">
        <v>1.79</v>
      </c>
      <c r="E12473" t="s">
        <v>39</v>
      </c>
    </row>
    <row r="12474" spans="1:5" x14ac:dyDescent="0.25">
      <c r="A12474" t="str">
        <f>HYPERLINK("https://www.773grp.com/globalSearch/NCP4523G3T1G/page-1", "NCP4523G3T1G")</f>
        <v>NCP4523G3T1G</v>
      </c>
      <c r="B12474" s="3" t="str">
        <f>HYPERLINK("https://www.773grp.com/manufacturer/onsemi?pageNo=341", "Onsemi")</f>
        <v>Onsemi</v>
      </c>
      <c r="C12474" s="6">
        <v>9000</v>
      </c>
      <c r="D12474" s="7">
        <v>1.79</v>
      </c>
      <c r="E12474" t="s">
        <v>39</v>
      </c>
    </row>
    <row r="12475" spans="1:5" x14ac:dyDescent="0.25">
      <c r="A12475" t="str">
        <f>HYPERLINK("https://www.773grp.com/globalSearch/NCP4543IMN5RG-A/page-1", "NCP4543IMN5RG-A")</f>
        <v>NCP4543IMN5RG-A</v>
      </c>
      <c r="B12475" s="3" t="str">
        <f>HYPERLINK("https://www.773grp.com/manufacturer/onsemi?pageNo=342", "Onsemi")</f>
        <v>Onsemi</v>
      </c>
      <c r="C12475" s="6">
        <v>21000</v>
      </c>
      <c r="D12475" s="7">
        <v>1.79</v>
      </c>
    </row>
    <row r="12476" spans="1:5" x14ac:dyDescent="0.25">
      <c r="A12476" t="str">
        <f>HYPERLINK("https://www.773grp.com/globalSearch/NCP4568D25R2/page-1", "NCP4568D25R2")</f>
        <v>NCP4568D25R2</v>
      </c>
      <c r="B12476" s="3" t="str">
        <f>HYPERLINK("https://www.773grp.com/manufacturer/onsemi?pageNo=343", "Onsemi")</f>
        <v>Onsemi</v>
      </c>
      <c r="C12476" s="6">
        <v>30000</v>
      </c>
      <c r="D12476" s="7">
        <v>1.79</v>
      </c>
    </row>
    <row r="12477" spans="1:5" x14ac:dyDescent="0.25">
      <c r="A12477" t="str">
        <f>HYPERLINK("https://www.773grp.com/globalSearch/NCP4569DM28R2/page-1", "NCP4569DM28R2")</f>
        <v>NCP4569DM28R2</v>
      </c>
      <c r="B12477" s="3" t="str">
        <f>HYPERLINK("https://www.773grp.com/manufacturer/onsemi?pageNo=344", "Onsemi")</f>
        <v>Onsemi</v>
      </c>
      <c r="C12477" s="6">
        <v>30000</v>
      </c>
      <c r="D12477" s="7">
        <v>1.79</v>
      </c>
      <c r="E12477" t="s">
        <v>15</v>
      </c>
    </row>
    <row r="12478" spans="1:5" x14ac:dyDescent="0.25">
      <c r="A12478" t="str">
        <f>HYPERLINK("https://www.773grp.com/globalSearch/NCP4569DM30R2/page-1", "NCP4569DM30R2")</f>
        <v>NCP4569DM30R2</v>
      </c>
      <c r="B12478" s="3" t="str">
        <f>HYPERLINK("https://www.773grp.com/manufacturer/onsemi?pageNo=345", "Onsemi")</f>
        <v>Onsemi</v>
      </c>
      <c r="C12478" s="6">
        <v>30000</v>
      </c>
      <c r="D12478" s="7">
        <v>1.79</v>
      </c>
      <c r="E12478" t="s">
        <v>15</v>
      </c>
    </row>
    <row r="12479" spans="1:5" x14ac:dyDescent="0.25">
      <c r="A12479" t="str">
        <f>HYPERLINK("https://www.773grp.com/globalSearch/NCP4569DM33R2/page-1", "NCP4569DM33R2")</f>
        <v>NCP4569DM33R2</v>
      </c>
      <c r="B12479" s="3" t="str">
        <f>HYPERLINK("https://www.773grp.com/manufacturer/onsemi?pageNo=346", "Onsemi")</f>
        <v>Onsemi</v>
      </c>
      <c r="C12479" s="6">
        <v>30000</v>
      </c>
      <c r="D12479" s="7">
        <v>1.79</v>
      </c>
      <c r="E12479" t="s">
        <v>15</v>
      </c>
    </row>
    <row r="12480" spans="1:5" x14ac:dyDescent="0.25">
      <c r="A12480" t="str">
        <f>HYPERLINK("https://www.773grp.com/globalSearch/NCV2951ACD3.3R2G/page-1", "NCV2951ACD3.3R2G")</f>
        <v>NCV2951ACD3.3R2G</v>
      </c>
      <c r="B12480" s="3" t="str">
        <f>HYPERLINK("https://www.773grp.com/manufacturer/onsemi?pageNo=347", "Onsemi")</f>
        <v>Onsemi</v>
      </c>
      <c r="C12480" s="6">
        <v>21150</v>
      </c>
      <c r="D12480" s="7">
        <v>1.79</v>
      </c>
      <c r="E12480" t="s">
        <v>15</v>
      </c>
    </row>
    <row r="12481" spans="1:5" x14ac:dyDescent="0.25">
      <c r="A12481" t="str">
        <f>HYPERLINK("https://www.773grp.com/globalSearch/NCV2951ACDR2G/page-1", "NCV2951ACDR2G")</f>
        <v>NCV2951ACDR2G</v>
      </c>
      <c r="B12481" s="3" t="str">
        <f>HYPERLINK("https://www.773grp.com/manufacturer/onsemi?pageNo=348", "Onsemi")</f>
        <v>Onsemi</v>
      </c>
      <c r="C12481" s="6">
        <v>70891</v>
      </c>
      <c r="D12481" s="7">
        <v>1.79</v>
      </c>
      <c r="E12481" t="s">
        <v>23</v>
      </c>
    </row>
    <row r="12482" spans="1:5" x14ac:dyDescent="0.25">
      <c r="A12482" t="str">
        <f>HYPERLINK("https://www.773grp.com/globalSearch/NCV8570BMN180R2G/page-1", "NCV8570BMN180R2G")</f>
        <v>NCV8570BMN180R2G</v>
      </c>
      <c r="B12482" s="3" t="str">
        <f>HYPERLINK("https://www.773grp.com/manufacturer/onsemi?pageNo=349", "Onsemi")</f>
        <v>Onsemi</v>
      </c>
      <c r="C12482" s="6">
        <v>6000</v>
      </c>
      <c r="D12482" s="7">
        <v>1.79</v>
      </c>
    </row>
    <row r="12483" spans="1:5" x14ac:dyDescent="0.25">
      <c r="A12483" t="str">
        <f>HYPERLINK("https://www.773grp.com/globalSearch/NCV8570BMN280R2G/page-1", "NCV8570BMN280R2G")</f>
        <v>NCV8570BMN280R2G</v>
      </c>
      <c r="B12483" s="3" t="str">
        <f>HYPERLINK("https://www.773grp.com/manufacturer/onsemi?pageNo=350", "Onsemi")</f>
        <v>Onsemi</v>
      </c>
      <c r="C12483" s="6">
        <v>107985</v>
      </c>
      <c r="D12483" s="7">
        <v>1.79</v>
      </c>
    </row>
    <row r="12484" spans="1:5" x14ac:dyDescent="0.25">
      <c r="A12484" t="str">
        <f>HYPERLINK("https://www.773grp.com/globalSearch/NCV8570BMN300R2G/page-1", "NCV8570BMN300R2G")</f>
        <v>NCV8570BMN300R2G</v>
      </c>
      <c r="B12484" s="3" t="str">
        <f>HYPERLINK("https://www.773grp.com/manufacturer/onsemi?pageNo=351", "Onsemi")</f>
        <v>Onsemi</v>
      </c>
      <c r="C12484" s="6">
        <v>9000</v>
      </c>
      <c r="D12484" s="7">
        <v>1.79</v>
      </c>
    </row>
    <row r="12485" spans="1:5" x14ac:dyDescent="0.25">
      <c r="A12485" t="str">
        <f>HYPERLINK("https://www.773grp.com/globalSearch/NCV8570BMN330R2G/page-1", "NCV8570BMN330R2G")</f>
        <v>NCV8570BMN330R2G</v>
      </c>
      <c r="B12485" s="3" t="str">
        <f>HYPERLINK("https://www.773grp.com/manufacturer/onsemi?pageNo=352", "Onsemi")</f>
        <v>Onsemi</v>
      </c>
      <c r="C12485" s="6">
        <v>6000</v>
      </c>
      <c r="D12485" s="7">
        <v>1.79</v>
      </c>
    </row>
    <row r="12486" spans="1:5" x14ac:dyDescent="0.25">
      <c r="A12486" t="str">
        <f>HYPERLINK("https://www.773grp.com/globalSearch/NCV8570BSN18T1G/page-1", "NCV8570BSN18T1G")</f>
        <v>NCV8570BSN18T1G</v>
      </c>
      <c r="B12486" s="3" t="str">
        <f>HYPERLINK("https://www.773grp.com/manufacturer/onsemi?pageNo=353", "Onsemi")</f>
        <v>Onsemi</v>
      </c>
      <c r="C12486" s="6">
        <v>6000</v>
      </c>
      <c r="D12486" s="7">
        <v>1.79</v>
      </c>
    </row>
    <row r="12487" spans="1:5" x14ac:dyDescent="0.25">
      <c r="A12487" t="str">
        <f>HYPERLINK("https://www.773grp.com/globalSearch/NCV8570BSN28T1G/page-1", "NCV8570BSN28T1G")</f>
        <v>NCV8570BSN28T1G</v>
      </c>
      <c r="B12487" s="3" t="str">
        <f>HYPERLINK("https://www.773grp.com/manufacturer/onsemi?pageNo=354", "Onsemi")</f>
        <v>Onsemi</v>
      </c>
      <c r="C12487" s="6">
        <v>84000</v>
      </c>
      <c r="D12487" s="7">
        <v>1.79</v>
      </c>
    </row>
    <row r="12488" spans="1:5" x14ac:dyDescent="0.25">
      <c r="A12488" t="str">
        <f>HYPERLINK("https://www.773grp.com/globalSearch/NCV8570BSN30T1G/page-1", "NCV8570BSN30T1G")</f>
        <v>NCV8570BSN30T1G</v>
      </c>
      <c r="B12488" s="3" t="str">
        <f>HYPERLINK("https://www.773grp.com/manufacturer/onsemi?pageNo=355", "Onsemi")</f>
        <v>Onsemi</v>
      </c>
      <c r="C12488" s="6">
        <v>84000</v>
      </c>
      <c r="D12488" s="7">
        <v>1.79</v>
      </c>
    </row>
    <row r="12489" spans="1:5" x14ac:dyDescent="0.25">
      <c r="A12489" t="str">
        <f>HYPERLINK("https://www.773grp.com/globalSearch/NCV8570BSN33T1G/page-1", "NCV8570BSN33T1G")</f>
        <v>NCV8570BSN33T1G</v>
      </c>
      <c r="B12489" s="3" t="str">
        <f>HYPERLINK("https://www.773grp.com/manufacturer/onsemi?pageNo=356", "Onsemi")</f>
        <v>Onsemi</v>
      </c>
      <c r="C12489" s="6">
        <v>48000</v>
      </c>
      <c r="D12489" s="7">
        <v>1.79</v>
      </c>
    </row>
    <row r="12490" spans="1:5" x14ac:dyDescent="0.25">
      <c r="A12490" t="str">
        <f>HYPERLINK("https://www.773grp.com/globalSearch/NCV8570MN250R2G/page-1", "NCV8570MN250R2G")</f>
        <v>NCV8570MN250R2G</v>
      </c>
      <c r="B12490" s="3" t="str">
        <f>HYPERLINK("https://www.773grp.com/manufacturer/onsemi?pageNo=357", "Onsemi")</f>
        <v>Onsemi</v>
      </c>
      <c r="C12490" s="6">
        <v>12000</v>
      </c>
      <c r="D12490" s="7">
        <v>1.79</v>
      </c>
      <c r="E12490" t="s">
        <v>15</v>
      </c>
    </row>
    <row r="12491" spans="1:5" x14ac:dyDescent="0.25">
      <c r="A12491" t="str">
        <f>HYPERLINK("https://www.773grp.com/globalSearch/NCV8570MN275R2G/page-1", "NCV8570MN275R2G")</f>
        <v>NCV8570MN275R2G</v>
      </c>
      <c r="B12491" s="3" t="str">
        <f>HYPERLINK("https://www.773grp.com/manufacturer/onsemi?pageNo=358", "Onsemi")</f>
        <v>Onsemi</v>
      </c>
      <c r="C12491" s="6">
        <v>12000</v>
      </c>
      <c r="D12491" s="7">
        <v>1.79</v>
      </c>
      <c r="E12491" t="s">
        <v>15</v>
      </c>
    </row>
    <row r="12492" spans="1:5" x14ac:dyDescent="0.25">
      <c r="A12492" t="str">
        <f>HYPERLINK("https://www.773grp.com/globalSearch/NCV8570MN280R2G/page-1", "NCV8570MN280R2G")</f>
        <v>NCV8570MN280R2G</v>
      </c>
      <c r="B12492" s="3" t="str">
        <f>HYPERLINK("https://www.773grp.com/manufacturer/onsemi?pageNo=359", "Onsemi")</f>
        <v>Onsemi</v>
      </c>
      <c r="C12492" s="6">
        <v>3000</v>
      </c>
      <c r="D12492" s="7">
        <v>1.79</v>
      </c>
      <c r="E12492" t="s">
        <v>15</v>
      </c>
    </row>
    <row r="12493" spans="1:5" x14ac:dyDescent="0.25">
      <c r="A12493" t="str">
        <f>HYPERLINK("https://www.773grp.com/globalSearch/NCV8570MN300R2G/page-1", "NCV8570MN300R2G")</f>
        <v>NCV8570MN300R2G</v>
      </c>
      <c r="B12493" s="3" t="str">
        <f>HYPERLINK("https://www.773grp.com/manufacturer/onsemi?pageNo=360", "Onsemi")</f>
        <v>Onsemi</v>
      </c>
      <c r="C12493" s="6">
        <v>3000</v>
      </c>
      <c r="D12493" s="7">
        <v>1.79</v>
      </c>
      <c r="E12493" t="s">
        <v>15</v>
      </c>
    </row>
    <row r="12494" spans="1:5" x14ac:dyDescent="0.25">
      <c r="A12494" t="str">
        <f>HYPERLINK("https://www.773grp.com/globalSearch/NE5517DR2/page-1", "NE5517DR2")</f>
        <v>NE5517DR2</v>
      </c>
      <c r="B12494" s="3" t="str">
        <f>HYPERLINK("https://www.773grp.com/manufacturer/onsemi?pageNo=361", "Onsemi")</f>
        <v>Onsemi</v>
      </c>
      <c r="C12494" s="6">
        <v>2500</v>
      </c>
      <c r="D12494" s="7">
        <v>1.79</v>
      </c>
      <c r="E12494" t="s">
        <v>10</v>
      </c>
    </row>
    <row r="12495" spans="1:5" x14ac:dyDescent="0.25">
      <c r="A12495" t="str">
        <f>HYPERLINK("https://www.773grp.com/globalSearch/NE5517N/page-1", "NE5517N")</f>
        <v>NE5517N</v>
      </c>
      <c r="B12495" s="3" t="str">
        <f>HYPERLINK("https://www.773grp.com/manufacturer/onsemi?pageNo=362", "Onsemi")</f>
        <v>Onsemi</v>
      </c>
      <c r="C12495" s="6">
        <v>12378</v>
      </c>
      <c r="D12495" s="7">
        <v>1.79</v>
      </c>
      <c r="E12495" t="s">
        <v>10</v>
      </c>
    </row>
    <row r="12496" spans="1:5" x14ac:dyDescent="0.25">
      <c r="A12496" t="str">
        <f>HYPERLINK("https://www.773grp.com/globalSearch/NLAS5213AMUT/page-1", "NLAS5213AMUT")</f>
        <v>NLAS5213AMUT</v>
      </c>
      <c r="B12496" s="3" t="str">
        <f>HYPERLINK("https://www.773grp.com/manufacturer/onsemi?pageNo=363", "Onsemi")</f>
        <v>Onsemi</v>
      </c>
      <c r="C12496" s="6">
        <v>18000</v>
      </c>
      <c r="D12496" s="7">
        <v>1.79</v>
      </c>
    </row>
    <row r="12497" spans="1:5" x14ac:dyDescent="0.25">
      <c r="A12497" t="str">
        <f>HYPERLINK("https://www.773grp.com/globalSearch/NLSX4014DTR2G/page-1", "NLSX4014DTR2G")</f>
        <v>NLSX4014DTR2G</v>
      </c>
      <c r="B12497" s="3" t="str">
        <f>HYPERLINK("https://www.773grp.com/manufacturer/onsemi?pageNo=364", "Onsemi")</f>
        <v>Onsemi</v>
      </c>
      <c r="C12497" s="6">
        <v>69540</v>
      </c>
      <c r="D12497" s="7">
        <v>1.79</v>
      </c>
      <c r="E12497" t="s">
        <v>11</v>
      </c>
    </row>
    <row r="12498" spans="1:5" x14ac:dyDescent="0.25">
      <c r="A12498" t="str">
        <f>HYPERLINK("https://www.773grp.com/globalSearch/NTP85N03G/page-1", "NTP85N03G")</f>
        <v>NTP85N03G</v>
      </c>
      <c r="B12498" s="3" t="str">
        <f>HYPERLINK("https://www.773grp.com/manufacturer/onsemi?pageNo=365", "Onsemi")</f>
        <v>Onsemi</v>
      </c>
      <c r="C12498" s="6">
        <v>7415</v>
      </c>
      <c r="D12498" s="7">
        <v>1.79</v>
      </c>
      <c r="E12498" t="s">
        <v>84</v>
      </c>
    </row>
    <row r="12499" spans="1:5" x14ac:dyDescent="0.25">
      <c r="A12499" t="str">
        <f>HYPERLINK("https://www.773grp.com/globalSearch/NTSJ30U100CTG/page-1", "NTSJ30U100CTG")</f>
        <v>NTSJ30U100CTG</v>
      </c>
      <c r="B12499" s="3" t="str">
        <f>HYPERLINK("https://www.773grp.com/manufacturer/onsemi?pageNo=366", "Onsemi")</f>
        <v>Onsemi</v>
      </c>
      <c r="C12499" s="6">
        <v>500</v>
      </c>
      <c r="D12499" s="7">
        <v>1.79</v>
      </c>
    </row>
    <row r="12500" spans="1:5" x14ac:dyDescent="0.25">
      <c r="A12500" t="str">
        <f>HYPERLINK("https://www.773grp.com/globalSearch/RD0506T-TL-H/page-1", "RD0506T-TL-H")</f>
        <v>RD0506T-TL-H</v>
      </c>
      <c r="B12500" s="3" t="str">
        <f>HYPERLINK("https://www.773grp.com/manufacturer/onsemi?pageNo=367", "Onsemi")</f>
        <v>Onsemi</v>
      </c>
      <c r="C12500" s="6">
        <v>7700</v>
      </c>
      <c r="D12500" s="7">
        <v>1.79</v>
      </c>
    </row>
    <row r="12501" spans="1:5" x14ac:dyDescent="0.25">
      <c r="A12501" t="str">
        <f>HYPERLINK("https://www.773grp.com/globalSearch/SBR640CTT4G/page-1", "SBR640CTT4G")</f>
        <v>SBR640CTT4G</v>
      </c>
      <c r="B12501" s="3" t="str">
        <f>HYPERLINK("https://www.773grp.com/manufacturer/onsemi?pageNo=368", "Onsemi")</f>
        <v>Onsemi</v>
      </c>
      <c r="C12501" s="6">
        <v>17500</v>
      </c>
      <c r="D12501" s="7">
        <v>1.79</v>
      </c>
    </row>
    <row r="12502" spans="1:5" x14ac:dyDescent="0.25">
      <c r="A12502" t="str">
        <f>HYPERLINK("https://www.773grp.com/globalSearch/SC33182D/page-1", "SC33182D")</f>
        <v>SC33182D</v>
      </c>
      <c r="B12502" s="3" t="str">
        <f>HYPERLINK("https://www.773grp.com/manufacturer/onsemi?pageNo=369", "Onsemi")</f>
        <v>Onsemi</v>
      </c>
      <c r="C12502" s="6">
        <v>24</v>
      </c>
      <c r="D12502" s="7">
        <v>1.79</v>
      </c>
    </row>
    <row r="12503" spans="1:5" x14ac:dyDescent="0.25">
      <c r="A12503" t="str">
        <f>HYPERLINK("https://www.773grp.com/globalSearch/SCR2159/page-1", "SCR2159")</f>
        <v>SCR2159</v>
      </c>
      <c r="B12503" s="3" t="str">
        <f>HYPERLINK("https://www.773grp.com/manufacturer/onsemi?pageNo=370", "Onsemi")</f>
        <v>Onsemi</v>
      </c>
      <c r="C12503" s="6">
        <v>37500</v>
      </c>
      <c r="D12503" s="7">
        <v>1.79</v>
      </c>
    </row>
    <row r="12504" spans="1:5" x14ac:dyDescent="0.25">
      <c r="A12504" t="str">
        <f>HYPERLINK("https://www.773grp.com/globalSearch/SN74LS688DW/page-1", "SN74LS688DW")</f>
        <v>SN74LS688DW</v>
      </c>
      <c r="B12504" s="3" t="str">
        <f>HYPERLINK("https://www.773grp.com/manufacturer/onsemi?pageNo=371", "Onsemi")</f>
        <v>Onsemi</v>
      </c>
      <c r="C12504" s="6">
        <v>2578</v>
      </c>
      <c r="D12504" s="7">
        <v>1.79</v>
      </c>
      <c r="E12504" t="s">
        <v>38</v>
      </c>
    </row>
    <row r="12505" spans="1:5" x14ac:dyDescent="0.25">
      <c r="A12505" t="str">
        <f>HYPERLINK("https://www.773grp.com/globalSearch/SN74LS688H/page-1", "SN74LS688H")</f>
        <v>SN74LS688H</v>
      </c>
      <c r="B12505" s="3" t="str">
        <f>HYPERLINK("https://www.773grp.com/manufacturer/onsemi?pageNo=372", "Onsemi")</f>
        <v>Onsemi</v>
      </c>
      <c r="C12505" s="6">
        <v>360</v>
      </c>
      <c r="D12505" s="7">
        <v>1.79</v>
      </c>
    </row>
    <row r="12506" spans="1:5" x14ac:dyDescent="0.25">
      <c r="A12506" t="str">
        <f>HYPERLINK("https://www.773grp.com/globalSearch/SN74LS688N/page-1", "SN74LS688N")</f>
        <v>SN74LS688N</v>
      </c>
      <c r="B12506" s="3" t="str">
        <f>HYPERLINK("https://www.773grp.com/manufacturer/onsemi?pageNo=373", "Onsemi")</f>
        <v>Onsemi</v>
      </c>
      <c r="C12506" s="6">
        <v>232104</v>
      </c>
      <c r="D12506" s="7">
        <v>1.79</v>
      </c>
      <c r="E12506" t="s">
        <v>38</v>
      </c>
    </row>
    <row r="12507" spans="1:5" x14ac:dyDescent="0.25">
      <c r="A12507" t="str">
        <f>HYPERLINK("https://www.773grp.com/globalSearch/TIP106G/page-1", "TIP106G")</f>
        <v>TIP106G</v>
      </c>
      <c r="B12507" s="3" t="str">
        <f>HYPERLINK("https://www.773grp.com/manufacturer/onsemi?pageNo=374", "Onsemi")</f>
        <v>Onsemi</v>
      </c>
      <c r="C12507" s="6">
        <v>1493</v>
      </c>
      <c r="D12507" s="7">
        <v>1.79</v>
      </c>
      <c r="E12507" t="s">
        <v>47</v>
      </c>
    </row>
    <row r="12508" spans="1:5" x14ac:dyDescent="0.25">
      <c r="A12508" t="str">
        <f>HYPERLINK("https://www.773grp.com/globalSearch/TIP41AG/page-1", "TIP41AG")</f>
        <v>TIP41AG</v>
      </c>
      <c r="B12508" s="3" t="str">
        <f>HYPERLINK("https://www.773grp.com/manufacturer/onsemi?pageNo=375", "Onsemi")</f>
        <v>Onsemi</v>
      </c>
      <c r="C12508" s="6">
        <v>5284</v>
      </c>
      <c r="D12508" s="7">
        <v>1.79</v>
      </c>
      <c r="E12508" t="s">
        <v>47</v>
      </c>
    </row>
    <row r="12509" spans="1:5" x14ac:dyDescent="0.25">
      <c r="A12509" t="str">
        <f>HYPERLINK("https://www.773grp.com/globalSearch/TIP41BG/page-1", "TIP41BG")</f>
        <v>TIP41BG</v>
      </c>
      <c r="B12509" s="3" t="str">
        <f>HYPERLINK("https://www.773grp.com/manufacturer/onsemi?pageNo=376", "Onsemi")</f>
        <v>Onsemi</v>
      </c>
      <c r="C12509" s="6">
        <v>7732</v>
      </c>
      <c r="D12509" s="7">
        <v>1.79</v>
      </c>
      <c r="E12509" t="s">
        <v>47</v>
      </c>
    </row>
    <row r="12510" spans="1:5" x14ac:dyDescent="0.25">
      <c r="A12510" t="str">
        <f>HYPERLINK("https://www.773grp.com/globalSearch/TIP41C/page-1", "TIP41C")</f>
        <v>TIP41C</v>
      </c>
      <c r="B12510" s="3" t="str">
        <f>HYPERLINK("https://www.773grp.com/manufacturer/onsemi?pageNo=377", "Onsemi")</f>
        <v>Onsemi</v>
      </c>
      <c r="C12510" s="6">
        <v>9828</v>
      </c>
      <c r="D12510" s="7">
        <v>1.79</v>
      </c>
      <c r="E12510" t="s">
        <v>47</v>
      </c>
    </row>
    <row r="12511" spans="1:5" x14ac:dyDescent="0.25">
      <c r="A12511" t="str">
        <f>HYPERLINK("https://www.773grp.com/globalSearch/TIP41CG/page-1", "TIP41CG")</f>
        <v>TIP41CG</v>
      </c>
      <c r="B12511" s="3" t="str">
        <f>HYPERLINK("https://www.773grp.com/manufacturer/onsemi?pageNo=378", "Onsemi")</f>
        <v>Onsemi</v>
      </c>
      <c r="C12511" s="6">
        <v>9699</v>
      </c>
      <c r="D12511" s="7">
        <v>1.79</v>
      </c>
      <c r="E12511" t="s">
        <v>47</v>
      </c>
    </row>
    <row r="12512" spans="1:5" x14ac:dyDescent="0.25">
      <c r="A12512" t="str">
        <f>HYPERLINK("https://www.773grp.com/globalSearch/TIP42AG/page-1", "TIP42AG")</f>
        <v>TIP42AG</v>
      </c>
      <c r="B12512" s="3" t="str">
        <f>HYPERLINK("https://www.773grp.com/manufacturer/onsemi?pageNo=379", "Onsemi")</f>
        <v>Onsemi</v>
      </c>
      <c r="C12512" s="6">
        <v>150</v>
      </c>
      <c r="D12512" s="7">
        <v>1.79</v>
      </c>
    </row>
    <row r="12513" spans="1:5" x14ac:dyDescent="0.25">
      <c r="A12513" t="str">
        <f>HYPERLINK("https://www.773grp.com/globalSearch/TIP42BG/page-1", "TIP42BG")</f>
        <v>TIP42BG</v>
      </c>
      <c r="B12513" s="3" t="str">
        <f>HYPERLINK("https://www.773grp.com/manufacturer/onsemi?pageNo=380", "Onsemi")</f>
        <v>Onsemi</v>
      </c>
      <c r="C12513" s="6">
        <v>3071</v>
      </c>
      <c r="D12513" s="7">
        <v>1.79</v>
      </c>
      <c r="E12513" t="s">
        <v>47</v>
      </c>
    </row>
    <row r="12514" spans="1:5" x14ac:dyDescent="0.25">
      <c r="A12514" t="str">
        <f>HYPERLINK("https://www.773grp.com/globalSearch/TIP42CG/page-1", "TIP42CG")</f>
        <v>TIP42CG</v>
      </c>
      <c r="B12514" s="3" t="str">
        <f>HYPERLINK("https://www.773grp.com/manufacturer/onsemi?pageNo=381", "Onsemi")</f>
        <v>Onsemi</v>
      </c>
      <c r="C12514" s="6">
        <v>91440</v>
      </c>
      <c r="D12514" s="7">
        <v>1.79</v>
      </c>
      <c r="E12514" t="s">
        <v>47</v>
      </c>
    </row>
    <row r="12515" spans="1:5" x14ac:dyDescent="0.25">
      <c r="A12515" t="str">
        <f>HYPERLINK("https://www.773grp.com/globalSearch/TIP42G/page-1", "TIP42G")</f>
        <v>TIP42G</v>
      </c>
      <c r="B12515" s="3" t="str">
        <f>HYPERLINK("https://www.773grp.com/manufacturer/onsemi?pageNo=382", "Onsemi")</f>
        <v>Onsemi</v>
      </c>
      <c r="C12515" s="6">
        <v>18780</v>
      </c>
      <c r="D12515" s="7">
        <v>1.79</v>
      </c>
      <c r="E12515" t="s">
        <v>47</v>
      </c>
    </row>
    <row r="12516" spans="1:5" x14ac:dyDescent="0.25">
      <c r="A12516" t="str">
        <f>HYPERLINK("https://www.773grp.com/globalSearch/TIP47G/page-1", "TIP47G")</f>
        <v>TIP47G</v>
      </c>
      <c r="B12516" s="3" t="str">
        <f>HYPERLINK("https://www.773grp.com/manufacturer/onsemi?pageNo=383", "Onsemi")</f>
        <v>Onsemi</v>
      </c>
      <c r="C12516" s="6">
        <v>200</v>
      </c>
      <c r="D12516" s="7">
        <v>1.79</v>
      </c>
      <c r="E12516" t="s">
        <v>47</v>
      </c>
    </row>
    <row r="12517" spans="1:5" x14ac:dyDescent="0.25">
      <c r="A12517" t="str">
        <f>HYPERLINK("https://www.773grp.com/globalSearch/TIP48G/page-1", "TIP48G")</f>
        <v>TIP48G</v>
      </c>
      <c r="B12517" s="3" t="str">
        <f>HYPERLINK("https://www.773grp.com/manufacturer/onsemi?pageNo=384", "Onsemi")</f>
        <v>Onsemi</v>
      </c>
      <c r="C12517" s="6">
        <v>5922</v>
      </c>
      <c r="D12517" s="7">
        <v>1.79</v>
      </c>
      <c r="E12517" t="s">
        <v>47</v>
      </c>
    </row>
    <row r="12518" spans="1:5" x14ac:dyDescent="0.25">
      <c r="A12518" t="str">
        <f>HYPERLINK("https://www.773grp.com/globalSearch/TIP50G/page-1", "TIP50G")</f>
        <v>TIP50G</v>
      </c>
      <c r="B12518" s="3" t="str">
        <f>HYPERLINK("https://www.773grp.com/manufacturer/onsemi?pageNo=385", "Onsemi")</f>
        <v>Onsemi</v>
      </c>
      <c r="C12518" s="6">
        <v>3201</v>
      </c>
      <c r="D12518" s="7">
        <v>1.79</v>
      </c>
      <c r="E12518" t="s">
        <v>47</v>
      </c>
    </row>
    <row r="12519" spans="1:5" x14ac:dyDescent="0.25">
      <c r="A12519" t="str">
        <f>HYPERLINK("https://www.773grp.com/globalSearch/1N6299ARL4/page-1", "1N6299ARL4")</f>
        <v>1N6299ARL4</v>
      </c>
      <c r="B12519" s="3" t="str">
        <f>HYPERLINK("https://www.773grp.com/manufacturer/onsemi?pageNo=386", "Onsemi")</f>
        <v>Onsemi</v>
      </c>
      <c r="C12519" s="6">
        <v>1500</v>
      </c>
      <c r="D12519" s="7">
        <v>1.84</v>
      </c>
      <c r="E12519" t="s">
        <v>75</v>
      </c>
    </row>
    <row r="12520" spans="1:5" x14ac:dyDescent="0.25">
      <c r="A12520" t="str">
        <f>HYPERLINK("https://www.773grp.com/globalSearch/74ALVC16240DT/page-1", "74ALVC16240DT")</f>
        <v>74ALVC16240DT</v>
      </c>
      <c r="B12520" s="3" t="str">
        <f>HYPERLINK("https://www.773grp.com/manufacturer/onsemi?pageNo=387", "Onsemi")</f>
        <v>Onsemi</v>
      </c>
      <c r="C12520" s="6">
        <v>8411</v>
      </c>
      <c r="D12520" s="7">
        <v>1.84</v>
      </c>
    </row>
    <row r="12521" spans="1:5" x14ac:dyDescent="0.25">
      <c r="A12521" t="str">
        <f>HYPERLINK("https://www.773grp.com/globalSearch/74ALVC16240DTR/page-1", "74ALVC16240DTR")</f>
        <v>74ALVC16240DTR</v>
      </c>
      <c r="B12521" s="3" t="str">
        <f>HYPERLINK("https://www.773grp.com/manufacturer/onsemi?pageNo=388", "Onsemi")</f>
        <v>Onsemi</v>
      </c>
      <c r="C12521" s="6">
        <v>34680</v>
      </c>
      <c r="D12521" s="7">
        <v>1.84</v>
      </c>
      <c r="E12521" t="s">
        <v>11</v>
      </c>
    </row>
    <row r="12522" spans="1:5" x14ac:dyDescent="0.25">
      <c r="A12522" t="str">
        <f>HYPERLINK("https://www.773grp.com/globalSearch/74ALVC16244DT/page-1", "74ALVC16244DT")</f>
        <v>74ALVC16244DT</v>
      </c>
      <c r="B12522" s="3" t="str">
        <f>HYPERLINK("https://www.773grp.com/manufacturer/onsemi?pageNo=389", "Onsemi")</f>
        <v>Onsemi</v>
      </c>
      <c r="C12522" s="6">
        <v>8151</v>
      </c>
      <c r="D12522" s="7">
        <v>1.84</v>
      </c>
    </row>
    <row r="12523" spans="1:5" x14ac:dyDescent="0.25">
      <c r="A12523" t="str">
        <f>HYPERLINK("https://www.773grp.com/globalSearch/74ALVC16244DTR/page-1", "74ALVC16244DTR")</f>
        <v>74ALVC16244DTR</v>
      </c>
      <c r="B12523" s="3" t="str">
        <f>HYPERLINK("https://www.773grp.com/manufacturer/onsemi?pageNo=390", "Onsemi")</f>
        <v>Onsemi</v>
      </c>
      <c r="C12523" s="6">
        <v>57500</v>
      </c>
      <c r="D12523" s="7">
        <v>1.84</v>
      </c>
      <c r="E12523" t="s">
        <v>11</v>
      </c>
    </row>
    <row r="12524" spans="1:5" x14ac:dyDescent="0.25">
      <c r="A12524" t="str">
        <f>HYPERLINK("https://www.773grp.com/globalSearch/74ALVC16245DT/page-1", "74ALVC16245DT")</f>
        <v>74ALVC16245DT</v>
      </c>
      <c r="B12524" s="3" t="str">
        <f>HYPERLINK("https://www.773grp.com/manufacturer/onsemi?pageNo=391", "Onsemi")</f>
        <v>Onsemi</v>
      </c>
      <c r="C12524" s="6">
        <v>6983</v>
      </c>
      <c r="D12524" s="7">
        <v>1.84</v>
      </c>
    </row>
    <row r="12525" spans="1:5" x14ac:dyDescent="0.25">
      <c r="A12525" t="str">
        <f>HYPERLINK("https://www.773grp.com/globalSearch/74ALVC16245DTR/page-1", "74ALVC16245DTR")</f>
        <v>74ALVC16245DTR</v>
      </c>
      <c r="B12525" s="3" t="str">
        <f>HYPERLINK("https://www.773grp.com/manufacturer/onsemi?pageNo=392", "Onsemi")</f>
        <v>Onsemi</v>
      </c>
      <c r="C12525" s="6">
        <v>1100</v>
      </c>
      <c r="D12525" s="7">
        <v>1.84</v>
      </c>
      <c r="E12525" t="s">
        <v>11</v>
      </c>
    </row>
    <row r="12526" spans="1:5" x14ac:dyDescent="0.25">
      <c r="A12526" t="str">
        <f>HYPERLINK("https://www.773grp.com/globalSearch/74ALVC16373DT/page-1", "74ALVC16373DT")</f>
        <v>74ALVC16373DT</v>
      </c>
      <c r="B12526" s="3" t="str">
        <f>HYPERLINK("https://www.773grp.com/manufacturer/onsemi?pageNo=393", "Onsemi")</f>
        <v>Onsemi</v>
      </c>
      <c r="C12526" s="6">
        <v>2496</v>
      </c>
      <c r="D12526" s="7">
        <v>1.84</v>
      </c>
    </row>
    <row r="12527" spans="1:5" x14ac:dyDescent="0.25">
      <c r="A12527" t="str">
        <f>HYPERLINK("https://www.773grp.com/globalSearch/74ALVC16373DTR/page-1", "74ALVC16373DTR")</f>
        <v>74ALVC16373DTR</v>
      </c>
      <c r="B12527" s="3" t="str">
        <f>HYPERLINK("https://www.773grp.com/manufacturer/onsemi?pageNo=394", "Onsemi")</f>
        <v>Onsemi</v>
      </c>
      <c r="C12527" s="6">
        <v>2500</v>
      </c>
      <c r="D12527" s="7">
        <v>1.84</v>
      </c>
      <c r="E12527" t="s">
        <v>11</v>
      </c>
    </row>
    <row r="12528" spans="1:5" x14ac:dyDescent="0.25">
      <c r="A12528" t="str">
        <f>HYPERLINK("https://www.773grp.com/globalSearch/74ALVC16374DT/page-1", "74ALVC16374DT")</f>
        <v>74ALVC16374DT</v>
      </c>
      <c r="B12528" s="3" t="str">
        <f>HYPERLINK("https://www.773grp.com/manufacturer/onsemi?pageNo=395", "Onsemi")</f>
        <v>Onsemi</v>
      </c>
      <c r="C12528" s="6">
        <v>4719</v>
      </c>
      <c r="D12528" s="7">
        <v>1.84</v>
      </c>
    </row>
    <row r="12529" spans="1:5" x14ac:dyDescent="0.25">
      <c r="A12529" t="str">
        <f>HYPERLINK("https://www.773grp.com/globalSearch/74ALVC16374DTR/page-1", "74ALVC16374DTR")</f>
        <v>74ALVC16374DTR</v>
      </c>
      <c r="B12529" s="3" t="str">
        <f>HYPERLINK("https://www.773grp.com/manufacturer/onsemi?pageNo=396", "Onsemi")</f>
        <v>Onsemi</v>
      </c>
      <c r="C12529" s="6">
        <v>10000</v>
      </c>
      <c r="D12529" s="7">
        <v>1.84</v>
      </c>
      <c r="E12529" t="s">
        <v>11</v>
      </c>
    </row>
    <row r="12530" spans="1:5" x14ac:dyDescent="0.25">
      <c r="A12530" t="str">
        <f>HYPERLINK("https://www.773grp.com/globalSearch/74ALVC1637DTR/page-1", "74ALVC1637DTR")</f>
        <v>74ALVC1637DTR</v>
      </c>
      <c r="B12530" s="3" t="str">
        <f>HYPERLINK("https://www.773grp.com/manufacturer/onsemi?pageNo=397", "Onsemi")</f>
        <v>Onsemi</v>
      </c>
      <c r="C12530" s="6">
        <v>10000</v>
      </c>
      <c r="D12530" s="7">
        <v>1.84</v>
      </c>
    </row>
    <row r="12531" spans="1:5" x14ac:dyDescent="0.25">
      <c r="A12531" t="str">
        <f>HYPERLINK("https://www.773grp.com/globalSearch/74ALVCH16240DT/page-1", "74ALVCH16240DT")</f>
        <v>74ALVCH16240DT</v>
      </c>
      <c r="B12531" s="3" t="str">
        <f>HYPERLINK("https://www.773grp.com/manufacturer/onsemi?pageNo=398", "Onsemi")</f>
        <v>Onsemi</v>
      </c>
      <c r="C12531" s="6">
        <v>51012</v>
      </c>
      <c r="D12531" s="7">
        <v>1.84</v>
      </c>
      <c r="E12531" t="s">
        <v>11</v>
      </c>
    </row>
    <row r="12532" spans="1:5" x14ac:dyDescent="0.25">
      <c r="A12532" t="str">
        <f>HYPERLINK("https://www.773grp.com/globalSearch/74ALVCH16240DTR/page-1", "74ALVCH16240DTR")</f>
        <v>74ALVCH16240DTR</v>
      </c>
      <c r="B12532" s="3" t="str">
        <f>HYPERLINK("https://www.773grp.com/manufacturer/onsemi?pageNo=399", "Onsemi")</f>
        <v>Onsemi</v>
      </c>
      <c r="C12532" s="6">
        <v>17500</v>
      </c>
      <c r="D12532" s="7">
        <v>1.84</v>
      </c>
      <c r="E12532" t="s">
        <v>11</v>
      </c>
    </row>
    <row r="12533" spans="1:5" x14ac:dyDescent="0.25">
      <c r="A12533" t="str">
        <f>HYPERLINK("https://www.773grp.com/globalSearch/74ALVCH16244DT/page-1", "74ALVCH16244DT")</f>
        <v>74ALVCH16244DT</v>
      </c>
      <c r="B12533" s="3" t="str">
        <f>HYPERLINK("https://www.773grp.com/manufacturer/onsemi?pageNo=400", "Onsemi")</f>
        <v>Onsemi</v>
      </c>
      <c r="C12533" s="6">
        <v>25584</v>
      </c>
      <c r="D12533" s="7">
        <v>1.84</v>
      </c>
      <c r="E12533" t="s">
        <v>11</v>
      </c>
    </row>
    <row r="12534" spans="1:5" x14ac:dyDescent="0.25">
      <c r="A12534" t="str">
        <f>HYPERLINK("https://www.773grp.com/globalSearch/74ALVCH16244DTR/page-1", "74ALVCH16244DTR")</f>
        <v>74ALVCH16244DTR</v>
      </c>
      <c r="B12534" s="3" t="str">
        <f>HYPERLINK("https://www.773grp.com/manufacturer/onsemi?pageNo=401", "Onsemi")</f>
        <v>Onsemi</v>
      </c>
      <c r="C12534" s="6">
        <v>17500</v>
      </c>
      <c r="D12534" s="7">
        <v>1.84</v>
      </c>
      <c r="E12534" t="s">
        <v>11</v>
      </c>
    </row>
    <row r="12535" spans="1:5" x14ac:dyDescent="0.25">
      <c r="A12535" t="str">
        <f>HYPERLINK("https://www.773grp.com/globalSearch/74ALVCH16245DT/page-1", "74ALVCH16245DT")</f>
        <v>74ALVCH16245DT</v>
      </c>
      <c r="B12535" s="3" t="str">
        <f>HYPERLINK("https://www.773grp.com/manufacturer/onsemi?pageNo=402", "Onsemi")</f>
        <v>Onsemi</v>
      </c>
      <c r="C12535" s="6">
        <v>25234</v>
      </c>
      <c r="D12535" s="7">
        <v>1.84</v>
      </c>
      <c r="E12535" t="s">
        <v>11</v>
      </c>
    </row>
    <row r="12536" spans="1:5" x14ac:dyDescent="0.25">
      <c r="A12536" t="str">
        <f>HYPERLINK("https://www.773grp.com/globalSearch/74ALVCH16245DTR/page-1", "74ALVCH16245DTR")</f>
        <v>74ALVCH16245DTR</v>
      </c>
      <c r="B12536" s="3" t="str">
        <f>HYPERLINK("https://www.773grp.com/manufacturer/onsemi?pageNo=403", "Onsemi")</f>
        <v>Onsemi</v>
      </c>
      <c r="C12536" s="6">
        <v>22500</v>
      </c>
      <c r="D12536" s="7">
        <v>1.84</v>
      </c>
      <c r="E12536" t="s">
        <v>11</v>
      </c>
    </row>
    <row r="12537" spans="1:5" x14ac:dyDescent="0.25">
      <c r="A12537" t="str">
        <f>HYPERLINK("https://www.773grp.com/globalSearch/74ALVCH16373DT/page-1", "74ALVCH16373DT")</f>
        <v>74ALVCH16373DT</v>
      </c>
      <c r="B12537" s="3" t="str">
        <f>HYPERLINK("https://www.773grp.com/manufacturer/onsemi?pageNo=404", "Onsemi")</f>
        <v>Onsemi</v>
      </c>
      <c r="C12537" s="6">
        <v>23713</v>
      </c>
      <c r="D12537" s="7">
        <v>1.84</v>
      </c>
      <c r="E12537" t="s">
        <v>11</v>
      </c>
    </row>
    <row r="12538" spans="1:5" x14ac:dyDescent="0.25">
      <c r="A12538" t="str">
        <f>HYPERLINK("https://www.773grp.com/globalSearch/74ALVCH16373DTR/page-1", "74ALVCH16373DTR")</f>
        <v>74ALVCH16373DTR</v>
      </c>
      <c r="B12538" s="3" t="str">
        <f>HYPERLINK("https://www.773grp.com/manufacturer/onsemi?pageNo=405", "Onsemi")</f>
        <v>Onsemi</v>
      </c>
      <c r="C12538" s="6">
        <v>30000</v>
      </c>
      <c r="D12538" s="7">
        <v>1.84</v>
      </c>
      <c r="E12538" t="s">
        <v>11</v>
      </c>
    </row>
    <row r="12539" spans="1:5" x14ac:dyDescent="0.25">
      <c r="A12539" t="str">
        <f>HYPERLINK("https://www.773grp.com/globalSearch/74ALVCH16374DT/page-1", "74ALVCH16374DT")</f>
        <v>74ALVCH16374DT</v>
      </c>
      <c r="B12539" s="3" t="str">
        <f>HYPERLINK("https://www.773grp.com/manufacturer/onsemi?pageNo=406", "Onsemi")</f>
        <v>Onsemi</v>
      </c>
      <c r="C12539" s="6">
        <v>25194</v>
      </c>
      <c r="D12539" s="7">
        <v>1.84</v>
      </c>
      <c r="E12539" t="s">
        <v>11</v>
      </c>
    </row>
    <row r="12540" spans="1:5" x14ac:dyDescent="0.25">
      <c r="A12540" t="str">
        <f>HYPERLINK("https://www.773grp.com/globalSearch/74VCX16240DT/page-1", "74VCX16240DT")</f>
        <v>74VCX16240DT</v>
      </c>
      <c r="B12540" s="3" t="str">
        <f>HYPERLINK("https://www.773grp.com/manufacturer/onsemi?pageNo=407", "Onsemi")</f>
        <v>Onsemi</v>
      </c>
      <c r="C12540" s="6">
        <v>1482</v>
      </c>
      <c r="D12540" s="7">
        <v>1.84</v>
      </c>
      <c r="E12540" t="s">
        <v>11</v>
      </c>
    </row>
    <row r="12541" spans="1:5" x14ac:dyDescent="0.25">
      <c r="A12541" t="str">
        <f>HYPERLINK("https://www.773grp.com/globalSearch/74VCX16244DT/page-1", "74VCX16244DT")</f>
        <v>74VCX16244DT</v>
      </c>
      <c r="B12541" s="3" t="str">
        <f>HYPERLINK("https://www.773grp.com/manufacturer/onsemi?pageNo=408", "Onsemi")</f>
        <v>Onsemi</v>
      </c>
      <c r="C12541" s="6">
        <v>373</v>
      </c>
      <c r="D12541" s="7">
        <v>1.84</v>
      </c>
      <c r="E12541" t="s">
        <v>11</v>
      </c>
    </row>
    <row r="12542" spans="1:5" x14ac:dyDescent="0.25">
      <c r="A12542" t="str">
        <f>HYPERLINK("https://www.773grp.com/globalSearch/74VCX16373DT/page-1", "74VCX16373DT")</f>
        <v>74VCX16373DT</v>
      </c>
      <c r="B12542" s="3" t="str">
        <f>HYPERLINK("https://www.773grp.com/manufacturer/onsemi?pageNo=409", "Onsemi")</f>
        <v>Onsemi</v>
      </c>
      <c r="C12542" s="6">
        <v>2613</v>
      </c>
      <c r="D12542" s="7">
        <v>1.84</v>
      </c>
      <c r="E12542" t="s">
        <v>11</v>
      </c>
    </row>
    <row r="12543" spans="1:5" x14ac:dyDescent="0.25">
      <c r="A12543" t="str">
        <f>HYPERLINK("https://www.773grp.com/globalSearch/74VCX16374DT/page-1", "74VCX16374DT")</f>
        <v>74VCX16374DT</v>
      </c>
      <c r="B12543" s="3" t="str">
        <f>HYPERLINK("https://www.773grp.com/manufacturer/onsemi?pageNo=410", "Onsemi")</f>
        <v>Onsemi</v>
      </c>
      <c r="C12543" s="6">
        <v>6760</v>
      </c>
      <c r="D12543" s="7">
        <v>1.84</v>
      </c>
      <c r="E12543" t="s">
        <v>11</v>
      </c>
    </row>
    <row r="12544" spans="1:5" x14ac:dyDescent="0.25">
      <c r="A12544" t="str">
        <f>HYPERLINK("https://www.773grp.com/globalSearch/74VCXH16240DT/page-1", "74VCXH16240DT")</f>
        <v>74VCXH16240DT</v>
      </c>
      <c r="B12544" s="3" t="str">
        <f>HYPERLINK("https://www.773grp.com/manufacturer/onsemi?pageNo=411", "Onsemi")</f>
        <v>Onsemi</v>
      </c>
      <c r="C12544" s="6">
        <v>17550</v>
      </c>
      <c r="D12544" s="7">
        <v>1.84</v>
      </c>
      <c r="E12544" t="s">
        <v>11</v>
      </c>
    </row>
    <row r="12545" spans="1:5" x14ac:dyDescent="0.25">
      <c r="A12545" t="str">
        <f>HYPERLINK("https://www.773grp.com/globalSearch/74VCXH16244DT/page-1", "74VCXH16244DT")</f>
        <v>74VCXH16244DT</v>
      </c>
      <c r="B12545" s="3" t="str">
        <f>HYPERLINK("https://www.773grp.com/manufacturer/onsemi?pageNo=412", "Onsemi")</f>
        <v>Onsemi</v>
      </c>
      <c r="C12545" s="6">
        <v>31122</v>
      </c>
      <c r="D12545" s="7">
        <v>1.84</v>
      </c>
      <c r="E12545" t="s">
        <v>11</v>
      </c>
    </row>
    <row r="12546" spans="1:5" x14ac:dyDescent="0.25">
      <c r="A12546" t="str">
        <f>HYPERLINK("https://www.773grp.com/globalSearch/74VCXH16373DT/page-1", "74VCXH16373DT")</f>
        <v>74VCXH16373DT</v>
      </c>
      <c r="B12546" s="3" t="str">
        <f>HYPERLINK("https://www.773grp.com/manufacturer/onsemi?pageNo=413", "Onsemi")</f>
        <v>Onsemi</v>
      </c>
      <c r="C12546" s="6">
        <v>12480</v>
      </c>
      <c r="D12546" s="7">
        <v>1.84</v>
      </c>
      <c r="E12546" t="s">
        <v>11</v>
      </c>
    </row>
    <row r="12547" spans="1:5" x14ac:dyDescent="0.25">
      <c r="A12547" t="str">
        <f>HYPERLINK("https://www.773grp.com/globalSearch/AMIS42665TJAA1G/page-1", "AMIS42665TJAA1G")</f>
        <v>AMIS42665TJAA1G</v>
      </c>
      <c r="B12547" s="3" t="str">
        <f>HYPERLINK("https://www.773grp.com/manufacturer/onsemi?pageNo=414", "Onsemi")</f>
        <v>Onsemi</v>
      </c>
      <c r="C12547" s="6">
        <v>3744</v>
      </c>
      <c r="D12547" s="7">
        <v>1.84</v>
      </c>
      <c r="E12547" t="s">
        <v>45</v>
      </c>
    </row>
    <row r="12548" spans="1:5" x14ac:dyDescent="0.25">
      <c r="A12548" t="str">
        <f>HYPERLINK("https://www.773grp.com/globalSearch/AMIS42665TJAA1RG/page-1", "AMIS42665TJAA1RG")</f>
        <v>AMIS42665TJAA1RG</v>
      </c>
      <c r="B12548" s="3" t="str">
        <f>HYPERLINK("https://www.773grp.com/manufacturer/onsemi?pageNo=415", "Onsemi")</f>
        <v>Onsemi</v>
      </c>
      <c r="C12548" s="6">
        <v>12000</v>
      </c>
      <c r="D12548" s="7">
        <v>1.84</v>
      </c>
      <c r="E12548" t="s">
        <v>45</v>
      </c>
    </row>
    <row r="12549" spans="1:5" x14ac:dyDescent="0.25">
      <c r="A12549" t="str">
        <f>HYPERLINK("https://www.773grp.com/globalSearch/BDW42G/page-1", "BDW42G")</f>
        <v>BDW42G</v>
      </c>
      <c r="B12549" s="3" t="str">
        <f>HYPERLINK("https://www.773grp.com/manufacturer/onsemi?pageNo=416", "Onsemi")</f>
        <v>Onsemi</v>
      </c>
      <c r="C12549" s="6">
        <v>99</v>
      </c>
      <c r="D12549" s="7">
        <v>1.84</v>
      </c>
      <c r="E12549" t="s">
        <v>47</v>
      </c>
    </row>
    <row r="12550" spans="1:5" x14ac:dyDescent="0.25">
      <c r="A12550" t="str">
        <f>HYPERLINK("https://www.773grp.com/globalSearch/BYV32200G/page-1", "BYV32200G")</f>
        <v>BYV32200G</v>
      </c>
      <c r="B12550" s="3" t="str">
        <f>HYPERLINK("https://www.773grp.com/manufacturer/onsemi?pageNo=417", "Onsemi")</f>
        <v>Onsemi</v>
      </c>
      <c r="C12550" s="6">
        <v>33</v>
      </c>
      <c r="D12550" s="7">
        <v>1.84</v>
      </c>
    </row>
    <row r="12551" spans="1:5" x14ac:dyDescent="0.25">
      <c r="A12551" t="str">
        <f>HYPERLINK("https://www.773grp.com/globalSearch/BYV32-200G/page-1", "BYV32-200G")</f>
        <v>BYV32-200G</v>
      </c>
      <c r="B12551" s="3" t="str">
        <f>HYPERLINK("https://www.773grp.com/manufacturer/onsemi?pageNo=418", "Onsemi")</f>
        <v>Onsemi</v>
      </c>
      <c r="C12551" s="6">
        <v>850</v>
      </c>
      <c r="D12551" s="7">
        <v>1.84</v>
      </c>
    </row>
    <row r="12552" spans="1:5" x14ac:dyDescent="0.25">
      <c r="A12552" t="str">
        <f>HYPERLINK("https://www.773grp.com/globalSearch/BYW51-200G/page-1", "BYW51-200G")</f>
        <v>BYW51-200G</v>
      </c>
      <c r="B12552" s="3" t="str">
        <f>HYPERLINK("https://www.773grp.com/manufacturer/onsemi?pageNo=419", "Onsemi")</f>
        <v>Onsemi</v>
      </c>
      <c r="C12552" s="6">
        <v>6977</v>
      </c>
      <c r="D12552" s="7">
        <v>1.84</v>
      </c>
      <c r="E12552" t="s">
        <v>82</v>
      </c>
    </row>
    <row r="12553" spans="1:5" x14ac:dyDescent="0.25">
      <c r="A12553" t="str">
        <f>HYPERLINK("https://www.773grp.com/globalSearch/CAT25256VI-GT3/page-1", "CAT25256VI-GT3")</f>
        <v>CAT25256VI-GT3</v>
      </c>
      <c r="B12553" s="3" t="str">
        <f>HYPERLINK("https://www.773grp.com/manufacturer/onsemi?pageNo=420", "Onsemi")</f>
        <v>Onsemi</v>
      </c>
      <c r="C12553" s="6">
        <v>15000</v>
      </c>
      <c r="D12553" s="7">
        <v>1.84</v>
      </c>
    </row>
    <row r="12554" spans="1:5" x14ac:dyDescent="0.25">
      <c r="A12554" t="str">
        <f>HYPERLINK("https://www.773grp.com/globalSearch/CAT25256YI-GT3/page-1", "CAT25256YI-GT3")</f>
        <v>CAT25256YI-GT3</v>
      </c>
      <c r="B12554" s="3" t="str">
        <f>HYPERLINK("https://www.773grp.com/manufacturer/onsemi?pageNo=421", "Onsemi")</f>
        <v>Onsemi</v>
      </c>
      <c r="C12554" s="6">
        <v>8000</v>
      </c>
      <c r="D12554" s="7">
        <v>1.84</v>
      </c>
    </row>
    <row r="12555" spans="1:5" x14ac:dyDescent="0.25">
      <c r="A12555" t="str">
        <f>HYPERLINK("https://www.773grp.com/globalSearch/CM1216-06MR/page-1", "CM1216-06MR")</f>
        <v>CM1216-06MR</v>
      </c>
      <c r="B12555" s="3" t="str">
        <f>HYPERLINK("https://www.773grp.com/manufacturer/onsemi?pageNo=422", "Onsemi")</f>
        <v>Onsemi</v>
      </c>
      <c r="C12555" s="6">
        <v>4000</v>
      </c>
      <c r="D12555" s="7">
        <v>1.84</v>
      </c>
      <c r="E12555" t="s">
        <v>75</v>
      </c>
    </row>
    <row r="12556" spans="1:5" x14ac:dyDescent="0.25">
      <c r="A12556" t="str">
        <f>HYPERLINK("https://www.773grp.com/globalSearch/IRF520/page-1", "IRF520")</f>
        <v>IRF520</v>
      </c>
      <c r="B12556" s="3" t="str">
        <f>HYPERLINK("https://www.773grp.com/manufacturer/onsemi?pageNo=423", "Onsemi")</f>
        <v>Onsemi</v>
      </c>
      <c r="C12556" s="6">
        <v>200</v>
      </c>
      <c r="D12556" s="7">
        <v>1.84</v>
      </c>
      <c r="E12556" t="s">
        <v>84</v>
      </c>
    </row>
    <row r="12557" spans="1:5" x14ac:dyDescent="0.25">
      <c r="A12557" t="str">
        <f>HYPERLINK("https://www.773grp.com/globalSearch/IRF530/page-1", "IRF530")</f>
        <v>IRF530</v>
      </c>
      <c r="B12557" s="3" t="str">
        <f>HYPERLINK("https://www.773grp.com/manufacturer/onsemi?pageNo=424", "Onsemi")</f>
        <v>Onsemi</v>
      </c>
      <c r="C12557" s="6">
        <v>2223</v>
      </c>
      <c r="D12557" s="7">
        <v>1.84</v>
      </c>
      <c r="E12557" t="s">
        <v>84</v>
      </c>
    </row>
    <row r="12558" spans="1:5" x14ac:dyDescent="0.25">
      <c r="A12558" t="str">
        <f>HYPERLINK("https://www.773grp.com/globalSearch/IRF720/page-1", "IRF720")</f>
        <v>IRF720</v>
      </c>
      <c r="B12558" s="3" t="str">
        <f>HYPERLINK("https://www.773grp.com/manufacturer/onsemi?pageNo=425", "Onsemi")</f>
        <v>Onsemi</v>
      </c>
      <c r="C12558" s="6">
        <v>12045</v>
      </c>
      <c r="D12558" s="7">
        <v>1.84</v>
      </c>
      <c r="E12558" t="s">
        <v>84</v>
      </c>
    </row>
    <row r="12559" spans="1:5" x14ac:dyDescent="0.25">
      <c r="A12559" t="str">
        <f>HYPERLINK("https://www.773grp.com/globalSearch/LM2931CD2T/page-1", "LM2931CD2T")</f>
        <v>LM2931CD2T</v>
      </c>
      <c r="B12559" s="3" t="str">
        <f>HYPERLINK("https://www.773grp.com/manufacturer/onsemi?pageNo=426", "Onsemi")</f>
        <v>Onsemi</v>
      </c>
      <c r="C12559" s="6">
        <v>197</v>
      </c>
      <c r="D12559" s="7">
        <v>1.84</v>
      </c>
      <c r="E12559" t="s">
        <v>21</v>
      </c>
    </row>
    <row r="12560" spans="1:5" x14ac:dyDescent="0.25">
      <c r="A12560" t="str">
        <f>HYPERLINK("https://www.773grp.com/globalSearch/LM2931CD2TR4/page-1", "LM2931CD2TR4")</f>
        <v>LM2931CD2TR4</v>
      </c>
      <c r="B12560" s="3" t="str">
        <f>HYPERLINK("https://www.773grp.com/manufacturer/onsemi?pageNo=427", "Onsemi")</f>
        <v>Onsemi</v>
      </c>
      <c r="C12560" s="6">
        <v>640</v>
      </c>
      <c r="D12560" s="7">
        <v>1.84</v>
      </c>
      <c r="E12560" t="s">
        <v>21</v>
      </c>
    </row>
    <row r="12561" spans="1:5" x14ac:dyDescent="0.25">
      <c r="A12561" t="str">
        <f>HYPERLINK("https://www.773grp.com/globalSearch/LM2931CTG/page-1", "LM2931CTG")</f>
        <v>LM2931CTG</v>
      </c>
      <c r="B12561" s="3" t="str">
        <f>HYPERLINK("https://www.773grp.com/manufacturer/onsemi?pageNo=428", "Onsemi")</f>
        <v>Onsemi</v>
      </c>
      <c r="C12561" s="6">
        <v>4210</v>
      </c>
      <c r="D12561" s="7">
        <v>1.84</v>
      </c>
      <c r="E12561" t="s">
        <v>21</v>
      </c>
    </row>
    <row r="12562" spans="1:5" x14ac:dyDescent="0.25">
      <c r="A12562" t="str">
        <f>HYPERLINK("https://www.773grp.com/globalSearch/LM2931T-5.0G/page-1", "LM2931T-5.0G")</f>
        <v>LM2931T-5.0G</v>
      </c>
      <c r="B12562" s="3" t="str">
        <f>HYPERLINK("https://www.773grp.com/manufacturer/onsemi?pageNo=429", "Onsemi")</f>
        <v>Onsemi</v>
      </c>
      <c r="C12562" s="6">
        <v>749</v>
      </c>
      <c r="D12562" s="7">
        <v>1.84</v>
      </c>
    </row>
    <row r="12563" spans="1:5" x14ac:dyDescent="0.25">
      <c r="A12563" t="str">
        <f>HYPERLINK("https://www.773grp.com/globalSearch/LM317BD2T/page-1", "LM317BD2T")</f>
        <v>LM317BD2T</v>
      </c>
      <c r="B12563" s="3" t="str">
        <f>HYPERLINK("https://www.773grp.com/manufacturer/onsemi?pageNo=430", "Onsemi")</f>
        <v>Onsemi</v>
      </c>
      <c r="C12563" s="6">
        <v>3300</v>
      </c>
      <c r="D12563" s="7">
        <v>1.84</v>
      </c>
      <c r="E12563" t="s">
        <v>18</v>
      </c>
    </row>
    <row r="12564" spans="1:5" x14ac:dyDescent="0.25">
      <c r="A12564" t="str">
        <f>HYPERLINK("https://www.773grp.com/globalSearch/LM317BD2TG/page-1", "LM317BD2TG")</f>
        <v>LM317BD2TG</v>
      </c>
      <c r="B12564" s="3" t="str">
        <f>HYPERLINK("https://www.773grp.com/manufacturer/onsemi?pageNo=431", "Onsemi")</f>
        <v>Onsemi</v>
      </c>
      <c r="C12564" s="6">
        <v>4917</v>
      </c>
      <c r="D12564" s="7">
        <v>1.84</v>
      </c>
      <c r="E12564" t="s">
        <v>18</v>
      </c>
    </row>
    <row r="12565" spans="1:5" x14ac:dyDescent="0.25">
      <c r="A12565" t="str">
        <f>HYPERLINK("https://www.773grp.com/globalSearch/LM317BD2TR4G/page-1", "LM317BD2TR4G")</f>
        <v>LM317BD2TR4G</v>
      </c>
      <c r="B12565" s="3" t="str">
        <f>HYPERLINK("https://www.773grp.com/manufacturer/onsemi?pageNo=432", "Onsemi")</f>
        <v>Onsemi</v>
      </c>
      <c r="C12565" s="6">
        <v>17664</v>
      </c>
      <c r="D12565" s="7">
        <v>1.84</v>
      </c>
      <c r="E12565" t="s">
        <v>18</v>
      </c>
    </row>
    <row r="12566" spans="1:5" x14ac:dyDescent="0.25">
      <c r="A12566" t="str">
        <f>HYPERLINK("https://www.773grp.com/globalSearch/LM833DG/page-1", "LM833DG")</f>
        <v>LM833DG</v>
      </c>
      <c r="B12566" s="3" t="str">
        <f>HYPERLINK("https://www.773grp.com/manufacturer/onsemi?pageNo=433", "Onsemi")</f>
        <v>Onsemi</v>
      </c>
      <c r="C12566" s="6">
        <v>98</v>
      </c>
      <c r="D12566" s="7">
        <v>1.84</v>
      </c>
      <c r="E12566" t="s">
        <v>14</v>
      </c>
    </row>
    <row r="12567" spans="1:5" x14ac:dyDescent="0.25">
      <c r="A12567" t="str">
        <f>HYPERLINK("https://www.773grp.com/globalSearch/LM833DR2G/page-1", "LM833DR2G")</f>
        <v>LM833DR2G</v>
      </c>
      <c r="B12567" s="3" t="str">
        <f>HYPERLINK("https://www.773grp.com/manufacturer/onsemi?pageNo=434", "Onsemi")</f>
        <v>Onsemi</v>
      </c>
      <c r="C12567" s="6">
        <v>77416</v>
      </c>
      <c r="D12567" s="7">
        <v>1.84</v>
      </c>
      <c r="E12567" t="s">
        <v>14</v>
      </c>
    </row>
    <row r="12568" spans="1:5" x14ac:dyDescent="0.25">
      <c r="A12568" t="str">
        <f>HYPERLINK("https://www.773grp.com/globalSearch/LMV821SQ3T2G/page-1", "LMV821SQ3T2G")</f>
        <v>LMV821SQ3T2G</v>
      </c>
      <c r="B12568" s="3" t="str">
        <f>HYPERLINK("https://www.773grp.com/manufacturer/onsemi?pageNo=435", "Onsemi")</f>
        <v>Onsemi</v>
      </c>
      <c r="C12568" s="6">
        <v>3000</v>
      </c>
      <c r="D12568" s="7">
        <v>1.84</v>
      </c>
    </row>
    <row r="12569" spans="1:5" x14ac:dyDescent="0.25">
      <c r="A12569" t="str">
        <f>HYPERLINK("https://www.773grp.com/globalSearch/LMV981MU3TBG/page-1", "LMV981MU3TBG")</f>
        <v>LMV981MU3TBG</v>
      </c>
      <c r="B12569" s="3" t="str">
        <f>HYPERLINK("https://www.773grp.com/manufacturer/onsemi?pageNo=436", "Onsemi")</f>
        <v>Onsemi</v>
      </c>
      <c r="C12569" s="6">
        <v>69000</v>
      </c>
      <c r="D12569" s="7">
        <v>1.84</v>
      </c>
    </row>
    <row r="12570" spans="1:5" x14ac:dyDescent="0.25">
      <c r="A12570" t="str">
        <f>HYPERLINK("https://www.773grp.com/globalSearch/LP2951CD/page-1", "LP2951CD")</f>
        <v>LP2951CD</v>
      </c>
      <c r="B12570" s="3" t="str">
        <f>HYPERLINK("https://www.773grp.com/manufacturer/onsemi?pageNo=437", "Onsemi")</f>
        <v>Onsemi</v>
      </c>
      <c r="C12570" s="6">
        <v>2254</v>
      </c>
      <c r="D12570" s="7">
        <v>1.84</v>
      </c>
      <c r="E12570" t="s">
        <v>23</v>
      </c>
    </row>
    <row r="12571" spans="1:5" x14ac:dyDescent="0.25">
      <c r="A12571" t="str">
        <f>HYPERLINK("https://www.773grp.com/globalSearch/LP2951CD-3.0/page-1", "LP2951CD-3.0")</f>
        <v>LP2951CD-3.0</v>
      </c>
      <c r="B12571" s="3" t="str">
        <f>HYPERLINK("https://www.773grp.com/manufacturer/onsemi?pageNo=438", "Onsemi")</f>
        <v>Onsemi</v>
      </c>
      <c r="C12571" s="6">
        <v>588</v>
      </c>
      <c r="D12571" s="7">
        <v>1.84</v>
      </c>
      <c r="E12571" t="s">
        <v>15</v>
      </c>
    </row>
    <row r="12572" spans="1:5" x14ac:dyDescent="0.25">
      <c r="A12572" t="str">
        <f>HYPERLINK("https://www.773grp.com/globalSearch/LP2951CD-3.3/page-1", "LP2951CD-3.3")</f>
        <v>LP2951CD-3.3</v>
      </c>
      <c r="B12572" s="3" t="str">
        <f>HYPERLINK("https://www.773grp.com/manufacturer/onsemi?pageNo=439", "Onsemi")</f>
        <v>Onsemi</v>
      </c>
      <c r="C12572" s="6">
        <v>9356</v>
      </c>
      <c r="D12572" s="7">
        <v>1.84</v>
      </c>
      <c r="E12572" t="s">
        <v>15</v>
      </c>
    </row>
    <row r="12573" spans="1:5" x14ac:dyDescent="0.25">
      <c r="A12573" t="str">
        <f>HYPERLINK("https://www.773grp.com/globalSearch/LP2951CDM-3.3R2/page-1", "LP2951CDM-3.3R2")</f>
        <v>LP2951CDM-3.3R2</v>
      </c>
      <c r="B12573" s="3" t="str">
        <f>HYPERLINK("https://www.773grp.com/manufacturer/onsemi?pageNo=440", "Onsemi")</f>
        <v>Onsemi</v>
      </c>
      <c r="C12573" s="6">
        <v>7375</v>
      </c>
      <c r="D12573" s="7">
        <v>1.84</v>
      </c>
      <c r="E12573" t="s">
        <v>15</v>
      </c>
    </row>
    <row r="12574" spans="1:5" x14ac:dyDescent="0.25">
      <c r="A12574" t="str">
        <f>HYPERLINK("https://www.773grp.com/globalSearch/LP2951CDR2/page-1", "LP2951CDR2")</f>
        <v>LP2951CDR2</v>
      </c>
      <c r="B12574" s="3" t="str">
        <f>HYPERLINK("https://www.773grp.com/manufacturer/onsemi?pageNo=441", "Onsemi")</f>
        <v>Onsemi</v>
      </c>
      <c r="C12574" s="6">
        <v>73610</v>
      </c>
      <c r="D12574" s="7">
        <v>1.84</v>
      </c>
      <c r="E12574" t="s">
        <v>23</v>
      </c>
    </row>
    <row r="12575" spans="1:5" x14ac:dyDescent="0.25">
      <c r="A12575" t="str">
        <f>HYPERLINK("https://www.773grp.com/globalSearch/LP2951CN/page-1", "LP2951CN")</f>
        <v>LP2951CN</v>
      </c>
      <c r="B12575" s="3" t="str">
        <f>HYPERLINK("https://www.773grp.com/manufacturer/onsemi?pageNo=442", "Onsemi")</f>
        <v>Onsemi</v>
      </c>
      <c r="C12575" s="6">
        <v>13420</v>
      </c>
      <c r="D12575" s="7">
        <v>1.84</v>
      </c>
      <c r="E12575" t="s">
        <v>23</v>
      </c>
    </row>
    <row r="12576" spans="1:5" x14ac:dyDescent="0.25">
      <c r="A12576" t="str">
        <f>HYPERLINK("https://www.773grp.com/globalSearch/LP2951CN-3.0/page-1", "LP2951CN-3.0")</f>
        <v>LP2951CN-3.0</v>
      </c>
      <c r="B12576" s="3" t="str">
        <f>HYPERLINK("https://www.773grp.com/manufacturer/onsemi?pageNo=443", "Onsemi")</f>
        <v>Onsemi</v>
      </c>
      <c r="C12576" s="6">
        <v>4</v>
      </c>
      <c r="D12576" s="7">
        <v>1.84</v>
      </c>
      <c r="E12576" t="s">
        <v>15</v>
      </c>
    </row>
    <row r="12577" spans="1:5" x14ac:dyDescent="0.25">
      <c r="A12577" t="str">
        <f>HYPERLINK("https://www.773grp.com/globalSearch/LP2951CN-3.3/page-1", "LP2951CN-3.3")</f>
        <v>LP2951CN-3.3</v>
      </c>
      <c r="B12577" s="3" t="str">
        <f>HYPERLINK("https://www.773grp.com/manufacturer/onsemi?pageNo=444", "Onsemi")</f>
        <v>Onsemi</v>
      </c>
      <c r="C12577" s="6">
        <v>2900</v>
      </c>
      <c r="D12577" s="7">
        <v>1.84</v>
      </c>
      <c r="E12577" t="s">
        <v>15</v>
      </c>
    </row>
    <row r="12578" spans="1:5" x14ac:dyDescent="0.25">
      <c r="A12578" t="str">
        <f>HYPERLINK("https://www.773grp.com/globalSearch/M74HCT4851ADTR2G/page-1", "M74HCT4851ADTR2G")</f>
        <v>M74HCT4851ADTR2G</v>
      </c>
      <c r="B12578" s="3" t="str">
        <f>HYPERLINK("https://www.773grp.com/manufacturer/onsemi?pageNo=445", "Onsemi")</f>
        <v>Onsemi</v>
      </c>
      <c r="C12578" s="6">
        <v>5000</v>
      </c>
      <c r="D12578" s="7">
        <v>1.84</v>
      </c>
      <c r="E12578" t="s">
        <v>46</v>
      </c>
    </row>
    <row r="12579" spans="1:5" x14ac:dyDescent="0.25">
      <c r="A12579" t="str">
        <f>HYPERLINK("https://www.773grp.com/globalSearch/MAC218A8/page-1", "MAC218A8")</f>
        <v>MAC218A8</v>
      </c>
      <c r="B12579" s="3" t="str">
        <f>HYPERLINK("https://www.773grp.com/manufacturer/onsemi?pageNo=446", "Onsemi")</f>
        <v>Onsemi</v>
      </c>
      <c r="C12579" s="6">
        <v>12500</v>
      </c>
      <c r="D12579" s="7">
        <v>1.84</v>
      </c>
      <c r="E12579" t="s">
        <v>81</v>
      </c>
    </row>
    <row r="12580" spans="1:5" x14ac:dyDescent="0.25">
      <c r="A12580" t="str">
        <f>HYPERLINK("https://www.773grp.com/globalSearch/MBR10L60CTG/page-1", "MBR10L60CTG")</f>
        <v>MBR10L60CTG</v>
      </c>
      <c r="B12580" s="3" t="str">
        <f>HYPERLINK("https://www.773grp.com/manufacturer/onsemi?pageNo=447", "Onsemi")</f>
        <v>Onsemi</v>
      </c>
      <c r="C12580" s="6">
        <v>50</v>
      </c>
      <c r="D12580" s="7">
        <v>1.84</v>
      </c>
      <c r="E12580" t="s">
        <v>82</v>
      </c>
    </row>
    <row r="12581" spans="1:5" x14ac:dyDescent="0.25">
      <c r="A12581" t="str">
        <f>HYPERLINK("https://www.773grp.com/globalSearch/MBRD1035CTLT4/page-1", "MBRD1035CTLT4")</f>
        <v>MBRD1035CTLT4</v>
      </c>
      <c r="B12581" s="3" t="str">
        <f>HYPERLINK("https://www.773grp.com/manufacturer/onsemi?pageNo=448", "Onsemi")</f>
        <v>Onsemi</v>
      </c>
      <c r="C12581" s="6">
        <v>2240</v>
      </c>
      <c r="D12581" s="7">
        <v>1.84</v>
      </c>
      <c r="E12581" t="s">
        <v>82</v>
      </c>
    </row>
    <row r="12582" spans="1:5" x14ac:dyDescent="0.25">
      <c r="A12582" t="str">
        <f>HYPERLINK("https://www.773grp.com/globalSearch/MC14536BDWR2G/page-1", "MC14536BDWR2G")</f>
        <v>MC14536BDWR2G</v>
      </c>
      <c r="B12582" s="3" t="str">
        <f>HYPERLINK("https://www.773grp.com/manufacturer/onsemi?pageNo=449", "Onsemi")</f>
        <v>Onsemi</v>
      </c>
      <c r="C12582" s="6">
        <v>24722</v>
      </c>
      <c r="D12582" s="7">
        <v>1.84</v>
      </c>
      <c r="E12582" t="s">
        <v>67</v>
      </c>
    </row>
    <row r="12583" spans="1:5" x14ac:dyDescent="0.25">
      <c r="A12583" t="str">
        <f>HYPERLINK("https://www.773grp.com/globalSearch/MC14555BDG/page-1", "MC14555BDG")</f>
        <v>MC14555BDG</v>
      </c>
      <c r="B12583" s="3" t="str">
        <f>HYPERLINK("https://www.773grp.com/manufacturer/onsemi?pageNo=450", "Onsemi")</f>
        <v>Onsemi</v>
      </c>
      <c r="C12583" s="6">
        <v>5110</v>
      </c>
      <c r="D12583" s="7">
        <v>1.84</v>
      </c>
      <c r="E12583" t="s">
        <v>32</v>
      </c>
    </row>
    <row r="12584" spans="1:5" x14ac:dyDescent="0.25">
      <c r="A12584" t="str">
        <f>HYPERLINK("https://www.773grp.com/globalSearch/MC14555BDR2G/page-1", "MC14555BDR2G")</f>
        <v>MC14555BDR2G</v>
      </c>
      <c r="B12584" s="3" t="str">
        <f>HYPERLINK("https://www.773grp.com/manufacturer/onsemi?pageNo=451", "Onsemi")</f>
        <v>Onsemi</v>
      </c>
      <c r="C12584" s="6">
        <v>2813</v>
      </c>
      <c r="D12584" s="7">
        <v>1.84</v>
      </c>
      <c r="E12584" t="s">
        <v>32</v>
      </c>
    </row>
    <row r="12585" spans="1:5" x14ac:dyDescent="0.25">
      <c r="A12585" t="str">
        <f>HYPERLINK("https://www.773grp.com/globalSearch/MC14556BDR2G/page-1", "MC14556BDR2G")</f>
        <v>MC14556BDR2G</v>
      </c>
      <c r="B12585" s="3" t="str">
        <f>HYPERLINK("https://www.773grp.com/manufacturer/onsemi?pageNo=452", "Onsemi")</f>
        <v>Onsemi</v>
      </c>
      <c r="C12585" s="6">
        <v>4689</v>
      </c>
      <c r="D12585" s="7">
        <v>1.84</v>
      </c>
    </row>
    <row r="12586" spans="1:5" x14ac:dyDescent="0.25">
      <c r="A12586" t="str">
        <f>HYPERLINK("https://www.773grp.com/globalSearch/MC33060ADG/page-1", "MC33060ADG")</f>
        <v>MC33060ADG</v>
      </c>
      <c r="B12586" s="3" t="str">
        <f>HYPERLINK("https://www.773grp.com/manufacturer/onsemi?pageNo=453", "Onsemi")</f>
        <v>Onsemi</v>
      </c>
      <c r="C12586" s="6">
        <v>440</v>
      </c>
      <c r="D12586" s="7">
        <v>1.84</v>
      </c>
    </row>
    <row r="12587" spans="1:5" x14ac:dyDescent="0.25">
      <c r="A12587" t="str">
        <f>HYPERLINK("https://www.773grp.com/globalSearch/MC33060ADR2G/page-1", "MC33060ADR2G")</f>
        <v>MC33060ADR2G</v>
      </c>
      <c r="B12587" s="3" t="str">
        <f>HYPERLINK("https://www.773grp.com/manufacturer/onsemi?pageNo=454", "Onsemi")</f>
        <v>Onsemi</v>
      </c>
      <c r="C12587" s="6">
        <v>6226</v>
      </c>
      <c r="D12587" s="7">
        <v>1.84</v>
      </c>
      <c r="E12587" t="s">
        <v>5</v>
      </c>
    </row>
    <row r="12588" spans="1:5" x14ac:dyDescent="0.25">
      <c r="A12588" t="str">
        <f>HYPERLINK("https://www.773grp.com/globalSearch/MC33172VDR2G/page-1", "MC33172VDR2G")</f>
        <v>MC33172VDR2G</v>
      </c>
      <c r="B12588" s="3" t="str">
        <f>HYPERLINK("https://www.773grp.com/manufacturer/onsemi?pageNo=455", "Onsemi")</f>
        <v>Onsemi</v>
      </c>
      <c r="C12588" s="6">
        <v>2024</v>
      </c>
      <c r="D12588" s="7">
        <v>1.84</v>
      </c>
    </row>
    <row r="12589" spans="1:5" x14ac:dyDescent="0.25">
      <c r="A12589" t="str">
        <f>HYPERLINK("https://www.773grp.com/globalSearch/MC33202D/page-1", "MC33202D")</f>
        <v>MC33202D</v>
      </c>
      <c r="B12589" s="3" t="str">
        <f>HYPERLINK("https://www.773grp.com/manufacturer/onsemi?pageNo=456", "Onsemi")</f>
        <v>Onsemi</v>
      </c>
      <c r="C12589" s="6">
        <v>11564</v>
      </c>
      <c r="D12589" s="7">
        <v>1.84</v>
      </c>
    </row>
    <row r="12590" spans="1:5" x14ac:dyDescent="0.25">
      <c r="A12590" t="str">
        <f>HYPERLINK("https://www.773grp.com/globalSearch/MC33269ST-3.3T3G/page-1", "MC33269ST-3.3T3G")</f>
        <v>MC33269ST-3.3T3G</v>
      </c>
      <c r="B12590" s="3" t="str">
        <f>HYPERLINK("https://www.773grp.com/manufacturer/onsemi?pageNo=457", "Onsemi")</f>
        <v>Onsemi</v>
      </c>
      <c r="C12590" s="6">
        <v>22118</v>
      </c>
      <c r="D12590" s="7">
        <v>1.84</v>
      </c>
      <c r="E12590" t="s">
        <v>15</v>
      </c>
    </row>
    <row r="12591" spans="1:5" x14ac:dyDescent="0.25">
      <c r="A12591" t="str">
        <f>HYPERLINK("https://www.773grp.com/globalSearch/MC33269T-3.3G/page-1", "MC33269T-3.3G")</f>
        <v>MC33269T-3.3G</v>
      </c>
      <c r="B12591" s="3" t="str">
        <f>HYPERLINK("https://www.773grp.com/manufacturer/onsemi?pageNo=458", "Onsemi")</f>
        <v>Onsemi</v>
      </c>
      <c r="C12591" s="6">
        <v>33257</v>
      </c>
      <c r="D12591" s="7">
        <v>1.84</v>
      </c>
      <c r="E12591" t="s">
        <v>15</v>
      </c>
    </row>
    <row r="12592" spans="1:5" x14ac:dyDescent="0.25">
      <c r="A12592" t="str">
        <f>HYPERLINK("https://www.773grp.com/globalSearch/MC33269T-5.0G/page-1", "MC33269T-5.0G")</f>
        <v>MC33269T-5.0G</v>
      </c>
      <c r="B12592" s="3" t="str">
        <f>HYPERLINK("https://www.773grp.com/manufacturer/onsemi?pageNo=459", "Onsemi")</f>
        <v>Onsemi</v>
      </c>
      <c r="C12592" s="6">
        <v>2100</v>
      </c>
      <c r="D12592" s="7">
        <v>1.84</v>
      </c>
      <c r="E12592" t="s">
        <v>15</v>
      </c>
    </row>
    <row r="12593" spans="1:5" x14ac:dyDescent="0.25">
      <c r="A12593" t="str">
        <f>HYPERLINK("https://www.773grp.com/globalSearch/MC33269TG/page-1", "MC33269TG")</f>
        <v>MC33269TG</v>
      </c>
      <c r="B12593" s="3" t="str">
        <f>HYPERLINK("https://www.773grp.com/manufacturer/onsemi?pageNo=460", "Onsemi")</f>
        <v>Onsemi</v>
      </c>
      <c r="C12593" s="6">
        <v>5432</v>
      </c>
      <c r="D12593" s="7">
        <v>1.84</v>
      </c>
      <c r="E12593" t="s">
        <v>21</v>
      </c>
    </row>
    <row r="12594" spans="1:5" x14ac:dyDescent="0.25">
      <c r="A12594" t="str">
        <f>HYPERLINK("https://www.773grp.com/globalSearch/MC33275MN-2.5R2G/page-1", "MC33275MN-2.5R2G")</f>
        <v>MC33275MN-2.5R2G</v>
      </c>
      <c r="B12594" s="3" t="str">
        <f>HYPERLINK("https://www.773grp.com/manufacturer/onsemi?pageNo=461", "Onsemi")</f>
        <v>Onsemi</v>
      </c>
      <c r="C12594" s="6">
        <v>16000</v>
      </c>
      <c r="D12594" s="7">
        <v>1.84</v>
      </c>
      <c r="E12594" t="s">
        <v>15</v>
      </c>
    </row>
    <row r="12595" spans="1:5" x14ac:dyDescent="0.25">
      <c r="A12595" t="str">
        <f>HYPERLINK("https://www.773grp.com/globalSearch/MC33275MN-3.3R2G/page-1", "MC33275MN-3.3R2G")</f>
        <v>MC33275MN-3.3R2G</v>
      </c>
      <c r="B12595" s="3" t="str">
        <f>HYPERLINK("https://www.773grp.com/manufacturer/onsemi?pageNo=462", "Onsemi")</f>
        <v>Onsemi</v>
      </c>
      <c r="C12595" s="6">
        <v>3940</v>
      </c>
      <c r="D12595" s="7">
        <v>1.84</v>
      </c>
      <c r="E12595" t="s">
        <v>15</v>
      </c>
    </row>
    <row r="12596" spans="1:5" x14ac:dyDescent="0.25">
      <c r="A12596" t="str">
        <f>HYPERLINK("https://www.773grp.com/globalSearch/MC33275MN-5.0R2G/page-1", "MC33275MN-5.0R2G")</f>
        <v>MC33275MN-5.0R2G</v>
      </c>
      <c r="B12596" s="3" t="str">
        <f>HYPERLINK("https://www.773grp.com/manufacturer/onsemi?pageNo=463", "Onsemi")</f>
        <v>Onsemi</v>
      </c>
      <c r="C12596" s="6">
        <v>5715</v>
      </c>
      <c r="D12596" s="7">
        <v>1.84</v>
      </c>
      <c r="E12596" t="s">
        <v>15</v>
      </c>
    </row>
    <row r="12597" spans="1:5" x14ac:dyDescent="0.25">
      <c r="A12597" t="str">
        <f>HYPERLINK("https://www.773grp.com/globalSearch/MC33565DMR2G/page-1", "MC33565DMR2G")</f>
        <v>MC33565DMR2G</v>
      </c>
      <c r="B12597" s="3" t="str">
        <f>HYPERLINK("https://www.773grp.com/manufacturer/onsemi?pageNo=464", "Onsemi")</f>
        <v>Onsemi</v>
      </c>
      <c r="C12597" s="6">
        <v>8000</v>
      </c>
      <c r="D12597" s="7">
        <v>1.84</v>
      </c>
      <c r="E12597" t="s">
        <v>15</v>
      </c>
    </row>
    <row r="12598" spans="1:5" x14ac:dyDescent="0.25">
      <c r="A12598" t="str">
        <f>HYPERLINK("https://www.773grp.com/globalSearch/MC34060ADG/page-1", "MC34060ADG")</f>
        <v>MC34060ADG</v>
      </c>
      <c r="B12598" s="3" t="str">
        <f>HYPERLINK("https://www.773grp.com/manufacturer/onsemi?pageNo=465", "Onsemi")</f>
        <v>Onsemi</v>
      </c>
      <c r="C12598" s="6">
        <v>2164</v>
      </c>
      <c r="D12598" s="7">
        <v>1.84</v>
      </c>
      <c r="E12598" t="s">
        <v>5</v>
      </c>
    </row>
    <row r="12599" spans="1:5" x14ac:dyDescent="0.25">
      <c r="A12599" t="str">
        <f>HYPERLINK("https://www.773grp.com/globalSearch/MC34060ADR2G/page-1", "MC34060ADR2G")</f>
        <v>MC34060ADR2G</v>
      </c>
      <c r="B12599" s="3" t="str">
        <f>HYPERLINK("https://www.773grp.com/manufacturer/onsemi?pageNo=466", "Onsemi")</f>
        <v>Onsemi</v>
      </c>
      <c r="C12599" s="6">
        <v>5688</v>
      </c>
      <c r="D12599" s="7">
        <v>1.84</v>
      </c>
    </row>
    <row r="12600" spans="1:5" x14ac:dyDescent="0.25">
      <c r="A12600" t="str">
        <f>HYPERLINK("https://www.773grp.com/globalSearch/MC34072VD/page-1", "MC34072VD")</f>
        <v>MC34072VD</v>
      </c>
      <c r="B12600" s="3" t="str">
        <f>HYPERLINK("https://www.773grp.com/manufacturer/onsemi?pageNo=467", "Onsemi")</f>
        <v>Onsemi</v>
      </c>
      <c r="C12600" s="6">
        <v>196</v>
      </c>
      <c r="D12600" s="7">
        <v>1.84</v>
      </c>
      <c r="E12600" t="s">
        <v>10</v>
      </c>
    </row>
    <row r="12601" spans="1:5" x14ac:dyDescent="0.25">
      <c r="A12601" t="str">
        <f>HYPERLINK("https://www.773grp.com/globalSearch/MC34072VDG/page-1", "MC34072VDG")</f>
        <v>MC34072VDG</v>
      </c>
      <c r="B12601" s="3" t="str">
        <f>HYPERLINK("https://www.773grp.com/manufacturer/onsemi?pageNo=468", "Onsemi")</f>
        <v>Onsemi</v>
      </c>
      <c r="C12601" s="6">
        <v>1157</v>
      </c>
      <c r="D12601" s="7">
        <v>1.84</v>
      </c>
      <c r="E12601" t="s">
        <v>10</v>
      </c>
    </row>
    <row r="12602" spans="1:5" x14ac:dyDescent="0.25">
      <c r="A12602" t="str">
        <f>HYPERLINK("https://www.773grp.com/globalSearch/MC34072VDR2G/page-1", "MC34072VDR2G")</f>
        <v>MC34072VDR2G</v>
      </c>
      <c r="B12602" s="3" t="str">
        <f>HYPERLINK("https://www.773grp.com/manufacturer/onsemi?pageNo=469", "Onsemi")</f>
        <v>Onsemi</v>
      </c>
      <c r="C12602" s="6">
        <v>2693</v>
      </c>
      <c r="D12602" s="7">
        <v>1.84</v>
      </c>
      <c r="E12602" t="s">
        <v>10</v>
      </c>
    </row>
    <row r="12603" spans="1:5" x14ac:dyDescent="0.25">
      <c r="A12603" t="str">
        <f>HYPERLINK("https://www.773grp.com/globalSearch/MC34072VPG/page-1", "MC34072VPG")</f>
        <v>MC34072VPG</v>
      </c>
      <c r="B12603" s="3" t="str">
        <f>HYPERLINK("https://www.773grp.com/manufacturer/onsemi?pageNo=470", "Onsemi")</f>
        <v>Onsemi</v>
      </c>
      <c r="C12603" s="6">
        <v>1473</v>
      </c>
      <c r="D12603" s="7">
        <v>1.84</v>
      </c>
      <c r="E12603" t="s">
        <v>10</v>
      </c>
    </row>
    <row r="12604" spans="1:5" x14ac:dyDescent="0.25">
      <c r="A12604" t="str">
        <f>HYPERLINK("https://www.773grp.com/globalSearch/MC74AC132DG/page-1", "MC74AC132DG")</f>
        <v>MC74AC132DG</v>
      </c>
      <c r="B12604" s="3" t="str">
        <f>HYPERLINK("https://www.773grp.com/manufacturer/onsemi?pageNo=471", "Onsemi")</f>
        <v>Onsemi</v>
      </c>
      <c r="C12604" s="6">
        <v>1027</v>
      </c>
      <c r="D12604" s="7">
        <v>1.84</v>
      </c>
      <c r="E12604" t="s">
        <v>27</v>
      </c>
    </row>
    <row r="12605" spans="1:5" x14ac:dyDescent="0.25">
      <c r="A12605" t="str">
        <f>HYPERLINK("https://www.773grp.com/globalSearch/MC74AC132DR2G/page-1", "MC74AC132DR2G")</f>
        <v>MC74AC132DR2G</v>
      </c>
      <c r="B12605" s="3" t="str">
        <f>HYPERLINK("https://www.773grp.com/manufacturer/onsemi?pageNo=472", "Onsemi")</f>
        <v>Onsemi</v>
      </c>
      <c r="C12605" s="6">
        <v>8373</v>
      </c>
      <c r="D12605" s="7">
        <v>1.84</v>
      </c>
      <c r="E12605" t="s">
        <v>27</v>
      </c>
    </row>
    <row r="12606" spans="1:5" x14ac:dyDescent="0.25">
      <c r="A12606" t="str">
        <f>HYPERLINK("https://www.773grp.com/globalSearch/MC74AC4040MEL/page-1", "MC74AC4040MEL")</f>
        <v>MC74AC4040MEL</v>
      </c>
      <c r="B12606" s="3" t="str">
        <f>HYPERLINK("https://www.773grp.com/manufacturer/onsemi?pageNo=473", "Onsemi")</f>
        <v>Onsemi</v>
      </c>
      <c r="C12606" s="6">
        <v>8743</v>
      </c>
      <c r="D12606" s="7">
        <v>1.84</v>
      </c>
    </row>
    <row r="12607" spans="1:5" x14ac:dyDescent="0.25">
      <c r="A12607" t="str">
        <f>HYPERLINK("https://www.773grp.com/globalSearch/MC74ACT132DG/page-1", "MC74ACT132DG")</f>
        <v>MC74ACT132DG</v>
      </c>
      <c r="B12607" s="3" t="str">
        <f>HYPERLINK("https://www.773grp.com/manufacturer/onsemi?pageNo=474", "Onsemi")</f>
        <v>Onsemi</v>
      </c>
      <c r="C12607" s="6">
        <v>9112</v>
      </c>
      <c r="D12607" s="7">
        <v>1.84</v>
      </c>
      <c r="E12607" t="s">
        <v>27</v>
      </c>
    </row>
    <row r="12608" spans="1:5" x14ac:dyDescent="0.25">
      <c r="A12608" t="str">
        <f>HYPERLINK("https://www.773grp.com/globalSearch/MC74ACT132DR2G/page-1", "MC74ACT132DR2G")</f>
        <v>MC74ACT132DR2G</v>
      </c>
      <c r="B12608" s="3" t="str">
        <f>HYPERLINK("https://www.773grp.com/manufacturer/onsemi?pageNo=475", "Onsemi")</f>
        <v>Onsemi</v>
      </c>
      <c r="C12608" s="6">
        <v>17440</v>
      </c>
      <c r="D12608" s="7">
        <v>1.84</v>
      </c>
      <c r="E12608" t="s">
        <v>27</v>
      </c>
    </row>
    <row r="12609" spans="1:5" x14ac:dyDescent="0.25">
      <c r="A12609" t="str">
        <f>HYPERLINK("https://www.773grp.com/globalSearch/MC74HC4851ADG/page-1", "MC74HC4851ADG")</f>
        <v>MC74HC4851ADG</v>
      </c>
      <c r="B12609" s="3" t="str">
        <f>HYPERLINK("https://www.773grp.com/manufacturer/onsemi?pageNo=476", "Onsemi")</f>
        <v>Onsemi</v>
      </c>
      <c r="C12609" s="6">
        <v>53520</v>
      </c>
      <c r="D12609" s="7">
        <v>1.84</v>
      </c>
      <c r="E12609" t="s">
        <v>46</v>
      </c>
    </row>
    <row r="12610" spans="1:5" x14ac:dyDescent="0.25">
      <c r="A12610" t="str">
        <f>HYPERLINK("https://www.773grp.com/globalSearch/MC74HC4851ADR2G/page-1", "MC74HC4851ADR2G")</f>
        <v>MC74HC4851ADR2G</v>
      </c>
      <c r="B12610" s="3" t="str">
        <f>HYPERLINK("https://www.773grp.com/manufacturer/onsemi?pageNo=477", "Onsemi")</f>
        <v>Onsemi</v>
      </c>
      <c r="C12610" s="6">
        <v>15000</v>
      </c>
      <c r="D12610" s="7">
        <v>1.84</v>
      </c>
      <c r="E12610" t="s">
        <v>46</v>
      </c>
    </row>
    <row r="12611" spans="1:5" x14ac:dyDescent="0.25">
      <c r="A12611" t="str">
        <f>HYPERLINK("https://www.773grp.com/globalSearch/MC74HC4851ADTR2G/page-1", "MC74HC4851ADTR2G")</f>
        <v>MC74HC4851ADTR2G</v>
      </c>
      <c r="B12611" s="3" t="str">
        <f>HYPERLINK("https://www.773grp.com/manufacturer/onsemi?pageNo=478", "Onsemi")</f>
        <v>Onsemi</v>
      </c>
      <c r="C12611" s="6">
        <v>3650</v>
      </c>
      <c r="D12611" s="7">
        <v>1.84</v>
      </c>
    </row>
    <row r="12612" spans="1:5" x14ac:dyDescent="0.25">
      <c r="A12612" t="str">
        <f>HYPERLINK("https://www.773grp.com/globalSearch/MC74HC4852ADG/page-1", "MC74HC4852ADG")</f>
        <v>MC74HC4852ADG</v>
      </c>
      <c r="B12612" s="3" t="str">
        <f>HYPERLINK("https://www.773grp.com/manufacturer/onsemi?pageNo=479", "Onsemi")</f>
        <v>Onsemi</v>
      </c>
      <c r="C12612" s="6">
        <v>41159</v>
      </c>
      <c r="D12612" s="7">
        <v>1.84</v>
      </c>
      <c r="E12612" t="s">
        <v>46</v>
      </c>
    </row>
    <row r="12613" spans="1:5" x14ac:dyDescent="0.25">
      <c r="A12613" t="str">
        <f>HYPERLINK("https://www.773grp.com/globalSearch/MC74HC4852ADR2/page-1", "MC74HC4852ADR2")</f>
        <v>MC74HC4852ADR2</v>
      </c>
      <c r="B12613" s="3" t="str">
        <f>HYPERLINK("https://www.773grp.com/manufacturer/onsemi?pageNo=480", "Onsemi")</f>
        <v>Onsemi</v>
      </c>
      <c r="C12613" s="6">
        <v>5000</v>
      </c>
      <c r="D12613" s="7">
        <v>1.84</v>
      </c>
      <c r="E12613" t="s">
        <v>46</v>
      </c>
    </row>
    <row r="12614" spans="1:5" x14ac:dyDescent="0.25">
      <c r="A12614" t="str">
        <f>HYPERLINK("https://www.773grp.com/globalSearch/MC74HC4852ADR2G/page-1", "MC74HC4852ADR2G")</f>
        <v>MC74HC4852ADR2G</v>
      </c>
      <c r="B12614" s="3" t="str">
        <f>HYPERLINK("https://www.773grp.com/manufacturer/onsemi?pageNo=481", "Onsemi")</f>
        <v>Onsemi</v>
      </c>
      <c r="C12614" s="6">
        <v>6661</v>
      </c>
      <c r="D12614" s="7">
        <v>1.84</v>
      </c>
    </row>
    <row r="12615" spans="1:5" x14ac:dyDescent="0.25">
      <c r="A12615" t="str">
        <f>HYPERLINK("https://www.773grp.com/globalSearch/MC74HC4852ADTR2G/page-1", "MC74HC4852ADTR2G")</f>
        <v>MC74HC4852ADTR2G</v>
      </c>
      <c r="B12615" s="3" t="str">
        <f>HYPERLINK("https://www.773grp.com/manufacturer/onsemi?pageNo=482", "Onsemi")</f>
        <v>Onsemi</v>
      </c>
      <c r="C12615" s="6">
        <v>7532</v>
      </c>
      <c r="D12615" s="7">
        <v>1.84</v>
      </c>
      <c r="E12615" t="s">
        <v>46</v>
      </c>
    </row>
    <row r="12616" spans="1:5" x14ac:dyDescent="0.25">
      <c r="A12616" t="str">
        <f>HYPERLINK("https://www.773grp.com/globalSearch/MC74HC4852ANG/page-1", "MC74HC4852ANG")</f>
        <v>MC74HC4852ANG</v>
      </c>
      <c r="B12616" s="3" t="str">
        <f>HYPERLINK("https://www.773grp.com/manufacturer/onsemi?pageNo=483", "Onsemi")</f>
        <v>Onsemi</v>
      </c>
      <c r="C12616" s="6">
        <v>3213</v>
      </c>
      <c r="D12616" s="7">
        <v>1.84</v>
      </c>
      <c r="E12616" t="s">
        <v>46</v>
      </c>
    </row>
    <row r="12617" spans="1:5" x14ac:dyDescent="0.25">
      <c r="A12617" t="str">
        <f>HYPERLINK("https://www.773grp.com/globalSearch/MC74HCT4851ADG/page-1", "MC74HCT4851ADG")</f>
        <v>MC74HCT4851ADG</v>
      </c>
      <c r="B12617" s="3" t="str">
        <f>HYPERLINK("https://www.773grp.com/manufacturer/onsemi?pageNo=484", "Onsemi")</f>
        <v>Onsemi</v>
      </c>
      <c r="C12617" s="6">
        <v>15090</v>
      </c>
      <c r="D12617" s="7">
        <v>1.84</v>
      </c>
    </row>
    <row r="12618" spans="1:5" x14ac:dyDescent="0.25">
      <c r="A12618" t="str">
        <f>HYPERLINK("https://www.773grp.com/globalSearch/MC74HCT4851ADR2G/page-1", "MC74HCT4851ADR2G")</f>
        <v>MC74HCT4851ADR2G</v>
      </c>
      <c r="B12618" s="3" t="str">
        <f>HYPERLINK("https://www.773grp.com/manufacturer/onsemi?pageNo=485", "Onsemi")</f>
        <v>Onsemi</v>
      </c>
      <c r="C12618" s="6">
        <v>12500</v>
      </c>
      <c r="D12618" s="7">
        <v>1.84</v>
      </c>
      <c r="E12618" t="s">
        <v>46</v>
      </c>
    </row>
    <row r="12619" spans="1:5" x14ac:dyDescent="0.25">
      <c r="A12619" t="str">
        <f>HYPERLINK("https://www.773grp.com/globalSearch/MC74HCT4851ADTG/page-1", "MC74HCT4851ADTG")</f>
        <v>MC74HCT4851ADTG</v>
      </c>
      <c r="B12619" s="3" t="str">
        <f>HYPERLINK("https://www.773grp.com/manufacturer/onsemi?pageNo=486", "Onsemi")</f>
        <v>Onsemi</v>
      </c>
      <c r="C12619" s="6">
        <v>30410</v>
      </c>
      <c r="D12619" s="7">
        <v>1.84</v>
      </c>
    </row>
    <row r="12620" spans="1:5" x14ac:dyDescent="0.25">
      <c r="A12620" t="str">
        <f>HYPERLINK("https://www.773grp.com/globalSearch/MMSF3350R2/page-1", "MMSF3350R2")</f>
        <v>MMSF3350R2</v>
      </c>
      <c r="B12620" s="3" t="str">
        <f>HYPERLINK("https://www.773grp.com/manufacturer/onsemi?pageNo=487", "Onsemi")</f>
        <v>Onsemi</v>
      </c>
      <c r="C12620" s="6">
        <v>2372</v>
      </c>
      <c r="D12620" s="7">
        <v>1.84</v>
      </c>
      <c r="E12620" t="s">
        <v>84</v>
      </c>
    </row>
    <row r="12621" spans="1:5" x14ac:dyDescent="0.25">
      <c r="A12621" t="str">
        <f>HYPERLINK("https://www.773grp.com/globalSearch/MR752/page-1", "MR752")</f>
        <v>MR752</v>
      </c>
      <c r="B12621" s="3" t="str">
        <f>HYPERLINK("https://www.773grp.com/manufacturer/onsemi?pageNo=488", "Onsemi")</f>
        <v>Onsemi</v>
      </c>
      <c r="C12621" s="6">
        <v>284</v>
      </c>
      <c r="D12621" s="7">
        <v>1.84</v>
      </c>
      <c r="E12621" t="s">
        <v>82</v>
      </c>
    </row>
    <row r="12622" spans="1:5" x14ac:dyDescent="0.25">
      <c r="A12622" t="str">
        <f>HYPERLINK("https://www.773grp.com/globalSearch/MR752G/page-1", "MR752G")</f>
        <v>MR752G</v>
      </c>
      <c r="B12622" s="3" t="str">
        <f>HYPERLINK("https://www.773grp.com/manufacturer/onsemi?pageNo=489", "Onsemi")</f>
        <v>Onsemi</v>
      </c>
      <c r="C12622" s="6">
        <v>1103</v>
      </c>
      <c r="D12622" s="7">
        <v>1.84</v>
      </c>
      <c r="E12622" t="s">
        <v>82</v>
      </c>
    </row>
    <row r="12623" spans="1:5" x14ac:dyDescent="0.25">
      <c r="A12623" t="str">
        <f>HYPERLINK("https://www.773grp.com/globalSearch/MR754/page-1", "MR754")</f>
        <v>MR754</v>
      </c>
      <c r="B12623" s="3" t="str">
        <f>HYPERLINK("https://www.773grp.com/manufacturer/onsemi?pageNo=490", "Onsemi")</f>
        <v>Onsemi</v>
      </c>
      <c r="C12623" s="6">
        <v>5</v>
      </c>
      <c r="D12623" s="7">
        <v>1.84</v>
      </c>
      <c r="E12623" t="s">
        <v>82</v>
      </c>
    </row>
    <row r="12624" spans="1:5" x14ac:dyDescent="0.25">
      <c r="A12624" t="str">
        <f>HYPERLINK("https://www.773grp.com/globalSearch/MTD1P40ET4/page-1", "MTD1P40ET4")</f>
        <v>MTD1P40ET4</v>
      </c>
      <c r="B12624" s="3" t="str">
        <f>HYPERLINK("https://www.773grp.com/manufacturer/onsemi?pageNo=491", "Onsemi")</f>
        <v>Onsemi</v>
      </c>
      <c r="C12624" s="6">
        <v>22346</v>
      </c>
      <c r="D12624" s="7">
        <v>1.84</v>
      </c>
      <c r="E12624" t="s">
        <v>84</v>
      </c>
    </row>
    <row r="12625" spans="1:5" x14ac:dyDescent="0.25">
      <c r="A12625" t="str">
        <f>HYPERLINK("https://www.773grp.com/globalSearch/MTD3302T4/page-1", "MTD3302T4")</f>
        <v>MTD3302T4</v>
      </c>
      <c r="B12625" s="3" t="str">
        <f>HYPERLINK("https://www.773grp.com/manufacturer/onsemi?pageNo=492", "Onsemi")</f>
        <v>Onsemi</v>
      </c>
      <c r="C12625" s="6">
        <v>189700</v>
      </c>
      <c r="D12625" s="7">
        <v>1.84</v>
      </c>
      <c r="E12625" t="s">
        <v>85</v>
      </c>
    </row>
    <row r="12626" spans="1:5" x14ac:dyDescent="0.25">
      <c r="A12626" t="str">
        <f>HYPERLINK("https://www.773grp.com/globalSearch/MUR8100EG/page-1", "MUR8100EG")</f>
        <v>MUR8100EG</v>
      </c>
      <c r="B12626" s="3" t="str">
        <f>HYPERLINK("https://www.773grp.com/manufacturer/onsemi?pageNo=493", "Onsemi")</f>
        <v>Onsemi</v>
      </c>
      <c r="C12626" s="6">
        <v>1750</v>
      </c>
      <c r="D12626" s="7">
        <v>1.84</v>
      </c>
    </row>
    <row r="12627" spans="1:5" x14ac:dyDescent="0.25">
      <c r="A12627" t="str">
        <f>HYPERLINK("https://www.773grp.com/globalSearch/MUR880E/page-1", "MUR880E")</f>
        <v>MUR880E</v>
      </c>
      <c r="B12627" s="3" t="str">
        <f>HYPERLINK("https://www.773grp.com/manufacturer/onsemi?pageNo=494", "Onsemi")</f>
        <v>Onsemi</v>
      </c>
      <c r="C12627" s="6">
        <v>12840</v>
      </c>
      <c r="D12627" s="7">
        <v>1.84</v>
      </c>
      <c r="E12627" t="s">
        <v>82</v>
      </c>
    </row>
    <row r="12628" spans="1:5" x14ac:dyDescent="0.25">
      <c r="A12628" t="str">
        <f>HYPERLINK("https://www.773grp.com/globalSearch/MUR880EG/page-1", "MUR880EG")</f>
        <v>MUR880EG</v>
      </c>
      <c r="B12628" s="3" t="str">
        <f>HYPERLINK("https://www.773grp.com/manufacturer/onsemi?pageNo=495", "Onsemi")</f>
        <v>Onsemi</v>
      </c>
      <c r="C12628" s="6">
        <v>24168</v>
      </c>
      <c r="D12628" s="7">
        <v>1.84</v>
      </c>
      <c r="E12628" t="s">
        <v>82</v>
      </c>
    </row>
    <row r="12629" spans="1:5" x14ac:dyDescent="0.25">
      <c r="A12629" t="str">
        <f>HYPERLINK("https://www.773grp.com/globalSearch/NB2304AI1DG/page-1", "NB2304AI1DG")</f>
        <v>NB2304AI1DG</v>
      </c>
      <c r="B12629" s="3" t="str">
        <f>HYPERLINK("https://www.773grp.com/manufacturer/onsemi?pageNo=496", "Onsemi")</f>
        <v>Onsemi</v>
      </c>
      <c r="C12629" s="6">
        <v>9353</v>
      </c>
      <c r="D12629" s="7">
        <v>1.84</v>
      </c>
      <c r="E12629" t="s">
        <v>30</v>
      </c>
    </row>
    <row r="12630" spans="1:5" x14ac:dyDescent="0.25">
      <c r="A12630" t="str">
        <f>HYPERLINK("https://www.773grp.com/globalSearch/NB2304AI1DR2G/page-1", "NB2304AI1DR2G")</f>
        <v>NB2304AI1DR2G</v>
      </c>
      <c r="B12630" s="3" t="str">
        <f>HYPERLINK("https://www.773grp.com/manufacturer/onsemi?pageNo=497", "Onsemi")</f>
        <v>Onsemi</v>
      </c>
      <c r="C12630" s="6">
        <v>11000</v>
      </c>
      <c r="D12630" s="7">
        <v>1.84</v>
      </c>
      <c r="E12630" t="s">
        <v>30</v>
      </c>
    </row>
    <row r="12631" spans="1:5" x14ac:dyDescent="0.25">
      <c r="A12631" t="str">
        <f>HYPERLINK("https://www.773grp.com/globalSearch/NB2304AI1HDG/page-1", "NB2304AI1HDG")</f>
        <v>NB2304AI1HDG</v>
      </c>
      <c r="B12631" s="3" t="str">
        <f>HYPERLINK("https://www.773grp.com/manufacturer/onsemi?pageNo=498", "Onsemi")</f>
        <v>Onsemi</v>
      </c>
      <c r="C12631" s="6">
        <v>12147</v>
      </c>
      <c r="D12631" s="7">
        <v>1.84</v>
      </c>
      <c r="E12631" t="s">
        <v>30</v>
      </c>
    </row>
    <row r="12632" spans="1:5" x14ac:dyDescent="0.25">
      <c r="A12632" t="str">
        <f>HYPERLINK("https://www.773grp.com/globalSearch/NB2304AI1HDR2G/page-1", "NB2304AI1HDR2G")</f>
        <v>NB2304AI1HDR2G</v>
      </c>
      <c r="B12632" s="3" t="str">
        <f>HYPERLINK("https://www.773grp.com/manufacturer/onsemi?pageNo=499", "Onsemi")</f>
        <v>Onsemi</v>
      </c>
      <c r="C12632" s="6">
        <v>12295</v>
      </c>
      <c r="D12632" s="7">
        <v>1.84</v>
      </c>
      <c r="E12632" t="s">
        <v>30</v>
      </c>
    </row>
    <row r="12633" spans="1:5" x14ac:dyDescent="0.25">
      <c r="A12633" t="str">
        <f>HYPERLINK("https://www.773grp.com/globalSearch/NB2304AI2DG/page-1", "NB2304AI2DG")</f>
        <v>NB2304AI2DG</v>
      </c>
      <c r="B12633" s="3" t="str">
        <f>HYPERLINK("https://www.773grp.com/manufacturer/onsemi?pageNo=500", "Onsemi")</f>
        <v>Onsemi</v>
      </c>
      <c r="C12633" s="6">
        <v>16445</v>
      </c>
      <c r="D12633" s="7">
        <v>1.84</v>
      </c>
      <c r="E12633" t="s">
        <v>30</v>
      </c>
    </row>
    <row r="12634" spans="1:5" x14ac:dyDescent="0.25">
      <c r="A12634" t="str">
        <f>HYPERLINK("https://www.773grp.com/globalSearch/NB2304AI2DR2G/page-1", "NB2304AI2DR2G")</f>
        <v>NB2304AI2DR2G</v>
      </c>
      <c r="B12634" s="3" t="str">
        <f>HYPERLINK("https://www.773grp.com/manufacturer/onsemi?pageNo=501", "Onsemi")</f>
        <v>Onsemi</v>
      </c>
      <c r="C12634" s="6">
        <v>12195</v>
      </c>
      <c r="D12634" s="7">
        <v>1.84</v>
      </c>
    </row>
    <row r="12635" spans="1:5" x14ac:dyDescent="0.25">
      <c r="A12635" t="str">
        <f>HYPERLINK("https://www.773grp.com/globalSearch/NB2305AI1DG/page-1", "NB2305AI1DG")</f>
        <v>NB2305AI1DG</v>
      </c>
      <c r="B12635" s="3" t="str">
        <f>HYPERLINK("https://www.773grp.com/manufacturer/onsemi?pageNo=502", "Onsemi")</f>
        <v>Onsemi</v>
      </c>
      <c r="C12635" s="6">
        <v>1270</v>
      </c>
      <c r="D12635" s="7">
        <v>1.84</v>
      </c>
      <c r="E12635" t="s">
        <v>30</v>
      </c>
    </row>
    <row r="12636" spans="1:5" x14ac:dyDescent="0.25">
      <c r="A12636" t="str">
        <f>HYPERLINK("https://www.773grp.com/globalSearch/NB2305AI1DTG/page-1", "NB2305AI1DTG")</f>
        <v>NB2305AI1DTG</v>
      </c>
      <c r="B12636" s="3" t="str">
        <f>HYPERLINK("https://www.773grp.com/manufacturer/onsemi?pageNo=503", "Onsemi")</f>
        <v>Onsemi</v>
      </c>
      <c r="C12636" s="6">
        <v>38237</v>
      </c>
      <c r="D12636" s="7">
        <v>1.84</v>
      </c>
      <c r="E12636" t="s">
        <v>30</v>
      </c>
    </row>
    <row r="12637" spans="1:5" x14ac:dyDescent="0.25">
      <c r="A12637" t="str">
        <f>HYPERLINK("https://www.773grp.com/globalSearch/NB2305AI1DTR2G/page-1", "NB2305AI1DTR2G")</f>
        <v>NB2305AI1DTR2G</v>
      </c>
      <c r="B12637" s="3" t="str">
        <f>HYPERLINK("https://www.773grp.com/manufacturer/onsemi?pageNo=504", "Onsemi")</f>
        <v>Onsemi</v>
      </c>
      <c r="C12637" s="6">
        <v>3913</v>
      </c>
      <c r="D12637" s="7">
        <v>1.84</v>
      </c>
      <c r="E12637" t="s">
        <v>30</v>
      </c>
    </row>
    <row r="12638" spans="1:5" x14ac:dyDescent="0.25">
      <c r="A12638" t="str">
        <f>HYPERLINK("https://www.773grp.com/globalSearch/NB2305AI1HDG/page-1", "NB2305AI1HDG")</f>
        <v>NB2305AI1HDG</v>
      </c>
      <c r="B12638" s="3" t="str">
        <f>HYPERLINK("https://www.773grp.com/manufacturer/onsemi?pageNo=505", "Onsemi")</f>
        <v>Onsemi</v>
      </c>
      <c r="C12638" s="6">
        <v>98</v>
      </c>
      <c r="D12638" s="7">
        <v>1.84</v>
      </c>
      <c r="E12638" t="s">
        <v>30</v>
      </c>
    </row>
    <row r="12639" spans="1:5" x14ac:dyDescent="0.25">
      <c r="A12639" t="str">
        <f>HYPERLINK("https://www.773grp.com/globalSearch/NB2305AI1HDR2G/page-1", "NB2305AI1HDR2G")</f>
        <v>NB2305AI1HDR2G</v>
      </c>
      <c r="B12639" s="3" t="str">
        <f>HYPERLINK("https://www.773grp.com/manufacturer/onsemi?pageNo=506", "Onsemi")</f>
        <v>Onsemi</v>
      </c>
      <c r="C12639" s="6">
        <v>50</v>
      </c>
      <c r="D12639" s="7">
        <v>1.84</v>
      </c>
      <c r="E12639" t="s">
        <v>30</v>
      </c>
    </row>
    <row r="12640" spans="1:5" x14ac:dyDescent="0.25">
      <c r="A12640" t="str">
        <f>HYPERLINK("https://www.773grp.com/globalSearch/NB2305AI1HDTG/page-1", "NB2305AI1HDTG")</f>
        <v>NB2305AI1HDTG</v>
      </c>
      <c r="B12640" s="3" t="str">
        <f>HYPERLINK("https://www.773grp.com/manufacturer/onsemi?pageNo=507", "Onsemi")</f>
        <v>Onsemi</v>
      </c>
      <c r="C12640" s="6">
        <v>125442</v>
      </c>
      <c r="D12640" s="7">
        <v>1.84</v>
      </c>
      <c r="E12640" t="s">
        <v>30</v>
      </c>
    </row>
    <row r="12641" spans="1:5" x14ac:dyDescent="0.25">
      <c r="A12641" t="str">
        <f>HYPERLINK("https://www.773grp.com/globalSearch/NB2305AI1HDTR2G/page-1", "NB2305AI1HDTR2G")</f>
        <v>NB2305AI1HDTR2G</v>
      </c>
      <c r="B12641" s="3" t="str">
        <f>HYPERLINK("https://www.773grp.com/manufacturer/onsemi?pageNo=508", "Onsemi")</f>
        <v>Onsemi</v>
      </c>
      <c r="C12641" s="6">
        <v>97</v>
      </c>
      <c r="D12641" s="7">
        <v>1.84</v>
      </c>
    </row>
    <row r="12642" spans="1:5" x14ac:dyDescent="0.25">
      <c r="A12642" t="str">
        <f>HYPERLINK("https://www.773grp.com/globalSearch/NB2308AI1DG/page-1", "NB2308AI1DG")</f>
        <v>NB2308AI1DG</v>
      </c>
      <c r="B12642" s="3" t="str">
        <f>HYPERLINK("https://www.773grp.com/manufacturer/onsemi?pageNo=509", "Onsemi")</f>
        <v>Onsemi</v>
      </c>
      <c r="C12642" s="6">
        <v>4659</v>
      </c>
      <c r="D12642" s="7">
        <v>1.84</v>
      </c>
      <c r="E12642" t="s">
        <v>30</v>
      </c>
    </row>
    <row r="12643" spans="1:5" x14ac:dyDescent="0.25">
      <c r="A12643" t="str">
        <f>HYPERLINK("https://www.773grp.com/globalSearch/NB2308AI1DR2G/page-1", "NB2308AI1DR2G")</f>
        <v>NB2308AI1DR2G</v>
      </c>
      <c r="B12643" s="3" t="str">
        <f>HYPERLINK("https://www.773grp.com/manufacturer/onsemi?pageNo=510", "Onsemi")</f>
        <v>Onsemi</v>
      </c>
      <c r="C12643" s="6">
        <v>4036</v>
      </c>
      <c r="D12643" s="7">
        <v>1.84</v>
      </c>
      <c r="E12643" t="s">
        <v>30</v>
      </c>
    </row>
    <row r="12644" spans="1:5" x14ac:dyDescent="0.25">
      <c r="A12644" t="str">
        <f>HYPERLINK("https://www.773grp.com/globalSearch/NB2308AI1DTG/page-1", "NB2308AI1DTG")</f>
        <v>NB2308AI1DTG</v>
      </c>
      <c r="B12644" s="3" t="str">
        <f>HYPERLINK("https://www.773grp.com/manufacturer/onsemi?pageNo=511", "Onsemi")</f>
        <v>Onsemi</v>
      </c>
      <c r="C12644" s="6">
        <v>3206</v>
      </c>
      <c r="D12644" s="7">
        <v>1.84</v>
      </c>
      <c r="E12644" t="s">
        <v>30</v>
      </c>
    </row>
    <row r="12645" spans="1:5" x14ac:dyDescent="0.25">
      <c r="A12645" t="str">
        <f>HYPERLINK("https://www.773grp.com/globalSearch/NB2308AI1HDG/page-1", "NB2308AI1HDG")</f>
        <v>NB2308AI1HDG</v>
      </c>
      <c r="B12645" s="3" t="str">
        <f>HYPERLINK("https://www.773grp.com/manufacturer/onsemi?pageNo=512", "Onsemi")</f>
        <v>Onsemi</v>
      </c>
      <c r="C12645" s="6">
        <v>20315</v>
      </c>
      <c r="D12645" s="7">
        <v>1.84</v>
      </c>
      <c r="E12645" t="s">
        <v>30</v>
      </c>
    </row>
    <row r="12646" spans="1:5" x14ac:dyDescent="0.25">
      <c r="A12646" t="str">
        <f>HYPERLINK("https://www.773grp.com/globalSearch/NB2308AI1HDR2G/page-1", "NB2308AI1HDR2G")</f>
        <v>NB2308AI1HDR2G</v>
      </c>
      <c r="B12646" s="3" t="str">
        <f>HYPERLINK("https://www.773grp.com/manufacturer/onsemi?pageNo=513", "Onsemi")</f>
        <v>Onsemi</v>
      </c>
      <c r="C12646" s="6">
        <v>47500</v>
      </c>
      <c r="D12646" s="7">
        <v>1.84</v>
      </c>
      <c r="E12646" t="s">
        <v>30</v>
      </c>
    </row>
    <row r="12647" spans="1:5" x14ac:dyDescent="0.25">
      <c r="A12647" t="str">
        <f>HYPERLINK("https://www.773grp.com/globalSearch/NB2308AI1HDTG/page-1", "NB2308AI1HDTG")</f>
        <v>NB2308AI1HDTG</v>
      </c>
      <c r="B12647" s="3" t="str">
        <f>HYPERLINK("https://www.773grp.com/manufacturer/onsemi?pageNo=514", "Onsemi")</f>
        <v>Onsemi</v>
      </c>
      <c r="C12647" s="6">
        <v>37878</v>
      </c>
      <c r="D12647" s="7">
        <v>1.84</v>
      </c>
      <c r="E12647" t="s">
        <v>30</v>
      </c>
    </row>
    <row r="12648" spans="1:5" x14ac:dyDescent="0.25">
      <c r="A12648" t="str">
        <f>HYPERLINK("https://www.773grp.com/globalSearch/NB2308AI1HDTR2G/page-1", "NB2308AI1HDTR2G")</f>
        <v>NB2308AI1HDTR2G</v>
      </c>
      <c r="B12648" s="3" t="str">
        <f>HYPERLINK("https://www.773grp.com/manufacturer/onsemi?pageNo=515", "Onsemi")</f>
        <v>Onsemi</v>
      </c>
      <c r="C12648" s="6">
        <v>42500</v>
      </c>
      <c r="D12648" s="7">
        <v>1.84</v>
      </c>
      <c r="E12648" t="s">
        <v>30</v>
      </c>
    </row>
    <row r="12649" spans="1:5" x14ac:dyDescent="0.25">
      <c r="A12649" t="str">
        <f>HYPERLINK("https://www.773grp.com/globalSearch/NB2308AI2DG/page-1", "NB2308AI2DG")</f>
        <v>NB2308AI2DG</v>
      </c>
      <c r="B12649" s="3" t="str">
        <f>HYPERLINK("https://www.773grp.com/manufacturer/onsemi?pageNo=516", "Onsemi")</f>
        <v>Onsemi</v>
      </c>
      <c r="C12649" s="6">
        <v>18236</v>
      </c>
      <c r="D12649" s="7">
        <v>1.84</v>
      </c>
      <c r="E12649" t="s">
        <v>30</v>
      </c>
    </row>
    <row r="12650" spans="1:5" x14ac:dyDescent="0.25">
      <c r="A12650" t="str">
        <f>HYPERLINK("https://www.773grp.com/globalSearch/NB2308AI2DR2G/page-1", "NB2308AI2DR2G")</f>
        <v>NB2308AI2DR2G</v>
      </c>
      <c r="B12650" s="3" t="str">
        <f>HYPERLINK("https://www.773grp.com/manufacturer/onsemi?pageNo=517", "Onsemi")</f>
        <v>Onsemi</v>
      </c>
      <c r="C12650" s="6">
        <v>2500</v>
      </c>
      <c r="D12650" s="7">
        <v>1.84</v>
      </c>
      <c r="E12650" t="s">
        <v>30</v>
      </c>
    </row>
    <row r="12651" spans="1:5" x14ac:dyDescent="0.25">
      <c r="A12651" t="str">
        <f>HYPERLINK("https://www.773grp.com/globalSearch/NB2308AI2DTG/page-1", "NB2308AI2DTG")</f>
        <v>NB2308AI2DTG</v>
      </c>
      <c r="B12651" s="3" t="str">
        <f>HYPERLINK("https://www.773grp.com/manufacturer/onsemi?pageNo=518", "Onsemi")</f>
        <v>Onsemi</v>
      </c>
      <c r="C12651" s="6">
        <v>2158</v>
      </c>
      <c r="D12651" s="7">
        <v>1.84</v>
      </c>
      <c r="E12651" t="s">
        <v>30</v>
      </c>
    </row>
    <row r="12652" spans="1:5" x14ac:dyDescent="0.25">
      <c r="A12652" t="str">
        <f>HYPERLINK("https://www.773grp.com/globalSearch/NB2308AI2DTR2G/page-1", "NB2308AI2DTR2G")</f>
        <v>NB2308AI2DTR2G</v>
      </c>
      <c r="B12652" s="3" t="str">
        <f>HYPERLINK("https://www.773grp.com/manufacturer/onsemi?pageNo=519", "Onsemi")</f>
        <v>Onsemi</v>
      </c>
      <c r="C12652" s="6">
        <v>47500</v>
      </c>
      <c r="D12652" s="7">
        <v>1.84</v>
      </c>
      <c r="E12652" t="s">
        <v>30</v>
      </c>
    </row>
    <row r="12653" spans="1:5" x14ac:dyDescent="0.25">
      <c r="A12653" t="str">
        <f>HYPERLINK("https://www.773grp.com/globalSearch/NB2308AI2HDTR2G/page-1", "NB2308AI2HDTR2G")</f>
        <v>NB2308AI2HDTR2G</v>
      </c>
      <c r="B12653" s="3" t="str">
        <f>HYPERLINK("https://www.773grp.com/manufacturer/onsemi?pageNo=520", "Onsemi")</f>
        <v>Onsemi</v>
      </c>
      <c r="C12653" s="6">
        <v>2500</v>
      </c>
      <c r="D12653" s="7">
        <v>1.84</v>
      </c>
      <c r="E12653" t="s">
        <v>30</v>
      </c>
    </row>
    <row r="12654" spans="1:5" x14ac:dyDescent="0.25">
      <c r="A12654" t="str">
        <f>HYPERLINK("https://www.773grp.com/globalSearch/NB2308AI3DG/page-1", "NB2308AI3DG")</f>
        <v>NB2308AI3DG</v>
      </c>
      <c r="B12654" s="3" t="str">
        <f>HYPERLINK("https://www.773grp.com/manufacturer/onsemi?pageNo=521", "Onsemi")</f>
        <v>Onsemi</v>
      </c>
      <c r="C12654" s="6">
        <v>12509</v>
      </c>
      <c r="D12654" s="7">
        <v>1.84</v>
      </c>
      <c r="E12654" t="s">
        <v>30</v>
      </c>
    </row>
    <row r="12655" spans="1:5" x14ac:dyDescent="0.25">
      <c r="A12655" t="str">
        <f>HYPERLINK("https://www.773grp.com/globalSearch/NB2308AI3DR2G/page-1", "NB2308AI3DR2G")</f>
        <v>NB2308AI3DR2G</v>
      </c>
      <c r="B12655" s="3" t="str">
        <f>HYPERLINK("https://www.773grp.com/manufacturer/onsemi?pageNo=522", "Onsemi")</f>
        <v>Onsemi</v>
      </c>
      <c r="C12655" s="6">
        <v>10000</v>
      </c>
      <c r="D12655" s="7">
        <v>1.84</v>
      </c>
      <c r="E12655" t="s">
        <v>30</v>
      </c>
    </row>
    <row r="12656" spans="1:5" x14ac:dyDescent="0.25">
      <c r="A12656" t="str">
        <f>HYPERLINK("https://www.773grp.com/globalSearch/NB2308AI4DR2G/page-1", "NB2308AI4DR2G")</f>
        <v>NB2308AI4DR2G</v>
      </c>
      <c r="B12656" s="3" t="str">
        <f>HYPERLINK("https://www.773grp.com/manufacturer/onsemi?pageNo=523", "Onsemi")</f>
        <v>Onsemi</v>
      </c>
      <c r="C12656" s="6">
        <v>7500</v>
      </c>
      <c r="D12656" s="7">
        <v>1.84</v>
      </c>
      <c r="E12656" t="s">
        <v>30</v>
      </c>
    </row>
    <row r="12657" spans="1:5" x14ac:dyDescent="0.25">
      <c r="A12657" t="str">
        <f>HYPERLINK("https://www.773grp.com/globalSearch/NB2308AI5HDR2G/page-1", "NB2308AI5HDR2G")</f>
        <v>NB2308AI5HDR2G</v>
      </c>
      <c r="B12657" s="3" t="str">
        <f>HYPERLINK("https://www.773grp.com/manufacturer/onsemi?pageNo=524", "Onsemi")</f>
        <v>Onsemi</v>
      </c>
      <c r="C12657" s="6">
        <v>17495</v>
      </c>
      <c r="D12657" s="7">
        <v>1.84</v>
      </c>
      <c r="E12657" t="s">
        <v>30</v>
      </c>
    </row>
    <row r="12658" spans="1:5" x14ac:dyDescent="0.25">
      <c r="A12658" t="str">
        <f>HYPERLINK("https://www.773grp.com/globalSearch/NB2309AI1DG/page-1", "NB2309AI1DG")</f>
        <v>NB2309AI1DG</v>
      </c>
      <c r="B12658" s="3" t="str">
        <f>HYPERLINK("https://www.773grp.com/manufacturer/onsemi?pageNo=525", "Onsemi")</f>
        <v>Onsemi</v>
      </c>
      <c r="C12658" s="6">
        <v>5409</v>
      </c>
      <c r="D12658" s="7">
        <v>1.84</v>
      </c>
      <c r="E12658" t="s">
        <v>30</v>
      </c>
    </row>
    <row r="12659" spans="1:5" x14ac:dyDescent="0.25">
      <c r="A12659" t="str">
        <f>HYPERLINK("https://www.773grp.com/globalSearch/NB2309AI1DTG/page-1", "NB2309AI1DTG")</f>
        <v>NB2309AI1DTG</v>
      </c>
      <c r="B12659" s="3" t="str">
        <f>HYPERLINK("https://www.773grp.com/manufacturer/onsemi?pageNo=526", "Onsemi")</f>
        <v>Onsemi</v>
      </c>
      <c r="C12659" s="6">
        <v>1928</v>
      </c>
      <c r="D12659" s="7">
        <v>1.84</v>
      </c>
      <c r="E12659" t="s">
        <v>30</v>
      </c>
    </row>
    <row r="12660" spans="1:5" x14ac:dyDescent="0.25">
      <c r="A12660" t="str">
        <f>HYPERLINK("https://www.773grp.com/globalSearch/NB2309AI1DTR2G/page-1", "NB2309AI1DTR2G")</f>
        <v>NB2309AI1DTR2G</v>
      </c>
      <c r="B12660" s="3" t="str">
        <f>HYPERLINK("https://www.773grp.com/manufacturer/onsemi?pageNo=527", "Onsemi")</f>
        <v>Onsemi</v>
      </c>
      <c r="C12660" s="6">
        <v>12374</v>
      </c>
      <c r="D12660" s="7">
        <v>1.84</v>
      </c>
      <c r="E12660" t="s">
        <v>30</v>
      </c>
    </row>
    <row r="12661" spans="1:5" x14ac:dyDescent="0.25">
      <c r="A12661" t="str">
        <f>HYPERLINK("https://www.773grp.com/globalSearch/NB2309AI1HDG/page-1", "NB2309AI1HDG")</f>
        <v>NB2309AI1HDG</v>
      </c>
      <c r="B12661" s="3" t="str">
        <f>HYPERLINK("https://www.773grp.com/manufacturer/onsemi?pageNo=528", "Onsemi")</f>
        <v>Onsemi</v>
      </c>
      <c r="C12661" s="6">
        <v>2893</v>
      </c>
      <c r="D12661" s="7">
        <v>1.84</v>
      </c>
      <c r="E12661" t="s">
        <v>30</v>
      </c>
    </row>
    <row r="12662" spans="1:5" x14ac:dyDescent="0.25">
      <c r="A12662" t="str">
        <f>HYPERLINK("https://www.773grp.com/globalSearch/NB2309AI1HDR2G/page-1", "NB2309AI1HDR2G")</f>
        <v>NB2309AI1HDR2G</v>
      </c>
      <c r="B12662" s="3" t="str">
        <f>HYPERLINK("https://www.773grp.com/manufacturer/onsemi?pageNo=529", "Onsemi")</f>
        <v>Onsemi</v>
      </c>
      <c r="C12662" s="6">
        <v>25000</v>
      </c>
      <c r="D12662" s="7">
        <v>1.84</v>
      </c>
      <c r="E12662" t="s">
        <v>30</v>
      </c>
    </row>
    <row r="12663" spans="1:5" x14ac:dyDescent="0.25">
      <c r="A12663" t="str">
        <f>HYPERLINK("https://www.773grp.com/globalSearch/NB2309AI1HDTG/page-1", "NB2309AI1HDTG")</f>
        <v>NB2309AI1HDTG</v>
      </c>
      <c r="B12663" s="3" t="str">
        <f>HYPERLINK("https://www.773grp.com/manufacturer/onsemi?pageNo=530", "Onsemi")</f>
        <v>Onsemi</v>
      </c>
      <c r="C12663" s="6">
        <v>67640</v>
      </c>
      <c r="D12663" s="7">
        <v>1.84</v>
      </c>
      <c r="E12663" t="s">
        <v>30</v>
      </c>
    </row>
    <row r="12664" spans="1:5" x14ac:dyDescent="0.25">
      <c r="A12664" t="str">
        <f>HYPERLINK("https://www.773grp.com/globalSearch/NB2309AI1HDTR2G/page-1", "NB2309AI1HDTR2G")</f>
        <v>NB2309AI1HDTR2G</v>
      </c>
      <c r="B12664" s="3" t="str">
        <f>HYPERLINK("https://www.773grp.com/manufacturer/onsemi?pageNo=531", "Onsemi")</f>
        <v>Onsemi</v>
      </c>
      <c r="C12664" s="6">
        <v>187500</v>
      </c>
      <c r="D12664" s="7">
        <v>1.84</v>
      </c>
      <c r="E12664" t="s">
        <v>30</v>
      </c>
    </row>
    <row r="12665" spans="1:5" x14ac:dyDescent="0.25">
      <c r="A12665" t="str">
        <f>HYPERLINK("https://www.773grp.com/globalSearch/NCP1012APL130R2G/page-1", "NCP1012APL130R2G")</f>
        <v>NCP1012APL130R2G</v>
      </c>
      <c r="B12665" s="3" t="str">
        <f>HYPERLINK("https://www.773grp.com/manufacturer/onsemi?pageNo=532", "Onsemi")</f>
        <v>Onsemi</v>
      </c>
      <c r="C12665" s="6">
        <v>1500</v>
      </c>
      <c r="D12665" s="7">
        <v>1.84</v>
      </c>
    </row>
    <row r="12666" spans="1:5" x14ac:dyDescent="0.25">
      <c r="A12666" t="str">
        <f>HYPERLINK("https://www.773grp.com/globalSearch/NCP1012ST100T3G/page-1", "NCP1012ST100T3G")</f>
        <v>NCP1012ST100T3G</v>
      </c>
      <c r="B12666" s="3" t="str">
        <f>HYPERLINK("https://www.773grp.com/manufacturer/onsemi?pageNo=533", "Onsemi")</f>
        <v>Onsemi</v>
      </c>
      <c r="C12666" s="6">
        <v>2430</v>
      </c>
      <c r="D12666" s="7">
        <v>1.84</v>
      </c>
    </row>
    <row r="12667" spans="1:5" x14ac:dyDescent="0.25">
      <c r="A12667" t="str">
        <f>HYPERLINK("https://www.773grp.com/globalSearch/NCP1015ST100T3G/page-1", "NCP1015ST100T3G")</f>
        <v>NCP1015ST100T3G</v>
      </c>
      <c r="B12667" s="3" t="str">
        <f>HYPERLINK("https://www.773grp.com/manufacturer/onsemi?pageNo=534", "Onsemi")</f>
        <v>Onsemi</v>
      </c>
      <c r="C12667" s="6">
        <v>10237</v>
      </c>
      <c r="D12667" s="7">
        <v>1.84</v>
      </c>
    </row>
    <row r="12668" spans="1:5" x14ac:dyDescent="0.25">
      <c r="A12668" t="str">
        <f>HYPERLINK("https://www.773grp.com/globalSearch/NCP1207ADR2G/page-1", "NCP1207ADR2G")</f>
        <v>NCP1207ADR2G</v>
      </c>
      <c r="B12668" s="3" t="str">
        <f>HYPERLINK("https://www.773grp.com/manufacturer/onsemi?pageNo=535", "Onsemi")</f>
        <v>Onsemi</v>
      </c>
      <c r="C12668" s="6">
        <v>30</v>
      </c>
      <c r="D12668" s="7">
        <v>1.84</v>
      </c>
      <c r="E12668" t="s">
        <v>5</v>
      </c>
    </row>
    <row r="12669" spans="1:5" x14ac:dyDescent="0.25">
      <c r="A12669" t="str">
        <f>HYPERLINK("https://www.773grp.com/globalSearch/NCP1207APG/page-1", "NCP1207APG")</f>
        <v>NCP1207APG</v>
      </c>
      <c r="B12669" s="3" t="str">
        <f>HYPERLINK("https://www.773grp.com/manufacturer/onsemi?pageNo=536", "Onsemi")</f>
        <v>Onsemi</v>
      </c>
      <c r="C12669" s="6">
        <v>2215</v>
      </c>
      <c r="D12669" s="7">
        <v>1.84</v>
      </c>
      <c r="E12669" t="s">
        <v>5</v>
      </c>
    </row>
    <row r="12670" spans="1:5" x14ac:dyDescent="0.25">
      <c r="A12670" t="str">
        <f>HYPERLINK("https://www.773grp.com/globalSearch/NCP1216AD100R2G/page-1", "NCP1216AD100R2G")</f>
        <v>NCP1216AD100R2G</v>
      </c>
      <c r="B12670" s="3" t="str">
        <f>HYPERLINK("https://www.773grp.com/manufacturer/onsemi?pageNo=537", "Onsemi")</f>
        <v>Onsemi</v>
      </c>
      <c r="C12670" s="6">
        <v>4498</v>
      </c>
      <c r="D12670" s="7">
        <v>1.84</v>
      </c>
    </row>
    <row r="12671" spans="1:5" x14ac:dyDescent="0.25">
      <c r="A12671" t="str">
        <f>HYPERLINK("https://www.773grp.com/globalSearch/NCP1216AD133R2G/page-1", "NCP1216AD133R2G")</f>
        <v>NCP1216AD133R2G</v>
      </c>
      <c r="B12671" s="3" t="str">
        <f>HYPERLINK("https://www.773grp.com/manufacturer/onsemi?pageNo=538", "Onsemi")</f>
        <v>Onsemi</v>
      </c>
      <c r="C12671" s="6">
        <v>6775</v>
      </c>
      <c r="D12671" s="7">
        <v>1.84</v>
      </c>
    </row>
    <row r="12672" spans="1:5" x14ac:dyDescent="0.25">
      <c r="A12672" t="str">
        <f>HYPERLINK("https://www.773grp.com/globalSearch/NCP1216AP100G/page-1", "NCP1216AP100G")</f>
        <v>NCP1216AP100G</v>
      </c>
      <c r="B12672" s="3" t="str">
        <f>HYPERLINK("https://www.773grp.com/manufacturer/onsemi?pageNo=539", "Onsemi")</f>
        <v>Onsemi</v>
      </c>
      <c r="C12672" s="6">
        <v>2436</v>
      </c>
      <c r="D12672" s="7">
        <v>1.84</v>
      </c>
      <c r="E12672" t="s">
        <v>5</v>
      </c>
    </row>
    <row r="12673" spans="1:5" x14ac:dyDescent="0.25">
      <c r="A12673" t="str">
        <f>HYPERLINK("https://www.773grp.com/globalSearch/NCP1216AP133G/page-1", "NCP1216AP133G")</f>
        <v>NCP1216AP133G</v>
      </c>
      <c r="B12673" s="3" t="str">
        <f>HYPERLINK("https://www.773grp.com/manufacturer/onsemi?pageNo=540", "Onsemi")</f>
        <v>Onsemi</v>
      </c>
      <c r="C12673" s="6">
        <v>2944</v>
      </c>
      <c r="D12673" s="7">
        <v>1.84</v>
      </c>
      <c r="E12673" t="s">
        <v>5</v>
      </c>
    </row>
    <row r="12674" spans="1:5" x14ac:dyDescent="0.25">
      <c r="A12674" t="str">
        <f>HYPERLINK("https://www.773grp.com/globalSearch/NCP1216AP65G/page-1", "NCP1216AP65G")</f>
        <v>NCP1216AP65G</v>
      </c>
      <c r="B12674" s="3" t="str">
        <f>HYPERLINK("https://www.773grp.com/manufacturer/onsemi?pageNo=541", "Onsemi")</f>
        <v>Onsemi</v>
      </c>
      <c r="C12674" s="6">
        <v>89</v>
      </c>
      <c r="D12674" s="7">
        <v>1.84</v>
      </c>
      <c r="E12674" t="s">
        <v>5</v>
      </c>
    </row>
    <row r="12675" spans="1:5" x14ac:dyDescent="0.25">
      <c r="A12675" t="str">
        <f>HYPERLINK("https://www.773grp.com/globalSearch/NCP1216D100R2G/page-1", "NCP1216D100R2G")</f>
        <v>NCP1216D100R2G</v>
      </c>
      <c r="B12675" s="3" t="str">
        <f>HYPERLINK("https://www.773grp.com/manufacturer/onsemi?pageNo=542", "Onsemi")</f>
        <v>Onsemi</v>
      </c>
      <c r="C12675" s="6">
        <v>35309</v>
      </c>
      <c r="D12675" s="7">
        <v>1.84</v>
      </c>
      <c r="E12675" t="s">
        <v>5</v>
      </c>
    </row>
    <row r="12676" spans="1:5" x14ac:dyDescent="0.25">
      <c r="A12676" t="str">
        <f>HYPERLINK("https://www.773grp.com/globalSearch/NCP1216D133R2G/page-1", "NCP1216D133R2G")</f>
        <v>NCP1216D133R2G</v>
      </c>
      <c r="B12676" s="3" t="str">
        <f>HYPERLINK("https://www.773grp.com/manufacturer/onsemi?pageNo=543", "Onsemi")</f>
        <v>Onsemi</v>
      </c>
      <c r="C12676" s="6">
        <v>85096</v>
      </c>
      <c r="D12676" s="7">
        <v>1.84</v>
      </c>
      <c r="E12676" t="s">
        <v>5</v>
      </c>
    </row>
    <row r="12677" spans="1:5" x14ac:dyDescent="0.25">
      <c r="A12677" t="str">
        <f>HYPERLINK("https://www.773grp.com/globalSearch/NCP1216D65R2G/page-1", "NCP1216D65R2G")</f>
        <v>NCP1216D65R2G</v>
      </c>
      <c r="B12677" s="3" t="str">
        <f>HYPERLINK("https://www.773grp.com/manufacturer/onsemi?pageNo=544", "Onsemi")</f>
        <v>Onsemi</v>
      </c>
      <c r="C12677" s="6">
        <v>212527</v>
      </c>
      <c r="D12677" s="7">
        <v>1.84</v>
      </c>
      <c r="E12677" t="s">
        <v>5</v>
      </c>
    </row>
    <row r="12678" spans="1:5" x14ac:dyDescent="0.25">
      <c r="A12678" t="str">
        <f>HYPERLINK("https://www.773grp.com/globalSearch/NCP1216P100G/page-1", "NCP1216P100G")</f>
        <v>NCP1216P100G</v>
      </c>
      <c r="B12678" s="3" t="str">
        <f>HYPERLINK("https://www.773grp.com/manufacturer/onsemi?pageNo=545", "Onsemi")</f>
        <v>Onsemi</v>
      </c>
      <c r="C12678" s="6">
        <v>96950</v>
      </c>
      <c r="D12678" s="7">
        <v>1.84</v>
      </c>
      <c r="E12678" t="s">
        <v>5</v>
      </c>
    </row>
    <row r="12679" spans="1:5" x14ac:dyDescent="0.25">
      <c r="A12679" t="str">
        <f>HYPERLINK("https://www.773grp.com/globalSearch/NCP1216P133G/page-1", "NCP1216P133G")</f>
        <v>NCP1216P133G</v>
      </c>
      <c r="B12679" s="3" t="str">
        <f>HYPERLINK("https://www.773grp.com/manufacturer/onsemi?pageNo=546", "Onsemi")</f>
        <v>Onsemi</v>
      </c>
      <c r="C12679" s="6">
        <v>10450</v>
      </c>
      <c r="D12679" s="7">
        <v>1.84</v>
      </c>
      <c r="E12679" t="s">
        <v>5</v>
      </c>
    </row>
    <row r="12680" spans="1:5" x14ac:dyDescent="0.25">
      <c r="A12680" t="str">
        <f>HYPERLINK("https://www.773grp.com/globalSearch/NCP1216P65G/page-1", "NCP1216P65G")</f>
        <v>NCP1216P65G</v>
      </c>
      <c r="B12680" s="3" t="str">
        <f>HYPERLINK("https://www.773grp.com/manufacturer/onsemi?pageNo=547", "Onsemi")</f>
        <v>Onsemi</v>
      </c>
      <c r="C12680" s="6">
        <v>195002</v>
      </c>
      <c r="D12680" s="7">
        <v>1.84</v>
      </c>
      <c r="E12680" t="s">
        <v>5</v>
      </c>
    </row>
    <row r="12681" spans="1:5" x14ac:dyDescent="0.25">
      <c r="A12681" t="str">
        <f>HYPERLINK("https://www.773grp.com/globalSearch/NCP1217AD133R2G/page-1", "NCP1217AD133R2G")</f>
        <v>NCP1217AD133R2G</v>
      </c>
      <c r="B12681" s="3" t="str">
        <f>HYPERLINK("https://www.773grp.com/manufacturer/onsemi?pageNo=548", "Onsemi")</f>
        <v>Onsemi</v>
      </c>
      <c r="C12681" s="6">
        <v>2177</v>
      </c>
      <c r="D12681" s="7">
        <v>1.84</v>
      </c>
      <c r="E12681" t="s">
        <v>5</v>
      </c>
    </row>
    <row r="12682" spans="1:5" x14ac:dyDescent="0.25">
      <c r="A12682" t="str">
        <f>HYPERLINK("https://www.773grp.com/globalSearch/NCP1217AD65R2G/page-1", "NCP1217AD65R2G")</f>
        <v>NCP1217AD65R2G</v>
      </c>
      <c r="B12682" s="3" t="str">
        <f>HYPERLINK("https://www.773grp.com/manufacturer/onsemi?pageNo=549", "Onsemi")</f>
        <v>Onsemi</v>
      </c>
      <c r="C12682" s="6">
        <v>57500</v>
      </c>
      <c r="D12682" s="7">
        <v>1.84</v>
      </c>
      <c r="E12682" t="s">
        <v>5</v>
      </c>
    </row>
    <row r="12683" spans="1:5" x14ac:dyDescent="0.25">
      <c r="A12683" t="str">
        <f>HYPERLINK("https://www.773grp.com/globalSearch/NCP1217AP100G/page-1", "NCP1217AP100G")</f>
        <v>NCP1217AP100G</v>
      </c>
      <c r="B12683" s="3" t="str">
        <f>HYPERLINK("https://www.773grp.com/manufacturer/onsemi?pageNo=550", "Onsemi")</f>
        <v>Onsemi</v>
      </c>
      <c r="C12683" s="6">
        <v>11</v>
      </c>
      <c r="D12683" s="7">
        <v>1.84</v>
      </c>
    </row>
    <row r="12684" spans="1:5" x14ac:dyDescent="0.25">
      <c r="A12684" t="str">
        <f>HYPERLINK("https://www.773grp.com/globalSearch/NCP1217AP133G/page-1", "NCP1217AP133G")</f>
        <v>NCP1217AP133G</v>
      </c>
      <c r="B12684" s="3" t="str">
        <f>HYPERLINK("https://www.773grp.com/manufacturer/onsemi?pageNo=551", "Onsemi")</f>
        <v>Onsemi</v>
      </c>
      <c r="C12684" s="6">
        <v>5750</v>
      </c>
      <c r="D12684" s="7">
        <v>1.84</v>
      </c>
      <c r="E12684" t="s">
        <v>5</v>
      </c>
    </row>
    <row r="12685" spans="1:5" x14ac:dyDescent="0.25">
      <c r="A12685" t="str">
        <f>HYPERLINK("https://www.773grp.com/globalSearch/NCP1217D100R2G/page-1", "NCP1217D100R2G")</f>
        <v>NCP1217D100R2G</v>
      </c>
      <c r="B12685" s="3" t="str">
        <f>HYPERLINK("https://www.773grp.com/manufacturer/onsemi?pageNo=552", "Onsemi")</f>
        <v>Onsemi</v>
      </c>
      <c r="C12685" s="6">
        <v>4204</v>
      </c>
      <c r="D12685" s="7">
        <v>1.84</v>
      </c>
    </row>
    <row r="12686" spans="1:5" x14ac:dyDescent="0.25">
      <c r="A12686" t="str">
        <f>HYPERLINK("https://www.773grp.com/globalSearch/NCP1217D133R2G/page-1", "NCP1217D133R2G")</f>
        <v>NCP1217D133R2G</v>
      </c>
      <c r="B12686" s="3" t="str">
        <f>HYPERLINK("https://www.773grp.com/manufacturer/onsemi?pageNo=553", "Onsemi")</f>
        <v>Onsemi</v>
      </c>
      <c r="C12686" s="6">
        <v>7112</v>
      </c>
      <c r="D12686" s="7">
        <v>1.84</v>
      </c>
    </row>
    <row r="12687" spans="1:5" x14ac:dyDescent="0.25">
      <c r="A12687" t="str">
        <f>HYPERLINK("https://www.773grp.com/globalSearch/NCP1217D65R2G/page-1", "NCP1217D65R2G")</f>
        <v>NCP1217D65R2G</v>
      </c>
      <c r="B12687" s="3" t="str">
        <f>HYPERLINK("https://www.773grp.com/manufacturer/onsemi?pageNo=554", "Onsemi")</f>
        <v>Onsemi</v>
      </c>
      <c r="C12687" s="6">
        <v>275625</v>
      </c>
      <c r="D12687" s="7">
        <v>1.84</v>
      </c>
      <c r="E12687" t="s">
        <v>5</v>
      </c>
    </row>
    <row r="12688" spans="1:5" x14ac:dyDescent="0.25">
      <c r="A12688" t="str">
        <f>HYPERLINK("https://www.773grp.com/globalSearch/NCP1217P133G/page-1", "NCP1217P133G")</f>
        <v>NCP1217P133G</v>
      </c>
      <c r="B12688" s="3" t="str">
        <f>HYPERLINK("https://www.773grp.com/manufacturer/onsemi?pageNo=555", "Onsemi")</f>
        <v>Onsemi</v>
      </c>
      <c r="C12688" s="6">
        <v>5500</v>
      </c>
      <c r="D12688" s="7">
        <v>1.84</v>
      </c>
      <c r="E12688" t="s">
        <v>5</v>
      </c>
    </row>
    <row r="12689" spans="1:5" x14ac:dyDescent="0.25">
      <c r="A12689" t="str">
        <f>HYPERLINK("https://www.773grp.com/globalSearch/NCP1244AD065R2G/page-1", "NCP1244AD065R2G")</f>
        <v>NCP1244AD065R2G</v>
      </c>
      <c r="B12689" s="3" t="str">
        <f>HYPERLINK("https://www.773grp.com/manufacturer/onsemi?pageNo=556", "Onsemi")</f>
        <v>Onsemi</v>
      </c>
      <c r="C12689" s="6">
        <v>7500</v>
      </c>
      <c r="D12689" s="7">
        <v>1.84</v>
      </c>
    </row>
    <row r="12690" spans="1:5" x14ac:dyDescent="0.25">
      <c r="A12690" t="str">
        <f>HYPERLINK("https://www.773grp.com/globalSearch/NCP1377BD1R2G/page-1", "NCP1377BD1R2G")</f>
        <v>NCP1377BD1R2G</v>
      </c>
      <c r="B12690" s="3" t="str">
        <f>HYPERLINK("https://www.773grp.com/manufacturer/onsemi?pageNo=557", "Onsemi")</f>
        <v>Onsemi</v>
      </c>
      <c r="C12690" s="6">
        <v>6092</v>
      </c>
      <c r="D12690" s="7">
        <v>1.84</v>
      </c>
      <c r="E12690" t="s">
        <v>5</v>
      </c>
    </row>
    <row r="12691" spans="1:5" x14ac:dyDescent="0.25">
      <c r="A12691" t="str">
        <f>HYPERLINK("https://www.773grp.com/globalSearch/NCP1377BDR2G/page-1", "NCP1377BDR2G")</f>
        <v>NCP1377BDR2G</v>
      </c>
      <c r="B12691" s="3" t="str">
        <f>HYPERLINK("https://www.773grp.com/manufacturer/onsemi?pageNo=558", "Onsemi")</f>
        <v>Onsemi</v>
      </c>
      <c r="C12691" s="6">
        <v>8581</v>
      </c>
      <c r="D12691" s="7">
        <v>1.84</v>
      </c>
      <c r="E12691" t="s">
        <v>5</v>
      </c>
    </row>
    <row r="12692" spans="1:5" x14ac:dyDescent="0.25">
      <c r="A12692" t="str">
        <f>HYPERLINK("https://www.773grp.com/globalSearch/NCP1377BPG/page-1", "NCP1377BPG")</f>
        <v>NCP1377BPG</v>
      </c>
      <c r="B12692" s="3" t="str">
        <f>HYPERLINK("https://www.773grp.com/manufacturer/onsemi?pageNo=559", "Onsemi")</f>
        <v>Onsemi</v>
      </c>
      <c r="C12692" s="6">
        <v>196358</v>
      </c>
      <c r="D12692" s="7">
        <v>1.84</v>
      </c>
      <c r="E12692" t="s">
        <v>5</v>
      </c>
    </row>
    <row r="12693" spans="1:5" x14ac:dyDescent="0.25">
      <c r="A12693" t="str">
        <f>HYPERLINK("https://www.773grp.com/globalSearch/NCP1377D1R2G/page-1", "NCP1377D1R2G")</f>
        <v>NCP1377D1R2G</v>
      </c>
      <c r="B12693" s="3" t="str">
        <f>HYPERLINK("https://www.773grp.com/manufacturer/onsemi?pageNo=560", "Onsemi")</f>
        <v>Onsemi</v>
      </c>
      <c r="C12693" s="6">
        <v>14258</v>
      </c>
      <c r="D12693" s="7">
        <v>1.84</v>
      </c>
      <c r="E12693" t="s">
        <v>5</v>
      </c>
    </row>
    <row r="12694" spans="1:5" x14ac:dyDescent="0.25">
      <c r="A12694" t="str">
        <f>HYPERLINK("https://www.773grp.com/globalSearch/NCP1377DR2G/page-1", "NCP1377DR2G")</f>
        <v>NCP1377DR2G</v>
      </c>
      <c r="B12694" s="3" t="str">
        <f>HYPERLINK("https://www.773grp.com/manufacturer/onsemi?pageNo=561", "Onsemi")</f>
        <v>Onsemi</v>
      </c>
      <c r="C12694" s="6">
        <v>4290</v>
      </c>
      <c r="D12694" s="7">
        <v>1.84</v>
      </c>
      <c r="E12694" t="s">
        <v>5</v>
      </c>
    </row>
    <row r="12695" spans="1:5" x14ac:dyDescent="0.25">
      <c r="A12695" t="str">
        <f>HYPERLINK("https://www.773grp.com/globalSearch/NCP1377PG/page-1", "NCP1377PG")</f>
        <v>NCP1377PG</v>
      </c>
      <c r="B12695" s="3" t="str">
        <f>HYPERLINK("https://www.773grp.com/manufacturer/onsemi?pageNo=562", "Onsemi")</f>
        <v>Onsemi</v>
      </c>
      <c r="C12695" s="6">
        <v>23995</v>
      </c>
      <c r="D12695" s="7">
        <v>1.84</v>
      </c>
      <c r="E12695" t="s">
        <v>5</v>
      </c>
    </row>
    <row r="12696" spans="1:5" x14ac:dyDescent="0.25">
      <c r="A12696" t="str">
        <f>HYPERLINK("https://www.773grp.com/globalSearch/NCP1379DR2G/page-1", "NCP1379DR2G")</f>
        <v>NCP1379DR2G</v>
      </c>
      <c r="B12696" s="3" t="str">
        <f>HYPERLINK("https://www.773grp.com/manufacturer/onsemi?pageNo=563", "Onsemi")</f>
        <v>Onsemi</v>
      </c>
      <c r="C12696" s="6">
        <v>2500</v>
      </c>
      <c r="D12696" s="7">
        <v>1.84</v>
      </c>
      <c r="E12696" t="s">
        <v>5</v>
      </c>
    </row>
    <row r="12697" spans="1:5" x14ac:dyDescent="0.25">
      <c r="A12697" t="str">
        <f>HYPERLINK("https://www.773grp.com/globalSearch/NCP1380ADR2G/page-1", "NCP1380ADR2G")</f>
        <v>NCP1380ADR2G</v>
      </c>
      <c r="B12697" s="3" t="str">
        <f>HYPERLINK("https://www.773grp.com/manufacturer/onsemi?pageNo=564", "Onsemi")</f>
        <v>Onsemi</v>
      </c>
      <c r="C12697" s="6">
        <v>2500</v>
      </c>
      <c r="D12697" s="7">
        <v>1.84</v>
      </c>
    </row>
    <row r="12698" spans="1:5" x14ac:dyDescent="0.25">
      <c r="A12698" t="str">
        <f>HYPERLINK("https://www.773grp.com/globalSearch/NCP1380BDR2G/page-1", "NCP1380BDR2G")</f>
        <v>NCP1380BDR2G</v>
      </c>
      <c r="B12698" s="3" t="str">
        <f>HYPERLINK("https://www.773grp.com/manufacturer/onsemi?pageNo=565", "Onsemi")</f>
        <v>Onsemi</v>
      </c>
      <c r="C12698" s="6">
        <v>17500</v>
      </c>
      <c r="D12698" s="7">
        <v>1.84</v>
      </c>
      <c r="E12698" t="s">
        <v>5</v>
      </c>
    </row>
    <row r="12699" spans="1:5" x14ac:dyDescent="0.25">
      <c r="A12699" t="str">
        <f>HYPERLINK("https://www.773grp.com/globalSearch/NCP1380DDR2G/page-1", "NCP1380DDR2G")</f>
        <v>NCP1380DDR2G</v>
      </c>
      <c r="B12699" s="3" t="str">
        <f>HYPERLINK("https://www.773grp.com/manufacturer/onsemi?pageNo=566", "Onsemi")</f>
        <v>Onsemi</v>
      </c>
      <c r="C12699" s="6">
        <v>429</v>
      </c>
      <c r="D12699" s="7">
        <v>1.84</v>
      </c>
    </row>
    <row r="12700" spans="1:5" x14ac:dyDescent="0.25">
      <c r="A12700" t="str">
        <f>HYPERLINK("https://www.773grp.com/globalSearch/NCP1393BDR2G/page-1", "NCP1393BDR2G")</f>
        <v>NCP1393BDR2G</v>
      </c>
      <c r="B12700" s="3" t="str">
        <f>HYPERLINK("https://www.773grp.com/manufacturer/onsemi?pageNo=567", "Onsemi")</f>
        <v>Onsemi</v>
      </c>
      <c r="C12700" s="6">
        <v>17500</v>
      </c>
      <c r="D12700" s="7">
        <v>1.84</v>
      </c>
    </row>
    <row r="12701" spans="1:5" x14ac:dyDescent="0.25">
      <c r="A12701" t="str">
        <f>HYPERLINK("https://www.773grp.com/globalSearch/NCP1508MNR2G/page-1", "NCP1508MNR2G")</f>
        <v>NCP1508MNR2G</v>
      </c>
      <c r="B12701" s="3" t="str">
        <f>HYPERLINK("https://www.773grp.com/manufacturer/onsemi?pageNo=568", "Onsemi")</f>
        <v>Onsemi</v>
      </c>
      <c r="C12701" s="6">
        <v>108000</v>
      </c>
      <c r="D12701" s="7">
        <v>1.84</v>
      </c>
      <c r="E12701" t="s">
        <v>5</v>
      </c>
    </row>
    <row r="12702" spans="1:5" x14ac:dyDescent="0.25">
      <c r="A12702" t="str">
        <f>HYPERLINK("https://www.773grp.com/globalSearch/NCP3126ADR2G/page-1", "NCP3126ADR2G")</f>
        <v>NCP3126ADR2G</v>
      </c>
      <c r="B12702" s="3" t="str">
        <f>HYPERLINK("https://www.773grp.com/manufacturer/onsemi?pageNo=569", "Onsemi")</f>
        <v>Onsemi</v>
      </c>
      <c r="C12702" s="6">
        <v>397360</v>
      </c>
      <c r="D12702" s="7">
        <v>1.84</v>
      </c>
      <c r="E12702" t="s">
        <v>5</v>
      </c>
    </row>
    <row r="12703" spans="1:5" x14ac:dyDescent="0.25">
      <c r="A12703" t="str">
        <f>HYPERLINK("https://www.773grp.com/globalSearch/NCP4300ADR2G/page-1", "NCP4300ADR2G")</f>
        <v>NCP4300ADR2G</v>
      </c>
      <c r="B12703" s="3" t="str">
        <f>HYPERLINK("https://www.773grp.com/manufacturer/onsemi?pageNo=570", "Onsemi")</f>
        <v>Onsemi</v>
      </c>
      <c r="C12703" s="6">
        <v>15000</v>
      </c>
      <c r="D12703" s="7">
        <v>1.84</v>
      </c>
      <c r="E12703" t="s">
        <v>10</v>
      </c>
    </row>
    <row r="12704" spans="1:5" x14ac:dyDescent="0.25">
      <c r="A12704" t="str">
        <f>HYPERLINK("https://www.773grp.com/globalSearch/NCP4671DMX06TCG/page-1", "NCP4671DMX06TCG")</f>
        <v>NCP4671DMX06TCG</v>
      </c>
      <c r="B12704" s="3" t="str">
        <f>HYPERLINK("https://www.773grp.com/manufacturer/onsemi?pageNo=571", "Onsemi")</f>
        <v>Onsemi</v>
      </c>
      <c r="C12704" s="6">
        <v>15000</v>
      </c>
      <c r="D12704" s="7">
        <v>1.84</v>
      </c>
    </row>
    <row r="12705" spans="1:5" x14ac:dyDescent="0.25">
      <c r="A12705" t="str">
        <f>HYPERLINK("https://www.773grp.com/globalSearch/NCP4671DMX09TCG/page-1", "NCP4671DMX09TCG")</f>
        <v>NCP4671DMX09TCG</v>
      </c>
      <c r="B12705" s="3" t="str">
        <f>HYPERLINK("https://www.773grp.com/manufacturer/onsemi?pageNo=572", "Onsemi")</f>
        <v>Onsemi</v>
      </c>
      <c r="C12705" s="6">
        <v>20000</v>
      </c>
      <c r="D12705" s="7">
        <v>1.84</v>
      </c>
    </row>
    <row r="12706" spans="1:5" x14ac:dyDescent="0.25">
      <c r="A12706" t="str">
        <f>HYPERLINK("https://www.773grp.com/globalSearch/NCP4671DMX12TCG/page-1", "NCP4671DMX12TCG")</f>
        <v>NCP4671DMX12TCG</v>
      </c>
      <c r="B12706" s="3" t="str">
        <f>HYPERLINK("https://www.773grp.com/manufacturer/onsemi?pageNo=573", "Onsemi")</f>
        <v>Onsemi</v>
      </c>
      <c r="C12706" s="6">
        <v>20000</v>
      </c>
      <c r="D12706" s="7">
        <v>1.84</v>
      </c>
    </row>
    <row r="12707" spans="1:5" x14ac:dyDescent="0.25">
      <c r="A12707" t="str">
        <f>HYPERLINK("https://www.773grp.com/globalSearch/NCP4671DMX13TCG/page-1", "NCP4671DMX13TCG")</f>
        <v>NCP4671DMX13TCG</v>
      </c>
      <c r="B12707" s="3" t="str">
        <f>HYPERLINK("https://www.773grp.com/manufacturer/onsemi?pageNo=574", "Onsemi")</f>
        <v>Onsemi</v>
      </c>
      <c r="C12707" s="6">
        <v>30000</v>
      </c>
      <c r="D12707" s="7">
        <v>1.84</v>
      </c>
    </row>
    <row r="12708" spans="1:5" x14ac:dyDescent="0.25">
      <c r="A12708" t="str">
        <f>HYPERLINK("https://www.773grp.com/globalSearch/NCP4671DMX15TCG/page-1", "NCP4671DMX15TCG")</f>
        <v>NCP4671DMX15TCG</v>
      </c>
      <c r="B12708" s="3" t="str">
        <f>HYPERLINK("https://www.773grp.com/manufacturer/onsemi?pageNo=575", "Onsemi")</f>
        <v>Onsemi</v>
      </c>
      <c r="C12708" s="6">
        <v>20000</v>
      </c>
      <c r="D12708" s="7">
        <v>1.84</v>
      </c>
    </row>
    <row r="12709" spans="1:5" x14ac:dyDescent="0.25">
      <c r="A12709" t="str">
        <f>HYPERLINK("https://www.773grp.com/globalSearch/NCP4688DMU28TCG/page-1", "NCP4688DMU28TCG")</f>
        <v>NCP4688DMU28TCG</v>
      </c>
      <c r="B12709" s="3" t="str">
        <f>HYPERLINK("https://www.773grp.com/manufacturer/onsemi?pageNo=576", "Onsemi")</f>
        <v>Onsemi</v>
      </c>
      <c r="C12709" s="6">
        <v>10000</v>
      </c>
      <c r="D12709" s="7">
        <v>1.84</v>
      </c>
    </row>
    <row r="12710" spans="1:5" x14ac:dyDescent="0.25">
      <c r="A12710" t="str">
        <f>HYPERLINK("https://www.773grp.com/globalSearch/NCP5230MNTWG/page-1", "NCP5230MNTWG")</f>
        <v>NCP5230MNTWG</v>
      </c>
      <c r="B12710" s="3" t="str">
        <f>HYPERLINK("https://www.773grp.com/manufacturer/onsemi?pageNo=577", "Onsemi")</f>
        <v>Onsemi</v>
      </c>
      <c r="C12710" s="6">
        <v>5276</v>
      </c>
      <c r="D12710" s="7">
        <v>1.84</v>
      </c>
    </row>
    <row r="12711" spans="1:5" x14ac:dyDescent="0.25">
      <c r="A12711" t="str">
        <f>HYPERLINK("https://www.773grp.com/globalSearch/NCV2931D2T-5.0R4/page-1", "NCV2931D2T-5.0R4")</f>
        <v>NCV2931D2T-5.0R4</v>
      </c>
      <c r="B12711" s="3" t="str">
        <f>HYPERLINK("https://www.773grp.com/manufacturer/onsemi?pageNo=578", "Onsemi")</f>
        <v>Onsemi</v>
      </c>
      <c r="C12711" s="6">
        <v>545</v>
      </c>
      <c r="D12711" s="7">
        <v>1.84</v>
      </c>
      <c r="E12711" t="s">
        <v>15</v>
      </c>
    </row>
    <row r="12712" spans="1:5" x14ac:dyDescent="0.25">
      <c r="A12712" t="str">
        <f>HYPERLINK("https://www.773grp.com/globalSearch/NCV33064D-5R2G/page-1", "NCV33064D-5R2G")</f>
        <v>NCV33064D-5R2G</v>
      </c>
      <c r="B12712" s="3" t="str">
        <f>HYPERLINK("https://www.773grp.com/manufacturer/onsemi?pageNo=579", "Onsemi")</f>
        <v>Onsemi</v>
      </c>
      <c r="C12712" s="6">
        <v>4891</v>
      </c>
      <c r="D12712" s="7">
        <v>1.84</v>
      </c>
      <c r="E12712" t="s">
        <v>26</v>
      </c>
    </row>
    <row r="12713" spans="1:5" x14ac:dyDescent="0.25">
      <c r="A12713" t="str">
        <f>HYPERLINK("https://www.773grp.com/globalSearch/NCV33064DM-5R2G/page-1", "NCV33064DM-5R2G")</f>
        <v>NCV33064DM-5R2G</v>
      </c>
      <c r="B12713" s="3" t="str">
        <f>HYPERLINK("https://www.773grp.com/manufacturer/onsemi?pageNo=580", "Onsemi")</f>
        <v>Onsemi</v>
      </c>
      <c r="C12713" s="6">
        <v>7974</v>
      </c>
      <c r="D12713" s="7">
        <v>1.84</v>
      </c>
      <c r="E12713" t="s">
        <v>26</v>
      </c>
    </row>
    <row r="12714" spans="1:5" x14ac:dyDescent="0.25">
      <c r="A12714" t="str">
        <f>HYPERLINK("https://www.773grp.com/globalSearch/NCV33064P-5RAG/page-1", "NCV33064P-5RAG")</f>
        <v>NCV33064P-5RAG</v>
      </c>
      <c r="B12714" s="3" t="str">
        <f>HYPERLINK("https://www.773grp.com/manufacturer/onsemi?pageNo=581", "Onsemi")</f>
        <v>Onsemi</v>
      </c>
      <c r="C12714" s="6">
        <v>4000</v>
      </c>
      <c r="D12714" s="7">
        <v>1.84</v>
      </c>
      <c r="E12714" t="s">
        <v>26</v>
      </c>
    </row>
    <row r="12715" spans="1:5" x14ac:dyDescent="0.25">
      <c r="A12715" t="str">
        <f>HYPERLINK("https://www.773grp.com/globalSearch/NCV33064P-5RPG/page-1", "NCV33064P-5RPG")</f>
        <v>NCV33064P-5RPG</v>
      </c>
      <c r="B12715" s="3" t="str">
        <f>HYPERLINK("https://www.773grp.com/manufacturer/onsemi?pageNo=582", "Onsemi")</f>
        <v>Onsemi</v>
      </c>
      <c r="C12715" s="6">
        <v>5388</v>
      </c>
      <c r="D12715" s="7">
        <v>1.84</v>
      </c>
      <c r="E12715" t="s">
        <v>26</v>
      </c>
    </row>
    <row r="12716" spans="1:5" x14ac:dyDescent="0.25">
      <c r="A12716" t="str">
        <f>HYPERLINK("https://www.773grp.com/globalSearch/NCV33164D-3R2G/page-1", "NCV33164D-3R2G")</f>
        <v>NCV33164D-3R2G</v>
      </c>
      <c r="B12716" s="3" t="str">
        <f>HYPERLINK("https://www.773grp.com/manufacturer/onsemi?pageNo=583", "Onsemi")</f>
        <v>Onsemi</v>
      </c>
      <c r="C12716" s="6">
        <v>19965</v>
      </c>
      <c r="D12716" s="7">
        <v>1.84</v>
      </c>
      <c r="E12716" t="s">
        <v>26</v>
      </c>
    </row>
    <row r="12717" spans="1:5" x14ac:dyDescent="0.25">
      <c r="A12717" t="str">
        <f>HYPERLINK("https://www.773grp.com/globalSearch/NDD03N80Z-1G/page-1", "NDD03N80Z-1G")</f>
        <v>NDD03N80Z-1G</v>
      </c>
      <c r="B12717" s="3" t="str">
        <f>HYPERLINK("https://www.773grp.com/manufacturer/onsemi?pageNo=584", "Onsemi")</f>
        <v>Onsemi</v>
      </c>
      <c r="C12717" s="6">
        <v>21554</v>
      </c>
      <c r="D12717" s="7">
        <v>1.84</v>
      </c>
    </row>
    <row r="12718" spans="1:5" x14ac:dyDescent="0.25">
      <c r="A12718" t="str">
        <f>HYPERLINK("https://www.773grp.com/globalSearch/NDF06N60ZG/page-1", "NDF06N60ZG")</f>
        <v>NDF06N60ZG</v>
      </c>
      <c r="B12718" s="3" t="str">
        <f>HYPERLINK("https://www.773grp.com/manufacturer/onsemi?pageNo=585", "Onsemi")</f>
        <v>Onsemi</v>
      </c>
      <c r="C12718" s="6">
        <v>11137</v>
      </c>
      <c r="D12718" s="7">
        <v>1.84</v>
      </c>
      <c r="E12718" t="s">
        <v>84</v>
      </c>
    </row>
    <row r="12719" spans="1:5" x14ac:dyDescent="0.25">
      <c r="A12719" t="str">
        <f>HYPERLINK("https://www.773grp.com/globalSearch/NDF08N50ZH/page-1", "NDF08N50ZH")</f>
        <v>NDF08N50ZH</v>
      </c>
      <c r="B12719" s="3" t="str">
        <f>HYPERLINK("https://www.773grp.com/manufacturer/onsemi?pageNo=586", "Onsemi")</f>
        <v>Onsemi</v>
      </c>
      <c r="C12719" s="6">
        <v>10540</v>
      </c>
      <c r="D12719" s="7">
        <v>1.84</v>
      </c>
    </row>
    <row r="12720" spans="1:5" x14ac:dyDescent="0.25">
      <c r="A12720" t="str">
        <f>HYPERLINK("https://www.773grp.com/globalSearch/NE5532AD8/page-1", "NE5532AD8")</f>
        <v>NE5532AD8</v>
      </c>
      <c r="B12720" s="3" t="str">
        <f>HYPERLINK("https://www.773grp.com/manufacturer/onsemi?pageNo=587", "Onsemi")</f>
        <v>Onsemi</v>
      </c>
      <c r="C12720" s="6">
        <v>20</v>
      </c>
      <c r="D12720" s="7">
        <v>1.84</v>
      </c>
      <c r="E12720" t="s">
        <v>10</v>
      </c>
    </row>
    <row r="12721" spans="1:5" x14ac:dyDescent="0.25">
      <c r="A12721" t="str">
        <f>HYPERLINK("https://www.773grp.com/globalSearch/NGB8206NG/page-1", "NGB8206NG")</f>
        <v>NGB8206NG</v>
      </c>
      <c r="B12721" s="3" t="str">
        <f>HYPERLINK("https://www.773grp.com/manufacturer/onsemi?pageNo=588", "Onsemi")</f>
        <v>Onsemi</v>
      </c>
      <c r="C12721" s="6">
        <v>10940</v>
      </c>
      <c r="D12721" s="7">
        <v>1.84</v>
      </c>
      <c r="E12721" t="s">
        <v>94</v>
      </c>
    </row>
    <row r="12722" spans="1:5" x14ac:dyDescent="0.25">
      <c r="A12722" t="str">
        <f>HYPERLINK("https://www.773grp.com/globalSearch/NGB8206NSL3/page-1", "NGB8206NSL3")</f>
        <v>NGB8206NSL3</v>
      </c>
      <c r="B12722" s="3" t="str">
        <f>HYPERLINK("https://www.773grp.com/manufacturer/onsemi?pageNo=589", "Onsemi")</f>
        <v>Onsemi</v>
      </c>
      <c r="C12722" s="6">
        <v>3350</v>
      </c>
      <c r="D12722" s="7">
        <v>1.84</v>
      </c>
      <c r="E12722" t="s">
        <v>94</v>
      </c>
    </row>
    <row r="12723" spans="1:5" x14ac:dyDescent="0.25">
      <c r="A12723" t="str">
        <f>HYPERLINK("https://www.773grp.com/globalSearch/NGB8206NTF4/page-1", "NGB8206NTF4")</f>
        <v>NGB8206NTF4</v>
      </c>
      <c r="B12723" s="3" t="str">
        <f>HYPERLINK("https://www.773grp.com/manufacturer/onsemi?pageNo=590", "Onsemi")</f>
        <v>Onsemi</v>
      </c>
      <c r="C12723" s="6">
        <v>4000</v>
      </c>
      <c r="D12723" s="7">
        <v>1.84</v>
      </c>
      <c r="E12723" t="s">
        <v>94</v>
      </c>
    </row>
    <row r="12724" spans="1:5" x14ac:dyDescent="0.25">
      <c r="A12724" t="str">
        <f>HYPERLINK("https://www.773grp.com/globalSearch/NID9N05ACLT4G/page-1", "NID9N05ACLT4G")</f>
        <v>NID9N05ACLT4G</v>
      </c>
      <c r="B12724" s="3" t="str">
        <f>HYPERLINK("https://www.773grp.com/manufacturer/onsemi?pageNo=591", "Onsemi")</f>
        <v>Onsemi</v>
      </c>
      <c r="C12724" s="6">
        <v>2500</v>
      </c>
      <c r="D12724" s="7">
        <v>1.84</v>
      </c>
    </row>
    <row r="12725" spans="1:5" x14ac:dyDescent="0.25">
      <c r="A12725" t="str">
        <f>HYPERLINK("https://www.773grp.com/globalSearch/NID9N05CLT4G/page-1", "NID9N05CLT4G")</f>
        <v>NID9N05CLT4G</v>
      </c>
      <c r="B12725" s="3" t="str">
        <f>HYPERLINK("https://www.773grp.com/manufacturer/onsemi?pageNo=592", "Onsemi")</f>
        <v>Onsemi</v>
      </c>
      <c r="C12725" s="6">
        <v>1054</v>
      </c>
      <c r="D12725" s="7">
        <v>1.84</v>
      </c>
      <c r="E12725" t="s">
        <v>84</v>
      </c>
    </row>
    <row r="12726" spans="1:5" x14ac:dyDescent="0.25">
      <c r="A12726" t="str">
        <f>HYPERLINK("https://www.773grp.com/globalSearch/NIF9N05CLT1G/page-1", "NIF9N05CLT1G")</f>
        <v>NIF9N05CLT1G</v>
      </c>
      <c r="B12726" s="3" t="str">
        <f>HYPERLINK("https://www.773grp.com/manufacturer/onsemi?pageNo=593", "Onsemi")</f>
        <v>Onsemi</v>
      </c>
      <c r="C12726" s="6">
        <v>122614</v>
      </c>
      <c r="D12726" s="7">
        <v>1.84</v>
      </c>
      <c r="E12726" t="s">
        <v>84</v>
      </c>
    </row>
    <row r="12727" spans="1:5" x14ac:dyDescent="0.25">
      <c r="A12727" t="str">
        <f>HYPERLINK("https://www.773grp.com/globalSearch/NIF9N05CLT3G/page-1", "NIF9N05CLT3G")</f>
        <v>NIF9N05CLT3G</v>
      </c>
      <c r="B12727" s="3" t="str">
        <f>HYPERLINK("https://www.773grp.com/manufacturer/onsemi?pageNo=594", "Onsemi")</f>
        <v>Onsemi</v>
      </c>
      <c r="C12727" s="6">
        <v>8000</v>
      </c>
      <c r="D12727" s="7">
        <v>1.84</v>
      </c>
      <c r="E12727" t="s">
        <v>84</v>
      </c>
    </row>
    <row r="12728" spans="1:5" x14ac:dyDescent="0.25">
      <c r="A12728" t="str">
        <f>HYPERLINK("https://www.773grp.com/globalSearch/NIS5135MN2TXG/page-1", "NIS5135MN2TXG")</f>
        <v>NIS5135MN2TXG</v>
      </c>
      <c r="B12728" s="3" t="str">
        <f>HYPERLINK("https://www.773grp.com/manufacturer/onsemi?pageNo=595", "Onsemi")</f>
        <v>Onsemi</v>
      </c>
      <c r="C12728" s="6">
        <v>1450</v>
      </c>
      <c r="D12728" s="7">
        <v>1.84</v>
      </c>
    </row>
    <row r="12729" spans="1:5" x14ac:dyDescent="0.25">
      <c r="A12729" t="str">
        <f>HYPERLINK("https://www.773grp.com/globalSearch/NLAS3699BMN1R2G/page-1", "NLAS3699BMN1R2G")</f>
        <v>NLAS3699BMN1R2G</v>
      </c>
      <c r="B12729" s="3" t="str">
        <f>HYPERLINK("https://www.773grp.com/manufacturer/onsemi?pageNo=596", "Onsemi")</f>
        <v>Onsemi</v>
      </c>
      <c r="C12729" s="6">
        <v>92139</v>
      </c>
      <c r="D12729" s="7">
        <v>1.84</v>
      </c>
      <c r="E12729" t="s">
        <v>46</v>
      </c>
    </row>
    <row r="12730" spans="1:5" x14ac:dyDescent="0.25">
      <c r="A12730" t="str">
        <f>HYPERLINK("https://www.773grp.com/globalSearch/NLAS4684FCT1/page-1", "NLAS4684FCT1")</f>
        <v>NLAS4684FCT1</v>
      </c>
      <c r="B12730" s="3" t="str">
        <f>HYPERLINK("https://www.773grp.com/manufacturer/onsemi?pageNo=597", "Onsemi")</f>
        <v>Onsemi</v>
      </c>
      <c r="C12730" s="6">
        <v>893400</v>
      </c>
      <c r="D12730" s="7">
        <v>1.84</v>
      </c>
      <c r="E12730" t="s">
        <v>46</v>
      </c>
    </row>
    <row r="12731" spans="1:5" x14ac:dyDescent="0.25">
      <c r="A12731" t="str">
        <f>HYPERLINK("https://www.773grp.com/globalSearch/NLAS4684FCT1G/page-1", "NLAS4684FCT1G")</f>
        <v>NLAS4684FCT1G</v>
      </c>
      <c r="B12731" s="3" t="str">
        <f>HYPERLINK("https://www.773grp.com/manufacturer/onsemi?pageNo=598", "Onsemi")</f>
        <v>Onsemi</v>
      </c>
      <c r="C12731" s="6">
        <v>285713</v>
      </c>
      <c r="D12731" s="7">
        <v>1.84</v>
      </c>
      <c r="E12731" t="s">
        <v>46</v>
      </c>
    </row>
    <row r="12732" spans="1:5" x14ac:dyDescent="0.25">
      <c r="A12732" t="str">
        <f>HYPERLINK("https://www.773grp.com/globalSearch/NLAS4684MNR2/page-1", "NLAS4684MNR2")</f>
        <v>NLAS4684MNR2</v>
      </c>
      <c r="B12732" s="3" t="str">
        <f>HYPERLINK("https://www.773grp.com/manufacturer/onsemi?pageNo=599", "Onsemi")</f>
        <v>Onsemi</v>
      </c>
      <c r="C12732" s="6">
        <v>33000</v>
      </c>
      <c r="D12732" s="7">
        <v>1.84</v>
      </c>
      <c r="E12732" t="s">
        <v>46</v>
      </c>
    </row>
    <row r="12733" spans="1:5" x14ac:dyDescent="0.25">
      <c r="A12733" t="str">
        <f>HYPERLINK("https://www.773grp.com/globalSearch/NLAS4685FCT1/page-1", "NLAS4685FCT1")</f>
        <v>NLAS4685FCT1</v>
      </c>
      <c r="B12733" s="3" t="str">
        <f>HYPERLINK("https://www.773grp.com/manufacturer/onsemi?pageNo=600", "Onsemi")</f>
        <v>Onsemi</v>
      </c>
      <c r="C12733" s="6">
        <v>38540</v>
      </c>
      <c r="D12733" s="7">
        <v>1.84</v>
      </c>
      <c r="E12733" t="s">
        <v>46</v>
      </c>
    </row>
    <row r="12734" spans="1:5" x14ac:dyDescent="0.25">
      <c r="A12734" t="str">
        <f>HYPERLINK("https://www.773grp.com/globalSearch/NLVHC4851ADR2G/page-1", "NLVHC4851ADR2G")</f>
        <v>NLVHC4851ADR2G</v>
      </c>
      <c r="B12734" s="3" t="str">
        <f>HYPERLINK("https://www.773grp.com/manufacturer/onsemi?pageNo=601", "Onsemi")</f>
        <v>Onsemi</v>
      </c>
      <c r="C12734" s="6">
        <v>5000</v>
      </c>
      <c r="D12734" s="7">
        <v>1.84</v>
      </c>
    </row>
    <row r="12735" spans="1:5" x14ac:dyDescent="0.25">
      <c r="A12735" t="str">
        <f>HYPERLINK("https://www.773grp.com/globalSearch/NLVHC4851ADTR2G/page-1", "NLVHC4851ADTR2G")</f>
        <v>NLVHC4851ADTR2G</v>
      </c>
      <c r="B12735" s="3" t="str">
        <f>HYPERLINK("https://www.773grp.com/manufacturer/onsemi?pageNo=602", "Onsemi")</f>
        <v>Onsemi</v>
      </c>
      <c r="C12735" s="6">
        <v>3681</v>
      </c>
      <c r="D12735" s="7">
        <v>1.84</v>
      </c>
    </row>
    <row r="12736" spans="1:5" x14ac:dyDescent="0.25">
      <c r="A12736" t="str">
        <f>HYPERLINK("https://www.773grp.com/globalSearch/NLVHC4852ADTR2G/page-1", "NLVHC4852ADTR2G")</f>
        <v>NLVHC4852ADTR2G</v>
      </c>
      <c r="B12736" s="3" t="str">
        <f>HYPERLINK("https://www.773grp.com/manufacturer/onsemi?pageNo=603", "Onsemi")</f>
        <v>Onsemi</v>
      </c>
      <c r="C12736" s="6">
        <v>3339</v>
      </c>
      <c r="D12736" s="7">
        <v>1.84</v>
      </c>
    </row>
    <row r="12737" spans="1:5" x14ac:dyDescent="0.25">
      <c r="A12737" t="str">
        <f>HYPERLINK("https://www.773grp.com/globalSearch/NTB18N06G/page-1", "NTB18N06G")</f>
        <v>NTB18N06G</v>
      </c>
      <c r="B12737" s="3" t="str">
        <f>HYPERLINK("https://www.773grp.com/manufacturer/onsemi?pageNo=604", "Onsemi")</f>
        <v>Onsemi</v>
      </c>
      <c r="C12737" s="6">
        <v>2100</v>
      </c>
      <c r="D12737" s="7">
        <v>1.84</v>
      </c>
      <c r="E12737" t="s">
        <v>84</v>
      </c>
    </row>
    <row r="12738" spans="1:5" x14ac:dyDescent="0.25">
      <c r="A12738" t="str">
        <f>HYPERLINK("https://www.773grp.com/globalSearch/NTD24N06T4G/page-1", "NTD24N06T4G")</f>
        <v>NTD24N06T4G</v>
      </c>
      <c r="B12738" s="3" t="str">
        <f>HYPERLINK("https://www.773grp.com/manufacturer/onsemi?pageNo=605", "Onsemi")</f>
        <v>Onsemi</v>
      </c>
      <c r="C12738" s="6">
        <v>2530</v>
      </c>
      <c r="D12738" s="7">
        <v>1.84</v>
      </c>
    </row>
    <row r="12739" spans="1:5" x14ac:dyDescent="0.25">
      <c r="A12739" t="str">
        <f>HYPERLINK("https://www.773grp.com/globalSearch/NTD32N06G/page-1", "NTD32N06G")</f>
        <v>NTD32N06G</v>
      </c>
      <c r="B12739" s="3" t="str">
        <f>HYPERLINK("https://www.773grp.com/manufacturer/onsemi?pageNo=606", "Onsemi")</f>
        <v>Onsemi</v>
      </c>
      <c r="C12739" s="6">
        <v>375</v>
      </c>
      <c r="D12739" s="7">
        <v>1.84</v>
      </c>
    </row>
    <row r="12740" spans="1:5" x14ac:dyDescent="0.25">
      <c r="A12740" t="str">
        <f>HYPERLINK("https://www.773grp.com/globalSearch/NTD4804N-1G/page-1", "NTD4804N-1G")</f>
        <v>NTD4804N-1G</v>
      </c>
      <c r="B12740" s="3" t="str">
        <f>HYPERLINK("https://www.773grp.com/manufacturer/onsemi?pageNo=607", "Onsemi")</f>
        <v>Onsemi</v>
      </c>
      <c r="C12740" s="6">
        <v>70</v>
      </c>
      <c r="D12740" s="7">
        <v>1.84</v>
      </c>
      <c r="E12740" t="s">
        <v>84</v>
      </c>
    </row>
    <row r="12741" spans="1:5" x14ac:dyDescent="0.25">
      <c r="A12741" t="str">
        <f>HYPERLINK("https://www.773grp.com/globalSearch/NTD4804N-35G/page-1", "NTD4804N-35G")</f>
        <v>NTD4804N-35G</v>
      </c>
      <c r="B12741" s="3" t="str">
        <f>HYPERLINK("https://www.773grp.com/manufacturer/onsemi?pageNo=608", "Onsemi")</f>
        <v>Onsemi</v>
      </c>
      <c r="C12741" s="6">
        <v>43200</v>
      </c>
      <c r="D12741" s="7">
        <v>1.84</v>
      </c>
      <c r="E12741" t="s">
        <v>84</v>
      </c>
    </row>
    <row r="12742" spans="1:5" x14ac:dyDescent="0.25">
      <c r="A12742" t="str">
        <f>HYPERLINK("https://www.773grp.com/globalSearch/NTMFS4899NFT1G/page-1", "NTMFS4899NFT1G")</f>
        <v>NTMFS4899NFT1G</v>
      </c>
      <c r="B12742" s="3" t="str">
        <f>HYPERLINK("https://www.773grp.com/manufacturer/onsemi?pageNo=609", "Onsemi")</f>
        <v>Onsemi</v>
      </c>
      <c r="C12742" s="6">
        <v>2995</v>
      </c>
      <c r="D12742" s="7">
        <v>1.84</v>
      </c>
      <c r="E12742" t="s">
        <v>84</v>
      </c>
    </row>
    <row r="12743" spans="1:5" x14ac:dyDescent="0.25">
      <c r="A12743" t="str">
        <f>HYPERLINK("https://www.773grp.com/globalSearch/NTMS4107NR2G/page-1", "NTMS4107NR2G")</f>
        <v>NTMS4107NR2G</v>
      </c>
      <c r="B12743" s="3" t="str">
        <f>HYPERLINK("https://www.773grp.com/manufacturer/onsemi?pageNo=610", "Onsemi")</f>
        <v>Onsemi</v>
      </c>
      <c r="C12743" s="6">
        <v>8500</v>
      </c>
      <c r="D12743" s="7">
        <v>1.84</v>
      </c>
      <c r="E12743" t="s">
        <v>85</v>
      </c>
    </row>
    <row r="12744" spans="1:5" x14ac:dyDescent="0.25">
      <c r="A12744" t="str">
        <f>HYPERLINK("https://www.773grp.com/globalSearch/NTP27N06G/page-1", "NTP27N06G")</f>
        <v>NTP27N06G</v>
      </c>
      <c r="B12744" s="3" t="str">
        <f>HYPERLINK("https://www.773grp.com/manufacturer/onsemi?pageNo=611", "Onsemi")</f>
        <v>Onsemi</v>
      </c>
      <c r="C12744" s="6">
        <v>66</v>
      </c>
      <c r="D12744" s="7">
        <v>1.84</v>
      </c>
      <c r="E12744" t="s">
        <v>84</v>
      </c>
    </row>
    <row r="12745" spans="1:5" x14ac:dyDescent="0.25">
      <c r="A12745" t="str">
        <f>HYPERLINK("https://www.773grp.com/globalSearch/NTTFS3A08PZTWG/page-1", "NTTFS3A08PZTWG")</f>
        <v>NTTFS3A08PZTWG</v>
      </c>
      <c r="B12745" s="3" t="str">
        <f>HYPERLINK("https://www.773grp.com/manufacturer/onsemi?pageNo=612", "Onsemi")</f>
        <v>Onsemi</v>
      </c>
      <c r="C12745" s="6">
        <v>20000</v>
      </c>
      <c r="D12745" s="7">
        <v>1.84</v>
      </c>
    </row>
    <row r="12746" spans="1:5" x14ac:dyDescent="0.25">
      <c r="A12746" t="str">
        <f>HYPERLINK("https://www.773grp.com/globalSearch/NTTFS4840NTAG/page-1", "NTTFS4840NTAG")</f>
        <v>NTTFS4840NTAG</v>
      </c>
      <c r="B12746" s="3" t="str">
        <f>HYPERLINK("https://www.773grp.com/manufacturer/onsemi?pageNo=613", "Onsemi")</f>
        <v>Onsemi</v>
      </c>
      <c r="C12746" s="6">
        <v>4500</v>
      </c>
      <c r="D12746" s="7">
        <v>1.84</v>
      </c>
      <c r="E12746" t="s">
        <v>84</v>
      </c>
    </row>
    <row r="12747" spans="1:5" x14ac:dyDescent="0.25">
      <c r="A12747" t="str">
        <f>HYPERLINK("https://www.773grp.com/globalSearch/PACDN043Y4R/page-1", "PACDN043Y4R")</f>
        <v>PACDN043Y4R</v>
      </c>
      <c r="B12747" s="3" t="str">
        <f>HYPERLINK("https://www.773grp.com/manufacturer/onsemi?pageNo=614", "Onsemi")</f>
        <v>Onsemi</v>
      </c>
      <c r="C12747" s="6">
        <v>448070</v>
      </c>
      <c r="D12747" s="7">
        <v>1.84</v>
      </c>
      <c r="E12747" t="s">
        <v>75</v>
      </c>
    </row>
    <row r="12748" spans="1:5" x14ac:dyDescent="0.25">
      <c r="A12748" t="str">
        <f>HYPERLINK("https://www.773grp.com/globalSearch/PACDN044YB5R/page-1", "PACDN044YB5R")</f>
        <v>PACDN044YB5R</v>
      </c>
      <c r="B12748" s="3" t="str">
        <f>HYPERLINK("https://www.773grp.com/manufacturer/onsemi?pageNo=615", "Onsemi")</f>
        <v>Onsemi</v>
      </c>
      <c r="C12748" s="6">
        <v>1752000</v>
      </c>
      <c r="D12748" s="7">
        <v>1.84</v>
      </c>
      <c r="E12748" t="s">
        <v>75</v>
      </c>
    </row>
    <row r="12749" spans="1:5" x14ac:dyDescent="0.25">
      <c r="A12749" t="str">
        <f>HYPERLINK("https://www.773grp.com/globalSearch/PACDN045Y6R/page-1", "PACDN045Y6R")</f>
        <v>PACDN045Y6R</v>
      </c>
      <c r="B12749" s="3" t="str">
        <f>HYPERLINK("https://www.773grp.com/manufacturer/onsemi?pageNo=616", "Onsemi")</f>
        <v>Onsemi</v>
      </c>
      <c r="C12749" s="6">
        <v>15000</v>
      </c>
      <c r="D12749" s="7">
        <v>1.84</v>
      </c>
    </row>
    <row r="12750" spans="1:5" x14ac:dyDescent="0.25">
      <c r="A12750" t="str">
        <f>HYPERLINK("https://www.773grp.com/globalSearch/PACDN046MR/page-1", "PACDN046MR")</f>
        <v>PACDN046MR</v>
      </c>
      <c r="B12750" s="3" t="str">
        <f>HYPERLINK("https://www.773grp.com/manufacturer/onsemi?pageNo=617", "Onsemi")</f>
        <v>Onsemi</v>
      </c>
      <c r="C12750" s="6">
        <v>40000</v>
      </c>
      <c r="D12750" s="7">
        <v>1.84</v>
      </c>
    </row>
    <row r="12751" spans="1:5" x14ac:dyDescent="0.25">
      <c r="A12751" t="str">
        <f>HYPERLINK("https://www.773grp.com/globalSearch/SC33262DR2G/page-1", "SC33262DR2G")</f>
        <v>SC33262DR2G</v>
      </c>
      <c r="B12751" s="3" t="str">
        <f>HYPERLINK("https://www.773grp.com/manufacturer/onsemi?pageNo=618", "Onsemi")</f>
        <v>Onsemi</v>
      </c>
      <c r="C12751" s="6">
        <v>81668</v>
      </c>
      <c r="D12751" s="7">
        <v>1.84</v>
      </c>
    </row>
    <row r="12752" spans="1:5" x14ac:dyDescent="0.25">
      <c r="A12752" t="str">
        <f>HYPERLINK("https://www.773grp.com/globalSearch/SC34063ADR2G/page-1", "SC34063ADR2G")</f>
        <v>SC34063ADR2G</v>
      </c>
      <c r="B12752" s="3" t="str">
        <f>HYPERLINK("https://www.773grp.com/manufacturer/onsemi?pageNo=619", "Onsemi")</f>
        <v>Onsemi</v>
      </c>
      <c r="C12752" s="6">
        <v>7500</v>
      </c>
      <c r="D12752" s="7">
        <v>1.84</v>
      </c>
    </row>
    <row r="12753" spans="1:5" x14ac:dyDescent="0.25">
      <c r="A12753" t="str">
        <f>HYPERLINK("https://www.773grp.com/globalSearch/SCY33201DR2G/page-1", "SCY33201DR2G")</f>
        <v>SCY33201DR2G</v>
      </c>
      <c r="B12753" s="3" t="str">
        <f>HYPERLINK("https://www.773grp.com/manufacturer/onsemi?pageNo=620", "Onsemi")</f>
        <v>Onsemi</v>
      </c>
      <c r="C12753" s="6">
        <v>4472</v>
      </c>
      <c r="D12753" s="7">
        <v>1.84</v>
      </c>
    </row>
    <row r="12754" spans="1:5" x14ac:dyDescent="0.25">
      <c r="A12754" t="str">
        <f>HYPERLINK("https://www.773grp.com/globalSearch/SCY33202DR2G/page-1", "SCY33202DR2G")</f>
        <v>SCY33202DR2G</v>
      </c>
      <c r="B12754" s="3" t="str">
        <f>HYPERLINK("https://www.773grp.com/manufacturer/onsemi?pageNo=621", "Onsemi")</f>
        <v>Onsemi</v>
      </c>
      <c r="C12754" s="6">
        <v>2384</v>
      </c>
      <c r="D12754" s="7">
        <v>1.84</v>
      </c>
    </row>
    <row r="12755" spans="1:5" x14ac:dyDescent="0.25">
      <c r="A12755" t="str">
        <f>HYPERLINK("https://www.773grp.com/globalSearch/T2500DFP/page-1", "T2500DFP")</f>
        <v>T2500DFP</v>
      </c>
      <c r="B12755" s="3" t="str">
        <f>HYPERLINK("https://www.773grp.com/manufacturer/onsemi?pageNo=622", "Onsemi")</f>
        <v>Onsemi</v>
      </c>
      <c r="C12755" s="6">
        <v>46738</v>
      </c>
      <c r="D12755" s="7">
        <v>1.84</v>
      </c>
      <c r="E12755" t="s">
        <v>81</v>
      </c>
    </row>
    <row r="12756" spans="1:5" x14ac:dyDescent="0.25">
      <c r="A12756" t="str">
        <f>HYPERLINK("https://www.773grp.com/globalSearch/TCA0372BDWR2/page-1", "TCA0372BDWR2")</f>
        <v>TCA0372BDWR2</v>
      </c>
      <c r="B12756" s="3" t="str">
        <f>HYPERLINK("https://www.773grp.com/manufacturer/onsemi?pageNo=623", "Onsemi")</f>
        <v>Onsemi</v>
      </c>
      <c r="C12756" s="6">
        <v>1000</v>
      </c>
      <c r="D12756" s="7">
        <v>1.84</v>
      </c>
      <c r="E12756" t="s">
        <v>10</v>
      </c>
    </row>
    <row r="12757" spans="1:5" x14ac:dyDescent="0.25">
      <c r="A12757" t="str">
        <f>HYPERLINK("https://www.773grp.com/globalSearch/TCA0372DP1/page-1", "TCA0372DP1")</f>
        <v>TCA0372DP1</v>
      </c>
      <c r="B12757" s="3" t="str">
        <f>HYPERLINK("https://www.773grp.com/manufacturer/onsemi?pageNo=624", "Onsemi")</f>
        <v>Onsemi</v>
      </c>
      <c r="C12757" s="6">
        <v>650</v>
      </c>
      <c r="D12757" s="7">
        <v>1.84</v>
      </c>
      <c r="E12757" t="s">
        <v>10</v>
      </c>
    </row>
    <row r="12758" spans="1:5" x14ac:dyDescent="0.25">
      <c r="A12758" t="str">
        <f>HYPERLINK("https://www.773grp.com/globalSearch/TIP100G/page-1", "TIP100G")</f>
        <v>TIP100G</v>
      </c>
      <c r="B12758" s="3" t="str">
        <f>HYPERLINK("https://www.773grp.com/manufacturer/onsemi?pageNo=625", "Onsemi")</f>
        <v>Onsemi</v>
      </c>
      <c r="C12758" s="6">
        <v>5554</v>
      </c>
      <c r="D12758" s="7">
        <v>1.84</v>
      </c>
      <c r="E12758" t="s">
        <v>47</v>
      </c>
    </row>
    <row r="12759" spans="1:5" x14ac:dyDescent="0.25">
      <c r="A12759" t="str">
        <f>HYPERLINK("https://www.773grp.com/globalSearch/TIP101G/page-1", "TIP101G")</f>
        <v>TIP101G</v>
      </c>
      <c r="B12759" s="3" t="str">
        <f>HYPERLINK("https://www.773grp.com/manufacturer/onsemi?pageNo=626", "Onsemi")</f>
        <v>Onsemi</v>
      </c>
      <c r="C12759" s="6">
        <v>1414</v>
      </c>
      <c r="D12759" s="7">
        <v>1.84</v>
      </c>
      <c r="E12759" t="s">
        <v>47</v>
      </c>
    </row>
    <row r="12760" spans="1:5" x14ac:dyDescent="0.25">
      <c r="A12760" t="str">
        <f>HYPERLINK("https://www.773grp.com/globalSearch/TIP102G/page-1", "TIP102G")</f>
        <v>TIP102G</v>
      </c>
      <c r="B12760" s="3" t="str">
        <f>HYPERLINK("https://www.773grp.com/manufacturer/onsemi?pageNo=627", "Onsemi")</f>
        <v>Onsemi</v>
      </c>
      <c r="C12760" s="6">
        <v>4814</v>
      </c>
      <c r="D12760" s="7">
        <v>1.84</v>
      </c>
      <c r="E12760" t="s">
        <v>47</v>
      </c>
    </row>
    <row r="12761" spans="1:5" x14ac:dyDescent="0.25">
      <c r="A12761" t="str">
        <f>HYPERLINK("https://www.773grp.com/globalSearch/TIP140/page-1", "TIP140")</f>
        <v>TIP140</v>
      </c>
      <c r="B12761" s="3" t="str">
        <f>HYPERLINK("https://www.773grp.com/manufacturer/onsemi?pageNo=628", "Onsemi")</f>
        <v>Onsemi</v>
      </c>
      <c r="C12761" s="6">
        <v>4661</v>
      </c>
      <c r="D12761" s="7">
        <v>1.84</v>
      </c>
      <c r="E12761" t="s">
        <v>47</v>
      </c>
    </row>
    <row r="12762" spans="1:5" x14ac:dyDescent="0.25">
      <c r="A12762" t="str">
        <f>HYPERLINK("https://www.773grp.com/globalSearch/TIP33AG/page-1", "TIP33AG")</f>
        <v>TIP33AG</v>
      </c>
      <c r="B12762" s="3" t="str">
        <f>HYPERLINK("https://www.773grp.com/manufacturer/onsemi?pageNo=629", "Onsemi")</f>
        <v>Onsemi</v>
      </c>
      <c r="C12762" s="6">
        <v>870</v>
      </c>
      <c r="D12762" s="7">
        <v>1.84</v>
      </c>
      <c r="E12762" t="s">
        <v>47</v>
      </c>
    </row>
    <row r="12763" spans="1:5" x14ac:dyDescent="0.25">
      <c r="A12763" t="str">
        <f>HYPERLINK("https://www.773grp.com/globalSearch/TIP33C/page-1", "TIP33C")</f>
        <v>TIP33C</v>
      </c>
      <c r="B12763" s="3" t="str">
        <f>HYPERLINK("https://www.773grp.com/manufacturer/onsemi?pageNo=630", "Onsemi")</f>
        <v>Onsemi</v>
      </c>
      <c r="C12763" s="6">
        <v>1300</v>
      </c>
      <c r="D12763" s="7">
        <v>1.84</v>
      </c>
      <c r="E12763" t="s">
        <v>47</v>
      </c>
    </row>
    <row r="12764" spans="1:5" x14ac:dyDescent="0.25">
      <c r="A12764" t="str">
        <f>HYPERLINK("https://www.773grp.com/globalSearch/TL064ACN/page-1", "TL064ACN")</f>
        <v>TL064ACN</v>
      </c>
      <c r="B12764" s="3" t="str">
        <f>HYPERLINK("https://www.773grp.com/manufacturer/onsemi?pageNo=631", "Onsemi")</f>
        <v>Onsemi</v>
      </c>
      <c r="C12764" s="6">
        <v>88</v>
      </c>
      <c r="D12764" s="7">
        <v>1.84</v>
      </c>
      <c r="E12764" t="s">
        <v>10</v>
      </c>
    </row>
    <row r="12765" spans="1:5" x14ac:dyDescent="0.25">
      <c r="A12765" t="str">
        <f>HYPERLINK("https://www.773grp.com/globalSearch/TL431BVPG/page-1", "TL431BVPG")</f>
        <v>TL431BVPG</v>
      </c>
      <c r="B12765" s="3" t="str">
        <f>HYPERLINK("https://www.773grp.com/manufacturer/onsemi?pageNo=632", "Onsemi")</f>
        <v>Onsemi</v>
      </c>
      <c r="C12765" s="6">
        <v>6815</v>
      </c>
      <c r="D12765" s="7">
        <v>1.84</v>
      </c>
      <c r="E12765" t="s">
        <v>13</v>
      </c>
    </row>
    <row r="12766" spans="1:5" x14ac:dyDescent="0.25">
      <c r="A12766" t="str">
        <f>HYPERLINK("https://www.773grp.com/globalSearch/2N6387G/page-1", "2N6387G")</f>
        <v>2N6387G</v>
      </c>
      <c r="B12766" s="3" t="str">
        <f>HYPERLINK("https://www.773grp.com/manufacturer/onsemi?pageNo=633", "Onsemi")</f>
        <v>Onsemi</v>
      </c>
      <c r="C12766" s="6">
        <v>2948</v>
      </c>
      <c r="D12766" s="7">
        <v>1.91</v>
      </c>
      <c r="E12766" t="s">
        <v>47</v>
      </c>
    </row>
    <row r="12767" spans="1:5" x14ac:dyDescent="0.25">
      <c r="A12767" t="str">
        <f>HYPERLINK("https://www.773grp.com/globalSearch/2N6388G/page-1", "2N6388G")</f>
        <v>2N6388G</v>
      </c>
      <c r="B12767" s="3" t="str">
        <f>HYPERLINK("https://www.773grp.com/manufacturer/onsemi?pageNo=634", "Onsemi")</f>
        <v>Onsemi</v>
      </c>
      <c r="C12767" s="6">
        <v>8292</v>
      </c>
      <c r="D12767" s="7">
        <v>1.91</v>
      </c>
      <c r="E12767" t="s">
        <v>47</v>
      </c>
    </row>
    <row r="12768" spans="1:5" x14ac:dyDescent="0.25">
      <c r="A12768" t="str">
        <f>HYPERLINK("https://www.773grp.com/globalSearch/BDW46G/page-1", "BDW46G")</f>
        <v>BDW46G</v>
      </c>
      <c r="B12768" s="3" t="str">
        <f>HYPERLINK("https://www.773grp.com/manufacturer/onsemi?pageNo=635", "Onsemi")</f>
        <v>Onsemi</v>
      </c>
      <c r="C12768" s="6">
        <v>1937</v>
      </c>
      <c r="D12768" s="7">
        <v>1.91</v>
      </c>
      <c r="E12768" t="s">
        <v>47</v>
      </c>
    </row>
    <row r="12769" spans="1:5" x14ac:dyDescent="0.25">
      <c r="A12769" t="str">
        <f>HYPERLINK("https://www.773grp.com/globalSearch/BTB08-600BW3G/page-1", "BTB08-600BW3G")</f>
        <v>BTB08-600BW3G</v>
      </c>
      <c r="B12769" s="3" t="str">
        <f>HYPERLINK("https://www.773grp.com/manufacturer/onsemi?pageNo=636", "Onsemi")</f>
        <v>Onsemi</v>
      </c>
      <c r="C12769" s="6">
        <v>241390</v>
      </c>
      <c r="D12769" s="7">
        <v>1.91</v>
      </c>
      <c r="E12769" t="s">
        <v>81</v>
      </c>
    </row>
    <row r="12770" spans="1:5" x14ac:dyDescent="0.25">
      <c r="A12770" t="str">
        <f>HYPERLINK("https://www.773grp.com/globalSearch/BTB08-600CW3G/page-1", "BTB08-600CW3G")</f>
        <v>BTB08-600CW3G</v>
      </c>
      <c r="B12770" s="3" t="str">
        <f>HYPERLINK("https://www.773grp.com/manufacturer/onsemi?pageNo=637", "Onsemi")</f>
        <v>Onsemi</v>
      </c>
      <c r="C12770" s="6">
        <v>3250</v>
      </c>
      <c r="D12770" s="7">
        <v>1.91</v>
      </c>
      <c r="E12770" t="s">
        <v>81</v>
      </c>
    </row>
    <row r="12771" spans="1:5" x14ac:dyDescent="0.25">
      <c r="A12771" t="str">
        <f>HYPERLINK("https://www.773grp.com/globalSearch/CAT24C21WI/page-1", "CAT24C21WI")</f>
        <v>CAT24C21WI</v>
      </c>
      <c r="B12771" s="3" t="str">
        <f>HYPERLINK("https://www.773grp.com/manufacturer/onsemi?pageNo=638", "Onsemi")</f>
        <v>Onsemi</v>
      </c>
      <c r="C12771" s="6">
        <v>17254</v>
      </c>
      <c r="D12771" s="7">
        <v>1.91</v>
      </c>
      <c r="E12771" t="s">
        <v>52</v>
      </c>
    </row>
    <row r="12772" spans="1:5" x14ac:dyDescent="0.25">
      <c r="A12772" t="str">
        <f>HYPERLINK("https://www.773grp.com/globalSearch/CAT24C21WI-G/page-1", "CAT24C21WI-G")</f>
        <v>CAT24C21WI-G</v>
      </c>
      <c r="B12772" s="3" t="str">
        <f>HYPERLINK("https://www.773grp.com/manufacturer/onsemi?pageNo=639", "Onsemi")</f>
        <v>Onsemi</v>
      </c>
      <c r="C12772" s="6">
        <v>5600</v>
      </c>
      <c r="D12772" s="7">
        <v>1.91</v>
      </c>
    </row>
    <row r="12773" spans="1:5" x14ac:dyDescent="0.25">
      <c r="A12773" t="str">
        <f>HYPERLINK("https://www.773grp.com/globalSearch/CAT4139TD-GT3/page-1", "CAT4139TD-GT3")</f>
        <v>CAT4139TD-GT3</v>
      </c>
      <c r="B12773" s="3" t="str">
        <f>HYPERLINK("https://www.773grp.com/manufacturer/onsemi?pageNo=640", "Onsemi")</f>
        <v>Onsemi</v>
      </c>
      <c r="C12773" s="6">
        <v>87000</v>
      </c>
      <c r="D12773" s="7">
        <v>1.91</v>
      </c>
    </row>
    <row r="12774" spans="1:5" x14ac:dyDescent="0.25">
      <c r="A12774" t="str">
        <f>HYPERLINK("https://www.773grp.com/globalSearch/CAT4238TD-GT3/page-1", "CAT4238TD-GT3")</f>
        <v>CAT4238TD-GT3</v>
      </c>
      <c r="B12774" s="3" t="str">
        <f>HYPERLINK("https://www.773grp.com/manufacturer/onsemi?pageNo=641", "Onsemi")</f>
        <v>Onsemi</v>
      </c>
      <c r="C12774" s="6">
        <v>63000</v>
      </c>
      <c r="D12774" s="7">
        <v>1.91</v>
      </c>
      <c r="E12774" t="s">
        <v>7</v>
      </c>
    </row>
    <row r="12775" spans="1:5" x14ac:dyDescent="0.25">
      <c r="A12775" t="str">
        <f>HYPERLINK("https://www.773grp.com/globalSearch/CM1234-08DE/page-1", "CM1234-08DE")</f>
        <v>CM1234-08DE</v>
      </c>
      <c r="B12775" s="3" t="str">
        <f>HYPERLINK("https://www.773grp.com/manufacturer/onsemi?pageNo=642", "Onsemi")</f>
        <v>Onsemi</v>
      </c>
      <c r="C12775" s="6">
        <v>121</v>
      </c>
      <c r="D12775" s="7">
        <v>1.91</v>
      </c>
    </row>
    <row r="12776" spans="1:5" x14ac:dyDescent="0.25">
      <c r="A12776" t="str">
        <f>HYPERLINK("https://www.773grp.com/globalSearch/CS5203-1GT3/page-1", "CS5203-1GT3")</f>
        <v>CS5203-1GT3</v>
      </c>
      <c r="B12776" s="3" t="str">
        <f>HYPERLINK("https://www.773grp.com/manufacturer/onsemi?pageNo=643", "Onsemi")</f>
        <v>Onsemi</v>
      </c>
      <c r="C12776" s="6">
        <v>6400</v>
      </c>
      <c r="D12776" s="7">
        <v>1.91</v>
      </c>
      <c r="E12776" t="s">
        <v>21</v>
      </c>
    </row>
    <row r="12777" spans="1:5" x14ac:dyDescent="0.25">
      <c r="A12777" t="str">
        <f>HYPERLINK("https://www.773grp.com/globalSearch/CS5231-3GDF8/page-1", "CS5231-3GDF8")</f>
        <v>CS5231-3GDF8</v>
      </c>
      <c r="B12777" s="3" t="str">
        <f>HYPERLINK("https://www.773grp.com/manufacturer/onsemi?pageNo=644", "Onsemi")</f>
        <v>Onsemi</v>
      </c>
      <c r="C12777" s="6">
        <v>3724</v>
      </c>
      <c r="D12777" s="7">
        <v>1.91</v>
      </c>
      <c r="E12777" t="s">
        <v>15</v>
      </c>
    </row>
    <row r="12778" spans="1:5" x14ac:dyDescent="0.25">
      <c r="A12778" t="str">
        <f>HYPERLINK("https://www.773grp.com/globalSearch/CS8101YDWFR20/page-1", "CS8101YDWFR20")</f>
        <v>CS8101YDWFR20</v>
      </c>
      <c r="B12778" s="3" t="str">
        <f>HYPERLINK("https://www.773grp.com/manufacturer/onsemi?pageNo=645", "Onsemi")</f>
        <v>Onsemi</v>
      </c>
      <c r="C12778" s="6">
        <v>6000</v>
      </c>
      <c r="D12778" s="7">
        <v>1.91</v>
      </c>
      <c r="E12778" t="s">
        <v>15</v>
      </c>
    </row>
    <row r="12779" spans="1:5" x14ac:dyDescent="0.25">
      <c r="A12779" t="str">
        <f>HYPERLINK("https://www.773grp.com/globalSearch/D44C12G/page-1", "D44C12G")</f>
        <v>D44C12G</v>
      </c>
      <c r="B12779" s="3" t="str">
        <f>HYPERLINK("https://www.773grp.com/manufacturer/onsemi?pageNo=646", "Onsemi")</f>
        <v>Onsemi</v>
      </c>
      <c r="C12779" s="6">
        <v>693</v>
      </c>
      <c r="D12779" s="7">
        <v>1.91</v>
      </c>
      <c r="E12779" t="s">
        <v>47</v>
      </c>
    </row>
    <row r="12780" spans="1:5" x14ac:dyDescent="0.25">
      <c r="A12780" t="str">
        <f>HYPERLINK("https://www.773grp.com/globalSearch/D45C12G/page-1", "D45C12G")</f>
        <v>D45C12G</v>
      </c>
      <c r="B12780" s="3" t="str">
        <f>HYPERLINK("https://www.773grp.com/manufacturer/onsemi?pageNo=647", "Onsemi")</f>
        <v>Onsemi</v>
      </c>
      <c r="C12780" s="6">
        <v>93</v>
      </c>
      <c r="D12780" s="7">
        <v>1.91</v>
      </c>
      <c r="E12780" t="s">
        <v>47</v>
      </c>
    </row>
    <row r="12781" spans="1:5" x14ac:dyDescent="0.25">
      <c r="A12781" t="str">
        <f>HYPERLINK("https://www.773grp.com/globalSearch/LM317MABDTG/page-1", "LM317MABDTG")</f>
        <v>LM317MABDTG</v>
      </c>
      <c r="B12781" s="3" t="str">
        <f>HYPERLINK("https://www.773grp.com/manufacturer/onsemi?pageNo=648", "Onsemi")</f>
        <v>Onsemi</v>
      </c>
      <c r="C12781" s="6">
        <v>1200</v>
      </c>
      <c r="D12781" s="7">
        <v>1.91</v>
      </c>
      <c r="E12781" t="s">
        <v>18</v>
      </c>
    </row>
    <row r="12782" spans="1:5" x14ac:dyDescent="0.25">
      <c r="A12782" t="str">
        <f>HYPERLINK("https://www.773grp.com/globalSearch/LM317MABDTRKG/page-1", "LM317MABDTRKG")</f>
        <v>LM317MABDTRKG</v>
      </c>
      <c r="B12782" s="3" t="str">
        <f>HYPERLINK("https://www.773grp.com/manufacturer/onsemi?pageNo=649", "Onsemi")</f>
        <v>Onsemi</v>
      </c>
      <c r="C12782" s="6">
        <v>78924</v>
      </c>
      <c r="D12782" s="7">
        <v>1.91</v>
      </c>
      <c r="E12782" t="s">
        <v>18</v>
      </c>
    </row>
    <row r="12783" spans="1:5" x14ac:dyDescent="0.25">
      <c r="A12783" t="str">
        <f>HYPERLINK("https://www.773grp.com/globalSearch/LP2951ACD/page-1", "LP2951ACD")</f>
        <v>LP2951ACD</v>
      </c>
      <c r="B12783" s="3" t="str">
        <f>HYPERLINK("https://www.773grp.com/manufacturer/onsemi?pageNo=650", "Onsemi")</f>
        <v>Onsemi</v>
      </c>
      <c r="C12783" s="6">
        <v>6300</v>
      </c>
      <c r="D12783" s="7">
        <v>1.91</v>
      </c>
      <c r="E12783" t="s">
        <v>23</v>
      </c>
    </row>
    <row r="12784" spans="1:5" x14ac:dyDescent="0.25">
      <c r="A12784" t="str">
        <f>HYPERLINK("https://www.773grp.com/globalSearch/LP2951ACD-3.0/page-1", "LP2951ACD-3.0")</f>
        <v>LP2951ACD-3.0</v>
      </c>
      <c r="B12784" s="3" t="str">
        <f>HYPERLINK("https://www.773grp.com/manufacturer/onsemi?pageNo=651", "Onsemi")</f>
        <v>Onsemi</v>
      </c>
      <c r="C12784" s="6">
        <v>1862</v>
      </c>
      <c r="D12784" s="7">
        <v>1.91</v>
      </c>
      <c r="E12784" t="s">
        <v>15</v>
      </c>
    </row>
    <row r="12785" spans="1:5" x14ac:dyDescent="0.25">
      <c r="A12785" t="str">
        <f>HYPERLINK("https://www.773grp.com/globalSearch/LP2951ACD-3.0R2/page-1", "LP2951ACD-3.0R2")</f>
        <v>LP2951ACD-3.0R2</v>
      </c>
      <c r="B12785" s="3" t="str">
        <f>HYPERLINK("https://www.773grp.com/manufacturer/onsemi?pageNo=652", "Onsemi")</f>
        <v>Onsemi</v>
      </c>
      <c r="C12785" s="6">
        <v>5000</v>
      </c>
      <c r="D12785" s="7">
        <v>1.91</v>
      </c>
      <c r="E12785" t="s">
        <v>15</v>
      </c>
    </row>
    <row r="12786" spans="1:5" x14ac:dyDescent="0.25">
      <c r="A12786" t="str">
        <f>HYPERLINK("https://www.773grp.com/globalSearch/LP2951ACD-3.3R2/page-1", "LP2951ACD-3.3R2")</f>
        <v>LP2951ACD-3.3R2</v>
      </c>
      <c r="B12786" s="3" t="str">
        <f>HYPERLINK("https://www.773grp.com/manufacturer/onsemi?pageNo=653", "Onsemi")</f>
        <v>Onsemi</v>
      </c>
      <c r="C12786" s="6">
        <v>2390</v>
      </c>
      <c r="D12786" s="7">
        <v>1.91</v>
      </c>
      <c r="E12786" t="s">
        <v>15</v>
      </c>
    </row>
    <row r="12787" spans="1:5" x14ac:dyDescent="0.25">
      <c r="A12787" t="str">
        <f>HYPERLINK("https://www.773grp.com/globalSearch/LP2951ACN/page-1", "LP2951ACN")</f>
        <v>LP2951ACN</v>
      </c>
      <c r="B12787" s="3" t="str">
        <f>HYPERLINK("https://www.773grp.com/manufacturer/onsemi?pageNo=654", "Onsemi")</f>
        <v>Onsemi</v>
      </c>
      <c r="C12787" s="6">
        <v>16679</v>
      </c>
      <c r="D12787" s="7">
        <v>1.91</v>
      </c>
      <c r="E12787" t="s">
        <v>23</v>
      </c>
    </row>
    <row r="12788" spans="1:5" x14ac:dyDescent="0.25">
      <c r="A12788" t="str">
        <f>HYPERLINK("https://www.773grp.com/globalSearch/MAC228A6/page-1", "MAC228A6")</f>
        <v>MAC228A6</v>
      </c>
      <c r="B12788" s="3" t="str">
        <f>HYPERLINK("https://www.773grp.com/manufacturer/onsemi?pageNo=655", "Onsemi")</f>
        <v>Onsemi</v>
      </c>
      <c r="C12788" s="6">
        <v>9743</v>
      </c>
      <c r="D12788" s="7">
        <v>1.91</v>
      </c>
      <c r="E12788" t="s">
        <v>81</v>
      </c>
    </row>
    <row r="12789" spans="1:5" x14ac:dyDescent="0.25">
      <c r="A12789" t="str">
        <f>HYPERLINK("https://www.773grp.com/globalSearch/MAC228A8/page-1", "MAC228A8")</f>
        <v>MAC228A8</v>
      </c>
      <c r="B12789" s="3" t="str">
        <f>HYPERLINK("https://www.773grp.com/manufacturer/onsemi?pageNo=656", "Onsemi")</f>
        <v>Onsemi</v>
      </c>
      <c r="C12789" s="6">
        <v>500</v>
      </c>
      <c r="D12789" s="7">
        <v>1.91</v>
      </c>
      <c r="E12789" t="s">
        <v>81</v>
      </c>
    </row>
    <row r="12790" spans="1:5" x14ac:dyDescent="0.25">
      <c r="A12790" t="str">
        <f>HYPERLINK("https://www.773grp.com/globalSearch/MBR20L60CTG/page-1", "MBR20L60CTG")</f>
        <v>MBR20L60CTG</v>
      </c>
      <c r="B12790" s="3" t="str">
        <f>HYPERLINK("https://www.773grp.com/manufacturer/onsemi?pageNo=657", "Onsemi")</f>
        <v>Onsemi</v>
      </c>
      <c r="C12790" s="6">
        <v>230</v>
      </c>
      <c r="D12790" s="7">
        <v>1.91</v>
      </c>
      <c r="E12790" t="s">
        <v>82</v>
      </c>
    </row>
    <row r="12791" spans="1:5" x14ac:dyDescent="0.25">
      <c r="A12791" t="str">
        <f>HYPERLINK("https://www.773grp.com/globalSearch/MC10111P/page-1", "MC10111P")</f>
        <v>MC10111P</v>
      </c>
      <c r="B12791" s="3" t="str">
        <f>HYPERLINK("https://www.773grp.com/manufacturer/onsemi?pageNo=658", "Onsemi")</f>
        <v>Onsemi</v>
      </c>
      <c r="C12791" s="6">
        <v>8430</v>
      </c>
      <c r="D12791" s="7">
        <v>1.91</v>
      </c>
      <c r="E12791" t="s">
        <v>27</v>
      </c>
    </row>
    <row r="12792" spans="1:5" x14ac:dyDescent="0.25">
      <c r="A12792" t="str">
        <f>HYPERLINK("https://www.773grp.com/globalSearch/MC14557BDW/page-1", "MC14557BDW")</f>
        <v>MC14557BDW</v>
      </c>
      <c r="B12792" s="3" t="str">
        <f>HYPERLINK("https://www.773grp.com/manufacturer/onsemi?pageNo=659", "Onsemi")</f>
        <v>Onsemi</v>
      </c>
      <c r="C12792" s="6">
        <v>271</v>
      </c>
      <c r="D12792" s="7">
        <v>1.91</v>
      </c>
      <c r="E12792" t="s">
        <v>28</v>
      </c>
    </row>
    <row r="12793" spans="1:5" x14ac:dyDescent="0.25">
      <c r="A12793" t="str">
        <f>HYPERLINK("https://www.773grp.com/globalSearch/MC33262DR2G/page-1", "MC33262DR2G")</f>
        <v>MC33262DR2G</v>
      </c>
      <c r="B12793" s="3" t="str">
        <f>HYPERLINK("https://www.773grp.com/manufacturer/onsemi?pageNo=660", "Onsemi")</f>
        <v>Onsemi</v>
      </c>
      <c r="C12793" s="6">
        <v>20094</v>
      </c>
      <c r="D12793" s="7">
        <v>1.91</v>
      </c>
      <c r="E12793" t="s">
        <v>5</v>
      </c>
    </row>
    <row r="12794" spans="1:5" x14ac:dyDescent="0.25">
      <c r="A12794" t="str">
        <f>HYPERLINK("https://www.773grp.com/globalSearch/MC33262PG/page-1", "MC33262PG")</f>
        <v>MC33262PG</v>
      </c>
      <c r="B12794" s="3" t="str">
        <f>HYPERLINK("https://www.773grp.com/manufacturer/onsemi?pageNo=661", "Onsemi")</f>
        <v>Onsemi</v>
      </c>
      <c r="C12794" s="6">
        <v>130412</v>
      </c>
      <c r="D12794" s="7">
        <v>1.91</v>
      </c>
      <c r="E12794" t="s">
        <v>5</v>
      </c>
    </row>
    <row r="12795" spans="1:5" x14ac:dyDescent="0.25">
      <c r="A12795" t="str">
        <f>HYPERLINK("https://www.773grp.com/globalSearch/MC33269D-012/page-1", "MC33269D-012")</f>
        <v>MC33269D-012</v>
      </c>
      <c r="B12795" s="3" t="str">
        <f>HYPERLINK("https://www.773grp.com/manufacturer/onsemi?pageNo=662", "Onsemi")</f>
        <v>Onsemi</v>
      </c>
      <c r="C12795" s="6">
        <v>8835</v>
      </c>
      <c r="D12795" s="7">
        <v>1.91</v>
      </c>
      <c r="E12795" t="s">
        <v>15</v>
      </c>
    </row>
    <row r="12796" spans="1:5" x14ac:dyDescent="0.25">
      <c r="A12796" t="str">
        <f>HYPERLINK("https://www.773grp.com/globalSearch/MC34081BP/page-1", "MC34081BP")</f>
        <v>MC34081BP</v>
      </c>
      <c r="B12796" s="3" t="str">
        <f>HYPERLINK("https://www.773grp.com/manufacturer/onsemi?pageNo=663", "Onsemi")</f>
        <v>Onsemi</v>
      </c>
      <c r="C12796" s="6">
        <v>7738</v>
      </c>
      <c r="D12796" s="7">
        <v>1.91</v>
      </c>
      <c r="E12796" t="s">
        <v>10</v>
      </c>
    </row>
    <row r="12797" spans="1:5" x14ac:dyDescent="0.25">
      <c r="A12797" t="str">
        <f>HYPERLINK("https://www.773grp.com/globalSearch/MC34160DW/page-1", "MC34160DW")</f>
        <v>MC34160DW</v>
      </c>
      <c r="B12797" s="3" t="str">
        <f>HYPERLINK("https://www.773grp.com/manufacturer/onsemi?pageNo=664", "Onsemi")</f>
        <v>Onsemi</v>
      </c>
      <c r="C12797" s="6">
        <v>3760</v>
      </c>
      <c r="D12797" s="7">
        <v>1.91</v>
      </c>
      <c r="E12797" t="s">
        <v>24</v>
      </c>
    </row>
    <row r="12798" spans="1:5" x14ac:dyDescent="0.25">
      <c r="A12798" t="str">
        <f>HYPERLINK("https://www.773grp.com/globalSearch/MC34160DWR2/page-1", "MC34160DWR2")</f>
        <v>MC34160DWR2</v>
      </c>
      <c r="B12798" s="3" t="str">
        <f>HYPERLINK("https://www.773grp.com/manufacturer/onsemi?pageNo=665", "Onsemi")</f>
        <v>Onsemi</v>
      </c>
      <c r="C12798" s="6">
        <v>1514</v>
      </c>
      <c r="D12798" s="7">
        <v>1.91</v>
      </c>
      <c r="E12798" t="s">
        <v>24</v>
      </c>
    </row>
    <row r="12799" spans="1:5" x14ac:dyDescent="0.25">
      <c r="A12799" t="str">
        <f>HYPERLINK("https://www.773grp.com/globalSearch/MC34160P/page-1", "MC34160P")</f>
        <v>MC34160P</v>
      </c>
      <c r="B12799" s="3" t="str">
        <f>HYPERLINK("https://www.773grp.com/manufacturer/onsemi?pageNo=666", "Onsemi")</f>
        <v>Onsemi</v>
      </c>
      <c r="C12799" s="6">
        <v>576</v>
      </c>
      <c r="D12799" s="7">
        <v>1.91</v>
      </c>
      <c r="E12799" t="s">
        <v>24</v>
      </c>
    </row>
    <row r="12800" spans="1:5" x14ac:dyDescent="0.25">
      <c r="A12800" t="str">
        <f>HYPERLINK("https://www.773grp.com/globalSearch/MC34164SN-5T1/page-1", "MC34164SN-5T1")</f>
        <v>MC34164SN-5T1</v>
      </c>
      <c r="B12800" s="3" t="str">
        <f>HYPERLINK("https://www.773grp.com/manufacturer/onsemi?pageNo=667", "Onsemi")</f>
        <v>Onsemi</v>
      </c>
      <c r="C12800" s="6">
        <v>2960</v>
      </c>
      <c r="D12800" s="7">
        <v>1.91</v>
      </c>
      <c r="E12800" t="s">
        <v>26</v>
      </c>
    </row>
    <row r="12801" spans="1:5" x14ac:dyDescent="0.25">
      <c r="A12801" t="str">
        <f>HYPERLINK("https://www.773grp.com/globalSearch/MC74AC132MELG/page-1", "MC74AC132MELG")</f>
        <v>MC74AC132MELG</v>
      </c>
      <c r="B12801" s="3" t="str">
        <f>HYPERLINK("https://www.773grp.com/manufacturer/onsemi?pageNo=668", "Onsemi")</f>
        <v>Onsemi</v>
      </c>
      <c r="C12801" s="6">
        <v>23872</v>
      </c>
      <c r="D12801" s="7">
        <v>1.91</v>
      </c>
      <c r="E12801" t="s">
        <v>27</v>
      </c>
    </row>
    <row r="12802" spans="1:5" x14ac:dyDescent="0.25">
      <c r="A12802" t="str">
        <f>HYPERLINK("https://www.773grp.com/globalSearch/MC74AC132NG/page-1", "MC74AC132NG")</f>
        <v>MC74AC132NG</v>
      </c>
      <c r="B12802" s="3" t="str">
        <f>HYPERLINK("https://www.773grp.com/manufacturer/onsemi?pageNo=669", "Onsemi")</f>
        <v>Onsemi</v>
      </c>
      <c r="C12802" s="6">
        <v>2594</v>
      </c>
      <c r="D12802" s="7">
        <v>1.91</v>
      </c>
      <c r="E12802" t="s">
        <v>27</v>
      </c>
    </row>
    <row r="12803" spans="1:5" x14ac:dyDescent="0.25">
      <c r="A12803" t="str">
        <f>HYPERLINK("https://www.773grp.com/globalSearch/MC74AC534N/page-1", "MC74AC534N")</f>
        <v>MC74AC534N</v>
      </c>
      <c r="B12803" s="3" t="str">
        <f>HYPERLINK("https://www.773grp.com/manufacturer/onsemi?pageNo=670", "Onsemi")</f>
        <v>Onsemi</v>
      </c>
      <c r="C12803" s="6">
        <v>1904</v>
      </c>
      <c r="D12803" s="7">
        <v>1.91</v>
      </c>
      <c r="E12803" t="s">
        <v>11</v>
      </c>
    </row>
    <row r="12804" spans="1:5" x14ac:dyDescent="0.25">
      <c r="A12804" t="str">
        <f>HYPERLINK("https://www.773grp.com/globalSearch/MC74AC563N/page-1", "MC74AC563N")</f>
        <v>MC74AC563N</v>
      </c>
      <c r="B12804" s="3" t="str">
        <f>HYPERLINK("https://www.773grp.com/manufacturer/onsemi?pageNo=671", "Onsemi")</f>
        <v>Onsemi</v>
      </c>
      <c r="C12804" s="6">
        <v>830</v>
      </c>
      <c r="D12804" s="7">
        <v>1.91</v>
      </c>
      <c r="E12804" t="s">
        <v>11</v>
      </c>
    </row>
    <row r="12805" spans="1:5" x14ac:dyDescent="0.25">
      <c r="A12805" t="str">
        <f>HYPERLINK("https://www.773grp.com/globalSearch/MC74ACT132NG/page-1", "MC74ACT132NG")</f>
        <v>MC74ACT132NG</v>
      </c>
      <c r="B12805" s="3" t="str">
        <f>HYPERLINK("https://www.773grp.com/manufacturer/onsemi?pageNo=672", "Onsemi")</f>
        <v>Onsemi</v>
      </c>
      <c r="C12805" s="6">
        <v>17341</v>
      </c>
      <c r="D12805" s="7">
        <v>1.91</v>
      </c>
      <c r="E12805" t="s">
        <v>27</v>
      </c>
    </row>
    <row r="12806" spans="1:5" x14ac:dyDescent="0.25">
      <c r="A12806" t="str">
        <f>HYPERLINK("https://www.773grp.com/globalSearch/MC74ACT533N/page-1", "MC74ACT533N")</f>
        <v>MC74ACT533N</v>
      </c>
      <c r="B12806" s="3" t="str">
        <f>HYPERLINK("https://www.773grp.com/manufacturer/onsemi?pageNo=673", "Onsemi")</f>
        <v>Onsemi</v>
      </c>
      <c r="C12806" s="6">
        <v>1500</v>
      </c>
      <c r="D12806" s="7">
        <v>1.91</v>
      </c>
      <c r="E12806" t="s">
        <v>11</v>
      </c>
    </row>
    <row r="12807" spans="1:5" x14ac:dyDescent="0.25">
      <c r="A12807" t="str">
        <f>HYPERLINK("https://www.773grp.com/globalSearch/MC74F399D/page-1", "MC74F399D")</f>
        <v>MC74F399D</v>
      </c>
      <c r="B12807" s="3" t="str">
        <f>HYPERLINK("https://www.773grp.com/manufacturer/onsemi?pageNo=674", "Onsemi")</f>
        <v>Onsemi</v>
      </c>
      <c r="C12807" s="6">
        <v>2252</v>
      </c>
      <c r="D12807" s="7">
        <v>1.91</v>
      </c>
      <c r="E12807" t="s">
        <v>31</v>
      </c>
    </row>
    <row r="12808" spans="1:5" x14ac:dyDescent="0.25">
      <c r="A12808" t="str">
        <f>HYPERLINK("https://www.773grp.com/globalSearch/MC74F399DR2/page-1", "MC74F399DR2")</f>
        <v>MC74F399DR2</v>
      </c>
      <c r="B12808" s="3" t="str">
        <f>HYPERLINK("https://www.773grp.com/manufacturer/onsemi?pageNo=675", "Onsemi")</f>
        <v>Onsemi</v>
      </c>
      <c r="C12808" s="6">
        <v>7500</v>
      </c>
      <c r="D12808" s="7">
        <v>1.91</v>
      </c>
      <c r="E12808" t="s">
        <v>31</v>
      </c>
    </row>
    <row r="12809" spans="1:5" x14ac:dyDescent="0.25">
      <c r="A12809" t="str">
        <f>HYPERLINK("https://www.773grp.com/globalSearch/MC74HC240AN/page-1", "MC74HC240AN")</f>
        <v>MC74HC240AN</v>
      </c>
      <c r="B12809" s="3" t="str">
        <f>HYPERLINK("https://www.773grp.com/manufacturer/onsemi?pageNo=676", "Onsemi")</f>
        <v>Onsemi</v>
      </c>
      <c r="C12809" s="6">
        <v>29511</v>
      </c>
      <c r="D12809" s="7">
        <v>1.91</v>
      </c>
      <c r="E12809" t="s">
        <v>11</v>
      </c>
    </row>
    <row r="12810" spans="1:5" x14ac:dyDescent="0.25">
      <c r="A12810" t="str">
        <f>HYPERLINK("https://www.773grp.com/globalSearch/MC74HC240ANG/page-1", "MC74HC240ANG")</f>
        <v>MC74HC240ANG</v>
      </c>
      <c r="B12810" s="3" t="str">
        <f>HYPERLINK("https://www.773grp.com/manufacturer/onsemi?pageNo=677", "Onsemi")</f>
        <v>Onsemi</v>
      </c>
      <c r="C12810" s="6">
        <v>10982</v>
      </c>
      <c r="D12810" s="7">
        <v>1.91</v>
      </c>
      <c r="E12810" t="s">
        <v>11</v>
      </c>
    </row>
    <row r="12811" spans="1:5" x14ac:dyDescent="0.25">
      <c r="A12811" t="str">
        <f>HYPERLINK("https://www.773grp.com/globalSearch/MC74HC244AN/page-1", "MC74HC244AN")</f>
        <v>MC74HC244AN</v>
      </c>
      <c r="B12811" s="3" t="str">
        <f>HYPERLINK("https://www.773grp.com/manufacturer/onsemi?pageNo=678", "Onsemi")</f>
        <v>Onsemi</v>
      </c>
      <c r="C12811" s="6">
        <v>23204</v>
      </c>
      <c r="D12811" s="7">
        <v>1.91</v>
      </c>
      <c r="E12811" t="s">
        <v>11</v>
      </c>
    </row>
    <row r="12812" spans="1:5" x14ac:dyDescent="0.25">
      <c r="A12812" t="str">
        <f>HYPERLINK("https://www.773grp.com/globalSearch/MC74HC244ANG/page-1", "MC74HC244ANG")</f>
        <v>MC74HC244ANG</v>
      </c>
      <c r="B12812" s="3" t="str">
        <f>HYPERLINK("https://www.773grp.com/manufacturer/onsemi?pageNo=679", "Onsemi")</f>
        <v>Onsemi</v>
      </c>
      <c r="C12812" s="6">
        <v>73</v>
      </c>
      <c r="D12812" s="7">
        <v>1.91</v>
      </c>
      <c r="E12812" t="s">
        <v>11</v>
      </c>
    </row>
    <row r="12813" spans="1:5" x14ac:dyDescent="0.25">
      <c r="A12813" t="str">
        <f>HYPERLINK("https://www.773grp.com/globalSearch/MC74HC245ANG/page-1", "MC74HC245ANG")</f>
        <v>MC74HC245ANG</v>
      </c>
      <c r="B12813" s="3" t="str">
        <f>HYPERLINK("https://www.773grp.com/manufacturer/onsemi?pageNo=680", "Onsemi")</f>
        <v>Onsemi</v>
      </c>
      <c r="C12813" s="6">
        <v>2068</v>
      </c>
      <c r="D12813" s="7">
        <v>1.91</v>
      </c>
      <c r="E12813" t="s">
        <v>11</v>
      </c>
    </row>
    <row r="12814" spans="1:5" x14ac:dyDescent="0.25">
      <c r="A12814" t="str">
        <f>HYPERLINK("https://www.773grp.com/globalSearch/MC74HC273ANG/page-1", "MC74HC273ANG")</f>
        <v>MC74HC273ANG</v>
      </c>
      <c r="B12814" s="3" t="str">
        <f>HYPERLINK("https://www.773grp.com/manufacturer/onsemi?pageNo=681", "Onsemi")</f>
        <v>Onsemi</v>
      </c>
      <c r="C12814" s="6">
        <v>11489</v>
      </c>
      <c r="D12814" s="7">
        <v>1.91</v>
      </c>
      <c r="E12814" t="s">
        <v>31</v>
      </c>
    </row>
    <row r="12815" spans="1:5" x14ac:dyDescent="0.25">
      <c r="A12815" t="str">
        <f>HYPERLINK("https://www.773grp.com/globalSearch/MC74HC373ANG/page-1", "MC74HC373ANG")</f>
        <v>MC74HC373ANG</v>
      </c>
      <c r="B12815" s="3" t="str">
        <f>HYPERLINK("https://www.773grp.com/manufacturer/onsemi?pageNo=682", "Onsemi")</f>
        <v>Onsemi</v>
      </c>
      <c r="C12815" s="6">
        <v>234</v>
      </c>
      <c r="D12815" s="7">
        <v>1.91</v>
      </c>
      <c r="E12815" t="s">
        <v>11</v>
      </c>
    </row>
    <row r="12816" spans="1:5" x14ac:dyDescent="0.25">
      <c r="A12816" t="str">
        <f>HYPERLINK("https://www.773grp.com/globalSearch/MC74HC374ANG/page-1", "MC74HC374ANG")</f>
        <v>MC74HC374ANG</v>
      </c>
      <c r="B12816" s="3" t="str">
        <f>HYPERLINK("https://www.773grp.com/manufacturer/onsemi?pageNo=683", "Onsemi")</f>
        <v>Onsemi</v>
      </c>
      <c r="C12816" s="6">
        <v>8601</v>
      </c>
      <c r="D12816" s="7">
        <v>1.91</v>
      </c>
      <c r="E12816" t="s">
        <v>11</v>
      </c>
    </row>
    <row r="12817" spans="1:5" x14ac:dyDescent="0.25">
      <c r="A12817" t="str">
        <f>HYPERLINK("https://www.773grp.com/globalSearch/MC74HC4020ADG/page-1", "MC74HC4020ADG")</f>
        <v>MC74HC4020ADG</v>
      </c>
      <c r="B12817" s="3" t="str">
        <f>HYPERLINK("https://www.773grp.com/manufacturer/onsemi?pageNo=684", "Onsemi")</f>
        <v>Onsemi</v>
      </c>
      <c r="C12817" s="6">
        <v>10425</v>
      </c>
      <c r="D12817" s="7">
        <v>1.91</v>
      </c>
      <c r="E12817" t="s">
        <v>22</v>
      </c>
    </row>
    <row r="12818" spans="1:5" x14ac:dyDescent="0.25">
      <c r="A12818" t="str">
        <f>HYPERLINK("https://www.773grp.com/globalSearch/MC74HC4020ADR2G/page-1", "MC74HC4020ADR2G")</f>
        <v>MC74HC4020ADR2G</v>
      </c>
      <c r="B12818" s="3" t="str">
        <f>HYPERLINK("https://www.773grp.com/manufacturer/onsemi?pageNo=685", "Onsemi")</f>
        <v>Onsemi</v>
      </c>
      <c r="C12818" s="6">
        <v>10569</v>
      </c>
      <c r="D12818" s="7">
        <v>1.91</v>
      </c>
      <c r="E12818" t="s">
        <v>22</v>
      </c>
    </row>
    <row r="12819" spans="1:5" x14ac:dyDescent="0.25">
      <c r="A12819" t="str">
        <f>HYPERLINK("https://www.773grp.com/globalSearch/MC74HC4020ADTR2G/page-1", "MC74HC4020ADTR2G")</f>
        <v>MC74HC4020ADTR2G</v>
      </c>
      <c r="B12819" s="3" t="str">
        <f>HYPERLINK("https://www.773grp.com/manufacturer/onsemi?pageNo=686", "Onsemi")</f>
        <v>Onsemi</v>
      </c>
      <c r="C12819" s="6">
        <v>35321</v>
      </c>
      <c r="D12819" s="7">
        <v>1.91</v>
      </c>
      <c r="E12819" t="s">
        <v>22</v>
      </c>
    </row>
    <row r="12820" spans="1:5" x14ac:dyDescent="0.25">
      <c r="A12820" t="str">
        <f>HYPERLINK("https://www.773grp.com/globalSearch/MC74HC540ANG/page-1", "MC74HC540ANG")</f>
        <v>MC74HC540ANG</v>
      </c>
      <c r="B12820" s="3" t="str">
        <f>HYPERLINK("https://www.773grp.com/manufacturer/onsemi?pageNo=687", "Onsemi")</f>
        <v>Onsemi</v>
      </c>
      <c r="C12820" s="6">
        <v>3490</v>
      </c>
      <c r="D12820" s="7">
        <v>1.91</v>
      </c>
      <c r="E12820" t="s">
        <v>11</v>
      </c>
    </row>
    <row r="12821" spans="1:5" x14ac:dyDescent="0.25">
      <c r="A12821" t="str">
        <f>HYPERLINK("https://www.773grp.com/globalSearch/MC74HC541ANG/page-1", "MC74HC541ANG")</f>
        <v>MC74HC541ANG</v>
      </c>
      <c r="B12821" s="3" t="str">
        <f>HYPERLINK("https://www.773grp.com/manufacturer/onsemi?pageNo=688", "Onsemi")</f>
        <v>Onsemi</v>
      </c>
      <c r="C12821" s="6">
        <v>10704</v>
      </c>
      <c r="D12821" s="7">
        <v>1.91</v>
      </c>
      <c r="E12821" t="s">
        <v>11</v>
      </c>
    </row>
    <row r="12822" spans="1:5" x14ac:dyDescent="0.25">
      <c r="A12822" t="str">
        <f>HYPERLINK("https://www.773grp.com/globalSearch/MC74HC573ANG/page-1", "MC74HC573ANG")</f>
        <v>MC74HC573ANG</v>
      </c>
      <c r="B12822" s="3" t="str">
        <f>HYPERLINK("https://www.773grp.com/manufacturer/onsemi?pageNo=689", "Onsemi")</f>
        <v>Onsemi</v>
      </c>
      <c r="C12822" s="6">
        <v>1315</v>
      </c>
      <c r="D12822" s="7">
        <v>1.91</v>
      </c>
      <c r="E12822" t="s">
        <v>11</v>
      </c>
    </row>
    <row r="12823" spans="1:5" x14ac:dyDescent="0.25">
      <c r="A12823" t="str">
        <f>HYPERLINK("https://www.773grp.com/globalSearch/MC74HC574ANG/page-1", "MC74HC574ANG")</f>
        <v>MC74HC574ANG</v>
      </c>
      <c r="B12823" s="3" t="str">
        <f>HYPERLINK("https://www.773grp.com/manufacturer/onsemi?pageNo=690", "Onsemi")</f>
        <v>Onsemi</v>
      </c>
      <c r="C12823" s="6">
        <v>26231</v>
      </c>
      <c r="D12823" s="7">
        <v>1.91</v>
      </c>
      <c r="E12823" t="s">
        <v>11</v>
      </c>
    </row>
    <row r="12824" spans="1:5" x14ac:dyDescent="0.25">
      <c r="A12824" t="str">
        <f>HYPERLINK("https://www.773grp.com/globalSearch/MC74HC640ADT/page-1", "MC74HC640ADT")</f>
        <v>MC74HC640ADT</v>
      </c>
      <c r="B12824" s="3" t="str">
        <f>HYPERLINK("https://www.773grp.com/manufacturer/onsemi?pageNo=691", "Onsemi")</f>
        <v>Onsemi</v>
      </c>
      <c r="C12824" s="6">
        <v>3525</v>
      </c>
      <c r="D12824" s="7">
        <v>1.91</v>
      </c>
    </row>
    <row r="12825" spans="1:5" x14ac:dyDescent="0.25">
      <c r="A12825" t="str">
        <f>HYPERLINK("https://www.773grp.com/globalSearch/MC74HCT244ANG/page-1", "MC74HCT244ANG")</f>
        <v>MC74HCT244ANG</v>
      </c>
      <c r="B12825" s="3" t="str">
        <f>HYPERLINK("https://www.773grp.com/manufacturer/onsemi?pageNo=692", "Onsemi")</f>
        <v>Onsemi</v>
      </c>
      <c r="C12825" s="6">
        <v>3708</v>
      </c>
      <c r="D12825" s="7">
        <v>1.91</v>
      </c>
      <c r="E12825" t="s">
        <v>11</v>
      </c>
    </row>
    <row r="12826" spans="1:5" x14ac:dyDescent="0.25">
      <c r="A12826" t="str">
        <f>HYPERLINK("https://www.773grp.com/globalSearch/MC74HCT245ANG/page-1", "MC74HCT245ANG")</f>
        <v>MC74HCT245ANG</v>
      </c>
      <c r="B12826" s="3" t="str">
        <f>HYPERLINK("https://www.773grp.com/manufacturer/onsemi?pageNo=693", "Onsemi")</f>
        <v>Onsemi</v>
      </c>
      <c r="C12826" s="6">
        <v>12372</v>
      </c>
      <c r="D12826" s="7">
        <v>1.91</v>
      </c>
      <c r="E12826" t="s">
        <v>11</v>
      </c>
    </row>
    <row r="12827" spans="1:5" x14ac:dyDescent="0.25">
      <c r="A12827" t="str">
        <f>HYPERLINK("https://www.773grp.com/globalSearch/MC74HCT273ANG/page-1", "MC74HCT273ANG")</f>
        <v>MC74HCT273ANG</v>
      </c>
      <c r="B12827" s="3" t="str">
        <f>HYPERLINK("https://www.773grp.com/manufacturer/onsemi?pageNo=694", "Onsemi")</f>
        <v>Onsemi</v>
      </c>
      <c r="C12827" s="6">
        <v>13218</v>
      </c>
      <c r="D12827" s="7">
        <v>1.91</v>
      </c>
      <c r="E12827" t="s">
        <v>31</v>
      </c>
    </row>
    <row r="12828" spans="1:5" x14ac:dyDescent="0.25">
      <c r="A12828" t="str">
        <f>HYPERLINK("https://www.773grp.com/globalSearch/MC74HCT374ANG/page-1", "MC74HCT374ANG")</f>
        <v>MC74HCT374ANG</v>
      </c>
      <c r="B12828" s="3" t="str">
        <f>HYPERLINK("https://www.773grp.com/manufacturer/onsemi?pageNo=695", "Onsemi")</f>
        <v>Onsemi</v>
      </c>
      <c r="C12828" s="6">
        <v>2858</v>
      </c>
      <c r="D12828" s="7">
        <v>1.91</v>
      </c>
      <c r="E12828" t="s">
        <v>11</v>
      </c>
    </row>
    <row r="12829" spans="1:5" x14ac:dyDescent="0.25">
      <c r="A12829" t="str">
        <f>HYPERLINK("https://www.773grp.com/globalSearch/MC74HCT541ANG/page-1", "MC74HCT541ANG")</f>
        <v>MC74HCT541ANG</v>
      </c>
      <c r="B12829" s="3" t="str">
        <f>HYPERLINK("https://www.773grp.com/manufacturer/onsemi?pageNo=696", "Onsemi")</f>
        <v>Onsemi</v>
      </c>
      <c r="C12829" s="6">
        <v>22318</v>
      </c>
      <c r="D12829" s="7">
        <v>1.91</v>
      </c>
      <c r="E12829" t="s">
        <v>11</v>
      </c>
    </row>
    <row r="12830" spans="1:5" x14ac:dyDescent="0.25">
      <c r="A12830" t="str">
        <f>HYPERLINK("https://www.773grp.com/globalSearch/MC74HCT573ANG/page-1", "MC74HCT573ANG")</f>
        <v>MC74HCT573ANG</v>
      </c>
      <c r="B12830" s="3" t="str">
        <f>HYPERLINK("https://www.773grp.com/manufacturer/onsemi?pageNo=697", "Onsemi")</f>
        <v>Onsemi</v>
      </c>
      <c r="C12830" s="6">
        <v>23605</v>
      </c>
      <c r="D12830" s="7">
        <v>1.91</v>
      </c>
    </row>
    <row r="12831" spans="1:5" x14ac:dyDescent="0.25">
      <c r="A12831" t="str">
        <f>HYPERLINK("https://www.773grp.com/globalSearch/MC74HCT574ANG/page-1", "MC74HCT574ANG")</f>
        <v>MC74HCT574ANG</v>
      </c>
      <c r="B12831" s="3" t="str">
        <f>HYPERLINK("https://www.773grp.com/manufacturer/onsemi?pageNo=698", "Onsemi")</f>
        <v>Onsemi</v>
      </c>
      <c r="C12831" s="6">
        <v>29711</v>
      </c>
      <c r="D12831" s="7">
        <v>1.91</v>
      </c>
      <c r="E12831" t="s">
        <v>11</v>
      </c>
    </row>
    <row r="12832" spans="1:5" x14ac:dyDescent="0.25">
      <c r="A12832" t="str">
        <f>HYPERLINK("https://www.773grp.com/globalSearch/MC7805ABD2TG/page-1", "MC7805ABD2TG")</f>
        <v>MC7805ABD2TG</v>
      </c>
      <c r="B12832" s="3" t="str">
        <f>HYPERLINK("https://www.773grp.com/manufacturer/onsemi?pageNo=699", "Onsemi")</f>
        <v>Onsemi</v>
      </c>
      <c r="C12832" s="6">
        <v>3315</v>
      </c>
      <c r="D12832" s="7">
        <v>1.91</v>
      </c>
    </row>
    <row r="12833" spans="1:5" x14ac:dyDescent="0.25">
      <c r="A12833" t="str">
        <f>HYPERLINK("https://www.773grp.com/globalSearch/MC7805CDTG/page-1", "MC7805CDTG")</f>
        <v>MC7805CDTG</v>
      </c>
      <c r="B12833" s="3" t="str">
        <f>HYPERLINK("https://www.773grp.com/manufacturer/onsemi?pageNo=700", "Onsemi")</f>
        <v>Onsemi</v>
      </c>
      <c r="C12833" s="6">
        <v>2475</v>
      </c>
      <c r="D12833" s="7">
        <v>1.91</v>
      </c>
    </row>
    <row r="12834" spans="1:5" x14ac:dyDescent="0.25">
      <c r="A12834" t="str">
        <f>HYPERLINK("https://www.773grp.com/globalSearch/MC7805CDTRKG/page-1", "MC7805CDTRKG")</f>
        <v>MC7805CDTRKG</v>
      </c>
      <c r="B12834" s="3" t="str">
        <f>HYPERLINK("https://www.773grp.com/manufacturer/onsemi?pageNo=701", "Onsemi")</f>
        <v>Onsemi</v>
      </c>
      <c r="C12834" s="6">
        <v>80928</v>
      </c>
      <c r="D12834" s="7">
        <v>1.91</v>
      </c>
      <c r="E12834" t="s">
        <v>24</v>
      </c>
    </row>
    <row r="12835" spans="1:5" x14ac:dyDescent="0.25">
      <c r="A12835" t="str">
        <f>HYPERLINK("https://www.773grp.com/globalSearch/MC7808ABD2TG/page-1", "MC7808ABD2TG")</f>
        <v>MC7808ABD2TG</v>
      </c>
      <c r="B12835" s="3" t="str">
        <f>HYPERLINK("https://www.773grp.com/manufacturer/onsemi?pageNo=702", "Onsemi")</f>
        <v>Onsemi</v>
      </c>
      <c r="C12835" s="6">
        <v>17954</v>
      </c>
      <c r="D12835" s="7">
        <v>1.91</v>
      </c>
      <c r="E12835" t="s">
        <v>24</v>
      </c>
    </row>
    <row r="12836" spans="1:5" x14ac:dyDescent="0.25">
      <c r="A12836" t="str">
        <f>HYPERLINK("https://www.773grp.com/globalSearch/MC7808CDTG/page-1", "MC7808CDTG")</f>
        <v>MC7808CDTG</v>
      </c>
      <c r="B12836" s="3" t="str">
        <f>HYPERLINK("https://www.773grp.com/manufacturer/onsemi?pageNo=703", "Onsemi")</f>
        <v>Onsemi</v>
      </c>
      <c r="C12836" s="6">
        <v>3240</v>
      </c>
      <c r="D12836" s="7">
        <v>1.91</v>
      </c>
      <c r="E12836" t="s">
        <v>24</v>
      </c>
    </row>
    <row r="12837" spans="1:5" x14ac:dyDescent="0.25">
      <c r="A12837" t="str">
        <f>HYPERLINK("https://www.773grp.com/globalSearch/MC7808CDTRKG/page-1", "MC7808CDTRKG")</f>
        <v>MC7808CDTRKG</v>
      </c>
      <c r="B12837" s="3" t="str">
        <f>HYPERLINK("https://www.773grp.com/manufacturer/onsemi?pageNo=704", "Onsemi")</f>
        <v>Onsemi</v>
      </c>
      <c r="C12837" s="6">
        <v>17500</v>
      </c>
      <c r="D12837" s="7">
        <v>1.91</v>
      </c>
      <c r="E12837" t="s">
        <v>24</v>
      </c>
    </row>
    <row r="12838" spans="1:5" x14ac:dyDescent="0.25">
      <c r="A12838" t="str">
        <f>HYPERLINK("https://www.773grp.com/globalSearch/MC7808CDTT5G/page-1", "MC7808CDTT5G")</f>
        <v>MC7808CDTT5G</v>
      </c>
      <c r="B12838" s="3" t="str">
        <f>HYPERLINK("https://www.773grp.com/manufacturer/onsemi?pageNo=705", "Onsemi")</f>
        <v>Onsemi</v>
      </c>
      <c r="C12838" s="6">
        <v>925000</v>
      </c>
      <c r="D12838" s="7">
        <v>1.91</v>
      </c>
      <c r="E12838" t="s">
        <v>24</v>
      </c>
    </row>
    <row r="12839" spans="1:5" x14ac:dyDescent="0.25">
      <c r="A12839" t="str">
        <f>HYPERLINK("https://www.773grp.com/globalSearch/MC7812ABD2TG/page-1", "MC7812ABD2TG")</f>
        <v>MC7812ABD2TG</v>
      </c>
      <c r="B12839" s="3" t="str">
        <f>HYPERLINK("https://www.773grp.com/manufacturer/onsemi?pageNo=706", "Onsemi")</f>
        <v>Onsemi</v>
      </c>
      <c r="C12839" s="6">
        <v>32904</v>
      </c>
      <c r="D12839" s="7">
        <v>1.91</v>
      </c>
      <c r="E12839" t="s">
        <v>24</v>
      </c>
    </row>
    <row r="12840" spans="1:5" x14ac:dyDescent="0.25">
      <c r="A12840" t="str">
        <f>HYPERLINK("https://www.773grp.com/globalSearch/MC7812ABD2TR4/page-1", "MC7812ABD2TR4")</f>
        <v>MC7812ABD2TR4</v>
      </c>
      <c r="B12840" s="3" t="str">
        <f>HYPERLINK("https://www.773grp.com/manufacturer/onsemi?pageNo=707", "Onsemi")</f>
        <v>Onsemi</v>
      </c>
      <c r="C12840" s="6">
        <v>800</v>
      </c>
      <c r="D12840" s="7">
        <v>1.91</v>
      </c>
      <c r="E12840" t="s">
        <v>24</v>
      </c>
    </row>
    <row r="12841" spans="1:5" x14ac:dyDescent="0.25">
      <c r="A12841" t="str">
        <f>HYPERLINK("https://www.773grp.com/globalSearch/MC7812CDTG/page-1", "MC7812CDTG")</f>
        <v>MC7812CDTG</v>
      </c>
      <c r="B12841" s="3" t="str">
        <f>HYPERLINK("https://www.773grp.com/manufacturer/onsemi?pageNo=708", "Onsemi")</f>
        <v>Onsemi</v>
      </c>
      <c r="C12841" s="6">
        <v>7224</v>
      </c>
      <c r="D12841" s="7">
        <v>1.91</v>
      </c>
      <c r="E12841" t="s">
        <v>24</v>
      </c>
    </row>
    <row r="12842" spans="1:5" x14ac:dyDescent="0.25">
      <c r="A12842" t="str">
        <f>HYPERLINK("https://www.773grp.com/globalSearch/MC7815ABD2TG/page-1", "MC7815ABD2TG")</f>
        <v>MC7815ABD2TG</v>
      </c>
      <c r="B12842" s="3" t="str">
        <f>HYPERLINK("https://www.773grp.com/manufacturer/onsemi?pageNo=709", "Onsemi")</f>
        <v>Onsemi</v>
      </c>
      <c r="C12842" s="6">
        <v>6250</v>
      </c>
      <c r="D12842" s="7">
        <v>1.91</v>
      </c>
      <c r="E12842" t="s">
        <v>24</v>
      </c>
    </row>
    <row r="12843" spans="1:5" x14ac:dyDescent="0.25">
      <c r="A12843" t="str">
        <f>HYPERLINK("https://www.773grp.com/globalSearch/MC7815ABD2TR4G/page-1", "MC7815ABD2TR4G")</f>
        <v>MC7815ABD2TR4G</v>
      </c>
      <c r="B12843" s="3" t="str">
        <f>HYPERLINK("https://www.773grp.com/manufacturer/onsemi?pageNo=710", "Onsemi")</f>
        <v>Onsemi</v>
      </c>
      <c r="C12843" s="6">
        <v>70400</v>
      </c>
      <c r="D12843" s="7">
        <v>1.91</v>
      </c>
      <c r="E12843" t="s">
        <v>24</v>
      </c>
    </row>
    <row r="12844" spans="1:5" x14ac:dyDescent="0.25">
      <c r="A12844" t="str">
        <f>HYPERLINK("https://www.773grp.com/globalSearch/MC7815CDTG/page-1", "MC7815CDTG")</f>
        <v>MC7815CDTG</v>
      </c>
      <c r="B12844" s="3" t="str">
        <f>HYPERLINK("https://www.773grp.com/manufacturer/onsemi?pageNo=711", "Onsemi")</f>
        <v>Onsemi</v>
      </c>
      <c r="C12844" s="6">
        <v>407</v>
      </c>
      <c r="D12844" s="7">
        <v>1.91</v>
      </c>
      <c r="E12844" t="s">
        <v>24</v>
      </c>
    </row>
    <row r="12845" spans="1:5" x14ac:dyDescent="0.25">
      <c r="A12845" t="str">
        <f>HYPERLINK("https://www.773grp.com/globalSearch/MCR12DG/page-1", "MCR12DG")</f>
        <v>MCR12DG</v>
      </c>
      <c r="B12845" s="3" t="str">
        <f>HYPERLINK("https://www.773grp.com/manufacturer/onsemi?pageNo=712", "Onsemi")</f>
        <v>Onsemi</v>
      </c>
      <c r="C12845" s="6">
        <v>2450</v>
      </c>
      <c r="D12845" s="7">
        <v>1.91</v>
      </c>
      <c r="E12845" t="s">
        <v>76</v>
      </c>
    </row>
    <row r="12846" spans="1:5" x14ac:dyDescent="0.25">
      <c r="A12846" t="str">
        <f>HYPERLINK("https://www.773grp.com/globalSearch/MCR12MG/page-1", "MCR12MG")</f>
        <v>MCR12MG</v>
      </c>
      <c r="B12846" s="3" t="str">
        <f>HYPERLINK("https://www.773grp.com/manufacturer/onsemi?pageNo=713", "Onsemi")</f>
        <v>Onsemi</v>
      </c>
      <c r="C12846" s="6">
        <v>11329</v>
      </c>
      <c r="D12846" s="7">
        <v>1.91</v>
      </c>
      <c r="E12846" t="s">
        <v>76</v>
      </c>
    </row>
    <row r="12847" spans="1:5" x14ac:dyDescent="0.25">
      <c r="A12847" t="str">
        <f>HYPERLINK("https://www.773grp.com/globalSearch/MCR12NG/page-1", "MCR12NG")</f>
        <v>MCR12NG</v>
      </c>
      <c r="B12847" s="3" t="str">
        <f>HYPERLINK("https://www.773grp.com/manufacturer/onsemi?pageNo=714", "Onsemi")</f>
        <v>Onsemi</v>
      </c>
      <c r="C12847" s="6">
        <v>20292</v>
      </c>
      <c r="D12847" s="7">
        <v>1.91</v>
      </c>
      <c r="E12847" t="s">
        <v>76</v>
      </c>
    </row>
    <row r="12848" spans="1:5" x14ac:dyDescent="0.25">
      <c r="A12848" t="str">
        <f>HYPERLINK("https://www.773grp.com/globalSearch/MCR8NG/page-1", "MCR8NG")</f>
        <v>MCR8NG</v>
      </c>
      <c r="B12848" s="3" t="str">
        <f>HYPERLINK("https://www.773grp.com/manufacturer/onsemi?pageNo=715", "Onsemi")</f>
        <v>Onsemi</v>
      </c>
      <c r="C12848" s="6">
        <v>2147</v>
      </c>
      <c r="D12848" s="7">
        <v>1.91</v>
      </c>
      <c r="E12848" t="s">
        <v>76</v>
      </c>
    </row>
    <row r="12849" spans="1:5" x14ac:dyDescent="0.25">
      <c r="A12849" t="str">
        <f>HYPERLINK("https://www.773grp.com/globalSearch/MCR8SDG/page-1", "MCR8SDG")</f>
        <v>MCR8SDG</v>
      </c>
      <c r="B12849" s="3" t="str">
        <f>HYPERLINK("https://www.773grp.com/manufacturer/onsemi?pageNo=716", "Onsemi")</f>
        <v>Onsemi</v>
      </c>
      <c r="C12849" s="6">
        <v>3000</v>
      </c>
      <c r="D12849" s="7">
        <v>1.91</v>
      </c>
    </row>
    <row r="12850" spans="1:5" x14ac:dyDescent="0.25">
      <c r="A12850" t="str">
        <f>HYPERLINK("https://www.773grp.com/globalSearch/MCR8SMG/page-1", "MCR8SMG")</f>
        <v>MCR8SMG</v>
      </c>
      <c r="B12850" s="3" t="str">
        <f>HYPERLINK("https://www.773grp.com/manufacturer/onsemi?pageNo=717", "Onsemi")</f>
        <v>Onsemi</v>
      </c>
      <c r="C12850" s="6">
        <v>1197</v>
      </c>
      <c r="D12850" s="7">
        <v>1.91</v>
      </c>
      <c r="E12850" t="s">
        <v>76</v>
      </c>
    </row>
    <row r="12851" spans="1:5" x14ac:dyDescent="0.25">
      <c r="A12851" t="str">
        <f>HYPERLINK("https://www.773grp.com/globalSearch/MJE2955TG/page-1", "MJE2955TG")</f>
        <v>MJE2955TG</v>
      </c>
      <c r="B12851" s="3" t="str">
        <f>HYPERLINK("https://www.773grp.com/manufacturer/onsemi?pageNo=718", "Onsemi")</f>
        <v>Onsemi</v>
      </c>
      <c r="C12851" s="6">
        <v>1346</v>
      </c>
      <c r="D12851" s="7">
        <v>1.91</v>
      </c>
      <c r="E12851" t="s">
        <v>47</v>
      </c>
    </row>
    <row r="12852" spans="1:5" x14ac:dyDescent="0.25">
      <c r="A12852" t="str">
        <f>HYPERLINK("https://www.773grp.com/globalSearch/MKP3V120G/page-1", "MKP3V120G")</f>
        <v>MKP3V120G</v>
      </c>
      <c r="B12852" s="3" t="str">
        <f>HYPERLINK("https://www.773grp.com/manufacturer/onsemi?pageNo=719", "Onsemi")</f>
        <v>Onsemi</v>
      </c>
      <c r="C12852" s="6">
        <v>3000</v>
      </c>
      <c r="D12852" s="7">
        <v>1.91</v>
      </c>
      <c r="E12852" t="s">
        <v>90</v>
      </c>
    </row>
    <row r="12853" spans="1:5" x14ac:dyDescent="0.25">
      <c r="A12853" t="str">
        <f>HYPERLINK("https://www.773grp.com/globalSearch/MKP3V120RLG/page-1", "MKP3V120RLG")</f>
        <v>MKP3V120RLG</v>
      </c>
      <c r="B12853" s="3" t="str">
        <f>HYPERLINK("https://www.773grp.com/manufacturer/onsemi?pageNo=720", "Onsemi")</f>
        <v>Onsemi</v>
      </c>
      <c r="C12853" s="6">
        <v>4463</v>
      </c>
      <c r="D12853" s="7">
        <v>1.91</v>
      </c>
      <c r="E12853" t="s">
        <v>90</v>
      </c>
    </row>
    <row r="12854" spans="1:5" x14ac:dyDescent="0.25">
      <c r="A12854" t="str">
        <f>HYPERLINK("https://www.773grp.com/globalSearch/MKP3V240G/page-1", "MKP3V240G")</f>
        <v>MKP3V240G</v>
      </c>
      <c r="B12854" s="3" t="str">
        <f>HYPERLINK("https://www.773grp.com/manufacturer/onsemi?pageNo=721", "Onsemi")</f>
        <v>Onsemi</v>
      </c>
      <c r="C12854" s="6">
        <v>1506</v>
      </c>
      <c r="D12854" s="7">
        <v>1.91</v>
      </c>
      <c r="E12854" t="s">
        <v>90</v>
      </c>
    </row>
    <row r="12855" spans="1:5" x14ac:dyDescent="0.25">
      <c r="A12855" t="str">
        <f>HYPERLINK("https://www.773grp.com/globalSearch/MKP3V240RLG/page-1", "MKP3V240RLG")</f>
        <v>MKP3V240RLG</v>
      </c>
      <c r="B12855" s="3" t="str">
        <f>HYPERLINK("https://www.773grp.com/manufacturer/onsemi?pageNo=722", "Onsemi")</f>
        <v>Onsemi</v>
      </c>
      <c r="C12855" s="6">
        <v>40500</v>
      </c>
      <c r="D12855" s="7">
        <v>1.91</v>
      </c>
      <c r="E12855" t="s">
        <v>90</v>
      </c>
    </row>
    <row r="12856" spans="1:5" x14ac:dyDescent="0.25">
      <c r="A12856" t="str">
        <f>HYPERLINK("https://www.773grp.com/globalSearch/MTD5N25E/page-1", "MTD5N25E")</f>
        <v>MTD5N25E</v>
      </c>
      <c r="B12856" s="3" t="str">
        <f>HYPERLINK("https://www.773grp.com/manufacturer/onsemi?pageNo=723", "Onsemi")</f>
        <v>Onsemi</v>
      </c>
      <c r="C12856" s="6">
        <v>76</v>
      </c>
      <c r="D12856" s="7">
        <v>1.91</v>
      </c>
      <c r="E12856" t="s">
        <v>84</v>
      </c>
    </row>
    <row r="12857" spans="1:5" x14ac:dyDescent="0.25">
      <c r="A12857" t="str">
        <f>HYPERLINK("https://www.773grp.com/globalSearch/MTD5N25E1/page-1", "MTD5N25E1")</f>
        <v>MTD5N25E1</v>
      </c>
      <c r="B12857" s="3" t="str">
        <f>HYPERLINK("https://www.773grp.com/manufacturer/onsemi?pageNo=724", "Onsemi")</f>
        <v>Onsemi</v>
      </c>
      <c r="C12857" s="6">
        <v>3450</v>
      </c>
      <c r="D12857" s="7">
        <v>1.91</v>
      </c>
    </row>
    <row r="12858" spans="1:5" x14ac:dyDescent="0.25">
      <c r="A12858" t="str">
        <f>HYPERLINK("https://www.773grp.com/globalSearch/MTD5N25ET4/page-1", "MTD5N25ET4")</f>
        <v>MTD5N25ET4</v>
      </c>
      <c r="B12858" s="3" t="str">
        <f>HYPERLINK("https://www.773grp.com/manufacturer/onsemi?pageNo=725", "Onsemi")</f>
        <v>Onsemi</v>
      </c>
      <c r="C12858" s="6">
        <v>9960</v>
      </c>
      <c r="D12858" s="7">
        <v>1.91</v>
      </c>
      <c r="E12858" t="s">
        <v>84</v>
      </c>
    </row>
    <row r="12859" spans="1:5" x14ac:dyDescent="0.25">
      <c r="A12859" t="str">
        <f>HYPERLINK("https://www.773grp.com/globalSearch/MTD6N15T4G/page-1", "MTD6N15T4G")</f>
        <v>MTD6N15T4G</v>
      </c>
      <c r="B12859" s="3" t="str">
        <f>HYPERLINK("https://www.773grp.com/manufacturer/onsemi?pageNo=726", "Onsemi")</f>
        <v>Onsemi</v>
      </c>
      <c r="C12859" s="6">
        <v>24650</v>
      </c>
      <c r="D12859" s="7">
        <v>1.91</v>
      </c>
      <c r="E12859" t="s">
        <v>84</v>
      </c>
    </row>
    <row r="12860" spans="1:5" x14ac:dyDescent="0.25">
      <c r="A12860" t="str">
        <f>HYPERLINK("https://www.773grp.com/globalSearch/MUR1610CTR/page-1", "MUR1610CTR")</f>
        <v>MUR1610CTR</v>
      </c>
      <c r="B12860" s="3" t="str">
        <f>HYPERLINK("https://www.773grp.com/manufacturer/onsemi?pageNo=727", "Onsemi")</f>
        <v>Onsemi</v>
      </c>
      <c r="C12860" s="6">
        <v>53350</v>
      </c>
      <c r="D12860" s="7">
        <v>1.91</v>
      </c>
      <c r="E12860" t="s">
        <v>82</v>
      </c>
    </row>
    <row r="12861" spans="1:5" x14ac:dyDescent="0.25">
      <c r="A12861" t="str">
        <f>HYPERLINK("https://www.773grp.com/globalSearch/NCP1072STAT3G/page-1", "NCP1072STAT3G")</f>
        <v>NCP1072STAT3G</v>
      </c>
      <c r="B12861" s="3" t="str">
        <f>HYPERLINK("https://www.773grp.com/manufacturer/onsemi?pageNo=728", "Onsemi")</f>
        <v>Onsemi</v>
      </c>
      <c r="C12861" s="6">
        <v>19980</v>
      </c>
      <c r="D12861" s="7">
        <v>1.91</v>
      </c>
    </row>
    <row r="12862" spans="1:5" x14ac:dyDescent="0.25">
      <c r="A12862" t="str">
        <f>HYPERLINK("https://www.773grp.com/globalSearch/NCP1075STAT3G/page-1", "NCP1075STAT3G")</f>
        <v>NCP1075STAT3G</v>
      </c>
      <c r="B12862" s="3" t="str">
        <f>HYPERLINK("https://www.773grp.com/manufacturer/onsemi?pageNo=729", "Onsemi")</f>
        <v>Onsemi</v>
      </c>
      <c r="C12862" s="6">
        <v>11990</v>
      </c>
      <c r="D12862" s="7">
        <v>1.91</v>
      </c>
    </row>
    <row r="12863" spans="1:5" x14ac:dyDescent="0.25">
      <c r="A12863" t="str">
        <f>HYPERLINK("https://www.773grp.com/globalSearch/NCP1075STBT3G/page-1", "NCP1075STBT3G")</f>
        <v>NCP1075STBT3G</v>
      </c>
      <c r="B12863" s="3" t="str">
        <f>HYPERLINK("https://www.773grp.com/manufacturer/onsemi?pageNo=730", "Onsemi")</f>
        <v>Onsemi</v>
      </c>
      <c r="C12863" s="6">
        <v>3000</v>
      </c>
      <c r="D12863" s="7">
        <v>1.91</v>
      </c>
    </row>
    <row r="12864" spans="1:5" x14ac:dyDescent="0.25">
      <c r="A12864" t="str">
        <f>HYPERLINK("https://www.773grp.com/globalSearch/NCP1230D133R2/page-1", "NCP1230D133R2")</f>
        <v>NCP1230D133R2</v>
      </c>
      <c r="B12864" s="3" t="str">
        <f>HYPERLINK("https://www.773grp.com/manufacturer/onsemi?pageNo=731", "Onsemi")</f>
        <v>Onsemi</v>
      </c>
      <c r="C12864" s="6">
        <v>5000</v>
      </c>
      <c r="D12864" s="7">
        <v>1.91</v>
      </c>
      <c r="E12864" t="s">
        <v>5</v>
      </c>
    </row>
    <row r="12865" spans="1:5" x14ac:dyDescent="0.25">
      <c r="A12865" t="str">
        <f>HYPERLINK("https://www.773grp.com/globalSearch/NCP1351APG/page-1", "NCP1351APG")</f>
        <v>NCP1351APG</v>
      </c>
      <c r="B12865" s="3" t="str">
        <f>HYPERLINK("https://www.773grp.com/manufacturer/onsemi?pageNo=732", "Onsemi")</f>
        <v>Onsemi</v>
      </c>
      <c r="C12865" s="6">
        <v>6300</v>
      </c>
      <c r="D12865" s="7">
        <v>1.91</v>
      </c>
      <c r="E12865" t="s">
        <v>5</v>
      </c>
    </row>
    <row r="12866" spans="1:5" x14ac:dyDescent="0.25">
      <c r="A12866" t="str">
        <f>HYPERLINK("https://www.773grp.com/globalSearch/NCP1351CPG/page-1", "NCP1351CPG")</f>
        <v>NCP1351CPG</v>
      </c>
      <c r="B12866" s="3" t="str">
        <f>HYPERLINK("https://www.773grp.com/manufacturer/onsemi?pageNo=733", "Onsemi")</f>
        <v>Onsemi</v>
      </c>
      <c r="C12866" s="6">
        <v>11850</v>
      </c>
      <c r="D12866" s="7">
        <v>1.91</v>
      </c>
      <c r="E12866" t="s">
        <v>5</v>
      </c>
    </row>
    <row r="12867" spans="1:5" x14ac:dyDescent="0.25">
      <c r="A12867" t="str">
        <f>HYPERLINK("https://www.773grp.com/globalSearch/NCP1351DPG/page-1", "NCP1351DPG")</f>
        <v>NCP1351DPG</v>
      </c>
      <c r="B12867" s="3" t="str">
        <f>HYPERLINK("https://www.773grp.com/manufacturer/onsemi?pageNo=734", "Onsemi")</f>
        <v>Onsemi</v>
      </c>
      <c r="C12867" s="6">
        <v>5600</v>
      </c>
      <c r="D12867" s="7">
        <v>1.91</v>
      </c>
      <c r="E12867" t="s">
        <v>5</v>
      </c>
    </row>
    <row r="12868" spans="1:5" x14ac:dyDescent="0.25">
      <c r="A12868" t="str">
        <f>HYPERLINK("https://www.773grp.com/globalSearch/NCP1510AFCT1G/page-1", "NCP1510AFCT1G")</f>
        <v>NCP1510AFCT1G</v>
      </c>
      <c r="B12868" s="3" t="str">
        <f>HYPERLINK("https://www.773grp.com/manufacturer/onsemi?pageNo=735", "Onsemi")</f>
        <v>Onsemi</v>
      </c>
      <c r="C12868" s="6">
        <v>3000</v>
      </c>
      <c r="D12868" s="7">
        <v>1.91</v>
      </c>
      <c r="E12868" t="s">
        <v>5</v>
      </c>
    </row>
    <row r="12869" spans="1:5" x14ac:dyDescent="0.25">
      <c r="A12869" t="str">
        <f>HYPERLINK("https://www.773grp.com/globalSearch/NCP1510FCT1G/page-1", "NCP1510FCT1G")</f>
        <v>NCP1510FCT1G</v>
      </c>
      <c r="B12869" s="3" t="str">
        <f>HYPERLINK("https://www.773grp.com/manufacturer/onsemi?pageNo=736", "Onsemi")</f>
        <v>Onsemi</v>
      </c>
      <c r="C12869" s="6">
        <v>915000</v>
      </c>
      <c r="D12869" s="7">
        <v>1.91</v>
      </c>
      <c r="E12869" t="s">
        <v>5</v>
      </c>
    </row>
    <row r="12870" spans="1:5" x14ac:dyDescent="0.25">
      <c r="A12870" t="str">
        <f>HYPERLINK("https://www.773grp.com/globalSearch/NCP1511FCT1G/page-1", "NCP1511FCT1G")</f>
        <v>NCP1511FCT1G</v>
      </c>
      <c r="B12870" s="3" t="str">
        <f>HYPERLINK("https://www.773grp.com/manufacturer/onsemi?pageNo=737", "Onsemi")</f>
        <v>Onsemi</v>
      </c>
      <c r="C12870" s="6">
        <v>12000</v>
      </c>
      <c r="D12870" s="7">
        <v>1.91</v>
      </c>
      <c r="E12870" t="s">
        <v>5</v>
      </c>
    </row>
    <row r="12871" spans="1:5" x14ac:dyDescent="0.25">
      <c r="A12871" t="str">
        <f>HYPERLINK("https://www.773grp.com/globalSearch/NCP1601AP/page-1", "NCP1601AP")</f>
        <v>NCP1601AP</v>
      </c>
      <c r="B12871" s="3" t="str">
        <f>HYPERLINK("https://www.773grp.com/manufacturer/onsemi?pageNo=738", "Onsemi")</f>
        <v>Onsemi</v>
      </c>
      <c r="C12871" s="6">
        <v>6400</v>
      </c>
      <c r="D12871" s="7">
        <v>1.91</v>
      </c>
      <c r="E12871" t="s">
        <v>5</v>
      </c>
    </row>
    <row r="12872" spans="1:5" x14ac:dyDescent="0.25">
      <c r="A12872" t="str">
        <f>HYPERLINK("https://www.773grp.com/globalSearch/NCP1606APG/page-1", "NCP1606APG")</f>
        <v>NCP1606APG</v>
      </c>
      <c r="B12872" s="3" t="str">
        <f>HYPERLINK("https://www.773grp.com/manufacturer/onsemi?pageNo=739", "Onsemi")</f>
        <v>Onsemi</v>
      </c>
      <c r="C12872" s="6">
        <v>85058</v>
      </c>
      <c r="D12872" s="7">
        <v>1.91</v>
      </c>
      <c r="E12872" t="s">
        <v>5</v>
      </c>
    </row>
    <row r="12873" spans="1:5" x14ac:dyDescent="0.25">
      <c r="A12873" t="str">
        <f>HYPERLINK("https://www.773grp.com/globalSearch/NCP1606BPG/page-1", "NCP1606BPG")</f>
        <v>NCP1606BPG</v>
      </c>
      <c r="B12873" s="3" t="str">
        <f>HYPERLINK("https://www.773grp.com/manufacturer/onsemi?pageNo=740", "Onsemi")</f>
        <v>Onsemi</v>
      </c>
      <c r="C12873" s="6">
        <v>29148</v>
      </c>
      <c r="D12873" s="7">
        <v>1.91</v>
      </c>
      <c r="E12873" t="s">
        <v>5</v>
      </c>
    </row>
    <row r="12874" spans="1:5" x14ac:dyDescent="0.25">
      <c r="A12874" t="str">
        <f>HYPERLINK("https://www.773grp.com/globalSearch/NCP301LSN20T1/page-1", "NCP301LSN20T1")</f>
        <v>NCP301LSN20T1</v>
      </c>
      <c r="B12874" s="3" t="str">
        <f>HYPERLINK("https://www.773grp.com/manufacturer/onsemi?pageNo=741", "Onsemi")</f>
        <v>Onsemi</v>
      </c>
      <c r="C12874" s="6">
        <v>15000</v>
      </c>
      <c r="D12874" s="7">
        <v>1.91</v>
      </c>
      <c r="E12874" t="s">
        <v>26</v>
      </c>
    </row>
    <row r="12875" spans="1:5" x14ac:dyDescent="0.25">
      <c r="A12875" t="str">
        <f>HYPERLINK("https://www.773grp.com/globalSearch/NCP303LSN47T1/page-1", "NCP303LSN47T1")</f>
        <v>NCP303LSN47T1</v>
      </c>
      <c r="B12875" s="3" t="str">
        <f>HYPERLINK("https://www.773grp.com/manufacturer/onsemi?pageNo=742", "Onsemi")</f>
        <v>Onsemi</v>
      </c>
      <c r="C12875" s="6">
        <v>26440</v>
      </c>
      <c r="D12875" s="7">
        <v>1.91</v>
      </c>
      <c r="E12875" t="s">
        <v>26</v>
      </c>
    </row>
    <row r="12876" spans="1:5" x14ac:dyDescent="0.25">
      <c r="A12876" t="str">
        <f>HYPERLINK("https://www.773grp.com/globalSearch/NCP3064PG/page-1", "NCP3064PG")</f>
        <v>NCP3064PG</v>
      </c>
      <c r="B12876" s="3" t="str">
        <f>HYPERLINK("https://www.773grp.com/manufacturer/onsemi?pageNo=743", "Onsemi")</f>
        <v>Onsemi</v>
      </c>
      <c r="C12876" s="6">
        <v>31750</v>
      </c>
      <c r="D12876" s="7">
        <v>1.91</v>
      </c>
      <c r="E12876" t="s">
        <v>5</v>
      </c>
    </row>
    <row r="12877" spans="1:5" x14ac:dyDescent="0.25">
      <c r="A12877" t="str">
        <f>HYPERLINK("https://www.773grp.com/globalSearch/NCP3335AMN150R2G/page-1", "NCP3335AMN150R2G")</f>
        <v>NCP3335AMN150R2G</v>
      </c>
      <c r="B12877" s="3" t="str">
        <f>HYPERLINK("https://www.773grp.com/manufacturer/onsemi?pageNo=744", "Onsemi")</f>
        <v>Onsemi</v>
      </c>
      <c r="C12877" s="6">
        <v>6970</v>
      </c>
      <c r="D12877" s="7">
        <v>1.91</v>
      </c>
      <c r="E12877" t="s">
        <v>39</v>
      </c>
    </row>
    <row r="12878" spans="1:5" x14ac:dyDescent="0.25">
      <c r="A12878" t="str">
        <f>HYPERLINK("https://www.773grp.com/globalSearch/NCP3335AMN180R2G/page-1", "NCP3335AMN180R2G")</f>
        <v>NCP3335AMN180R2G</v>
      </c>
      <c r="B12878" s="3" t="str">
        <f>HYPERLINK("https://www.773grp.com/manufacturer/onsemi?pageNo=745", "Onsemi")</f>
        <v>Onsemi</v>
      </c>
      <c r="C12878" s="6">
        <v>13540</v>
      </c>
      <c r="D12878" s="7">
        <v>1.91</v>
      </c>
      <c r="E12878" t="s">
        <v>39</v>
      </c>
    </row>
    <row r="12879" spans="1:5" x14ac:dyDescent="0.25">
      <c r="A12879" t="str">
        <f>HYPERLINK("https://www.773grp.com/globalSearch/NCP3335AMN250R2G/page-1", "NCP3335AMN250R2G")</f>
        <v>NCP3335AMN250R2G</v>
      </c>
      <c r="B12879" s="3" t="str">
        <f>HYPERLINK("https://www.773grp.com/manufacturer/onsemi?pageNo=746", "Onsemi")</f>
        <v>Onsemi</v>
      </c>
      <c r="C12879" s="6">
        <v>2125</v>
      </c>
      <c r="D12879" s="7">
        <v>1.91</v>
      </c>
      <c r="E12879" t="s">
        <v>39</v>
      </c>
    </row>
    <row r="12880" spans="1:5" x14ac:dyDescent="0.25">
      <c r="A12880" t="str">
        <f>HYPERLINK("https://www.773grp.com/globalSearch/NCP3335AMN280R2G/page-1", "NCP3335AMN280R2G")</f>
        <v>NCP3335AMN280R2G</v>
      </c>
      <c r="B12880" s="3" t="str">
        <f>HYPERLINK("https://www.773grp.com/manufacturer/onsemi?pageNo=747", "Onsemi")</f>
        <v>Onsemi</v>
      </c>
      <c r="C12880" s="6">
        <v>9000</v>
      </c>
      <c r="D12880" s="7">
        <v>1.91</v>
      </c>
      <c r="E12880" t="s">
        <v>39</v>
      </c>
    </row>
    <row r="12881" spans="1:5" x14ac:dyDescent="0.25">
      <c r="A12881" t="str">
        <f>HYPERLINK("https://www.773grp.com/globalSearch/NCP3335AMN285R2G/page-1", "NCP3335AMN285R2G")</f>
        <v>NCP3335AMN285R2G</v>
      </c>
      <c r="B12881" s="3" t="str">
        <f>HYPERLINK("https://www.773grp.com/manufacturer/onsemi?pageNo=748", "Onsemi")</f>
        <v>Onsemi</v>
      </c>
      <c r="C12881" s="6">
        <v>12000</v>
      </c>
      <c r="D12881" s="7">
        <v>1.91</v>
      </c>
      <c r="E12881" t="s">
        <v>39</v>
      </c>
    </row>
    <row r="12882" spans="1:5" x14ac:dyDescent="0.25">
      <c r="A12882" t="str">
        <f>HYPERLINK("https://www.773grp.com/globalSearch/NCP3335AMN300R2G/page-1", "NCP3335AMN300R2G")</f>
        <v>NCP3335AMN300R2G</v>
      </c>
      <c r="B12882" s="3" t="str">
        <f>HYPERLINK("https://www.773grp.com/manufacturer/onsemi?pageNo=749", "Onsemi")</f>
        <v>Onsemi</v>
      </c>
      <c r="C12882" s="6">
        <v>11659</v>
      </c>
      <c r="D12882" s="7">
        <v>1.91</v>
      </c>
      <c r="E12882" t="s">
        <v>39</v>
      </c>
    </row>
    <row r="12883" spans="1:5" x14ac:dyDescent="0.25">
      <c r="A12883" t="str">
        <f>HYPERLINK("https://www.773grp.com/globalSearch/NCP3335AMN500R2G/page-1", "NCP3335AMN500R2G")</f>
        <v>NCP3335AMN500R2G</v>
      </c>
      <c r="B12883" s="3" t="str">
        <f>HYPERLINK("https://www.773grp.com/manufacturer/onsemi?pageNo=750", "Onsemi")</f>
        <v>Onsemi</v>
      </c>
      <c r="C12883" s="6">
        <v>6484</v>
      </c>
      <c r="D12883" s="7">
        <v>1.91</v>
      </c>
      <c r="E12883" t="s">
        <v>39</v>
      </c>
    </row>
    <row r="12884" spans="1:5" x14ac:dyDescent="0.25">
      <c r="A12884" t="str">
        <f>HYPERLINK("https://www.773grp.com/globalSearch/NCP3335AMNADJR2G/page-1", "NCP3335AMNADJR2G")</f>
        <v>NCP3335AMNADJR2G</v>
      </c>
      <c r="B12884" s="3" t="str">
        <f>HYPERLINK("https://www.773grp.com/manufacturer/onsemi?pageNo=751", "Onsemi")</f>
        <v>Onsemi</v>
      </c>
      <c r="C12884" s="6">
        <v>56500</v>
      </c>
      <c r="D12884" s="7">
        <v>1.91</v>
      </c>
      <c r="E12884" t="s">
        <v>95</v>
      </c>
    </row>
    <row r="12885" spans="1:5" x14ac:dyDescent="0.25">
      <c r="A12885" t="str">
        <f>HYPERLINK("https://www.773grp.com/globalSearch/NCP3418DR2G/page-1", "NCP3418DR2G")</f>
        <v>NCP3418DR2G</v>
      </c>
      <c r="B12885" s="3" t="str">
        <f>HYPERLINK("https://www.773grp.com/manufacturer/onsemi?pageNo=752", "Onsemi")</f>
        <v>Onsemi</v>
      </c>
      <c r="C12885" s="6">
        <v>39724</v>
      </c>
      <c r="D12885" s="7">
        <v>1.91</v>
      </c>
      <c r="E12885" t="s">
        <v>12</v>
      </c>
    </row>
    <row r="12886" spans="1:5" x14ac:dyDescent="0.25">
      <c r="A12886" t="str">
        <f>HYPERLINK("https://www.773grp.com/globalSearch/NCP605MN15T2G/page-1", "NCP605MN15T2G")</f>
        <v>NCP605MN15T2G</v>
      </c>
      <c r="B12886" s="3" t="str">
        <f>HYPERLINK("https://www.773grp.com/manufacturer/onsemi?pageNo=753", "Onsemi")</f>
        <v>Onsemi</v>
      </c>
      <c r="C12886" s="6">
        <v>11790</v>
      </c>
      <c r="D12886" s="7">
        <v>1.91</v>
      </c>
      <c r="E12886" t="s">
        <v>15</v>
      </c>
    </row>
    <row r="12887" spans="1:5" x14ac:dyDescent="0.25">
      <c r="A12887" t="str">
        <f>HYPERLINK("https://www.773grp.com/globalSearch/NCP605MN18T2G/page-1", "NCP605MN18T2G")</f>
        <v>NCP605MN18T2G</v>
      </c>
      <c r="B12887" s="3" t="str">
        <f>HYPERLINK("https://www.773grp.com/manufacturer/onsemi?pageNo=754", "Onsemi")</f>
        <v>Onsemi</v>
      </c>
      <c r="C12887" s="6">
        <v>6000</v>
      </c>
      <c r="D12887" s="7">
        <v>1.91</v>
      </c>
    </row>
    <row r="12888" spans="1:5" x14ac:dyDescent="0.25">
      <c r="A12888" t="str">
        <f>HYPERLINK("https://www.773grp.com/globalSearch/NCP605MN25T2G/page-1", "NCP605MN25T2G")</f>
        <v>NCP605MN25T2G</v>
      </c>
      <c r="B12888" s="3" t="str">
        <f>HYPERLINK("https://www.773grp.com/manufacturer/onsemi?pageNo=755", "Onsemi")</f>
        <v>Onsemi</v>
      </c>
      <c r="C12888" s="6">
        <v>423640</v>
      </c>
      <c r="D12888" s="7">
        <v>1.91</v>
      </c>
      <c r="E12888" t="s">
        <v>15</v>
      </c>
    </row>
    <row r="12889" spans="1:5" x14ac:dyDescent="0.25">
      <c r="A12889" t="str">
        <f>HYPERLINK("https://www.773grp.com/globalSearch/NCP605MN28T2G/page-1", "NCP605MN28T2G")</f>
        <v>NCP605MN28T2G</v>
      </c>
      <c r="B12889" s="3" t="str">
        <f>HYPERLINK("https://www.773grp.com/manufacturer/onsemi?pageNo=756", "Onsemi")</f>
        <v>Onsemi</v>
      </c>
      <c r="C12889" s="6">
        <v>8000</v>
      </c>
      <c r="D12889" s="7">
        <v>1.91</v>
      </c>
      <c r="E12889" t="s">
        <v>15</v>
      </c>
    </row>
    <row r="12890" spans="1:5" x14ac:dyDescent="0.25">
      <c r="A12890" t="str">
        <f>HYPERLINK("https://www.773grp.com/globalSearch/NCP605MN30T2G/page-1", "NCP605MN30T2G")</f>
        <v>NCP605MN30T2G</v>
      </c>
      <c r="B12890" s="3" t="str">
        <f>HYPERLINK("https://www.773grp.com/manufacturer/onsemi?pageNo=757", "Onsemi")</f>
        <v>Onsemi</v>
      </c>
      <c r="C12890" s="6">
        <v>10851</v>
      </c>
      <c r="D12890" s="7">
        <v>1.91</v>
      </c>
    </row>
    <row r="12891" spans="1:5" x14ac:dyDescent="0.25">
      <c r="A12891" t="str">
        <f>HYPERLINK("https://www.773grp.com/globalSearch/NCP605MN33T2G/page-1", "NCP605MN33T2G")</f>
        <v>NCP605MN33T2G</v>
      </c>
      <c r="B12891" s="3" t="str">
        <f>HYPERLINK("https://www.773grp.com/manufacturer/onsemi?pageNo=758", "Onsemi")</f>
        <v>Onsemi</v>
      </c>
      <c r="C12891" s="6">
        <v>4379</v>
      </c>
      <c r="D12891" s="7">
        <v>1.91</v>
      </c>
    </row>
    <row r="12892" spans="1:5" x14ac:dyDescent="0.25">
      <c r="A12892" t="str">
        <f>HYPERLINK("https://www.773grp.com/globalSearch/NCP606MN15T2G/page-1", "NCP606MN15T2G")</f>
        <v>NCP606MN15T2G</v>
      </c>
      <c r="B12892" s="3" t="str">
        <f>HYPERLINK("https://www.773grp.com/manufacturer/onsemi?pageNo=759", "Onsemi")</f>
        <v>Onsemi</v>
      </c>
      <c r="C12892" s="6">
        <v>22542</v>
      </c>
      <c r="D12892" s="7">
        <v>1.91</v>
      </c>
      <c r="E12892" t="s">
        <v>15</v>
      </c>
    </row>
    <row r="12893" spans="1:5" x14ac:dyDescent="0.25">
      <c r="A12893" t="str">
        <f>HYPERLINK("https://www.773grp.com/globalSearch/NCP606MN28T2G/page-1", "NCP606MN28T2G")</f>
        <v>NCP606MN28T2G</v>
      </c>
      <c r="B12893" s="3" t="str">
        <f>HYPERLINK("https://www.773grp.com/manufacturer/onsemi?pageNo=760", "Onsemi")</f>
        <v>Onsemi</v>
      </c>
      <c r="C12893" s="6">
        <v>5910</v>
      </c>
      <c r="D12893" s="7">
        <v>1.91</v>
      </c>
    </row>
    <row r="12894" spans="1:5" x14ac:dyDescent="0.25">
      <c r="A12894" t="str">
        <f>HYPERLINK("https://www.773grp.com/globalSearch/NCP606MN33T2G/page-1", "NCP606MN33T2G")</f>
        <v>NCP606MN33T2G</v>
      </c>
      <c r="B12894" s="3" t="str">
        <f>HYPERLINK("https://www.773grp.com/manufacturer/onsemi?pageNo=761", "Onsemi")</f>
        <v>Onsemi</v>
      </c>
      <c r="C12894" s="6">
        <v>12000</v>
      </c>
      <c r="D12894" s="7">
        <v>1.91</v>
      </c>
      <c r="E12894" t="s">
        <v>15</v>
      </c>
    </row>
    <row r="12895" spans="1:5" x14ac:dyDescent="0.25">
      <c r="A12895" t="str">
        <f>HYPERLINK("https://www.773grp.com/globalSearch/NCP606MN50T2G/page-1", "NCP606MN50T2G")</f>
        <v>NCP606MN50T2G</v>
      </c>
      <c r="B12895" s="3" t="str">
        <f>HYPERLINK("https://www.773grp.com/manufacturer/onsemi?pageNo=762", "Onsemi")</f>
        <v>Onsemi</v>
      </c>
      <c r="C12895" s="6">
        <v>18864</v>
      </c>
      <c r="D12895" s="7">
        <v>1.91</v>
      </c>
      <c r="E12895" t="s">
        <v>15</v>
      </c>
    </row>
    <row r="12896" spans="1:5" x14ac:dyDescent="0.25">
      <c r="A12896" t="str">
        <f>HYPERLINK("https://www.773grp.com/globalSearch/NCP606MNADJT2G/page-1", "NCP606MNADJT2G")</f>
        <v>NCP606MNADJT2G</v>
      </c>
      <c r="B12896" s="3" t="str">
        <f>HYPERLINK("https://www.773grp.com/manufacturer/onsemi?pageNo=763", "Onsemi")</f>
        <v>Onsemi</v>
      </c>
      <c r="C12896" s="6">
        <v>4026</v>
      </c>
      <c r="D12896" s="7">
        <v>1.91</v>
      </c>
    </row>
    <row r="12897" spans="1:5" x14ac:dyDescent="0.25">
      <c r="A12897" t="str">
        <f>HYPERLINK("https://www.773grp.com/globalSearch/NCS2202SN1T1G/page-1", "NCS2202SN1T1G")</f>
        <v>NCS2202SN1T1G</v>
      </c>
      <c r="B12897" s="3" t="str">
        <f>HYPERLINK("https://www.773grp.com/manufacturer/onsemi?pageNo=764", "Onsemi")</f>
        <v>Onsemi</v>
      </c>
      <c r="C12897" s="6">
        <v>15935</v>
      </c>
      <c r="D12897" s="7">
        <v>1.91</v>
      </c>
      <c r="E12897" t="s">
        <v>6</v>
      </c>
    </row>
    <row r="12898" spans="1:5" x14ac:dyDescent="0.25">
      <c r="A12898" t="str">
        <f>HYPERLINK("https://www.773grp.com/globalSearch/NCS2202SN2T1G/page-1", "NCS2202SN2T1G")</f>
        <v>NCS2202SN2T1G</v>
      </c>
      <c r="B12898" s="3" t="str">
        <f>HYPERLINK("https://www.773grp.com/manufacturer/onsemi?pageNo=765", "Onsemi")</f>
        <v>Onsemi</v>
      </c>
      <c r="C12898" s="6">
        <v>18000</v>
      </c>
      <c r="D12898" s="7">
        <v>1.91</v>
      </c>
    </row>
    <row r="12899" spans="1:5" x14ac:dyDescent="0.25">
      <c r="A12899" t="str">
        <f>HYPERLINK("https://www.773grp.com/globalSearch/NCS2202SQ1T2G/page-1", "NCS2202SQ1T2G")</f>
        <v>NCS2202SQ1T2G</v>
      </c>
      <c r="B12899" s="3" t="str">
        <f>HYPERLINK("https://www.773grp.com/manufacturer/onsemi?pageNo=766", "Onsemi")</f>
        <v>Onsemi</v>
      </c>
      <c r="C12899" s="6">
        <v>7750</v>
      </c>
      <c r="D12899" s="7">
        <v>1.91</v>
      </c>
      <c r="E12899" t="s">
        <v>6</v>
      </c>
    </row>
    <row r="12900" spans="1:5" x14ac:dyDescent="0.25">
      <c r="A12900" t="str">
        <f>HYPERLINK("https://www.773grp.com/globalSearch/NCV2002SN1T1G/page-1", "NCV2002SN1T1G")</f>
        <v>NCV2002SN1T1G</v>
      </c>
      <c r="B12900" s="3" t="str">
        <f>HYPERLINK("https://www.773grp.com/manufacturer/onsemi?pageNo=767", "Onsemi")</f>
        <v>Onsemi</v>
      </c>
      <c r="C12900" s="6">
        <v>2075</v>
      </c>
      <c r="D12900" s="7">
        <v>1.91</v>
      </c>
      <c r="E12900" t="s">
        <v>10</v>
      </c>
    </row>
    <row r="12901" spans="1:5" x14ac:dyDescent="0.25">
      <c r="A12901" t="str">
        <f>HYPERLINK("https://www.773grp.com/globalSearch/NCV2002SN2T1G/page-1", "NCV2002SN2T1G")</f>
        <v>NCV2002SN2T1G</v>
      </c>
      <c r="B12901" s="3" t="str">
        <f>HYPERLINK("https://www.773grp.com/manufacturer/onsemi?pageNo=768", "Onsemi")</f>
        <v>Onsemi</v>
      </c>
      <c r="C12901" s="6">
        <v>8759</v>
      </c>
      <c r="D12901" s="7">
        <v>1.91</v>
      </c>
      <c r="E12901" t="s">
        <v>10</v>
      </c>
    </row>
    <row r="12902" spans="1:5" x14ac:dyDescent="0.25">
      <c r="A12902" t="str">
        <f>HYPERLINK("https://www.773grp.com/globalSearch/NCV33269DT-5.0G/page-1", "NCV33269DT-5.0G")</f>
        <v>NCV33269DT-5.0G</v>
      </c>
      <c r="B12902" s="3" t="str">
        <f>HYPERLINK("https://www.773grp.com/manufacturer/onsemi?pageNo=769", "Onsemi")</f>
        <v>Onsemi</v>
      </c>
      <c r="C12902" s="6">
        <v>1200</v>
      </c>
      <c r="D12902" s="7">
        <v>1.91</v>
      </c>
      <c r="E12902" t="s">
        <v>15</v>
      </c>
    </row>
    <row r="12903" spans="1:5" x14ac:dyDescent="0.25">
      <c r="A12903" t="str">
        <f>HYPERLINK("https://www.773grp.com/globalSearch/NCV565ST12T3G/page-1", "NCV565ST12T3G")</f>
        <v>NCV565ST12T3G</v>
      </c>
      <c r="B12903" s="3" t="str">
        <f>HYPERLINK("https://www.773grp.com/manufacturer/onsemi?pageNo=770", "Onsemi")</f>
        <v>Onsemi</v>
      </c>
      <c r="C12903" s="6">
        <v>4000</v>
      </c>
      <c r="D12903" s="7">
        <v>1.91</v>
      </c>
    </row>
    <row r="12904" spans="1:5" x14ac:dyDescent="0.25">
      <c r="A12904" t="str">
        <f>HYPERLINK("https://www.773grp.com/globalSearch/NCV8508D2T50R4/page-1", "NCV8508D2T50R4")</f>
        <v>NCV8508D2T50R4</v>
      </c>
      <c r="B12904" s="3" t="str">
        <f>HYPERLINK("https://www.773grp.com/manufacturer/onsemi?pageNo=771", "Onsemi")</f>
        <v>Onsemi</v>
      </c>
      <c r="C12904" s="6">
        <v>3000</v>
      </c>
      <c r="D12904" s="7">
        <v>1.91</v>
      </c>
      <c r="E12904" t="s">
        <v>15</v>
      </c>
    </row>
    <row r="12905" spans="1:5" x14ac:dyDescent="0.25">
      <c r="A12905" t="str">
        <f>HYPERLINK("https://www.773grp.com/globalSearch/NDF08N50ZG/page-1", "NDF08N50ZG")</f>
        <v>NDF08N50ZG</v>
      </c>
      <c r="B12905" s="3" t="str">
        <f>HYPERLINK("https://www.773grp.com/manufacturer/onsemi?pageNo=772", "Onsemi")</f>
        <v>Onsemi</v>
      </c>
      <c r="C12905" s="6">
        <v>396590</v>
      </c>
      <c r="D12905" s="7">
        <v>1.91</v>
      </c>
      <c r="E12905" t="s">
        <v>84</v>
      </c>
    </row>
    <row r="12906" spans="1:5" x14ac:dyDescent="0.25">
      <c r="A12906" t="str">
        <f>HYPERLINK("https://www.773grp.com/globalSearch/NLAS4684MR2G/page-1", "NLAS4684MR2G")</f>
        <v>NLAS4684MR2G</v>
      </c>
      <c r="B12906" s="3" t="str">
        <f>HYPERLINK("https://www.773grp.com/manufacturer/onsemi?pageNo=773", "Onsemi")</f>
        <v>Onsemi</v>
      </c>
      <c r="C12906" s="6">
        <v>78300</v>
      </c>
      <c r="D12906" s="7">
        <v>1.91</v>
      </c>
      <c r="E12906" t="s">
        <v>46</v>
      </c>
    </row>
    <row r="12907" spans="1:5" x14ac:dyDescent="0.25">
      <c r="A12907" t="str">
        <f>HYPERLINK("https://www.773grp.com/globalSearch/NLAS5123MNR2G/page-1", "NLAS5123MNR2G")</f>
        <v>NLAS5123MNR2G</v>
      </c>
      <c r="B12907" s="3" t="str">
        <f>HYPERLINK("https://www.773grp.com/manufacturer/onsemi?pageNo=774", "Onsemi")</f>
        <v>Onsemi</v>
      </c>
      <c r="C12907" s="6">
        <v>8579</v>
      </c>
      <c r="D12907" s="7">
        <v>1.91</v>
      </c>
      <c r="E12907" t="s">
        <v>46</v>
      </c>
    </row>
    <row r="12908" spans="1:5" x14ac:dyDescent="0.25">
      <c r="A12908" t="str">
        <f>HYPERLINK("https://www.773grp.com/globalSearch/NTB5605PG/page-1", "NTB5605PG")</f>
        <v>NTB5605PG</v>
      </c>
      <c r="B12908" s="3" t="str">
        <f>HYPERLINK("https://www.773grp.com/manufacturer/onsemi?pageNo=775", "Onsemi")</f>
        <v>Onsemi</v>
      </c>
      <c r="C12908" s="6">
        <v>1154</v>
      </c>
      <c r="D12908" s="7">
        <v>1.91</v>
      </c>
      <c r="E12908" t="s">
        <v>84</v>
      </c>
    </row>
    <row r="12909" spans="1:5" x14ac:dyDescent="0.25">
      <c r="A12909" t="str">
        <f>HYPERLINK("https://www.773grp.com/globalSearch/NTB5605PT4G/page-1", "NTB5605PT4G")</f>
        <v>NTB5605PT4G</v>
      </c>
      <c r="B12909" s="3" t="str">
        <f>HYPERLINK("https://www.773grp.com/manufacturer/onsemi?pageNo=776", "Onsemi")</f>
        <v>Onsemi</v>
      </c>
      <c r="C12909" s="6">
        <v>800</v>
      </c>
      <c r="D12909" s="7">
        <v>1.91</v>
      </c>
      <c r="E12909" t="s">
        <v>84</v>
      </c>
    </row>
    <row r="12910" spans="1:5" x14ac:dyDescent="0.25">
      <c r="A12910" t="str">
        <f>HYPERLINK("https://www.773grp.com/globalSearch/NTLLD4901NFTWG/page-1", "NTLLD4901NFTWG")</f>
        <v>NTLLD4901NFTWG</v>
      </c>
      <c r="B12910" s="3" t="str">
        <f>HYPERLINK("https://www.773grp.com/manufacturer/onsemi?pageNo=777", "Onsemi")</f>
        <v>Onsemi</v>
      </c>
      <c r="C12910" s="6">
        <v>3000</v>
      </c>
      <c r="D12910" s="7">
        <v>1.91</v>
      </c>
    </row>
    <row r="12911" spans="1:5" x14ac:dyDescent="0.25">
      <c r="A12911" t="str">
        <f>HYPERLINK("https://www.773grp.com/globalSearch/NTST30U100CTG/page-1", "NTST30U100CTG")</f>
        <v>NTST30U100CTG</v>
      </c>
      <c r="B12911" s="3" t="str">
        <f>HYPERLINK("https://www.773grp.com/manufacturer/onsemi?pageNo=778", "Onsemi")</f>
        <v>Onsemi</v>
      </c>
      <c r="C12911" s="6">
        <v>1025</v>
      </c>
      <c r="D12911" s="7">
        <v>1.91</v>
      </c>
    </row>
    <row r="12912" spans="1:5" x14ac:dyDescent="0.25">
      <c r="A12912" t="str">
        <f>HYPERLINK("https://www.773grp.com/globalSearch/NTTFS4800NTAG/page-1", "NTTFS4800NTAG")</f>
        <v>NTTFS4800NTAG</v>
      </c>
      <c r="B12912" s="3" t="str">
        <f>HYPERLINK("https://www.773grp.com/manufacturer/onsemi?pageNo=779", "Onsemi")</f>
        <v>Onsemi</v>
      </c>
      <c r="C12912" s="6">
        <v>13500</v>
      </c>
      <c r="D12912" s="7">
        <v>1.91</v>
      </c>
      <c r="E12912" t="s">
        <v>84</v>
      </c>
    </row>
    <row r="12913" spans="1:5" x14ac:dyDescent="0.25">
      <c r="A12913" t="str">
        <f>HYPERLINK("https://www.773grp.com/globalSearch/NTTFS5116PLTAG/page-1", "NTTFS5116PLTAG")</f>
        <v>NTTFS5116PLTAG</v>
      </c>
      <c r="B12913" s="3" t="str">
        <f>HYPERLINK("https://www.773grp.com/manufacturer/onsemi?pageNo=780", "Onsemi")</f>
        <v>Onsemi</v>
      </c>
      <c r="C12913" s="6">
        <v>1500</v>
      </c>
      <c r="D12913" s="7">
        <v>1.91</v>
      </c>
    </row>
    <row r="12914" spans="1:5" x14ac:dyDescent="0.25">
      <c r="A12914" t="str">
        <f>HYPERLINK("https://www.773grp.com/globalSearch/NVTFS5811NLTAG/page-1", "NVTFS5811NLTAG")</f>
        <v>NVTFS5811NLTAG</v>
      </c>
      <c r="B12914" s="3" t="str">
        <f>HYPERLINK("https://www.773grp.com/manufacturer/onsemi?pageNo=781", "Onsemi")</f>
        <v>Onsemi</v>
      </c>
      <c r="C12914" s="6">
        <v>198800</v>
      </c>
      <c r="D12914" s="7">
        <v>1.91</v>
      </c>
    </row>
    <row r="12915" spans="1:5" x14ac:dyDescent="0.25">
      <c r="A12915" t="str">
        <f>HYPERLINK("https://www.773grp.com/globalSearch/SC33063ADR2G/page-1", "SC33063ADR2G")</f>
        <v>SC33063ADR2G</v>
      </c>
      <c r="B12915" s="3" t="str">
        <f>HYPERLINK("https://www.773grp.com/manufacturer/onsemi?pageNo=782", "Onsemi")</f>
        <v>Onsemi</v>
      </c>
      <c r="C12915" s="6">
        <v>2500</v>
      </c>
      <c r="D12915" s="7">
        <v>1.91</v>
      </c>
    </row>
    <row r="12916" spans="1:5" x14ac:dyDescent="0.25">
      <c r="A12916" t="str">
        <f>HYPERLINK("https://www.773grp.com/globalSearch/SJE1943/page-1", "SJE1943")</f>
        <v>SJE1943</v>
      </c>
      <c r="B12916" s="3" t="str">
        <f>HYPERLINK("https://www.773grp.com/manufacturer/onsemi?pageNo=783", "Onsemi")</f>
        <v>Onsemi</v>
      </c>
      <c r="C12916" s="6">
        <v>1750</v>
      </c>
      <c r="D12916" s="7">
        <v>1.91</v>
      </c>
    </row>
    <row r="12917" spans="1:5" x14ac:dyDescent="0.25">
      <c r="A12917" t="str">
        <f>HYPERLINK("https://www.773grp.com/globalSearch/SJE7075LFAJ/page-1", "SJE7075LFAJ")</f>
        <v>SJE7075LFAJ</v>
      </c>
      <c r="B12917" s="3" t="str">
        <f>HYPERLINK("https://www.773grp.com/manufacturer/onsemi?pageNo=784", "Onsemi")</f>
        <v>Onsemi</v>
      </c>
      <c r="C12917" s="6">
        <v>800</v>
      </c>
      <c r="D12917" s="7">
        <v>1.91</v>
      </c>
    </row>
    <row r="12918" spans="1:5" x14ac:dyDescent="0.25">
      <c r="A12918" t="str">
        <f>HYPERLINK("https://www.773grp.com/globalSearch/SN74LS242M/page-1", "SN74LS242M")</f>
        <v>SN74LS242M</v>
      </c>
      <c r="B12918" s="3" t="str">
        <f>HYPERLINK("https://www.773grp.com/manufacturer/onsemi?pageNo=785", "Onsemi")</f>
        <v>Onsemi</v>
      </c>
      <c r="C12918" s="6">
        <v>5350</v>
      </c>
      <c r="D12918" s="7">
        <v>1.91</v>
      </c>
    </row>
    <row r="12919" spans="1:5" x14ac:dyDescent="0.25">
      <c r="A12919" t="str">
        <f>HYPERLINK("https://www.773grp.com/globalSearch/SN74LS242MEL/page-1", "SN74LS242MEL")</f>
        <v>SN74LS242MEL</v>
      </c>
      <c r="B12919" s="3" t="str">
        <f>HYPERLINK("https://www.773grp.com/manufacturer/onsemi?pageNo=786", "Onsemi")</f>
        <v>Onsemi</v>
      </c>
      <c r="C12919" s="6">
        <v>6000</v>
      </c>
      <c r="D12919" s="7">
        <v>1.91</v>
      </c>
    </row>
    <row r="12920" spans="1:5" x14ac:dyDescent="0.25">
      <c r="A12920" t="str">
        <f>HYPERLINK("https://www.773grp.com/globalSearch/TIP107G/page-1", "TIP107G")</f>
        <v>TIP107G</v>
      </c>
      <c r="B12920" s="3" t="str">
        <f>HYPERLINK("https://www.773grp.com/manufacturer/onsemi?pageNo=787", "Onsemi")</f>
        <v>Onsemi</v>
      </c>
      <c r="C12920" s="6">
        <v>679</v>
      </c>
      <c r="D12920" s="7">
        <v>1.91</v>
      </c>
      <c r="E12920" t="s">
        <v>47</v>
      </c>
    </row>
    <row r="12921" spans="1:5" x14ac:dyDescent="0.25">
      <c r="A12921" t="str">
        <f>HYPERLINK("https://www.773grp.com/globalSearch/TIP146/page-1", "TIP146")</f>
        <v>TIP146</v>
      </c>
      <c r="B12921" s="3" t="str">
        <f>HYPERLINK("https://www.773grp.com/manufacturer/onsemi?pageNo=788", "Onsemi")</f>
        <v>Onsemi</v>
      </c>
      <c r="C12921" s="6">
        <v>29</v>
      </c>
      <c r="D12921" s="7">
        <v>1.91</v>
      </c>
      <c r="E12921" t="s">
        <v>47</v>
      </c>
    </row>
    <row r="12922" spans="1:5" x14ac:dyDescent="0.25">
      <c r="A12922" t="str">
        <f>HYPERLINK("https://www.773grp.com/globalSearch/TL064ACD/page-1", "TL064ACD")</f>
        <v>TL064ACD</v>
      </c>
      <c r="B12922" s="3" t="str">
        <f>HYPERLINK("https://www.773grp.com/manufacturer/onsemi?pageNo=789", "Onsemi")</f>
        <v>Onsemi</v>
      </c>
      <c r="C12922" s="6">
        <v>4710</v>
      </c>
      <c r="D12922" s="7">
        <v>1.91</v>
      </c>
      <c r="E12922" t="s">
        <v>10</v>
      </c>
    </row>
    <row r="12923" spans="1:5" x14ac:dyDescent="0.25">
      <c r="A12923" t="str">
        <f>HYPERLINK("https://www.773grp.com/globalSearch/UC2842BD1R2G/page-1", "UC2842BD1R2G")</f>
        <v>UC2842BD1R2G</v>
      </c>
      <c r="B12923" s="3" t="str">
        <f>HYPERLINK("https://www.773grp.com/manufacturer/onsemi?pageNo=790", "Onsemi")</f>
        <v>Onsemi</v>
      </c>
      <c r="C12923" s="6">
        <v>429975</v>
      </c>
      <c r="D12923" s="7">
        <v>1.91</v>
      </c>
      <c r="E12923" t="s">
        <v>5</v>
      </c>
    </row>
    <row r="12924" spans="1:5" x14ac:dyDescent="0.25">
      <c r="A12924" t="str">
        <f>HYPERLINK("https://www.773grp.com/globalSearch/UC2842BDR2G/page-1", "UC2842BDR2G")</f>
        <v>UC2842BDR2G</v>
      </c>
      <c r="B12924" s="3" t="str">
        <f>HYPERLINK("https://www.773grp.com/manufacturer/onsemi?pageNo=791", "Onsemi")</f>
        <v>Onsemi</v>
      </c>
      <c r="C12924" s="6">
        <v>2592</v>
      </c>
      <c r="D12924" s="7">
        <v>1.91</v>
      </c>
    </row>
    <row r="12925" spans="1:5" x14ac:dyDescent="0.25">
      <c r="A12925" t="str">
        <f>HYPERLINK("https://www.773grp.com/globalSearch/UC2842BNG/page-1", "UC2842BNG")</f>
        <v>UC2842BNG</v>
      </c>
      <c r="B12925" s="3" t="str">
        <f>HYPERLINK("https://www.773grp.com/manufacturer/onsemi?pageNo=792", "Onsemi")</f>
        <v>Onsemi</v>
      </c>
      <c r="C12925" s="6">
        <v>37151</v>
      </c>
      <c r="D12925" s="7">
        <v>1.91</v>
      </c>
      <c r="E12925" t="s">
        <v>5</v>
      </c>
    </row>
    <row r="12926" spans="1:5" x14ac:dyDescent="0.25">
      <c r="A12926" t="str">
        <f>HYPERLINK("https://www.773grp.com/globalSearch/UC2843AN/page-1", "UC2843AN")</f>
        <v>UC2843AN</v>
      </c>
      <c r="B12926" s="3" t="str">
        <f>HYPERLINK("https://www.773grp.com/manufacturer/onsemi?pageNo=793", "Onsemi")</f>
        <v>Onsemi</v>
      </c>
      <c r="C12926" s="6">
        <v>160</v>
      </c>
      <c r="D12926" s="7">
        <v>1.91</v>
      </c>
      <c r="E12926" t="s">
        <v>5</v>
      </c>
    </row>
    <row r="12927" spans="1:5" x14ac:dyDescent="0.25">
      <c r="A12927" t="str">
        <f>HYPERLINK("https://www.773grp.com/globalSearch/UC2843BD1R2G/page-1", "UC2843BD1R2G")</f>
        <v>UC2843BD1R2G</v>
      </c>
      <c r="B12927" s="3" t="str">
        <f>HYPERLINK("https://www.773grp.com/manufacturer/onsemi?pageNo=794", "Onsemi")</f>
        <v>Onsemi</v>
      </c>
      <c r="C12927" s="6">
        <v>869349</v>
      </c>
      <c r="D12927" s="7">
        <v>1.91</v>
      </c>
      <c r="E12927" t="s">
        <v>5</v>
      </c>
    </row>
    <row r="12928" spans="1:5" x14ac:dyDescent="0.25">
      <c r="A12928" t="str">
        <f>HYPERLINK("https://www.773grp.com/globalSearch/UC2843BDR2G/page-1", "UC2843BDR2G")</f>
        <v>UC2843BDR2G</v>
      </c>
      <c r="B12928" s="3" t="str">
        <f>HYPERLINK("https://www.773grp.com/manufacturer/onsemi?pageNo=795", "Onsemi")</f>
        <v>Onsemi</v>
      </c>
      <c r="C12928" s="6">
        <v>26750</v>
      </c>
      <c r="D12928" s="7">
        <v>1.91</v>
      </c>
    </row>
    <row r="12929" spans="1:5" x14ac:dyDescent="0.25">
      <c r="A12929" t="str">
        <f>HYPERLINK("https://www.773grp.com/globalSearch/UC2843BNG/page-1", "UC2843BNG")</f>
        <v>UC2843BNG</v>
      </c>
      <c r="B12929" s="3" t="str">
        <f>HYPERLINK("https://www.773grp.com/manufacturer/onsemi?pageNo=796", "Onsemi")</f>
        <v>Onsemi</v>
      </c>
      <c r="C12929" s="6">
        <v>79200</v>
      </c>
      <c r="D12929" s="7">
        <v>1.91</v>
      </c>
    </row>
    <row r="12930" spans="1:5" x14ac:dyDescent="0.25">
      <c r="A12930" t="str">
        <f>HYPERLINK("https://www.773grp.com/globalSearch/UC2844BD1R2G/page-1", "UC2844BD1R2G")</f>
        <v>UC2844BD1R2G</v>
      </c>
      <c r="B12930" s="3" t="str">
        <f>HYPERLINK("https://www.773grp.com/manufacturer/onsemi?pageNo=797", "Onsemi")</f>
        <v>Onsemi</v>
      </c>
      <c r="C12930" s="6">
        <v>117977</v>
      </c>
      <c r="D12930" s="7">
        <v>1.91</v>
      </c>
      <c r="E12930" t="s">
        <v>5</v>
      </c>
    </row>
    <row r="12931" spans="1:5" x14ac:dyDescent="0.25">
      <c r="A12931" t="str">
        <f>HYPERLINK("https://www.773grp.com/globalSearch/UC2844BDR2G/page-1", "UC2844BDR2G")</f>
        <v>UC2844BDR2G</v>
      </c>
      <c r="B12931" s="3" t="str">
        <f>HYPERLINK("https://www.773grp.com/manufacturer/onsemi?pageNo=798", "Onsemi")</f>
        <v>Onsemi</v>
      </c>
      <c r="C12931" s="6">
        <v>137500</v>
      </c>
      <c r="D12931" s="7">
        <v>1.91</v>
      </c>
      <c r="E12931" t="s">
        <v>5</v>
      </c>
    </row>
    <row r="12932" spans="1:5" x14ac:dyDescent="0.25">
      <c r="A12932" t="str">
        <f>HYPERLINK("https://www.773grp.com/globalSearch/UC2844BNG/page-1", "UC2844BNG")</f>
        <v>UC2844BNG</v>
      </c>
      <c r="B12932" s="3" t="str">
        <f>HYPERLINK("https://www.773grp.com/manufacturer/onsemi?pageNo=799", "Onsemi")</f>
        <v>Onsemi</v>
      </c>
      <c r="C12932" s="6">
        <v>8741</v>
      </c>
      <c r="D12932" s="7">
        <v>1.91</v>
      </c>
      <c r="E12932" t="s">
        <v>5</v>
      </c>
    </row>
    <row r="12933" spans="1:5" x14ac:dyDescent="0.25">
      <c r="A12933" t="str">
        <f>HYPERLINK("https://www.773grp.com/globalSearch/UC2845BD1R2G/page-1", "UC2845BD1R2G")</f>
        <v>UC2845BD1R2G</v>
      </c>
      <c r="B12933" s="3" t="str">
        <f>HYPERLINK("https://www.773grp.com/manufacturer/onsemi?pageNo=800", "Onsemi")</f>
        <v>Onsemi</v>
      </c>
      <c r="C12933" s="6">
        <v>189900</v>
      </c>
      <c r="D12933" s="7">
        <v>1.91</v>
      </c>
      <c r="E12933" t="s">
        <v>5</v>
      </c>
    </row>
    <row r="12934" spans="1:5" x14ac:dyDescent="0.25">
      <c r="A12934" t="str">
        <f>HYPERLINK("https://www.773grp.com/globalSearch/UC2845BNG/page-1", "UC2845BNG")</f>
        <v>UC2845BNG</v>
      </c>
      <c r="B12934" s="3" t="str">
        <f>HYPERLINK("https://www.773grp.com/manufacturer/onsemi?pageNo=801", "Onsemi")</f>
        <v>Onsemi</v>
      </c>
      <c r="C12934" s="6">
        <v>3650</v>
      </c>
      <c r="D12934" s="7">
        <v>1.91</v>
      </c>
    </row>
    <row r="12935" spans="1:5" x14ac:dyDescent="0.25">
      <c r="A12935" t="str">
        <f>HYPERLINK("https://www.773grp.com/globalSearch/UC3845BD1/page-1", "UC3845BD1")</f>
        <v>UC3845BD1</v>
      </c>
      <c r="B12935" s="3" t="str">
        <f>HYPERLINK("https://www.773grp.com/manufacturer/onsemi?pageNo=802", "Onsemi")</f>
        <v>Onsemi</v>
      </c>
      <c r="C12935" s="6">
        <v>5782</v>
      </c>
      <c r="D12935" s="7">
        <v>1.91</v>
      </c>
      <c r="E12935" t="s">
        <v>5</v>
      </c>
    </row>
    <row r="12936" spans="1:5" x14ac:dyDescent="0.25">
      <c r="A12936" t="str">
        <f>HYPERLINK("https://www.773grp.com/globalSearch/2N5415/page-1", "2N5415")</f>
        <v>2N5415</v>
      </c>
      <c r="B12936" s="3" t="str">
        <f>HYPERLINK("https://www.773grp.com/manufacturer/onsemi?pageNo=803", "Onsemi")</f>
        <v>Onsemi</v>
      </c>
      <c r="C12936" s="6">
        <v>2975</v>
      </c>
      <c r="D12936" s="7">
        <v>1.96</v>
      </c>
      <c r="E12936" t="s">
        <v>57</v>
      </c>
    </row>
    <row r="12937" spans="1:5" x14ac:dyDescent="0.25">
      <c r="A12937" t="str">
        <f>HYPERLINK("https://www.773grp.com/globalSearch/2N6107G/page-1", "2N6107G")</f>
        <v>2N6107G</v>
      </c>
      <c r="B12937" s="3" t="str">
        <f>HYPERLINK("https://www.773grp.com/manufacturer/onsemi?pageNo=804", "Onsemi")</f>
        <v>Onsemi</v>
      </c>
      <c r="C12937" s="6">
        <v>43719</v>
      </c>
      <c r="D12937" s="7">
        <v>1.96</v>
      </c>
      <c r="E12937" t="s">
        <v>47</v>
      </c>
    </row>
    <row r="12938" spans="1:5" x14ac:dyDescent="0.25">
      <c r="A12938" t="str">
        <f>HYPERLINK("https://www.773grp.com/globalSearch/2N6109G/page-1", "2N6109G")</f>
        <v>2N6109G</v>
      </c>
      <c r="B12938" s="3" t="str">
        <f>HYPERLINK("https://www.773grp.com/manufacturer/onsemi?pageNo=805", "Onsemi")</f>
        <v>Onsemi</v>
      </c>
      <c r="C12938" s="6">
        <v>698</v>
      </c>
      <c r="D12938" s="7">
        <v>1.96</v>
      </c>
      <c r="E12938" t="s">
        <v>47</v>
      </c>
    </row>
    <row r="12939" spans="1:5" x14ac:dyDescent="0.25">
      <c r="A12939" t="str">
        <f>HYPERLINK("https://www.773grp.com/globalSearch/2N6111G/page-1", "2N6111G")</f>
        <v>2N6111G</v>
      </c>
      <c r="B12939" s="3" t="str">
        <f>HYPERLINK("https://www.773grp.com/manufacturer/onsemi?pageNo=806", "Onsemi")</f>
        <v>Onsemi</v>
      </c>
      <c r="C12939" s="6">
        <v>45184</v>
      </c>
      <c r="D12939" s="7">
        <v>1.96</v>
      </c>
      <c r="E12939" t="s">
        <v>47</v>
      </c>
    </row>
    <row r="12940" spans="1:5" x14ac:dyDescent="0.25">
      <c r="A12940" t="str">
        <f>HYPERLINK("https://www.773grp.com/globalSearch/2N6490/page-1", "2N6490")</f>
        <v>2N6490</v>
      </c>
      <c r="B12940" s="3" t="str">
        <f>HYPERLINK("https://www.773grp.com/manufacturer/onsemi?pageNo=807", "Onsemi")</f>
        <v>Onsemi</v>
      </c>
      <c r="C12940" s="6">
        <v>40</v>
      </c>
      <c r="D12940" s="7">
        <v>1.96</v>
      </c>
      <c r="E12940" t="s">
        <v>47</v>
      </c>
    </row>
    <row r="12941" spans="1:5" x14ac:dyDescent="0.25">
      <c r="A12941" t="str">
        <f>HYPERLINK("https://www.773grp.com/globalSearch/BD244BG/page-1", "BD244BG")</f>
        <v>BD244BG</v>
      </c>
      <c r="B12941" s="3" t="str">
        <f>HYPERLINK("https://www.773grp.com/manufacturer/onsemi?pageNo=808", "Onsemi")</f>
        <v>Onsemi</v>
      </c>
      <c r="C12941" s="6">
        <v>6906</v>
      </c>
      <c r="D12941" s="7">
        <v>1.96</v>
      </c>
      <c r="E12941" t="s">
        <v>47</v>
      </c>
    </row>
    <row r="12942" spans="1:5" x14ac:dyDescent="0.25">
      <c r="A12942" t="str">
        <f>HYPERLINK("https://www.773grp.com/globalSearch/BD244CG/page-1", "BD244CG")</f>
        <v>BD244CG</v>
      </c>
      <c r="B12942" s="3" t="str">
        <f>HYPERLINK("https://www.773grp.com/manufacturer/onsemi?pageNo=809", "Onsemi")</f>
        <v>Onsemi</v>
      </c>
      <c r="C12942" s="6">
        <v>1035</v>
      </c>
      <c r="D12942" s="7">
        <v>1.96</v>
      </c>
    </row>
    <row r="12943" spans="1:5" x14ac:dyDescent="0.25">
      <c r="A12943" t="str">
        <f>HYPERLINK("https://www.773grp.com/globalSearch/CAT24C256WI-G/page-1", "CAT24C256WI-G")</f>
        <v>CAT24C256WI-G</v>
      </c>
      <c r="B12943" s="3" t="str">
        <f>HYPERLINK("https://www.773grp.com/manufacturer/onsemi?pageNo=810", "Onsemi")</f>
        <v>Onsemi</v>
      </c>
      <c r="C12943" s="6">
        <v>1435</v>
      </c>
      <c r="D12943" s="7">
        <v>1.96</v>
      </c>
    </row>
    <row r="12944" spans="1:5" x14ac:dyDescent="0.25">
      <c r="A12944" t="str">
        <f>HYPERLINK("https://www.773grp.com/globalSearch/CAT25256LI-G/page-1", "CAT25256LI-G")</f>
        <v>CAT25256LI-G</v>
      </c>
      <c r="B12944" s="3" t="str">
        <f>HYPERLINK("https://www.773grp.com/manufacturer/onsemi?pageNo=811", "Onsemi")</f>
        <v>Onsemi</v>
      </c>
      <c r="C12944" s="6">
        <v>5800</v>
      </c>
      <c r="D12944" s="7">
        <v>1.96</v>
      </c>
    </row>
    <row r="12945" spans="1:5" x14ac:dyDescent="0.25">
      <c r="A12945" t="str">
        <f>HYPERLINK("https://www.773grp.com/globalSearch/CM1235-08DE/page-1", "CM1235-08DE")</f>
        <v>CM1235-08DE</v>
      </c>
      <c r="B12945" s="3" t="str">
        <f>HYPERLINK("https://www.773grp.com/manufacturer/onsemi?pageNo=812", "Onsemi")</f>
        <v>Onsemi</v>
      </c>
      <c r="C12945" s="6">
        <v>21000</v>
      </c>
      <c r="D12945" s="7">
        <v>1.96</v>
      </c>
    </row>
    <row r="12946" spans="1:5" x14ac:dyDescent="0.25">
      <c r="A12946" t="str">
        <f>HYPERLINK("https://www.773grp.com/globalSearch/CM2021-02TR/page-1", "CM2021-02TR")</f>
        <v>CM2021-02TR</v>
      </c>
      <c r="B12946" s="3" t="str">
        <f>HYPERLINK("https://www.773grp.com/manufacturer/onsemi?pageNo=813", "Onsemi")</f>
        <v>Onsemi</v>
      </c>
      <c r="C12946" s="6">
        <v>71644</v>
      </c>
      <c r="D12946" s="7">
        <v>1.96</v>
      </c>
      <c r="E12946" t="s">
        <v>19</v>
      </c>
    </row>
    <row r="12947" spans="1:5" x14ac:dyDescent="0.25">
      <c r="A12947" t="str">
        <f>HYPERLINK("https://www.773grp.com/globalSearch/CS5203-1GDP3/page-1", "CS5203-1GDP3")</f>
        <v>CS5203-1GDP3</v>
      </c>
      <c r="B12947" s="3" t="str">
        <f>HYPERLINK("https://www.773grp.com/manufacturer/onsemi?pageNo=814", "Onsemi")</f>
        <v>Onsemi</v>
      </c>
      <c r="C12947" s="6">
        <v>2050</v>
      </c>
      <c r="D12947" s="7">
        <v>1.96</v>
      </c>
      <c r="E12947" t="s">
        <v>21</v>
      </c>
    </row>
    <row r="12948" spans="1:5" x14ac:dyDescent="0.25">
      <c r="A12948" t="str">
        <f>HYPERLINK("https://www.773grp.com/globalSearch/CS5203-1GDPR3/page-1", "CS5203-1GDPR3")</f>
        <v>CS5203-1GDPR3</v>
      </c>
      <c r="B12948" s="3" t="str">
        <f>HYPERLINK("https://www.773grp.com/manufacturer/onsemi?pageNo=815", "Onsemi")</f>
        <v>Onsemi</v>
      </c>
      <c r="C12948" s="6">
        <v>950</v>
      </c>
      <c r="D12948" s="7">
        <v>1.96</v>
      </c>
      <c r="E12948" t="s">
        <v>21</v>
      </c>
    </row>
    <row r="12949" spans="1:5" x14ac:dyDescent="0.25">
      <c r="A12949" t="str">
        <f>HYPERLINK("https://www.773grp.com/globalSearch/CS5203-3GDPR3/page-1", "CS5203-3GDPR3")</f>
        <v>CS5203-3GDPR3</v>
      </c>
      <c r="B12949" s="3" t="str">
        <f>HYPERLINK("https://www.773grp.com/manufacturer/onsemi?pageNo=816", "Onsemi")</f>
        <v>Onsemi</v>
      </c>
      <c r="C12949" s="6">
        <v>6100</v>
      </c>
      <c r="D12949" s="7">
        <v>1.96</v>
      </c>
      <c r="E12949" t="s">
        <v>15</v>
      </c>
    </row>
    <row r="12950" spans="1:5" x14ac:dyDescent="0.25">
      <c r="A12950" t="str">
        <f>HYPERLINK("https://www.773grp.com/globalSearch/D44H11G/page-1", "D44H11G")</f>
        <v>D44H11G</v>
      </c>
      <c r="B12950" s="3" t="str">
        <f>HYPERLINK("https://www.773grp.com/manufacturer/onsemi?pageNo=817", "Onsemi")</f>
        <v>Onsemi</v>
      </c>
      <c r="C12950" s="6">
        <v>1050</v>
      </c>
      <c r="D12950" s="7">
        <v>1.96</v>
      </c>
      <c r="E12950" t="s">
        <v>47</v>
      </c>
    </row>
    <row r="12951" spans="1:5" x14ac:dyDescent="0.25">
      <c r="A12951" t="str">
        <f>HYPERLINK("https://www.773grp.com/globalSearch/D44H8G/page-1", "D44H8G")</f>
        <v>D44H8G</v>
      </c>
      <c r="B12951" s="3" t="str">
        <f>HYPERLINK("https://www.773grp.com/manufacturer/onsemi?pageNo=818", "Onsemi")</f>
        <v>Onsemi</v>
      </c>
      <c r="C12951" s="6">
        <v>11756</v>
      </c>
      <c r="D12951" s="7">
        <v>1.96</v>
      </c>
      <c r="E12951" t="s">
        <v>47</v>
      </c>
    </row>
    <row r="12952" spans="1:5" x14ac:dyDescent="0.25">
      <c r="A12952" t="str">
        <f>HYPERLINK("https://www.773grp.com/globalSearch/D44VH10G/page-1", "D44VH10G")</f>
        <v>D44VH10G</v>
      </c>
      <c r="B12952" s="3" t="str">
        <f>HYPERLINK("https://www.773grp.com/manufacturer/onsemi?pageNo=819", "Onsemi")</f>
        <v>Onsemi</v>
      </c>
      <c r="C12952" s="6">
        <v>1169</v>
      </c>
      <c r="D12952" s="7">
        <v>1.96</v>
      </c>
      <c r="E12952" t="s">
        <v>47</v>
      </c>
    </row>
    <row r="12953" spans="1:5" x14ac:dyDescent="0.25">
      <c r="A12953" t="str">
        <f>HYPERLINK("https://www.773grp.com/globalSearch/IRF710/page-1", "IRF710")</f>
        <v>IRF710</v>
      </c>
      <c r="B12953" s="3" t="str">
        <f>HYPERLINK("https://www.773grp.com/manufacturer/onsemi?pageNo=820", "Onsemi")</f>
        <v>Onsemi</v>
      </c>
      <c r="C12953" s="6">
        <v>4400</v>
      </c>
      <c r="D12953" s="7">
        <v>1.96</v>
      </c>
      <c r="E12953" t="s">
        <v>84</v>
      </c>
    </row>
    <row r="12954" spans="1:5" x14ac:dyDescent="0.25">
      <c r="A12954" t="str">
        <f>HYPERLINK("https://www.773grp.com/globalSearch/LA42072N-E/page-1", "LA42072N-E")</f>
        <v>LA42072N-E</v>
      </c>
      <c r="B12954" s="3" t="str">
        <f>HYPERLINK("https://www.773grp.com/manufacturer/onsemi?pageNo=821", "Onsemi")</f>
        <v>Onsemi</v>
      </c>
      <c r="C12954" s="6">
        <v>3000</v>
      </c>
      <c r="D12954" s="7">
        <v>1.96</v>
      </c>
    </row>
    <row r="12955" spans="1:5" x14ac:dyDescent="0.25">
      <c r="A12955" t="str">
        <f>HYPERLINK("https://www.773grp.com/globalSearch/LM833NG/page-1", "LM833NG")</f>
        <v>LM833NG</v>
      </c>
      <c r="B12955" s="3" t="str">
        <f>HYPERLINK("https://www.773grp.com/manufacturer/onsemi?pageNo=822", "Onsemi")</f>
        <v>Onsemi</v>
      </c>
      <c r="C12955" s="6">
        <v>1706</v>
      </c>
      <c r="D12955" s="7">
        <v>1.96</v>
      </c>
      <c r="E12955" t="s">
        <v>14</v>
      </c>
    </row>
    <row r="12956" spans="1:5" x14ac:dyDescent="0.25">
      <c r="A12956" t="str">
        <f>HYPERLINK("https://www.773grp.com/globalSearch/LP2951ACD-3.3R/page-1", "LP2951ACD-3.3R")</f>
        <v>LP2951ACD-3.3R</v>
      </c>
      <c r="B12956" s="3" t="str">
        <f>HYPERLINK("https://www.773grp.com/manufacturer/onsemi?pageNo=823", "Onsemi")</f>
        <v>Onsemi</v>
      </c>
      <c r="C12956" s="6">
        <v>5000</v>
      </c>
      <c r="D12956" s="7">
        <v>1.96</v>
      </c>
    </row>
    <row r="12957" spans="1:5" x14ac:dyDescent="0.25">
      <c r="A12957" t="str">
        <f>HYPERLINK("https://www.773grp.com/globalSearch/MBRF30L60CTG/page-1", "MBRF30L60CTG")</f>
        <v>MBRF30L60CTG</v>
      </c>
      <c r="B12957" s="3" t="str">
        <f>HYPERLINK("https://www.773grp.com/manufacturer/onsemi?pageNo=824", "Onsemi")</f>
        <v>Onsemi</v>
      </c>
      <c r="C12957" s="6">
        <v>500</v>
      </c>
      <c r="D12957" s="7">
        <v>1.96</v>
      </c>
      <c r="E12957" t="s">
        <v>82</v>
      </c>
    </row>
    <row r="12958" spans="1:5" x14ac:dyDescent="0.25">
      <c r="A12958" t="str">
        <f>HYPERLINK("https://www.773grp.com/globalSearch/MC14066BCL/page-1", "MC14066BCL")</f>
        <v>MC14066BCL</v>
      </c>
      <c r="B12958" s="3" t="str">
        <f>HYPERLINK("https://www.773grp.com/manufacturer/onsemi?pageNo=825", "Onsemi")</f>
        <v>Onsemi</v>
      </c>
      <c r="C12958" s="6">
        <v>1</v>
      </c>
      <c r="D12958" s="7">
        <v>1.96</v>
      </c>
      <c r="E12958" t="s">
        <v>46</v>
      </c>
    </row>
    <row r="12959" spans="1:5" x14ac:dyDescent="0.25">
      <c r="A12959" t="str">
        <f>HYPERLINK("https://www.773grp.com/globalSearch/MC1416BP/page-1", "MC1416BP")</f>
        <v>MC1416BP</v>
      </c>
      <c r="B12959" s="3" t="str">
        <f>HYPERLINK("https://www.773grp.com/manufacturer/onsemi?pageNo=826", "Onsemi")</f>
        <v>Onsemi</v>
      </c>
      <c r="C12959" s="6">
        <v>2811</v>
      </c>
      <c r="D12959" s="7">
        <v>1.96</v>
      </c>
      <c r="E12959" t="s">
        <v>47</v>
      </c>
    </row>
    <row r="12960" spans="1:5" x14ac:dyDescent="0.25">
      <c r="A12960" t="str">
        <f>HYPERLINK("https://www.773grp.com/globalSearch/MC33078P/page-1", "MC33078P")</f>
        <v>MC33078P</v>
      </c>
      <c r="B12960" s="3" t="str">
        <f>HYPERLINK("https://www.773grp.com/manufacturer/onsemi?pageNo=827", "Onsemi")</f>
        <v>Onsemi</v>
      </c>
      <c r="C12960" s="6">
        <v>450</v>
      </c>
      <c r="D12960" s="7">
        <v>1.96</v>
      </c>
    </row>
    <row r="12961" spans="1:5" x14ac:dyDescent="0.25">
      <c r="A12961" t="str">
        <f>HYPERLINK("https://www.773grp.com/globalSearch/MC33078PG/page-1", "MC33078PG")</f>
        <v>MC33078PG</v>
      </c>
      <c r="B12961" s="3" t="str">
        <f>HYPERLINK("https://www.773grp.com/manufacturer/onsemi?pageNo=828", "Onsemi")</f>
        <v>Onsemi</v>
      </c>
      <c r="C12961" s="6">
        <v>99498</v>
      </c>
      <c r="D12961" s="7">
        <v>1.96</v>
      </c>
      <c r="E12961" t="s">
        <v>10</v>
      </c>
    </row>
    <row r="12962" spans="1:5" x14ac:dyDescent="0.25">
      <c r="A12962" t="str">
        <f>HYPERLINK("https://www.773grp.com/globalSearch/MC33160DW/page-1", "MC33160DW")</f>
        <v>MC33160DW</v>
      </c>
      <c r="B12962" s="3" t="str">
        <f>HYPERLINK("https://www.773grp.com/manufacturer/onsemi?pageNo=829", "Onsemi")</f>
        <v>Onsemi</v>
      </c>
      <c r="C12962" s="6">
        <v>62</v>
      </c>
      <c r="D12962" s="7">
        <v>1.96</v>
      </c>
      <c r="E12962" t="s">
        <v>24</v>
      </c>
    </row>
    <row r="12963" spans="1:5" x14ac:dyDescent="0.25">
      <c r="A12963" t="str">
        <f>HYPERLINK("https://www.773grp.com/globalSearch/MC33164D-3R2/page-1", "MC33164D-3R2")</f>
        <v>MC33164D-3R2</v>
      </c>
      <c r="B12963" s="3" t="str">
        <f>HYPERLINK("https://www.773grp.com/manufacturer/onsemi?pageNo=830", "Onsemi")</f>
        <v>Onsemi</v>
      </c>
      <c r="C12963" s="6">
        <v>7500</v>
      </c>
      <c r="D12963" s="7">
        <v>1.96</v>
      </c>
      <c r="E12963" t="s">
        <v>26</v>
      </c>
    </row>
    <row r="12964" spans="1:5" x14ac:dyDescent="0.25">
      <c r="A12964" t="str">
        <f>HYPERLINK("https://www.773grp.com/globalSearch/MC74F259N/page-1", "MC74F259N")</f>
        <v>MC74F259N</v>
      </c>
      <c r="B12964" s="3" t="str">
        <f>HYPERLINK("https://www.773grp.com/manufacturer/onsemi?pageNo=831", "Onsemi")</f>
        <v>Onsemi</v>
      </c>
      <c r="C12964" s="6">
        <v>1500</v>
      </c>
      <c r="D12964" s="7">
        <v>1.96</v>
      </c>
      <c r="E12964" t="s">
        <v>31</v>
      </c>
    </row>
    <row r="12965" spans="1:5" x14ac:dyDescent="0.25">
      <c r="A12965" t="str">
        <f>HYPERLINK("https://www.773grp.com/globalSearch/MC74F399M/page-1", "MC74F399M")</f>
        <v>MC74F399M</v>
      </c>
      <c r="B12965" s="3" t="str">
        <f>HYPERLINK("https://www.773grp.com/manufacturer/onsemi?pageNo=832", "Onsemi")</f>
        <v>Onsemi</v>
      </c>
      <c r="C12965" s="6">
        <v>1563</v>
      </c>
      <c r="D12965" s="7">
        <v>1.96</v>
      </c>
    </row>
    <row r="12966" spans="1:5" x14ac:dyDescent="0.25">
      <c r="A12966" t="str">
        <f>HYPERLINK("https://www.773grp.com/globalSearch/MC74F399N/page-1", "MC74F399N")</f>
        <v>MC74F399N</v>
      </c>
      <c r="B12966" s="3" t="str">
        <f>HYPERLINK("https://www.773grp.com/manufacturer/onsemi?pageNo=833", "Onsemi")</f>
        <v>Onsemi</v>
      </c>
      <c r="C12966" s="6">
        <v>18889</v>
      </c>
      <c r="D12966" s="7">
        <v>1.96</v>
      </c>
      <c r="E12966" t="s">
        <v>31</v>
      </c>
    </row>
    <row r="12967" spans="1:5" x14ac:dyDescent="0.25">
      <c r="A12967" t="str">
        <f>HYPERLINK("https://www.773grp.com/globalSearch/MJE18204/page-1", "MJE18204")</f>
        <v>MJE18204</v>
      </c>
      <c r="B12967" s="3" t="str">
        <f>HYPERLINK("https://www.773grp.com/manufacturer/onsemi?pageNo=834", "Onsemi")</f>
        <v>Onsemi</v>
      </c>
      <c r="C12967" s="6">
        <v>67261</v>
      </c>
      <c r="D12967" s="7">
        <v>1.96</v>
      </c>
      <c r="E12967" t="s">
        <v>47</v>
      </c>
    </row>
    <row r="12968" spans="1:5" x14ac:dyDescent="0.25">
      <c r="A12968" t="str">
        <f>HYPERLINK("https://www.773grp.com/globalSearch/MTAJ3055EL/page-1", "MTAJ3055EL")</f>
        <v>MTAJ3055EL</v>
      </c>
      <c r="B12968" s="3" t="str">
        <f>HYPERLINK("https://www.773grp.com/manufacturer/onsemi?pageNo=835", "Onsemi")</f>
        <v>Onsemi</v>
      </c>
      <c r="C12968" s="6">
        <v>36786</v>
      </c>
      <c r="D12968" s="7">
        <v>1.96</v>
      </c>
    </row>
    <row r="12969" spans="1:5" x14ac:dyDescent="0.25">
      <c r="A12969" t="str">
        <f>HYPERLINK("https://www.773grp.com/globalSearch/NCP1072P065G/page-1", "NCP1072P065G")</f>
        <v>NCP1072P065G</v>
      </c>
      <c r="B12969" s="3" t="str">
        <f>HYPERLINK("https://www.773grp.com/manufacturer/onsemi?pageNo=836", "Onsemi")</f>
        <v>Onsemi</v>
      </c>
      <c r="C12969" s="6">
        <v>2700</v>
      </c>
      <c r="D12969" s="7">
        <v>1.96</v>
      </c>
    </row>
    <row r="12970" spans="1:5" x14ac:dyDescent="0.25">
      <c r="A12970" t="str">
        <f>HYPERLINK("https://www.773grp.com/globalSearch/NCP1072P100G/page-1", "NCP1072P100G")</f>
        <v>NCP1072P100G</v>
      </c>
      <c r="B12970" s="3" t="str">
        <f>HYPERLINK("https://www.773grp.com/manufacturer/onsemi?pageNo=837", "Onsemi")</f>
        <v>Onsemi</v>
      </c>
      <c r="C12970" s="6">
        <v>850</v>
      </c>
      <c r="D12970" s="7">
        <v>1.96</v>
      </c>
    </row>
    <row r="12971" spans="1:5" x14ac:dyDescent="0.25">
      <c r="A12971" t="str">
        <f>HYPERLINK("https://www.773grp.com/globalSearch/NCP1075P065G/page-1", "NCP1075P065G")</f>
        <v>NCP1075P065G</v>
      </c>
      <c r="B12971" s="3" t="str">
        <f>HYPERLINK("https://www.773grp.com/manufacturer/onsemi?pageNo=838", "Onsemi")</f>
        <v>Onsemi</v>
      </c>
      <c r="C12971" s="6">
        <v>33650</v>
      </c>
      <c r="D12971" s="7">
        <v>1.96</v>
      </c>
    </row>
    <row r="12972" spans="1:5" x14ac:dyDescent="0.25">
      <c r="A12972" t="str">
        <f>HYPERLINK("https://www.773grp.com/globalSearch/NCP1086ST-ADJT3G/page-1", "NCP1086ST-ADJT3G")</f>
        <v>NCP1086ST-ADJT3G</v>
      </c>
      <c r="B12972" s="3" t="str">
        <f>HYPERLINK("https://www.773grp.com/manufacturer/onsemi?pageNo=839", "Onsemi")</f>
        <v>Onsemi</v>
      </c>
      <c r="C12972" s="6">
        <v>62999</v>
      </c>
      <c r="D12972" s="7">
        <v>1.96</v>
      </c>
      <c r="E12972" t="s">
        <v>21</v>
      </c>
    </row>
    <row r="12973" spans="1:5" x14ac:dyDescent="0.25">
      <c r="A12973" t="str">
        <f>HYPERLINK("https://www.773grp.com/globalSearch/NCP1611ADR2G/page-1", "NCP1611ADR2G")</f>
        <v>NCP1611ADR2G</v>
      </c>
      <c r="B12973" s="3" t="str">
        <f>HYPERLINK("https://www.773grp.com/manufacturer/onsemi?pageNo=840", "Onsemi")</f>
        <v>Onsemi</v>
      </c>
      <c r="C12973" s="6">
        <v>11000</v>
      </c>
      <c r="D12973" s="7">
        <v>1.96</v>
      </c>
    </row>
    <row r="12974" spans="1:5" x14ac:dyDescent="0.25">
      <c r="A12974" t="str">
        <f>HYPERLINK("https://www.773grp.com/globalSearch/NCP362CMUTBG/page-1", "NCP362CMUTBG")</f>
        <v>NCP362CMUTBG</v>
      </c>
      <c r="B12974" s="3" t="str">
        <f>HYPERLINK("https://www.773grp.com/manufacturer/onsemi?pageNo=841", "Onsemi")</f>
        <v>Onsemi</v>
      </c>
      <c r="C12974" s="6">
        <v>580</v>
      </c>
      <c r="D12974" s="7">
        <v>1.96</v>
      </c>
    </row>
    <row r="12975" spans="1:5" x14ac:dyDescent="0.25">
      <c r="A12975" t="str">
        <f>HYPERLINK("https://www.773grp.com/globalSearch/NCV33172DR2G/page-1", "NCV33172DR2G")</f>
        <v>NCV33172DR2G</v>
      </c>
      <c r="B12975" s="3" t="str">
        <f>HYPERLINK("https://www.773grp.com/manufacturer/onsemi?pageNo=842", "Onsemi")</f>
        <v>Onsemi</v>
      </c>
      <c r="C12975" s="6">
        <v>1777</v>
      </c>
      <c r="D12975" s="7">
        <v>1.96</v>
      </c>
    </row>
    <row r="12976" spans="1:5" x14ac:dyDescent="0.25">
      <c r="A12976" t="str">
        <f>HYPERLINK("https://www.773grp.com/globalSearch/NE5532D8G/page-1", "NE5532D8G")</f>
        <v>NE5532D8G</v>
      </c>
      <c r="B12976" s="3" t="str">
        <f>HYPERLINK("https://www.773grp.com/manufacturer/onsemi?pageNo=843", "Onsemi")</f>
        <v>Onsemi</v>
      </c>
      <c r="C12976" s="6">
        <v>22709</v>
      </c>
      <c r="D12976" s="7">
        <v>1.96</v>
      </c>
      <c r="E12976" t="s">
        <v>10</v>
      </c>
    </row>
    <row r="12977" spans="1:5" x14ac:dyDescent="0.25">
      <c r="A12977" t="str">
        <f>HYPERLINK("https://www.773grp.com/globalSearch/NE5532D8R2G/page-1", "NE5532D8R2G")</f>
        <v>NE5532D8R2G</v>
      </c>
      <c r="B12977" s="3" t="str">
        <f>HYPERLINK("https://www.773grp.com/manufacturer/onsemi?pageNo=844", "Onsemi")</f>
        <v>Onsemi</v>
      </c>
      <c r="C12977" s="6">
        <v>14979</v>
      </c>
      <c r="D12977" s="7">
        <v>1.96</v>
      </c>
      <c r="E12977" t="s">
        <v>10</v>
      </c>
    </row>
    <row r="12978" spans="1:5" x14ac:dyDescent="0.25">
      <c r="A12978" t="str">
        <f>HYPERLINK("https://www.773grp.com/globalSearch/NLAS4684MNR2G/page-1", "NLAS4684MNR2G")</f>
        <v>NLAS4684MNR2G</v>
      </c>
      <c r="B12978" s="3" t="str">
        <f>HYPERLINK("https://www.773grp.com/manufacturer/onsemi?pageNo=845", "Onsemi")</f>
        <v>Onsemi</v>
      </c>
      <c r="C12978" s="6">
        <v>251513</v>
      </c>
      <c r="D12978" s="7">
        <v>1.96</v>
      </c>
      <c r="E12978" t="s">
        <v>46</v>
      </c>
    </row>
    <row r="12979" spans="1:5" x14ac:dyDescent="0.25">
      <c r="A12979" t="str">
        <f>HYPERLINK("https://www.773grp.com/globalSearch/NTD6415AN-1G/page-1", "NTD6415AN-1G")</f>
        <v>NTD6415AN-1G</v>
      </c>
      <c r="B12979" s="3" t="str">
        <f>HYPERLINK("https://www.773grp.com/manufacturer/onsemi?pageNo=846", "Onsemi")</f>
        <v>Onsemi</v>
      </c>
      <c r="C12979" s="6">
        <v>750</v>
      </c>
      <c r="D12979" s="7">
        <v>1.96</v>
      </c>
    </row>
    <row r="12980" spans="1:5" x14ac:dyDescent="0.25">
      <c r="A12980" t="str">
        <f>HYPERLINK("https://www.773grp.com/globalSearch/NTD6415ANLT4G/page-1", "NTD6415ANLT4G")</f>
        <v>NTD6415ANLT4G</v>
      </c>
      <c r="B12980" s="3" t="str">
        <f>HYPERLINK("https://www.773grp.com/manufacturer/onsemi?pageNo=847", "Onsemi")</f>
        <v>Onsemi</v>
      </c>
      <c r="C12980" s="6">
        <v>15000</v>
      </c>
      <c r="D12980" s="7">
        <v>1.96</v>
      </c>
      <c r="E12980" t="s">
        <v>84</v>
      </c>
    </row>
    <row r="12981" spans="1:5" x14ac:dyDescent="0.25">
      <c r="A12981" t="str">
        <f>HYPERLINK("https://www.773grp.com/globalSearch/NUS5530MNR2G/page-1", "NUS5530MNR2G")</f>
        <v>NUS5530MNR2G</v>
      </c>
      <c r="B12981" s="3" t="str">
        <f>HYPERLINK("https://www.773grp.com/manufacturer/onsemi?pageNo=848", "Onsemi")</f>
        <v>Onsemi</v>
      </c>
      <c r="C12981" s="6">
        <v>75255</v>
      </c>
      <c r="D12981" s="7">
        <v>1.96</v>
      </c>
      <c r="E12981" t="s">
        <v>84</v>
      </c>
    </row>
    <row r="12982" spans="1:5" x14ac:dyDescent="0.25">
      <c r="A12982" t="str">
        <f>HYPERLINK("https://www.773grp.com/globalSearch/SC3302DR2G/page-1", "SC3302DR2G")</f>
        <v>SC3302DR2G</v>
      </c>
      <c r="B12982" s="3" t="str">
        <f>HYPERLINK("https://www.773grp.com/manufacturer/onsemi?pageNo=849", "Onsemi")</f>
        <v>Onsemi</v>
      </c>
      <c r="C12982" s="6">
        <v>3112</v>
      </c>
      <c r="D12982" s="7">
        <v>1.96</v>
      </c>
    </row>
    <row r="12983" spans="1:5" x14ac:dyDescent="0.25">
      <c r="A12983" t="str">
        <f>HYPERLINK("https://www.773grp.com/globalSearch/SPQ1592/page-1", "SPQ1592")</f>
        <v>SPQ1592</v>
      </c>
      <c r="B12983" s="3" t="str">
        <f>HYPERLINK("https://www.773grp.com/manufacturer/onsemi?pageNo=850", "Onsemi")</f>
        <v>Onsemi</v>
      </c>
      <c r="C12983" s="6">
        <v>18179</v>
      </c>
      <c r="D12983" s="7">
        <v>1.96</v>
      </c>
    </row>
    <row r="12984" spans="1:5" x14ac:dyDescent="0.25">
      <c r="A12984" t="str">
        <f>HYPERLINK("https://www.773grp.com/globalSearch/TL494CDG/page-1", "TL494CDG")</f>
        <v>TL494CDG</v>
      </c>
      <c r="B12984" s="3" t="str">
        <f>HYPERLINK("https://www.773grp.com/manufacturer/onsemi?pageNo=851", "Onsemi")</f>
        <v>Onsemi</v>
      </c>
      <c r="C12984" s="6">
        <v>7974</v>
      </c>
      <c r="D12984" s="7">
        <v>1.96</v>
      </c>
      <c r="E12984" t="s">
        <v>5</v>
      </c>
    </row>
    <row r="12985" spans="1:5" x14ac:dyDescent="0.25">
      <c r="A12985" t="str">
        <f>HYPERLINK("https://www.773grp.com/globalSearch/TL494CDR2/page-1", "TL494CDR2")</f>
        <v>TL494CDR2</v>
      </c>
      <c r="B12985" s="3" t="str">
        <f>HYPERLINK("https://www.773grp.com/manufacturer/onsemi?pageNo=852", "Onsemi")</f>
        <v>Onsemi</v>
      </c>
      <c r="C12985" s="6">
        <v>2500</v>
      </c>
      <c r="D12985" s="7">
        <v>1.96</v>
      </c>
      <c r="E12985" t="s">
        <v>5</v>
      </c>
    </row>
    <row r="12986" spans="1:5" x14ac:dyDescent="0.25">
      <c r="A12986" t="str">
        <f>HYPERLINK("https://www.773grp.com/globalSearch/TL494CDR2G/page-1", "TL494CDR2G")</f>
        <v>TL494CDR2G</v>
      </c>
      <c r="B12986" s="3" t="str">
        <f>HYPERLINK("https://www.773grp.com/manufacturer/onsemi?pageNo=853", "Onsemi")</f>
        <v>Onsemi</v>
      </c>
      <c r="C12986" s="6">
        <v>53470</v>
      </c>
      <c r="D12986" s="7">
        <v>1.96</v>
      </c>
      <c r="E12986" t="s">
        <v>5</v>
      </c>
    </row>
    <row r="12987" spans="1:5" x14ac:dyDescent="0.25">
      <c r="A12987" t="str">
        <f>HYPERLINK("https://www.773grp.com/globalSearch/BTB08-800BW3G/page-1", "BTB08-800BW3G")</f>
        <v>BTB08-800BW3G</v>
      </c>
      <c r="B12987" s="3" t="str">
        <f>HYPERLINK("https://www.773grp.com/manufacturer/onsemi?pageNo=854", "Onsemi")</f>
        <v>Onsemi</v>
      </c>
      <c r="C12987" s="6">
        <v>300</v>
      </c>
      <c r="D12987" s="7">
        <v>2.0099999999999998</v>
      </c>
      <c r="E12987" t="s">
        <v>81</v>
      </c>
    </row>
    <row r="12988" spans="1:5" x14ac:dyDescent="0.25">
      <c r="A12988" t="str">
        <f>HYPERLINK("https://www.773grp.com/globalSearch/BTB08-800CW3G/page-1", "BTB08-800CW3G")</f>
        <v>BTB08-800CW3G</v>
      </c>
      <c r="B12988" s="3" t="str">
        <f>HYPERLINK("https://www.773grp.com/manufacturer/onsemi?pageNo=855", "Onsemi")</f>
        <v>Onsemi</v>
      </c>
      <c r="C12988" s="6">
        <v>4000</v>
      </c>
      <c r="D12988" s="7">
        <v>2.0099999999999998</v>
      </c>
      <c r="E12988" t="s">
        <v>81</v>
      </c>
    </row>
    <row r="12989" spans="1:5" x14ac:dyDescent="0.25">
      <c r="A12989" t="str">
        <f>HYPERLINK("https://www.773grp.com/globalSearch/BTB12-600BW3G/page-1", "BTB12-600BW3G")</f>
        <v>BTB12-600BW3G</v>
      </c>
      <c r="B12989" s="3" t="str">
        <f>HYPERLINK("https://www.773grp.com/manufacturer/onsemi?pageNo=856", "Onsemi")</f>
        <v>Onsemi</v>
      </c>
      <c r="C12989" s="6">
        <v>28103</v>
      </c>
      <c r="D12989" s="7">
        <v>2.0099999999999998</v>
      </c>
      <c r="E12989" t="s">
        <v>81</v>
      </c>
    </row>
    <row r="12990" spans="1:5" x14ac:dyDescent="0.25">
      <c r="A12990" t="str">
        <f>HYPERLINK("https://www.773grp.com/globalSearch/BTB12-600CW3G/page-1", "BTB12-600CW3G")</f>
        <v>BTB12-600CW3G</v>
      </c>
      <c r="B12990" s="3" t="str">
        <f>HYPERLINK("https://www.773grp.com/manufacturer/onsemi?pageNo=857", "Onsemi")</f>
        <v>Onsemi</v>
      </c>
      <c r="C12990" s="6">
        <v>54602</v>
      </c>
      <c r="D12990" s="7">
        <v>2.0099999999999998</v>
      </c>
      <c r="E12990" t="s">
        <v>81</v>
      </c>
    </row>
    <row r="12991" spans="1:5" x14ac:dyDescent="0.25">
      <c r="A12991" t="str">
        <f>HYPERLINK("https://www.773grp.com/globalSearch/BTB12-600TW3G/page-1", "BTB12-600TW3G")</f>
        <v>BTB12-600TW3G</v>
      </c>
      <c r="B12991" s="3" t="str">
        <f>HYPERLINK("https://www.773grp.com/manufacturer/onsemi?pageNo=858", "Onsemi")</f>
        <v>Onsemi</v>
      </c>
      <c r="C12991" s="6">
        <v>100</v>
      </c>
      <c r="D12991" s="7">
        <v>2.0099999999999998</v>
      </c>
    </row>
    <row r="12992" spans="1:5" x14ac:dyDescent="0.25">
      <c r="A12992" t="str">
        <f>HYPERLINK("https://www.773grp.com/globalSearch/CAT24C164YI-GT3/page-1", "CAT24C164YI-GT3")</f>
        <v>CAT24C164YI-GT3</v>
      </c>
      <c r="B12992" s="3" t="str">
        <f>HYPERLINK("https://www.773grp.com/manufacturer/onsemi?pageNo=859", "Onsemi")</f>
        <v>Onsemi</v>
      </c>
      <c r="C12992" s="6">
        <v>8800</v>
      </c>
      <c r="D12992" s="7">
        <v>2.0099999999999998</v>
      </c>
      <c r="E12992" t="s">
        <v>52</v>
      </c>
    </row>
    <row r="12993" spans="1:5" x14ac:dyDescent="0.25">
      <c r="A12993" t="str">
        <f>HYPERLINK("https://www.773grp.com/globalSearch/CAT24C21LI/page-1", "CAT24C21LI")</f>
        <v>CAT24C21LI</v>
      </c>
      <c r="B12993" s="3" t="str">
        <f>HYPERLINK("https://www.773grp.com/manufacturer/onsemi?pageNo=860", "Onsemi")</f>
        <v>Onsemi</v>
      </c>
      <c r="C12993" s="6">
        <v>1700</v>
      </c>
      <c r="D12993" s="7">
        <v>2.0099999999999998</v>
      </c>
      <c r="E12993" t="s">
        <v>52</v>
      </c>
    </row>
    <row r="12994" spans="1:5" x14ac:dyDescent="0.25">
      <c r="A12994" t="str">
        <f>HYPERLINK("https://www.773grp.com/globalSearch/CAT25256XI-T2/page-1", "CAT25256XI-T2")</f>
        <v>CAT25256XI-T2</v>
      </c>
      <c r="B12994" s="3" t="str">
        <f>HYPERLINK("https://www.773grp.com/manufacturer/onsemi?pageNo=861", "Onsemi")</f>
        <v>Onsemi</v>
      </c>
      <c r="C12994" s="6">
        <v>190</v>
      </c>
      <c r="D12994" s="7">
        <v>2.0099999999999998</v>
      </c>
    </row>
    <row r="12995" spans="1:5" x14ac:dyDescent="0.25">
      <c r="A12995" t="str">
        <f>HYPERLINK("https://www.773grp.com/globalSearch/CAT3643HV2-GT2/page-1", "CAT3643HV2-GT2")</f>
        <v>CAT3643HV2-GT2</v>
      </c>
      <c r="B12995" s="3" t="str">
        <f>HYPERLINK("https://www.773grp.com/manufacturer/onsemi?pageNo=862", "Onsemi")</f>
        <v>Onsemi</v>
      </c>
      <c r="C12995" s="6">
        <v>18000</v>
      </c>
      <c r="D12995" s="7">
        <v>2.0099999999999998</v>
      </c>
      <c r="E12995" t="s">
        <v>7</v>
      </c>
    </row>
    <row r="12996" spans="1:5" x14ac:dyDescent="0.25">
      <c r="A12996" t="str">
        <f>HYPERLINK("https://www.773grp.com/globalSearch/CAT3643HV3-GT2/page-1", "CAT3643HV3-GT2")</f>
        <v>CAT3643HV3-GT2</v>
      </c>
      <c r="B12996" s="3" t="str">
        <f>HYPERLINK("https://www.773grp.com/manufacturer/onsemi?pageNo=863", "Onsemi")</f>
        <v>Onsemi</v>
      </c>
      <c r="C12996" s="6">
        <v>42000</v>
      </c>
      <c r="D12996" s="7">
        <v>2.0099999999999998</v>
      </c>
      <c r="E12996" t="s">
        <v>7</v>
      </c>
    </row>
    <row r="12997" spans="1:5" x14ac:dyDescent="0.25">
      <c r="A12997" t="str">
        <f>HYPERLINK("https://www.773grp.com/globalSearch/CAT3643HV3-T2/page-1", "CAT3643HV3-T2")</f>
        <v>CAT3643HV3-T2</v>
      </c>
      <c r="B12997" s="3" t="str">
        <f>HYPERLINK("https://www.773grp.com/manufacturer/onsemi?pageNo=864", "Onsemi")</f>
        <v>Onsemi</v>
      </c>
      <c r="C12997" s="6">
        <v>8000</v>
      </c>
      <c r="D12997" s="7">
        <v>2.0099999999999998</v>
      </c>
      <c r="E12997" t="s">
        <v>7</v>
      </c>
    </row>
    <row r="12998" spans="1:5" x14ac:dyDescent="0.25">
      <c r="A12998" t="str">
        <f>HYPERLINK("https://www.773grp.com/globalSearch/CAT3647HV3-GT2/page-1", "CAT3647HV3-GT2")</f>
        <v>CAT3647HV3-GT2</v>
      </c>
      <c r="B12998" s="3" t="str">
        <f>HYPERLINK("https://www.773grp.com/manufacturer/onsemi?pageNo=865", "Onsemi")</f>
        <v>Onsemi</v>
      </c>
      <c r="C12998" s="6">
        <v>10000</v>
      </c>
      <c r="D12998" s="7">
        <v>2.0099999999999998</v>
      </c>
      <c r="E12998" t="s">
        <v>7</v>
      </c>
    </row>
    <row r="12999" spans="1:5" x14ac:dyDescent="0.25">
      <c r="A12999" t="str">
        <f>HYPERLINK("https://www.773grp.com/globalSearch/CAT6221-PFTD-GT3/page-1", "CAT6221-PFTD-GT3")</f>
        <v>CAT6221-PFTD-GT3</v>
      </c>
      <c r="B12999" s="3" t="str">
        <f>HYPERLINK("https://www.773grp.com/manufacturer/onsemi?pageNo=866", "Onsemi")</f>
        <v>Onsemi</v>
      </c>
      <c r="C12999" s="6">
        <v>6000</v>
      </c>
      <c r="D12999" s="7">
        <v>2.0099999999999998</v>
      </c>
    </row>
    <row r="13000" spans="1:5" x14ac:dyDescent="0.25">
      <c r="A13000" t="str">
        <f>HYPERLINK("https://www.773grp.com/globalSearch/CS1108EDFR8/page-1", "CS1108EDFR8")</f>
        <v>CS1108EDFR8</v>
      </c>
      <c r="B13000" s="3" t="str">
        <f>HYPERLINK("https://www.773grp.com/manufacturer/onsemi?pageNo=867", "Onsemi")</f>
        <v>Onsemi</v>
      </c>
      <c r="C13000" s="6">
        <v>2400</v>
      </c>
      <c r="D13000" s="7">
        <v>2.0099999999999998</v>
      </c>
      <c r="E13000" t="s">
        <v>8</v>
      </c>
    </row>
    <row r="13001" spans="1:5" x14ac:dyDescent="0.25">
      <c r="A13001" t="str">
        <f>HYPERLINK("https://www.773grp.com/globalSearch/CS5231-3GDP5/page-1", "CS5231-3GDP5")</f>
        <v>CS5231-3GDP5</v>
      </c>
      <c r="B13001" s="3" t="str">
        <f>HYPERLINK("https://www.773grp.com/manufacturer/onsemi?pageNo=868", "Onsemi")</f>
        <v>Onsemi</v>
      </c>
      <c r="C13001" s="6">
        <v>3200</v>
      </c>
      <c r="D13001" s="7">
        <v>2.0099999999999998</v>
      </c>
      <c r="E13001" t="s">
        <v>15</v>
      </c>
    </row>
    <row r="13002" spans="1:5" x14ac:dyDescent="0.25">
      <c r="A13002" t="str">
        <f>HYPERLINK("https://www.773grp.com/globalSearch/CS5231-3GDPR5/page-1", "CS5231-3GDPR5")</f>
        <v>CS5231-3GDPR5</v>
      </c>
      <c r="B13002" s="3" t="str">
        <f>HYPERLINK("https://www.773grp.com/manufacturer/onsemi?pageNo=869", "Onsemi")</f>
        <v>Onsemi</v>
      </c>
      <c r="C13002" s="6">
        <v>18750</v>
      </c>
      <c r="D13002" s="7">
        <v>2.0099999999999998</v>
      </c>
      <c r="E13002" t="s">
        <v>15</v>
      </c>
    </row>
    <row r="13003" spans="1:5" x14ac:dyDescent="0.25">
      <c r="A13003" t="str">
        <f>HYPERLINK("https://www.773grp.com/globalSearch/IRF630/page-1", "IRF630")</f>
        <v>IRF630</v>
      </c>
      <c r="B13003" s="3" t="str">
        <f>HYPERLINK("https://www.773grp.com/manufacturer/onsemi?pageNo=870", "Onsemi")</f>
        <v>Onsemi</v>
      </c>
      <c r="C13003" s="6">
        <v>7915</v>
      </c>
      <c r="D13003" s="7">
        <v>2.0099999999999998</v>
      </c>
      <c r="E13003" t="s">
        <v>84</v>
      </c>
    </row>
    <row r="13004" spans="1:5" x14ac:dyDescent="0.25">
      <c r="A13004" t="str">
        <f>HYPERLINK("https://www.773grp.com/globalSearch/LP2950CDT/page-1", "LP2950CDT")</f>
        <v>LP2950CDT</v>
      </c>
      <c r="B13004" s="3" t="str">
        <f>HYPERLINK("https://www.773grp.com/manufacturer/onsemi?pageNo=871", "Onsemi")</f>
        <v>Onsemi</v>
      </c>
      <c r="C13004" s="6">
        <v>542</v>
      </c>
      <c r="D13004" s="7">
        <v>2.0099999999999998</v>
      </c>
    </row>
    <row r="13005" spans="1:5" x14ac:dyDescent="0.25">
      <c r="A13005" t="str">
        <f>HYPERLINK("https://www.773grp.com/globalSearch/MAC12D/page-1", "MAC12D")</f>
        <v>MAC12D</v>
      </c>
      <c r="B13005" s="3" t="str">
        <f>HYPERLINK("https://www.773grp.com/manufacturer/onsemi?pageNo=872", "Onsemi")</f>
        <v>Onsemi</v>
      </c>
      <c r="C13005" s="6">
        <v>2055</v>
      </c>
      <c r="D13005" s="7">
        <v>2.0099999999999998</v>
      </c>
      <c r="E13005" t="s">
        <v>81</v>
      </c>
    </row>
    <row r="13006" spans="1:5" x14ac:dyDescent="0.25">
      <c r="A13006" t="str">
        <f>HYPERLINK("https://www.773grp.com/globalSearch/MAC12DG/page-1", "MAC12DG")</f>
        <v>MAC12DG</v>
      </c>
      <c r="B13006" s="3" t="str">
        <f>HYPERLINK("https://www.773grp.com/manufacturer/onsemi?pageNo=873", "Onsemi")</f>
        <v>Onsemi</v>
      </c>
      <c r="C13006" s="6">
        <v>17</v>
      </c>
      <c r="D13006" s="7">
        <v>2.0099999999999998</v>
      </c>
      <c r="E13006" t="s">
        <v>81</v>
      </c>
    </row>
    <row r="13007" spans="1:5" x14ac:dyDescent="0.25">
      <c r="A13007" t="str">
        <f>HYPERLINK("https://www.773grp.com/globalSearch/MAC12MG/page-1", "MAC12MG")</f>
        <v>MAC12MG</v>
      </c>
      <c r="B13007" s="3" t="str">
        <f>HYPERLINK("https://www.773grp.com/manufacturer/onsemi?pageNo=874", "Onsemi")</f>
        <v>Onsemi</v>
      </c>
      <c r="C13007" s="6">
        <v>3846</v>
      </c>
      <c r="D13007" s="7">
        <v>2.0099999999999998</v>
      </c>
      <c r="E13007" t="s">
        <v>81</v>
      </c>
    </row>
    <row r="13008" spans="1:5" x14ac:dyDescent="0.25">
      <c r="A13008" t="str">
        <f>HYPERLINK("https://www.773grp.com/globalSearch/MAC12NG/page-1", "MAC12NG")</f>
        <v>MAC12NG</v>
      </c>
      <c r="B13008" s="3" t="str">
        <f>HYPERLINK("https://www.773grp.com/manufacturer/onsemi?pageNo=875", "Onsemi")</f>
        <v>Onsemi</v>
      </c>
      <c r="C13008" s="6">
        <v>1123</v>
      </c>
      <c r="D13008" s="7">
        <v>2.0099999999999998</v>
      </c>
    </row>
    <row r="13009" spans="1:5" x14ac:dyDescent="0.25">
      <c r="A13009" t="str">
        <f>HYPERLINK("https://www.773grp.com/globalSearch/MAC212A10FP/page-1", "MAC212A10FP")</f>
        <v>MAC212A10FP</v>
      </c>
      <c r="B13009" s="3" t="str">
        <f>HYPERLINK("https://www.773grp.com/manufacturer/onsemi?pageNo=876", "Onsemi")</f>
        <v>Onsemi</v>
      </c>
      <c r="C13009" s="6">
        <v>18227</v>
      </c>
      <c r="D13009" s="7">
        <v>2.0099999999999998</v>
      </c>
      <c r="E13009" t="s">
        <v>81</v>
      </c>
    </row>
    <row r="13010" spans="1:5" x14ac:dyDescent="0.25">
      <c r="A13010" t="str">
        <f>HYPERLINK("https://www.773grp.com/globalSearch/MAC212A8FP/page-1", "MAC212A8FP")</f>
        <v>MAC212A8FP</v>
      </c>
      <c r="B13010" s="3" t="str">
        <f>HYPERLINK("https://www.773grp.com/manufacturer/onsemi?pageNo=877", "Onsemi")</f>
        <v>Onsemi</v>
      </c>
      <c r="C13010" s="6">
        <v>13185</v>
      </c>
      <c r="D13010" s="7">
        <v>2.0099999999999998</v>
      </c>
      <c r="E13010" t="s">
        <v>81</v>
      </c>
    </row>
    <row r="13011" spans="1:5" x14ac:dyDescent="0.25">
      <c r="A13011" t="str">
        <f>HYPERLINK("https://www.773grp.com/globalSearch/MAC223A6FP/page-1", "MAC223A6FP")</f>
        <v>MAC223A6FP</v>
      </c>
      <c r="B13011" s="3" t="str">
        <f>HYPERLINK("https://www.773grp.com/manufacturer/onsemi?pageNo=878", "Onsemi")</f>
        <v>Onsemi</v>
      </c>
      <c r="C13011" s="6">
        <v>3567</v>
      </c>
      <c r="D13011" s="7">
        <v>2.0099999999999998</v>
      </c>
      <c r="E13011" t="s">
        <v>81</v>
      </c>
    </row>
    <row r="13012" spans="1:5" x14ac:dyDescent="0.25">
      <c r="A13012" t="str">
        <f>HYPERLINK("https://www.773grp.com/globalSearch/MAC223A6FP/page-1", "MAC223A6FP")</f>
        <v>MAC223A6FP</v>
      </c>
      <c r="B13012" s="3" t="str">
        <f>HYPERLINK("https://www.773grp.com/manufacturer/onsemi?pageNo=879", "Onsemi")</f>
        <v>Onsemi</v>
      </c>
      <c r="C13012" s="6">
        <v>9995</v>
      </c>
      <c r="D13012" s="7">
        <v>2.0099999999999998</v>
      </c>
      <c r="E13012" t="s">
        <v>81</v>
      </c>
    </row>
    <row r="13013" spans="1:5" x14ac:dyDescent="0.25">
      <c r="A13013" t="str">
        <f>HYPERLINK("https://www.773grp.com/globalSearch/MAC8DG/page-1", "MAC8DG")</f>
        <v>MAC8DG</v>
      </c>
      <c r="B13013" s="3" t="str">
        <f>HYPERLINK("https://www.773grp.com/manufacturer/onsemi?pageNo=880", "Onsemi")</f>
        <v>Onsemi</v>
      </c>
      <c r="C13013" s="6">
        <v>18858</v>
      </c>
      <c r="D13013" s="7">
        <v>2.0099999999999998</v>
      </c>
      <c r="E13013" t="s">
        <v>81</v>
      </c>
    </row>
    <row r="13014" spans="1:5" x14ac:dyDescent="0.25">
      <c r="A13014" t="str">
        <f>HYPERLINK("https://www.773grp.com/globalSearch/MAC8MG/page-1", "MAC8MG")</f>
        <v>MAC8MG</v>
      </c>
      <c r="B13014" s="3" t="str">
        <f>HYPERLINK("https://www.773grp.com/manufacturer/onsemi?pageNo=881", "Onsemi")</f>
        <v>Onsemi</v>
      </c>
      <c r="C13014" s="6">
        <v>1700</v>
      </c>
      <c r="D13014" s="7">
        <v>2.0099999999999998</v>
      </c>
      <c r="E13014" t="s">
        <v>81</v>
      </c>
    </row>
    <row r="13015" spans="1:5" x14ac:dyDescent="0.25">
      <c r="A13015" t="str">
        <f>HYPERLINK("https://www.773grp.com/globalSearch/MAC8NG/page-1", "MAC8NG")</f>
        <v>MAC8NG</v>
      </c>
      <c r="B13015" s="3" t="str">
        <f>HYPERLINK("https://www.773grp.com/manufacturer/onsemi?pageNo=882", "Onsemi")</f>
        <v>Onsemi</v>
      </c>
      <c r="C13015" s="6">
        <v>1050</v>
      </c>
      <c r="D13015" s="7">
        <v>2.0099999999999998</v>
      </c>
    </row>
    <row r="13016" spans="1:5" x14ac:dyDescent="0.25">
      <c r="A13016" t="str">
        <f>HYPERLINK("https://www.773grp.com/globalSearch/MAC9DG/page-1", "MAC9DG")</f>
        <v>MAC9DG</v>
      </c>
      <c r="B13016" s="3" t="str">
        <f>HYPERLINK("https://www.773grp.com/manufacturer/onsemi?pageNo=883", "Onsemi")</f>
        <v>Onsemi</v>
      </c>
      <c r="C13016" s="6">
        <v>237</v>
      </c>
      <c r="D13016" s="7">
        <v>2.0099999999999998</v>
      </c>
      <c r="E13016" t="s">
        <v>81</v>
      </c>
    </row>
    <row r="13017" spans="1:5" x14ac:dyDescent="0.25">
      <c r="A13017" t="str">
        <f>HYPERLINK("https://www.773grp.com/globalSearch/MAC9MG/page-1", "MAC9MG")</f>
        <v>MAC9MG</v>
      </c>
      <c r="B13017" s="3" t="str">
        <f>HYPERLINK("https://www.773grp.com/manufacturer/onsemi?pageNo=884", "Onsemi")</f>
        <v>Onsemi</v>
      </c>
      <c r="C13017" s="6">
        <v>111</v>
      </c>
      <c r="D13017" s="7">
        <v>2.0099999999999998</v>
      </c>
      <c r="E13017" t="s">
        <v>81</v>
      </c>
    </row>
    <row r="13018" spans="1:5" x14ac:dyDescent="0.25">
      <c r="A13018" t="str">
        <f>HYPERLINK("https://www.773grp.com/globalSearch/MAC9NG/page-1", "MAC9NG")</f>
        <v>MAC9NG</v>
      </c>
      <c r="B13018" s="3" t="str">
        <f>HYPERLINK("https://www.773grp.com/manufacturer/onsemi?pageNo=885", "Onsemi")</f>
        <v>Onsemi</v>
      </c>
      <c r="C13018" s="6">
        <v>694</v>
      </c>
      <c r="D13018" s="7">
        <v>2.0099999999999998</v>
      </c>
      <c r="E13018" t="s">
        <v>81</v>
      </c>
    </row>
    <row r="13019" spans="1:5" x14ac:dyDescent="0.25">
      <c r="A13019" t="str">
        <f>HYPERLINK("https://www.773grp.com/globalSearch/MBR735G/page-1", "MBR735G")</f>
        <v>MBR735G</v>
      </c>
      <c r="B13019" s="3" t="str">
        <f>HYPERLINK("https://www.773grp.com/manufacturer/onsemi?pageNo=886", "Onsemi")</f>
        <v>Onsemi</v>
      </c>
      <c r="C13019" s="6">
        <v>45554</v>
      </c>
      <c r="D13019" s="7">
        <v>2.0099999999999998</v>
      </c>
      <c r="E13019" t="s">
        <v>82</v>
      </c>
    </row>
    <row r="13020" spans="1:5" x14ac:dyDescent="0.25">
      <c r="A13020" t="str">
        <f>HYPERLINK("https://www.773grp.com/globalSearch/MBR745G/page-1", "MBR745G")</f>
        <v>MBR745G</v>
      </c>
      <c r="B13020" s="3" t="str">
        <f>HYPERLINK("https://www.773grp.com/manufacturer/onsemi?pageNo=887", "Onsemi")</f>
        <v>Onsemi</v>
      </c>
      <c r="C13020" s="6">
        <v>2400</v>
      </c>
      <c r="D13020" s="7">
        <v>2.0099999999999998</v>
      </c>
      <c r="E13020" t="s">
        <v>82</v>
      </c>
    </row>
    <row r="13021" spans="1:5" x14ac:dyDescent="0.25">
      <c r="A13021" t="str">
        <f>HYPERLINK("https://www.773grp.com/globalSearch/MBRD5H100T4G/page-1", "MBRD5H100T4G")</f>
        <v>MBRD5H100T4G</v>
      </c>
      <c r="B13021" s="3" t="str">
        <f>HYPERLINK("https://www.773grp.com/manufacturer/onsemi?pageNo=888", "Onsemi")</f>
        <v>Onsemi</v>
      </c>
      <c r="C13021" s="6">
        <v>17500</v>
      </c>
      <c r="D13021" s="7">
        <v>2.0099999999999998</v>
      </c>
      <c r="E13021" t="s">
        <v>82</v>
      </c>
    </row>
    <row r="13022" spans="1:5" x14ac:dyDescent="0.25">
      <c r="A13022" t="str">
        <f>HYPERLINK("https://www.773grp.com/globalSearch/MBRF20L80CTG/page-1", "MBRF20L80CTG")</f>
        <v>MBRF20L80CTG</v>
      </c>
      <c r="B13022" s="3" t="str">
        <f>HYPERLINK("https://www.773grp.com/manufacturer/onsemi?pageNo=889", "Onsemi")</f>
        <v>Onsemi</v>
      </c>
      <c r="C13022" s="6">
        <v>7921</v>
      </c>
      <c r="D13022" s="7">
        <v>2.0099999999999998</v>
      </c>
    </row>
    <row r="13023" spans="1:5" x14ac:dyDescent="0.25">
      <c r="A13023" t="str">
        <f>HYPERLINK("https://www.773grp.com/globalSearch/MC14538BFELG/page-1", "MC14538BFELG")</f>
        <v>MC14538BFELG</v>
      </c>
      <c r="B13023" s="3" t="str">
        <f>HYPERLINK("https://www.773grp.com/manufacturer/onsemi?pageNo=890", "Onsemi")</f>
        <v>Onsemi</v>
      </c>
      <c r="C13023" s="6">
        <v>355</v>
      </c>
      <c r="D13023" s="7">
        <v>2.0099999999999998</v>
      </c>
      <c r="E13023" t="s">
        <v>44</v>
      </c>
    </row>
    <row r="13024" spans="1:5" x14ac:dyDescent="0.25">
      <c r="A13024" t="str">
        <f>HYPERLINK("https://www.773grp.com/globalSearch/MC14538BFG/page-1", "MC14538BFG")</f>
        <v>MC14538BFG</v>
      </c>
      <c r="B13024" s="3" t="str">
        <f>HYPERLINK("https://www.773grp.com/manufacturer/onsemi?pageNo=891", "Onsemi")</f>
        <v>Onsemi</v>
      </c>
      <c r="C13024" s="6">
        <v>500</v>
      </c>
      <c r="D13024" s="7">
        <v>2.0099999999999998</v>
      </c>
      <c r="E13024" t="s">
        <v>44</v>
      </c>
    </row>
    <row r="13025" spans="1:5" x14ac:dyDescent="0.25">
      <c r="A13025" t="str">
        <f>HYPERLINK("https://www.773grp.com/globalSearch/MC33063AVDG/page-1", "MC33063AVDG")</f>
        <v>MC33063AVDG</v>
      </c>
      <c r="B13025" s="3" t="str">
        <f>HYPERLINK("https://www.773grp.com/manufacturer/onsemi?pageNo=892", "Onsemi")</f>
        <v>Onsemi</v>
      </c>
      <c r="C13025" s="6">
        <v>11956</v>
      </c>
      <c r="D13025" s="7">
        <v>2.0099999999999998</v>
      </c>
    </row>
    <row r="13026" spans="1:5" x14ac:dyDescent="0.25">
      <c r="A13026" t="str">
        <f>HYPERLINK("https://www.773grp.com/globalSearch/MC33063AVDR2G/page-1", "MC33063AVDR2G")</f>
        <v>MC33063AVDR2G</v>
      </c>
      <c r="B13026" s="3" t="str">
        <f>HYPERLINK("https://www.773grp.com/manufacturer/onsemi?pageNo=893", "Onsemi")</f>
        <v>Onsemi</v>
      </c>
      <c r="C13026" s="6">
        <v>6499</v>
      </c>
      <c r="D13026" s="7">
        <v>2.0099999999999998</v>
      </c>
      <c r="E13026" t="s">
        <v>5</v>
      </c>
    </row>
    <row r="13027" spans="1:5" x14ac:dyDescent="0.25">
      <c r="A13027" t="str">
        <f>HYPERLINK("https://www.773grp.com/globalSearch/MC33174DR2G/page-1", "MC33174DR2G")</f>
        <v>MC33174DR2G</v>
      </c>
      <c r="B13027" s="3" t="str">
        <f>HYPERLINK("https://www.773grp.com/manufacturer/onsemi?pageNo=894", "Onsemi")</f>
        <v>Onsemi</v>
      </c>
      <c r="C13027" s="6">
        <v>14457</v>
      </c>
      <c r="D13027" s="7">
        <v>2.0099999999999998</v>
      </c>
      <c r="E13027" t="s">
        <v>10</v>
      </c>
    </row>
    <row r="13028" spans="1:5" x14ac:dyDescent="0.25">
      <c r="A13028" t="str">
        <f>HYPERLINK("https://www.773grp.com/globalSearch/MC33202VDG/page-1", "MC33202VDG")</f>
        <v>MC33202VDG</v>
      </c>
      <c r="B13028" s="3" t="str">
        <f>HYPERLINK("https://www.773grp.com/manufacturer/onsemi?pageNo=895", "Onsemi")</f>
        <v>Onsemi</v>
      </c>
      <c r="C13028" s="6">
        <v>56976</v>
      </c>
      <c r="D13028" s="7">
        <v>2.0099999999999998</v>
      </c>
      <c r="E13028" t="s">
        <v>10</v>
      </c>
    </row>
    <row r="13029" spans="1:5" x14ac:dyDescent="0.25">
      <c r="A13029" t="str">
        <f>HYPERLINK("https://www.773grp.com/globalSearch/MC33565DG/page-1", "MC33565DG")</f>
        <v>MC33565DG</v>
      </c>
      <c r="B13029" s="3" t="str">
        <f>HYPERLINK("https://www.773grp.com/manufacturer/onsemi?pageNo=896", "Onsemi")</f>
        <v>Onsemi</v>
      </c>
      <c r="C13029" s="6">
        <v>852</v>
      </c>
      <c r="D13029" s="7">
        <v>2.0099999999999998</v>
      </c>
      <c r="E13029" t="s">
        <v>15</v>
      </c>
    </row>
    <row r="13030" spans="1:5" x14ac:dyDescent="0.25">
      <c r="A13030" t="str">
        <f>HYPERLINK("https://www.773grp.com/globalSearch/MC34063AM/page-1", "MC34063AM")</f>
        <v>MC34063AM</v>
      </c>
      <c r="B13030" s="3" t="str">
        <f>HYPERLINK("https://www.773grp.com/manufacturer/onsemi?pageNo=897", "Onsemi")</f>
        <v>Onsemi</v>
      </c>
      <c r="C13030" s="6">
        <v>12</v>
      </c>
      <c r="D13030" s="7">
        <v>2.0099999999999998</v>
      </c>
      <c r="E13030" t="s">
        <v>5</v>
      </c>
    </row>
    <row r="13031" spans="1:5" x14ac:dyDescent="0.25">
      <c r="A13031" t="str">
        <f>HYPERLINK("https://www.773grp.com/globalSearch/MC74ACT533DW/page-1", "MC74ACT533DW")</f>
        <v>MC74ACT533DW</v>
      </c>
      <c r="B13031" s="3" t="str">
        <f>HYPERLINK("https://www.773grp.com/manufacturer/onsemi?pageNo=898", "Onsemi")</f>
        <v>Onsemi</v>
      </c>
      <c r="C13031" s="6">
        <v>1482</v>
      </c>
      <c r="D13031" s="7">
        <v>2.0099999999999998</v>
      </c>
      <c r="E13031" t="s">
        <v>11</v>
      </c>
    </row>
    <row r="13032" spans="1:5" x14ac:dyDescent="0.25">
      <c r="A13032" t="str">
        <f>HYPERLINK("https://www.773grp.com/globalSearch/MC74ACT534DW/page-1", "MC74ACT534DW")</f>
        <v>MC74ACT534DW</v>
      </c>
      <c r="B13032" s="3" t="str">
        <f>HYPERLINK("https://www.773grp.com/manufacturer/onsemi?pageNo=899", "Onsemi")</f>
        <v>Onsemi</v>
      </c>
      <c r="C13032" s="6">
        <v>1216</v>
      </c>
      <c r="D13032" s="7">
        <v>2.0099999999999998</v>
      </c>
      <c r="E13032" t="s">
        <v>11</v>
      </c>
    </row>
    <row r="13033" spans="1:5" x14ac:dyDescent="0.25">
      <c r="A13033" t="str">
        <f>HYPERLINK("https://www.773grp.com/globalSearch/MC74ACT563DW/page-1", "MC74ACT563DW")</f>
        <v>MC74ACT563DW</v>
      </c>
      <c r="B13033" s="3" t="str">
        <f>HYPERLINK("https://www.773grp.com/manufacturer/onsemi?pageNo=900", "Onsemi")</f>
        <v>Onsemi</v>
      </c>
      <c r="C13033" s="6">
        <v>341</v>
      </c>
      <c r="D13033" s="7">
        <v>2.0099999999999998</v>
      </c>
      <c r="E13033" t="s">
        <v>11</v>
      </c>
    </row>
    <row r="13034" spans="1:5" x14ac:dyDescent="0.25">
      <c r="A13034" t="str">
        <f>HYPERLINK("https://www.773grp.com/globalSearch/MC74ACT563DWR2/page-1", "MC74ACT563DWR2")</f>
        <v>MC74ACT563DWR2</v>
      </c>
      <c r="B13034" s="3" t="str">
        <f>HYPERLINK("https://www.773grp.com/manufacturer/onsemi?pageNo=901", "Onsemi")</f>
        <v>Onsemi</v>
      </c>
      <c r="C13034" s="6">
        <v>1000</v>
      </c>
      <c r="D13034" s="7">
        <v>2.0099999999999998</v>
      </c>
      <c r="E13034" t="s">
        <v>11</v>
      </c>
    </row>
    <row r="13035" spans="1:5" x14ac:dyDescent="0.25">
      <c r="A13035" t="str">
        <f>HYPERLINK("https://www.773grp.com/globalSearch/MC74ACT563N/page-1", "MC74ACT563N")</f>
        <v>MC74ACT563N</v>
      </c>
      <c r="B13035" s="3" t="str">
        <f>HYPERLINK("https://www.773grp.com/manufacturer/onsemi?pageNo=902", "Onsemi")</f>
        <v>Onsemi</v>
      </c>
      <c r="C13035" s="6">
        <v>362</v>
      </c>
      <c r="D13035" s="7">
        <v>2.0099999999999998</v>
      </c>
      <c r="E13035" t="s">
        <v>11</v>
      </c>
    </row>
    <row r="13036" spans="1:5" x14ac:dyDescent="0.25">
      <c r="A13036" t="str">
        <f>HYPERLINK("https://www.773grp.com/globalSearch/MC74ACT646N/page-1", "MC74ACT646N")</f>
        <v>MC74ACT646N</v>
      </c>
      <c r="B13036" s="3" t="str">
        <f>HYPERLINK("https://www.773grp.com/manufacturer/onsemi?pageNo=903", "Onsemi")</f>
        <v>Onsemi</v>
      </c>
      <c r="C13036" s="6">
        <v>11910</v>
      </c>
      <c r="D13036" s="7">
        <v>2.0099999999999998</v>
      </c>
      <c r="E13036" t="s">
        <v>11</v>
      </c>
    </row>
    <row r="13037" spans="1:5" x14ac:dyDescent="0.25">
      <c r="A13037" t="str">
        <f>HYPERLINK("https://www.773grp.com/globalSearch/MC74F181N/page-1", "MC74F181N")</f>
        <v>MC74F181N</v>
      </c>
      <c r="B13037" s="3" t="str">
        <f>HYPERLINK("https://www.773grp.com/manufacturer/onsemi?pageNo=904", "Onsemi")</f>
        <v>Onsemi</v>
      </c>
      <c r="C13037" s="6">
        <v>7078</v>
      </c>
      <c r="D13037" s="7">
        <v>2.0099999999999998</v>
      </c>
      <c r="E13037" t="s">
        <v>38</v>
      </c>
    </row>
    <row r="13038" spans="1:5" x14ac:dyDescent="0.25">
      <c r="A13038" t="str">
        <f>HYPERLINK("https://www.773grp.com/globalSearch/MC74F182N/page-1", "MC74F182N")</f>
        <v>MC74F182N</v>
      </c>
      <c r="B13038" s="3" t="str">
        <f>HYPERLINK("https://www.773grp.com/manufacturer/onsemi?pageNo=905", "Onsemi")</f>
        <v>Onsemi</v>
      </c>
      <c r="C13038" s="6">
        <v>5400</v>
      </c>
      <c r="D13038" s="7">
        <v>2.0099999999999998</v>
      </c>
      <c r="E13038" t="s">
        <v>38</v>
      </c>
    </row>
    <row r="13039" spans="1:5" x14ac:dyDescent="0.25">
      <c r="A13039" t="str">
        <f>HYPERLINK("https://www.773grp.com/globalSearch/MCNCP301LSN21T1/page-1", "MCNCP301LSN21T1")</f>
        <v>MCNCP301LSN21T1</v>
      </c>
      <c r="B13039" s="3" t="str">
        <f>HYPERLINK("https://www.773grp.com/manufacturer/onsemi?pageNo=906", "Onsemi")</f>
        <v>Onsemi</v>
      </c>
      <c r="C13039" s="6">
        <v>3000</v>
      </c>
      <c r="D13039" s="7">
        <v>2.0099999999999998</v>
      </c>
    </row>
    <row r="13040" spans="1:5" x14ac:dyDescent="0.25">
      <c r="A13040" t="str">
        <f>HYPERLINK("https://www.773grp.com/globalSearch/MCR8M/page-1", "MCR8M")</f>
        <v>MCR8M</v>
      </c>
      <c r="B13040" s="3" t="str">
        <f>HYPERLINK("https://www.773grp.com/manufacturer/onsemi?pageNo=907", "Onsemi")</f>
        <v>Onsemi</v>
      </c>
      <c r="C13040" s="6">
        <v>24150</v>
      </c>
      <c r="D13040" s="7">
        <v>2.0099999999999998</v>
      </c>
      <c r="E13040" t="s">
        <v>76</v>
      </c>
    </row>
    <row r="13041" spans="1:5" x14ac:dyDescent="0.25">
      <c r="A13041" t="str">
        <f>HYPERLINK("https://www.773grp.com/globalSearch/MJE15030/page-1", "MJE15030")</f>
        <v>MJE15030</v>
      </c>
      <c r="B13041" s="3" t="str">
        <f>HYPERLINK("https://www.773grp.com/manufacturer/onsemi?pageNo=908", "Onsemi")</f>
        <v>Onsemi</v>
      </c>
      <c r="C13041" s="6">
        <v>11512</v>
      </c>
      <c r="D13041" s="7">
        <v>2.0099999999999998</v>
      </c>
      <c r="E13041" t="s">
        <v>47</v>
      </c>
    </row>
    <row r="13042" spans="1:5" x14ac:dyDescent="0.25">
      <c r="A13042" t="str">
        <f>HYPERLINK("https://www.773grp.com/globalSearch/MJE15035/page-1", "MJE15035")</f>
        <v>MJE15035</v>
      </c>
      <c r="B13042" s="3" t="str">
        <f>HYPERLINK("https://www.773grp.com/manufacturer/onsemi?pageNo=909", "Onsemi")</f>
        <v>Onsemi</v>
      </c>
      <c r="C13042" s="6">
        <v>599</v>
      </c>
      <c r="D13042" s="7">
        <v>2.0099999999999998</v>
      </c>
      <c r="E13042" t="s">
        <v>47</v>
      </c>
    </row>
    <row r="13043" spans="1:5" x14ac:dyDescent="0.25">
      <c r="A13043" t="str">
        <f>HYPERLINK("https://www.773grp.com/globalSearch/MJE18004G/page-1", "MJE18004G")</f>
        <v>MJE18004G</v>
      </c>
      <c r="B13043" s="3" t="str">
        <f>HYPERLINK("https://www.773grp.com/manufacturer/onsemi?pageNo=910", "Onsemi")</f>
        <v>Onsemi</v>
      </c>
      <c r="C13043" s="6">
        <v>4850</v>
      </c>
      <c r="D13043" s="7">
        <v>2.0099999999999998</v>
      </c>
      <c r="E13043" t="s">
        <v>47</v>
      </c>
    </row>
    <row r="13044" spans="1:5" x14ac:dyDescent="0.25">
      <c r="A13044" t="str">
        <f>HYPERLINK("https://www.773grp.com/globalSearch/MJE18206/page-1", "MJE18206")</f>
        <v>MJE18206</v>
      </c>
      <c r="B13044" s="3" t="str">
        <f>HYPERLINK("https://www.773grp.com/manufacturer/onsemi?pageNo=911", "Onsemi")</f>
        <v>Onsemi</v>
      </c>
      <c r="C13044" s="6">
        <v>12098</v>
      </c>
      <c r="D13044" s="7">
        <v>2.0099999999999998</v>
      </c>
      <c r="E13044" t="s">
        <v>47</v>
      </c>
    </row>
    <row r="13045" spans="1:5" x14ac:dyDescent="0.25">
      <c r="A13045" t="str">
        <f>HYPERLINK("https://www.773grp.com/globalSearch/MJF122G/page-1", "MJF122G")</f>
        <v>MJF122G</v>
      </c>
      <c r="B13045" s="3" t="str">
        <f>HYPERLINK("https://www.773grp.com/manufacturer/onsemi?pageNo=912", "Onsemi")</f>
        <v>Onsemi</v>
      </c>
      <c r="C13045" s="6">
        <v>4</v>
      </c>
      <c r="D13045" s="7">
        <v>2.0099999999999998</v>
      </c>
      <c r="E13045" t="s">
        <v>47</v>
      </c>
    </row>
    <row r="13046" spans="1:5" x14ac:dyDescent="0.25">
      <c r="A13046" t="str">
        <f>HYPERLINK("https://www.773grp.com/globalSearch/MMSF3P02HDR2/page-1", "MMSF3P02HDR2")</f>
        <v>MMSF3P02HDR2</v>
      </c>
      <c r="B13046" s="3" t="str">
        <f>HYPERLINK("https://www.773grp.com/manufacturer/onsemi?pageNo=913", "Onsemi")</f>
        <v>Onsemi</v>
      </c>
      <c r="C13046" s="6">
        <v>2500</v>
      </c>
      <c r="D13046" s="7">
        <v>2.0099999999999998</v>
      </c>
      <c r="E13046" t="s">
        <v>84</v>
      </c>
    </row>
    <row r="13047" spans="1:5" x14ac:dyDescent="0.25">
      <c r="A13047" t="str">
        <f>HYPERLINK("https://www.773grp.com/globalSearch/MUR1640CT/page-1", "MUR1640CT")</f>
        <v>MUR1640CT</v>
      </c>
      <c r="B13047" s="3" t="str">
        <f>HYPERLINK("https://www.773grp.com/manufacturer/onsemi?pageNo=914", "Onsemi")</f>
        <v>Onsemi</v>
      </c>
      <c r="C13047" s="6">
        <v>20468</v>
      </c>
      <c r="D13047" s="7">
        <v>2.0099999999999998</v>
      </c>
      <c r="E13047" t="s">
        <v>82</v>
      </c>
    </row>
    <row r="13048" spans="1:5" x14ac:dyDescent="0.25">
      <c r="A13048" t="str">
        <f>HYPERLINK("https://www.773grp.com/globalSearch/MURD310T4/page-1", "MURD310T4")</f>
        <v>MURD310T4</v>
      </c>
      <c r="B13048" s="3" t="str">
        <f>HYPERLINK("https://www.773grp.com/manufacturer/onsemi?pageNo=915", "Onsemi")</f>
        <v>Onsemi</v>
      </c>
      <c r="C13048" s="6">
        <v>5000</v>
      </c>
      <c r="D13048" s="7">
        <v>2.0099999999999998</v>
      </c>
    </row>
    <row r="13049" spans="1:5" x14ac:dyDescent="0.25">
      <c r="A13049" t="str">
        <f>HYPERLINK("https://www.773grp.com/globalSearch/MURD320T4/page-1", "MURD320T4")</f>
        <v>MURD320T4</v>
      </c>
      <c r="B13049" s="3" t="str">
        <f>HYPERLINK("https://www.773grp.com/manufacturer/onsemi?pageNo=916", "Onsemi")</f>
        <v>Onsemi</v>
      </c>
      <c r="C13049" s="6">
        <v>2500</v>
      </c>
      <c r="D13049" s="7">
        <v>2.0099999999999998</v>
      </c>
    </row>
    <row r="13050" spans="1:5" x14ac:dyDescent="0.25">
      <c r="A13050" t="str">
        <f>HYPERLINK("https://www.773grp.com/globalSearch/NB2304AC1D/page-1", "NB2304AC1D")</f>
        <v>NB2304AC1D</v>
      </c>
      <c r="B13050" s="3" t="str">
        <f>HYPERLINK("https://www.773grp.com/manufacturer/onsemi?pageNo=917", "Onsemi")</f>
        <v>Onsemi</v>
      </c>
      <c r="C13050" s="6">
        <v>461</v>
      </c>
      <c r="D13050" s="7">
        <v>2.0099999999999998</v>
      </c>
      <c r="E13050" t="s">
        <v>30</v>
      </c>
    </row>
    <row r="13051" spans="1:5" x14ac:dyDescent="0.25">
      <c r="A13051" t="str">
        <f>HYPERLINK("https://www.773grp.com/globalSearch/NCP1011APL065R2G/page-1", "NCP1011APL065R2G")</f>
        <v>NCP1011APL065R2G</v>
      </c>
      <c r="B13051" s="3" t="str">
        <f>HYPERLINK("https://www.773grp.com/manufacturer/onsemi?pageNo=918", "Onsemi")</f>
        <v>Onsemi</v>
      </c>
      <c r="C13051" s="6">
        <v>6250</v>
      </c>
      <c r="D13051" s="7">
        <v>2.0099999999999998</v>
      </c>
      <c r="E13051" t="s">
        <v>5</v>
      </c>
    </row>
    <row r="13052" spans="1:5" x14ac:dyDescent="0.25">
      <c r="A13052" t="str">
        <f>HYPERLINK("https://www.773grp.com/globalSearch/NCP1011APL130R2G/page-1", "NCP1011APL130R2G")</f>
        <v>NCP1011APL130R2G</v>
      </c>
      <c r="B13052" s="3" t="str">
        <f>HYPERLINK("https://www.773grp.com/manufacturer/onsemi?pageNo=919", "Onsemi")</f>
        <v>Onsemi</v>
      </c>
      <c r="C13052" s="6">
        <v>119734</v>
      </c>
      <c r="D13052" s="7">
        <v>2.0099999999999998</v>
      </c>
      <c r="E13052" t="s">
        <v>5</v>
      </c>
    </row>
    <row r="13053" spans="1:5" x14ac:dyDescent="0.25">
      <c r="A13053" t="str">
        <f>HYPERLINK("https://www.773grp.com/globalSearch/NCP1232DR2/page-1", "NCP1232DR2")</f>
        <v>NCP1232DR2</v>
      </c>
      <c r="B13053" s="3" t="str">
        <f>HYPERLINK("https://www.773grp.com/manufacturer/onsemi?pageNo=920", "Onsemi")</f>
        <v>Onsemi</v>
      </c>
      <c r="C13053" s="6">
        <v>49400</v>
      </c>
      <c r="D13053" s="7">
        <v>2.0099999999999998</v>
      </c>
      <c r="E13053" t="s">
        <v>26</v>
      </c>
    </row>
    <row r="13054" spans="1:5" x14ac:dyDescent="0.25">
      <c r="A13054" t="str">
        <f>HYPERLINK("https://www.773grp.com/globalSearch/NCP3064MNTXG/page-1", "NCP3064MNTXG")</f>
        <v>NCP3064MNTXG</v>
      </c>
      <c r="B13054" s="3" t="str">
        <f>HYPERLINK("https://www.773grp.com/manufacturer/onsemi?pageNo=921", "Onsemi")</f>
        <v>Onsemi</v>
      </c>
      <c r="C13054" s="6">
        <v>4000</v>
      </c>
      <c r="D13054" s="7">
        <v>2.0099999999999998</v>
      </c>
    </row>
    <row r="13055" spans="1:5" x14ac:dyDescent="0.25">
      <c r="A13055" t="str">
        <f>HYPERLINK("https://www.773grp.com/globalSearch/NCP348AEMUTBG/page-1", "NCP348AEMUTBG")</f>
        <v>NCP348AEMUTBG</v>
      </c>
      <c r="B13055" s="3" t="str">
        <f>HYPERLINK("https://www.773grp.com/manufacturer/onsemi?pageNo=922", "Onsemi")</f>
        <v>Onsemi</v>
      </c>
      <c r="C13055" s="6">
        <v>41915</v>
      </c>
      <c r="D13055" s="7">
        <v>2.0099999999999998</v>
      </c>
    </row>
    <row r="13056" spans="1:5" x14ac:dyDescent="0.25">
      <c r="A13056" t="str">
        <f>HYPERLINK("https://www.773grp.com/globalSearch/NCP4623HSN100T1G/page-1", "NCP4623HSN100T1G")</f>
        <v>NCP4623HSN100T1G</v>
      </c>
      <c r="B13056" s="3" t="str">
        <f>HYPERLINK("https://www.773grp.com/manufacturer/onsemi?pageNo=923", "Onsemi")</f>
        <v>Onsemi</v>
      </c>
      <c r="C13056" s="6">
        <v>1688</v>
      </c>
      <c r="D13056" s="7">
        <v>2.0099999999999998</v>
      </c>
    </row>
    <row r="13057" spans="1:5" x14ac:dyDescent="0.25">
      <c r="A13057" t="str">
        <f>HYPERLINK("https://www.773grp.com/globalSearch/NCV3063DR2G/page-1", "NCV3063DR2G")</f>
        <v>NCV3063DR2G</v>
      </c>
      <c r="B13057" s="3" t="str">
        <f>HYPERLINK("https://www.773grp.com/manufacturer/onsemi?pageNo=924", "Onsemi")</f>
        <v>Onsemi</v>
      </c>
      <c r="C13057" s="6">
        <v>37678</v>
      </c>
      <c r="D13057" s="7">
        <v>2.0099999999999998</v>
      </c>
      <c r="E13057" t="s">
        <v>5</v>
      </c>
    </row>
    <row r="13058" spans="1:5" x14ac:dyDescent="0.25">
      <c r="A13058" t="str">
        <f>HYPERLINK("https://www.773grp.com/globalSearch/NCV317MBDTG/page-1", "NCV317MBDTG")</f>
        <v>NCV317MBDTG</v>
      </c>
      <c r="B13058" s="3" t="str">
        <f>HYPERLINK("https://www.773grp.com/manufacturer/onsemi?pageNo=925", "Onsemi")</f>
        <v>Onsemi</v>
      </c>
      <c r="C13058" s="6">
        <v>4350</v>
      </c>
      <c r="D13058" s="7">
        <v>2.0099999999999998</v>
      </c>
      <c r="E13058" t="s">
        <v>18</v>
      </c>
    </row>
    <row r="13059" spans="1:5" x14ac:dyDescent="0.25">
      <c r="A13059" t="str">
        <f>HYPERLINK("https://www.773grp.com/globalSearch/NCV33063AVDR2G/page-1", "NCV33063AVDR2G")</f>
        <v>NCV33063AVDR2G</v>
      </c>
      <c r="B13059" s="3" t="str">
        <f>HYPERLINK("https://www.773grp.com/manufacturer/onsemi?pageNo=926", "Onsemi")</f>
        <v>Onsemi</v>
      </c>
      <c r="C13059" s="6">
        <v>5000</v>
      </c>
      <c r="D13059" s="7">
        <v>2.0099999999999998</v>
      </c>
      <c r="E13059" t="s">
        <v>5</v>
      </c>
    </row>
    <row r="13060" spans="1:5" x14ac:dyDescent="0.25">
      <c r="A13060" t="str">
        <f>HYPERLINK("https://www.773grp.com/globalSearch/NCV33064P-5RA/page-1", "NCV33064P-5RA")</f>
        <v>NCV33064P-5RA</v>
      </c>
      <c r="B13060" s="3" t="str">
        <f>HYPERLINK("https://www.773grp.com/manufacturer/onsemi?pageNo=927", "Onsemi")</f>
        <v>Onsemi</v>
      </c>
      <c r="C13060" s="6">
        <v>2000</v>
      </c>
      <c r="D13060" s="7">
        <v>2.0099999999999998</v>
      </c>
      <c r="E13060" t="s">
        <v>26</v>
      </c>
    </row>
    <row r="13061" spans="1:5" x14ac:dyDescent="0.25">
      <c r="A13061" t="str">
        <f>HYPERLINK("https://www.773grp.com/globalSearch/NCV33064P-5RP/page-1", "NCV33064P-5RP")</f>
        <v>NCV33064P-5RP</v>
      </c>
      <c r="B13061" s="3" t="str">
        <f>HYPERLINK("https://www.773grp.com/manufacturer/onsemi?pageNo=928", "Onsemi")</f>
        <v>Onsemi</v>
      </c>
      <c r="C13061" s="6">
        <v>4000</v>
      </c>
      <c r="D13061" s="7">
        <v>2.0099999999999998</v>
      </c>
      <c r="E13061" t="s">
        <v>26</v>
      </c>
    </row>
    <row r="13062" spans="1:5" x14ac:dyDescent="0.25">
      <c r="A13062" t="str">
        <f>HYPERLINK("https://www.773grp.com/globalSearch/NCV7356D2/page-1", "NCV7356D2")</f>
        <v>NCV7356D2</v>
      </c>
      <c r="B13062" s="3" t="str">
        <f>HYPERLINK("https://www.773grp.com/manufacturer/onsemi?pageNo=929", "Onsemi")</f>
        <v>Onsemi</v>
      </c>
      <c r="C13062" s="6">
        <v>5940</v>
      </c>
      <c r="D13062" s="7">
        <v>2.0099999999999998</v>
      </c>
      <c r="E13062" t="s">
        <v>45</v>
      </c>
    </row>
    <row r="13063" spans="1:5" x14ac:dyDescent="0.25">
      <c r="A13063" t="str">
        <f>HYPERLINK("https://www.773grp.com/globalSearch/NCV7356D2R2/page-1", "NCV7356D2R2")</f>
        <v>NCV7356D2R2</v>
      </c>
      <c r="B13063" s="3" t="str">
        <f>HYPERLINK("https://www.773grp.com/manufacturer/onsemi?pageNo=930", "Onsemi")</f>
        <v>Onsemi</v>
      </c>
      <c r="C13063" s="6">
        <v>32</v>
      </c>
      <c r="D13063" s="7">
        <v>2.0099999999999998</v>
      </c>
      <c r="E13063" t="s">
        <v>45</v>
      </c>
    </row>
    <row r="13064" spans="1:5" x14ac:dyDescent="0.25">
      <c r="A13064" t="str">
        <f>HYPERLINK("https://www.773grp.com/globalSearch/NCV7380DG/page-1", "NCV7380DG")</f>
        <v>NCV7380DG</v>
      </c>
      <c r="B13064" s="3" t="str">
        <f>HYPERLINK("https://www.773grp.com/manufacturer/onsemi?pageNo=931", "Onsemi")</f>
        <v>Onsemi</v>
      </c>
      <c r="C13064" s="6">
        <v>260</v>
      </c>
      <c r="D13064" s="7">
        <v>2.0099999999999998</v>
      </c>
      <c r="E13064" t="s">
        <v>17</v>
      </c>
    </row>
    <row r="13065" spans="1:5" x14ac:dyDescent="0.25">
      <c r="A13065" t="str">
        <f>HYPERLINK("https://www.773grp.com/globalSearch/NCV7380DR2G/page-1", "NCV7380DR2G")</f>
        <v>NCV7380DR2G</v>
      </c>
      <c r="B13065" s="3" t="str">
        <f>HYPERLINK("https://www.773grp.com/manufacturer/onsemi?pageNo=932", "Onsemi")</f>
        <v>Onsemi</v>
      </c>
      <c r="C13065" s="6">
        <v>1386</v>
      </c>
      <c r="D13065" s="7">
        <v>2.0099999999999998</v>
      </c>
      <c r="E13065" t="s">
        <v>17</v>
      </c>
    </row>
    <row r="13066" spans="1:5" x14ac:dyDescent="0.25">
      <c r="A13066" t="str">
        <f>HYPERLINK("https://www.773grp.com/globalSearch/NCV8403STT1G/page-1", "NCV8403STT1G")</f>
        <v>NCV8403STT1G</v>
      </c>
      <c r="B13066" s="3" t="str">
        <f>HYPERLINK("https://www.773grp.com/manufacturer/onsemi?pageNo=933", "Onsemi")</f>
        <v>Onsemi</v>
      </c>
      <c r="C13066" s="6">
        <v>7000</v>
      </c>
      <c r="D13066" s="7">
        <v>2.0099999999999998</v>
      </c>
    </row>
    <row r="13067" spans="1:5" x14ac:dyDescent="0.25">
      <c r="A13067" t="str">
        <f>HYPERLINK("https://www.773grp.com/globalSearch/NDF06N62ZG/page-1", "NDF06N62ZG")</f>
        <v>NDF06N62ZG</v>
      </c>
      <c r="B13067" s="3" t="str">
        <f>HYPERLINK("https://www.773grp.com/manufacturer/onsemi?pageNo=934", "Onsemi")</f>
        <v>Onsemi</v>
      </c>
      <c r="C13067" s="6">
        <v>5350</v>
      </c>
      <c r="D13067" s="7">
        <v>2.0099999999999998</v>
      </c>
      <c r="E13067" t="s">
        <v>84</v>
      </c>
    </row>
    <row r="13068" spans="1:5" x14ac:dyDescent="0.25">
      <c r="A13068" t="str">
        <f>HYPERLINK("https://www.773grp.com/globalSearch/NE5532NG/page-1", "NE5532NG")</f>
        <v>NE5532NG</v>
      </c>
      <c r="B13068" s="3" t="str">
        <f>HYPERLINK("https://www.773grp.com/manufacturer/onsemi?pageNo=935", "Onsemi")</f>
        <v>Onsemi</v>
      </c>
      <c r="C13068" s="6">
        <v>12776</v>
      </c>
      <c r="D13068" s="7">
        <v>2.0099999999999998</v>
      </c>
      <c r="E13068" t="s">
        <v>10</v>
      </c>
    </row>
    <row r="13069" spans="1:5" x14ac:dyDescent="0.25">
      <c r="A13069" t="str">
        <f>HYPERLINK("https://www.773grp.com/globalSearch/NGB18N40CLBT4/page-1", "NGB18N40CLBT4")</f>
        <v>NGB18N40CLBT4</v>
      </c>
      <c r="B13069" s="3" t="str">
        <f>HYPERLINK("https://www.773grp.com/manufacturer/onsemi?pageNo=936", "Onsemi")</f>
        <v>Onsemi</v>
      </c>
      <c r="C13069" s="6">
        <v>551587</v>
      </c>
      <c r="D13069" s="7">
        <v>2.0099999999999998</v>
      </c>
      <c r="E13069" t="s">
        <v>94</v>
      </c>
    </row>
    <row r="13070" spans="1:5" x14ac:dyDescent="0.25">
      <c r="A13070" t="str">
        <f>HYPERLINK("https://www.773grp.com/globalSearch/NJVMJE15032/page-1", "NJVMJE15032")</f>
        <v>NJVMJE15032</v>
      </c>
      <c r="B13070" s="3" t="str">
        <f>HYPERLINK("https://www.773grp.com/manufacturer/onsemi?pageNo=937", "Onsemi")</f>
        <v>Onsemi</v>
      </c>
      <c r="C13070" s="6">
        <v>85</v>
      </c>
      <c r="D13070" s="7">
        <v>2.0099999999999998</v>
      </c>
    </row>
    <row r="13071" spans="1:5" x14ac:dyDescent="0.25">
      <c r="A13071" t="str">
        <f>HYPERLINK("https://www.773grp.com/globalSearch/NLSF595MNR2G/page-1", "NLSF595MNR2G")</f>
        <v>NLSF595MNR2G</v>
      </c>
      <c r="B13071" s="3" t="str">
        <f>HYPERLINK("https://www.773grp.com/manufacturer/onsemi?pageNo=938", "Onsemi")</f>
        <v>Onsemi</v>
      </c>
      <c r="C13071" s="6">
        <v>13307</v>
      </c>
      <c r="D13071" s="7">
        <v>2.0099999999999998</v>
      </c>
      <c r="E13071" t="s">
        <v>7</v>
      </c>
    </row>
    <row r="13072" spans="1:5" x14ac:dyDescent="0.25">
      <c r="A13072" t="str">
        <f>HYPERLINK("https://www.773grp.com/globalSearch/NTB18N06LG/page-1", "NTB18N06LG")</f>
        <v>NTB18N06LG</v>
      </c>
      <c r="B13072" s="3" t="str">
        <f>HYPERLINK("https://www.773grp.com/manufacturer/onsemi?pageNo=939", "Onsemi")</f>
        <v>Onsemi</v>
      </c>
      <c r="C13072" s="6">
        <v>500</v>
      </c>
      <c r="D13072" s="7">
        <v>2.0099999999999998</v>
      </c>
      <c r="E13072" t="s">
        <v>84</v>
      </c>
    </row>
    <row r="13073" spans="1:5" x14ac:dyDescent="0.25">
      <c r="A13073" t="str">
        <f>HYPERLINK("https://www.773grp.com/globalSearch/NTB18N06LT4G/page-1", "NTB18N06LT4G")</f>
        <v>NTB18N06LT4G</v>
      </c>
      <c r="B13073" s="3" t="str">
        <f>HYPERLINK("https://www.773grp.com/manufacturer/onsemi?pageNo=940", "Onsemi")</f>
        <v>Onsemi</v>
      </c>
      <c r="C13073" s="6">
        <v>2400</v>
      </c>
      <c r="D13073" s="7">
        <v>2.0099999999999998</v>
      </c>
      <c r="E13073" t="s">
        <v>84</v>
      </c>
    </row>
    <row r="13074" spans="1:5" x14ac:dyDescent="0.25">
      <c r="A13074" t="str">
        <f>HYPERLINK("https://www.773grp.com/globalSearch/NTD5N50/page-1", "NTD5N50")</f>
        <v>NTD5N50</v>
      </c>
      <c r="B13074" s="3" t="str">
        <f>HYPERLINK("https://www.773grp.com/manufacturer/onsemi?pageNo=941", "Onsemi")</f>
        <v>Onsemi</v>
      </c>
      <c r="C13074" s="6">
        <v>7050</v>
      </c>
      <c r="D13074" s="7">
        <v>2.0099999999999998</v>
      </c>
      <c r="E13074" t="s">
        <v>84</v>
      </c>
    </row>
    <row r="13075" spans="1:5" x14ac:dyDescent="0.25">
      <c r="A13075" t="str">
        <f>HYPERLINK("https://www.773grp.com/globalSearch/NTD5N50-001/page-1", "NTD5N50-001")</f>
        <v>NTD5N50-001</v>
      </c>
      <c r="B13075" s="3" t="str">
        <f>HYPERLINK("https://www.773grp.com/manufacturer/onsemi?pageNo=942", "Onsemi")</f>
        <v>Onsemi</v>
      </c>
      <c r="C13075" s="6">
        <v>3150</v>
      </c>
      <c r="D13075" s="7">
        <v>2.0099999999999998</v>
      </c>
    </row>
    <row r="13076" spans="1:5" x14ac:dyDescent="0.25">
      <c r="A13076" t="str">
        <f>HYPERLINK("https://www.773grp.com/globalSearch/NTMFS4119NT1G/page-1", "NTMFS4119NT1G")</f>
        <v>NTMFS4119NT1G</v>
      </c>
      <c r="B13076" s="3" t="str">
        <f>HYPERLINK("https://www.773grp.com/manufacturer/onsemi?pageNo=943", "Onsemi")</f>
        <v>Onsemi</v>
      </c>
      <c r="C13076" s="6">
        <v>858</v>
      </c>
      <c r="D13076" s="7">
        <v>2.0099999999999998</v>
      </c>
      <c r="E13076" t="s">
        <v>85</v>
      </c>
    </row>
    <row r="13077" spans="1:5" x14ac:dyDescent="0.25">
      <c r="A13077" t="str">
        <f>HYPERLINK("https://www.773grp.com/globalSearch/NTMS4700NR2/page-1", "NTMS4700NR2")</f>
        <v>NTMS4700NR2</v>
      </c>
      <c r="B13077" s="3" t="str">
        <f>HYPERLINK("https://www.773grp.com/manufacturer/onsemi?pageNo=944", "Onsemi")</f>
        <v>Onsemi</v>
      </c>
      <c r="C13077" s="6">
        <v>35000</v>
      </c>
      <c r="D13077" s="7">
        <v>2.0099999999999998</v>
      </c>
      <c r="E13077" t="s">
        <v>85</v>
      </c>
    </row>
    <row r="13078" spans="1:5" x14ac:dyDescent="0.25">
      <c r="A13078" t="str">
        <f>HYPERLINK("https://www.773grp.com/globalSearch/NTP2955G/page-1", "NTP2955G")</f>
        <v>NTP2955G</v>
      </c>
      <c r="B13078" s="3" t="str">
        <f>HYPERLINK("https://www.773grp.com/manufacturer/onsemi?pageNo=945", "Onsemi")</f>
        <v>Onsemi</v>
      </c>
      <c r="C13078" s="6">
        <v>9650</v>
      </c>
      <c r="D13078" s="7">
        <v>2.0099999999999998</v>
      </c>
    </row>
    <row r="13079" spans="1:5" x14ac:dyDescent="0.25">
      <c r="A13079" t="str">
        <f>HYPERLINK("https://www.773grp.com/globalSearch/NTP5864NG/page-1", "NTP5864NG")</f>
        <v>NTP5864NG</v>
      </c>
      <c r="B13079" s="3" t="str">
        <f>HYPERLINK("https://www.773grp.com/manufacturer/onsemi?pageNo=946", "Onsemi")</f>
        <v>Onsemi</v>
      </c>
      <c r="C13079" s="6">
        <v>800</v>
      </c>
      <c r="D13079" s="7">
        <v>2.0099999999999998</v>
      </c>
    </row>
    <row r="13080" spans="1:5" x14ac:dyDescent="0.25">
      <c r="A13080" t="str">
        <f>HYPERLINK("https://www.773grp.com/globalSearch/SN54LS157J/page-1", "SN54LS157J")</f>
        <v>SN54LS157J</v>
      </c>
      <c r="B13080" s="3" t="str">
        <f>HYPERLINK("https://www.773grp.com/manufacturer/onsemi?pageNo=947", "Onsemi")</f>
        <v>Onsemi</v>
      </c>
      <c r="C13080" s="6">
        <v>6429</v>
      </c>
      <c r="D13080" s="7">
        <v>2.0099999999999998</v>
      </c>
      <c r="E13080" t="s">
        <v>16</v>
      </c>
    </row>
    <row r="13081" spans="1:5" x14ac:dyDescent="0.25">
      <c r="A13081" t="str">
        <f>HYPERLINK("https://www.773grp.com/globalSearch/SN74LS682DW/page-1", "SN74LS682DW")</f>
        <v>SN74LS682DW</v>
      </c>
      <c r="B13081" s="3" t="str">
        <f>HYPERLINK("https://www.773grp.com/manufacturer/onsemi?pageNo=948", "Onsemi")</f>
        <v>Onsemi</v>
      </c>
      <c r="C13081" s="6">
        <v>87</v>
      </c>
      <c r="D13081" s="7">
        <v>2.0099999999999998</v>
      </c>
      <c r="E13081" t="s">
        <v>38</v>
      </c>
    </row>
    <row r="13082" spans="1:5" x14ac:dyDescent="0.25">
      <c r="A13082" t="str">
        <f>HYPERLINK("https://www.773grp.com/globalSearch/TIP105/page-1", "TIP105")</f>
        <v>TIP105</v>
      </c>
      <c r="B13082" s="3" t="str">
        <f>HYPERLINK("https://www.773grp.com/manufacturer/onsemi?pageNo=949", "Onsemi")</f>
        <v>Onsemi</v>
      </c>
      <c r="C13082" s="6">
        <v>50</v>
      </c>
      <c r="D13082" s="7">
        <v>2.0099999999999998</v>
      </c>
      <c r="E13082" t="s">
        <v>47</v>
      </c>
    </row>
    <row r="13083" spans="1:5" x14ac:dyDescent="0.25">
      <c r="A13083" t="str">
        <f>HYPERLINK("https://www.773grp.com/globalSearch/TND321VD-TL-E/page-1", "TND321VD-TL-E")</f>
        <v>TND321VD-TL-E</v>
      </c>
      <c r="B13083" s="3" t="str">
        <f>HYPERLINK("https://www.773grp.com/manufacturer/onsemi?pageNo=950", "Onsemi")</f>
        <v>Onsemi</v>
      </c>
      <c r="C13083" s="6">
        <v>48000</v>
      </c>
      <c r="D13083" s="7">
        <v>2.0099999999999998</v>
      </c>
    </row>
    <row r="13084" spans="1:5" x14ac:dyDescent="0.25">
      <c r="A13084" t="str">
        <f>HYPERLINK("https://www.773grp.com/globalSearch/ADT7421ARMZ-2RL/page-1", "ADT7421ARMZ-2RL")</f>
        <v>ADT7421ARMZ-2RL</v>
      </c>
      <c r="B13084" s="3" t="str">
        <f>HYPERLINK("https://www.773grp.com/manufacturer/onsemi?pageNo=951", "Onsemi")</f>
        <v>Onsemi</v>
      </c>
      <c r="C13084" s="6">
        <v>143000</v>
      </c>
      <c r="D13084" s="7">
        <v>2.06</v>
      </c>
      <c r="E13084" t="s">
        <v>36</v>
      </c>
    </row>
    <row r="13085" spans="1:5" x14ac:dyDescent="0.25">
      <c r="A13085" t="str">
        <f>HYPERLINK("https://www.773grp.com/globalSearch/ADT7421ARMZ-REEL/page-1", "ADT7421ARMZ-REEL")</f>
        <v>ADT7421ARMZ-REEL</v>
      </c>
      <c r="B13085" s="3" t="str">
        <f>HYPERLINK("https://www.773grp.com/manufacturer/onsemi?pageNo=952", "Onsemi")</f>
        <v>Onsemi</v>
      </c>
      <c r="C13085" s="6">
        <v>85098</v>
      </c>
      <c r="D13085" s="7">
        <v>2.06</v>
      </c>
      <c r="E13085" t="s">
        <v>36</v>
      </c>
    </row>
    <row r="13086" spans="1:5" x14ac:dyDescent="0.25">
      <c r="A13086" t="str">
        <f>HYPERLINK("https://www.773grp.com/globalSearch/ADT7421ARZ-REEL/page-1", "ADT7421ARZ-REEL")</f>
        <v>ADT7421ARZ-REEL</v>
      </c>
      <c r="B13086" s="3" t="str">
        <f>HYPERLINK("https://www.773grp.com/manufacturer/onsemi?pageNo=953", "Onsemi")</f>
        <v>Onsemi</v>
      </c>
      <c r="C13086" s="6">
        <v>4313</v>
      </c>
      <c r="D13086" s="7">
        <v>2.06</v>
      </c>
    </row>
    <row r="13087" spans="1:5" x14ac:dyDescent="0.25">
      <c r="A13087" t="str">
        <f>HYPERLINK("https://www.773grp.com/globalSearch/AMIS30660CANH6RG/page-1", "AMIS30660CANH6RG")</f>
        <v>AMIS30660CANH6RG</v>
      </c>
      <c r="B13087" s="3" t="str">
        <f>HYPERLINK("https://www.773grp.com/manufacturer/onsemi?pageNo=954", "Onsemi")</f>
        <v>Onsemi</v>
      </c>
      <c r="C13087" s="6">
        <v>27000</v>
      </c>
      <c r="D13087" s="7">
        <v>2.06</v>
      </c>
    </row>
    <row r="13088" spans="1:5" x14ac:dyDescent="0.25">
      <c r="A13088" t="str">
        <f>HYPERLINK("https://www.773grp.com/globalSearch/AMIS42670ICAH2G/page-1", "AMIS42670ICAH2G")</f>
        <v>AMIS42670ICAH2G</v>
      </c>
      <c r="B13088" s="3" t="str">
        <f>HYPERLINK("https://www.773grp.com/manufacturer/onsemi?pageNo=955", "Onsemi")</f>
        <v>Onsemi</v>
      </c>
      <c r="C13088" s="6">
        <v>440</v>
      </c>
      <c r="D13088" s="7">
        <v>2.06</v>
      </c>
    </row>
    <row r="13089" spans="1:5" x14ac:dyDescent="0.25">
      <c r="A13089" t="str">
        <f>HYPERLINK("https://www.773grp.com/globalSearch/AMIS42671ICAB1RG/page-1", "AMIS42671ICAB1RG")</f>
        <v>AMIS42671ICAB1RG</v>
      </c>
      <c r="B13089" s="3" t="str">
        <f>HYPERLINK("https://www.773grp.com/manufacturer/onsemi?pageNo=956", "Onsemi")</f>
        <v>Onsemi</v>
      </c>
      <c r="C13089" s="6">
        <v>39</v>
      </c>
      <c r="D13089" s="7">
        <v>2.06</v>
      </c>
      <c r="E13089" t="s">
        <v>45</v>
      </c>
    </row>
    <row r="13090" spans="1:5" x14ac:dyDescent="0.25">
      <c r="A13090" t="str">
        <f>HYPERLINK("https://www.773grp.com/globalSearch/AMIS42673ICAG1RG/page-1", "AMIS42673ICAG1RG")</f>
        <v>AMIS42673ICAG1RG</v>
      </c>
      <c r="B13090" s="3" t="str">
        <f>HYPERLINK("https://www.773grp.com/manufacturer/onsemi?pageNo=957", "Onsemi")</f>
        <v>Onsemi</v>
      </c>
      <c r="C13090" s="6">
        <v>262</v>
      </c>
      <c r="D13090" s="7">
        <v>2.06</v>
      </c>
      <c r="E13090" t="s">
        <v>45</v>
      </c>
    </row>
    <row r="13091" spans="1:5" x14ac:dyDescent="0.25">
      <c r="A13091" t="str">
        <f>HYPERLINK("https://www.773grp.com/globalSearch/AMIS42675ICAA1G/page-1", "AMIS42675ICAA1G")</f>
        <v>AMIS42675ICAA1G</v>
      </c>
      <c r="B13091" s="3" t="str">
        <f>HYPERLINK("https://www.773grp.com/manufacturer/onsemi?pageNo=958", "Onsemi")</f>
        <v>Onsemi</v>
      </c>
      <c r="C13091" s="6">
        <v>356</v>
      </c>
      <c r="D13091" s="7">
        <v>2.06</v>
      </c>
      <c r="E13091" t="s">
        <v>45</v>
      </c>
    </row>
    <row r="13092" spans="1:5" x14ac:dyDescent="0.25">
      <c r="A13092" t="str">
        <f>HYPERLINK("https://www.773grp.com/globalSearch/CAT24C256XI/page-1", "CAT24C256XI")</f>
        <v>CAT24C256XI</v>
      </c>
      <c r="B13092" s="3" t="str">
        <f>HYPERLINK("https://www.773grp.com/manufacturer/onsemi?pageNo=959", "Onsemi")</f>
        <v>Onsemi</v>
      </c>
      <c r="C13092" s="6">
        <v>448</v>
      </c>
      <c r="D13092" s="7">
        <v>2.06</v>
      </c>
    </row>
    <row r="13093" spans="1:5" x14ac:dyDescent="0.25">
      <c r="A13093" t="str">
        <f>HYPERLINK("https://www.773grp.com/globalSearch/CAT25320VE-GC/page-1", "CAT25320VE-GC")</f>
        <v>CAT25320VE-GC</v>
      </c>
      <c r="B13093" s="3" t="str">
        <f>HYPERLINK("https://www.773grp.com/manufacturer/onsemi?pageNo=960", "Onsemi")</f>
        <v>Onsemi</v>
      </c>
      <c r="C13093" s="6">
        <v>1300</v>
      </c>
      <c r="D13093" s="7">
        <v>2.06</v>
      </c>
    </row>
    <row r="13094" spans="1:5" x14ac:dyDescent="0.25">
      <c r="A13094" t="str">
        <f>HYPERLINK("https://www.773grp.com/globalSearch/ECH8674-TL-H/page-1", "ECH8674-TL-H")</f>
        <v>ECH8674-TL-H</v>
      </c>
      <c r="B13094" s="3" t="str">
        <f>HYPERLINK("https://www.773grp.com/manufacturer/onsemi?pageNo=961", "Onsemi")</f>
        <v>Onsemi</v>
      </c>
      <c r="C13094" s="6">
        <v>3000</v>
      </c>
      <c r="D13094" s="7">
        <v>2.06</v>
      </c>
    </row>
    <row r="13095" spans="1:5" x14ac:dyDescent="0.25">
      <c r="A13095" t="str">
        <f>HYPERLINK("https://www.773grp.com/globalSearch/LM2931AD-5.0R2G/page-1", "LM2931AD-5.0R2G")</f>
        <v>LM2931AD-5.0R2G</v>
      </c>
      <c r="B13095" s="3" t="str">
        <f>HYPERLINK("https://www.773grp.com/manufacturer/onsemi?pageNo=962", "Onsemi")</f>
        <v>Onsemi</v>
      </c>
      <c r="C13095" s="6">
        <v>9256</v>
      </c>
      <c r="D13095" s="7">
        <v>2.06</v>
      </c>
      <c r="E13095" t="s">
        <v>15</v>
      </c>
    </row>
    <row r="13096" spans="1:5" x14ac:dyDescent="0.25">
      <c r="A13096" t="str">
        <f>HYPERLINK("https://www.773grp.com/globalSearch/LM2931CD2TG/page-1", "LM2931CD2TG")</f>
        <v>LM2931CD2TG</v>
      </c>
      <c r="B13096" s="3" t="str">
        <f>HYPERLINK("https://www.773grp.com/manufacturer/onsemi?pageNo=963", "Onsemi")</f>
        <v>Onsemi</v>
      </c>
      <c r="C13096" s="6">
        <v>1818</v>
      </c>
      <c r="D13096" s="7">
        <v>2.06</v>
      </c>
      <c r="E13096" t="s">
        <v>21</v>
      </c>
    </row>
    <row r="13097" spans="1:5" x14ac:dyDescent="0.25">
      <c r="A13097" t="str">
        <f>HYPERLINK("https://www.773grp.com/globalSearch/LM2931CD2TR4G/page-1", "LM2931CD2TR4G")</f>
        <v>LM2931CD2TR4G</v>
      </c>
      <c r="B13097" s="3" t="str">
        <f>HYPERLINK("https://www.773grp.com/manufacturer/onsemi?pageNo=964", "Onsemi")</f>
        <v>Onsemi</v>
      </c>
      <c r="C13097" s="6">
        <v>2698</v>
      </c>
      <c r="D13097" s="7">
        <v>2.06</v>
      </c>
      <c r="E13097" t="s">
        <v>21</v>
      </c>
    </row>
    <row r="13098" spans="1:5" x14ac:dyDescent="0.25">
      <c r="A13098" t="str">
        <f>HYPERLINK("https://www.773grp.com/globalSearch/LV8548MC-AH/page-1", "LV8548MC-AH")</f>
        <v>LV8548MC-AH</v>
      </c>
      <c r="B13098" s="3" t="str">
        <f>HYPERLINK("https://www.773grp.com/manufacturer/onsemi?pageNo=965", "Onsemi")</f>
        <v>Onsemi</v>
      </c>
      <c r="C13098" s="6">
        <v>87600</v>
      </c>
      <c r="D13098" s="7">
        <v>2.06</v>
      </c>
    </row>
    <row r="13099" spans="1:5" x14ac:dyDescent="0.25">
      <c r="A13099" t="str">
        <f>HYPERLINK("https://www.773grp.com/globalSearch/M74HCT4851ADWR2G/page-1", "M74HCT4851ADWR2G")</f>
        <v>M74HCT4851ADWR2G</v>
      </c>
      <c r="B13099" s="3" t="str">
        <f>HYPERLINK("https://www.773grp.com/manufacturer/onsemi?pageNo=966", "Onsemi")</f>
        <v>Onsemi</v>
      </c>
      <c r="C13099" s="6">
        <v>66929</v>
      </c>
      <c r="D13099" s="7">
        <v>2.06</v>
      </c>
      <c r="E13099" t="s">
        <v>46</v>
      </c>
    </row>
    <row r="13100" spans="1:5" x14ac:dyDescent="0.25">
      <c r="A13100" t="str">
        <f>HYPERLINK("https://www.773grp.com/globalSearch/MBRF10L60CTG/page-1", "MBRF10L60CTG")</f>
        <v>MBRF10L60CTG</v>
      </c>
      <c r="B13100" s="3" t="str">
        <f>HYPERLINK("https://www.773grp.com/manufacturer/onsemi?pageNo=967", "Onsemi")</f>
        <v>Onsemi</v>
      </c>
      <c r="C13100" s="6">
        <v>126850</v>
      </c>
      <c r="D13100" s="7">
        <v>2.06</v>
      </c>
    </row>
    <row r="13101" spans="1:5" x14ac:dyDescent="0.25">
      <c r="A13101" t="str">
        <f>HYPERLINK("https://www.773grp.com/globalSearch/MC10160P/page-1", "MC10160P")</f>
        <v>MC10160P</v>
      </c>
      <c r="B13101" s="3" t="str">
        <f>HYPERLINK("https://www.773grp.com/manufacturer/onsemi?pageNo=968", "Onsemi")</f>
        <v>Onsemi</v>
      </c>
      <c r="C13101" s="6">
        <v>1400</v>
      </c>
      <c r="D13101" s="7">
        <v>2.06</v>
      </c>
      <c r="E13101" t="s">
        <v>38</v>
      </c>
    </row>
    <row r="13102" spans="1:5" x14ac:dyDescent="0.25">
      <c r="A13102" t="str">
        <f>HYPERLINK("https://www.773grp.com/globalSearch/MC14504BFL1/page-1", "MC14504BFL1")</f>
        <v>MC14504BFL1</v>
      </c>
      <c r="B13102" s="3" t="str">
        <f>HYPERLINK("https://www.773grp.com/manufacturer/onsemi?pageNo=969", "Onsemi")</f>
        <v>Onsemi</v>
      </c>
      <c r="C13102" s="6">
        <v>2948</v>
      </c>
      <c r="D13102" s="7">
        <v>2.06</v>
      </c>
      <c r="E13102" t="s">
        <v>61</v>
      </c>
    </row>
    <row r="13103" spans="1:5" x14ac:dyDescent="0.25">
      <c r="A13103" t="str">
        <f>HYPERLINK("https://www.773grp.com/globalSearch/MC14504BFR1/page-1", "MC14504BFR1")</f>
        <v>MC14504BFR1</v>
      </c>
      <c r="B13103" s="3" t="str">
        <f>HYPERLINK("https://www.773grp.com/manufacturer/onsemi?pageNo=970", "Onsemi")</f>
        <v>Onsemi</v>
      </c>
      <c r="C13103" s="6">
        <v>2000</v>
      </c>
      <c r="D13103" s="7">
        <v>2.06</v>
      </c>
      <c r="E13103" t="s">
        <v>61</v>
      </c>
    </row>
    <row r="13104" spans="1:5" x14ac:dyDescent="0.25">
      <c r="A13104" t="str">
        <f>HYPERLINK("https://www.773grp.com/globalSearch/MC33074ADG/page-1", "MC33074ADG")</f>
        <v>MC33074ADG</v>
      </c>
      <c r="B13104" s="3" t="str">
        <f>HYPERLINK("https://www.773grp.com/manufacturer/onsemi?pageNo=971", "Onsemi")</f>
        <v>Onsemi</v>
      </c>
      <c r="C13104" s="6">
        <v>153</v>
      </c>
      <c r="D13104" s="7">
        <v>2.06</v>
      </c>
      <c r="E13104" t="s">
        <v>10</v>
      </c>
    </row>
    <row r="13105" spans="1:5" x14ac:dyDescent="0.25">
      <c r="A13105" t="str">
        <f>HYPERLINK("https://www.773grp.com/globalSearch/MC33074ADR2G/page-1", "MC33074ADR2G")</f>
        <v>MC33074ADR2G</v>
      </c>
      <c r="B13105" s="3" t="str">
        <f>HYPERLINK("https://www.773grp.com/manufacturer/onsemi?pageNo=972", "Onsemi")</f>
        <v>Onsemi</v>
      </c>
      <c r="C13105" s="6">
        <v>14610</v>
      </c>
      <c r="D13105" s="7">
        <v>2.06</v>
      </c>
      <c r="E13105" t="s">
        <v>10</v>
      </c>
    </row>
    <row r="13106" spans="1:5" x14ac:dyDescent="0.25">
      <c r="A13106" t="str">
        <f>HYPERLINK("https://www.773grp.com/globalSearch/MC33074APG/page-1", "MC33074APG")</f>
        <v>MC33074APG</v>
      </c>
      <c r="B13106" s="3" t="str">
        <f>HYPERLINK("https://www.773grp.com/manufacturer/onsemi?pageNo=973", "Onsemi")</f>
        <v>Onsemi</v>
      </c>
      <c r="C13106" s="6">
        <v>4881</v>
      </c>
      <c r="D13106" s="7">
        <v>2.06</v>
      </c>
      <c r="E13106" t="s">
        <v>10</v>
      </c>
    </row>
    <row r="13107" spans="1:5" x14ac:dyDescent="0.25">
      <c r="A13107" t="str">
        <f>HYPERLINK("https://www.773grp.com/globalSearch/MC33178D/page-1", "MC33178D")</f>
        <v>MC33178D</v>
      </c>
      <c r="B13107" s="3" t="str">
        <f>HYPERLINK("https://www.773grp.com/manufacturer/onsemi?pageNo=974", "Onsemi")</f>
        <v>Onsemi</v>
      </c>
      <c r="C13107" s="6">
        <v>10976</v>
      </c>
      <c r="D13107" s="7">
        <v>2.06</v>
      </c>
      <c r="E13107" t="s">
        <v>10</v>
      </c>
    </row>
    <row r="13108" spans="1:5" x14ac:dyDescent="0.25">
      <c r="A13108" t="str">
        <f>HYPERLINK("https://www.773grp.com/globalSearch/MC33178DR2/page-1", "MC33178DR2")</f>
        <v>MC33178DR2</v>
      </c>
      <c r="B13108" s="3" t="str">
        <f>HYPERLINK("https://www.773grp.com/manufacturer/onsemi?pageNo=975", "Onsemi")</f>
        <v>Onsemi</v>
      </c>
      <c r="C13108" s="6">
        <v>11074</v>
      </c>
      <c r="D13108" s="7">
        <v>2.06</v>
      </c>
    </row>
    <row r="13109" spans="1:5" x14ac:dyDescent="0.25">
      <c r="A13109" t="str">
        <f>HYPERLINK("https://www.773grp.com/globalSearch/MC33179DG/page-1", "MC33179DG")</f>
        <v>MC33179DG</v>
      </c>
      <c r="B13109" s="3" t="str">
        <f>HYPERLINK("https://www.773grp.com/manufacturer/onsemi?pageNo=976", "Onsemi")</f>
        <v>Onsemi</v>
      </c>
      <c r="C13109" s="6">
        <v>2750</v>
      </c>
      <c r="D13109" s="7">
        <v>2.06</v>
      </c>
      <c r="E13109" t="s">
        <v>10</v>
      </c>
    </row>
    <row r="13110" spans="1:5" x14ac:dyDescent="0.25">
      <c r="A13110" t="str">
        <f>HYPERLINK("https://www.773grp.com/globalSearch/MC33179DR2G/page-1", "MC33179DR2G")</f>
        <v>MC33179DR2G</v>
      </c>
      <c r="B13110" s="3" t="str">
        <f>HYPERLINK("https://www.773grp.com/manufacturer/onsemi?pageNo=977", "Onsemi")</f>
        <v>Onsemi</v>
      </c>
      <c r="C13110" s="6">
        <v>4352</v>
      </c>
      <c r="D13110" s="7">
        <v>2.06</v>
      </c>
      <c r="E13110" t="s">
        <v>10</v>
      </c>
    </row>
    <row r="13111" spans="1:5" x14ac:dyDescent="0.25">
      <c r="A13111" t="str">
        <f>HYPERLINK("https://www.773grp.com/globalSearch/MC33232D/page-1", "MC33232D")</f>
        <v>MC33232D</v>
      </c>
      <c r="B13111" s="3" t="str">
        <f>HYPERLINK("https://www.773grp.com/manufacturer/onsemi?pageNo=978", "Onsemi")</f>
        <v>Onsemi</v>
      </c>
      <c r="C13111" s="6">
        <v>3332</v>
      </c>
      <c r="D13111" s="7">
        <v>2.06</v>
      </c>
      <c r="E13111" t="s">
        <v>5</v>
      </c>
    </row>
    <row r="13112" spans="1:5" x14ac:dyDescent="0.25">
      <c r="A13112" t="str">
        <f>HYPERLINK("https://www.773grp.com/globalSearch/MC33351DTB-001/page-1", "MC33351DTB-001")</f>
        <v>MC33351DTB-001</v>
      </c>
      <c r="B13112" s="3" t="str">
        <f>HYPERLINK("https://www.773grp.com/manufacturer/onsemi?pageNo=979", "Onsemi")</f>
        <v>Onsemi</v>
      </c>
      <c r="C13112" s="6">
        <v>70</v>
      </c>
      <c r="D13112" s="7">
        <v>2.06</v>
      </c>
    </row>
    <row r="13113" spans="1:5" x14ac:dyDescent="0.25">
      <c r="A13113" t="str">
        <f>HYPERLINK("https://www.773grp.com/globalSearch/MC33463H-50KT1/page-1", "MC33463H-50KT1")</f>
        <v>MC33463H-50KT1</v>
      </c>
      <c r="B13113" s="3" t="str">
        <f>HYPERLINK("https://www.773grp.com/manufacturer/onsemi?pageNo=980", "Onsemi")</f>
        <v>Onsemi</v>
      </c>
      <c r="C13113" s="6">
        <v>112547</v>
      </c>
      <c r="D13113" s="7">
        <v>2.06</v>
      </c>
      <c r="E13113" t="s">
        <v>5</v>
      </c>
    </row>
    <row r="13114" spans="1:5" x14ac:dyDescent="0.25">
      <c r="A13114" t="str">
        <f>HYPERLINK("https://www.773grp.com/globalSearch/MC33466H-30JT1/page-1", "MC33466H-30JT1")</f>
        <v>MC33466H-30JT1</v>
      </c>
      <c r="B13114" s="3" t="str">
        <f>HYPERLINK("https://www.773grp.com/manufacturer/onsemi?pageNo=981", "Onsemi")</f>
        <v>Onsemi</v>
      </c>
      <c r="C13114" s="6">
        <v>7000</v>
      </c>
      <c r="D13114" s="7">
        <v>2.06</v>
      </c>
      <c r="E13114" t="s">
        <v>5</v>
      </c>
    </row>
    <row r="13115" spans="1:5" x14ac:dyDescent="0.25">
      <c r="A13115" t="str">
        <f>HYPERLINK("https://www.773grp.com/globalSearch/MC33466H-50LT1/page-1", "MC33466H-50LT1")</f>
        <v>MC33466H-50LT1</v>
      </c>
      <c r="B13115" s="3" t="str">
        <f>HYPERLINK("https://www.773grp.com/manufacturer/onsemi?pageNo=982", "Onsemi")</f>
        <v>Onsemi</v>
      </c>
      <c r="C13115" s="6">
        <v>13722</v>
      </c>
      <c r="D13115" s="7">
        <v>2.06</v>
      </c>
      <c r="E13115" t="s">
        <v>5</v>
      </c>
    </row>
    <row r="13116" spans="1:5" x14ac:dyDescent="0.25">
      <c r="A13116" t="str">
        <f>HYPERLINK("https://www.773grp.com/globalSearch/MC44608P40/page-1", "MC44608P40")</f>
        <v>MC44608P40</v>
      </c>
      <c r="B13116" s="3" t="str">
        <f>HYPERLINK("https://www.773grp.com/manufacturer/onsemi?pageNo=983", "Onsemi")</f>
        <v>Onsemi</v>
      </c>
      <c r="C13116" s="6">
        <v>15200</v>
      </c>
      <c r="D13116" s="7">
        <v>2.06</v>
      </c>
      <c r="E13116" t="s">
        <v>5</v>
      </c>
    </row>
    <row r="13117" spans="1:5" x14ac:dyDescent="0.25">
      <c r="A13117" t="str">
        <f>HYPERLINK("https://www.773grp.com/globalSearch/MC44608P40G/page-1", "MC44608P40G")</f>
        <v>MC44608P40G</v>
      </c>
      <c r="B13117" s="3" t="str">
        <f>HYPERLINK("https://www.773grp.com/manufacturer/onsemi?pageNo=984", "Onsemi")</f>
        <v>Onsemi</v>
      </c>
      <c r="C13117" s="6">
        <v>6350</v>
      </c>
      <c r="D13117" s="7">
        <v>2.06</v>
      </c>
      <c r="E13117" t="s">
        <v>5</v>
      </c>
    </row>
    <row r="13118" spans="1:5" x14ac:dyDescent="0.25">
      <c r="A13118" t="str">
        <f>HYPERLINK("https://www.773grp.com/globalSearch/MC44608P75/page-1", "MC44608P75")</f>
        <v>MC44608P75</v>
      </c>
      <c r="B13118" s="3" t="str">
        <f>HYPERLINK("https://www.773grp.com/manufacturer/onsemi?pageNo=985", "Onsemi")</f>
        <v>Onsemi</v>
      </c>
      <c r="C13118" s="6">
        <v>40</v>
      </c>
      <c r="D13118" s="7">
        <v>2.06</v>
      </c>
      <c r="E13118" t="s">
        <v>5</v>
      </c>
    </row>
    <row r="13119" spans="1:5" x14ac:dyDescent="0.25">
      <c r="A13119" t="str">
        <f>HYPERLINK("https://www.773grp.com/globalSearch/MC44608P75G/page-1", "MC44608P75G")</f>
        <v>MC44608P75G</v>
      </c>
      <c r="B13119" s="3" t="str">
        <f>HYPERLINK("https://www.773grp.com/manufacturer/onsemi?pageNo=986", "Onsemi")</f>
        <v>Onsemi</v>
      </c>
      <c r="C13119" s="6">
        <v>34188</v>
      </c>
      <c r="D13119" s="7">
        <v>2.06</v>
      </c>
      <c r="E13119" t="s">
        <v>5</v>
      </c>
    </row>
    <row r="13120" spans="1:5" x14ac:dyDescent="0.25">
      <c r="A13120" t="str">
        <f>HYPERLINK("https://www.773grp.com/globalSearch/MC74F378D/page-1", "MC74F378D")</f>
        <v>MC74F378D</v>
      </c>
      <c r="B13120" s="3" t="str">
        <f>HYPERLINK("https://www.773grp.com/manufacturer/onsemi?pageNo=987", "Onsemi")</f>
        <v>Onsemi</v>
      </c>
      <c r="C13120" s="6">
        <v>4656</v>
      </c>
      <c r="D13120" s="7">
        <v>2.06</v>
      </c>
      <c r="E13120" t="s">
        <v>31</v>
      </c>
    </row>
    <row r="13121" spans="1:5" x14ac:dyDescent="0.25">
      <c r="A13121" t="str">
        <f>HYPERLINK("https://www.773grp.com/globalSearch/MC74F378DR2/page-1", "MC74F378DR2")</f>
        <v>MC74F378DR2</v>
      </c>
      <c r="B13121" s="3" t="str">
        <f>HYPERLINK("https://www.773grp.com/manufacturer/onsemi?pageNo=988", "Onsemi")</f>
        <v>Onsemi</v>
      </c>
      <c r="C13121" s="6">
        <v>10000</v>
      </c>
      <c r="D13121" s="7">
        <v>2.06</v>
      </c>
      <c r="E13121" t="s">
        <v>31</v>
      </c>
    </row>
    <row r="13122" spans="1:5" x14ac:dyDescent="0.25">
      <c r="A13122" t="str">
        <f>HYPERLINK("https://www.773grp.com/globalSearch/MC74F379DR2/page-1", "MC74F379DR2")</f>
        <v>MC74F379DR2</v>
      </c>
      <c r="B13122" s="3" t="str">
        <f>HYPERLINK("https://www.773grp.com/manufacturer/onsemi?pageNo=989", "Onsemi")</f>
        <v>Onsemi</v>
      </c>
      <c r="C13122" s="6">
        <v>12500</v>
      </c>
      <c r="D13122" s="7">
        <v>2.06</v>
      </c>
      <c r="E13122" t="s">
        <v>31</v>
      </c>
    </row>
    <row r="13123" spans="1:5" x14ac:dyDescent="0.25">
      <c r="A13123" t="str">
        <f>HYPERLINK("https://www.773grp.com/globalSearch/MC74F379N/page-1", "MC74F379N")</f>
        <v>MC74F379N</v>
      </c>
      <c r="B13123" s="3" t="str">
        <f>HYPERLINK("https://www.773grp.com/manufacturer/onsemi?pageNo=990", "Onsemi")</f>
        <v>Onsemi</v>
      </c>
      <c r="C13123" s="6">
        <v>1266</v>
      </c>
      <c r="D13123" s="7">
        <v>2.06</v>
      </c>
      <c r="E13123" t="s">
        <v>31</v>
      </c>
    </row>
    <row r="13124" spans="1:5" x14ac:dyDescent="0.25">
      <c r="A13124" t="str">
        <f>HYPERLINK("https://www.773grp.com/globalSearch/MC74HC4851ADWR2G/page-1", "MC74HC4851ADWR2G")</f>
        <v>MC74HC4851ADWR2G</v>
      </c>
      <c r="B13124" s="3" t="str">
        <f>HYPERLINK("https://www.773grp.com/manufacturer/onsemi?pageNo=991", "Onsemi")</f>
        <v>Onsemi</v>
      </c>
      <c r="C13124" s="6">
        <v>30566</v>
      </c>
      <c r="D13124" s="7">
        <v>2.06</v>
      </c>
      <c r="E13124" t="s">
        <v>46</v>
      </c>
    </row>
    <row r="13125" spans="1:5" x14ac:dyDescent="0.25">
      <c r="A13125" t="str">
        <f>HYPERLINK("https://www.773grp.com/globalSearch/MC74HC4851ANG/page-1", "MC74HC4851ANG")</f>
        <v>MC74HC4851ANG</v>
      </c>
      <c r="B13125" s="3" t="str">
        <f>HYPERLINK("https://www.773grp.com/manufacturer/onsemi?pageNo=992", "Onsemi")</f>
        <v>Onsemi</v>
      </c>
      <c r="C13125" s="6">
        <v>1300</v>
      </c>
      <c r="D13125" s="7">
        <v>2.06</v>
      </c>
      <c r="E13125" t="s">
        <v>46</v>
      </c>
    </row>
    <row r="13126" spans="1:5" x14ac:dyDescent="0.25">
      <c r="A13126" t="str">
        <f>HYPERLINK("https://www.773grp.com/globalSearch/MJF31CG/page-1", "MJF31CG")</f>
        <v>MJF31CG</v>
      </c>
      <c r="B13126" s="3" t="str">
        <f>HYPERLINK("https://www.773grp.com/manufacturer/onsemi?pageNo=993", "Onsemi")</f>
        <v>Onsemi</v>
      </c>
      <c r="C13126" s="6">
        <v>3594</v>
      </c>
      <c r="D13126" s="7">
        <v>2.06</v>
      </c>
      <c r="E13126" t="s">
        <v>47</v>
      </c>
    </row>
    <row r="13127" spans="1:5" x14ac:dyDescent="0.25">
      <c r="A13127" t="str">
        <f>HYPERLINK("https://www.773grp.com/globalSearch/MUR1510G/page-1", "MUR1510G")</f>
        <v>MUR1510G</v>
      </c>
      <c r="B13127" s="3" t="str">
        <f>HYPERLINK("https://www.773grp.com/manufacturer/onsemi?pageNo=994", "Onsemi")</f>
        <v>Onsemi</v>
      </c>
      <c r="C13127" s="6">
        <v>4665</v>
      </c>
      <c r="D13127" s="7">
        <v>2.06</v>
      </c>
      <c r="E13127" t="s">
        <v>82</v>
      </c>
    </row>
    <row r="13128" spans="1:5" x14ac:dyDescent="0.25">
      <c r="A13128" t="str">
        <f>HYPERLINK("https://www.773grp.com/globalSearch/MUR1515G/page-1", "MUR1515G")</f>
        <v>MUR1515G</v>
      </c>
      <c r="B13128" s="3" t="str">
        <f>HYPERLINK("https://www.773grp.com/manufacturer/onsemi?pageNo=995", "Onsemi")</f>
        <v>Onsemi</v>
      </c>
      <c r="C13128" s="6">
        <v>2650</v>
      </c>
      <c r="D13128" s="7">
        <v>2.06</v>
      </c>
    </row>
    <row r="13129" spans="1:5" x14ac:dyDescent="0.25">
      <c r="A13129" t="str">
        <f>HYPERLINK("https://www.773grp.com/globalSearch/MUR1520G/page-1", "MUR1520G")</f>
        <v>MUR1520G</v>
      </c>
      <c r="B13129" s="3" t="str">
        <f>HYPERLINK("https://www.773grp.com/manufacturer/onsemi?pageNo=996", "Onsemi")</f>
        <v>Onsemi</v>
      </c>
      <c r="C13129" s="6">
        <v>4642</v>
      </c>
      <c r="D13129" s="7">
        <v>2.06</v>
      </c>
      <c r="E13129" t="s">
        <v>82</v>
      </c>
    </row>
    <row r="13130" spans="1:5" x14ac:dyDescent="0.25">
      <c r="A13130" t="str">
        <f>HYPERLINK("https://www.773grp.com/globalSearch/NCN8024RDWR2G/page-1", "NCN8024RDWR2G")</f>
        <v>NCN8024RDWR2G</v>
      </c>
      <c r="B13130" s="3" t="str">
        <f>HYPERLINK("https://www.773grp.com/manufacturer/onsemi?pageNo=997", "Onsemi")</f>
        <v>Onsemi</v>
      </c>
      <c r="C13130" s="6">
        <v>13000</v>
      </c>
      <c r="D13130" s="7">
        <v>2.06</v>
      </c>
    </row>
    <row r="13131" spans="1:5" x14ac:dyDescent="0.25">
      <c r="A13131" t="str">
        <f>HYPERLINK("https://www.773grp.com/globalSearch/NCP1012APL130R/page-1", "NCP1012APL130R")</f>
        <v>NCP1012APL130R</v>
      </c>
      <c r="B13131" s="3" t="str">
        <f>HYPERLINK("https://www.773grp.com/manufacturer/onsemi?pageNo=998", "Onsemi")</f>
        <v>Onsemi</v>
      </c>
      <c r="C13131" s="6">
        <v>358</v>
      </c>
      <c r="D13131" s="7">
        <v>2.06</v>
      </c>
    </row>
    <row r="13132" spans="1:5" x14ac:dyDescent="0.25">
      <c r="A13132" t="str">
        <f>HYPERLINK("https://www.773grp.com/globalSearch/NCP1212P/page-1", "NCP1212P")</f>
        <v>NCP1212P</v>
      </c>
      <c r="B13132" s="3" t="str">
        <f>HYPERLINK("https://www.773grp.com/manufacturer/onsemi?pageNo=999", "Onsemi")</f>
        <v>Onsemi</v>
      </c>
      <c r="C13132" s="6">
        <v>3010</v>
      </c>
      <c r="D13132" s="7">
        <v>2.06</v>
      </c>
      <c r="E13132" t="s">
        <v>5</v>
      </c>
    </row>
    <row r="13133" spans="1:5" x14ac:dyDescent="0.25">
      <c r="A13133" t="str">
        <f>HYPERLINK("https://www.773grp.com/globalSearch/NCP1230D100R2/page-1", "NCP1230D100R2")</f>
        <v>NCP1230D100R2</v>
      </c>
      <c r="B13133" s="3" t="str">
        <f>HYPERLINK("https://www.773grp.com/manufacturer/onsemi?pageNo=1000", "Onsemi")</f>
        <v>Onsemi</v>
      </c>
      <c r="C13133" s="6">
        <v>2500</v>
      </c>
      <c r="D13133" s="7">
        <v>2.06</v>
      </c>
      <c r="E13133" t="s">
        <v>5</v>
      </c>
    </row>
    <row r="13134" spans="1:5" x14ac:dyDescent="0.25">
      <c r="A13134" t="str">
        <f>HYPERLINK("https://www.773grp.com/globalSearch/NCV33269DTRK-12G/page-1", "NCV33269DTRK-12G")</f>
        <v>NCV33269DTRK-12G</v>
      </c>
      <c r="B13134" s="3" t="str">
        <f>HYPERLINK("https://www.773grp.com/manufacturer/onsemi?pageNo=1001", "Onsemi")</f>
        <v>Onsemi</v>
      </c>
      <c r="C13134" s="6">
        <v>9750</v>
      </c>
      <c r="D13134" s="7">
        <v>2.06</v>
      </c>
      <c r="E13134" t="s">
        <v>15</v>
      </c>
    </row>
    <row r="13135" spans="1:5" x14ac:dyDescent="0.25">
      <c r="A13135" t="str">
        <f>HYPERLINK("https://www.773grp.com/globalSearch/NCV33269DTRK3.3G/page-1", "NCV33269DTRK3.3G")</f>
        <v>NCV33269DTRK3.3G</v>
      </c>
      <c r="B13135" s="3" t="str">
        <f>HYPERLINK("https://www.773grp.com/manufacturer/onsemi?pageNo=1002", "Onsemi")</f>
        <v>Onsemi</v>
      </c>
      <c r="C13135" s="6">
        <v>20145</v>
      </c>
      <c r="D13135" s="7">
        <v>2.06</v>
      </c>
      <c r="E13135" t="s">
        <v>15</v>
      </c>
    </row>
    <row r="13136" spans="1:5" x14ac:dyDescent="0.25">
      <c r="A13136" t="str">
        <f>HYPERLINK("https://www.773grp.com/globalSearch/NCV33269DTRKG/page-1", "NCV33269DTRKG")</f>
        <v>NCV33269DTRKG</v>
      </c>
      <c r="B13136" s="3" t="str">
        <f>HYPERLINK("https://www.773grp.com/manufacturer/onsemi?pageNo=1003", "Onsemi")</f>
        <v>Onsemi</v>
      </c>
      <c r="C13136" s="6">
        <v>3870</v>
      </c>
      <c r="D13136" s="7">
        <v>2.06</v>
      </c>
    </row>
    <row r="13137" spans="1:5" x14ac:dyDescent="0.25">
      <c r="A13137" t="str">
        <f>HYPERLINK("https://www.773grp.com/globalSearch/NCV7808BD2TR4/page-1", "NCV7808BD2TR4")</f>
        <v>NCV7808BD2TR4</v>
      </c>
      <c r="B13137" s="3" t="str">
        <f>HYPERLINK("https://www.773grp.com/manufacturer/onsemi?pageNo=1004", "Onsemi")</f>
        <v>Onsemi</v>
      </c>
      <c r="C13137" s="6">
        <v>24800</v>
      </c>
      <c r="D13137" s="7">
        <v>2.06</v>
      </c>
    </row>
    <row r="13138" spans="1:5" x14ac:dyDescent="0.25">
      <c r="A13138" t="str">
        <f>HYPERLINK("https://www.773grp.com/globalSearch/NCV7812BD2TR4G/page-1", "NCV7812BD2TR4G")</f>
        <v>NCV7812BD2TR4G</v>
      </c>
      <c r="B13138" s="3" t="str">
        <f>HYPERLINK("https://www.773grp.com/manufacturer/onsemi?pageNo=1005", "Onsemi")</f>
        <v>Onsemi</v>
      </c>
      <c r="C13138" s="6">
        <v>15200</v>
      </c>
      <c r="D13138" s="7">
        <v>2.06</v>
      </c>
      <c r="E13138" t="s">
        <v>24</v>
      </c>
    </row>
    <row r="13139" spans="1:5" x14ac:dyDescent="0.25">
      <c r="A13139" t="str">
        <f>HYPERLINK("https://www.773grp.com/globalSearch/NE5532AD8G/page-1", "NE5532AD8G")</f>
        <v>NE5532AD8G</v>
      </c>
      <c r="B13139" s="3" t="str">
        <f>HYPERLINK("https://www.773grp.com/manufacturer/onsemi?pageNo=1006", "Onsemi")</f>
        <v>Onsemi</v>
      </c>
      <c r="C13139" s="6">
        <v>285</v>
      </c>
      <c r="D13139" s="7">
        <v>2.06</v>
      </c>
      <c r="E13139" t="s">
        <v>10</v>
      </c>
    </row>
    <row r="13140" spans="1:5" x14ac:dyDescent="0.25">
      <c r="A13140" t="str">
        <f>HYPERLINK("https://www.773grp.com/globalSearch/NE5532AD8R2G/page-1", "NE5532AD8R2G")</f>
        <v>NE5532AD8R2G</v>
      </c>
      <c r="B13140" s="3" t="str">
        <f>HYPERLINK("https://www.773grp.com/manufacturer/onsemi?pageNo=1007", "Onsemi")</f>
        <v>Onsemi</v>
      </c>
      <c r="C13140" s="6">
        <v>4442</v>
      </c>
      <c r="D13140" s="7">
        <v>2.06</v>
      </c>
      <c r="E13140" t="s">
        <v>10</v>
      </c>
    </row>
    <row r="13141" spans="1:5" x14ac:dyDescent="0.25">
      <c r="A13141" t="str">
        <f>HYPERLINK("https://www.773grp.com/globalSearch/NID5003NT4G/page-1", "NID5003NT4G")</f>
        <v>NID5003NT4G</v>
      </c>
      <c r="B13141" s="3" t="str">
        <f>HYPERLINK("https://www.773grp.com/manufacturer/onsemi?pageNo=1008", "Onsemi")</f>
        <v>Onsemi</v>
      </c>
      <c r="C13141" s="6">
        <v>12500</v>
      </c>
      <c r="D13141" s="7">
        <v>2.06</v>
      </c>
      <c r="E13141" t="s">
        <v>84</v>
      </c>
    </row>
    <row r="13142" spans="1:5" x14ac:dyDescent="0.25">
      <c r="A13142" t="str">
        <f>HYPERLINK("https://www.773grp.com/globalSearch/NLV74HC4851ADR2G/page-1", "NLV74HC4851ADR2G")</f>
        <v>NLV74HC4851ADR2G</v>
      </c>
      <c r="B13142" s="3" t="str">
        <f>HYPERLINK("https://www.773grp.com/manufacturer/onsemi?pageNo=1009", "Onsemi")</f>
        <v>Onsemi</v>
      </c>
      <c r="C13142" s="6">
        <v>1745</v>
      </c>
      <c r="D13142" s="7">
        <v>2.06</v>
      </c>
    </row>
    <row r="13143" spans="1:5" x14ac:dyDescent="0.25">
      <c r="A13143" t="str">
        <f>HYPERLINK("https://www.773grp.com/globalSearch/P5P2304AF-1H08SR/page-1", "P5P2304AF-1H08SR")</f>
        <v>P5P2304AF-1H08SR</v>
      </c>
      <c r="B13143" s="3" t="str">
        <f>HYPERLINK("https://www.773grp.com/manufacturer/onsemi?pageNo=1010", "Onsemi")</f>
        <v>Onsemi</v>
      </c>
      <c r="C13143" s="6">
        <v>5000</v>
      </c>
      <c r="D13143" s="7">
        <v>2.06</v>
      </c>
    </row>
    <row r="13144" spans="1:5" x14ac:dyDescent="0.25">
      <c r="A13144" t="str">
        <f>HYPERLINK("https://www.773grp.com/globalSearch/P5P2308AF-1H16SR/page-1", "P5P2308AF-1H16SR")</f>
        <v>P5P2308AF-1H16SR</v>
      </c>
      <c r="B13144" s="3" t="str">
        <f>HYPERLINK("https://www.773grp.com/manufacturer/onsemi?pageNo=1011", "Onsemi")</f>
        <v>Onsemi</v>
      </c>
      <c r="C13144" s="6">
        <v>5000</v>
      </c>
      <c r="D13144" s="7">
        <v>2.06</v>
      </c>
    </row>
    <row r="13145" spans="1:5" x14ac:dyDescent="0.25">
      <c r="A13145" t="str">
        <f>HYPERLINK("https://www.773grp.com/globalSearch/P5P2308AF-216SR/page-1", "P5P2308AF-216SR")</f>
        <v>P5P2308AF-216SR</v>
      </c>
      <c r="B13145" s="3" t="str">
        <f>HYPERLINK("https://www.773grp.com/manufacturer/onsemi?pageNo=1012", "Onsemi")</f>
        <v>Onsemi</v>
      </c>
      <c r="C13145" s="6">
        <v>5000</v>
      </c>
      <c r="D13145" s="7">
        <v>2.06</v>
      </c>
    </row>
    <row r="13146" spans="1:5" x14ac:dyDescent="0.25">
      <c r="A13146" t="str">
        <f>HYPERLINK("https://www.773grp.com/globalSearch/P5P2309AF-116SR/page-1", "P5P2309AF-116SR")</f>
        <v>P5P2309AF-116SR</v>
      </c>
      <c r="B13146" s="3" t="str">
        <f>HYPERLINK("https://www.773grp.com/manufacturer/onsemi?pageNo=1013", "Onsemi")</f>
        <v>Onsemi</v>
      </c>
      <c r="C13146" s="6">
        <v>2500</v>
      </c>
      <c r="D13146" s="7">
        <v>2.06</v>
      </c>
    </row>
    <row r="13147" spans="1:5" x14ac:dyDescent="0.25">
      <c r="A13147" t="str">
        <f>HYPERLINK("https://www.773grp.com/globalSearch/SN74LS682N/page-1", "SN74LS682N")</f>
        <v>SN74LS682N</v>
      </c>
      <c r="B13147" s="3" t="str">
        <f>HYPERLINK("https://www.773grp.com/manufacturer/onsemi?pageNo=1014", "Onsemi")</f>
        <v>Onsemi</v>
      </c>
      <c r="C13147" s="6">
        <v>896</v>
      </c>
      <c r="D13147" s="7">
        <v>2.06</v>
      </c>
      <c r="E13147" t="s">
        <v>38</v>
      </c>
    </row>
    <row r="13148" spans="1:5" x14ac:dyDescent="0.25">
      <c r="A13148" t="str">
        <f>HYPERLINK("https://www.773grp.com/globalSearch/TCA0372BDWR2G/page-1", "TCA0372BDWR2G")</f>
        <v>TCA0372BDWR2G</v>
      </c>
      <c r="B13148" s="3" t="str">
        <f>HYPERLINK("https://www.773grp.com/manufacturer/onsemi?pageNo=1015", "Onsemi")</f>
        <v>Onsemi</v>
      </c>
      <c r="C13148" s="6">
        <v>2076</v>
      </c>
      <c r="D13148" s="7">
        <v>2.06</v>
      </c>
      <c r="E13148" t="s">
        <v>10</v>
      </c>
    </row>
    <row r="13149" spans="1:5" x14ac:dyDescent="0.25">
      <c r="A13149" t="str">
        <f>HYPERLINK("https://www.773grp.com/globalSearch/TCA0372DM2ELG/page-1", "TCA0372DM2ELG")</f>
        <v>TCA0372DM2ELG</v>
      </c>
      <c r="B13149" s="3" t="str">
        <f>HYPERLINK("https://www.773grp.com/manufacturer/onsemi?pageNo=1016", "Onsemi")</f>
        <v>Onsemi</v>
      </c>
      <c r="C13149" s="6">
        <v>16000</v>
      </c>
      <c r="D13149" s="7">
        <v>2.06</v>
      </c>
    </row>
    <row r="13150" spans="1:5" x14ac:dyDescent="0.25">
      <c r="A13150" t="str">
        <f>HYPERLINK("https://www.773grp.com/globalSearch/TL494BDG/page-1", "TL494BDG")</f>
        <v>TL494BDG</v>
      </c>
      <c r="B13150" s="3" t="str">
        <f>HYPERLINK("https://www.773grp.com/manufacturer/onsemi?pageNo=1017", "Onsemi")</f>
        <v>Onsemi</v>
      </c>
      <c r="C13150" s="6">
        <v>2992</v>
      </c>
      <c r="D13150" s="7">
        <v>2.06</v>
      </c>
      <c r="E13150" t="s">
        <v>5</v>
      </c>
    </row>
    <row r="13151" spans="1:5" x14ac:dyDescent="0.25">
      <c r="A13151" t="str">
        <f>HYPERLINK("https://www.773grp.com/globalSearch/TL494BDR2G/page-1", "TL494BDR2G")</f>
        <v>TL494BDR2G</v>
      </c>
      <c r="B13151" s="3" t="str">
        <f>HYPERLINK("https://www.773grp.com/manufacturer/onsemi?pageNo=1018", "Onsemi")</f>
        <v>Onsemi</v>
      </c>
      <c r="C13151" s="6">
        <v>12500</v>
      </c>
      <c r="D13151" s="7">
        <v>2.06</v>
      </c>
      <c r="E13151" t="s">
        <v>5</v>
      </c>
    </row>
    <row r="13152" spans="1:5" x14ac:dyDescent="0.25">
      <c r="A13152" t="str">
        <f>HYPERLINK("https://www.773grp.com/globalSearch/1N4699D/page-1", "1N4699D")</f>
        <v>1N4699D</v>
      </c>
      <c r="B13152" s="3" t="str">
        <f>HYPERLINK("https://www.773grp.com/manufacturer/onsemi?pageNo=1019", "Onsemi")</f>
        <v>Onsemi</v>
      </c>
      <c r="C13152" s="6">
        <v>8669</v>
      </c>
      <c r="D13152" s="7">
        <v>2.11</v>
      </c>
      <c r="E13152" t="s">
        <v>77</v>
      </c>
    </row>
    <row r="13153" spans="1:5" x14ac:dyDescent="0.25">
      <c r="A13153" t="str">
        <f>HYPERLINK("https://www.773grp.com/globalSearch/78170P/page-1", "78170P")</f>
        <v>78170P</v>
      </c>
      <c r="B13153" s="3" t="str">
        <f>HYPERLINK("https://www.773grp.com/manufacturer/onsemi?pageNo=1020", "Onsemi")</f>
        <v>Onsemi</v>
      </c>
      <c r="C13153" s="6">
        <v>33950</v>
      </c>
      <c r="D13153" s="7">
        <v>2.11</v>
      </c>
    </row>
    <row r="13154" spans="1:5" x14ac:dyDescent="0.25">
      <c r="A13154" t="str">
        <f>HYPERLINK("https://www.773grp.com/globalSearch/CAT1232LPV-G/page-1", "CAT1232LPV-G")</f>
        <v>CAT1232LPV-G</v>
      </c>
      <c r="B13154" s="3" t="str">
        <f>HYPERLINK("https://www.773grp.com/manufacturer/onsemi?pageNo=1021", "Onsemi")</f>
        <v>Onsemi</v>
      </c>
      <c r="C13154" s="6">
        <v>130</v>
      </c>
      <c r="D13154" s="7">
        <v>2.11</v>
      </c>
      <c r="E13154" t="s">
        <v>26</v>
      </c>
    </row>
    <row r="13155" spans="1:5" x14ac:dyDescent="0.25">
      <c r="A13155" t="str">
        <f>HYPERLINK("https://www.773grp.com/globalSearch/CAT1232LPV-GT3/page-1", "CAT1232LPV-GT3")</f>
        <v>CAT1232LPV-GT3</v>
      </c>
      <c r="B13155" s="3" t="str">
        <f>HYPERLINK("https://www.773grp.com/manufacturer/onsemi?pageNo=1022", "Onsemi")</f>
        <v>Onsemi</v>
      </c>
      <c r="C13155" s="6">
        <v>3000</v>
      </c>
      <c r="D13155" s="7">
        <v>2.11</v>
      </c>
      <c r="E13155" t="s">
        <v>26</v>
      </c>
    </row>
    <row r="13156" spans="1:5" x14ac:dyDescent="0.25">
      <c r="A13156" t="str">
        <f>HYPERLINK("https://www.773grp.com/globalSearch/CAT140021TWI-G/page-1", "CAT140021TWI-G")</f>
        <v>CAT140021TWI-G</v>
      </c>
      <c r="B13156" s="3" t="str">
        <f>HYPERLINK("https://www.773grp.com/manufacturer/onsemi?pageNo=1023", "Onsemi")</f>
        <v>Onsemi</v>
      </c>
      <c r="C13156" s="6">
        <v>1600</v>
      </c>
      <c r="D13156" s="7">
        <v>2.11</v>
      </c>
    </row>
    <row r="13157" spans="1:5" x14ac:dyDescent="0.25">
      <c r="A13157" t="str">
        <f>HYPERLINK("https://www.773grp.com/globalSearch/CAT140021TWI-GT3/page-1", "CAT140021TWI-GT3")</f>
        <v>CAT140021TWI-GT3</v>
      </c>
      <c r="B13157" s="3" t="str">
        <f>HYPERLINK("https://www.773grp.com/manufacturer/onsemi?pageNo=1024", "Onsemi")</f>
        <v>Onsemi</v>
      </c>
      <c r="C13157" s="6">
        <v>15000</v>
      </c>
      <c r="D13157" s="7">
        <v>2.11</v>
      </c>
      <c r="E13157" t="s">
        <v>52</v>
      </c>
    </row>
    <row r="13158" spans="1:5" x14ac:dyDescent="0.25">
      <c r="A13158" t="str">
        <f>HYPERLINK("https://www.773grp.com/globalSearch/CAT140029TWI-G/page-1", "CAT140029TWI-G")</f>
        <v>CAT140029TWI-G</v>
      </c>
      <c r="B13158" s="3" t="str">
        <f>HYPERLINK("https://www.773grp.com/manufacturer/onsemi?pageNo=1025", "Onsemi")</f>
        <v>Onsemi</v>
      </c>
      <c r="C13158" s="6">
        <v>300</v>
      </c>
      <c r="D13158" s="7">
        <v>2.11</v>
      </c>
    </row>
    <row r="13159" spans="1:5" x14ac:dyDescent="0.25">
      <c r="A13159" t="str">
        <f>HYPERLINK("https://www.773grp.com/globalSearch/CAT140029TWI-GT3/page-1", "CAT140029TWI-GT3")</f>
        <v>CAT140029TWI-GT3</v>
      </c>
      <c r="B13159" s="3" t="str">
        <f>HYPERLINK("https://www.773grp.com/manufacturer/onsemi?pageNo=1026", "Onsemi")</f>
        <v>Onsemi</v>
      </c>
      <c r="C13159" s="6">
        <v>30000</v>
      </c>
      <c r="D13159" s="7">
        <v>2.11</v>
      </c>
      <c r="E13159" t="s">
        <v>52</v>
      </c>
    </row>
    <row r="13160" spans="1:5" x14ac:dyDescent="0.25">
      <c r="A13160" t="str">
        <f>HYPERLINK("https://www.773grp.com/globalSearch/CAT1832V-G/page-1", "CAT1832V-G")</f>
        <v>CAT1832V-G</v>
      </c>
      <c r="B13160" s="3" t="str">
        <f>HYPERLINK("https://www.773grp.com/manufacturer/onsemi?pageNo=1027", "Onsemi")</f>
        <v>Onsemi</v>
      </c>
      <c r="C13160" s="6">
        <v>800</v>
      </c>
      <c r="D13160" s="7">
        <v>2.11</v>
      </c>
    </row>
    <row r="13161" spans="1:5" x14ac:dyDescent="0.25">
      <c r="A13161" t="str">
        <f>HYPERLINK("https://www.773grp.com/globalSearch/CAT24C164LI-G/page-1", "CAT24C164LI-G")</f>
        <v>CAT24C164LI-G</v>
      </c>
      <c r="B13161" s="3" t="str">
        <f>HYPERLINK("https://www.773grp.com/manufacturer/onsemi?pageNo=1028", "Onsemi")</f>
        <v>Onsemi</v>
      </c>
      <c r="C13161" s="6">
        <v>500</v>
      </c>
      <c r="D13161" s="7">
        <v>2.11</v>
      </c>
    </row>
    <row r="13162" spans="1:5" x14ac:dyDescent="0.25">
      <c r="A13162" t="str">
        <f>HYPERLINK("https://www.773grp.com/globalSearch/CAT25128VI-G/page-1", "CAT25128VI-G")</f>
        <v>CAT25128VI-G</v>
      </c>
      <c r="B13162" s="3" t="str">
        <f>HYPERLINK("https://www.773grp.com/manufacturer/onsemi?pageNo=1029", "Onsemi")</f>
        <v>Onsemi</v>
      </c>
      <c r="C13162" s="6">
        <v>7900</v>
      </c>
      <c r="D13162" s="7">
        <v>2.11</v>
      </c>
    </row>
    <row r="13163" spans="1:5" x14ac:dyDescent="0.25">
      <c r="A13163" t="str">
        <f>HYPERLINK("https://www.773grp.com/globalSearch/CAT25128YI-G/page-1", "CAT25128YI-G")</f>
        <v>CAT25128YI-G</v>
      </c>
      <c r="B13163" s="3" t="str">
        <f>HYPERLINK("https://www.773grp.com/manufacturer/onsemi?pageNo=1030", "Onsemi")</f>
        <v>Onsemi</v>
      </c>
      <c r="C13163" s="6">
        <v>600</v>
      </c>
      <c r="D13163" s="7">
        <v>2.11</v>
      </c>
    </row>
    <row r="13164" spans="1:5" x14ac:dyDescent="0.25">
      <c r="A13164" t="str">
        <f>HYPERLINK("https://www.773grp.com/globalSearch/CAT3644HV3-GT2/page-1", "CAT3644HV3-GT2")</f>
        <v>CAT3644HV3-GT2</v>
      </c>
      <c r="B13164" s="3" t="str">
        <f>HYPERLINK("https://www.773grp.com/manufacturer/onsemi?pageNo=1031", "Onsemi")</f>
        <v>Onsemi</v>
      </c>
      <c r="C13164" s="6">
        <v>192000</v>
      </c>
      <c r="D13164" s="7">
        <v>2.11</v>
      </c>
      <c r="E13164" t="s">
        <v>7</v>
      </c>
    </row>
    <row r="13165" spans="1:5" x14ac:dyDescent="0.25">
      <c r="A13165" t="str">
        <f>HYPERLINK("https://www.773grp.com/globalSearch/CAT3644HV3-T2/page-1", "CAT3644HV3-T2")</f>
        <v>CAT3644HV3-T2</v>
      </c>
      <c r="B13165" s="3" t="str">
        <f>HYPERLINK("https://www.773grp.com/manufacturer/onsemi?pageNo=1032", "Onsemi")</f>
        <v>Onsemi</v>
      </c>
      <c r="C13165" s="6">
        <v>120010</v>
      </c>
      <c r="D13165" s="7">
        <v>2.11</v>
      </c>
      <c r="E13165" t="s">
        <v>7</v>
      </c>
    </row>
    <row r="13166" spans="1:5" x14ac:dyDescent="0.25">
      <c r="A13166" t="str">
        <f>HYPERLINK("https://www.773grp.com/globalSearch/CAT37TDI-GT3/page-1", "CAT37TDI-GT3")</f>
        <v>CAT37TDI-GT3</v>
      </c>
      <c r="B13166" s="3" t="str">
        <f>HYPERLINK("https://www.773grp.com/manufacturer/onsemi?pageNo=1033", "Onsemi")</f>
        <v>Onsemi</v>
      </c>
      <c r="C13166" s="6">
        <v>36000</v>
      </c>
      <c r="D13166" s="7">
        <v>2.11</v>
      </c>
      <c r="E13166" t="s">
        <v>7</v>
      </c>
    </row>
    <row r="13167" spans="1:5" x14ac:dyDescent="0.25">
      <c r="A13167" t="str">
        <f>HYPERLINK("https://www.773grp.com/globalSearch/CAT4237TD-GT3/page-1", "CAT4237TD-GT3")</f>
        <v>CAT4237TD-GT3</v>
      </c>
      <c r="B13167" s="3" t="str">
        <f>HYPERLINK("https://www.773grp.com/manufacturer/onsemi?pageNo=1034", "Onsemi")</f>
        <v>Onsemi</v>
      </c>
      <c r="C13167" s="6">
        <v>18000</v>
      </c>
      <c r="D13167" s="7">
        <v>2.11</v>
      </c>
    </row>
    <row r="13168" spans="1:5" x14ac:dyDescent="0.25">
      <c r="A13168" t="str">
        <f>HYPERLINK("https://www.773grp.com/globalSearch/CAT4237TD-T3/page-1", "CAT4237TD-T3")</f>
        <v>CAT4237TD-T3</v>
      </c>
      <c r="B13168" s="3" t="str">
        <f>HYPERLINK("https://www.773grp.com/manufacturer/onsemi?pageNo=1035", "Onsemi")</f>
        <v>Onsemi</v>
      </c>
      <c r="C13168" s="6">
        <v>3008</v>
      </c>
      <c r="D13168" s="7">
        <v>2.11</v>
      </c>
      <c r="E13168" t="s">
        <v>7</v>
      </c>
    </row>
    <row r="13169" spans="1:5" x14ac:dyDescent="0.25">
      <c r="A13169" t="str">
        <f>HYPERLINK("https://www.773grp.com/globalSearch/CAT823MSDI-GT3/page-1", "CAT823MSDI-GT3")</f>
        <v>CAT823MSDI-GT3</v>
      </c>
      <c r="B13169" s="3" t="str">
        <f>HYPERLINK("https://www.773grp.com/manufacturer/onsemi?pageNo=1036", "Onsemi")</f>
        <v>Onsemi</v>
      </c>
      <c r="C13169" s="6">
        <v>21000</v>
      </c>
      <c r="D13169" s="7">
        <v>2.11</v>
      </c>
      <c r="E13169" t="s">
        <v>26</v>
      </c>
    </row>
    <row r="13170" spans="1:5" x14ac:dyDescent="0.25">
      <c r="A13170" t="str">
        <f>HYPERLINK("https://www.773grp.com/globalSearch/CS8182YDFR8/page-1", "CS8182YDFR8")</f>
        <v>CS8182YDFR8</v>
      </c>
      <c r="B13170" s="3" t="str">
        <f>HYPERLINK("https://www.773grp.com/manufacturer/onsemi?pageNo=1037", "Onsemi")</f>
        <v>Onsemi</v>
      </c>
      <c r="C13170" s="6">
        <v>2500</v>
      </c>
      <c r="D13170" s="7">
        <v>2.11</v>
      </c>
      <c r="E13170" t="s">
        <v>21</v>
      </c>
    </row>
    <row r="13171" spans="1:5" x14ac:dyDescent="0.25">
      <c r="A13171" t="str">
        <f>HYPERLINK("https://www.773grp.com/globalSearch/ESD1014MUTAG/page-1", "ESD1014MUTAG")</f>
        <v>ESD1014MUTAG</v>
      </c>
      <c r="B13171" s="3" t="str">
        <f>HYPERLINK("https://www.773grp.com/manufacturer/onsemi?pageNo=1038", "Onsemi")</f>
        <v>Onsemi</v>
      </c>
      <c r="C13171" s="6">
        <v>21000</v>
      </c>
      <c r="D13171" s="7">
        <v>2.11</v>
      </c>
    </row>
    <row r="13172" spans="1:5" x14ac:dyDescent="0.25">
      <c r="A13172" t="str">
        <f>HYPERLINK("https://www.773grp.com/globalSearch/LB11967V-TLM-H/page-1", "LB11967V-TLM-H")</f>
        <v>LB11967V-TLM-H</v>
      </c>
      <c r="B13172" s="3" t="str">
        <f>HYPERLINK("https://www.773grp.com/manufacturer/onsemi?pageNo=1039", "Onsemi")</f>
        <v>Onsemi</v>
      </c>
      <c r="C13172" s="6">
        <v>8400</v>
      </c>
      <c r="D13172" s="7">
        <v>2.11</v>
      </c>
    </row>
    <row r="13173" spans="1:5" x14ac:dyDescent="0.25">
      <c r="A13173" t="str">
        <f>HYPERLINK("https://www.773grp.com/globalSearch/LB1848MC-AH/page-1", "LB1848MC-AH")</f>
        <v>LB1848MC-AH</v>
      </c>
      <c r="B13173" s="3" t="str">
        <f>HYPERLINK("https://www.773grp.com/manufacturer/onsemi?pageNo=1040", "Onsemi")</f>
        <v>Onsemi</v>
      </c>
      <c r="C13173" s="6">
        <v>100</v>
      </c>
      <c r="D13173" s="7">
        <v>2.11</v>
      </c>
    </row>
    <row r="13174" spans="1:5" x14ac:dyDescent="0.25">
      <c r="A13174" t="str">
        <f>HYPERLINK("https://www.773grp.com/globalSearch/LB1848MC-BH/page-1", "LB1848MC-BH")</f>
        <v>LB1848MC-BH</v>
      </c>
      <c r="B13174" s="3" t="str">
        <f>HYPERLINK("https://www.773grp.com/manufacturer/onsemi?pageNo=1041", "Onsemi")</f>
        <v>Onsemi</v>
      </c>
      <c r="C13174" s="6">
        <v>2500</v>
      </c>
      <c r="D13174" s="7">
        <v>2.11</v>
      </c>
    </row>
    <row r="13175" spans="1:5" x14ac:dyDescent="0.25">
      <c r="A13175" t="str">
        <f>HYPERLINK("https://www.773grp.com/globalSearch/LB1935FA-BH/page-1", "LB1935FA-BH")</f>
        <v>LB1935FA-BH</v>
      </c>
      <c r="B13175" s="3" t="str">
        <f>HYPERLINK("https://www.773grp.com/manufacturer/onsemi?pageNo=1042", "Onsemi")</f>
        <v>Onsemi</v>
      </c>
      <c r="C13175" s="6">
        <v>12000</v>
      </c>
      <c r="D13175" s="7">
        <v>2.11</v>
      </c>
    </row>
    <row r="13176" spans="1:5" x14ac:dyDescent="0.25">
      <c r="A13176" t="str">
        <f>HYPERLINK("https://www.773grp.com/globalSearch/LM2931ACTVG/page-1", "LM2931ACTVG")</f>
        <v>LM2931ACTVG</v>
      </c>
      <c r="B13176" s="3" t="str">
        <f>HYPERLINK("https://www.773grp.com/manufacturer/onsemi?pageNo=1043", "Onsemi")</f>
        <v>Onsemi</v>
      </c>
      <c r="C13176" s="6">
        <v>3400</v>
      </c>
      <c r="D13176" s="7">
        <v>2.11</v>
      </c>
      <c r="E13176" t="s">
        <v>21</v>
      </c>
    </row>
    <row r="13177" spans="1:5" x14ac:dyDescent="0.25">
      <c r="A13177" t="str">
        <f>HYPERLINK("https://www.773grp.com/globalSearch/LM392DR2G/page-1", "LM392DR2G")</f>
        <v>LM392DR2G</v>
      </c>
      <c r="B13177" s="3" t="str">
        <f>HYPERLINK("https://www.773grp.com/manufacturer/onsemi?pageNo=1044", "Onsemi")</f>
        <v>Onsemi</v>
      </c>
      <c r="C13177" s="6">
        <v>99401</v>
      </c>
      <c r="D13177" s="7">
        <v>2.11</v>
      </c>
      <c r="E13177" t="s">
        <v>10</v>
      </c>
    </row>
    <row r="13178" spans="1:5" x14ac:dyDescent="0.25">
      <c r="A13178" t="str">
        <f>HYPERLINK("https://www.773grp.com/globalSearch/LMV824DR2G/page-1", "LMV824DR2G")</f>
        <v>LMV824DR2G</v>
      </c>
      <c r="B13178" s="3" t="str">
        <f>HYPERLINK("https://www.773grp.com/manufacturer/onsemi?pageNo=1045", "Onsemi")</f>
        <v>Onsemi</v>
      </c>
      <c r="C13178" s="6">
        <v>1827</v>
      </c>
      <c r="D13178" s="7">
        <v>2.11</v>
      </c>
    </row>
    <row r="13179" spans="1:5" x14ac:dyDescent="0.25">
      <c r="A13179" t="str">
        <f>HYPERLINK("https://www.773grp.com/globalSearch/LMV824DTBR2G/page-1", "LMV824DTBR2G")</f>
        <v>LMV824DTBR2G</v>
      </c>
      <c r="B13179" s="3" t="str">
        <f>HYPERLINK("https://www.773grp.com/manufacturer/onsemi?pageNo=1046", "Onsemi")</f>
        <v>Onsemi</v>
      </c>
      <c r="C13179" s="6">
        <v>2500</v>
      </c>
      <c r="D13179" s="7">
        <v>2.11</v>
      </c>
      <c r="E13179" t="s">
        <v>10</v>
      </c>
    </row>
    <row r="13180" spans="1:5" x14ac:dyDescent="0.25">
      <c r="A13180" t="str">
        <f>HYPERLINK("https://www.773grp.com/globalSearch/MBR745/page-1", "MBR745")</f>
        <v>MBR745</v>
      </c>
      <c r="B13180" s="3" t="str">
        <f>HYPERLINK("https://www.773grp.com/manufacturer/onsemi?pageNo=1047", "Onsemi")</f>
        <v>Onsemi</v>
      </c>
      <c r="C13180" s="6">
        <v>7000</v>
      </c>
      <c r="D13180" s="7">
        <v>2.11</v>
      </c>
      <c r="E13180" t="s">
        <v>82</v>
      </c>
    </row>
    <row r="13181" spans="1:5" x14ac:dyDescent="0.25">
      <c r="A13181" t="str">
        <f>HYPERLINK("https://www.773grp.com/globalSearch/MBRF20L45CTG/page-1", "MBRF20L45CTG")</f>
        <v>MBRF20L45CTG</v>
      </c>
      <c r="B13181" s="3" t="str">
        <f>HYPERLINK("https://www.773grp.com/manufacturer/onsemi?pageNo=1048", "Onsemi")</f>
        <v>Onsemi</v>
      </c>
      <c r="C13181" s="6">
        <v>496489</v>
      </c>
      <c r="D13181" s="7">
        <v>2.11</v>
      </c>
      <c r="E13181" t="s">
        <v>82</v>
      </c>
    </row>
    <row r="13182" spans="1:5" x14ac:dyDescent="0.25">
      <c r="A13182" t="str">
        <f>HYPERLINK("https://www.773grp.com/globalSearch/MC33074ADTBR2G/page-1", "MC33074ADTBR2G")</f>
        <v>MC33074ADTBR2G</v>
      </c>
      <c r="B13182" s="3" t="str">
        <f>HYPERLINK("https://www.773grp.com/manufacturer/onsemi?pageNo=1049", "Onsemi")</f>
        <v>Onsemi</v>
      </c>
      <c r="C13182" s="6">
        <v>73</v>
      </c>
      <c r="D13182" s="7">
        <v>2.11</v>
      </c>
    </row>
    <row r="13183" spans="1:5" x14ac:dyDescent="0.25">
      <c r="A13183" t="str">
        <f>HYPERLINK("https://www.773grp.com/globalSearch/MC33074DR2G/page-1", "MC33074DR2G")</f>
        <v>MC33074DR2G</v>
      </c>
      <c r="B13183" s="3" t="str">
        <f>HYPERLINK("https://www.773grp.com/manufacturer/onsemi?pageNo=1050", "Onsemi")</f>
        <v>Onsemi</v>
      </c>
      <c r="C13183" s="6">
        <v>19720</v>
      </c>
      <c r="D13183" s="7">
        <v>2.11</v>
      </c>
      <c r="E13183" t="s">
        <v>10</v>
      </c>
    </row>
    <row r="13184" spans="1:5" x14ac:dyDescent="0.25">
      <c r="A13184" t="str">
        <f>HYPERLINK("https://www.773grp.com/globalSearch/MC33201DG/page-1", "MC33201DG")</f>
        <v>MC33201DG</v>
      </c>
      <c r="B13184" s="3" t="str">
        <f>HYPERLINK("https://www.773grp.com/manufacturer/onsemi?pageNo=1051", "Onsemi")</f>
        <v>Onsemi</v>
      </c>
      <c r="C13184" s="6">
        <v>5382</v>
      </c>
      <c r="D13184" s="7">
        <v>2.11</v>
      </c>
      <c r="E13184" t="s">
        <v>10</v>
      </c>
    </row>
    <row r="13185" spans="1:5" x14ac:dyDescent="0.25">
      <c r="A13185" t="str">
        <f>HYPERLINK("https://www.773grp.com/globalSearch/MC33201DR2G/page-1", "MC33201DR2G")</f>
        <v>MC33201DR2G</v>
      </c>
      <c r="B13185" s="3" t="str">
        <f>HYPERLINK("https://www.773grp.com/manufacturer/onsemi?pageNo=1052", "Onsemi")</f>
        <v>Onsemi</v>
      </c>
      <c r="C13185" s="6">
        <v>39735</v>
      </c>
      <c r="D13185" s="7">
        <v>2.11</v>
      </c>
      <c r="E13185" t="s">
        <v>10</v>
      </c>
    </row>
    <row r="13186" spans="1:5" x14ac:dyDescent="0.25">
      <c r="A13186" t="str">
        <f>HYPERLINK("https://www.773grp.com/globalSearch/MC33501SNT1G/page-1", "MC33501SNT1G")</f>
        <v>MC33501SNT1G</v>
      </c>
      <c r="B13186" s="3" t="str">
        <f>HYPERLINK("https://www.773grp.com/manufacturer/onsemi?pageNo=1053", "Onsemi")</f>
        <v>Onsemi</v>
      </c>
      <c r="C13186" s="6">
        <v>744000</v>
      </c>
      <c r="D13186" s="7">
        <v>2.11</v>
      </c>
    </row>
    <row r="13187" spans="1:5" x14ac:dyDescent="0.25">
      <c r="A13187" t="str">
        <f>HYPERLINK("https://www.773grp.com/globalSearch/MC33501SNT1GH/page-1", "MC33501SNT1GH")</f>
        <v>MC33501SNT1GH</v>
      </c>
      <c r="B13187" s="3" t="str">
        <f>HYPERLINK("https://www.773grp.com/manufacturer/onsemi?pageNo=1054", "Onsemi")</f>
        <v>Onsemi</v>
      </c>
      <c r="C13187" s="6">
        <v>9000</v>
      </c>
      <c r="D13187" s="7">
        <v>2.11</v>
      </c>
    </row>
    <row r="13188" spans="1:5" x14ac:dyDescent="0.25">
      <c r="A13188" t="str">
        <f>HYPERLINK("https://www.773grp.com/globalSearch/MC33503SNT1G/page-1", "MC33503SNT1G")</f>
        <v>MC33503SNT1G</v>
      </c>
      <c r="B13188" s="3" t="str">
        <f>HYPERLINK("https://www.773grp.com/manufacturer/onsemi?pageNo=1055", "Onsemi")</f>
        <v>Onsemi</v>
      </c>
      <c r="C13188" s="6">
        <v>15125</v>
      </c>
      <c r="D13188" s="7">
        <v>2.11</v>
      </c>
      <c r="E13188" t="s">
        <v>10</v>
      </c>
    </row>
    <row r="13189" spans="1:5" x14ac:dyDescent="0.25">
      <c r="A13189" t="str">
        <f>HYPERLINK("https://www.773grp.com/globalSearch/MC33762DM-2525RG/page-1", "MC33762DM-2525RG")</f>
        <v>MC33762DM-2525RG</v>
      </c>
      <c r="B13189" s="3" t="str">
        <f>HYPERLINK("https://www.773grp.com/manufacturer/onsemi?pageNo=1056", "Onsemi")</f>
        <v>Onsemi</v>
      </c>
      <c r="C13189" s="6">
        <v>13546</v>
      </c>
      <c r="D13189" s="7">
        <v>2.11</v>
      </c>
    </row>
    <row r="13190" spans="1:5" x14ac:dyDescent="0.25">
      <c r="A13190" t="str">
        <f>HYPERLINK("https://www.773grp.com/globalSearch/MC33762DM-2828RG/page-1", "MC33762DM-2828RG")</f>
        <v>MC33762DM-2828RG</v>
      </c>
      <c r="B13190" s="3" t="str">
        <f>HYPERLINK("https://www.773grp.com/manufacturer/onsemi?pageNo=1057", "Onsemi")</f>
        <v>Onsemi</v>
      </c>
      <c r="C13190" s="6">
        <v>8000</v>
      </c>
      <c r="D13190" s="7">
        <v>2.11</v>
      </c>
    </row>
    <row r="13191" spans="1:5" x14ac:dyDescent="0.25">
      <c r="A13191" t="str">
        <f>HYPERLINK("https://www.773grp.com/globalSearch/MC33762DM-3030RG/page-1", "MC33762DM-3030RG")</f>
        <v>MC33762DM-3030RG</v>
      </c>
      <c r="B13191" s="3" t="str">
        <f>HYPERLINK("https://www.773grp.com/manufacturer/onsemi?pageNo=1058", "Onsemi")</f>
        <v>Onsemi</v>
      </c>
      <c r="C13191" s="6">
        <v>12000</v>
      </c>
      <c r="D13191" s="7">
        <v>2.11</v>
      </c>
    </row>
    <row r="13192" spans="1:5" x14ac:dyDescent="0.25">
      <c r="A13192" t="str">
        <f>HYPERLINK("https://www.773grp.com/globalSearch/MC34074ADG/page-1", "MC34074ADG")</f>
        <v>MC34074ADG</v>
      </c>
      <c r="B13192" s="3" t="str">
        <f>HYPERLINK("https://www.773grp.com/manufacturer/onsemi?pageNo=1059", "Onsemi")</f>
        <v>Onsemi</v>
      </c>
      <c r="C13192" s="6">
        <v>2770</v>
      </c>
      <c r="D13192" s="7">
        <v>2.11</v>
      </c>
      <c r="E13192" t="s">
        <v>10</v>
      </c>
    </row>
    <row r="13193" spans="1:5" x14ac:dyDescent="0.25">
      <c r="A13193" t="str">
        <f>HYPERLINK("https://www.773grp.com/globalSearch/MC34074ADR2G/page-1", "MC34074ADR2G")</f>
        <v>MC34074ADR2G</v>
      </c>
      <c r="B13193" s="3" t="str">
        <f>HYPERLINK("https://www.773grp.com/manufacturer/onsemi?pageNo=1060", "Onsemi")</f>
        <v>Onsemi</v>
      </c>
      <c r="C13193" s="6">
        <v>82500</v>
      </c>
      <c r="D13193" s="7">
        <v>2.11</v>
      </c>
      <c r="E13193" t="s">
        <v>10</v>
      </c>
    </row>
    <row r="13194" spans="1:5" x14ac:dyDescent="0.25">
      <c r="A13194" t="str">
        <f>HYPERLINK("https://www.773grp.com/globalSearch/MC34074APG/page-1", "MC34074APG")</f>
        <v>MC34074APG</v>
      </c>
      <c r="B13194" s="3" t="str">
        <f>HYPERLINK("https://www.773grp.com/manufacturer/onsemi?pageNo=1061", "Onsemi")</f>
        <v>Onsemi</v>
      </c>
      <c r="C13194" s="6">
        <v>9050</v>
      </c>
      <c r="D13194" s="7">
        <v>2.11</v>
      </c>
      <c r="E13194" t="s">
        <v>10</v>
      </c>
    </row>
    <row r="13195" spans="1:5" x14ac:dyDescent="0.25">
      <c r="A13195" t="str">
        <f>HYPERLINK("https://www.773grp.com/globalSearch/MC44603P/page-1", "MC44603P")</f>
        <v>MC44603P</v>
      </c>
      <c r="B13195" s="3" t="str">
        <f>HYPERLINK("https://www.773grp.com/manufacturer/onsemi?pageNo=1062", "Onsemi")</f>
        <v>Onsemi</v>
      </c>
      <c r="C13195" s="6">
        <v>75</v>
      </c>
      <c r="D13195" s="7">
        <v>2.11</v>
      </c>
      <c r="E13195" t="s">
        <v>5</v>
      </c>
    </row>
    <row r="13196" spans="1:5" x14ac:dyDescent="0.25">
      <c r="A13196" t="str">
        <f>HYPERLINK("https://www.773grp.com/globalSearch/MC44603PG/page-1", "MC44603PG")</f>
        <v>MC44603PG</v>
      </c>
      <c r="B13196" s="3" t="str">
        <f>HYPERLINK("https://www.773grp.com/manufacturer/onsemi?pageNo=1063", "Onsemi")</f>
        <v>Onsemi</v>
      </c>
      <c r="C13196" s="6">
        <v>85</v>
      </c>
      <c r="D13196" s="7">
        <v>2.11</v>
      </c>
      <c r="E13196" t="s">
        <v>5</v>
      </c>
    </row>
    <row r="13197" spans="1:5" x14ac:dyDescent="0.25">
      <c r="A13197" t="str">
        <f>HYPERLINK("https://www.773grp.com/globalSearch/MC74F194D/page-1", "MC74F194D")</f>
        <v>MC74F194D</v>
      </c>
      <c r="B13197" s="3" t="str">
        <f>HYPERLINK("https://www.773grp.com/manufacturer/onsemi?pageNo=1064", "Onsemi")</f>
        <v>Onsemi</v>
      </c>
      <c r="C13197" s="6">
        <v>4071</v>
      </c>
      <c r="D13197" s="7">
        <v>2.11</v>
      </c>
      <c r="E13197" t="s">
        <v>28</v>
      </c>
    </row>
    <row r="13198" spans="1:5" x14ac:dyDescent="0.25">
      <c r="A13198" t="str">
        <f>HYPERLINK("https://www.773grp.com/globalSearch/MC74F194DR2/page-1", "MC74F194DR2")</f>
        <v>MC74F194DR2</v>
      </c>
      <c r="B13198" s="3" t="str">
        <f>HYPERLINK("https://www.773grp.com/manufacturer/onsemi?pageNo=1065", "Onsemi")</f>
        <v>Onsemi</v>
      </c>
      <c r="C13198" s="6">
        <v>12500</v>
      </c>
      <c r="D13198" s="7">
        <v>2.11</v>
      </c>
      <c r="E13198" t="s">
        <v>28</v>
      </c>
    </row>
    <row r="13199" spans="1:5" x14ac:dyDescent="0.25">
      <c r="A13199" t="str">
        <f>HYPERLINK("https://www.773grp.com/globalSearch/MC74F194M/page-1", "MC74F194M")</f>
        <v>MC74F194M</v>
      </c>
      <c r="B13199" s="3" t="str">
        <f>HYPERLINK("https://www.773grp.com/manufacturer/onsemi?pageNo=1066", "Onsemi")</f>
        <v>Onsemi</v>
      </c>
      <c r="C13199" s="6">
        <v>2594</v>
      </c>
      <c r="D13199" s="7">
        <v>2.11</v>
      </c>
    </row>
    <row r="13200" spans="1:5" x14ac:dyDescent="0.25">
      <c r="A13200" t="str">
        <f>HYPERLINK("https://www.773grp.com/globalSearch/MC74F377DW/page-1", "MC74F377DW")</f>
        <v>MC74F377DW</v>
      </c>
      <c r="B13200" s="3" t="str">
        <f>HYPERLINK("https://www.773grp.com/manufacturer/onsemi?pageNo=1067", "Onsemi")</f>
        <v>Onsemi</v>
      </c>
      <c r="C13200" s="6">
        <v>3893</v>
      </c>
      <c r="D13200" s="7">
        <v>2.11</v>
      </c>
      <c r="E13200" t="s">
        <v>31</v>
      </c>
    </row>
    <row r="13201" spans="1:5" x14ac:dyDescent="0.25">
      <c r="A13201" t="str">
        <f>HYPERLINK("https://www.773grp.com/globalSearch/MC74F377M/page-1", "MC74F377M")</f>
        <v>MC74F377M</v>
      </c>
      <c r="B13201" s="3" t="str">
        <f>HYPERLINK("https://www.773grp.com/manufacturer/onsemi?pageNo=1068", "Onsemi")</f>
        <v>Onsemi</v>
      </c>
      <c r="C13201" s="6">
        <v>1512</v>
      </c>
      <c r="D13201" s="7">
        <v>2.11</v>
      </c>
    </row>
    <row r="13202" spans="1:5" x14ac:dyDescent="0.25">
      <c r="A13202" t="str">
        <f>HYPERLINK("https://www.773grp.com/globalSearch/MC74HC154DWR2/page-1", "MC74HC154DWR2")</f>
        <v>MC74HC154DWR2</v>
      </c>
      <c r="B13202" s="3" t="str">
        <f>HYPERLINK("https://www.773grp.com/manufacturer/onsemi?pageNo=1069", "Onsemi")</f>
        <v>Onsemi</v>
      </c>
      <c r="C13202" s="6">
        <v>61078</v>
      </c>
      <c r="D13202" s="7">
        <v>2.11</v>
      </c>
      <c r="E13202" t="s">
        <v>32</v>
      </c>
    </row>
    <row r="13203" spans="1:5" x14ac:dyDescent="0.25">
      <c r="A13203" t="str">
        <f>HYPERLINK("https://www.773grp.com/globalSearch/MJE15035G/page-1", "MJE15035G")</f>
        <v>MJE15035G</v>
      </c>
      <c r="B13203" s="3" t="str">
        <f>HYPERLINK("https://www.773grp.com/manufacturer/onsemi?pageNo=1070", "Onsemi")</f>
        <v>Onsemi</v>
      </c>
      <c r="C13203" s="6">
        <v>19071</v>
      </c>
      <c r="D13203" s="7">
        <v>2.11</v>
      </c>
      <c r="E13203" t="s">
        <v>47</v>
      </c>
    </row>
    <row r="13204" spans="1:5" x14ac:dyDescent="0.25">
      <c r="A13204" t="str">
        <f>HYPERLINK("https://www.773grp.com/globalSearch/MMDF2C03HDR2G/page-1", "MMDF2C03HDR2G")</f>
        <v>MMDF2C03HDR2G</v>
      </c>
      <c r="B13204" s="3" t="str">
        <f>HYPERLINK("https://www.773grp.com/manufacturer/onsemi?pageNo=1071", "Onsemi")</f>
        <v>Onsemi</v>
      </c>
      <c r="C13204" s="6">
        <v>6846</v>
      </c>
      <c r="D13204" s="7">
        <v>2.11</v>
      </c>
    </row>
    <row r="13205" spans="1:5" x14ac:dyDescent="0.25">
      <c r="A13205" t="str">
        <f>HYPERLINK("https://www.773grp.com/globalSearch/MMSF3P02HDR2G/page-1", "MMSF3P02HDR2G")</f>
        <v>MMSF3P02HDR2G</v>
      </c>
      <c r="B13205" s="3" t="str">
        <f>HYPERLINK("https://www.773grp.com/manufacturer/onsemi?pageNo=1072", "Onsemi")</f>
        <v>Onsemi</v>
      </c>
      <c r="C13205" s="6">
        <v>6705</v>
      </c>
      <c r="D13205" s="7">
        <v>2.11</v>
      </c>
      <c r="E13205" t="s">
        <v>84</v>
      </c>
    </row>
    <row r="13206" spans="1:5" x14ac:dyDescent="0.25">
      <c r="A13206" t="str">
        <f>HYPERLINK("https://www.773grp.com/globalSearch/MMSF7P03HDR2G/page-1", "MMSF7P03HDR2G")</f>
        <v>MMSF7P03HDR2G</v>
      </c>
      <c r="B13206" s="3" t="str">
        <f>HYPERLINK("https://www.773grp.com/manufacturer/onsemi?pageNo=1073", "Onsemi")</f>
        <v>Onsemi</v>
      </c>
      <c r="C13206" s="6">
        <v>36635</v>
      </c>
      <c r="D13206" s="7">
        <v>2.11</v>
      </c>
      <c r="E13206" t="s">
        <v>84</v>
      </c>
    </row>
    <row r="13207" spans="1:5" x14ac:dyDescent="0.25">
      <c r="A13207" t="str">
        <f>HYPERLINK("https://www.773grp.com/globalSearch/MRJ2535-2LF/page-1", "MRJ2535-2LF")</f>
        <v>MRJ2535-2LF</v>
      </c>
      <c r="B13207" s="3" t="str">
        <f>HYPERLINK("https://www.773grp.com/manufacturer/onsemi?pageNo=1074", "Onsemi")</f>
        <v>Onsemi</v>
      </c>
      <c r="C13207" s="6">
        <v>103783</v>
      </c>
      <c r="D13207" s="7">
        <v>2.11</v>
      </c>
    </row>
    <row r="13208" spans="1:5" x14ac:dyDescent="0.25">
      <c r="A13208" t="str">
        <f>HYPERLINK("https://www.773grp.com/globalSearch/NCN8025AMNTXG/page-1", "NCN8025AMNTXG")</f>
        <v>NCN8025AMNTXG</v>
      </c>
      <c r="B13208" s="3" t="str">
        <f>HYPERLINK("https://www.773grp.com/manufacturer/onsemi?pageNo=1075", "Onsemi")</f>
        <v>Onsemi</v>
      </c>
      <c r="C13208" s="6">
        <v>51000</v>
      </c>
      <c r="D13208" s="7">
        <v>2.11</v>
      </c>
    </row>
    <row r="13209" spans="1:5" x14ac:dyDescent="0.25">
      <c r="A13209" t="str">
        <f>HYPERLINK("https://www.773grp.com/globalSearch/NCN8026AMNTXG/page-1", "NCN8026AMNTXG")</f>
        <v>NCN8026AMNTXG</v>
      </c>
      <c r="B13209" s="3" t="str">
        <f>HYPERLINK("https://www.773grp.com/manufacturer/onsemi?pageNo=1076", "Onsemi")</f>
        <v>Onsemi</v>
      </c>
      <c r="C13209" s="6">
        <v>3000</v>
      </c>
      <c r="D13209" s="7">
        <v>2.11</v>
      </c>
    </row>
    <row r="13210" spans="1:5" x14ac:dyDescent="0.25">
      <c r="A13210" t="str">
        <f>HYPERLINK("https://www.773grp.com/globalSearch/NCP1200AP60G/page-1", "NCP1200AP60G")</f>
        <v>NCP1200AP60G</v>
      </c>
      <c r="B13210" s="3" t="str">
        <f>HYPERLINK("https://www.773grp.com/manufacturer/onsemi?pageNo=1077", "Onsemi")</f>
        <v>Onsemi</v>
      </c>
      <c r="C13210" s="6">
        <v>1000</v>
      </c>
      <c r="D13210" s="7">
        <v>2.11</v>
      </c>
      <c r="E13210" t="s">
        <v>5</v>
      </c>
    </row>
    <row r="13211" spans="1:5" x14ac:dyDescent="0.25">
      <c r="A13211" t="str">
        <f>HYPERLINK("https://www.773grp.com/globalSearch/NCP1230AD100R2/page-1", "NCP1230AD100R2")</f>
        <v>NCP1230AD100R2</v>
      </c>
      <c r="B13211" s="3" t="str">
        <f>HYPERLINK("https://www.773grp.com/manufacturer/onsemi?pageNo=1078", "Onsemi")</f>
        <v>Onsemi</v>
      </c>
      <c r="C13211" s="6">
        <v>2395</v>
      </c>
      <c r="D13211" s="7">
        <v>2.11</v>
      </c>
      <c r="E13211" t="s">
        <v>5</v>
      </c>
    </row>
    <row r="13212" spans="1:5" x14ac:dyDescent="0.25">
      <c r="A13212" t="str">
        <f>HYPERLINK("https://www.773grp.com/globalSearch/NCP1230P100G/page-1", "NCP1230P100G")</f>
        <v>NCP1230P100G</v>
      </c>
      <c r="B13212" s="3" t="str">
        <f>HYPERLINK("https://www.773grp.com/manufacturer/onsemi?pageNo=1079", "Onsemi")</f>
        <v>Onsemi</v>
      </c>
      <c r="C13212" s="6">
        <v>9455</v>
      </c>
      <c r="D13212" s="7">
        <v>2.11</v>
      </c>
      <c r="E13212" t="s">
        <v>5</v>
      </c>
    </row>
    <row r="13213" spans="1:5" x14ac:dyDescent="0.25">
      <c r="A13213" t="str">
        <f>HYPERLINK("https://www.773grp.com/globalSearch/NCP1230P133G/page-1", "NCP1230P133G")</f>
        <v>NCP1230P133G</v>
      </c>
      <c r="B13213" s="3" t="str">
        <f>HYPERLINK("https://www.773grp.com/manufacturer/onsemi?pageNo=1080", "Onsemi")</f>
        <v>Onsemi</v>
      </c>
      <c r="C13213" s="6">
        <v>2000</v>
      </c>
      <c r="D13213" s="7">
        <v>2.11</v>
      </c>
      <c r="E13213" t="s">
        <v>5</v>
      </c>
    </row>
    <row r="13214" spans="1:5" x14ac:dyDescent="0.25">
      <c r="A13214" t="str">
        <f>HYPERLINK("https://www.773grp.com/globalSearch/NCP1230P65/page-1", "NCP1230P65")</f>
        <v>NCP1230P65</v>
      </c>
      <c r="B13214" s="3" t="str">
        <f>HYPERLINK("https://www.773grp.com/manufacturer/onsemi?pageNo=1081", "Onsemi")</f>
        <v>Onsemi</v>
      </c>
      <c r="C13214" s="6">
        <v>8960</v>
      </c>
      <c r="D13214" s="7">
        <v>2.11</v>
      </c>
      <c r="E13214" t="s">
        <v>5</v>
      </c>
    </row>
    <row r="13215" spans="1:5" x14ac:dyDescent="0.25">
      <c r="A13215" t="str">
        <f>HYPERLINK("https://www.773grp.com/globalSearch/NCP1230P65G/page-1", "NCP1230P65G")</f>
        <v>NCP1230P65G</v>
      </c>
      <c r="B13215" s="3" t="str">
        <f>HYPERLINK("https://www.773grp.com/manufacturer/onsemi?pageNo=1082", "Onsemi")</f>
        <v>Onsemi</v>
      </c>
      <c r="C13215" s="6">
        <v>2425</v>
      </c>
      <c r="D13215" s="7">
        <v>2.11</v>
      </c>
      <c r="E13215" t="s">
        <v>5</v>
      </c>
    </row>
    <row r="13216" spans="1:5" x14ac:dyDescent="0.25">
      <c r="A13216" t="str">
        <f>HYPERLINK("https://www.773grp.com/globalSearch/NCP1337PG/page-1", "NCP1337PG")</f>
        <v>NCP1337PG</v>
      </c>
      <c r="B13216" s="3" t="str">
        <f>HYPERLINK("https://www.773grp.com/manufacturer/onsemi?pageNo=1083", "Onsemi")</f>
        <v>Onsemi</v>
      </c>
      <c r="C13216" s="6">
        <v>75779</v>
      </c>
      <c r="D13216" s="7">
        <v>2.11</v>
      </c>
    </row>
    <row r="13217" spans="1:5" x14ac:dyDescent="0.25">
      <c r="A13217" t="str">
        <f>HYPERLINK("https://www.773grp.com/globalSearch/NCP1521BMUTBG/page-1", "NCP1521BMUTBG")</f>
        <v>NCP1521BMUTBG</v>
      </c>
      <c r="B13217" s="3" t="str">
        <f>HYPERLINK("https://www.773grp.com/manufacturer/onsemi?pageNo=1084", "Onsemi")</f>
        <v>Onsemi</v>
      </c>
      <c r="C13217" s="6">
        <v>2995</v>
      </c>
      <c r="D13217" s="7">
        <v>2.11</v>
      </c>
      <c r="E13217" t="s">
        <v>5</v>
      </c>
    </row>
    <row r="13218" spans="1:5" x14ac:dyDescent="0.25">
      <c r="A13218" t="str">
        <f>HYPERLINK("https://www.773grp.com/globalSearch/NCP1523BFCT2G/page-1", "NCP1523BFCT2G")</f>
        <v>NCP1523BFCT2G</v>
      </c>
      <c r="B13218" s="3" t="str">
        <f>HYPERLINK("https://www.773grp.com/manufacturer/onsemi?pageNo=1085", "Onsemi")</f>
        <v>Onsemi</v>
      </c>
      <c r="C13218" s="6">
        <v>287101</v>
      </c>
      <c r="D13218" s="7">
        <v>2.11</v>
      </c>
      <c r="E13218" t="s">
        <v>5</v>
      </c>
    </row>
    <row r="13219" spans="1:5" x14ac:dyDescent="0.25">
      <c r="A13219" t="str">
        <f>HYPERLINK("https://www.773grp.com/globalSearch/NCP1530DM25R2G/page-1", "NCP1530DM25R2G")</f>
        <v>NCP1530DM25R2G</v>
      </c>
      <c r="B13219" s="3" t="str">
        <f>HYPERLINK("https://www.773grp.com/manufacturer/onsemi?pageNo=1086", "Onsemi")</f>
        <v>Onsemi</v>
      </c>
      <c r="C13219" s="6">
        <v>4000</v>
      </c>
      <c r="D13219" s="7">
        <v>2.11</v>
      </c>
      <c r="E13219" t="s">
        <v>5</v>
      </c>
    </row>
    <row r="13220" spans="1:5" x14ac:dyDescent="0.25">
      <c r="A13220" t="str">
        <f>HYPERLINK("https://www.773grp.com/globalSearch/NCP1530DM27R2/page-1", "NCP1530DM27R2")</f>
        <v>NCP1530DM27R2</v>
      </c>
      <c r="B13220" s="3" t="str">
        <f>HYPERLINK("https://www.773grp.com/manufacturer/onsemi?pageNo=1087", "Onsemi")</f>
        <v>Onsemi</v>
      </c>
      <c r="C13220" s="6">
        <v>4000</v>
      </c>
      <c r="D13220" s="7">
        <v>2.11</v>
      </c>
      <c r="E13220" t="s">
        <v>5</v>
      </c>
    </row>
    <row r="13221" spans="1:5" x14ac:dyDescent="0.25">
      <c r="A13221" t="str">
        <f>HYPERLINK("https://www.773grp.com/globalSearch/NCP1530DM27R2G/page-1", "NCP1530DM27R2G")</f>
        <v>NCP1530DM27R2G</v>
      </c>
      <c r="B13221" s="3" t="str">
        <f>HYPERLINK("https://www.773grp.com/manufacturer/onsemi?pageNo=1088", "Onsemi")</f>
        <v>Onsemi</v>
      </c>
      <c r="C13221" s="6">
        <v>4000</v>
      </c>
      <c r="D13221" s="7">
        <v>2.11</v>
      </c>
      <c r="E13221" t="s">
        <v>5</v>
      </c>
    </row>
    <row r="13222" spans="1:5" x14ac:dyDescent="0.25">
      <c r="A13222" t="str">
        <f>HYPERLINK("https://www.773grp.com/globalSearch/NCP1530DM30R2/page-1", "NCP1530DM30R2")</f>
        <v>NCP1530DM30R2</v>
      </c>
      <c r="B13222" s="3" t="str">
        <f>HYPERLINK("https://www.773grp.com/manufacturer/onsemi?pageNo=1089", "Onsemi")</f>
        <v>Onsemi</v>
      </c>
      <c r="C13222" s="6">
        <v>44000</v>
      </c>
      <c r="D13222" s="7">
        <v>2.11</v>
      </c>
      <c r="E13222" t="s">
        <v>5</v>
      </c>
    </row>
    <row r="13223" spans="1:5" x14ac:dyDescent="0.25">
      <c r="A13223" t="str">
        <f>HYPERLINK("https://www.773grp.com/globalSearch/NCP1530DM30R2G/page-1", "NCP1530DM30R2G")</f>
        <v>NCP1530DM30R2G</v>
      </c>
      <c r="B13223" s="3" t="str">
        <f>HYPERLINK("https://www.773grp.com/manufacturer/onsemi?pageNo=1090", "Onsemi")</f>
        <v>Onsemi</v>
      </c>
      <c r="C13223" s="6">
        <v>19838</v>
      </c>
      <c r="D13223" s="7">
        <v>2.11</v>
      </c>
      <c r="E13223" t="s">
        <v>5</v>
      </c>
    </row>
    <row r="13224" spans="1:5" x14ac:dyDescent="0.25">
      <c r="A13224" t="str">
        <f>HYPERLINK("https://www.773grp.com/globalSearch/NCP1653DR2/page-1", "NCP1653DR2")</f>
        <v>NCP1653DR2</v>
      </c>
      <c r="B13224" s="3" t="str">
        <f>HYPERLINK("https://www.773grp.com/manufacturer/onsemi?pageNo=1091", "Onsemi")</f>
        <v>Onsemi</v>
      </c>
      <c r="C13224" s="6">
        <v>4468</v>
      </c>
      <c r="D13224" s="7">
        <v>2.11</v>
      </c>
      <c r="E13224" t="s">
        <v>5</v>
      </c>
    </row>
    <row r="13225" spans="1:5" x14ac:dyDescent="0.25">
      <c r="A13225" t="str">
        <f>HYPERLINK("https://www.773grp.com/globalSearch/NCP1835MN20R2/page-1", "NCP1835MN20R2")</f>
        <v>NCP1835MN20R2</v>
      </c>
      <c r="B13225" s="3" t="str">
        <f>HYPERLINK("https://www.773grp.com/manufacturer/onsemi?pageNo=1092", "Onsemi")</f>
        <v>Onsemi</v>
      </c>
      <c r="C13225" s="6">
        <v>6000</v>
      </c>
      <c r="D13225" s="7">
        <v>2.11</v>
      </c>
      <c r="E13225" t="s">
        <v>26</v>
      </c>
    </row>
    <row r="13226" spans="1:5" x14ac:dyDescent="0.25">
      <c r="A13226" t="str">
        <f>HYPERLINK("https://www.773grp.com/globalSearch/NCP1835MN24T2/page-1", "NCP1835MN24T2")</f>
        <v>NCP1835MN24T2</v>
      </c>
      <c r="B13226" s="3" t="str">
        <f>HYPERLINK("https://www.773grp.com/manufacturer/onsemi?pageNo=1093", "Onsemi")</f>
        <v>Onsemi</v>
      </c>
      <c r="C13226" s="6">
        <v>6000</v>
      </c>
      <c r="D13226" s="7">
        <v>2.11</v>
      </c>
      <c r="E13226" t="s">
        <v>26</v>
      </c>
    </row>
    <row r="13227" spans="1:5" x14ac:dyDescent="0.25">
      <c r="A13227" t="str">
        <f>HYPERLINK("https://www.773grp.com/globalSearch/NCP370MUAITXG/page-1", "NCP370MUAITXG")</f>
        <v>NCP370MUAITXG</v>
      </c>
      <c r="B13227" s="3" t="str">
        <f>HYPERLINK("https://www.773grp.com/manufacturer/onsemi?pageNo=1094", "Onsemi")</f>
        <v>Onsemi</v>
      </c>
      <c r="C13227" s="6">
        <v>255000</v>
      </c>
      <c r="D13227" s="7">
        <v>2.11</v>
      </c>
      <c r="E13227" t="s">
        <v>8</v>
      </c>
    </row>
    <row r="13228" spans="1:5" x14ac:dyDescent="0.25">
      <c r="A13228" t="str">
        <f>HYPERLINK("https://www.773grp.com/globalSearch/NCP5252MNTXG/page-1", "NCP5252MNTXG")</f>
        <v>NCP5252MNTXG</v>
      </c>
      <c r="B13228" s="3" t="str">
        <f>HYPERLINK("https://www.773grp.com/manufacturer/onsemi?pageNo=1095", "Onsemi")</f>
        <v>Onsemi</v>
      </c>
      <c r="C13228" s="6">
        <v>60500</v>
      </c>
      <c r="D13228" s="7">
        <v>2.11</v>
      </c>
      <c r="E13228" t="s">
        <v>5</v>
      </c>
    </row>
    <row r="13229" spans="1:5" x14ac:dyDescent="0.25">
      <c r="A13229" t="str">
        <f>HYPERLINK("https://www.773grp.com/globalSearch/NCP5602MUTBG/page-1", "NCP5602MUTBG")</f>
        <v>NCP5602MUTBG</v>
      </c>
      <c r="B13229" s="3" t="str">
        <f>HYPERLINK("https://www.773grp.com/manufacturer/onsemi?pageNo=1096", "Onsemi")</f>
        <v>Onsemi</v>
      </c>
      <c r="C13229" s="6">
        <v>219000</v>
      </c>
      <c r="D13229" s="7">
        <v>2.11</v>
      </c>
      <c r="E13229" t="s">
        <v>7</v>
      </c>
    </row>
    <row r="13230" spans="1:5" x14ac:dyDescent="0.25">
      <c r="A13230" t="str">
        <f>HYPERLINK("https://www.773grp.com/globalSearch/NCP5612MUTBG/page-1", "NCP5612MUTBG")</f>
        <v>NCP5612MUTBG</v>
      </c>
      <c r="B13230" s="3" t="str">
        <f>HYPERLINK("https://www.773grp.com/manufacturer/onsemi?pageNo=1097", "Onsemi")</f>
        <v>Onsemi</v>
      </c>
      <c r="C13230" s="6">
        <v>3500</v>
      </c>
      <c r="D13230" s="7">
        <v>2.11</v>
      </c>
    </row>
    <row r="13231" spans="1:5" x14ac:dyDescent="0.25">
      <c r="A13231" t="str">
        <f>HYPERLINK("https://www.773grp.com/globalSearch/NCP565MN12T2G/page-1", "NCP565MN12T2G")</f>
        <v>NCP565MN12T2G</v>
      </c>
      <c r="B13231" s="3" t="str">
        <f>HYPERLINK("https://www.773grp.com/manufacturer/onsemi?pageNo=1098", "Onsemi")</f>
        <v>Onsemi</v>
      </c>
      <c r="C13231" s="6">
        <v>8652</v>
      </c>
      <c r="D13231" s="7">
        <v>2.11</v>
      </c>
      <c r="E13231" t="s">
        <v>15</v>
      </c>
    </row>
    <row r="13232" spans="1:5" x14ac:dyDescent="0.25">
      <c r="A13232" t="str">
        <f>HYPERLINK("https://www.773grp.com/globalSearch/NCP565MN15T2G/page-1", "NCP565MN15T2G")</f>
        <v>NCP565MN15T2G</v>
      </c>
      <c r="B13232" s="3" t="str">
        <f>HYPERLINK("https://www.773grp.com/manufacturer/onsemi?pageNo=1099", "Onsemi")</f>
        <v>Onsemi</v>
      </c>
      <c r="C13232" s="6">
        <v>11690</v>
      </c>
      <c r="D13232" s="7">
        <v>2.11</v>
      </c>
      <c r="E13232" t="s">
        <v>15</v>
      </c>
    </row>
    <row r="13233" spans="1:5" x14ac:dyDescent="0.25">
      <c r="A13233" t="str">
        <f>HYPERLINK("https://www.773grp.com/globalSearch/NCP565MN28T2G/page-1", "NCP565MN28T2G")</f>
        <v>NCP565MN28T2G</v>
      </c>
      <c r="B13233" s="3" t="str">
        <f>HYPERLINK("https://www.773grp.com/manufacturer/onsemi?pageNo=1100", "Onsemi")</f>
        <v>Onsemi</v>
      </c>
      <c r="C13233" s="6">
        <v>9000</v>
      </c>
      <c r="D13233" s="7">
        <v>2.11</v>
      </c>
      <c r="E13233" t="s">
        <v>15</v>
      </c>
    </row>
    <row r="13234" spans="1:5" x14ac:dyDescent="0.25">
      <c r="A13234" t="str">
        <f>HYPERLINK("https://www.773grp.com/globalSearch/NCP565MN30T2G/page-1", "NCP565MN30T2G")</f>
        <v>NCP565MN30T2G</v>
      </c>
      <c r="B13234" s="3" t="str">
        <f>HYPERLINK("https://www.773grp.com/manufacturer/onsemi?pageNo=1101", "Onsemi")</f>
        <v>Onsemi</v>
      </c>
      <c r="C13234" s="6">
        <v>5695</v>
      </c>
      <c r="D13234" s="7">
        <v>2.11</v>
      </c>
    </row>
    <row r="13235" spans="1:5" x14ac:dyDescent="0.25">
      <c r="A13235" t="str">
        <f>HYPERLINK("https://www.773grp.com/globalSearch/NCP565MN33T2G/page-1", "NCP565MN33T2G")</f>
        <v>NCP565MN33T2G</v>
      </c>
      <c r="B13235" s="3" t="str">
        <f>HYPERLINK("https://www.773grp.com/manufacturer/onsemi?pageNo=1102", "Onsemi")</f>
        <v>Onsemi</v>
      </c>
      <c r="C13235" s="6">
        <v>7203</v>
      </c>
      <c r="D13235" s="7">
        <v>2.11</v>
      </c>
      <c r="E13235" t="s">
        <v>15</v>
      </c>
    </row>
    <row r="13236" spans="1:5" x14ac:dyDescent="0.25">
      <c r="A13236" t="str">
        <f>HYPERLINK("https://www.773grp.com/globalSearch/NCP565MNADJT2G/page-1", "NCP565MNADJT2G")</f>
        <v>NCP565MNADJT2G</v>
      </c>
      <c r="B13236" s="3" t="str">
        <f>HYPERLINK("https://www.773grp.com/manufacturer/onsemi?pageNo=1103", "Onsemi")</f>
        <v>Onsemi</v>
      </c>
      <c r="C13236" s="6">
        <v>3000</v>
      </c>
      <c r="D13236" s="7">
        <v>2.11</v>
      </c>
    </row>
    <row r="13237" spans="1:5" x14ac:dyDescent="0.25">
      <c r="A13237" t="str">
        <f>HYPERLINK("https://www.773grp.com/globalSearch/NCS2004SQ3T2G/page-1", "NCS2004SQ3T2G")</f>
        <v>NCS2004SQ3T2G</v>
      </c>
      <c r="B13237" s="3" t="str">
        <f>HYPERLINK("https://www.773grp.com/manufacturer/onsemi?pageNo=1104", "Onsemi")</f>
        <v>Onsemi</v>
      </c>
      <c r="C13237" s="6">
        <v>53800</v>
      </c>
      <c r="D13237" s="7">
        <v>2.11</v>
      </c>
    </row>
    <row r="13238" spans="1:5" x14ac:dyDescent="0.25">
      <c r="A13238" t="str">
        <f>HYPERLINK("https://www.773grp.com/globalSearch/NCS2220AMUT1G/page-1", "NCS2220AMUT1G")</f>
        <v>NCS2220AMUT1G</v>
      </c>
      <c r="B13238" s="3" t="str">
        <f>HYPERLINK("https://www.773grp.com/manufacturer/onsemi?pageNo=1105", "Onsemi")</f>
        <v>Onsemi</v>
      </c>
      <c r="C13238" s="6">
        <v>245800</v>
      </c>
      <c r="D13238" s="7">
        <v>2.11</v>
      </c>
      <c r="E13238" t="s">
        <v>6</v>
      </c>
    </row>
    <row r="13239" spans="1:5" x14ac:dyDescent="0.25">
      <c r="A13239" t="str">
        <f>HYPERLINK("https://www.773grp.com/globalSearch/NCS2564DTBR2G/page-1", "NCS2564DTBR2G")</f>
        <v>NCS2564DTBR2G</v>
      </c>
      <c r="B13239" s="3" t="str">
        <f>HYPERLINK("https://www.773grp.com/manufacturer/onsemi?pageNo=1106", "Onsemi")</f>
        <v>Onsemi</v>
      </c>
      <c r="C13239" s="6">
        <v>161500</v>
      </c>
      <c r="D13239" s="7">
        <v>2.11</v>
      </c>
      <c r="E13239" t="s">
        <v>14</v>
      </c>
    </row>
    <row r="13240" spans="1:5" x14ac:dyDescent="0.25">
      <c r="A13240" t="str">
        <f>HYPERLINK("https://www.773grp.com/globalSearch/NCV1009DR2G/page-1", "NCV1009DR2G")</f>
        <v>NCV1009DR2G</v>
      </c>
      <c r="B13240" s="3" t="str">
        <f>HYPERLINK("https://www.773grp.com/manufacturer/onsemi?pageNo=1107", "Onsemi")</f>
        <v>Onsemi</v>
      </c>
      <c r="C13240" s="6">
        <v>276151</v>
      </c>
      <c r="D13240" s="7">
        <v>2.11</v>
      </c>
      <c r="E13240" t="s">
        <v>13</v>
      </c>
    </row>
    <row r="13241" spans="1:5" x14ac:dyDescent="0.25">
      <c r="A13241" t="str">
        <f>HYPERLINK("https://www.773grp.com/globalSearch/NCV3064DR2G/page-1", "NCV3064DR2G")</f>
        <v>NCV3064DR2G</v>
      </c>
      <c r="B13241" s="3" t="str">
        <f>HYPERLINK("https://www.773grp.com/manufacturer/onsemi?pageNo=1108", "Onsemi")</f>
        <v>Onsemi</v>
      </c>
      <c r="C13241" s="6">
        <v>2500</v>
      </c>
      <c r="D13241" s="7">
        <v>2.11</v>
      </c>
    </row>
    <row r="13242" spans="1:5" x14ac:dyDescent="0.25">
      <c r="A13242" t="str">
        <f>HYPERLINK("https://www.773grp.com/globalSearch/NCV317MABDTRKG/page-1", "NCV317MABDTRKG")</f>
        <v>NCV317MABDTRKG</v>
      </c>
      <c r="B13242" s="3" t="str">
        <f>HYPERLINK("https://www.773grp.com/manufacturer/onsemi?pageNo=1109", "Onsemi")</f>
        <v>Onsemi</v>
      </c>
      <c r="C13242" s="6">
        <v>6753</v>
      </c>
      <c r="D13242" s="7">
        <v>2.11</v>
      </c>
    </row>
    <row r="13243" spans="1:5" x14ac:dyDescent="0.25">
      <c r="A13243" t="str">
        <f>HYPERLINK("https://www.773grp.com/globalSearch/NCV33202VDR2/page-1", "NCV33202VDR2")</f>
        <v>NCV33202VDR2</v>
      </c>
      <c r="B13243" s="3" t="str">
        <f>HYPERLINK("https://www.773grp.com/manufacturer/onsemi?pageNo=1110", "Onsemi")</f>
        <v>Onsemi</v>
      </c>
      <c r="C13243" s="6">
        <v>7500</v>
      </c>
      <c r="D13243" s="7">
        <v>2.11</v>
      </c>
      <c r="E13243" t="s">
        <v>10</v>
      </c>
    </row>
    <row r="13244" spans="1:5" x14ac:dyDescent="0.25">
      <c r="A13244" t="str">
        <f>HYPERLINK("https://www.773grp.com/globalSearch/NCV33204DR2G/page-1", "NCV33204DR2G")</f>
        <v>NCV33204DR2G</v>
      </c>
      <c r="B13244" s="3" t="str">
        <f>HYPERLINK("https://www.773grp.com/manufacturer/onsemi?pageNo=1111", "Onsemi")</f>
        <v>Onsemi</v>
      </c>
      <c r="C13244" s="6">
        <v>4260</v>
      </c>
      <c r="D13244" s="7">
        <v>2.11</v>
      </c>
    </row>
    <row r="13245" spans="1:5" x14ac:dyDescent="0.25">
      <c r="A13245" t="str">
        <f>HYPERLINK("https://www.773grp.com/globalSearch/NDF08N60ZG/page-1", "NDF08N60ZG")</f>
        <v>NDF08N60ZG</v>
      </c>
      <c r="B13245" s="3" t="str">
        <f>HYPERLINK("https://www.773grp.com/manufacturer/onsemi?pageNo=1112", "Onsemi")</f>
        <v>Onsemi</v>
      </c>
      <c r="C13245" s="6">
        <v>1825</v>
      </c>
      <c r="D13245" s="7">
        <v>2.11</v>
      </c>
    </row>
    <row r="13246" spans="1:5" x14ac:dyDescent="0.25">
      <c r="A13246" t="str">
        <f>HYPERLINK("https://www.773grp.com/globalSearch/NDF08N60ZH/page-1", "NDF08N60ZH")</f>
        <v>NDF08N60ZH</v>
      </c>
      <c r="B13246" s="3" t="str">
        <f>HYPERLINK("https://www.773grp.com/manufacturer/onsemi?pageNo=1113", "Onsemi")</f>
        <v>Onsemi</v>
      </c>
      <c r="C13246" s="6">
        <v>17300</v>
      </c>
      <c r="D13246" s="7">
        <v>2.11</v>
      </c>
    </row>
    <row r="13247" spans="1:5" x14ac:dyDescent="0.25">
      <c r="A13247" t="str">
        <f>HYPERLINK("https://www.773grp.com/globalSearch/NE5532AN/page-1", "NE5532AN")</f>
        <v>NE5532AN</v>
      </c>
      <c r="B13247" s="3" t="str">
        <f>HYPERLINK("https://www.773grp.com/manufacturer/onsemi?pageNo=1114", "Onsemi")</f>
        <v>Onsemi</v>
      </c>
      <c r="C13247" s="6">
        <v>450</v>
      </c>
      <c r="D13247" s="7">
        <v>2.11</v>
      </c>
      <c r="E13247" t="s">
        <v>10</v>
      </c>
    </row>
    <row r="13248" spans="1:5" x14ac:dyDescent="0.25">
      <c r="A13248" t="str">
        <f>HYPERLINK("https://www.773grp.com/globalSearch/NE5532ANG/page-1", "NE5532ANG")</f>
        <v>NE5532ANG</v>
      </c>
      <c r="B13248" s="3" t="str">
        <f>HYPERLINK("https://www.773grp.com/manufacturer/onsemi?pageNo=1115", "Onsemi")</f>
        <v>Onsemi</v>
      </c>
      <c r="C13248" s="6">
        <v>579</v>
      </c>
      <c r="D13248" s="7">
        <v>2.11</v>
      </c>
      <c r="E13248" t="s">
        <v>10</v>
      </c>
    </row>
    <row r="13249" spans="1:5" x14ac:dyDescent="0.25">
      <c r="A13249" t="str">
        <f>HYPERLINK("https://www.773grp.com/globalSearch/NE5532DG/page-1", "NE5532DG")</f>
        <v>NE5532DG</v>
      </c>
      <c r="B13249" s="3" t="str">
        <f>HYPERLINK("https://www.773grp.com/manufacturer/onsemi?pageNo=1116", "Onsemi")</f>
        <v>Onsemi</v>
      </c>
      <c r="C13249" s="6">
        <v>176</v>
      </c>
      <c r="D13249" s="7">
        <v>2.11</v>
      </c>
      <c r="E13249" t="s">
        <v>10</v>
      </c>
    </row>
    <row r="13250" spans="1:5" x14ac:dyDescent="0.25">
      <c r="A13250" t="str">
        <f>HYPERLINK("https://www.773grp.com/globalSearch/NE5532DR2G/page-1", "NE5532DR2G")</f>
        <v>NE5532DR2G</v>
      </c>
      <c r="B13250" s="3" t="str">
        <f>HYPERLINK("https://www.773grp.com/manufacturer/onsemi?pageNo=1117", "Onsemi")</f>
        <v>Onsemi</v>
      </c>
      <c r="C13250" s="6">
        <v>2111</v>
      </c>
      <c r="D13250" s="7">
        <v>2.11</v>
      </c>
      <c r="E13250" t="s">
        <v>10</v>
      </c>
    </row>
    <row r="13251" spans="1:5" x14ac:dyDescent="0.25">
      <c r="A13251" t="str">
        <f>HYPERLINK("https://www.773grp.com/globalSearch/NLAS4717MR2G/page-1", "NLAS4717MR2G")</f>
        <v>NLAS4717MR2G</v>
      </c>
      <c r="B13251" s="3" t="str">
        <f>HYPERLINK("https://www.773grp.com/manufacturer/onsemi?pageNo=1118", "Onsemi")</f>
        <v>Onsemi</v>
      </c>
      <c r="C13251" s="6">
        <v>74000</v>
      </c>
      <c r="D13251" s="7">
        <v>2.11</v>
      </c>
      <c r="E13251" t="s">
        <v>46</v>
      </c>
    </row>
    <row r="13252" spans="1:5" x14ac:dyDescent="0.25">
      <c r="A13252" t="str">
        <f>HYPERLINK("https://www.773grp.com/globalSearch/NLAS5123MUR2G/page-1", "NLAS5123MUR2G")</f>
        <v>NLAS5123MUR2G</v>
      </c>
      <c r="B13252" s="3" t="str">
        <f>HYPERLINK("https://www.773grp.com/manufacturer/onsemi?pageNo=1119", "Onsemi")</f>
        <v>Onsemi</v>
      </c>
      <c r="C13252" s="6">
        <v>76700</v>
      </c>
      <c r="D13252" s="7">
        <v>2.11</v>
      </c>
      <c r="E13252" t="s">
        <v>46</v>
      </c>
    </row>
    <row r="13253" spans="1:5" x14ac:dyDescent="0.25">
      <c r="A13253" t="str">
        <f>HYPERLINK("https://www.773grp.com/globalSearch/NLAS5223LMNR/page-1", "NLAS5223LMNR")</f>
        <v>NLAS5223LMNR</v>
      </c>
      <c r="B13253" s="3" t="str">
        <f>HYPERLINK("https://www.773grp.com/manufacturer/onsemi?pageNo=1120", "Onsemi")</f>
        <v>Onsemi</v>
      </c>
      <c r="C13253" s="6">
        <v>3000</v>
      </c>
      <c r="D13253" s="7">
        <v>2.11</v>
      </c>
    </row>
    <row r="13254" spans="1:5" x14ac:dyDescent="0.25">
      <c r="A13254" t="str">
        <f>HYPERLINK("https://www.773grp.com/globalSearch/NLAS5223MNR2G/page-1", "NLAS5223MNR2G")</f>
        <v>NLAS5223MNR2G</v>
      </c>
      <c r="B13254" s="3" t="str">
        <f>HYPERLINK("https://www.773grp.com/manufacturer/onsemi?pageNo=1121", "Onsemi")</f>
        <v>Onsemi</v>
      </c>
      <c r="C13254" s="6">
        <v>533</v>
      </c>
      <c r="D13254" s="7">
        <v>2.11</v>
      </c>
      <c r="E13254" t="s">
        <v>46</v>
      </c>
    </row>
    <row r="13255" spans="1:5" x14ac:dyDescent="0.25">
      <c r="A13255" t="str">
        <f>HYPERLINK("https://www.773grp.com/globalSearch/NLAST44599MN/page-1", "NLAST44599MN")</f>
        <v>NLAST44599MN</v>
      </c>
      <c r="B13255" s="3" t="str">
        <f>HYPERLINK("https://www.773grp.com/manufacturer/onsemi?pageNo=1122", "Onsemi")</f>
        <v>Onsemi</v>
      </c>
      <c r="C13255" s="6">
        <v>1353</v>
      </c>
      <c r="D13255" s="7">
        <v>2.11</v>
      </c>
      <c r="E13255" t="s">
        <v>46</v>
      </c>
    </row>
    <row r="13256" spans="1:5" x14ac:dyDescent="0.25">
      <c r="A13256" t="str">
        <f>HYPERLINK("https://www.773grp.com/globalSearch/NLAST44599MNR2/page-1", "NLAST44599MNR2")</f>
        <v>NLAST44599MNR2</v>
      </c>
      <c r="B13256" s="3" t="str">
        <f>HYPERLINK("https://www.773grp.com/manufacturer/onsemi?pageNo=1123", "Onsemi")</f>
        <v>Onsemi</v>
      </c>
      <c r="C13256" s="6">
        <v>3000</v>
      </c>
      <c r="D13256" s="7">
        <v>2.11</v>
      </c>
      <c r="E13256" t="s">
        <v>46</v>
      </c>
    </row>
    <row r="13257" spans="1:5" x14ac:dyDescent="0.25">
      <c r="A13257" t="str">
        <f>HYPERLINK("https://www.773grp.com/globalSearch/NLSV8T244DTR2G/page-1", "NLSV8T244DTR2G")</f>
        <v>NLSV8T244DTR2G</v>
      </c>
      <c r="B13257" s="3" t="str">
        <f>HYPERLINK("https://www.773grp.com/manufacturer/onsemi?pageNo=1124", "Onsemi")</f>
        <v>Onsemi</v>
      </c>
      <c r="C13257" s="6">
        <v>679</v>
      </c>
      <c r="D13257" s="7">
        <v>2.11</v>
      </c>
    </row>
    <row r="13258" spans="1:5" x14ac:dyDescent="0.25">
      <c r="A13258" t="str">
        <f>HYPERLINK("https://www.773grp.com/globalSearch/NTB90N02T4G/page-1", "NTB90N02T4G")</f>
        <v>NTB90N02T4G</v>
      </c>
      <c r="B13258" s="3" t="str">
        <f>HYPERLINK("https://www.773grp.com/manufacturer/onsemi?pageNo=1125", "Onsemi")</f>
        <v>Onsemi</v>
      </c>
      <c r="C13258" s="6">
        <v>5795</v>
      </c>
      <c r="D13258" s="7">
        <v>2.11</v>
      </c>
      <c r="E13258" t="s">
        <v>84</v>
      </c>
    </row>
    <row r="13259" spans="1:5" x14ac:dyDescent="0.25">
      <c r="A13259" t="str">
        <f>HYPERLINK("https://www.773grp.com/globalSearch/NTD4N60/page-1", "NTD4N60")</f>
        <v>NTD4N60</v>
      </c>
      <c r="B13259" s="3" t="str">
        <f>HYPERLINK("https://www.773grp.com/manufacturer/onsemi?pageNo=1126", "Onsemi")</f>
        <v>Onsemi</v>
      </c>
      <c r="C13259" s="6">
        <v>186359</v>
      </c>
      <c r="D13259" s="7">
        <v>2.11</v>
      </c>
      <c r="E13259" t="s">
        <v>84</v>
      </c>
    </row>
    <row r="13260" spans="1:5" x14ac:dyDescent="0.25">
      <c r="A13260" t="str">
        <f>HYPERLINK("https://www.773grp.com/globalSearch/NTD6414AN-1G/page-1", "NTD6414AN-1G")</f>
        <v>NTD6414AN-1G</v>
      </c>
      <c r="B13260" s="3" t="str">
        <f>HYPERLINK("https://www.773grp.com/manufacturer/onsemi?pageNo=1127", "Onsemi")</f>
        <v>Onsemi</v>
      </c>
      <c r="C13260" s="6">
        <v>16701</v>
      </c>
      <c r="D13260" s="7">
        <v>2.11</v>
      </c>
      <c r="E13260" t="s">
        <v>84</v>
      </c>
    </row>
    <row r="13261" spans="1:5" x14ac:dyDescent="0.25">
      <c r="A13261" t="str">
        <f>HYPERLINK("https://www.773grp.com/globalSearch/NTD6414ANT4G/page-1", "NTD6414ANT4G")</f>
        <v>NTD6414ANT4G</v>
      </c>
      <c r="B13261" s="3" t="str">
        <f>HYPERLINK("https://www.773grp.com/manufacturer/onsemi?pageNo=1128", "Onsemi")</f>
        <v>Onsemi</v>
      </c>
      <c r="C13261" s="6">
        <v>297400</v>
      </c>
      <c r="D13261" s="7">
        <v>2.11</v>
      </c>
      <c r="E13261" t="s">
        <v>84</v>
      </c>
    </row>
    <row r="13262" spans="1:5" x14ac:dyDescent="0.25">
      <c r="A13262" t="str">
        <f>HYPERLINK("https://www.773grp.com/globalSearch/NTMD6601NR2G/page-1", "NTMD6601NR2G")</f>
        <v>NTMD6601NR2G</v>
      </c>
      <c r="B13262" s="3" t="str">
        <f>HYPERLINK("https://www.773grp.com/manufacturer/onsemi?pageNo=1129", "Onsemi")</f>
        <v>Onsemi</v>
      </c>
      <c r="C13262" s="6">
        <v>57500</v>
      </c>
      <c r="D13262" s="7">
        <v>2.11</v>
      </c>
      <c r="E13262" t="s">
        <v>85</v>
      </c>
    </row>
    <row r="13263" spans="1:5" x14ac:dyDescent="0.25">
      <c r="A13263" t="str">
        <f>HYPERLINK("https://www.773grp.com/globalSearch/NTMS10P02R2/page-1", "NTMS10P02R2")</f>
        <v>NTMS10P02R2</v>
      </c>
      <c r="B13263" s="3" t="str">
        <f>HYPERLINK("https://www.773grp.com/manufacturer/onsemi?pageNo=1130", "Onsemi")</f>
        <v>Onsemi</v>
      </c>
      <c r="C13263" s="6">
        <v>1323</v>
      </c>
      <c r="D13263" s="7">
        <v>2.11</v>
      </c>
      <c r="E13263" t="s">
        <v>85</v>
      </c>
    </row>
    <row r="13264" spans="1:5" x14ac:dyDescent="0.25">
      <c r="A13264" t="str">
        <f>HYPERLINK("https://www.773grp.com/globalSearch/NTP45N06G/page-1", "NTP45N06G")</f>
        <v>NTP45N06G</v>
      </c>
      <c r="B13264" s="3" t="str">
        <f>HYPERLINK("https://www.773grp.com/manufacturer/onsemi?pageNo=1131", "Onsemi")</f>
        <v>Onsemi</v>
      </c>
      <c r="C13264" s="6">
        <v>777</v>
      </c>
      <c r="D13264" s="7">
        <v>2.11</v>
      </c>
      <c r="E13264" t="s">
        <v>84</v>
      </c>
    </row>
    <row r="13265" spans="1:5" x14ac:dyDescent="0.25">
      <c r="A13265" t="str">
        <f>HYPERLINK("https://www.773grp.com/globalSearch/NTP75N03-006/page-1", "NTP75N03-006")</f>
        <v>NTP75N03-006</v>
      </c>
      <c r="B13265" s="3" t="str">
        <f>HYPERLINK("https://www.773grp.com/manufacturer/onsemi?pageNo=1132", "Onsemi")</f>
        <v>Onsemi</v>
      </c>
      <c r="C13265" s="6">
        <v>6230</v>
      </c>
      <c r="D13265" s="7">
        <v>2.11</v>
      </c>
    </row>
    <row r="13266" spans="1:5" x14ac:dyDescent="0.25">
      <c r="A13266" t="str">
        <f>HYPERLINK("https://www.773grp.com/globalSearch/NTP75N03-6G/page-1", "NTP75N03-6G")</f>
        <v>NTP75N03-6G</v>
      </c>
      <c r="B13266" s="3" t="str">
        <f>HYPERLINK("https://www.773grp.com/manufacturer/onsemi?pageNo=1133", "Onsemi")</f>
        <v>Onsemi</v>
      </c>
      <c r="C13266" s="6">
        <v>250</v>
      </c>
      <c r="D13266" s="7">
        <v>2.11</v>
      </c>
    </row>
    <row r="13267" spans="1:5" x14ac:dyDescent="0.25">
      <c r="A13267" t="str">
        <f>HYPERLINK("https://www.773grp.com/globalSearch/NTTFS4985NFTAG/page-1", "NTTFS4985NFTAG")</f>
        <v>NTTFS4985NFTAG</v>
      </c>
      <c r="B13267" s="3" t="str">
        <f>HYPERLINK("https://www.773grp.com/manufacturer/onsemi?pageNo=1134", "Onsemi")</f>
        <v>Onsemi</v>
      </c>
      <c r="C13267" s="6">
        <v>12000</v>
      </c>
      <c r="D13267" s="7">
        <v>2.11</v>
      </c>
    </row>
    <row r="13268" spans="1:5" x14ac:dyDescent="0.25">
      <c r="A13268" t="str">
        <f>HYPERLINK("https://www.773grp.com/globalSearch/SC63700L101/page-1", "SC63700L101")</f>
        <v>SC63700L101</v>
      </c>
      <c r="B13268" s="3" t="str">
        <f>HYPERLINK("https://www.773grp.com/manufacturer/onsemi?pageNo=1135", "Onsemi")</f>
        <v>Onsemi</v>
      </c>
      <c r="C13268" s="6">
        <v>182</v>
      </c>
      <c r="D13268" s="7">
        <v>2.11</v>
      </c>
    </row>
    <row r="13269" spans="1:5" x14ac:dyDescent="0.25">
      <c r="A13269" t="str">
        <f>HYPERLINK("https://www.773grp.com/globalSearch/SN74LS256D/page-1", "SN74LS256D")</f>
        <v>SN74LS256D</v>
      </c>
      <c r="B13269" s="3" t="str">
        <f>HYPERLINK("https://www.773grp.com/manufacturer/onsemi?pageNo=1136", "Onsemi")</f>
        <v>Onsemi</v>
      </c>
      <c r="C13269" s="6">
        <v>5510</v>
      </c>
      <c r="D13269" s="7">
        <v>2.11</v>
      </c>
      <c r="E13269" t="s">
        <v>31</v>
      </c>
    </row>
    <row r="13270" spans="1:5" x14ac:dyDescent="0.25">
      <c r="A13270" t="str">
        <f>HYPERLINK("https://www.773grp.com/globalSearch/SN74LS352N/page-1", "SN74LS352N")</f>
        <v>SN74LS352N</v>
      </c>
      <c r="B13270" s="3" t="str">
        <f>HYPERLINK("https://www.773grp.com/manufacturer/onsemi?pageNo=1137", "Onsemi")</f>
        <v>Onsemi</v>
      </c>
      <c r="C13270" s="6">
        <v>1429</v>
      </c>
      <c r="D13270" s="7">
        <v>2.11</v>
      </c>
      <c r="E13270" t="s">
        <v>16</v>
      </c>
    </row>
    <row r="13271" spans="1:5" x14ac:dyDescent="0.25">
      <c r="A13271" t="str">
        <f>HYPERLINK("https://www.773grp.com/globalSearch/TL494CNG/page-1", "TL494CNG")</f>
        <v>TL494CNG</v>
      </c>
      <c r="B13271" s="3" t="str">
        <f>HYPERLINK("https://www.773grp.com/manufacturer/onsemi?pageNo=1138", "Onsemi")</f>
        <v>Onsemi</v>
      </c>
      <c r="C13271" s="6">
        <v>926</v>
      </c>
      <c r="D13271" s="7">
        <v>2.11</v>
      </c>
      <c r="E13271" t="s">
        <v>5</v>
      </c>
    </row>
    <row r="13272" spans="1:5" x14ac:dyDescent="0.25">
      <c r="A13272" t="str">
        <f>HYPERLINK("https://www.773grp.com/globalSearch/TLV271SN2T1G/page-1", "TLV271SN2T1G")</f>
        <v>TLV271SN2T1G</v>
      </c>
      <c r="B13272" s="3" t="str">
        <f>HYPERLINK("https://www.773grp.com/manufacturer/onsemi?pageNo=1139", "Onsemi")</f>
        <v>Onsemi</v>
      </c>
      <c r="C13272" s="6">
        <v>36000</v>
      </c>
      <c r="D13272" s="7">
        <v>2.11</v>
      </c>
    </row>
    <row r="13273" spans="1:5" x14ac:dyDescent="0.25">
      <c r="A13273" t="str">
        <f>HYPERLINK("https://www.773grp.com/globalSearch/UC2843AD1 REEL/page-1", "UC2843AD1 REEL")</f>
        <v>UC2843AD1 REEL</v>
      </c>
      <c r="B13273" s="3" t="str">
        <f>HYPERLINK("https://www.773grp.com/manufacturer/onsemi?pageNo=1140", "Onsemi")</f>
        <v>Onsemi</v>
      </c>
      <c r="C13273" s="6">
        <v>1730</v>
      </c>
      <c r="D13273" s="7">
        <v>2.11</v>
      </c>
    </row>
    <row r="13274" spans="1:5" x14ac:dyDescent="0.25">
      <c r="A13274" t="str">
        <f>HYPERLINK("https://www.773grp.com/globalSearch/UC2843ADG/page-1", "UC2843ADG")</f>
        <v>UC2843ADG</v>
      </c>
      <c r="B13274" s="3" t="str">
        <f>HYPERLINK("https://www.773grp.com/manufacturer/onsemi?pageNo=1141", "Onsemi")</f>
        <v>Onsemi</v>
      </c>
      <c r="C13274" s="6">
        <v>10</v>
      </c>
      <c r="D13274" s="7">
        <v>2.11</v>
      </c>
      <c r="E13274" t="s">
        <v>5</v>
      </c>
    </row>
    <row r="13275" spans="1:5" x14ac:dyDescent="0.25">
      <c r="A13275" t="str">
        <f>HYPERLINK("https://www.773grp.com/globalSearch/UC3842AN/page-1", "UC3842AN")</f>
        <v>UC3842AN</v>
      </c>
      <c r="B13275" s="3" t="str">
        <f>HYPERLINK("https://www.773grp.com/manufacturer/onsemi?pageNo=1142", "Onsemi")</f>
        <v>Onsemi</v>
      </c>
      <c r="C13275" s="6">
        <v>3976</v>
      </c>
      <c r="D13275" s="7">
        <v>2.11</v>
      </c>
      <c r="E13275" t="s">
        <v>5</v>
      </c>
    </row>
    <row r="13276" spans="1:5" x14ac:dyDescent="0.25">
      <c r="A13276" t="str">
        <f>HYPERLINK("https://www.773grp.com/globalSearch/ADT7421ARMZ-RL7/page-1", "ADT7421ARMZ-RL7")</f>
        <v>ADT7421ARMZ-RL7</v>
      </c>
      <c r="B13276" s="3" t="str">
        <f>HYPERLINK("https://www.773grp.com/manufacturer/onsemi?pageNo=1143", "Onsemi")</f>
        <v>Onsemi</v>
      </c>
      <c r="C13276" s="6">
        <v>648</v>
      </c>
      <c r="D13276" s="7">
        <v>2.16</v>
      </c>
    </row>
    <row r="13277" spans="1:5" x14ac:dyDescent="0.25">
      <c r="A13277" t="str">
        <f>HYPERLINK("https://www.773grp.com/globalSearch/ADT7421ARZ-REEL7/page-1", "ADT7421ARZ-REEL7")</f>
        <v>ADT7421ARZ-REEL7</v>
      </c>
      <c r="B13277" s="3" t="str">
        <f>HYPERLINK("https://www.773grp.com/manufacturer/onsemi?pageNo=1144", "Onsemi")</f>
        <v>Onsemi</v>
      </c>
      <c r="C13277" s="6">
        <v>699</v>
      </c>
      <c r="D13277" s="7">
        <v>2.16</v>
      </c>
    </row>
    <row r="13278" spans="1:5" x14ac:dyDescent="0.25">
      <c r="A13278" t="str">
        <f>HYPERLINK("https://www.773grp.com/globalSearch/BTB12-800BW3G/page-1", "BTB12-800BW3G")</f>
        <v>BTB12-800BW3G</v>
      </c>
      <c r="B13278" s="3" t="str">
        <f>HYPERLINK("https://www.773grp.com/manufacturer/onsemi?pageNo=1145", "Onsemi")</f>
        <v>Onsemi</v>
      </c>
      <c r="C13278" s="6">
        <v>8852</v>
      </c>
      <c r="D13278" s="7">
        <v>2.16</v>
      </c>
      <c r="E13278" t="s">
        <v>81</v>
      </c>
    </row>
    <row r="13279" spans="1:5" x14ac:dyDescent="0.25">
      <c r="A13279" t="str">
        <f>HYPERLINK("https://www.773grp.com/globalSearch/BTB12-800CW3G/page-1", "BTB12-800CW3G")</f>
        <v>BTB12-800CW3G</v>
      </c>
      <c r="B13279" s="3" t="str">
        <f>HYPERLINK("https://www.773grp.com/manufacturer/onsemi?pageNo=1146", "Onsemi")</f>
        <v>Onsemi</v>
      </c>
      <c r="C13279" s="6">
        <v>8571</v>
      </c>
      <c r="D13279" s="7">
        <v>2.16</v>
      </c>
      <c r="E13279" t="s">
        <v>81</v>
      </c>
    </row>
    <row r="13280" spans="1:5" x14ac:dyDescent="0.25">
      <c r="A13280" t="str">
        <f>HYPERLINK("https://www.773grp.com/globalSearch/BUH50G/page-1", "BUH50G")</f>
        <v>BUH50G</v>
      </c>
      <c r="B13280" s="3" t="str">
        <f>HYPERLINK("https://www.773grp.com/manufacturer/onsemi?pageNo=1147", "Onsemi")</f>
        <v>Onsemi</v>
      </c>
      <c r="C13280" s="6">
        <v>374</v>
      </c>
      <c r="D13280" s="7">
        <v>2.16</v>
      </c>
      <c r="E13280" t="s">
        <v>47</v>
      </c>
    </row>
    <row r="13281" spans="1:5" x14ac:dyDescent="0.25">
      <c r="A13281" t="str">
        <f>HYPERLINK("https://www.773grp.com/globalSearch/BUV27G/page-1", "BUV27G")</f>
        <v>BUV27G</v>
      </c>
      <c r="B13281" s="3" t="str">
        <f>HYPERLINK("https://www.773grp.com/manufacturer/onsemi?pageNo=1148", "Onsemi")</f>
        <v>Onsemi</v>
      </c>
      <c r="C13281" s="6">
        <v>3409</v>
      </c>
      <c r="D13281" s="7">
        <v>2.16</v>
      </c>
      <c r="E13281" t="s">
        <v>47</v>
      </c>
    </row>
    <row r="13282" spans="1:5" x14ac:dyDescent="0.25">
      <c r="A13282" t="str">
        <f>HYPERLINK("https://www.773grp.com/globalSearch/CS3351YD14/page-1", "CS3351YD14")</f>
        <v>CS3351YD14</v>
      </c>
      <c r="B13282" s="3" t="str">
        <f>HYPERLINK("https://www.773grp.com/manufacturer/onsemi?pageNo=1149", "Onsemi")</f>
        <v>Onsemi</v>
      </c>
      <c r="C13282" s="6">
        <v>5170</v>
      </c>
      <c r="D13282" s="7">
        <v>2.16</v>
      </c>
      <c r="E13282" t="s">
        <v>36</v>
      </c>
    </row>
    <row r="13283" spans="1:5" x14ac:dyDescent="0.25">
      <c r="A13283" t="str">
        <f>HYPERLINK("https://www.773grp.com/globalSearch/CS3351YDR14/page-1", "CS3351YDR14")</f>
        <v>CS3351YDR14</v>
      </c>
      <c r="B13283" s="3" t="str">
        <f>HYPERLINK("https://www.773grp.com/manufacturer/onsemi?pageNo=1150", "Onsemi")</f>
        <v>Onsemi</v>
      </c>
      <c r="C13283" s="6">
        <v>12500</v>
      </c>
      <c r="D13283" s="7">
        <v>2.16</v>
      </c>
      <c r="E13283" t="s">
        <v>36</v>
      </c>
    </row>
    <row r="13284" spans="1:5" x14ac:dyDescent="0.25">
      <c r="A13284" t="str">
        <f>HYPERLINK("https://www.773grp.com/globalSearch/LA78141-E/page-1", "LA78141-E")</f>
        <v>LA78141-E</v>
      </c>
      <c r="B13284" s="3" t="str">
        <f>HYPERLINK("https://www.773grp.com/manufacturer/onsemi?pageNo=1151", "Onsemi")</f>
        <v>Onsemi</v>
      </c>
      <c r="C13284" s="6">
        <v>400</v>
      </c>
      <c r="D13284" s="7">
        <v>2.16</v>
      </c>
    </row>
    <row r="13285" spans="1:5" x14ac:dyDescent="0.25">
      <c r="A13285" t="str">
        <f>HYPERLINK("https://www.773grp.com/globalSearch/LB1930MC-AH/page-1", "LB1930MC-AH")</f>
        <v>LB1930MC-AH</v>
      </c>
      <c r="B13285" s="3" t="str">
        <f>HYPERLINK("https://www.773grp.com/manufacturer/onsemi?pageNo=1152", "Onsemi")</f>
        <v>Onsemi</v>
      </c>
      <c r="C13285" s="6">
        <v>1580</v>
      </c>
      <c r="D13285" s="7">
        <v>2.16</v>
      </c>
    </row>
    <row r="13286" spans="1:5" x14ac:dyDescent="0.25">
      <c r="A13286" t="str">
        <f>HYPERLINK("https://www.773grp.com/globalSearch/LM337D2T/page-1", "LM337D2T")</f>
        <v>LM337D2T</v>
      </c>
      <c r="B13286" s="3" t="str">
        <f>HYPERLINK("https://www.773grp.com/manufacturer/onsemi?pageNo=1153", "Onsemi")</f>
        <v>Onsemi</v>
      </c>
      <c r="C13286" s="6">
        <v>250</v>
      </c>
      <c r="D13286" s="7">
        <v>2.16</v>
      </c>
      <c r="E13286" t="s">
        <v>33</v>
      </c>
    </row>
    <row r="13287" spans="1:5" x14ac:dyDescent="0.25">
      <c r="A13287" t="str">
        <f>HYPERLINK("https://www.773grp.com/globalSearch/LM337D2TG/page-1", "LM337D2TG")</f>
        <v>LM337D2TG</v>
      </c>
      <c r="B13287" s="3" t="str">
        <f>HYPERLINK("https://www.773grp.com/manufacturer/onsemi?pageNo=1154", "Onsemi")</f>
        <v>Onsemi</v>
      </c>
      <c r="C13287" s="6">
        <v>650</v>
      </c>
      <c r="D13287" s="7">
        <v>2.16</v>
      </c>
      <c r="E13287" t="s">
        <v>33</v>
      </c>
    </row>
    <row r="13288" spans="1:5" x14ac:dyDescent="0.25">
      <c r="A13288" t="str">
        <f>HYPERLINK("https://www.773grp.com/globalSearch/LP2950ACDT-3.0G/page-1", "LP2950ACDT-3.0G")</f>
        <v>LP2950ACDT-3.0G</v>
      </c>
      <c r="B13288" s="3" t="str">
        <f>HYPERLINK("https://www.773grp.com/manufacturer/onsemi?pageNo=1155", "Onsemi")</f>
        <v>Onsemi</v>
      </c>
      <c r="C13288" s="6">
        <v>400</v>
      </c>
      <c r="D13288" s="7">
        <v>2.16</v>
      </c>
      <c r="E13288" t="s">
        <v>15</v>
      </c>
    </row>
    <row r="13289" spans="1:5" x14ac:dyDescent="0.25">
      <c r="A13289" t="str">
        <f>HYPERLINK("https://www.773grp.com/globalSearch/LP2950ACDT-3.3RG/page-1", "LP2950ACDT-3.3RG")</f>
        <v>LP2950ACDT-3.3RG</v>
      </c>
      <c r="B13289" s="3" t="str">
        <f>HYPERLINK("https://www.773grp.com/manufacturer/onsemi?pageNo=1156", "Onsemi")</f>
        <v>Onsemi</v>
      </c>
      <c r="C13289" s="6">
        <v>346841</v>
      </c>
      <c r="D13289" s="7">
        <v>2.16</v>
      </c>
      <c r="E13289" t="s">
        <v>15</v>
      </c>
    </row>
    <row r="13290" spans="1:5" x14ac:dyDescent="0.25">
      <c r="A13290" t="str">
        <f>HYPERLINK("https://www.773grp.com/globalSearch/LP2950ACDT-3RKG/page-1", "LP2950ACDT-3RKG")</f>
        <v>LP2950ACDT-3RKG</v>
      </c>
      <c r="B13290" s="3" t="str">
        <f>HYPERLINK("https://www.773grp.com/manufacturer/onsemi?pageNo=1157", "Onsemi")</f>
        <v>Onsemi</v>
      </c>
      <c r="C13290" s="6">
        <v>4303</v>
      </c>
      <c r="D13290" s="7">
        <v>2.16</v>
      </c>
      <c r="E13290" t="s">
        <v>15</v>
      </c>
    </row>
    <row r="13291" spans="1:5" x14ac:dyDescent="0.25">
      <c r="A13291" t="str">
        <f>HYPERLINK("https://www.773grp.com/globalSearch/LP2950ACDT-5.0G/page-1", "LP2950ACDT-5.0G")</f>
        <v>LP2950ACDT-5.0G</v>
      </c>
      <c r="B13291" s="3" t="str">
        <f>HYPERLINK("https://www.773grp.com/manufacturer/onsemi?pageNo=1158", "Onsemi")</f>
        <v>Onsemi</v>
      </c>
      <c r="C13291" s="6">
        <v>1650</v>
      </c>
      <c r="D13291" s="7">
        <v>2.16</v>
      </c>
    </row>
    <row r="13292" spans="1:5" x14ac:dyDescent="0.25">
      <c r="A13292" t="str">
        <f>HYPERLINK("https://www.773grp.com/globalSearch/LP2950ACDT-5RKG/page-1", "LP2950ACDT-5RKG")</f>
        <v>LP2950ACDT-5RKG</v>
      </c>
      <c r="B13292" s="3" t="str">
        <f>HYPERLINK("https://www.773grp.com/manufacturer/onsemi?pageNo=1159", "Onsemi")</f>
        <v>Onsemi</v>
      </c>
      <c r="C13292" s="6">
        <v>286464</v>
      </c>
      <c r="D13292" s="7">
        <v>2.16</v>
      </c>
      <c r="E13292" t="s">
        <v>15</v>
      </c>
    </row>
    <row r="13293" spans="1:5" x14ac:dyDescent="0.25">
      <c r="A13293" t="str">
        <f>HYPERLINK("https://www.773grp.com/globalSearch/MAC8SDG/page-1", "MAC8SDG")</f>
        <v>MAC8SDG</v>
      </c>
      <c r="B13293" s="3" t="str">
        <f>HYPERLINK("https://www.773grp.com/manufacturer/onsemi?pageNo=1160", "Onsemi")</f>
        <v>Onsemi</v>
      </c>
      <c r="C13293" s="6">
        <v>1650</v>
      </c>
      <c r="D13293" s="7">
        <v>2.16</v>
      </c>
      <c r="E13293" t="s">
        <v>81</v>
      </c>
    </row>
    <row r="13294" spans="1:5" x14ac:dyDescent="0.25">
      <c r="A13294" t="str">
        <f>HYPERLINK("https://www.773grp.com/globalSearch/MAC8SMG/page-1", "MAC8SMG")</f>
        <v>MAC8SMG</v>
      </c>
      <c r="B13294" s="3" t="str">
        <f>HYPERLINK("https://www.773grp.com/manufacturer/onsemi?pageNo=1161", "Onsemi")</f>
        <v>Onsemi</v>
      </c>
      <c r="C13294" s="6">
        <v>1722</v>
      </c>
      <c r="D13294" s="7">
        <v>2.16</v>
      </c>
      <c r="E13294" t="s">
        <v>81</v>
      </c>
    </row>
    <row r="13295" spans="1:5" x14ac:dyDescent="0.25">
      <c r="A13295" t="str">
        <f>HYPERLINK("https://www.773grp.com/globalSearch/MBR30H100CTG/page-1", "MBR30H100CTG")</f>
        <v>MBR30H100CTG</v>
      </c>
      <c r="B13295" s="3" t="str">
        <f>HYPERLINK("https://www.773grp.com/manufacturer/onsemi?pageNo=1162", "Onsemi")</f>
        <v>Onsemi</v>
      </c>
      <c r="C13295" s="6">
        <v>22600</v>
      </c>
      <c r="D13295" s="7">
        <v>2.16</v>
      </c>
      <c r="E13295" t="s">
        <v>82</v>
      </c>
    </row>
    <row r="13296" spans="1:5" x14ac:dyDescent="0.25">
      <c r="A13296" t="str">
        <f>HYPERLINK("https://www.773grp.com/globalSearch/MC33063AVPG/page-1", "MC33063AVPG")</f>
        <v>MC33063AVPG</v>
      </c>
      <c r="B13296" s="3" t="str">
        <f>HYPERLINK("https://www.773grp.com/manufacturer/onsemi?pageNo=1163", "Onsemi")</f>
        <v>Onsemi</v>
      </c>
      <c r="C13296" s="6">
        <v>2216</v>
      </c>
      <c r="D13296" s="7">
        <v>2.16</v>
      </c>
      <c r="E13296" t="s">
        <v>5</v>
      </c>
    </row>
    <row r="13297" spans="1:5" x14ac:dyDescent="0.25">
      <c r="A13297" t="str">
        <f>HYPERLINK("https://www.773grp.com/globalSearch/MC33079DR2/page-1", "MC33079DR2")</f>
        <v>MC33079DR2</v>
      </c>
      <c r="B13297" s="3" t="str">
        <f>HYPERLINK("https://www.773grp.com/manufacturer/onsemi?pageNo=1164", "Onsemi")</f>
        <v>Onsemi</v>
      </c>
      <c r="C13297" s="6">
        <v>4628</v>
      </c>
      <c r="D13297" s="7">
        <v>2.16</v>
      </c>
    </row>
    <row r="13298" spans="1:5" x14ac:dyDescent="0.25">
      <c r="A13298" t="str">
        <f>HYPERLINK("https://www.773grp.com/globalSearch/MC33079PG/page-1", "MC33079PG")</f>
        <v>MC33079PG</v>
      </c>
      <c r="B13298" s="3" t="str">
        <f>HYPERLINK("https://www.773grp.com/manufacturer/onsemi?pageNo=1165", "Onsemi")</f>
        <v>Onsemi</v>
      </c>
      <c r="C13298" s="6">
        <v>17425</v>
      </c>
      <c r="D13298" s="7">
        <v>2.16</v>
      </c>
      <c r="E13298" t="s">
        <v>10</v>
      </c>
    </row>
    <row r="13299" spans="1:5" x14ac:dyDescent="0.25">
      <c r="A13299" t="str">
        <f>HYPERLINK("https://www.773grp.com/globalSearch/MC74AC240NG/page-1", "MC74AC240NG")</f>
        <v>MC74AC240NG</v>
      </c>
      <c r="B13299" s="3" t="str">
        <f>HYPERLINK("https://www.773grp.com/manufacturer/onsemi?pageNo=1166", "Onsemi")</f>
        <v>Onsemi</v>
      </c>
      <c r="C13299" s="6">
        <v>16284</v>
      </c>
      <c r="D13299" s="7">
        <v>2.16</v>
      </c>
      <c r="E13299" t="s">
        <v>11</v>
      </c>
    </row>
    <row r="13300" spans="1:5" x14ac:dyDescent="0.25">
      <c r="A13300" t="str">
        <f>HYPERLINK("https://www.773grp.com/globalSearch/MC74AC244NG/page-1", "MC74AC244NG")</f>
        <v>MC74AC244NG</v>
      </c>
      <c r="B13300" s="3" t="str">
        <f>HYPERLINK("https://www.773grp.com/manufacturer/onsemi?pageNo=1167", "Onsemi")</f>
        <v>Onsemi</v>
      </c>
      <c r="C13300" s="6">
        <v>250</v>
      </c>
      <c r="D13300" s="7">
        <v>2.16</v>
      </c>
      <c r="E13300" t="s">
        <v>11</v>
      </c>
    </row>
    <row r="13301" spans="1:5" x14ac:dyDescent="0.25">
      <c r="A13301" t="str">
        <f>HYPERLINK("https://www.773grp.com/globalSearch/MC74AC245NG/page-1", "MC74AC245NG")</f>
        <v>MC74AC245NG</v>
      </c>
      <c r="B13301" s="3" t="str">
        <f>HYPERLINK("https://www.773grp.com/manufacturer/onsemi?pageNo=1168", "Onsemi")</f>
        <v>Onsemi</v>
      </c>
      <c r="C13301" s="6">
        <v>4190</v>
      </c>
      <c r="D13301" s="7">
        <v>2.16</v>
      </c>
      <c r="E13301" t="s">
        <v>11</v>
      </c>
    </row>
    <row r="13302" spans="1:5" x14ac:dyDescent="0.25">
      <c r="A13302" t="str">
        <f>HYPERLINK("https://www.773grp.com/globalSearch/MC74AC257NG/page-1", "MC74AC257NG")</f>
        <v>MC74AC257NG</v>
      </c>
      <c r="B13302" s="3" t="str">
        <f>HYPERLINK("https://www.773grp.com/manufacturer/onsemi?pageNo=1169", "Onsemi")</f>
        <v>Onsemi</v>
      </c>
      <c r="C13302" s="6">
        <v>8000</v>
      </c>
      <c r="D13302" s="7">
        <v>2.16</v>
      </c>
      <c r="E13302" t="s">
        <v>16</v>
      </c>
    </row>
    <row r="13303" spans="1:5" x14ac:dyDescent="0.25">
      <c r="A13303" t="str">
        <f>HYPERLINK("https://www.773grp.com/globalSearch/MC74AC273NG/page-1", "MC74AC273NG")</f>
        <v>MC74AC273NG</v>
      </c>
      <c r="B13303" s="3" t="str">
        <f>HYPERLINK("https://www.773grp.com/manufacturer/onsemi?pageNo=1170", "Onsemi")</f>
        <v>Onsemi</v>
      </c>
      <c r="C13303" s="6">
        <v>5549</v>
      </c>
      <c r="D13303" s="7">
        <v>2.16</v>
      </c>
      <c r="E13303" t="s">
        <v>31</v>
      </c>
    </row>
    <row r="13304" spans="1:5" x14ac:dyDescent="0.25">
      <c r="A13304" t="str">
        <f>HYPERLINK("https://www.773grp.com/globalSearch/MC74AC373NG/page-1", "MC74AC373NG")</f>
        <v>MC74AC373NG</v>
      </c>
      <c r="B13304" s="3" t="str">
        <f>HYPERLINK("https://www.773grp.com/manufacturer/onsemi?pageNo=1171", "Onsemi")</f>
        <v>Onsemi</v>
      </c>
      <c r="C13304" s="6">
        <v>3691</v>
      </c>
      <c r="D13304" s="7">
        <v>2.16</v>
      </c>
      <c r="E13304" t="s">
        <v>11</v>
      </c>
    </row>
    <row r="13305" spans="1:5" x14ac:dyDescent="0.25">
      <c r="A13305" t="str">
        <f>HYPERLINK("https://www.773grp.com/globalSearch/MC74AC374NG/page-1", "MC74AC374NG")</f>
        <v>MC74AC374NG</v>
      </c>
      <c r="B13305" s="3" t="str">
        <f>HYPERLINK("https://www.773grp.com/manufacturer/onsemi?pageNo=1172", "Onsemi")</f>
        <v>Onsemi</v>
      </c>
      <c r="C13305" s="6">
        <v>7400</v>
      </c>
      <c r="D13305" s="7">
        <v>2.16</v>
      </c>
      <c r="E13305" t="s">
        <v>11</v>
      </c>
    </row>
    <row r="13306" spans="1:5" x14ac:dyDescent="0.25">
      <c r="A13306" t="str">
        <f>HYPERLINK("https://www.773grp.com/globalSearch/MC74AC377NG/page-1", "MC74AC377NG")</f>
        <v>MC74AC377NG</v>
      </c>
      <c r="B13306" s="3" t="str">
        <f>HYPERLINK("https://www.773grp.com/manufacturer/onsemi?pageNo=1173", "Onsemi")</f>
        <v>Onsemi</v>
      </c>
      <c r="C13306" s="6">
        <v>12613</v>
      </c>
      <c r="D13306" s="7">
        <v>2.16</v>
      </c>
      <c r="E13306" t="s">
        <v>31</v>
      </c>
    </row>
    <row r="13307" spans="1:5" x14ac:dyDescent="0.25">
      <c r="A13307" t="str">
        <f>HYPERLINK("https://www.773grp.com/globalSearch/MC74AC540NG/page-1", "MC74AC540NG")</f>
        <v>MC74AC540NG</v>
      </c>
      <c r="B13307" s="3" t="str">
        <f>HYPERLINK("https://www.773grp.com/manufacturer/onsemi?pageNo=1174", "Onsemi")</f>
        <v>Onsemi</v>
      </c>
      <c r="C13307" s="6">
        <v>4924</v>
      </c>
      <c r="D13307" s="7">
        <v>2.16</v>
      </c>
      <c r="E13307" t="s">
        <v>11</v>
      </c>
    </row>
    <row r="13308" spans="1:5" x14ac:dyDescent="0.25">
      <c r="A13308" t="str">
        <f>HYPERLINK("https://www.773grp.com/globalSearch/MC74AC541NG/page-1", "MC74AC541NG")</f>
        <v>MC74AC541NG</v>
      </c>
      <c r="B13308" s="3" t="str">
        <f>HYPERLINK("https://www.773grp.com/manufacturer/onsemi?pageNo=1175", "Onsemi")</f>
        <v>Onsemi</v>
      </c>
      <c r="C13308" s="6">
        <v>2768</v>
      </c>
      <c r="D13308" s="7">
        <v>2.16</v>
      </c>
      <c r="E13308" t="s">
        <v>11</v>
      </c>
    </row>
    <row r="13309" spans="1:5" x14ac:dyDescent="0.25">
      <c r="A13309" t="str">
        <f>HYPERLINK("https://www.773grp.com/globalSearch/MC74AC573NG/page-1", "MC74AC573NG")</f>
        <v>MC74AC573NG</v>
      </c>
      <c r="B13309" s="3" t="str">
        <f>HYPERLINK("https://www.773grp.com/manufacturer/onsemi?pageNo=1176", "Onsemi")</f>
        <v>Onsemi</v>
      </c>
      <c r="C13309" s="6">
        <v>2980</v>
      </c>
      <c r="D13309" s="7">
        <v>2.16</v>
      </c>
      <c r="E13309" t="s">
        <v>11</v>
      </c>
    </row>
    <row r="13310" spans="1:5" x14ac:dyDescent="0.25">
      <c r="A13310" t="str">
        <f>HYPERLINK("https://www.773grp.com/globalSearch/MC74AC574NG/page-1", "MC74AC574NG")</f>
        <v>MC74AC574NG</v>
      </c>
      <c r="B13310" s="3" t="str">
        <f>HYPERLINK("https://www.773grp.com/manufacturer/onsemi?pageNo=1177", "Onsemi")</f>
        <v>Onsemi</v>
      </c>
      <c r="C13310" s="6">
        <v>4083</v>
      </c>
      <c r="D13310" s="7">
        <v>2.16</v>
      </c>
      <c r="E13310" t="s">
        <v>11</v>
      </c>
    </row>
    <row r="13311" spans="1:5" x14ac:dyDescent="0.25">
      <c r="A13311" t="str">
        <f>HYPERLINK("https://www.773grp.com/globalSearch/MC74ACT240NG/page-1", "MC74ACT240NG")</f>
        <v>MC74ACT240NG</v>
      </c>
      <c r="B13311" s="3" t="str">
        <f>HYPERLINK("https://www.773grp.com/manufacturer/onsemi?pageNo=1178", "Onsemi")</f>
        <v>Onsemi</v>
      </c>
      <c r="C13311" s="6">
        <v>5837</v>
      </c>
      <c r="D13311" s="7">
        <v>2.16</v>
      </c>
      <c r="E13311" t="s">
        <v>11</v>
      </c>
    </row>
    <row r="13312" spans="1:5" x14ac:dyDescent="0.25">
      <c r="A13312" t="str">
        <f>HYPERLINK("https://www.773grp.com/globalSearch/MC74ACT244NG/page-1", "MC74ACT244NG")</f>
        <v>MC74ACT244NG</v>
      </c>
      <c r="B13312" s="3" t="str">
        <f>HYPERLINK("https://www.773grp.com/manufacturer/onsemi?pageNo=1179", "Onsemi")</f>
        <v>Onsemi</v>
      </c>
      <c r="C13312" s="6">
        <v>10969</v>
      </c>
      <c r="D13312" s="7">
        <v>2.16</v>
      </c>
      <c r="E13312" t="s">
        <v>11</v>
      </c>
    </row>
    <row r="13313" spans="1:5" x14ac:dyDescent="0.25">
      <c r="A13313" t="str">
        <f>HYPERLINK("https://www.773grp.com/globalSearch/MC74ACT245NG/page-1", "MC74ACT245NG")</f>
        <v>MC74ACT245NG</v>
      </c>
      <c r="B13313" s="3" t="str">
        <f>HYPERLINK("https://www.773grp.com/manufacturer/onsemi?pageNo=1180", "Onsemi")</f>
        <v>Onsemi</v>
      </c>
      <c r="C13313" s="6">
        <v>6186</v>
      </c>
      <c r="D13313" s="7">
        <v>2.16</v>
      </c>
      <c r="E13313" t="s">
        <v>11</v>
      </c>
    </row>
    <row r="13314" spans="1:5" x14ac:dyDescent="0.25">
      <c r="A13314" t="str">
        <f>HYPERLINK("https://www.773grp.com/globalSearch/MC74ACT257NG/page-1", "MC74ACT257NG")</f>
        <v>MC74ACT257NG</v>
      </c>
      <c r="B13314" s="3" t="str">
        <f>HYPERLINK("https://www.773grp.com/manufacturer/onsemi?pageNo=1181", "Onsemi")</f>
        <v>Onsemi</v>
      </c>
      <c r="C13314" s="6">
        <v>5542</v>
      </c>
      <c r="D13314" s="7">
        <v>2.16</v>
      </c>
      <c r="E13314" t="s">
        <v>16</v>
      </c>
    </row>
    <row r="13315" spans="1:5" x14ac:dyDescent="0.25">
      <c r="A13315" t="str">
        <f>HYPERLINK("https://www.773grp.com/globalSearch/MC74ACT273NG/page-1", "MC74ACT273NG")</f>
        <v>MC74ACT273NG</v>
      </c>
      <c r="B13315" s="3" t="str">
        <f>HYPERLINK("https://www.773grp.com/manufacturer/onsemi?pageNo=1182", "Onsemi")</f>
        <v>Onsemi</v>
      </c>
      <c r="C13315" s="6">
        <v>5570</v>
      </c>
      <c r="D13315" s="7">
        <v>2.16</v>
      </c>
      <c r="E13315" t="s">
        <v>31</v>
      </c>
    </row>
    <row r="13316" spans="1:5" x14ac:dyDescent="0.25">
      <c r="A13316" t="str">
        <f>HYPERLINK("https://www.773grp.com/globalSearch/MC74ACT373NG/page-1", "MC74ACT373NG")</f>
        <v>MC74ACT373NG</v>
      </c>
      <c r="B13316" s="3" t="str">
        <f>HYPERLINK("https://www.773grp.com/manufacturer/onsemi?pageNo=1183", "Onsemi")</f>
        <v>Onsemi</v>
      </c>
      <c r="C13316" s="6">
        <v>14092</v>
      </c>
      <c r="D13316" s="7">
        <v>2.16</v>
      </c>
      <c r="E13316" t="s">
        <v>11</v>
      </c>
    </row>
    <row r="13317" spans="1:5" x14ac:dyDescent="0.25">
      <c r="A13317" t="str">
        <f>HYPERLINK("https://www.773grp.com/globalSearch/MC74ACT374NG/page-1", "MC74ACT374NG")</f>
        <v>MC74ACT374NG</v>
      </c>
      <c r="B13317" s="3" t="str">
        <f>HYPERLINK("https://www.773grp.com/manufacturer/onsemi?pageNo=1184", "Onsemi")</f>
        <v>Onsemi</v>
      </c>
      <c r="C13317" s="6">
        <v>1224</v>
      </c>
      <c r="D13317" s="7">
        <v>2.16</v>
      </c>
      <c r="E13317" t="s">
        <v>11</v>
      </c>
    </row>
    <row r="13318" spans="1:5" x14ac:dyDescent="0.25">
      <c r="A13318" t="str">
        <f>HYPERLINK("https://www.773grp.com/globalSearch/MC74ACT377NG/page-1", "MC74ACT377NG")</f>
        <v>MC74ACT377NG</v>
      </c>
      <c r="B13318" s="3" t="str">
        <f>HYPERLINK("https://www.773grp.com/manufacturer/onsemi?pageNo=1185", "Onsemi")</f>
        <v>Onsemi</v>
      </c>
      <c r="C13318" s="6">
        <v>11042</v>
      </c>
      <c r="D13318" s="7">
        <v>2.16</v>
      </c>
      <c r="E13318" t="s">
        <v>31</v>
      </c>
    </row>
    <row r="13319" spans="1:5" x14ac:dyDescent="0.25">
      <c r="A13319" t="str">
        <f>HYPERLINK("https://www.773grp.com/globalSearch/MC74ACT540NG/page-1", "MC74ACT540NG")</f>
        <v>MC74ACT540NG</v>
      </c>
      <c r="B13319" s="3" t="str">
        <f>HYPERLINK("https://www.773grp.com/manufacturer/onsemi?pageNo=1186", "Onsemi")</f>
        <v>Onsemi</v>
      </c>
      <c r="C13319" s="6">
        <v>5555</v>
      </c>
      <c r="D13319" s="7">
        <v>2.16</v>
      </c>
      <c r="E13319" t="s">
        <v>11</v>
      </c>
    </row>
    <row r="13320" spans="1:5" x14ac:dyDescent="0.25">
      <c r="A13320" t="str">
        <f>HYPERLINK("https://www.773grp.com/globalSearch/MC74ACT541NG/page-1", "MC74ACT541NG")</f>
        <v>MC74ACT541NG</v>
      </c>
      <c r="B13320" s="3" t="str">
        <f>HYPERLINK("https://www.773grp.com/manufacturer/onsemi?pageNo=1187", "Onsemi")</f>
        <v>Onsemi</v>
      </c>
      <c r="C13320" s="6">
        <v>3573</v>
      </c>
      <c r="D13320" s="7">
        <v>2.16</v>
      </c>
      <c r="E13320" t="s">
        <v>11</v>
      </c>
    </row>
    <row r="13321" spans="1:5" x14ac:dyDescent="0.25">
      <c r="A13321" t="str">
        <f>HYPERLINK("https://www.773grp.com/globalSearch/MC74ACT564NG/page-1", "MC74ACT564NG")</f>
        <v>MC74ACT564NG</v>
      </c>
      <c r="B13321" s="3" t="str">
        <f>HYPERLINK("https://www.773grp.com/manufacturer/onsemi?pageNo=1188", "Onsemi")</f>
        <v>Onsemi</v>
      </c>
      <c r="C13321" s="6">
        <v>11028</v>
      </c>
      <c r="D13321" s="7">
        <v>2.16</v>
      </c>
      <c r="E13321" t="s">
        <v>11</v>
      </c>
    </row>
    <row r="13322" spans="1:5" x14ac:dyDescent="0.25">
      <c r="A13322" t="str">
        <f>HYPERLINK("https://www.773grp.com/globalSearch/MC74ACT573NG/page-1", "MC74ACT573NG")</f>
        <v>MC74ACT573NG</v>
      </c>
      <c r="B13322" s="3" t="str">
        <f>HYPERLINK("https://www.773grp.com/manufacturer/onsemi?pageNo=1189", "Onsemi")</f>
        <v>Onsemi</v>
      </c>
      <c r="C13322" s="6">
        <v>17938</v>
      </c>
      <c r="D13322" s="7">
        <v>2.16</v>
      </c>
      <c r="E13322" t="s">
        <v>11</v>
      </c>
    </row>
    <row r="13323" spans="1:5" x14ac:dyDescent="0.25">
      <c r="A13323" t="str">
        <f>HYPERLINK("https://www.773grp.com/globalSearch/MC74ACT574NG/page-1", "MC74ACT574NG")</f>
        <v>MC74ACT574NG</v>
      </c>
      <c r="B13323" s="3" t="str">
        <f>HYPERLINK("https://www.773grp.com/manufacturer/onsemi?pageNo=1190", "Onsemi")</f>
        <v>Onsemi</v>
      </c>
      <c r="C13323" s="6">
        <v>5188</v>
      </c>
      <c r="D13323" s="7">
        <v>2.16</v>
      </c>
      <c r="E13323" t="s">
        <v>11</v>
      </c>
    </row>
    <row r="13324" spans="1:5" x14ac:dyDescent="0.25">
      <c r="A13324" t="str">
        <f>HYPERLINK("https://www.773grp.com/globalSearch/MC74F533N/page-1", "MC74F533N")</f>
        <v>MC74F533N</v>
      </c>
      <c r="B13324" s="3" t="str">
        <f>HYPERLINK("https://www.773grp.com/manufacturer/onsemi?pageNo=1191", "Onsemi")</f>
        <v>Onsemi</v>
      </c>
      <c r="C13324" s="6">
        <v>3076</v>
      </c>
      <c r="D13324" s="7">
        <v>2.16</v>
      </c>
      <c r="E13324" t="s">
        <v>11</v>
      </c>
    </row>
    <row r="13325" spans="1:5" x14ac:dyDescent="0.25">
      <c r="A13325" t="str">
        <f>HYPERLINK("https://www.773grp.com/globalSearch/MJB45H11G/page-1", "MJB45H11G")</f>
        <v>MJB45H11G</v>
      </c>
      <c r="B13325" s="3" t="str">
        <f>HYPERLINK("https://www.773grp.com/manufacturer/onsemi?pageNo=1192", "Onsemi")</f>
        <v>Onsemi</v>
      </c>
      <c r="C13325" s="6">
        <v>78</v>
      </c>
      <c r="D13325" s="7">
        <v>2.16</v>
      </c>
    </row>
    <row r="13326" spans="1:5" x14ac:dyDescent="0.25">
      <c r="A13326" t="str">
        <f>HYPERLINK("https://www.773grp.com/globalSearch/MJB45H11T4G/page-1", "MJB45H11T4G")</f>
        <v>MJB45H11T4G</v>
      </c>
      <c r="B13326" s="3" t="str">
        <f>HYPERLINK("https://www.773grp.com/manufacturer/onsemi?pageNo=1193", "Onsemi")</f>
        <v>Onsemi</v>
      </c>
      <c r="C13326" s="6">
        <v>2940</v>
      </c>
      <c r="D13326" s="7">
        <v>2.16</v>
      </c>
      <c r="E13326" t="s">
        <v>47</v>
      </c>
    </row>
    <row r="13327" spans="1:5" x14ac:dyDescent="0.25">
      <c r="A13327" t="str">
        <f>HYPERLINK("https://www.773grp.com/globalSearch/MJE15028G/page-1", "MJE15028G")</f>
        <v>MJE15028G</v>
      </c>
      <c r="B13327" s="3" t="str">
        <f>HYPERLINK("https://www.773grp.com/manufacturer/onsemi?pageNo=1194", "Onsemi")</f>
        <v>Onsemi</v>
      </c>
      <c r="C13327" s="6">
        <v>2760</v>
      </c>
      <c r="D13327" s="7">
        <v>2.16</v>
      </c>
      <c r="E13327" t="s">
        <v>47</v>
      </c>
    </row>
    <row r="13328" spans="1:5" x14ac:dyDescent="0.25">
      <c r="A13328" t="str">
        <f>HYPERLINK("https://www.773grp.com/globalSearch/MJE18002G/page-1", "MJE18002G")</f>
        <v>MJE18002G</v>
      </c>
      <c r="B13328" s="3" t="str">
        <f>HYPERLINK("https://www.773grp.com/manufacturer/onsemi?pageNo=1195", "Onsemi")</f>
        <v>Onsemi</v>
      </c>
      <c r="C13328" s="6">
        <v>66341</v>
      </c>
      <c r="D13328" s="7">
        <v>2.16</v>
      </c>
      <c r="E13328" t="s">
        <v>47</v>
      </c>
    </row>
    <row r="13329" spans="1:5" x14ac:dyDescent="0.25">
      <c r="A13329" t="str">
        <f>HYPERLINK("https://www.773grp.com/globalSearch/MJF18002/page-1", "MJF18002")</f>
        <v>MJF18002</v>
      </c>
      <c r="B13329" s="3" t="str">
        <f>HYPERLINK("https://www.773grp.com/manufacturer/onsemi?pageNo=1196", "Onsemi")</f>
        <v>Onsemi</v>
      </c>
      <c r="C13329" s="6">
        <v>150</v>
      </c>
      <c r="D13329" s="7">
        <v>2.16</v>
      </c>
      <c r="E13329" t="s">
        <v>47</v>
      </c>
    </row>
    <row r="13330" spans="1:5" x14ac:dyDescent="0.25">
      <c r="A13330" t="str">
        <f>HYPERLINK("https://www.773grp.com/globalSearch/MR4027P/page-1", "MR4027P")</f>
        <v>MR4027P</v>
      </c>
      <c r="B13330" s="3" t="str">
        <f>HYPERLINK("https://www.773grp.com/manufacturer/onsemi?pageNo=1197", "Onsemi")</f>
        <v>Onsemi</v>
      </c>
      <c r="C13330" s="6">
        <v>9900</v>
      </c>
      <c r="D13330" s="7">
        <v>2.16</v>
      </c>
      <c r="E13330" t="s">
        <v>75</v>
      </c>
    </row>
    <row r="13331" spans="1:5" x14ac:dyDescent="0.25">
      <c r="A13331" t="str">
        <f>HYPERLINK("https://www.773grp.com/globalSearch/NCP1086ST-33T3G/page-1", "NCP1086ST-33T3G")</f>
        <v>NCP1086ST-33T3G</v>
      </c>
      <c r="B13331" s="3" t="str">
        <f>HYPERLINK("https://www.773grp.com/manufacturer/onsemi?pageNo=1198", "Onsemi")</f>
        <v>Onsemi</v>
      </c>
      <c r="C13331" s="6">
        <v>7500</v>
      </c>
      <c r="D13331" s="7">
        <v>2.16</v>
      </c>
      <c r="E13331" t="s">
        <v>15</v>
      </c>
    </row>
    <row r="13332" spans="1:5" x14ac:dyDescent="0.25">
      <c r="A13332" t="str">
        <f>HYPERLINK("https://www.773grp.com/globalSearch/NCP1207DR2G/page-1", "NCP1207DR2G")</f>
        <v>NCP1207DR2G</v>
      </c>
      <c r="B13332" s="3" t="str">
        <f>HYPERLINK("https://www.773grp.com/manufacturer/onsemi?pageNo=1199", "Onsemi")</f>
        <v>Onsemi</v>
      </c>
      <c r="C13332" s="6">
        <v>118968</v>
      </c>
      <c r="D13332" s="7">
        <v>2.16</v>
      </c>
      <c r="E13332" t="s">
        <v>5</v>
      </c>
    </row>
    <row r="13333" spans="1:5" x14ac:dyDescent="0.25">
      <c r="A13333" t="str">
        <f>HYPERLINK("https://www.773grp.com/globalSearch/NCP1550SN18T1G/page-1", "NCP1550SN18T1G")</f>
        <v>NCP1550SN18T1G</v>
      </c>
      <c r="B13333" s="3" t="str">
        <f>HYPERLINK("https://www.773grp.com/manufacturer/onsemi?pageNo=1200", "Onsemi")</f>
        <v>Onsemi</v>
      </c>
      <c r="C13333" s="6">
        <v>3000</v>
      </c>
      <c r="D13333" s="7">
        <v>2.16</v>
      </c>
      <c r="E13333" t="s">
        <v>5</v>
      </c>
    </row>
    <row r="13334" spans="1:5" x14ac:dyDescent="0.25">
      <c r="A13334" t="str">
        <f>HYPERLINK("https://www.773grp.com/globalSearch/NCP2682DM12/page-1", "NCP2682DM12")</f>
        <v>NCP2682DM12</v>
      </c>
      <c r="B13334" s="3" t="str">
        <f>HYPERLINK("https://www.773grp.com/manufacturer/onsemi?pageNo=1201", "Onsemi")</f>
        <v>Onsemi</v>
      </c>
      <c r="C13334" s="6">
        <v>29900</v>
      </c>
      <c r="D13334" s="7">
        <v>2.16</v>
      </c>
    </row>
    <row r="13335" spans="1:5" x14ac:dyDescent="0.25">
      <c r="A13335" t="str">
        <f>HYPERLINK("https://www.773grp.com/globalSearch/NCP2682DM125/page-1", "NCP2682DM125")</f>
        <v>NCP2682DM125</v>
      </c>
      <c r="B13335" s="3" t="str">
        <f>HYPERLINK("https://www.773grp.com/manufacturer/onsemi?pageNo=1202", "Onsemi")</f>
        <v>Onsemi</v>
      </c>
      <c r="C13335" s="6">
        <v>29900</v>
      </c>
      <c r="D13335" s="7">
        <v>2.16</v>
      </c>
    </row>
    <row r="13336" spans="1:5" x14ac:dyDescent="0.25">
      <c r="A13336" t="str">
        <f>HYPERLINK("https://www.773grp.com/globalSearch/NCP2682DM35/page-1", "NCP2682DM35")</f>
        <v>NCP2682DM35</v>
      </c>
      <c r="B13336" s="3" t="str">
        <f>HYPERLINK("https://www.773grp.com/manufacturer/onsemi?pageNo=1203", "Onsemi")</f>
        <v>Onsemi</v>
      </c>
      <c r="C13336" s="6">
        <v>30000</v>
      </c>
      <c r="D13336" s="7">
        <v>2.16</v>
      </c>
    </row>
    <row r="13337" spans="1:5" x14ac:dyDescent="0.25">
      <c r="A13337" t="str">
        <f>HYPERLINK("https://www.773grp.com/globalSearch/NCP5661MN12T2G/page-1", "NCP5661MN12T2G")</f>
        <v>NCP5661MN12T2G</v>
      </c>
      <c r="B13337" s="3" t="str">
        <f>HYPERLINK("https://www.773grp.com/manufacturer/onsemi?pageNo=1204", "Onsemi")</f>
        <v>Onsemi</v>
      </c>
      <c r="C13337" s="6">
        <v>20209</v>
      </c>
      <c r="D13337" s="7">
        <v>2.16</v>
      </c>
      <c r="E13337" t="s">
        <v>15</v>
      </c>
    </row>
    <row r="13338" spans="1:5" x14ac:dyDescent="0.25">
      <c r="A13338" t="str">
        <f>HYPERLINK("https://www.773grp.com/globalSearch/NCP5661MN15T2G/page-1", "NCP5661MN15T2G")</f>
        <v>NCP5661MN15T2G</v>
      </c>
      <c r="B13338" s="3" t="str">
        <f>HYPERLINK("https://www.773grp.com/manufacturer/onsemi?pageNo=1205", "Onsemi")</f>
        <v>Onsemi</v>
      </c>
      <c r="C13338" s="6">
        <v>31511</v>
      </c>
      <c r="D13338" s="7">
        <v>2.16</v>
      </c>
      <c r="E13338" t="s">
        <v>15</v>
      </c>
    </row>
    <row r="13339" spans="1:5" x14ac:dyDescent="0.25">
      <c r="A13339" t="str">
        <f>HYPERLINK("https://www.773grp.com/globalSearch/NCP5661MN18T2G/page-1", "NCP5661MN18T2G")</f>
        <v>NCP5661MN18T2G</v>
      </c>
      <c r="B13339" s="3" t="str">
        <f>HYPERLINK("https://www.773grp.com/manufacturer/onsemi?pageNo=1206", "Onsemi")</f>
        <v>Onsemi</v>
      </c>
      <c r="C13339" s="6">
        <v>21787</v>
      </c>
      <c r="D13339" s="7">
        <v>2.16</v>
      </c>
      <c r="E13339" t="s">
        <v>15</v>
      </c>
    </row>
    <row r="13340" spans="1:5" x14ac:dyDescent="0.25">
      <c r="A13340" t="str">
        <f>HYPERLINK("https://www.773grp.com/globalSearch/NCP5661MN25T2G/page-1", "NCP5661MN25T2G")</f>
        <v>NCP5661MN25T2G</v>
      </c>
      <c r="B13340" s="3" t="str">
        <f>HYPERLINK("https://www.773grp.com/manufacturer/onsemi?pageNo=1207", "Onsemi")</f>
        <v>Onsemi</v>
      </c>
      <c r="C13340" s="6">
        <v>27900</v>
      </c>
      <c r="D13340" s="7">
        <v>2.16</v>
      </c>
      <c r="E13340" t="s">
        <v>15</v>
      </c>
    </row>
    <row r="13341" spans="1:5" x14ac:dyDescent="0.25">
      <c r="A13341" t="str">
        <f>HYPERLINK("https://www.773grp.com/globalSearch/NCP5661MN28T2G/page-1", "NCP5661MN28T2G")</f>
        <v>NCP5661MN28T2G</v>
      </c>
      <c r="B13341" s="3" t="str">
        <f>HYPERLINK("https://www.773grp.com/manufacturer/onsemi?pageNo=1208", "Onsemi")</f>
        <v>Onsemi</v>
      </c>
      <c r="C13341" s="6">
        <v>30400</v>
      </c>
      <c r="D13341" s="7">
        <v>2.16</v>
      </c>
      <c r="E13341" t="s">
        <v>15</v>
      </c>
    </row>
    <row r="13342" spans="1:5" x14ac:dyDescent="0.25">
      <c r="A13342" t="str">
        <f>HYPERLINK("https://www.773grp.com/globalSearch/NCP5661MN30T2G/page-1", "NCP5661MN30T2G")</f>
        <v>NCP5661MN30T2G</v>
      </c>
      <c r="B13342" s="3" t="str">
        <f>HYPERLINK("https://www.773grp.com/manufacturer/onsemi?pageNo=1209", "Onsemi")</f>
        <v>Onsemi</v>
      </c>
      <c r="C13342" s="6">
        <v>36000</v>
      </c>
      <c r="D13342" s="7">
        <v>2.16</v>
      </c>
      <c r="E13342" t="s">
        <v>15</v>
      </c>
    </row>
    <row r="13343" spans="1:5" x14ac:dyDescent="0.25">
      <c r="A13343" t="str">
        <f>HYPERLINK("https://www.773grp.com/globalSearch/NCP5661MNADJT2G/page-1", "NCP5661MNADJT2G")</f>
        <v>NCP5661MNADJT2G</v>
      </c>
      <c r="B13343" s="3" t="str">
        <f>HYPERLINK("https://www.773grp.com/manufacturer/onsemi?pageNo=1210", "Onsemi")</f>
        <v>Onsemi</v>
      </c>
      <c r="C13343" s="6">
        <v>1377</v>
      </c>
      <c r="D13343" s="7">
        <v>2.16</v>
      </c>
      <c r="E13343" t="s">
        <v>21</v>
      </c>
    </row>
    <row r="13344" spans="1:5" x14ac:dyDescent="0.25">
      <c r="A13344" t="str">
        <f>HYPERLINK("https://www.773grp.com/globalSearch/NCP690MN15T2G/page-1", "NCP690MN15T2G")</f>
        <v>NCP690MN15T2G</v>
      </c>
      <c r="B13344" s="3" t="str">
        <f>HYPERLINK("https://www.773grp.com/manufacturer/onsemi?pageNo=1211", "Onsemi")</f>
        <v>Onsemi</v>
      </c>
      <c r="C13344" s="6">
        <v>6000</v>
      </c>
      <c r="D13344" s="7">
        <v>2.16</v>
      </c>
      <c r="E13344" t="s">
        <v>15</v>
      </c>
    </row>
    <row r="13345" spans="1:5" x14ac:dyDescent="0.25">
      <c r="A13345" t="str">
        <f>HYPERLINK("https://www.773grp.com/globalSearch/NCP690MN18T2G/page-1", "NCP690MN18T2G")</f>
        <v>NCP690MN18T2G</v>
      </c>
      <c r="B13345" s="3" t="str">
        <f>HYPERLINK("https://www.773grp.com/manufacturer/onsemi?pageNo=1212", "Onsemi")</f>
        <v>Onsemi</v>
      </c>
      <c r="C13345" s="6">
        <v>17885</v>
      </c>
      <c r="D13345" s="7">
        <v>2.16</v>
      </c>
      <c r="E13345" t="s">
        <v>15</v>
      </c>
    </row>
    <row r="13346" spans="1:5" x14ac:dyDescent="0.25">
      <c r="A13346" t="str">
        <f>HYPERLINK("https://www.773grp.com/globalSearch/NCP690MN25T2G/page-1", "NCP690MN25T2G")</f>
        <v>NCP690MN25T2G</v>
      </c>
      <c r="B13346" s="3" t="str">
        <f>HYPERLINK("https://www.773grp.com/manufacturer/onsemi?pageNo=1213", "Onsemi")</f>
        <v>Onsemi</v>
      </c>
      <c r="C13346" s="6">
        <v>6000</v>
      </c>
      <c r="D13346" s="7">
        <v>2.16</v>
      </c>
      <c r="E13346" t="s">
        <v>15</v>
      </c>
    </row>
    <row r="13347" spans="1:5" x14ac:dyDescent="0.25">
      <c r="A13347" t="str">
        <f>HYPERLINK("https://www.773grp.com/globalSearch/NCP690MN50T2G/page-1", "NCP690MN50T2G")</f>
        <v>NCP690MN50T2G</v>
      </c>
      <c r="B13347" s="3" t="str">
        <f>HYPERLINK("https://www.773grp.com/manufacturer/onsemi?pageNo=1214", "Onsemi")</f>
        <v>Onsemi</v>
      </c>
      <c r="C13347" s="6">
        <v>5890</v>
      </c>
      <c r="D13347" s="7">
        <v>2.16</v>
      </c>
      <c r="E13347" t="s">
        <v>15</v>
      </c>
    </row>
    <row r="13348" spans="1:5" x14ac:dyDescent="0.25">
      <c r="A13348" t="str">
        <f>HYPERLINK("https://www.773grp.com/globalSearch/NCP691MN18T2G/page-1", "NCP691MN18T2G")</f>
        <v>NCP691MN18T2G</v>
      </c>
      <c r="B13348" s="3" t="str">
        <f>HYPERLINK("https://www.773grp.com/manufacturer/onsemi?pageNo=1215", "Onsemi")</f>
        <v>Onsemi</v>
      </c>
      <c r="C13348" s="6">
        <v>2800</v>
      </c>
      <c r="D13348" s="7">
        <v>2.16</v>
      </c>
    </row>
    <row r="13349" spans="1:5" x14ac:dyDescent="0.25">
      <c r="A13349" t="str">
        <f>HYPERLINK("https://www.773grp.com/globalSearch/NCP691MN33T2G/page-1", "NCP691MN33T2G")</f>
        <v>NCP691MN33T2G</v>
      </c>
      <c r="B13349" s="3" t="str">
        <f>HYPERLINK("https://www.773grp.com/manufacturer/onsemi?pageNo=1216", "Onsemi")</f>
        <v>Onsemi</v>
      </c>
      <c r="C13349" s="6">
        <v>9000</v>
      </c>
      <c r="D13349" s="7">
        <v>2.16</v>
      </c>
    </row>
    <row r="13350" spans="1:5" x14ac:dyDescent="0.25">
      <c r="A13350" t="str">
        <f>HYPERLINK("https://www.773grp.com/globalSearch/NCP691MNADJT2G/page-1", "NCP691MNADJT2G")</f>
        <v>NCP691MNADJT2G</v>
      </c>
      <c r="B13350" s="3" t="str">
        <f>HYPERLINK("https://www.773grp.com/manufacturer/onsemi?pageNo=1217", "Onsemi")</f>
        <v>Onsemi</v>
      </c>
      <c r="C13350" s="6">
        <v>4800</v>
      </c>
      <c r="D13350" s="7">
        <v>2.16</v>
      </c>
      <c r="E13350" t="s">
        <v>21</v>
      </c>
    </row>
    <row r="13351" spans="1:5" x14ac:dyDescent="0.25">
      <c r="A13351" t="str">
        <f>HYPERLINK("https://www.773grp.com/globalSearch/NCP692MN15T2G/page-1", "NCP692MN15T2G")</f>
        <v>NCP692MN15T2G</v>
      </c>
      <c r="B13351" s="3" t="str">
        <f>HYPERLINK("https://www.773grp.com/manufacturer/onsemi?pageNo=1218", "Onsemi")</f>
        <v>Onsemi</v>
      </c>
      <c r="C13351" s="6">
        <v>6000</v>
      </c>
      <c r="D13351" s="7">
        <v>2.16</v>
      </c>
      <c r="E13351" t="s">
        <v>15</v>
      </c>
    </row>
    <row r="13352" spans="1:5" x14ac:dyDescent="0.25">
      <c r="A13352" t="str">
        <f>HYPERLINK("https://www.773grp.com/globalSearch/NCP693DMN08TCG/page-1", "NCP693DMN08TCG")</f>
        <v>NCP693DMN08TCG</v>
      </c>
      <c r="B13352" s="3" t="str">
        <f>HYPERLINK("https://www.773grp.com/manufacturer/onsemi?pageNo=1219", "Onsemi")</f>
        <v>Onsemi</v>
      </c>
      <c r="C13352" s="6">
        <v>5000</v>
      </c>
      <c r="D13352" s="7">
        <v>2.16</v>
      </c>
    </row>
    <row r="13353" spans="1:5" x14ac:dyDescent="0.25">
      <c r="A13353" t="str">
        <f>HYPERLINK("https://www.773grp.com/globalSearch/NCP693DMN12TCG/page-1", "NCP693DMN12TCG")</f>
        <v>NCP693DMN12TCG</v>
      </c>
      <c r="B13353" s="3" t="str">
        <f>HYPERLINK("https://www.773grp.com/manufacturer/onsemi?pageNo=1220", "Onsemi")</f>
        <v>Onsemi</v>
      </c>
      <c r="C13353" s="6">
        <v>10000</v>
      </c>
      <c r="D13353" s="7">
        <v>2.16</v>
      </c>
    </row>
    <row r="13354" spans="1:5" x14ac:dyDescent="0.25">
      <c r="A13354" t="str">
        <f>HYPERLINK("https://www.773grp.com/globalSearch/NCP693HMN08TCG/page-1", "NCP693HMN08TCG")</f>
        <v>NCP693HMN08TCG</v>
      </c>
      <c r="B13354" s="3" t="str">
        <f>HYPERLINK("https://www.773grp.com/manufacturer/onsemi?pageNo=1221", "Onsemi")</f>
        <v>Onsemi</v>
      </c>
      <c r="C13354" s="6">
        <v>5000</v>
      </c>
      <c r="D13354" s="7">
        <v>2.16</v>
      </c>
    </row>
    <row r="13355" spans="1:5" x14ac:dyDescent="0.25">
      <c r="A13355" t="str">
        <f>HYPERLINK("https://www.773grp.com/globalSearch/NCP693HMN10TCG/page-1", "NCP693HMN10TCG")</f>
        <v>NCP693HMN10TCG</v>
      </c>
      <c r="B13355" s="3" t="str">
        <f>HYPERLINK("https://www.773grp.com/manufacturer/onsemi?pageNo=1222", "Onsemi")</f>
        <v>Onsemi</v>
      </c>
      <c r="C13355" s="6">
        <v>14960</v>
      </c>
      <c r="D13355" s="7">
        <v>2.16</v>
      </c>
      <c r="E13355" t="s">
        <v>15</v>
      </c>
    </row>
    <row r="13356" spans="1:5" x14ac:dyDescent="0.25">
      <c r="A13356" t="str">
        <f>HYPERLINK("https://www.773grp.com/globalSearch/NCV3063MNTXG/page-1", "NCV3063MNTXG")</f>
        <v>NCV3063MNTXG</v>
      </c>
      <c r="B13356" s="3" t="str">
        <f>HYPERLINK("https://www.773grp.com/manufacturer/onsemi?pageNo=1223", "Onsemi")</f>
        <v>Onsemi</v>
      </c>
      <c r="C13356" s="6">
        <v>7831</v>
      </c>
      <c r="D13356" s="7">
        <v>2.16</v>
      </c>
      <c r="E13356" t="s">
        <v>5</v>
      </c>
    </row>
    <row r="13357" spans="1:5" x14ac:dyDescent="0.25">
      <c r="A13357" t="str">
        <f>HYPERLINK("https://www.773grp.com/globalSearch/NCV3063PG/page-1", "NCV3063PG")</f>
        <v>NCV3063PG</v>
      </c>
      <c r="B13357" s="3" t="str">
        <f>HYPERLINK("https://www.773grp.com/manufacturer/onsemi?pageNo=1224", "Onsemi")</f>
        <v>Onsemi</v>
      </c>
      <c r="C13357" s="6">
        <v>16100</v>
      </c>
      <c r="D13357" s="7">
        <v>2.16</v>
      </c>
      <c r="E13357" t="s">
        <v>5</v>
      </c>
    </row>
    <row r="13358" spans="1:5" x14ac:dyDescent="0.25">
      <c r="A13358" t="str">
        <f>HYPERLINK("https://www.773grp.com/globalSearch/NCV33063AVDR2/page-1", "NCV33063AVDR2")</f>
        <v>NCV33063AVDR2</v>
      </c>
      <c r="B13358" s="3" t="str">
        <f>HYPERLINK("https://www.773grp.com/manufacturer/onsemi?pageNo=1225", "Onsemi")</f>
        <v>Onsemi</v>
      </c>
      <c r="C13358" s="6">
        <v>2272</v>
      </c>
      <c r="D13358" s="7">
        <v>2.16</v>
      </c>
      <c r="E13358" t="s">
        <v>5</v>
      </c>
    </row>
    <row r="13359" spans="1:5" x14ac:dyDescent="0.25">
      <c r="A13359" t="str">
        <f>HYPERLINK("https://www.773grp.com/globalSearch/NGTG15N60S1EG/page-1", "NGTG15N60S1EG")</f>
        <v>NGTG15N60S1EG</v>
      </c>
      <c r="B13359" s="3" t="str">
        <f>HYPERLINK("https://www.773grp.com/manufacturer/onsemi?pageNo=1226", "Onsemi")</f>
        <v>Onsemi</v>
      </c>
      <c r="C13359" s="6">
        <v>700</v>
      </c>
      <c r="D13359" s="7">
        <v>2.16</v>
      </c>
    </row>
    <row r="13360" spans="1:5" x14ac:dyDescent="0.25">
      <c r="A13360" t="str">
        <f>HYPERLINK("https://www.773grp.com/globalSearch/NTD25P03LT4G/page-1", "NTD25P03LT4G")</f>
        <v>NTD25P03LT4G</v>
      </c>
      <c r="B13360" s="3" t="str">
        <f>HYPERLINK("https://www.773grp.com/manufacturer/onsemi?pageNo=1227", "Onsemi")</f>
        <v>Onsemi</v>
      </c>
      <c r="C13360" s="6">
        <v>2500</v>
      </c>
      <c r="D13360" s="7">
        <v>2.16</v>
      </c>
      <c r="E13360" t="s">
        <v>84</v>
      </c>
    </row>
    <row r="13361" spans="1:5" x14ac:dyDescent="0.25">
      <c r="A13361" t="str">
        <f>HYPERLINK("https://www.773grp.com/globalSearch/NTTFS4945NTAG/page-1", "NTTFS4945NTAG")</f>
        <v>NTTFS4945NTAG</v>
      </c>
      <c r="B13361" s="3" t="str">
        <f>HYPERLINK("https://www.773grp.com/manufacturer/onsemi?pageNo=1228", "Onsemi")</f>
        <v>Onsemi</v>
      </c>
      <c r="C13361" s="6">
        <v>34500</v>
      </c>
      <c r="D13361" s="7">
        <v>2.16</v>
      </c>
      <c r="E13361" t="s">
        <v>85</v>
      </c>
    </row>
    <row r="13362" spans="1:5" x14ac:dyDescent="0.25">
      <c r="A13362" t="str">
        <f>HYPERLINK("https://www.773grp.com/globalSearch/NVMD6P02R2G/page-1", "NVMD6P02R2G")</f>
        <v>NVMD6P02R2G</v>
      </c>
      <c r="B13362" s="3" t="str">
        <f>HYPERLINK("https://www.773grp.com/manufacturer/onsemi?pageNo=1229", "Onsemi")</f>
        <v>Onsemi</v>
      </c>
      <c r="C13362" s="6">
        <v>2300</v>
      </c>
      <c r="D13362" s="7">
        <v>2.16</v>
      </c>
    </row>
    <row r="13363" spans="1:5" x14ac:dyDescent="0.25">
      <c r="A13363" t="str">
        <f>HYPERLINK("https://www.773grp.com/globalSearch/SN74LS795DWR2/page-1", "SN74LS795DWR2")</f>
        <v>SN74LS795DWR2</v>
      </c>
      <c r="B13363" s="3" t="str">
        <f>HYPERLINK("https://www.773grp.com/manufacturer/onsemi?pageNo=1230", "Onsemi")</f>
        <v>Onsemi</v>
      </c>
      <c r="C13363" s="6">
        <v>1000</v>
      </c>
      <c r="D13363" s="7">
        <v>2.16</v>
      </c>
      <c r="E13363" t="s">
        <v>11</v>
      </c>
    </row>
    <row r="13364" spans="1:5" x14ac:dyDescent="0.25">
      <c r="A13364" t="str">
        <f>HYPERLINK("https://www.773grp.com/globalSearch/TCA0372DP1G/page-1", "TCA0372DP1G")</f>
        <v>TCA0372DP1G</v>
      </c>
      <c r="B13364" s="3" t="str">
        <f>HYPERLINK("https://www.773grp.com/manufacturer/onsemi?pageNo=1231", "Onsemi")</f>
        <v>Onsemi</v>
      </c>
      <c r="C13364" s="6">
        <v>369895</v>
      </c>
      <c r="D13364" s="7">
        <v>2.16</v>
      </c>
      <c r="E13364" t="s">
        <v>10</v>
      </c>
    </row>
    <row r="13365" spans="1:5" x14ac:dyDescent="0.25">
      <c r="A13365" t="str">
        <f>HYPERLINK("https://www.773grp.com/globalSearch/TCA0372DP2G/page-1", "TCA0372DP2G")</f>
        <v>TCA0372DP2G</v>
      </c>
      <c r="B13365" s="3" t="str">
        <f>HYPERLINK("https://www.773grp.com/manufacturer/onsemi?pageNo=1232", "Onsemi")</f>
        <v>Onsemi</v>
      </c>
      <c r="C13365" s="6">
        <v>293</v>
      </c>
      <c r="D13365" s="7">
        <v>2.16</v>
      </c>
      <c r="E13365" t="s">
        <v>10</v>
      </c>
    </row>
    <row r="13366" spans="1:5" x14ac:dyDescent="0.25">
      <c r="A13366" t="str">
        <f>HYPERLINK("https://www.773grp.com/globalSearch/ALVCH16374DTR/page-1", "ALVCH16374DTR")</f>
        <v>ALVCH16374DTR</v>
      </c>
      <c r="B13366" s="3" t="str">
        <f>HYPERLINK("https://www.773grp.com/manufacturer/onsemi?pageNo=1233", "Onsemi")</f>
        <v>Onsemi</v>
      </c>
      <c r="C13366" s="6">
        <v>20000</v>
      </c>
      <c r="D13366" s="7">
        <v>2.21</v>
      </c>
    </row>
    <row r="13367" spans="1:5" x14ac:dyDescent="0.25">
      <c r="A13367" t="str">
        <f>HYPERLINK("https://www.773grp.com/globalSearch/BD243CG/page-1", "BD243CG")</f>
        <v>BD243CG</v>
      </c>
      <c r="B13367" s="3" t="str">
        <f>HYPERLINK("https://www.773grp.com/manufacturer/onsemi?pageNo=1234", "Onsemi")</f>
        <v>Onsemi</v>
      </c>
      <c r="C13367" s="6">
        <v>8364</v>
      </c>
      <c r="D13367" s="7">
        <v>2.21</v>
      </c>
      <c r="E13367" t="s">
        <v>47</v>
      </c>
    </row>
    <row r="13368" spans="1:5" x14ac:dyDescent="0.25">
      <c r="A13368" t="str">
        <f>HYPERLINK("https://www.773grp.com/globalSearch/CAT3637HV3-GT2/page-1", "CAT3637HV3-GT2")</f>
        <v>CAT3637HV3-GT2</v>
      </c>
      <c r="B13368" s="3" t="str">
        <f>HYPERLINK("https://www.773grp.com/manufacturer/onsemi?pageNo=1235", "Onsemi")</f>
        <v>Onsemi</v>
      </c>
      <c r="C13368" s="6">
        <v>78069</v>
      </c>
      <c r="D13368" s="7">
        <v>2.21</v>
      </c>
      <c r="E13368" t="s">
        <v>7</v>
      </c>
    </row>
    <row r="13369" spans="1:5" x14ac:dyDescent="0.25">
      <c r="A13369" t="str">
        <f>HYPERLINK("https://www.773grp.com/globalSearch/CM1233-08DE/page-1", "CM1233-08DE")</f>
        <v>CM1233-08DE</v>
      </c>
      <c r="B13369" s="3" t="str">
        <f>HYPERLINK("https://www.773grp.com/manufacturer/onsemi?pageNo=1236", "Onsemi")</f>
        <v>Onsemi</v>
      </c>
      <c r="C13369" s="6">
        <v>2698</v>
      </c>
      <c r="D13369" s="7">
        <v>2.21</v>
      </c>
      <c r="E13369" t="s">
        <v>75</v>
      </c>
    </row>
    <row r="13370" spans="1:5" x14ac:dyDescent="0.25">
      <c r="A13370" t="str">
        <f>HYPERLINK("https://www.773grp.com/globalSearch/CM1236-08DE/page-1", "CM1236-08DE")</f>
        <v>CM1236-08DE</v>
      </c>
      <c r="B13370" s="3" t="str">
        <f>HYPERLINK("https://www.773grp.com/manufacturer/onsemi?pageNo=1237", "Onsemi")</f>
        <v>Onsemi</v>
      </c>
      <c r="C13370" s="6">
        <v>3000</v>
      </c>
      <c r="D13370" s="7">
        <v>2.21</v>
      </c>
      <c r="E13370" t="s">
        <v>79</v>
      </c>
    </row>
    <row r="13371" spans="1:5" x14ac:dyDescent="0.25">
      <c r="A13371" t="str">
        <f>HYPERLINK("https://www.773grp.com/globalSearch/CM2020-00TR/page-1", "CM2020-00TR")</f>
        <v>CM2020-00TR</v>
      </c>
      <c r="B13371" s="3" t="str">
        <f>HYPERLINK("https://www.773grp.com/manufacturer/onsemi?pageNo=1238", "Onsemi")</f>
        <v>Onsemi</v>
      </c>
      <c r="C13371" s="6">
        <v>2500</v>
      </c>
      <c r="D13371" s="7">
        <v>2.21</v>
      </c>
      <c r="E13371" t="s">
        <v>19</v>
      </c>
    </row>
    <row r="13372" spans="1:5" x14ac:dyDescent="0.25">
      <c r="A13372" t="str">
        <f>HYPERLINK("https://www.773grp.com/globalSearch/CS1108EDF8/page-1", "CS1108EDF8")</f>
        <v>CS1108EDF8</v>
      </c>
      <c r="B13372" s="3" t="str">
        <f>HYPERLINK("https://www.773grp.com/manufacturer/onsemi?pageNo=1239", "Onsemi")</f>
        <v>Onsemi</v>
      </c>
      <c r="C13372" s="6">
        <v>2592</v>
      </c>
      <c r="D13372" s="7">
        <v>2.21</v>
      </c>
      <c r="E13372" t="s">
        <v>8</v>
      </c>
    </row>
    <row r="13373" spans="1:5" x14ac:dyDescent="0.25">
      <c r="A13373" t="str">
        <f>HYPERLINK("https://www.773grp.com/globalSearch/CS5211GDR14/page-1", "CS5211GDR14")</f>
        <v>CS5211GDR14</v>
      </c>
      <c r="B13373" s="3" t="str">
        <f>HYPERLINK("https://www.773grp.com/manufacturer/onsemi?pageNo=1240", "Onsemi")</f>
        <v>Onsemi</v>
      </c>
      <c r="C13373" s="6">
        <v>4950</v>
      </c>
      <c r="D13373" s="7">
        <v>2.21</v>
      </c>
      <c r="E13373" t="s">
        <v>5</v>
      </c>
    </row>
    <row r="13374" spans="1:5" x14ac:dyDescent="0.25">
      <c r="A13374" t="str">
        <f>HYPERLINK("https://www.773grp.com/globalSearch/CS5211GDR14G/page-1", "CS5211GDR14G")</f>
        <v>CS5211GDR14G</v>
      </c>
      <c r="B13374" s="3" t="str">
        <f>HYPERLINK("https://www.773grp.com/manufacturer/onsemi?pageNo=1241", "Onsemi")</f>
        <v>Onsemi</v>
      </c>
      <c r="C13374" s="6">
        <v>935</v>
      </c>
      <c r="D13374" s="7">
        <v>2.21</v>
      </c>
      <c r="E13374" t="s">
        <v>5</v>
      </c>
    </row>
    <row r="13375" spans="1:5" x14ac:dyDescent="0.25">
      <c r="A13375" t="str">
        <f>HYPERLINK("https://www.773grp.com/globalSearch/CS5233-3GDF8/page-1", "CS5233-3GDF8")</f>
        <v>CS5233-3GDF8</v>
      </c>
      <c r="B13375" s="3" t="str">
        <f>HYPERLINK("https://www.773grp.com/manufacturer/onsemi?pageNo=1242", "Onsemi")</f>
        <v>Onsemi</v>
      </c>
      <c r="C13375" s="6">
        <v>98</v>
      </c>
      <c r="D13375" s="7">
        <v>2.21</v>
      </c>
      <c r="E13375" t="s">
        <v>24</v>
      </c>
    </row>
    <row r="13376" spans="1:5" x14ac:dyDescent="0.25">
      <c r="A13376" t="str">
        <f>HYPERLINK("https://www.773grp.com/globalSearch/D44VH10/page-1", "D44VH10")</f>
        <v>D44VH10</v>
      </c>
      <c r="B13376" s="3" t="str">
        <f>HYPERLINK("https://www.773grp.com/manufacturer/onsemi?pageNo=1243", "Onsemi")</f>
        <v>Onsemi</v>
      </c>
      <c r="C13376" s="6">
        <v>1841</v>
      </c>
      <c r="D13376" s="7">
        <v>2.21</v>
      </c>
      <c r="E13376" t="s">
        <v>47</v>
      </c>
    </row>
    <row r="13377" spans="1:5" x14ac:dyDescent="0.25">
      <c r="A13377" t="str">
        <f>HYPERLINK("https://www.773grp.com/globalSearch/D45H11G/page-1", "D45H11G")</f>
        <v>D45H11G</v>
      </c>
      <c r="B13377" s="3" t="str">
        <f>HYPERLINK("https://www.773grp.com/manufacturer/onsemi?pageNo=1244", "Onsemi")</f>
        <v>Onsemi</v>
      </c>
      <c r="C13377" s="6">
        <v>18570</v>
      </c>
      <c r="D13377" s="7">
        <v>2.21</v>
      </c>
      <c r="E13377" t="s">
        <v>47</v>
      </c>
    </row>
    <row r="13378" spans="1:5" x14ac:dyDescent="0.25">
      <c r="A13378" t="str">
        <f>HYPERLINK("https://www.773grp.com/globalSearch/D45VH10/page-1", "D45VH10")</f>
        <v>D45VH10</v>
      </c>
      <c r="B13378" s="3" t="str">
        <f>HYPERLINK("https://www.773grp.com/manufacturer/onsemi?pageNo=1245", "Onsemi")</f>
        <v>Onsemi</v>
      </c>
      <c r="C13378" s="6">
        <v>11</v>
      </c>
      <c r="D13378" s="7">
        <v>2.21</v>
      </c>
      <c r="E13378" t="s">
        <v>47</v>
      </c>
    </row>
    <row r="13379" spans="1:5" x14ac:dyDescent="0.25">
      <c r="A13379" t="str">
        <f>HYPERLINK("https://www.773grp.com/globalSearch/IRF820/page-1", "IRF820")</f>
        <v>IRF820</v>
      </c>
      <c r="B13379" s="3" t="str">
        <f>HYPERLINK("https://www.773grp.com/manufacturer/onsemi?pageNo=1246", "Onsemi")</f>
        <v>Onsemi</v>
      </c>
      <c r="C13379" s="6">
        <v>593</v>
      </c>
      <c r="D13379" s="7">
        <v>2.21</v>
      </c>
      <c r="E13379" t="s">
        <v>84</v>
      </c>
    </row>
    <row r="13380" spans="1:5" x14ac:dyDescent="0.25">
      <c r="A13380" t="str">
        <f>HYPERLINK("https://www.773grp.com/globalSearch/LF444CN/page-1", "LF444CN")</f>
        <v>LF444CN</v>
      </c>
      <c r="B13380" s="3" t="str">
        <f>HYPERLINK("https://www.773grp.com/manufacturer/onsemi?pageNo=1247", "Onsemi")</f>
        <v>Onsemi</v>
      </c>
      <c r="C13380" s="6">
        <v>34</v>
      </c>
      <c r="D13380" s="7">
        <v>2.21</v>
      </c>
      <c r="E13380" t="s">
        <v>10</v>
      </c>
    </row>
    <row r="13381" spans="1:5" x14ac:dyDescent="0.25">
      <c r="A13381" t="str">
        <f>HYPERLINK("https://www.773grp.com/globalSearch/LM285D-2.5R2/page-1", "LM285D-2.5R2")</f>
        <v>LM285D-2.5R2</v>
      </c>
      <c r="B13381" s="3" t="str">
        <f>HYPERLINK("https://www.773grp.com/manufacturer/onsemi?pageNo=1248", "Onsemi")</f>
        <v>Onsemi</v>
      </c>
      <c r="C13381" s="6">
        <v>14000</v>
      </c>
      <c r="D13381" s="7">
        <v>2.21</v>
      </c>
      <c r="E13381" t="s">
        <v>13</v>
      </c>
    </row>
    <row r="13382" spans="1:5" x14ac:dyDescent="0.25">
      <c r="A13382" t="str">
        <f>HYPERLINK("https://www.773grp.com/globalSearch/LM2931AT-5.0G/page-1", "LM2931AT-5.0G")</f>
        <v>LM2931AT-5.0G</v>
      </c>
      <c r="B13382" s="3" t="str">
        <f>HYPERLINK("https://www.773grp.com/manufacturer/onsemi?pageNo=1249", "Onsemi")</f>
        <v>Onsemi</v>
      </c>
      <c r="C13382" s="6">
        <v>112839</v>
      </c>
      <c r="D13382" s="7">
        <v>2.21</v>
      </c>
      <c r="E13382" t="s">
        <v>15</v>
      </c>
    </row>
    <row r="13383" spans="1:5" x14ac:dyDescent="0.25">
      <c r="A13383" t="str">
        <f>HYPERLINK("https://www.773grp.com/globalSearch/LM2931D2T-5.0G/page-1", "LM2931D2T-5.0G")</f>
        <v>LM2931D2T-5.0G</v>
      </c>
      <c r="B13383" s="3" t="str">
        <f>HYPERLINK("https://www.773grp.com/manufacturer/onsemi?pageNo=1250", "Onsemi")</f>
        <v>Onsemi</v>
      </c>
      <c r="C13383" s="6">
        <v>7050</v>
      </c>
      <c r="D13383" s="7">
        <v>2.21</v>
      </c>
      <c r="E13383" t="s">
        <v>15</v>
      </c>
    </row>
    <row r="13384" spans="1:5" x14ac:dyDescent="0.25">
      <c r="A13384" t="str">
        <f>HYPERLINK("https://www.773grp.com/globalSearch/LSC1176D/page-1", "LSC1176D")</f>
        <v>LSC1176D</v>
      </c>
      <c r="B13384" s="3" t="str">
        <f>HYPERLINK("https://www.773grp.com/manufacturer/onsemi?pageNo=1251", "Onsemi")</f>
        <v>Onsemi</v>
      </c>
      <c r="C13384" s="6">
        <v>2548</v>
      </c>
      <c r="D13384" s="7">
        <v>2.21</v>
      </c>
    </row>
    <row r="13385" spans="1:5" x14ac:dyDescent="0.25">
      <c r="A13385" t="str">
        <f>HYPERLINK("https://www.773grp.com/globalSearch/LSC1176DR2/page-1", "LSC1176DR2")</f>
        <v>LSC1176DR2</v>
      </c>
      <c r="B13385" s="3" t="str">
        <f>HYPERLINK("https://www.773grp.com/manufacturer/onsemi?pageNo=1252", "Onsemi")</f>
        <v>Onsemi</v>
      </c>
      <c r="C13385" s="6">
        <v>112500</v>
      </c>
      <c r="D13385" s="7">
        <v>2.21</v>
      </c>
    </row>
    <row r="13386" spans="1:5" x14ac:dyDescent="0.25">
      <c r="A13386" t="str">
        <f>HYPERLINK("https://www.773grp.com/globalSearch/MAC12HCDG/page-1", "MAC12HCDG")</f>
        <v>MAC12HCDG</v>
      </c>
      <c r="B13386" s="3" t="str">
        <f>HYPERLINK("https://www.773grp.com/manufacturer/onsemi?pageNo=1253", "Onsemi")</f>
        <v>Onsemi</v>
      </c>
      <c r="C13386" s="6">
        <v>350</v>
      </c>
      <c r="D13386" s="7">
        <v>2.21</v>
      </c>
      <c r="E13386" t="s">
        <v>81</v>
      </c>
    </row>
    <row r="13387" spans="1:5" x14ac:dyDescent="0.25">
      <c r="A13387" t="str">
        <f>HYPERLINK("https://www.773grp.com/globalSearch/MAC12HCNG/page-1", "MAC12HCNG")</f>
        <v>MAC12HCNG</v>
      </c>
      <c r="B13387" s="3" t="str">
        <f>HYPERLINK("https://www.773grp.com/manufacturer/onsemi?pageNo=1254", "Onsemi")</f>
        <v>Onsemi</v>
      </c>
      <c r="C13387" s="6">
        <v>59</v>
      </c>
      <c r="D13387" s="7">
        <v>2.21</v>
      </c>
      <c r="E13387" t="s">
        <v>81</v>
      </c>
    </row>
    <row r="13388" spans="1:5" x14ac:dyDescent="0.25">
      <c r="A13388" t="str">
        <f>HYPERLINK("https://www.773grp.com/globalSearch/MAC12SMG/page-1", "MAC12SMG")</f>
        <v>MAC12SMG</v>
      </c>
      <c r="B13388" s="3" t="str">
        <f>HYPERLINK("https://www.773grp.com/manufacturer/onsemi?pageNo=1255", "Onsemi")</f>
        <v>Onsemi</v>
      </c>
      <c r="C13388" s="6">
        <v>78077</v>
      </c>
      <c r="D13388" s="7">
        <v>2.21</v>
      </c>
      <c r="E13388" t="s">
        <v>81</v>
      </c>
    </row>
    <row r="13389" spans="1:5" x14ac:dyDescent="0.25">
      <c r="A13389" t="str">
        <f>HYPERLINK("https://www.773grp.com/globalSearch/MAC12SNG/page-1", "MAC12SNG")</f>
        <v>MAC12SNG</v>
      </c>
      <c r="B13389" s="3" t="str">
        <f>HYPERLINK("https://www.773grp.com/manufacturer/onsemi?pageNo=1256", "Onsemi")</f>
        <v>Onsemi</v>
      </c>
      <c r="C13389" s="6">
        <v>47850</v>
      </c>
      <c r="D13389" s="7">
        <v>2.21</v>
      </c>
      <c r="E13389" t="s">
        <v>81</v>
      </c>
    </row>
    <row r="13390" spans="1:5" x14ac:dyDescent="0.25">
      <c r="A13390" t="str">
        <f>HYPERLINK("https://www.773grp.com/globalSearch/MAC212A6FP/page-1", "MAC212A6FP")</f>
        <v>MAC212A6FP</v>
      </c>
      <c r="B13390" s="3" t="str">
        <f>HYPERLINK("https://www.773grp.com/manufacturer/onsemi?pageNo=1257", "Onsemi")</f>
        <v>Onsemi</v>
      </c>
      <c r="C13390" s="6">
        <v>7587</v>
      </c>
      <c r="D13390" s="7">
        <v>2.21</v>
      </c>
      <c r="E13390" t="s">
        <v>81</v>
      </c>
    </row>
    <row r="13391" spans="1:5" x14ac:dyDescent="0.25">
      <c r="A13391" t="str">
        <f>HYPERLINK("https://www.773grp.com/globalSearch/MAC223-0008/page-1", "MAC223-0008")</f>
        <v>MAC223-0008</v>
      </c>
      <c r="B13391" s="3" t="str">
        <f>HYPERLINK("https://www.773grp.com/manufacturer/onsemi?pageNo=1258", "Onsemi")</f>
        <v>Onsemi</v>
      </c>
      <c r="C13391" s="6">
        <v>11950</v>
      </c>
      <c r="D13391" s="7">
        <v>2.21</v>
      </c>
    </row>
    <row r="13392" spans="1:5" x14ac:dyDescent="0.25">
      <c r="A13392" t="str">
        <f>HYPERLINK("https://www.773grp.com/globalSearch/MAC223-008/page-1", "MAC223-008")</f>
        <v>MAC223-008</v>
      </c>
      <c r="B13392" s="3" t="str">
        <f>HYPERLINK("https://www.773grp.com/manufacturer/onsemi?pageNo=1259", "Onsemi")</f>
        <v>Onsemi</v>
      </c>
      <c r="C13392" s="6">
        <v>850</v>
      </c>
      <c r="D13392" s="7">
        <v>2.21</v>
      </c>
    </row>
    <row r="13393" spans="1:5" x14ac:dyDescent="0.25">
      <c r="A13393" t="str">
        <f>HYPERLINK("https://www.773grp.com/globalSearch/MBR10100G/page-1", "MBR10100G")</f>
        <v>MBR10100G</v>
      </c>
      <c r="B13393" s="3" t="str">
        <f>HYPERLINK("https://www.773grp.com/manufacturer/onsemi?pageNo=1260", "Onsemi")</f>
        <v>Onsemi</v>
      </c>
      <c r="C13393" s="6">
        <v>259815</v>
      </c>
      <c r="D13393" s="7">
        <v>2.21</v>
      </c>
      <c r="E13393" t="s">
        <v>82</v>
      </c>
    </row>
    <row r="13394" spans="1:5" x14ac:dyDescent="0.25">
      <c r="A13394" t="str">
        <f>HYPERLINK("https://www.773grp.com/globalSearch/MBR1035/page-1", "MBR1035")</f>
        <v>MBR1035</v>
      </c>
      <c r="B13394" s="3" t="str">
        <f>HYPERLINK("https://www.773grp.com/manufacturer/onsemi?pageNo=1261", "Onsemi")</f>
        <v>Onsemi</v>
      </c>
      <c r="C13394" s="6">
        <v>300</v>
      </c>
      <c r="D13394" s="7">
        <v>2.21</v>
      </c>
      <c r="E13394" t="s">
        <v>82</v>
      </c>
    </row>
    <row r="13395" spans="1:5" x14ac:dyDescent="0.25">
      <c r="A13395" t="str">
        <f>HYPERLINK("https://www.773grp.com/globalSearch/MBR1080G/page-1", "MBR1080G")</f>
        <v>MBR1080G</v>
      </c>
      <c r="B13395" s="3" t="str">
        <f>HYPERLINK("https://www.773grp.com/manufacturer/onsemi?pageNo=1262", "Onsemi")</f>
        <v>Onsemi</v>
      </c>
      <c r="C13395" s="6">
        <v>50</v>
      </c>
      <c r="D13395" s="7">
        <v>2.21</v>
      </c>
    </row>
    <row r="13396" spans="1:5" x14ac:dyDescent="0.25">
      <c r="A13396" t="str">
        <f>HYPERLINK("https://www.773grp.com/globalSearch/MBR1090G/page-1", "MBR1090G")</f>
        <v>MBR1090G</v>
      </c>
      <c r="B13396" s="3" t="str">
        <f>HYPERLINK("https://www.773grp.com/manufacturer/onsemi?pageNo=1263", "Onsemi")</f>
        <v>Onsemi</v>
      </c>
      <c r="C13396" s="6">
        <v>750</v>
      </c>
      <c r="D13396" s="7">
        <v>2.21</v>
      </c>
    </row>
    <row r="13397" spans="1:5" x14ac:dyDescent="0.25">
      <c r="A13397" t="str">
        <f>HYPERLINK("https://www.773grp.com/globalSearch/MBR1635G/page-1", "MBR1635G")</f>
        <v>MBR1635G</v>
      </c>
      <c r="B13397" s="3" t="str">
        <f>HYPERLINK("https://www.773grp.com/manufacturer/onsemi?pageNo=1264", "Onsemi")</f>
        <v>Onsemi</v>
      </c>
      <c r="C13397" s="6">
        <v>1504</v>
      </c>
      <c r="D13397" s="7">
        <v>2.21</v>
      </c>
    </row>
    <row r="13398" spans="1:5" x14ac:dyDescent="0.25">
      <c r="A13398" t="str">
        <f>HYPERLINK("https://www.773grp.com/globalSearch/MBR1645G/page-1", "MBR1645G")</f>
        <v>MBR1645G</v>
      </c>
      <c r="B13398" s="3" t="str">
        <f>HYPERLINK("https://www.773grp.com/manufacturer/onsemi?pageNo=1265", "Onsemi")</f>
        <v>Onsemi</v>
      </c>
      <c r="C13398" s="6">
        <v>825</v>
      </c>
      <c r="D13398" s="7">
        <v>2.21</v>
      </c>
      <c r="E13398" t="s">
        <v>82</v>
      </c>
    </row>
    <row r="13399" spans="1:5" x14ac:dyDescent="0.25">
      <c r="A13399" t="str">
        <f>HYPERLINK("https://www.773grp.com/globalSearch/MBRB1045G/page-1", "MBRB1045G")</f>
        <v>MBRB1045G</v>
      </c>
      <c r="B13399" s="3" t="str">
        <f>HYPERLINK("https://www.773grp.com/manufacturer/onsemi?pageNo=1266", "Onsemi")</f>
        <v>Onsemi</v>
      </c>
      <c r="C13399" s="6">
        <v>1825</v>
      </c>
      <c r="D13399" s="7">
        <v>2.21</v>
      </c>
      <c r="E13399" t="s">
        <v>82</v>
      </c>
    </row>
    <row r="13400" spans="1:5" x14ac:dyDescent="0.25">
      <c r="A13400" t="str">
        <f>HYPERLINK("https://www.773grp.com/globalSearch/MBRB1045T4G/page-1", "MBRB1045T4G")</f>
        <v>MBRB1045T4G</v>
      </c>
      <c r="B13400" s="3" t="str">
        <f>HYPERLINK("https://www.773grp.com/manufacturer/onsemi?pageNo=1267", "Onsemi")</f>
        <v>Onsemi</v>
      </c>
      <c r="C13400" s="6">
        <v>30290</v>
      </c>
      <c r="D13400" s="7">
        <v>2.21</v>
      </c>
      <c r="E13400" t="s">
        <v>82</v>
      </c>
    </row>
    <row r="13401" spans="1:5" x14ac:dyDescent="0.25">
      <c r="A13401" t="str">
        <f>HYPERLINK("https://www.773grp.com/globalSearch/MBRB1545CTG/page-1", "MBRB1545CTG")</f>
        <v>MBRB1545CTG</v>
      </c>
      <c r="B13401" s="3" t="str">
        <f>HYPERLINK("https://www.773grp.com/manufacturer/onsemi?pageNo=1268", "Onsemi")</f>
        <v>Onsemi</v>
      </c>
      <c r="C13401" s="6">
        <v>18250</v>
      </c>
      <c r="D13401" s="7">
        <v>2.21</v>
      </c>
    </row>
    <row r="13402" spans="1:5" x14ac:dyDescent="0.25">
      <c r="A13402" t="str">
        <f>HYPERLINK("https://www.773grp.com/globalSearch/MBRB1545CTT4G/page-1", "MBRB1545CTT4G")</f>
        <v>MBRB1545CTT4G</v>
      </c>
      <c r="B13402" s="3" t="str">
        <f>HYPERLINK("https://www.773grp.com/manufacturer/onsemi?pageNo=1269", "Onsemi")</f>
        <v>Onsemi</v>
      </c>
      <c r="C13402" s="6">
        <v>2200</v>
      </c>
      <c r="D13402" s="7">
        <v>2.21</v>
      </c>
    </row>
    <row r="13403" spans="1:5" x14ac:dyDescent="0.25">
      <c r="A13403" t="str">
        <f>HYPERLINK("https://www.773grp.com/globalSearch/MC33350SN-7T1/page-1", "MC33350SN-7T1")</f>
        <v>MC33350SN-7T1</v>
      </c>
      <c r="B13403" s="3" t="str">
        <f>HYPERLINK("https://www.773grp.com/manufacturer/onsemi?pageNo=1270", "Onsemi")</f>
        <v>Onsemi</v>
      </c>
      <c r="C13403" s="6">
        <v>225000</v>
      </c>
      <c r="D13403" s="7">
        <v>2.21</v>
      </c>
    </row>
    <row r="13404" spans="1:5" x14ac:dyDescent="0.25">
      <c r="A13404" t="str">
        <f>HYPERLINK("https://www.773grp.com/globalSearch/MC34268DG/page-1", "MC34268DG")</f>
        <v>MC34268DG</v>
      </c>
      <c r="B13404" s="3" t="str">
        <f>HYPERLINK("https://www.773grp.com/manufacturer/onsemi?pageNo=1271", "Onsemi")</f>
        <v>Onsemi</v>
      </c>
      <c r="C13404" s="6">
        <v>1779</v>
      </c>
      <c r="D13404" s="7">
        <v>2.21</v>
      </c>
      <c r="E13404" t="s">
        <v>20</v>
      </c>
    </row>
    <row r="13405" spans="1:5" x14ac:dyDescent="0.25">
      <c r="A13405" t="str">
        <f>HYPERLINK("https://www.773grp.com/globalSearch/MC34268DR2G/page-1", "MC34268DR2G")</f>
        <v>MC34268DR2G</v>
      </c>
      <c r="B13405" s="3" t="str">
        <f>HYPERLINK("https://www.773grp.com/manufacturer/onsemi?pageNo=1272", "Onsemi")</f>
        <v>Onsemi</v>
      </c>
      <c r="C13405" s="6">
        <v>2357</v>
      </c>
      <c r="D13405" s="7">
        <v>2.21</v>
      </c>
      <c r="E13405" t="s">
        <v>20</v>
      </c>
    </row>
    <row r="13406" spans="1:5" x14ac:dyDescent="0.25">
      <c r="A13406" t="str">
        <f>HYPERLINK("https://www.773grp.com/globalSearch/MC44603AP/page-1", "MC44603AP")</f>
        <v>MC44603AP</v>
      </c>
      <c r="B13406" s="3" t="str">
        <f>HYPERLINK("https://www.773grp.com/manufacturer/onsemi?pageNo=1273", "Onsemi")</f>
        <v>Onsemi</v>
      </c>
      <c r="C13406" s="6">
        <v>62</v>
      </c>
      <c r="D13406" s="7">
        <v>2.21</v>
      </c>
      <c r="E13406" t="s">
        <v>5</v>
      </c>
    </row>
    <row r="13407" spans="1:5" x14ac:dyDescent="0.25">
      <c r="A13407" t="str">
        <f>HYPERLINK("https://www.773grp.com/globalSearch/MC74F365D/page-1", "MC74F365D")</f>
        <v>MC74F365D</v>
      </c>
      <c r="B13407" s="3" t="str">
        <f>HYPERLINK("https://www.773grp.com/manufacturer/onsemi?pageNo=1274", "Onsemi")</f>
        <v>Onsemi</v>
      </c>
      <c r="C13407" s="6">
        <v>4137</v>
      </c>
      <c r="D13407" s="7">
        <v>2.21</v>
      </c>
      <c r="E13407" t="s">
        <v>11</v>
      </c>
    </row>
    <row r="13408" spans="1:5" x14ac:dyDescent="0.25">
      <c r="A13408" t="str">
        <f>HYPERLINK("https://www.773grp.com/globalSearch/MC74F365DR2/page-1", "MC74F365DR2")</f>
        <v>MC74F365DR2</v>
      </c>
      <c r="B13408" s="3" t="str">
        <f>HYPERLINK("https://www.773grp.com/manufacturer/onsemi?pageNo=1275", "Onsemi")</f>
        <v>Onsemi</v>
      </c>
      <c r="C13408" s="6">
        <v>5000</v>
      </c>
      <c r="D13408" s="7">
        <v>2.21</v>
      </c>
      <c r="E13408" t="s">
        <v>11</v>
      </c>
    </row>
    <row r="13409" spans="1:5" x14ac:dyDescent="0.25">
      <c r="A13409" t="str">
        <f>HYPERLINK("https://www.773grp.com/globalSearch/MC74F365N/page-1", "MC74F365N")</f>
        <v>MC74F365N</v>
      </c>
      <c r="B13409" s="3" t="str">
        <f>HYPERLINK("https://www.773grp.com/manufacturer/onsemi?pageNo=1276", "Onsemi")</f>
        <v>Onsemi</v>
      </c>
      <c r="C13409" s="6">
        <v>224</v>
      </c>
      <c r="D13409" s="7">
        <v>2.21</v>
      </c>
      <c r="E13409" t="s">
        <v>11</v>
      </c>
    </row>
    <row r="13410" spans="1:5" x14ac:dyDescent="0.25">
      <c r="A13410" t="str">
        <f>HYPERLINK("https://www.773grp.com/globalSearch/MC74F367N/page-1", "MC74F367N")</f>
        <v>MC74F367N</v>
      </c>
      <c r="B13410" s="3" t="str">
        <f>HYPERLINK("https://www.773grp.com/manufacturer/onsemi?pageNo=1277", "Onsemi")</f>
        <v>Onsemi</v>
      </c>
      <c r="C13410" s="6">
        <v>1721</v>
      </c>
      <c r="D13410" s="7">
        <v>2.21</v>
      </c>
      <c r="E13410" t="s">
        <v>11</v>
      </c>
    </row>
    <row r="13411" spans="1:5" x14ac:dyDescent="0.25">
      <c r="A13411" t="str">
        <f>HYPERLINK("https://www.773grp.com/globalSearch/MC74F368N/page-1", "MC74F368N")</f>
        <v>MC74F368N</v>
      </c>
      <c r="B13411" s="3" t="str">
        <f>HYPERLINK("https://www.773grp.com/manufacturer/onsemi?pageNo=1278", "Onsemi")</f>
        <v>Onsemi</v>
      </c>
      <c r="C13411" s="6">
        <v>4978</v>
      </c>
      <c r="D13411" s="7">
        <v>2.21</v>
      </c>
      <c r="E13411" t="s">
        <v>11</v>
      </c>
    </row>
    <row r="13412" spans="1:5" x14ac:dyDescent="0.25">
      <c r="A13412" t="str">
        <f>HYPERLINK("https://www.773grp.com/globalSearch/MC74F377N/page-1", "MC74F377N")</f>
        <v>MC74F377N</v>
      </c>
      <c r="B13412" s="3" t="str">
        <f>HYPERLINK("https://www.773grp.com/manufacturer/onsemi?pageNo=1279", "Onsemi")</f>
        <v>Onsemi</v>
      </c>
      <c r="C13412" s="6">
        <v>139</v>
      </c>
      <c r="D13412" s="7">
        <v>2.21</v>
      </c>
      <c r="E13412" t="s">
        <v>31</v>
      </c>
    </row>
    <row r="13413" spans="1:5" x14ac:dyDescent="0.25">
      <c r="A13413" t="str">
        <f>HYPERLINK("https://www.773grp.com/globalSearch/MC74F533DW/page-1", "MC74F533DW")</f>
        <v>MC74F533DW</v>
      </c>
      <c r="B13413" s="3" t="str">
        <f>HYPERLINK("https://www.773grp.com/manufacturer/onsemi?pageNo=1280", "Onsemi")</f>
        <v>Onsemi</v>
      </c>
      <c r="C13413" s="6">
        <v>1910</v>
      </c>
      <c r="D13413" s="7">
        <v>2.21</v>
      </c>
      <c r="E13413" t="s">
        <v>11</v>
      </c>
    </row>
    <row r="13414" spans="1:5" x14ac:dyDescent="0.25">
      <c r="A13414" t="str">
        <f>HYPERLINK("https://www.773grp.com/globalSearch/MC74F533DWR2/page-1", "MC74F533DWR2")</f>
        <v>MC74F533DWR2</v>
      </c>
      <c r="B13414" s="3" t="str">
        <f>HYPERLINK("https://www.773grp.com/manufacturer/onsemi?pageNo=1281", "Onsemi")</f>
        <v>Onsemi</v>
      </c>
      <c r="C13414" s="6">
        <v>3000</v>
      </c>
      <c r="D13414" s="7">
        <v>2.21</v>
      </c>
      <c r="E13414" t="s">
        <v>11</v>
      </c>
    </row>
    <row r="13415" spans="1:5" x14ac:dyDescent="0.25">
      <c r="A13415" t="str">
        <f>HYPERLINK("https://www.773grp.com/globalSearch/MC74F533M/page-1", "MC74F533M")</f>
        <v>MC74F533M</v>
      </c>
      <c r="B13415" s="3" t="str">
        <f>HYPERLINK("https://www.773grp.com/manufacturer/onsemi?pageNo=1282", "Onsemi")</f>
        <v>Onsemi</v>
      </c>
      <c r="C13415" s="6">
        <v>2240</v>
      </c>
      <c r="D13415" s="7">
        <v>2.21</v>
      </c>
    </row>
    <row r="13416" spans="1:5" x14ac:dyDescent="0.25">
      <c r="A13416" t="str">
        <f>HYPERLINK("https://www.773grp.com/globalSearch/MC74F534DW/page-1", "MC74F534DW")</f>
        <v>MC74F534DW</v>
      </c>
      <c r="B13416" s="3" t="str">
        <f>HYPERLINK("https://www.773grp.com/manufacturer/onsemi?pageNo=1283", "Onsemi")</f>
        <v>Onsemi</v>
      </c>
      <c r="C13416" s="6">
        <v>114</v>
      </c>
      <c r="D13416" s="7">
        <v>2.21</v>
      </c>
      <c r="E13416" t="s">
        <v>11</v>
      </c>
    </row>
    <row r="13417" spans="1:5" x14ac:dyDescent="0.25">
      <c r="A13417" t="str">
        <f>HYPERLINK("https://www.773grp.com/globalSearch/MC74F534DWR2/page-1", "MC74F534DWR2")</f>
        <v>MC74F534DWR2</v>
      </c>
      <c r="B13417" s="3" t="str">
        <f>HYPERLINK("https://www.773grp.com/manufacturer/onsemi?pageNo=1284", "Onsemi")</f>
        <v>Onsemi</v>
      </c>
      <c r="C13417" s="6">
        <v>2000</v>
      </c>
      <c r="D13417" s="7">
        <v>2.21</v>
      </c>
      <c r="E13417" t="s">
        <v>11</v>
      </c>
    </row>
    <row r="13418" spans="1:5" x14ac:dyDescent="0.25">
      <c r="A13418" t="str">
        <f>HYPERLINK("https://www.773grp.com/globalSearch/MC74F534M/page-1", "MC74F534M")</f>
        <v>MC74F534M</v>
      </c>
      <c r="B13418" s="3" t="str">
        <f>HYPERLINK("https://www.773grp.com/manufacturer/onsemi?pageNo=1285", "Onsemi")</f>
        <v>Onsemi</v>
      </c>
      <c r="C13418" s="6">
        <v>1440</v>
      </c>
      <c r="D13418" s="7">
        <v>2.21</v>
      </c>
    </row>
    <row r="13419" spans="1:5" x14ac:dyDescent="0.25">
      <c r="A13419" t="str">
        <f>HYPERLINK("https://www.773grp.com/globalSearch/MC74F534ML1/page-1", "MC74F534ML1")</f>
        <v>MC74F534ML1</v>
      </c>
      <c r="B13419" s="3" t="str">
        <f>HYPERLINK("https://www.773grp.com/manufacturer/onsemi?pageNo=1286", "Onsemi")</f>
        <v>Onsemi</v>
      </c>
      <c r="C13419" s="6">
        <v>2000</v>
      </c>
      <c r="D13419" s="7">
        <v>2.21</v>
      </c>
    </row>
    <row r="13420" spans="1:5" x14ac:dyDescent="0.25">
      <c r="A13420" t="str">
        <f>HYPERLINK("https://www.773grp.com/globalSearch/MC74F534N/page-1", "MC74F534N")</f>
        <v>MC74F534N</v>
      </c>
      <c r="B13420" s="3" t="str">
        <f>HYPERLINK("https://www.773grp.com/manufacturer/onsemi?pageNo=1287", "Onsemi")</f>
        <v>Onsemi</v>
      </c>
      <c r="C13420" s="6">
        <v>2209</v>
      </c>
      <c r="D13420" s="7">
        <v>2.21</v>
      </c>
      <c r="E13420" t="s">
        <v>11</v>
      </c>
    </row>
    <row r="13421" spans="1:5" x14ac:dyDescent="0.25">
      <c r="A13421" t="str">
        <f>HYPERLINK("https://www.773grp.com/globalSearch/MC74F623N/page-1", "MC74F623N")</f>
        <v>MC74F623N</v>
      </c>
      <c r="B13421" s="3" t="str">
        <f>HYPERLINK("https://www.773grp.com/manufacturer/onsemi?pageNo=1288", "Onsemi")</f>
        <v>Onsemi</v>
      </c>
      <c r="C13421" s="6">
        <v>5378</v>
      </c>
      <c r="D13421" s="7">
        <v>2.21</v>
      </c>
      <c r="E13421" t="s">
        <v>11</v>
      </c>
    </row>
    <row r="13422" spans="1:5" x14ac:dyDescent="0.25">
      <c r="A13422" t="str">
        <f>HYPERLINK("https://www.773grp.com/globalSearch/MJF18204/page-1", "MJF18204")</f>
        <v>MJF18204</v>
      </c>
      <c r="B13422" s="3" t="str">
        <f>HYPERLINK("https://www.773grp.com/manufacturer/onsemi?pageNo=1289", "Onsemi")</f>
        <v>Onsemi</v>
      </c>
      <c r="C13422" s="6">
        <v>20</v>
      </c>
      <c r="D13422" s="7">
        <v>2.21</v>
      </c>
      <c r="E13422" t="s">
        <v>47</v>
      </c>
    </row>
    <row r="13423" spans="1:5" x14ac:dyDescent="0.25">
      <c r="A13423" t="str">
        <f>HYPERLINK("https://www.773grp.com/globalSearch/MLD1N06CLT4/page-1", "MLD1N06CLT4")</f>
        <v>MLD1N06CLT4</v>
      </c>
      <c r="B13423" s="3" t="str">
        <f>HYPERLINK("https://www.773grp.com/manufacturer/onsemi?pageNo=1290", "Onsemi")</f>
        <v>Onsemi</v>
      </c>
      <c r="C13423" s="6">
        <v>7500</v>
      </c>
      <c r="D13423" s="7">
        <v>2.21</v>
      </c>
      <c r="E13423" t="s">
        <v>84</v>
      </c>
    </row>
    <row r="13424" spans="1:5" x14ac:dyDescent="0.25">
      <c r="A13424" t="str">
        <f>HYPERLINK("https://www.773grp.com/globalSearch/MMDF2N02ER2G/page-1", "MMDF2N02ER2G")</f>
        <v>MMDF2N02ER2G</v>
      </c>
      <c r="B13424" s="3" t="str">
        <f>HYPERLINK("https://www.773grp.com/manufacturer/onsemi?pageNo=1291", "Onsemi")</f>
        <v>Onsemi</v>
      </c>
      <c r="C13424" s="6">
        <v>1089</v>
      </c>
      <c r="D13424" s="7">
        <v>2.21</v>
      </c>
      <c r="E13424" t="s">
        <v>84</v>
      </c>
    </row>
    <row r="13425" spans="1:5" x14ac:dyDescent="0.25">
      <c r="A13425" t="str">
        <f>HYPERLINK("https://www.773grp.com/globalSearch/NCP1000PG/page-1", "NCP1000PG")</f>
        <v>NCP1000PG</v>
      </c>
      <c r="B13425" s="3" t="str">
        <f>HYPERLINK("https://www.773grp.com/manufacturer/onsemi?pageNo=1292", "Onsemi")</f>
        <v>Onsemi</v>
      </c>
      <c r="C13425" s="6">
        <v>6650</v>
      </c>
      <c r="D13425" s="7">
        <v>2.21</v>
      </c>
      <c r="E13425" t="s">
        <v>5</v>
      </c>
    </row>
    <row r="13426" spans="1:5" x14ac:dyDescent="0.25">
      <c r="A13426" t="str">
        <f>HYPERLINK("https://www.773grp.com/globalSearch/NCP1050P100G/page-1", "NCP1050P100G")</f>
        <v>NCP1050P100G</v>
      </c>
      <c r="B13426" s="3" t="str">
        <f>HYPERLINK("https://www.773grp.com/manufacturer/onsemi?pageNo=1293", "Onsemi")</f>
        <v>Onsemi</v>
      </c>
      <c r="C13426" s="6">
        <v>3840</v>
      </c>
      <c r="D13426" s="7">
        <v>2.21</v>
      </c>
      <c r="E13426" t="s">
        <v>5</v>
      </c>
    </row>
    <row r="13427" spans="1:5" x14ac:dyDescent="0.25">
      <c r="A13427" t="str">
        <f>HYPERLINK("https://www.773grp.com/globalSearch/NCP1050P136G/page-1", "NCP1050P136G")</f>
        <v>NCP1050P136G</v>
      </c>
      <c r="B13427" s="3" t="str">
        <f>HYPERLINK("https://www.773grp.com/manufacturer/onsemi?pageNo=1294", "Onsemi")</f>
        <v>Onsemi</v>
      </c>
      <c r="C13427" s="6">
        <v>5348</v>
      </c>
      <c r="D13427" s="7">
        <v>2.21</v>
      </c>
      <c r="E13427" t="s">
        <v>5</v>
      </c>
    </row>
    <row r="13428" spans="1:5" x14ac:dyDescent="0.25">
      <c r="A13428" t="str">
        <f>HYPERLINK("https://www.773grp.com/globalSearch/NCP1050P44G/page-1", "NCP1050P44G")</f>
        <v>NCP1050P44G</v>
      </c>
      <c r="B13428" s="3" t="str">
        <f>HYPERLINK("https://www.773grp.com/manufacturer/onsemi?pageNo=1295", "Onsemi")</f>
        <v>Onsemi</v>
      </c>
      <c r="C13428" s="6">
        <v>6395</v>
      </c>
      <c r="D13428" s="7">
        <v>2.21</v>
      </c>
      <c r="E13428" t="s">
        <v>5</v>
      </c>
    </row>
    <row r="13429" spans="1:5" x14ac:dyDescent="0.25">
      <c r="A13429" t="str">
        <f>HYPERLINK("https://www.773grp.com/globalSearch/NCP1051P100G/page-1", "NCP1051P100G")</f>
        <v>NCP1051P100G</v>
      </c>
      <c r="B13429" s="3" t="str">
        <f>HYPERLINK("https://www.773grp.com/manufacturer/onsemi?pageNo=1296", "Onsemi")</f>
        <v>Onsemi</v>
      </c>
      <c r="C13429" s="6">
        <v>1549</v>
      </c>
      <c r="D13429" s="7">
        <v>2.21</v>
      </c>
      <c r="E13429" t="s">
        <v>5</v>
      </c>
    </row>
    <row r="13430" spans="1:5" x14ac:dyDescent="0.25">
      <c r="A13430" t="str">
        <f>HYPERLINK("https://www.773grp.com/globalSearch/NCP1051P136G/page-1", "NCP1051P136G")</f>
        <v>NCP1051P136G</v>
      </c>
      <c r="B13430" s="3" t="str">
        <f>HYPERLINK("https://www.773grp.com/manufacturer/onsemi?pageNo=1297", "Onsemi")</f>
        <v>Onsemi</v>
      </c>
      <c r="C13430" s="6">
        <v>2097</v>
      </c>
      <c r="D13430" s="7">
        <v>2.21</v>
      </c>
    </row>
    <row r="13431" spans="1:5" x14ac:dyDescent="0.25">
      <c r="A13431" t="str">
        <f>HYPERLINK("https://www.773grp.com/globalSearch/NCP1051P44G/page-1", "NCP1051P44G")</f>
        <v>NCP1051P44G</v>
      </c>
      <c r="B13431" s="3" t="str">
        <f>HYPERLINK("https://www.773grp.com/manufacturer/onsemi?pageNo=1298", "Onsemi")</f>
        <v>Onsemi</v>
      </c>
      <c r="C13431" s="6">
        <v>1000</v>
      </c>
      <c r="D13431" s="7">
        <v>2.21</v>
      </c>
    </row>
    <row r="13432" spans="1:5" x14ac:dyDescent="0.25">
      <c r="A13432" t="str">
        <f>HYPERLINK("https://www.773grp.com/globalSearch/NCP1052P100G/page-1", "NCP1052P100G")</f>
        <v>NCP1052P100G</v>
      </c>
      <c r="B13432" s="3" t="str">
        <f>HYPERLINK("https://www.773grp.com/manufacturer/onsemi?pageNo=1299", "Onsemi")</f>
        <v>Onsemi</v>
      </c>
      <c r="C13432" s="6">
        <v>1890</v>
      </c>
      <c r="D13432" s="7">
        <v>2.21</v>
      </c>
    </row>
    <row r="13433" spans="1:5" x14ac:dyDescent="0.25">
      <c r="A13433" t="str">
        <f>HYPERLINK("https://www.773grp.com/globalSearch/NCP1052P136G/page-1", "NCP1052P136G")</f>
        <v>NCP1052P136G</v>
      </c>
      <c r="B13433" s="3" t="str">
        <f>HYPERLINK("https://www.773grp.com/manufacturer/onsemi?pageNo=1300", "Onsemi")</f>
        <v>Onsemi</v>
      </c>
      <c r="C13433" s="6">
        <v>7175</v>
      </c>
      <c r="D13433" s="7">
        <v>2.21</v>
      </c>
      <c r="E13433" t="s">
        <v>5</v>
      </c>
    </row>
    <row r="13434" spans="1:5" x14ac:dyDescent="0.25">
      <c r="A13434" t="str">
        <f>HYPERLINK("https://www.773grp.com/globalSearch/NCP1052P44G/page-1", "NCP1052P44G")</f>
        <v>NCP1052P44G</v>
      </c>
      <c r="B13434" s="3" t="str">
        <f>HYPERLINK("https://www.773grp.com/manufacturer/onsemi?pageNo=1301", "Onsemi")</f>
        <v>Onsemi</v>
      </c>
      <c r="C13434" s="6">
        <v>2485</v>
      </c>
      <c r="D13434" s="7">
        <v>2.21</v>
      </c>
      <c r="E13434" t="s">
        <v>5</v>
      </c>
    </row>
    <row r="13435" spans="1:5" x14ac:dyDescent="0.25">
      <c r="A13435" t="str">
        <f>HYPERLINK("https://www.773grp.com/globalSearch/NCP1216AD65R2G/page-1", "NCP1216AD65R2G")</f>
        <v>NCP1216AD65R2G</v>
      </c>
      <c r="B13435" s="3" t="str">
        <f>HYPERLINK("https://www.773grp.com/manufacturer/onsemi?pageNo=1302", "Onsemi")</f>
        <v>Onsemi</v>
      </c>
      <c r="C13435" s="6">
        <v>53291</v>
      </c>
      <c r="D13435" s="7">
        <v>2.21</v>
      </c>
      <c r="E13435" t="s">
        <v>5</v>
      </c>
    </row>
    <row r="13436" spans="1:5" x14ac:dyDescent="0.25">
      <c r="A13436" t="str">
        <f>HYPERLINK("https://www.773grp.com/globalSearch/NCP1218AD65R2G/page-1", "NCP1218AD65R2G")</f>
        <v>NCP1218AD65R2G</v>
      </c>
      <c r="B13436" s="3" t="str">
        <f>HYPERLINK("https://www.773grp.com/manufacturer/onsemi?pageNo=1303", "Onsemi")</f>
        <v>Onsemi</v>
      </c>
      <c r="C13436" s="6">
        <v>25837</v>
      </c>
      <c r="D13436" s="7">
        <v>2.21</v>
      </c>
      <c r="E13436" t="s">
        <v>5</v>
      </c>
    </row>
    <row r="13437" spans="1:5" x14ac:dyDescent="0.25">
      <c r="A13437" t="str">
        <f>HYPERLINK("https://www.773grp.com/globalSearch/NCP1219AD100R2G/page-1", "NCP1219AD100R2G")</f>
        <v>NCP1219AD100R2G</v>
      </c>
      <c r="B13437" s="3" t="str">
        <f>HYPERLINK("https://www.773grp.com/manufacturer/onsemi?pageNo=1304", "Onsemi")</f>
        <v>Onsemi</v>
      </c>
      <c r="C13437" s="6">
        <v>4170</v>
      </c>
      <c r="D13437" s="7">
        <v>2.21</v>
      </c>
      <c r="E13437" t="s">
        <v>5</v>
      </c>
    </row>
    <row r="13438" spans="1:5" x14ac:dyDescent="0.25">
      <c r="A13438" t="str">
        <f>HYPERLINK("https://www.773grp.com/globalSearch/NCP1230AP100G/page-1", "NCP1230AP100G")</f>
        <v>NCP1230AP100G</v>
      </c>
      <c r="B13438" s="3" t="str">
        <f>HYPERLINK("https://www.773grp.com/manufacturer/onsemi?pageNo=1305", "Onsemi")</f>
        <v>Onsemi</v>
      </c>
      <c r="C13438" s="6">
        <v>2450</v>
      </c>
      <c r="D13438" s="7">
        <v>2.21</v>
      </c>
      <c r="E13438" t="s">
        <v>5</v>
      </c>
    </row>
    <row r="13439" spans="1:5" x14ac:dyDescent="0.25">
      <c r="A13439" t="str">
        <f>HYPERLINK("https://www.773grp.com/globalSearch/NCP1230AP65G/page-1", "NCP1230AP65G")</f>
        <v>NCP1230AP65G</v>
      </c>
      <c r="B13439" s="3" t="str">
        <f>HYPERLINK("https://www.773grp.com/manufacturer/onsemi?pageNo=1306", "Onsemi")</f>
        <v>Onsemi</v>
      </c>
      <c r="C13439" s="6">
        <v>5550</v>
      </c>
      <c r="D13439" s="7">
        <v>2.21</v>
      </c>
      <c r="E13439" t="s">
        <v>5</v>
      </c>
    </row>
    <row r="13440" spans="1:5" x14ac:dyDescent="0.25">
      <c r="A13440" t="str">
        <f>HYPERLINK("https://www.773grp.com/globalSearch/NCP1230P100/page-1", "NCP1230P100")</f>
        <v>NCP1230P100</v>
      </c>
      <c r="B13440" s="3" t="str">
        <f>HYPERLINK("https://www.773grp.com/manufacturer/onsemi?pageNo=1307", "Onsemi")</f>
        <v>Onsemi</v>
      </c>
      <c r="C13440" s="6">
        <v>28000</v>
      </c>
      <c r="D13440" s="7">
        <v>2.21</v>
      </c>
      <c r="E13440" t="s">
        <v>5</v>
      </c>
    </row>
    <row r="13441" spans="1:5" x14ac:dyDescent="0.25">
      <c r="A13441" t="str">
        <f>HYPERLINK("https://www.773grp.com/globalSearch/NCP1230P133/page-1", "NCP1230P133")</f>
        <v>NCP1230P133</v>
      </c>
      <c r="B13441" s="3" t="str">
        <f>HYPERLINK("https://www.773grp.com/manufacturer/onsemi?pageNo=1308", "Onsemi")</f>
        <v>Onsemi</v>
      </c>
      <c r="C13441" s="6">
        <v>10850</v>
      </c>
      <c r="D13441" s="7">
        <v>2.21</v>
      </c>
      <c r="E13441" t="s">
        <v>5</v>
      </c>
    </row>
    <row r="13442" spans="1:5" x14ac:dyDescent="0.25">
      <c r="A13442" t="str">
        <f>HYPERLINK("https://www.773grp.com/globalSearch/NCP1271D100R2GH/page-1", "NCP1271D100R2GH")</f>
        <v>NCP1271D100R2GH</v>
      </c>
      <c r="B13442" s="3" t="str">
        <f>HYPERLINK("https://www.773grp.com/manufacturer/onsemi?pageNo=1309", "Onsemi")</f>
        <v>Onsemi</v>
      </c>
      <c r="C13442" s="6">
        <v>5470</v>
      </c>
      <c r="D13442" s="7">
        <v>2.21</v>
      </c>
    </row>
    <row r="13443" spans="1:5" x14ac:dyDescent="0.25">
      <c r="A13443" t="str">
        <f>HYPERLINK("https://www.773grp.com/globalSearch/NCP1271D65R2GH/page-1", "NCP1271D65R2GH")</f>
        <v>NCP1271D65R2GH</v>
      </c>
      <c r="B13443" s="3" t="str">
        <f>HYPERLINK("https://www.773grp.com/manufacturer/onsemi?pageNo=1310", "Onsemi")</f>
        <v>Onsemi</v>
      </c>
      <c r="C13443" s="6">
        <v>2500</v>
      </c>
      <c r="D13443" s="7">
        <v>2.21</v>
      </c>
    </row>
    <row r="13444" spans="1:5" x14ac:dyDescent="0.25">
      <c r="A13444" t="str">
        <f>HYPERLINK("https://www.773grp.com/globalSearch/NCP1308DR2G/page-1", "NCP1308DR2G")</f>
        <v>NCP1308DR2G</v>
      </c>
      <c r="B13444" s="3" t="str">
        <f>HYPERLINK("https://www.773grp.com/manufacturer/onsemi?pageNo=1311", "Onsemi")</f>
        <v>Onsemi</v>
      </c>
      <c r="C13444" s="6">
        <v>23430</v>
      </c>
      <c r="D13444" s="7">
        <v>2.21</v>
      </c>
      <c r="E13444" t="s">
        <v>5</v>
      </c>
    </row>
    <row r="13445" spans="1:5" x14ac:dyDescent="0.25">
      <c r="A13445" t="str">
        <f>HYPERLINK("https://www.773grp.com/globalSearch/NCP1612ADR2G/page-1", "NCP1612ADR2G")</f>
        <v>NCP1612ADR2G</v>
      </c>
      <c r="B13445" s="3" t="str">
        <f>HYPERLINK("https://www.773grp.com/manufacturer/onsemi?pageNo=1312", "Onsemi")</f>
        <v>Onsemi</v>
      </c>
      <c r="C13445" s="6">
        <v>9000</v>
      </c>
      <c r="D13445" s="7">
        <v>2.21</v>
      </c>
    </row>
    <row r="13446" spans="1:5" x14ac:dyDescent="0.25">
      <c r="A13446" t="str">
        <f>HYPERLINK("https://www.773grp.com/globalSearch/NCP1800DM42R2/page-1", "NCP1800DM42R2")</f>
        <v>NCP1800DM42R2</v>
      </c>
      <c r="B13446" s="3" t="str">
        <f>HYPERLINK("https://www.773grp.com/manufacturer/onsemi?pageNo=1313", "Onsemi")</f>
        <v>Onsemi</v>
      </c>
      <c r="C13446" s="6">
        <v>48680</v>
      </c>
      <c r="D13446" s="7">
        <v>2.21</v>
      </c>
      <c r="E13446" t="s">
        <v>5</v>
      </c>
    </row>
    <row r="13447" spans="1:5" x14ac:dyDescent="0.25">
      <c r="A13447" t="str">
        <f>HYPERLINK("https://www.773grp.com/globalSearch/NCP3155BDR2G/page-1", "NCP3155BDR2G")</f>
        <v>NCP3155BDR2G</v>
      </c>
      <c r="B13447" s="3" t="str">
        <f>HYPERLINK("https://www.773grp.com/manufacturer/onsemi?pageNo=1314", "Onsemi")</f>
        <v>Onsemi</v>
      </c>
      <c r="C13447" s="6">
        <v>47</v>
      </c>
      <c r="D13447" s="7">
        <v>2.21</v>
      </c>
    </row>
    <row r="13448" spans="1:5" x14ac:dyDescent="0.25">
      <c r="A13448" t="str">
        <f>HYPERLINK("https://www.773grp.com/globalSearch/NCP4304ADR2G/page-1", "NCP4304ADR2G")</f>
        <v>NCP4304ADR2G</v>
      </c>
      <c r="B13448" s="3" t="str">
        <f>HYPERLINK("https://www.773grp.com/manufacturer/onsemi?pageNo=1315", "Onsemi")</f>
        <v>Onsemi</v>
      </c>
      <c r="C13448" s="6">
        <v>1500</v>
      </c>
      <c r="D13448" s="7">
        <v>2.21</v>
      </c>
    </row>
    <row r="13449" spans="1:5" x14ac:dyDescent="0.25">
      <c r="A13449" t="str">
        <f>HYPERLINK("https://www.773grp.com/globalSearch/NCP4623HMX050TCG/page-1", "NCP4623HMX050TCG")</f>
        <v>NCP4623HMX050TCG</v>
      </c>
      <c r="B13449" s="3" t="str">
        <f>HYPERLINK("https://www.773grp.com/manufacturer/onsemi?pageNo=1316", "Onsemi")</f>
        <v>Onsemi</v>
      </c>
      <c r="C13449" s="6">
        <v>5000</v>
      </c>
      <c r="D13449" s="7">
        <v>2.21</v>
      </c>
    </row>
    <row r="13450" spans="1:5" x14ac:dyDescent="0.25">
      <c r="A13450" t="str">
        <f>HYPERLINK("https://www.773grp.com/globalSearch/NCP4626DSN030T1G/page-1", "NCP4626DSN030T1G")</f>
        <v>NCP4626DSN030T1G</v>
      </c>
      <c r="B13450" s="3" t="str">
        <f>HYPERLINK("https://www.773grp.com/manufacturer/onsemi?pageNo=1317", "Onsemi")</f>
        <v>Onsemi</v>
      </c>
      <c r="C13450" s="6">
        <v>6000</v>
      </c>
      <c r="D13450" s="7">
        <v>2.21</v>
      </c>
    </row>
    <row r="13451" spans="1:5" x14ac:dyDescent="0.25">
      <c r="A13451" t="str">
        <f>HYPERLINK("https://www.773grp.com/globalSearch/NCP4626HSN030T1G/page-1", "NCP4626HSN030T1G")</f>
        <v>NCP4626HSN030T1G</v>
      </c>
      <c r="B13451" s="3" t="str">
        <f>HYPERLINK("https://www.773grp.com/manufacturer/onsemi?pageNo=1318", "Onsemi")</f>
        <v>Onsemi</v>
      </c>
      <c r="C13451" s="6">
        <v>3000</v>
      </c>
      <c r="D13451" s="7">
        <v>2.21</v>
      </c>
    </row>
    <row r="13452" spans="1:5" x14ac:dyDescent="0.25">
      <c r="A13452" t="str">
        <f>HYPERLINK("https://www.773grp.com/globalSearch/NCP4626HSN033T1G/page-1", "NCP4626HSN033T1G")</f>
        <v>NCP4626HSN033T1G</v>
      </c>
      <c r="B13452" s="3" t="str">
        <f>HYPERLINK("https://www.773grp.com/manufacturer/onsemi?pageNo=1319", "Onsemi")</f>
        <v>Onsemi</v>
      </c>
      <c r="C13452" s="6">
        <v>2600</v>
      </c>
      <c r="D13452" s="7">
        <v>2.21</v>
      </c>
    </row>
    <row r="13453" spans="1:5" x14ac:dyDescent="0.25">
      <c r="A13453" t="str">
        <f>HYPERLINK("https://www.773grp.com/globalSearch/NCP4626HSN045T1G/page-1", "NCP4626HSN045T1G")</f>
        <v>NCP4626HSN045T1G</v>
      </c>
      <c r="B13453" s="3" t="str">
        <f>HYPERLINK("https://www.773grp.com/manufacturer/onsemi?pageNo=1320", "Onsemi")</f>
        <v>Onsemi</v>
      </c>
      <c r="C13453" s="6">
        <v>3000</v>
      </c>
      <c r="D13453" s="7">
        <v>2.21</v>
      </c>
    </row>
    <row r="13454" spans="1:5" x14ac:dyDescent="0.25">
      <c r="A13454" t="str">
        <f>HYPERLINK("https://www.773grp.com/globalSearch/NCP4626HSN050T1G/page-1", "NCP4626HSN050T1G")</f>
        <v>NCP4626HSN050T1G</v>
      </c>
      <c r="B13454" s="3" t="str">
        <f>HYPERLINK("https://www.773grp.com/manufacturer/onsemi?pageNo=1321", "Onsemi")</f>
        <v>Onsemi</v>
      </c>
      <c r="C13454" s="6">
        <v>3000</v>
      </c>
      <c r="D13454" s="7">
        <v>2.21</v>
      </c>
    </row>
    <row r="13455" spans="1:5" x14ac:dyDescent="0.25">
      <c r="A13455" t="str">
        <f>HYPERLINK("https://www.773grp.com/globalSearch/NCP5009DMR2/page-1", "NCP5009DMR2")</f>
        <v>NCP5009DMR2</v>
      </c>
      <c r="B13455" s="3" t="str">
        <f>HYPERLINK("https://www.773grp.com/manufacturer/onsemi?pageNo=1322", "Onsemi")</f>
        <v>Onsemi</v>
      </c>
      <c r="C13455" s="6">
        <v>10990</v>
      </c>
      <c r="D13455" s="7">
        <v>2.21</v>
      </c>
      <c r="E13455" t="s">
        <v>7</v>
      </c>
    </row>
    <row r="13456" spans="1:5" x14ac:dyDescent="0.25">
      <c r="A13456" t="str">
        <f>HYPERLINK("https://www.773grp.com/globalSearch/NCP5661DT12RKG/page-1", "NCP5661DT12RKG")</f>
        <v>NCP5661DT12RKG</v>
      </c>
      <c r="B13456" s="3" t="str">
        <f>HYPERLINK("https://www.773grp.com/manufacturer/onsemi?pageNo=1323", "Onsemi")</f>
        <v>Onsemi</v>
      </c>
      <c r="C13456" s="6">
        <v>2609</v>
      </c>
      <c r="D13456" s="7">
        <v>2.21</v>
      </c>
      <c r="E13456" t="s">
        <v>15</v>
      </c>
    </row>
    <row r="13457" spans="1:5" x14ac:dyDescent="0.25">
      <c r="A13457" t="str">
        <f>HYPERLINK("https://www.773grp.com/globalSearch/NCP5661DT33RKG/page-1", "NCP5661DT33RKG")</f>
        <v>NCP5661DT33RKG</v>
      </c>
      <c r="B13457" s="3" t="str">
        <f>HYPERLINK("https://www.773grp.com/manufacturer/onsemi?pageNo=1324", "Onsemi")</f>
        <v>Onsemi</v>
      </c>
      <c r="C13457" s="6">
        <v>2500</v>
      </c>
      <c r="D13457" s="7">
        <v>2.21</v>
      </c>
    </row>
    <row r="13458" spans="1:5" x14ac:dyDescent="0.25">
      <c r="A13458" t="str">
        <f>HYPERLINK("https://www.773grp.com/globalSearch/NCS2003SN2T1G/page-1", "NCS2003SN2T1G")</f>
        <v>NCS2003SN2T1G</v>
      </c>
      <c r="B13458" s="3" t="str">
        <f>HYPERLINK("https://www.773grp.com/manufacturer/onsemi?pageNo=1325", "Onsemi")</f>
        <v>Onsemi</v>
      </c>
      <c r="C13458" s="6">
        <v>3000</v>
      </c>
      <c r="D13458" s="7">
        <v>2.21</v>
      </c>
    </row>
    <row r="13459" spans="1:5" x14ac:dyDescent="0.25">
      <c r="A13459" t="str">
        <f>HYPERLINK("https://www.773grp.com/globalSearch/NCS2584DTBR2G/page-1", "NCS2584DTBR2G")</f>
        <v>NCS2584DTBR2G</v>
      </c>
      <c r="B13459" s="3" t="str">
        <f>HYPERLINK("https://www.773grp.com/manufacturer/onsemi?pageNo=1326", "Onsemi")</f>
        <v>Onsemi</v>
      </c>
      <c r="C13459" s="6">
        <v>5000</v>
      </c>
      <c r="D13459" s="7">
        <v>2.21</v>
      </c>
    </row>
    <row r="13460" spans="1:5" x14ac:dyDescent="0.25">
      <c r="A13460" t="str">
        <f>HYPERLINK("https://www.773grp.com/globalSearch/NCS7101SN1T1G/page-1", "NCS7101SN1T1G")</f>
        <v>NCS7101SN1T1G</v>
      </c>
      <c r="B13460" s="3" t="str">
        <f>HYPERLINK("https://www.773grp.com/manufacturer/onsemi?pageNo=1327", "Onsemi")</f>
        <v>Onsemi</v>
      </c>
      <c r="C13460" s="6">
        <v>5389</v>
      </c>
      <c r="D13460" s="7">
        <v>2.21</v>
      </c>
      <c r="E13460" t="s">
        <v>10</v>
      </c>
    </row>
    <row r="13461" spans="1:5" x14ac:dyDescent="0.25">
      <c r="A13461" t="str">
        <f>HYPERLINK("https://www.773grp.com/globalSearch/NCV317BD2TR4/page-1", "NCV317BD2TR4")</f>
        <v>NCV317BD2TR4</v>
      </c>
      <c r="B13461" s="3" t="str">
        <f>HYPERLINK("https://www.773grp.com/manufacturer/onsemi?pageNo=1328", "Onsemi")</f>
        <v>Onsemi</v>
      </c>
      <c r="C13461" s="6">
        <v>19200</v>
      </c>
      <c r="D13461" s="7">
        <v>2.21</v>
      </c>
      <c r="E13461" t="s">
        <v>18</v>
      </c>
    </row>
    <row r="13462" spans="1:5" x14ac:dyDescent="0.25">
      <c r="A13462" t="str">
        <f>HYPERLINK("https://www.773grp.com/globalSearch/NCV7805ABD2TR4G/page-1", "NCV7805ABD2TR4G")</f>
        <v>NCV7805ABD2TR4G</v>
      </c>
      <c r="B13462" s="3" t="str">
        <f>HYPERLINK("https://www.773grp.com/manufacturer/onsemi?pageNo=1329", "Onsemi")</f>
        <v>Onsemi</v>
      </c>
      <c r="C13462" s="6">
        <v>2400</v>
      </c>
      <c r="D13462" s="7">
        <v>2.21</v>
      </c>
      <c r="E13462" t="s">
        <v>24</v>
      </c>
    </row>
    <row r="13463" spans="1:5" x14ac:dyDescent="0.25">
      <c r="A13463" t="str">
        <f>HYPERLINK("https://www.773grp.com/globalSearch/NCV8502PDWADJ/page-1", "NCV8502PDWADJ")</f>
        <v>NCV8502PDWADJ</v>
      </c>
      <c r="B13463" s="3" t="str">
        <f>HYPERLINK("https://www.773grp.com/manufacturer/onsemi?pageNo=1330", "Onsemi")</f>
        <v>Onsemi</v>
      </c>
      <c r="C13463" s="6">
        <v>141</v>
      </c>
      <c r="D13463" s="7">
        <v>2.21</v>
      </c>
      <c r="E13463" t="s">
        <v>21</v>
      </c>
    </row>
    <row r="13464" spans="1:5" x14ac:dyDescent="0.25">
      <c r="A13464" t="str">
        <f>HYPERLINK("https://www.773grp.com/globalSearch/NLAS3699MN1R2G/page-1", "NLAS3699MN1R2G")</f>
        <v>NLAS3699MN1R2G</v>
      </c>
      <c r="B13464" s="3" t="str">
        <f>HYPERLINK("https://www.773grp.com/manufacturer/onsemi?pageNo=1331", "Onsemi")</f>
        <v>Onsemi</v>
      </c>
      <c r="C13464" s="6">
        <v>122609</v>
      </c>
      <c r="D13464" s="7">
        <v>2.21</v>
      </c>
      <c r="E13464" t="s">
        <v>46</v>
      </c>
    </row>
    <row r="13465" spans="1:5" x14ac:dyDescent="0.25">
      <c r="A13465" t="str">
        <f>HYPERLINK("https://www.773grp.com/globalSearch/NLAS6234MUTBG/page-1", "NLAS6234MUTBG")</f>
        <v>NLAS6234MUTBG</v>
      </c>
      <c r="B13465" s="3" t="str">
        <f>HYPERLINK("https://www.773grp.com/manufacturer/onsemi?pageNo=1332", "Onsemi")</f>
        <v>Onsemi</v>
      </c>
      <c r="C13465" s="6">
        <v>66000</v>
      </c>
      <c r="D13465" s="7">
        <v>2.21</v>
      </c>
      <c r="E13465" t="s">
        <v>46</v>
      </c>
    </row>
    <row r="13466" spans="1:5" x14ac:dyDescent="0.25">
      <c r="A13466" t="str">
        <f>HYPERLINK("https://www.773grp.com/globalSearch/NTB45N06/page-1", "NTB45N06")</f>
        <v>NTB45N06</v>
      </c>
      <c r="B13466" s="3" t="str">
        <f>HYPERLINK("https://www.773grp.com/manufacturer/onsemi?pageNo=1333", "Onsemi")</f>
        <v>Onsemi</v>
      </c>
      <c r="C13466" s="6">
        <v>1800</v>
      </c>
      <c r="D13466" s="7">
        <v>2.21</v>
      </c>
      <c r="E13466" t="s">
        <v>84</v>
      </c>
    </row>
    <row r="13467" spans="1:5" x14ac:dyDescent="0.25">
      <c r="A13467" t="str">
        <f>HYPERLINK("https://www.773grp.com/globalSearch/NTB45N06G/page-1", "NTB45N06G")</f>
        <v>NTB45N06G</v>
      </c>
      <c r="B13467" s="3" t="str">
        <f>HYPERLINK("https://www.773grp.com/manufacturer/onsemi?pageNo=1334", "Onsemi")</f>
        <v>Onsemi</v>
      </c>
      <c r="C13467" s="6">
        <v>4000</v>
      </c>
      <c r="D13467" s="7">
        <v>2.21</v>
      </c>
    </row>
    <row r="13468" spans="1:5" x14ac:dyDescent="0.25">
      <c r="A13468" t="str">
        <f>HYPERLINK("https://www.773grp.com/globalSearch/NTB52N10/page-1", "NTB52N10")</f>
        <v>NTB52N10</v>
      </c>
      <c r="B13468" s="3" t="str">
        <f>HYPERLINK("https://www.773grp.com/manufacturer/onsemi?pageNo=1335", "Onsemi")</f>
        <v>Onsemi</v>
      </c>
      <c r="C13468" s="6">
        <v>50</v>
      </c>
      <c r="D13468" s="7">
        <v>2.21</v>
      </c>
      <c r="E13468" t="s">
        <v>84</v>
      </c>
    </row>
    <row r="13469" spans="1:5" x14ac:dyDescent="0.25">
      <c r="A13469" t="str">
        <f>HYPERLINK("https://www.773grp.com/globalSearch/NTB52N10G/page-1", "NTB52N10G")</f>
        <v>NTB52N10G</v>
      </c>
      <c r="B13469" s="3" t="str">
        <f>HYPERLINK("https://www.773grp.com/manufacturer/onsemi?pageNo=1336", "Onsemi")</f>
        <v>Onsemi</v>
      </c>
      <c r="C13469" s="6">
        <v>8600</v>
      </c>
      <c r="D13469" s="7">
        <v>2.21</v>
      </c>
      <c r="E13469" t="s">
        <v>84</v>
      </c>
    </row>
    <row r="13470" spans="1:5" x14ac:dyDescent="0.25">
      <c r="A13470" t="str">
        <f>HYPERLINK("https://www.773grp.com/globalSearch/NTD5803NT4G/page-1", "NTD5803NT4G")</f>
        <v>NTD5803NT4G</v>
      </c>
      <c r="B13470" s="3" t="str">
        <f>HYPERLINK("https://www.773grp.com/manufacturer/onsemi?pageNo=1337", "Onsemi")</f>
        <v>Onsemi</v>
      </c>
      <c r="C13470" s="6">
        <v>68600</v>
      </c>
      <c r="D13470" s="7">
        <v>2.21</v>
      </c>
    </row>
    <row r="13471" spans="1:5" x14ac:dyDescent="0.25">
      <c r="A13471" t="str">
        <f>HYPERLINK("https://www.773grp.com/globalSearch/NTMFS4119NT3G/page-1", "NTMFS4119NT3G")</f>
        <v>NTMFS4119NT3G</v>
      </c>
      <c r="B13471" s="3" t="str">
        <f>HYPERLINK("https://www.773grp.com/manufacturer/onsemi?pageNo=1338", "Onsemi")</f>
        <v>Onsemi</v>
      </c>
      <c r="C13471" s="6">
        <v>60000</v>
      </c>
      <c r="D13471" s="7">
        <v>2.21</v>
      </c>
    </row>
    <row r="13472" spans="1:5" x14ac:dyDescent="0.25">
      <c r="A13472" t="str">
        <f>HYPERLINK("https://www.773grp.com/globalSearch/NTP75N03R/page-1", "NTP75N03R")</f>
        <v>NTP75N03R</v>
      </c>
      <c r="B13472" s="3" t="str">
        <f>HYPERLINK("https://www.773grp.com/manufacturer/onsemi?pageNo=1339", "Onsemi")</f>
        <v>Onsemi</v>
      </c>
      <c r="C13472" s="6">
        <v>2917</v>
      </c>
      <c r="D13472" s="7">
        <v>2.21</v>
      </c>
      <c r="E13472" t="s">
        <v>84</v>
      </c>
    </row>
    <row r="13473" spans="1:5" x14ac:dyDescent="0.25">
      <c r="A13473" t="str">
        <f>HYPERLINK("https://www.773grp.com/globalSearch/NTSB40120CT-1G/page-1", "NTSB40120CT-1G")</f>
        <v>NTSB40120CT-1G</v>
      </c>
      <c r="B13473" s="3" t="str">
        <f>HYPERLINK("https://www.773grp.com/manufacturer/onsemi?pageNo=1340", "Onsemi")</f>
        <v>Onsemi</v>
      </c>
      <c r="C13473" s="6">
        <v>997</v>
      </c>
      <c r="D13473" s="7">
        <v>2.21</v>
      </c>
    </row>
    <row r="13474" spans="1:5" x14ac:dyDescent="0.25">
      <c r="A13474" t="str">
        <f>HYPERLINK("https://www.773grp.com/globalSearch/NUP6012PMUTAG/page-1", "NUP6012PMUTAG")</f>
        <v>NUP6012PMUTAG</v>
      </c>
      <c r="B13474" s="3" t="str">
        <f>HYPERLINK("https://www.773grp.com/manufacturer/onsemi?pageNo=1341", "Onsemi")</f>
        <v>Onsemi</v>
      </c>
      <c r="C13474" s="6">
        <v>3000</v>
      </c>
      <c r="D13474" s="7">
        <v>2.21</v>
      </c>
      <c r="E13474" t="s">
        <v>75</v>
      </c>
    </row>
    <row r="13475" spans="1:5" x14ac:dyDescent="0.25">
      <c r="A13475" t="str">
        <f>HYPERLINK("https://www.773grp.com/globalSearch/SA5532NG/page-1", "SA5532NG")</f>
        <v>SA5532NG</v>
      </c>
      <c r="B13475" s="3" t="str">
        <f>HYPERLINK("https://www.773grp.com/manufacturer/onsemi?pageNo=1342", "Onsemi")</f>
        <v>Onsemi</v>
      </c>
      <c r="C13475" s="6">
        <v>50</v>
      </c>
      <c r="D13475" s="7">
        <v>2.21</v>
      </c>
      <c r="E13475" t="s">
        <v>10</v>
      </c>
    </row>
    <row r="13476" spans="1:5" x14ac:dyDescent="0.25">
      <c r="A13476" t="str">
        <f>HYPERLINK("https://www.773grp.com/globalSearch/SN74LS684DW/page-1", "SN74LS684DW")</f>
        <v>SN74LS684DW</v>
      </c>
      <c r="B13476" s="3" t="str">
        <f>HYPERLINK("https://www.773grp.com/manufacturer/onsemi?pageNo=1343", "Onsemi")</f>
        <v>Onsemi</v>
      </c>
      <c r="C13476" s="6">
        <v>1596</v>
      </c>
      <c r="D13476" s="7">
        <v>2.21</v>
      </c>
      <c r="E13476" t="s">
        <v>38</v>
      </c>
    </row>
    <row r="13477" spans="1:5" x14ac:dyDescent="0.25">
      <c r="A13477" t="str">
        <f>HYPERLINK("https://www.773grp.com/globalSearch/SR4475R1/page-1", "SR4475R1")</f>
        <v>SR4475R1</v>
      </c>
      <c r="B13477" s="3" t="str">
        <f>HYPERLINK("https://www.773grp.com/manufacturer/onsemi?pageNo=1344", "Onsemi")</f>
        <v>Onsemi</v>
      </c>
      <c r="C13477" s="6">
        <v>9995</v>
      </c>
      <c r="D13477" s="7">
        <v>2.21</v>
      </c>
    </row>
    <row r="13478" spans="1:5" x14ac:dyDescent="0.25">
      <c r="A13478" t="str">
        <f>HYPERLINK("https://www.773grp.com/globalSearch/TL594CDG/page-1", "TL594CDG")</f>
        <v>TL594CDG</v>
      </c>
      <c r="B13478" s="3" t="str">
        <f>HYPERLINK("https://www.773grp.com/manufacturer/onsemi?pageNo=1345", "Onsemi")</f>
        <v>Onsemi</v>
      </c>
      <c r="C13478" s="6">
        <v>6538</v>
      </c>
      <c r="D13478" s="7">
        <v>2.21</v>
      </c>
      <c r="E13478" t="s">
        <v>5</v>
      </c>
    </row>
    <row r="13479" spans="1:5" x14ac:dyDescent="0.25">
      <c r="A13479" t="str">
        <f>HYPERLINK("https://www.773grp.com/globalSearch/TL594CDR2G/page-1", "TL594CDR2G")</f>
        <v>TL594CDR2G</v>
      </c>
      <c r="B13479" s="3" t="str">
        <f>HYPERLINK("https://www.773grp.com/manufacturer/onsemi?pageNo=1346", "Onsemi")</f>
        <v>Onsemi</v>
      </c>
      <c r="C13479" s="6">
        <v>337954</v>
      </c>
      <c r="D13479" s="7">
        <v>2.21</v>
      </c>
      <c r="E13479" t="s">
        <v>5</v>
      </c>
    </row>
    <row r="13480" spans="1:5" x14ac:dyDescent="0.25">
      <c r="A13480" t="str">
        <f>HYPERLINK("https://www.773grp.com/globalSearch/2SK4197FS/page-1", "2SK4197FS")</f>
        <v>2SK4197FS</v>
      </c>
      <c r="B13480" s="3" t="str">
        <f>HYPERLINK("https://www.773grp.com/manufacturer/onsemi?pageNo=1347", "Onsemi")</f>
        <v>Onsemi</v>
      </c>
      <c r="C13480" s="6">
        <v>40650</v>
      </c>
      <c r="D13480" s="7">
        <v>2.2599999999999998</v>
      </c>
    </row>
    <row r="13481" spans="1:5" x14ac:dyDescent="0.25">
      <c r="A13481" t="str">
        <f>HYPERLINK("https://www.773grp.com/globalSearch/CAT1832Z-G/page-1", "CAT1832Z-G")</f>
        <v>CAT1832Z-G</v>
      </c>
      <c r="B13481" s="3" t="str">
        <f>HYPERLINK("https://www.773grp.com/manufacturer/onsemi?pageNo=1348", "Onsemi")</f>
        <v>Onsemi</v>
      </c>
      <c r="C13481" s="6">
        <v>960</v>
      </c>
      <c r="D13481" s="7">
        <v>2.2599999999999998</v>
      </c>
      <c r="E13481" t="s">
        <v>26</v>
      </c>
    </row>
    <row r="13482" spans="1:5" x14ac:dyDescent="0.25">
      <c r="A13482" t="str">
        <f>HYPERLINK("https://www.773grp.com/globalSearch/CS5211EDR14/page-1", "CS5211EDR14")</f>
        <v>CS5211EDR14</v>
      </c>
      <c r="B13482" s="3" t="str">
        <f>HYPERLINK("https://www.773grp.com/manufacturer/onsemi?pageNo=1", "Onsemi")</f>
        <v>Onsemi</v>
      </c>
      <c r="C13482" s="6">
        <v>4956</v>
      </c>
      <c r="D13482" s="7">
        <v>2.2599999999999998</v>
      </c>
      <c r="E13482" t="s">
        <v>5</v>
      </c>
    </row>
    <row r="13483" spans="1:5" x14ac:dyDescent="0.25">
      <c r="A13483" t="str">
        <f>HYPERLINK("https://www.773grp.com/globalSearch/LF347BN/page-1", "LF347BN")</f>
        <v>LF347BN</v>
      </c>
      <c r="B13483" s="3" t="str">
        <f>HYPERLINK("https://www.773grp.com/manufacturer/onsemi?pageNo=2", "Onsemi")</f>
        <v>Onsemi</v>
      </c>
      <c r="C13483" s="6">
        <v>176</v>
      </c>
      <c r="D13483" s="7">
        <v>2.2599999999999998</v>
      </c>
      <c r="E13483" t="s">
        <v>10</v>
      </c>
    </row>
    <row r="13484" spans="1:5" x14ac:dyDescent="0.25">
      <c r="A13484" t="str">
        <f>HYPERLINK("https://www.773grp.com/globalSearch/LM2574N-005/page-1", "LM2574N-005")</f>
        <v>LM2574N-005</v>
      </c>
      <c r="B13484" s="3" t="str">
        <f>HYPERLINK("https://www.773grp.com/manufacturer/onsemi?pageNo=3", "Onsemi")</f>
        <v>Onsemi</v>
      </c>
      <c r="C13484" s="6">
        <v>506</v>
      </c>
      <c r="D13484" s="7">
        <v>2.2599999999999998</v>
      </c>
    </row>
    <row r="13485" spans="1:5" x14ac:dyDescent="0.25">
      <c r="A13485" t="str">
        <f>HYPERLINK("https://www.773grp.com/globalSearch/LM337BD2TG/page-1", "LM337BD2TG")</f>
        <v>LM337BD2TG</v>
      </c>
      <c r="B13485" s="3" t="str">
        <f>HYPERLINK("https://www.773grp.com/manufacturer/onsemi?pageNo=4", "Onsemi")</f>
        <v>Onsemi</v>
      </c>
      <c r="C13485" s="6">
        <v>216</v>
      </c>
      <c r="D13485" s="7">
        <v>2.2599999999999998</v>
      </c>
      <c r="E13485" t="s">
        <v>33</v>
      </c>
    </row>
    <row r="13486" spans="1:5" x14ac:dyDescent="0.25">
      <c r="A13486" t="str">
        <f>HYPERLINK("https://www.773grp.com/globalSearch/LM337BD2TR4G/page-1", "LM337BD2TR4G")</f>
        <v>LM337BD2TR4G</v>
      </c>
      <c r="B13486" s="3" t="str">
        <f>HYPERLINK("https://www.773grp.com/manufacturer/onsemi?pageNo=5", "Onsemi")</f>
        <v>Onsemi</v>
      </c>
      <c r="C13486" s="6">
        <v>5035</v>
      </c>
      <c r="D13486" s="7">
        <v>2.2599999999999998</v>
      </c>
      <c r="E13486" t="s">
        <v>33</v>
      </c>
    </row>
    <row r="13487" spans="1:5" x14ac:dyDescent="0.25">
      <c r="A13487" t="str">
        <f>HYPERLINK("https://www.773grp.com/globalSearch/LP2950ACDT-3.3/page-1", "LP2950ACDT-3.3")</f>
        <v>LP2950ACDT-3.3</v>
      </c>
      <c r="B13487" s="3" t="str">
        <f>HYPERLINK("https://www.773grp.com/manufacturer/onsemi?pageNo=6", "Onsemi")</f>
        <v>Onsemi</v>
      </c>
      <c r="C13487" s="6">
        <v>4275</v>
      </c>
      <c r="D13487" s="7">
        <v>2.2599999999999998</v>
      </c>
      <c r="E13487" t="s">
        <v>15</v>
      </c>
    </row>
    <row r="13488" spans="1:5" x14ac:dyDescent="0.25">
      <c r="A13488" t="str">
        <f>HYPERLINK("https://www.773grp.com/globalSearch/LP2950ACDT-3.3RK/page-1", "LP2950ACDT-3.3RK")</f>
        <v>LP2950ACDT-3.3RK</v>
      </c>
      <c r="B13488" s="3" t="str">
        <f>HYPERLINK("https://www.773grp.com/manufacturer/onsemi?pageNo=7", "Onsemi")</f>
        <v>Onsemi</v>
      </c>
      <c r="C13488" s="6">
        <v>5000</v>
      </c>
      <c r="D13488" s="7">
        <v>2.2599999999999998</v>
      </c>
      <c r="E13488" t="s">
        <v>15</v>
      </c>
    </row>
    <row r="13489" spans="1:5" x14ac:dyDescent="0.25">
      <c r="A13489" t="str">
        <f>HYPERLINK("https://www.773grp.com/globalSearch/MC33348D-006/page-1", "MC33348D-006")</f>
        <v>MC33348D-006</v>
      </c>
      <c r="B13489" s="3" t="str">
        <f>HYPERLINK("https://www.773grp.com/manufacturer/onsemi?pageNo=8", "Onsemi")</f>
        <v>Onsemi</v>
      </c>
      <c r="C13489" s="6">
        <v>54683</v>
      </c>
      <c r="D13489" s="7">
        <v>2.2599999999999998</v>
      </c>
    </row>
    <row r="13490" spans="1:5" x14ac:dyDescent="0.25">
      <c r="A13490" t="str">
        <f>HYPERLINK("https://www.773grp.com/globalSearch/MC34074DG/page-1", "MC34074DG")</f>
        <v>MC34074DG</v>
      </c>
      <c r="B13490" s="3" t="str">
        <f>HYPERLINK("https://www.773grp.com/manufacturer/onsemi?pageNo=9", "Onsemi")</f>
        <v>Onsemi</v>
      </c>
      <c r="C13490" s="6">
        <v>9714</v>
      </c>
      <c r="D13490" s="7">
        <v>2.2599999999999998</v>
      </c>
      <c r="E13490" t="s">
        <v>10</v>
      </c>
    </row>
    <row r="13491" spans="1:5" x14ac:dyDescent="0.25">
      <c r="A13491" t="str">
        <f>HYPERLINK("https://www.773grp.com/globalSearch/MC34074DR2G/page-1", "MC34074DR2G")</f>
        <v>MC34074DR2G</v>
      </c>
      <c r="B13491" s="3" t="str">
        <f>HYPERLINK("https://www.773grp.com/manufacturer/onsemi?pageNo=10", "Onsemi")</f>
        <v>Onsemi</v>
      </c>
      <c r="C13491" s="6">
        <v>40000</v>
      </c>
      <c r="D13491" s="7">
        <v>2.2599999999999998</v>
      </c>
      <c r="E13491" t="s">
        <v>10</v>
      </c>
    </row>
    <row r="13492" spans="1:5" x14ac:dyDescent="0.25">
      <c r="A13492" t="str">
        <f>HYPERLINK("https://www.773grp.com/globalSearch/MC34074PG/page-1", "MC34074PG")</f>
        <v>MC34074PG</v>
      </c>
      <c r="B13492" s="3" t="str">
        <f>HYPERLINK("https://www.773grp.com/manufacturer/onsemi?pageNo=11", "Onsemi")</f>
        <v>Onsemi</v>
      </c>
      <c r="C13492" s="6">
        <v>4360</v>
      </c>
      <c r="D13492" s="7">
        <v>2.2599999999999998</v>
      </c>
      <c r="E13492" t="s">
        <v>10</v>
      </c>
    </row>
    <row r="13493" spans="1:5" x14ac:dyDescent="0.25">
      <c r="A13493" t="str">
        <f>HYPERLINK("https://www.773grp.com/globalSearch/NCP1012APL065R2G/page-1", "NCP1012APL065R2G")</f>
        <v>NCP1012APL065R2G</v>
      </c>
      <c r="B13493" s="3" t="str">
        <f>HYPERLINK("https://www.773grp.com/manufacturer/onsemi?pageNo=12", "Onsemi")</f>
        <v>Onsemi</v>
      </c>
      <c r="C13493" s="6">
        <v>3688</v>
      </c>
      <c r="D13493" s="7">
        <v>2.2599999999999998</v>
      </c>
      <c r="E13493" t="s">
        <v>5</v>
      </c>
    </row>
    <row r="13494" spans="1:5" x14ac:dyDescent="0.25">
      <c r="A13494" t="str">
        <f>HYPERLINK("https://www.773grp.com/globalSearch/NCP1086T-ADJG/page-1", "NCP1086T-ADJG")</f>
        <v>NCP1086T-ADJG</v>
      </c>
      <c r="B13494" s="3" t="str">
        <f>HYPERLINK("https://www.773grp.com/manufacturer/onsemi?pageNo=13", "Onsemi")</f>
        <v>Onsemi</v>
      </c>
      <c r="C13494" s="6">
        <v>1030</v>
      </c>
      <c r="D13494" s="7">
        <v>2.2599999999999998</v>
      </c>
      <c r="E13494" t="s">
        <v>21</v>
      </c>
    </row>
    <row r="13495" spans="1:5" x14ac:dyDescent="0.25">
      <c r="A13495" t="str">
        <f>HYPERLINK("https://www.773grp.com/globalSearch/NCP1205DR2/page-1", "NCP1205DR2")</f>
        <v>NCP1205DR2</v>
      </c>
      <c r="B13495" s="3" t="str">
        <f>HYPERLINK("https://www.773grp.com/manufacturer/onsemi?pageNo=14", "Onsemi")</f>
        <v>Onsemi</v>
      </c>
      <c r="C13495" s="6">
        <v>385000</v>
      </c>
      <c r="D13495" s="7">
        <v>2.2599999999999998</v>
      </c>
      <c r="E13495" t="s">
        <v>5</v>
      </c>
    </row>
    <row r="13496" spans="1:5" x14ac:dyDescent="0.25">
      <c r="A13496" t="str">
        <f>HYPERLINK("https://www.773grp.com/globalSearch/NCV7805BD2TG/page-1", "NCV7805BD2TG")</f>
        <v>NCV7805BD2TG</v>
      </c>
      <c r="B13496" s="3" t="str">
        <f>HYPERLINK("https://www.773grp.com/manufacturer/onsemi?pageNo=15", "Onsemi")</f>
        <v>Onsemi</v>
      </c>
      <c r="C13496" s="6">
        <v>35000</v>
      </c>
      <c r="D13496" s="7">
        <v>2.2599999999999998</v>
      </c>
      <c r="E13496" t="s">
        <v>24</v>
      </c>
    </row>
    <row r="13497" spans="1:5" x14ac:dyDescent="0.25">
      <c r="A13497" t="str">
        <f>HYPERLINK("https://www.773grp.com/globalSearch/NCV7805BD2TR4G/page-1", "NCV7805BD2TR4G")</f>
        <v>NCV7805BD2TR4G</v>
      </c>
      <c r="B13497" s="3" t="str">
        <f>HYPERLINK("https://www.773grp.com/manufacturer/onsemi?pageNo=16", "Onsemi")</f>
        <v>Onsemi</v>
      </c>
      <c r="C13497" s="6">
        <v>10400</v>
      </c>
      <c r="D13497" s="7">
        <v>2.2599999999999998</v>
      </c>
      <c r="E13497" t="s">
        <v>24</v>
      </c>
    </row>
    <row r="13498" spans="1:5" x14ac:dyDescent="0.25">
      <c r="A13498" t="str">
        <f>HYPERLINK("https://www.773grp.com/globalSearch/NCV7808BD2TR4G/page-1", "NCV7808BD2TR4G")</f>
        <v>NCV7808BD2TR4G</v>
      </c>
      <c r="B13498" s="3" t="str">
        <f>HYPERLINK("https://www.773grp.com/manufacturer/onsemi?pageNo=17", "Onsemi")</f>
        <v>Onsemi</v>
      </c>
      <c r="C13498" s="6">
        <v>2492</v>
      </c>
      <c r="D13498" s="7">
        <v>2.2599999999999998</v>
      </c>
      <c r="E13498" t="s">
        <v>24</v>
      </c>
    </row>
    <row r="13499" spans="1:5" x14ac:dyDescent="0.25">
      <c r="A13499" t="str">
        <f>HYPERLINK("https://www.773grp.com/globalSearch/NCV8501PDW33R2/page-1", "NCV8501PDW33R2")</f>
        <v>NCV8501PDW33R2</v>
      </c>
      <c r="B13499" s="3" t="str">
        <f>HYPERLINK("https://www.773grp.com/manufacturer/onsemi?pageNo=18", "Onsemi")</f>
        <v>Onsemi</v>
      </c>
      <c r="C13499" s="6">
        <v>6523</v>
      </c>
      <c r="D13499" s="7">
        <v>2.2599999999999998</v>
      </c>
      <c r="E13499" t="s">
        <v>15</v>
      </c>
    </row>
    <row r="13500" spans="1:5" x14ac:dyDescent="0.25">
      <c r="A13500" t="str">
        <f>HYPERLINK("https://www.773grp.com/globalSearch/NCV8605MN15T2G/page-1", "NCV8605MN15T2G")</f>
        <v>NCV8605MN15T2G</v>
      </c>
      <c r="B13500" s="3" t="str">
        <f>HYPERLINK("https://www.773grp.com/manufacturer/onsemi?pageNo=19", "Onsemi")</f>
        <v>Onsemi</v>
      </c>
      <c r="C13500" s="6">
        <v>3000</v>
      </c>
      <c r="D13500" s="7">
        <v>2.2599999999999998</v>
      </c>
    </row>
    <row r="13501" spans="1:5" x14ac:dyDescent="0.25">
      <c r="A13501" t="str">
        <f>HYPERLINK("https://www.773grp.com/globalSearch/NCV8605MN18T2G/page-1", "NCV8605MN18T2G")</f>
        <v>NCV8605MN18T2G</v>
      </c>
      <c r="B13501" s="3" t="str">
        <f>HYPERLINK("https://www.773grp.com/manufacturer/onsemi?pageNo=20", "Onsemi")</f>
        <v>Onsemi</v>
      </c>
      <c r="C13501" s="6">
        <v>17800</v>
      </c>
      <c r="D13501" s="7">
        <v>2.2599999999999998</v>
      </c>
    </row>
    <row r="13502" spans="1:5" x14ac:dyDescent="0.25">
      <c r="A13502" t="str">
        <f>HYPERLINK("https://www.773grp.com/globalSearch/NCV8605MN25T2G/page-1", "NCV8605MN25T2G")</f>
        <v>NCV8605MN25T2G</v>
      </c>
      <c r="B13502" s="3" t="str">
        <f>HYPERLINK("https://www.773grp.com/manufacturer/onsemi?pageNo=21", "Onsemi")</f>
        <v>Onsemi</v>
      </c>
      <c r="C13502" s="6">
        <v>18000</v>
      </c>
      <c r="D13502" s="7">
        <v>2.2599999999999998</v>
      </c>
    </row>
    <row r="13503" spans="1:5" x14ac:dyDescent="0.25">
      <c r="A13503" t="str">
        <f>HYPERLINK("https://www.773grp.com/globalSearch/NCV8605MN28T2G/page-1", "NCV8605MN28T2G")</f>
        <v>NCV8605MN28T2G</v>
      </c>
      <c r="B13503" s="3" t="str">
        <f>HYPERLINK("https://www.773grp.com/manufacturer/onsemi?pageNo=22", "Onsemi")</f>
        <v>Onsemi</v>
      </c>
      <c r="C13503" s="6">
        <v>26000</v>
      </c>
      <c r="D13503" s="7">
        <v>2.2599999999999998</v>
      </c>
    </row>
    <row r="13504" spans="1:5" x14ac:dyDescent="0.25">
      <c r="A13504" t="str">
        <f>HYPERLINK("https://www.773grp.com/globalSearch/NCV8605MN30T2G/page-1", "NCV8605MN30T2G")</f>
        <v>NCV8605MN30T2G</v>
      </c>
      <c r="B13504" s="3" t="str">
        <f>HYPERLINK("https://www.773grp.com/manufacturer/onsemi?pageNo=23", "Onsemi")</f>
        <v>Onsemi</v>
      </c>
      <c r="C13504" s="6">
        <v>6000</v>
      </c>
      <c r="D13504" s="7">
        <v>2.2599999999999998</v>
      </c>
    </row>
    <row r="13505" spans="1:5" x14ac:dyDescent="0.25">
      <c r="A13505" t="str">
        <f>HYPERLINK("https://www.773grp.com/globalSearch/NCV8605MN33T2G/page-1", "NCV8605MN33T2G")</f>
        <v>NCV8605MN33T2G</v>
      </c>
      <c r="B13505" s="3" t="str">
        <f>HYPERLINK("https://www.773grp.com/manufacturer/onsemi?pageNo=24", "Onsemi")</f>
        <v>Onsemi</v>
      </c>
      <c r="C13505" s="6">
        <v>2900</v>
      </c>
      <c r="D13505" s="7">
        <v>2.2599999999999998</v>
      </c>
    </row>
    <row r="13506" spans="1:5" x14ac:dyDescent="0.25">
      <c r="A13506" t="str">
        <f>HYPERLINK("https://www.773grp.com/globalSearch/NCV8605MN50T2G/page-1", "NCV8605MN50T2G")</f>
        <v>NCV8605MN50T2G</v>
      </c>
      <c r="B13506" s="3" t="str">
        <f>HYPERLINK("https://www.773grp.com/manufacturer/onsemi?pageNo=25", "Onsemi")</f>
        <v>Onsemi</v>
      </c>
      <c r="C13506" s="6">
        <v>6000</v>
      </c>
      <c r="D13506" s="7">
        <v>2.2599999999999998</v>
      </c>
    </row>
    <row r="13507" spans="1:5" x14ac:dyDescent="0.25">
      <c r="A13507" t="str">
        <f>HYPERLINK("https://www.773grp.com/globalSearch/NCV8605MNADJT2G/page-1", "NCV8605MNADJT2G")</f>
        <v>NCV8605MNADJT2G</v>
      </c>
      <c r="B13507" s="3" t="str">
        <f>HYPERLINK("https://www.773grp.com/manufacturer/onsemi?pageNo=26", "Onsemi")</f>
        <v>Onsemi</v>
      </c>
      <c r="C13507" s="6">
        <v>11750</v>
      </c>
      <c r="D13507" s="7">
        <v>2.2599999999999998</v>
      </c>
    </row>
    <row r="13508" spans="1:5" x14ac:dyDescent="0.25">
      <c r="A13508" t="str">
        <f>HYPERLINK("https://www.773grp.com/globalSearch/NCV8606MN15T2G/page-1", "NCV8606MN15T2G")</f>
        <v>NCV8606MN15T2G</v>
      </c>
      <c r="B13508" s="3" t="str">
        <f>HYPERLINK("https://www.773grp.com/manufacturer/onsemi?pageNo=27", "Onsemi")</f>
        <v>Onsemi</v>
      </c>
      <c r="C13508" s="6">
        <v>27000</v>
      </c>
      <c r="D13508" s="7">
        <v>2.2599999999999998</v>
      </c>
    </row>
    <row r="13509" spans="1:5" x14ac:dyDescent="0.25">
      <c r="A13509" t="str">
        <f>HYPERLINK("https://www.773grp.com/globalSearch/NCV8606MN18T2G/page-1", "NCV8606MN18T2G")</f>
        <v>NCV8606MN18T2G</v>
      </c>
      <c r="B13509" s="3" t="str">
        <f>HYPERLINK("https://www.773grp.com/manufacturer/onsemi?pageNo=28", "Onsemi")</f>
        <v>Onsemi</v>
      </c>
      <c r="C13509" s="6">
        <v>3000</v>
      </c>
      <c r="D13509" s="7">
        <v>2.2599999999999998</v>
      </c>
    </row>
    <row r="13510" spans="1:5" x14ac:dyDescent="0.25">
      <c r="A13510" t="str">
        <f>HYPERLINK("https://www.773grp.com/globalSearch/NCV8606MN28T2G/page-1", "NCV8606MN28T2G")</f>
        <v>NCV8606MN28T2G</v>
      </c>
      <c r="B13510" s="3" t="str">
        <f>HYPERLINK("https://www.773grp.com/manufacturer/onsemi?pageNo=29", "Onsemi")</f>
        <v>Onsemi</v>
      </c>
      <c r="C13510" s="6">
        <v>15000</v>
      </c>
      <c r="D13510" s="7">
        <v>2.2599999999999998</v>
      </c>
    </row>
    <row r="13511" spans="1:5" x14ac:dyDescent="0.25">
      <c r="A13511" t="str">
        <f>HYPERLINK("https://www.773grp.com/globalSearch/NCV8606MN30T2G/page-1", "NCV8606MN30T2G")</f>
        <v>NCV8606MN30T2G</v>
      </c>
      <c r="B13511" s="3" t="str">
        <f>HYPERLINK("https://www.773grp.com/manufacturer/onsemi?pageNo=30", "Onsemi")</f>
        <v>Onsemi</v>
      </c>
      <c r="C13511" s="6">
        <v>9000</v>
      </c>
      <c r="D13511" s="7">
        <v>2.2599999999999998</v>
      </c>
    </row>
    <row r="13512" spans="1:5" x14ac:dyDescent="0.25">
      <c r="A13512" t="str">
        <f>HYPERLINK("https://www.773grp.com/globalSearch/NCV8606MN33T2G/page-1", "NCV8606MN33T2G")</f>
        <v>NCV8606MN33T2G</v>
      </c>
      <c r="B13512" s="3" t="str">
        <f>HYPERLINK("https://www.773grp.com/manufacturer/onsemi?pageNo=31", "Onsemi")</f>
        <v>Onsemi</v>
      </c>
      <c r="C13512" s="6">
        <v>17570</v>
      </c>
      <c r="D13512" s="7">
        <v>2.2599999999999998</v>
      </c>
    </row>
    <row r="13513" spans="1:5" x14ac:dyDescent="0.25">
      <c r="A13513" t="str">
        <f>HYPERLINK("https://www.773grp.com/globalSearch/NCV8606MN50T2G/page-1", "NCV8606MN50T2G")</f>
        <v>NCV8606MN50T2G</v>
      </c>
      <c r="B13513" s="3" t="str">
        <f>HYPERLINK("https://www.773grp.com/manufacturer/onsemi?pageNo=32", "Onsemi")</f>
        <v>Onsemi</v>
      </c>
      <c r="C13513" s="6">
        <v>8873</v>
      </c>
      <c r="D13513" s="7">
        <v>2.2599999999999998</v>
      </c>
    </row>
    <row r="13514" spans="1:5" x14ac:dyDescent="0.25">
      <c r="A13514" t="str">
        <f>HYPERLINK("https://www.773grp.com/globalSearch/NDF10N60ZG/page-1", "NDF10N60ZG")</f>
        <v>NDF10N60ZG</v>
      </c>
      <c r="B13514" s="3" t="str">
        <f>HYPERLINK("https://www.773grp.com/manufacturer/onsemi?pageNo=33", "Onsemi")</f>
        <v>Onsemi</v>
      </c>
      <c r="C13514" s="6">
        <v>51450</v>
      </c>
      <c r="D13514" s="7">
        <v>2.2599999999999998</v>
      </c>
      <c r="E13514" t="s">
        <v>84</v>
      </c>
    </row>
    <row r="13515" spans="1:5" x14ac:dyDescent="0.25">
      <c r="A13515" t="str">
        <f>HYPERLINK("https://www.773grp.com/globalSearch/NDF10N60ZH/page-1", "NDF10N60ZH")</f>
        <v>NDF10N60ZH</v>
      </c>
      <c r="B13515" s="3" t="str">
        <f>HYPERLINK("https://www.773grp.com/manufacturer/onsemi?pageNo=34", "Onsemi")</f>
        <v>Onsemi</v>
      </c>
      <c r="C13515" s="6">
        <v>59950</v>
      </c>
      <c r="D13515" s="7">
        <v>2.2599999999999998</v>
      </c>
    </row>
    <row r="13516" spans="1:5" x14ac:dyDescent="0.25">
      <c r="A13516" t="str">
        <f>HYPERLINK("https://www.773grp.com/globalSearch/NDF11N50ZG/page-1", "NDF11N50ZG")</f>
        <v>NDF11N50ZG</v>
      </c>
      <c r="B13516" s="3" t="str">
        <f>HYPERLINK("https://www.773grp.com/manufacturer/onsemi?pageNo=35", "Onsemi")</f>
        <v>Onsemi</v>
      </c>
      <c r="C13516" s="6">
        <v>1845</v>
      </c>
      <c r="D13516" s="7">
        <v>2.2599999999999998</v>
      </c>
    </row>
    <row r="13517" spans="1:5" x14ac:dyDescent="0.25">
      <c r="A13517" t="str">
        <f>HYPERLINK("https://www.773grp.com/globalSearch/NDF11N50ZH/page-1", "NDF11N50ZH")</f>
        <v>NDF11N50ZH</v>
      </c>
      <c r="B13517" s="3" t="str">
        <f>HYPERLINK("https://www.773grp.com/manufacturer/onsemi?pageNo=36", "Onsemi")</f>
        <v>Onsemi</v>
      </c>
      <c r="C13517" s="6">
        <v>51150</v>
      </c>
      <c r="D13517" s="7">
        <v>2.2599999999999998</v>
      </c>
    </row>
    <row r="13518" spans="1:5" x14ac:dyDescent="0.25">
      <c r="A13518" t="str">
        <f>HYPERLINK("https://www.773grp.com/globalSearch/NE5534N/page-1", "NE5534N")</f>
        <v>NE5534N</v>
      </c>
      <c r="B13518" s="3" t="str">
        <f>HYPERLINK("https://www.773grp.com/manufacturer/onsemi?pageNo=37", "Onsemi")</f>
        <v>Onsemi</v>
      </c>
      <c r="C13518" s="6">
        <v>13650</v>
      </c>
      <c r="D13518" s="7">
        <v>2.2599999999999998</v>
      </c>
      <c r="E13518" t="s">
        <v>10</v>
      </c>
    </row>
    <row r="13519" spans="1:5" x14ac:dyDescent="0.25">
      <c r="A13519" t="str">
        <f>HYPERLINK("https://www.773grp.com/globalSearch/NTMFS4852NT1G/page-1", "NTMFS4852NT1G")</f>
        <v>NTMFS4852NT1G</v>
      </c>
      <c r="B13519" s="3" t="str">
        <f>HYPERLINK("https://www.773grp.com/manufacturer/onsemi?pageNo=38", "Onsemi")</f>
        <v>Onsemi</v>
      </c>
      <c r="C13519" s="6">
        <v>3000</v>
      </c>
      <c r="D13519" s="7">
        <v>2.2599999999999998</v>
      </c>
    </row>
    <row r="13520" spans="1:5" x14ac:dyDescent="0.25">
      <c r="A13520" t="str">
        <f>HYPERLINK("https://www.773grp.com/globalSearch/NTSJ40120CTG/page-1", "NTSJ40120CTG")</f>
        <v>NTSJ40120CTG</v>
      </c>
      <c r="B13520" s="3" t="str">
        <f>HYPERLINK("https://www.773grp.com/manufacturer/onsemi?pageNo=39", "Onsemi")</f>
        <v>Onsemi</v>
      </c>
      <c r="C13520" s="6">
        <v>550</v>
      </c>
      <c r="D13520" s="7">
        <v>2.2599999999999998</v>
      </c>
    </row>
    <row r="13521" spans="1:5" x14ac:dyDescent="0.25">
      <c r="A13521" t="str">
        <f>HYPERLINK("https://www.773grp.com/globalSearch/SN74LS684N/page-1", "SN74LS684N")</f>
        <v>SN74LS684N</v>
      </c>
      <c r="B13521" s="3" t="str">
        <f>HYPERLINK("https://www.773grp.com/manufacturer/onsemi?pageNo=40", "Onsemi")</f>
        <v>Onsemi</v>
      </c>
      <c r="C13521" s="6">
        <v>598</v>
      </c>
      <c r="D13521" s="7">
        <v>2.2599999999999998</v>
      </c>
      <c r="E13521" t="s">
        <v>38</v>
      </c>
    </row>
    <row r="13522" spans="1:5" x14ac:dyDescent="0.25">
      <c r="A13522" t="str">
        <f>HYPERLINK("https://www.773grp.com/globalSearch/UC3842BVD1R2G/page-1", "UC3842BVD1R2G")</f>
        <v>UC3842BVD1R2G</v>
      </c>
      <c r="B13522" s="3" t="str">
        <f>HYPERLINK("https://www.773grp.com/manufacturer/onsemi?pageNo=41", "Onsemi")</f>
        <v>Onsemi</v>
      </c>
      <c r="C13522" s="6">
        <v>2500</v>
      </c>
      <c r="D13522" s="7">
        <v>2.2599999999999998</v>
      </c>
    </row>
    <row r="13523" spans="1:5" x14ac:dyDescent="0.25">
      <c r="A13523" t="str">
        <f>HYPERLINK("https://www.773grp.com/globalSearch/UC3843BVD1R2G/page-1", "UC3843BVD1R2G")</f>
        <v>UC3843BVD1R2G</v>
      </c>
      <c r="B13523" s="3" t="str">
        <f>HYPERLINK("https://www.773grp.com/manufacturer/onsemi?pageNo=42", "Onsemi")</f>
        <v>Onsemi</v>
      </c>
      <c r="C13523" s="6">
        <v>25691</v>
      </c>
      <c r="D13523" s="7">
        <v>2.2599999999999998</v>
      </c>
      <c r="E13523" t="s">
        <v>5</v>
      </c>
    </row>
    <row r="13524" spans="1:5" x14ac:dyDescent="0.25">
      <c r="A13524" t="str">
        <f>HYPERLINK("https://www.773grp.com/globalSearch/UC3843BVNG/page-1", "UC3843BVNG")</f>
        <v>UC3843BVNG</v>
      </c>
      <c r="B13524" s="3" t="str">
        <f>HYPERLINK("https://www.773grp.com/manufacturer/onsemi?pageNo=43", "Onsemi")</f>
        <v>Onsemi</v>
      </c>
      <c r="C13524" s="6">
        <v>4550</v>
      </c>
      <c r="D13524" s="7">
        <v>2.2599999999999998</v>
      </c>
      <c r="E13524" t="s">
        <v>5</v>
      </c>
    </row>
    <row r="13525" spans="1:5" x14ac:dyDescent="0.25">
      <c r="A13525" t="str">
        <f>HYPERLINK("https://www.773grp.com/globalSearch/UC3844BVD1R2G/page-1", "UC3844BVD1R2G")</f>
        <v>UC3844BVD1R2G</v>
      </c>
      <c r="B13525" s="3" t="str">
        <f>HYPERLINK("https://www.773grp.com/manufacturer/onsemi?pageNo=44", "Onsemi")</f>
        <v>Onsemi</v>
      </c>
      <c r="C13525" s="6">
        <v>9935</v>
      </c>
      <c r="D13525" s="7">
        <v>2.2599999999999998</v>
      </c>
      <c r="E13525" t="s">
        <v>5</v>
      </c>
    </row>
    <row r="13526" spans="1:5" x14ac:dyDescent="0.25">
      <c r="A13526" t="str">
        <f>HYPERLINK("https://www.773grp.com/globalSearch/UC3845BVD/page-1", "UC3845BVD")</f>
        <v>UC3845BVD</v>
      </c>
      <c r="B13526" s="3" t="str">
        <f>HYPERLINK("https://www.773grp.com/manufacturer/onsemi?pageNo=45", "Onsemi")</f>
        <v>Onsemi</v>
      </c>
      <c r="C13526" s="6">
        <v>865</v>
      </c>
      <c r="D13526" s="7">
        <v>2.2599999999999998</v>
      </c>
      <c r="E13526" t="s">
        <v>5</v>
      </c>
    </row>
    <row r="13527" spans="1:5" x14ac:dyDescent="0.25">
      <c r="A13527" t="str">
        <f>HYPERLINK("https://www.773grp.com/globalSearch/UC3845BVD1R2G/page-1", "UC3845BVD1R2G")</f>
        <v>UC3845BVD1R2G</v>
      </c>
      <c r="B13527" s="3" t="str">
        <f>HYPERLINK("https://www.773grp.com/manufacturer/onsemi?pageNo=46", "Onsemi")</f>
        <v>Onsemi</v>
      </c>
      <c r="C13527" s="6">
        <v>5765</v>
      </c>
      <c r="D13527" s="7">
        <v>2.2599999999999998</v>
      </c>
      <c r="E13527" t="s">
        <v>5</v>
      </c>
    </row>
    <row r="13528" spans="1:5" x14ac:dyDescent="0.25">
      <c r="A13528" t="str">
        <f>HYPERLINK("https://www.773grp.com/globalSearch/CAT140089MWI-GT3/page-1", "CAT140089MWI-GT3")</f>
        <v>CAT140089MWI-GT3</v>
      </c>
      <c r="B13528" s="3" t="str">
        <f>HYPERLINK("https://www.773grp.com/manufacturer/onsemi?pageNo=47", "Onsemi")</f>
        <v>Onsemi</v>
      </c>
      <c r="C13528" s="6">
        <v>12000</v>
      </c>
      <c r="D13528" s="7">
        <v>2.33</v>
      </c>
      <c r="E13528" t="s">
        <v>52</v>
      </c>
    </row>
    <row r="13529" spans="1:5" x14ac:dyDescent="0.25">
      <c r="A13529" t="str">
        <f>HYPERLINK("https://www.773grp.com/globalSearch/CAT24C164WI-G/page-1", "CAT24C164WI-G")</f>
        <v>CAT24C164WI-G</v>
      </c>
      <c r="B13529" s="3" t="str">
        <f>HYPERLINK("https://www.773grp.com/manufacturer/onsemi?pageNo=48", "Onsemi")</f>
        <v>Onsemi</v>
      </c>
      <c r="C13529" s="6">
        <v>1830</v>
      </c>
      <c r="D13529" s="7">
        <v>2.33</v>
      </c>
    </row>
    <row r="13530" spans="1:5" x14ac:dyDescent="0.25">
      <c r="A13530" t="str">
        <f>HYPERLINK("https://www.773grp.com/globalSearch/CAT24C164YI-G/page-1", "CAT24C164YI-G")</f>
        <v>CAT24C164YI-G</v>
      </c>
      <c r="B13530" s="3" t="str">
        <f>HYPERLINK("https://www.773grp.com/manufacturer/onsemi?pageNo=49", "Onsemi")</f>
        <v>Onsemi</v>
      </c>
      <c r="C13530" s="6">
        <v>3400</v>
      </c>
      <c r="D13530" s="7">
        <v>2.33</v>
      </c>
      <c r="E13530" t="s">
        <v>52</v>
      </c>
    </row>
    <row r="13531" spans="1:5" x14ac:dyDescent="0.25">
      <c r="A13531" t="str">
        <f>HYPERLINK("https://www.773grp.com/globalSearch/CAT25128XI/page-1", "CAT25128XI")</f>
        <v>CAT25128XI</v>
      </c>
      <c r="B13531" s="3" t="str">
        <f>HYPERLINK("https://www.773grp.com/manufacturer/onsemi?pageNo=50", "Onsemi")</f>
        <v>Onsemi</v>
      </c>
      <c r="C13531" s="6">
        <v>50</v>
      </c>
      <c r="D13531" s="7">
        <v>2.33</v>
      </c>
    </row>
    <row r="13532" spans="1:5" x14ac:dyDescent="0.25">
      <c r="A13532" t="str">
        <f>HYPERLINK("https://www.773grp.com/globalSearch/CAT9555HT6I-GT2/page-1", "CAT9555HT6I-GT2")</f>
        <v>CAT9555HT6I-GT2</v>
      </c>
      <c r="B13532" s="3" t="str">
        <f>HYPERLINK("https://www.773grp.com/manufacturer/onsemi?pageNo=51", "Onsemi")</f>
        <v>Onsemi</v>
      </c>
      <c r="C13532" s="6">
        <v>2000</v>
      </c>
      <c r="D13532" s="7">
        <v>2.33</v>
      </c>
      <c r="E13532" t="s">
        <v>71</v>
      </c>
    </row>
    <row r="13533" spans="1:5" x14ac:dyDescent="0.25">
      <c r="A13533" t="str">
        <f>HYPERLINK("https://www.773grp.com/globalSearch/CAT9555HV6I/page-1", "CAT9555HV6I")</f>
        <v>CAT9555HV6I</v>
      </c>
      <c r="B13533" s="3" t="str">
        <f>HYPERLINK("https://www.773grp.com/manufacturer/onsemi?pageNo=52", "Onsemi")</f>
        <v>Onsemi</v>
      </c>
      <c r="C13533" s="6">
        <v>184</v>
      </c>
      <c r="D13533" s="7">
        <v>2.33</v>
      </c>
      <c r="E13533" t="s">
        <v>71</v>
      </c>
    </row>
    <row r="13534" spans="1:5" x14ac:dyDescent="0.25">
      <c r="A13534" t="str">
        <f>HYPERLINK("https://www.773grp.com/globalSearch/CAT9555HV6I-GT2/page-1", "CAT9555HV6I-GT2")</f>
        <v>CAT9555HV6I-GT2</v>
      </c>
      <c r="B13534" s="3" t="str">
        <f>HYPERLINK("https://www.773grp.com/manufacturer/onsemi?pageNo=53", "Onsemi")</f>
        <v>Onsemi</v>
      </c>
      <c r="C13534" s="6">
        <v>37800</v>
      </c>
      <c r="D13534" s="7">
        <v>2.33</v>
      </c>
      <c r="E13534" t="s">
        <v>71</v>
      </c>
    </row>
    <row r="13535" spans="1:5" x14ac:dyDescent="0.25">
      <c r="A13535" t="str">
        <f>HYPERLINK("https://www.773grp.com/globalSearch/CS3341YD14/page-1", "CS3341YD14")</f>
        <v>CS3341YD14</v>
      </c>
      <c r="B13535" s="3" t="str">
        <f>HYPERLINK("https://www.773grp.com/manufacturer/onsemi?pageNo=54", "Onsemi")</f>
        <v>Onsemi</v>
      </c>
      <c r="C13535" s="6">
        <v>1375</v>
      </c>
      <c r="D13535" s="7">
        <v>2.33</v>
      </c>
      <c r="E13535" t="s">
        <v>36</v>
      </c>
    </row>
    <row r="13536" spans="1:5" x14ac:dyDescent="0.25">
      <c r="A13536" t="str">
        <f>HYPERLINK("https://www.773grp.com/globalSearch/CS3341YD14G/page-1", "CS3341YD14G")</f>
        <v>CS3341YD14G</v>
      </c>
      <c r="B13536" s="3" t="str">
        <f>HYPERLINK("https://www.773grp.com/manufacturer/onsemi?pageNo=55", "Onsemi")</f>
        <v>Onsemi</v>
      </c>
      <c r="C13536" s="6">
        <v>3960</v>
      </c>
      <c r="D13536" s="7">
        <v>2.33</v>
      </c>
      <c r="E13536" t="s">
        <v>36</v>
      </c>
    </row>
    <row r="13537" spans="1:5" x14ac:dyDescent="0.25">
      <c r="A13537" t="str">
        <f>HYPERLINK("https://www.773grp.com/globalSearch/CS3341YDR14/page-1", "CS3341YDR14")</f>
        <v>CS3341YDR14</v>
      </c>
      <c r="B13537" s="3" t="str">
        <f>HYPERLINK("https://www.773grp.com/manufacturer/onsemi?pageNo=56", "Onsemi")</f>
        <v>Onsemi</v>
      </c>
      <c r="C13537" s="6">
        <v>2500</v>
      </c>
      <c r="D13537" s="7">
        <v>2.33</v>
      </c>
      <c r="E13537" t="s">
        <v>36</v>
      </c>
    </row>
    <row r="13538" spans="1:5" x14ac:dyDescent="0.25">
      <c r="A13538" t="str">
        <f>HYPERLINK("https://www.773grp.com/globalSearch/CS3341YDR14G/page-1", "CS3341YDR14G")</f>
        <v>CS3341YDR14G</v>
      </c>
      <c r="B13538" s="3" t="str">
        <f>HYPERLINK("https://www.773grp.com/manufacturer/onsemi?pageNo=57", "Onsemi")</f>
        <v>Onsemi</v>
      </c>
      <c r="C13538" s="6">
        <v>5000</v>
      </c>
      <c r="D13538" s="7">
        <v>2.33</v>
      </c>
      <c r="E13538" t="s">
        <v>36</v>
      </c>
    </row>
    <row r="13539" spans="1:5" x14ac:dyDescent="0.25">
      <c r="A13539" t="str">
        <f>HYPERLINK("https://www.773grp.com/globalSearch/CS5233-3GDPR5/page-1", "CS5233-3GDPR5")</f>
        <v>CS5233-3GDPR5</v>
      </c>
      <c r="B13539" s="3" t="str">
        <f>HYPERLINK("https://www.773grp.com/manufacturer/onsemi?pageNo=58", "Onsemi")</f>
        <v>Onsemi</v>
      </c>
      <c r="C13539" s="6">
        <v>3750</v>
      </c>
      <c r="D13539" s="7">
        <v>2.33</v>
      </c>
      <c r="E13539" t="s">
        <v>24</v>
      </c>
    </row>
    <row r="13540" spans="1:5" x14ac:dyDescent="0.25">
      <c r="A13540" t="str">
        <f>HYPERLINK("https://www.773grp.com/globalSearch/LM2574N-3.3/page-1", "LM2574N-3.3")</f>
        <v>LM2574N-3.3</v>
      </c>
      <c r="B13540" s="3" t="str">
        <f>HYPERLINK("https://www.773grp.com/manufacturer/onsemi?pageNo=59", "Onsemi")</f>
        <v>Onsemi</v>
      </c>
      <c r="C13540" s="6">
        <v>500</v>
      </c>
      <c r="D13540" s="7">
        <v>2.33</v>
      </c>
      <c r="E13540" t="s">
        <v>5</v>
      </c>
    </row>
    <row r="13541" spans="1:5" x14ac:dyDescent="0.25">
      <c r="A13541" t="str">
        <f>HYPERLINK("https://www.773grp.com/globalSearch/LP2951CD-005/page-1", "LP2951CD-005")</f>
        <v>LP2951CD-005</v>
      </c>
      <c r="B13541" s="3" t="str">
        <f>HYPERLINK("https://www.773grp.com/manufacturer/onsemi?pageNo=60", "Onsemi")</f>
        <v>Onsemi</v>
      </c>
      <c r="C13541" s="6">
        <v>196</v>
      </c>
      <c r="D13541" s="7">
        <v>2.33</v>
      </c>
      <c r="E13541" t="s">
        <v>23</v>
      </c>
    </row>
    <row r="13542" spans="1:5" x14ac:dyDescent="0.25">
      <c r="A13542" t="str">
        <f>HYPERLINK("https://www.773grp.com/globalSearch/LP2951CD-5R2/page-1", "LP2951CD-5R2")</f>
        <v>LP2951CD-5R2</v>
      </c>
      <c r="B13542" s="3" t="str">
        <f>HYPERLINK("https://www.773grp.com/manufacturer/onsemi?pageNo=61", "Onsemi")</f>
        <v>Onsemi</v>
      </c>
      <c r="C13542" s="6">
        <v>7402</v>
      </c>
      <c r="D13542" s="7">
        <v>2.33</v>
      </c>
      <c r="E13542" t="s">
        <v>23</v>
      </c>
    </row>
    <row r="13543" spans="1:5" x14ac:dyDescent="0.25">
      <c r="A13543" t="str">
        <f>HYPERLINK("https://www.773grp.com/globalSearch/MC33074DG/page-1", "MC33074DG")</f>
        <v>MC33074DG</v>
      </c>
      <c r="B13543" s="3" t="str">
        <f>HYPERLINK("https://www.773grp.com/manufacturer/onsemi?pageNo=62", "Onsemi")</f>
        <v>Onsemi</v>
      </c>
      <c r="C13543" s="6">
        <v>4343</v>
      </c>
      <c r="D13543" s="7">
        <v>2.33</v>
      </c>
    </row>
    <row r="13544" spans="1:5" x14ac:dyDescent="0.25">
      <c r="A13544" t="str">
        <f>HYPERLINK("https://www.773grp.com/globalSearch/MC33074PG/page-1", "MC33074PG")</f>
        <v>MC33074PG</v>
      </c>
      <c r="B13544" s="3" t="str">
        <f>HYPERLINK("https://www.773grp.com/manufacturer/onsemi?pageNo=63", "Onsemi")</f>
        <v>Onsemi</v>
      </c>
      <c r="C13544" s="6">
        <v>8600</v>
      </c>
      <c r="D13544" s="7">
        <v>2.33</v>
      </c>
    </row>
    <row r="13545" spans="1:5" x14ac:dyDescent="0.25">
      <c r="A13545" t="str">
        <f>HYPERLINK("https://www.773grp.com/globalSearch/MC33152DG/page-1", "MC33152DG")</f>
        <v>MC33152DG</v>
      </c>
      <c r="B13545" s="3" t="str">
        <f>HYPERLINK("https://www.773grp.com/manufacturer/onsemi?pageNo=64", "Onsemi")</f>
        <v>Onsemi</v>
      </c>
      <c r="C13545" s="6">
        <v>1862</v>
      </c>
      <c r="D13545" s="7">
        <v>2.33</v>
      </c>
      <c r="E13545" t="s">
        <v>12</v>
      </c>
    </row>
    <row r="13546" spans="1:5" x14ac:dyDescent="0.25">
      <c r="A13546" t="str">
        <f>HYPERLINK("https://www.773grp.com/globalSearch/MC33152DR2G/page-1", "MC33152DR2G")</f>
        <v>MC33152DR2G</v>
      </c>
      <c r="B13546" s="3" t="str">
        <f>HYPERLINK("https://www.773grp.com/manufacturer/onsemi?pageNo=65", "Onsemi")</f>
        <v>Onsemi</v>
      </c>
      <c r="C13546" s="6">
        <v>2500</v>
      </c>
      <c r="D13546" s="7">
        <v>2.33</v>
      </c>
    </row>
    <row r="13547" spans="1:5" x14ac:dyDescent="0.25">
      <c r="A13547" t="str">
        <f>HYPERLINK("https://www.773grp.com/globalSearch/MC33152PG/page-1", "MC33152PG")</f>
        <v>MC33152PG</v>
      </c>
      <c r="B13547" s="3" t="str">
        <f>HYPERLINK("https://www.773grp.com/manufacturer/onsemi?pageNo=66", "Onsemi")</f>
        <v>Onsemi</v>
      </c>
      <c r="C13547" s="6">
        <v>900</v>
      </c>
      <c r="D13547" s="7">
        <v>2.33</v>
      </c>
      <c r="E13547" t="s">
        <v>12</v>
      </c>
    </row>
    <row r="13548" spans="1:5" x14ac:dyDescent="0.25">
      <c r="A13548" t="str">
        <f>HYPERLINK("https://www.773grp.com/globalSearch/MC33201VDG/page-1", "MC33201VDG")</f>
        <v>MC33201VDG</v>
      </c>
      <c r="B13548" s="3" t="str">
        <f>HYPERLINK("https://www.773grp.com/manufacturer/onsemi?pageNo=67", "Onsemi")</f>
        <v>Onsemi</v>
      </c>
      <c r="C13548" s="6">
        <v>386</v>
      </c>
      <c r="D13548" s="7">
        <v>2.33</v>
      </c>
    </row>
    <row r="13549" spans="1:5" x14ac:dyDescent="0.25">
      <c r="A13549" t="str">
        <f>HYPERLINK("https://www.773grp.com/globalSearch/MC34074AP/page-1", "MC34074AP")</f>
        <v>MC34074AP</v>
      </c>
      <c r="B13549" s="3" t="str">
        <f>HYPERLINK("https://www.773grp.com/manufacturer/onsemi?pageNo=68", "Onsemi")</f>
        <v>Onsemi</v>
      </c>
      <c r="C13549" s="6">
        <v>1775</v>
      </c>
      <c r="D13549" s="7">
        <v>2.33</v>
      </c>
    </row>
    <row r="13550" spans="1:5" x14ac:dyDescent="0.25">
      <c r="A13550" t="str">
        <f>HYPERLINK("https://www.773grp.com/globalSearch/MC34161DR2/page-1", "MC34161DR2")</f>
        <v>MC34161DR2</v>
      </c>
      <c r="B13550" s="3" t="str">
        <f>HYPERLINK("https://www.773grp.com/manufacturer/onsemi?pageNo=69", "Onsemi")</f>
        <v>Onsemi</v>
      </c>
      <c r="C13550" s="6">
        <v>2500</v>
      </c>
      <c r="D13550" s="7">
        <v>2.33</v>
      </c>
      <c r="E13550" t="s">
        <v>26</v>
      </c>
    </row>
    <row r="13551" spans="1:5" x14ac:dyDescent="0.25">
      <c r="A13551" t="str">
        <f>HYPERLINK("https://www.773grp.com/globalSearch/MLD1N06CLT4G/page-1", "MLD1N06CLT4G")</f>
        <v>MLD1N06CLT4G</v>
      </c>
      <c r="B13551" s="3" t="str">
        <f>HYPERLINK("https://www.773grp.com/manufacturer/onsemi?pageNo=70", "Onsemi")</f>
        <v>Onsemi</v>
      </c>
      <c r="C13551" s="6">
        <v>2660</v>
      </c>
      <c r="D13551" s="7">
        <v>2.33</v>
      </c>
      <c r="E13551" t="s">
        <v>84</v>
      </c>
    </row>
    <row r="13552" spans="1:5" x14ac:dyDescent="0.25">
      <c r="A13552" t="str">
        <f>HYPERLINK("https://www.773grp.com/globalSearch/MMDF2P02ER2/page-1", "MMDF2P02ER2")</f>
        <v>MMDF2P02ER2</v>
      </c>
      <c r="B13552" s="3" t="str">
        <f>HYPERLINK("https://www.773grp.com/manufacturer/onsemi?pageNo=71", "Onsemi")</f>
        <v>Onsemi</v>
      </c>
      <c r="C13552" s="6">
        <v>4404</v>
      </c>
      <c r="D13552" s="7">
        <v>2.33</v>
      </c>
      <c r="E13552" t="s">
        <v>84</v>
      </c>
    </row>
    <row r="13553" spans="1:5" x14ac:dyDescent="0.25">
      <c r="A13553" t="str">
        <f>HYPERLINK("https://www.773grp.com/globalSearch/MMDF2P02ER2G/page-1", "MMDF2P02ER2G")</f>
        <v>MMDF2P02ER2G</v>
      </c>
      <c r="B13553" s="3" t="str">
        <f>HYPERLINK("https://www.773grp.com/manufacturer/onsemi?pageNo=72", "Onsemi")</f>
        <v>Onsemi</v>
      </c>
      <c r="C13553" s="6">
        <v>5000</v>
      </c>
      <c r="D13553" s="7">
        <v>2.33</v>
      </c>
    </row>
    <row r="13554" spans="1:5" x14ac:dyDescent="0.25">
      <c r="A13554" t="str">
        <f>HYPERLINK("https://www.773grp.com/globalSearch/MMDF2P02HDR2G/page-1", "MMDF2P02HDR2G")</f>
        <v>MMDF2P02HDR2G</v>
      </c>
      <c r="B13554" s="3" t="str">
        <f>HYPERLINK("https://www.773grp.com/manufacturer/onsemi?pageNo=73", "Onsemi")</f>
        <v>Onsemi</v>
      </c>
      <c r="C13554" s="6">
        <v>2500</v>
      </c>
      <c r="D13554" s="7">
        <v>2.33</v>
      </c>
    </row>
    <row r="13555" spans="1:5" x14ac:dyDescent="0.25">
      <c r="A13555" t="str">
        <f>HYPERLINK("https://www.773grp.com/globalSearch/NCP1050ST100T3G/page-1", "NCP1050ST100T3G")</f>
        <v>NCP1050ST100T3G</v>
      </c>
      <c r="B13555" s="3" t="str">
        <f>HYPERLINK("https://www.773grp.com/manufacturer/onsemi?pageNo=74", "Onsemi")</f>
        <v>Onsemi</v>
      </c>
      <c r="C13555" s="6">
        <v>3450</v>
      </c>
      <c r="D13555" s="7">
        <v>2.33</v>
      </c>
    </row>
    <row r="13556" spans="1:5" x14ac:dyDescent="0.25">
      <c r="A13556" t="str">
        <f>HYPERLINK("https://www.773grp.com/globalSearch/NCP1050ST44T3G/page-1", "NCP1050ST44T3G")</f>
        <v>NCP1050ST44T3G</v>
      </c>
      <c r="B13556" s="3" t="str">
        <f>HYPERLINK("https://www.773grp.com/manufacturer/onsemi?pageNo=75", "Onsemi")</f>
        <v>Onsemi</v>
      </c>
      <c r="C13556" s="6">
        <v>8137</v>
      </c>
      <c r="D13556" s="7">
        <v>2.33</v>
      </c>
    </row>
    <row r="13557" spans="1:5" x14ac:dyDescent="0.25">
      <c r="A13557" t="str">
        <f>HYPERLINK("https://www.773grp.com/globalSearch/NCP1051ST136T3G/page-1", "NCP1051ST136T3G")</f>
        <v>NCP1051ST136T3G</v>
      </c>
      <c r="B13557" s="3" t="str">
        <f>HYPERLINK("https://www.773grp.com/manufacturer/onsemi?pageNo=76", "Onsemi")</f>
        <v>Onsemi</v>
      </c>
      <c r="C13557" s="6">
        <v>12880</v>
      </c>
      <c r="D13557" s="7">
        <v>2.33</v>
      </c>
      <c r="E13557" t="s">
        <v>5</v>
      </c>
    </row>
    <row r="13558" spans="1:5" x14ac:dyDescent="0.25">
      <c r="A13558" t="str">
        <f>HYPERLINK("https://www.773grp.com/globalSearch/NCP1051ST44T3G/page-1", "NCP1051ST44T3G")</f>
        <v>NCP1051ST44T3G</v>
      </c>
      <c r="B13558" s="3" t="str">
        <f>HYPERLINK("https://www.773grp.com/manufacturer/onsemi?pageNo=77", "Onsemi")</f>
        <v>Onsemi</v>
      </c>
      <c r="C13558" s="6">
        <v>8000</v>
      </c>
      <c r="D13558" s="7">
        <v>2.33</v>
      </c>
      <c r="E13558" t="s">
        <v>5</v>
      </c>
    </row>
    <row r="13559" spans="1:5" x14ac:dyDescent="0.25">
      <c r="A13559" t="str">
        <f>HYPERLINK("https://www.773grp.com/globalSearch/NCP1052ST100T3G/page-1", "NCP1052ST100T3G")</f>
        <v>NCP1052ST100T3G</v>
      </c>
      <c r="B13559" s="3" t="str">
        <f>HYPERLINK("https://www.773grp.com/manufacturer/onsemi?pageNo=78", "Onsemi")</f>
        <v>Onsemi</v>
      </c>
      <c r="C13559" s="6">
        <v>4000</v>
      </c>
      <c r="D13559" s="7">
        <v>2.33</v>
      </c>
    </row>
    <row r="13560" spans="1:5" x14ac:dyDescent="0.25">
      <c r="A13560" t="str">
        <f>HYPERLINK("https://www.773grp.com/globalSearch/NCP1207DR2/page-1", "NCP1207DR2")</f>
        <v>NCP1207DR2</v>
      </c>
      <c r="B13560" s="3" t="str">
        <f>HYPERLINK("https://www.773grp.com/manufacturer/onsemi?pageNo=79", "Onsemi")</f>
        <v>Onsemi</v>
      </c>
      <c r="C13560" s="6">
        <v>49405</v>
      </c>
      <c r="D13560" s="7">
        <v>2.33</v>
      </c>
      <c r="E13560" t="s">
        <v>5</v>
      </c>
    </row>
    <row r="13561" spans="1:5" x14ac:dyDescent="0.25">
      <c r="A13561" t="str">
        <f>HYPERLINK("https://www.773grp.com/globalSearch/NCP1417DMR2/page-1", "NCP1417DMR2")</f>
        <v>NCP1417DMR2</v>
      </c>
      <c r="B13561" s="3" t="str">
        <f>HYPERLINK("https://www.773grp.com/manufacturer/onsemi?pageNo=80", "Onsemi")</f>
        <v>Onsemi</v>
      </c>
      <c r="C13561" s="6">
        <v>7294</v>
      </c>
      <c r="D13561" s="7">
        <v>2.33</v>
      </c>
      <c r="E13561" t="s">
        <v>5</v>
      </c>
    </row>
    <row r="13562" spans="1:5" x14ac:dyDescent="0.25">
      <c r="A13562" t="str">
        <f>HYPERLINK("https://www.773grp.com/globalSearch/NCP4640H020T1G/page-1", "NCP4640H020T1G")</f>
        <v>NCP4640H020T1G</v>
      </c>
      <c r="B13562" s="3" t="str">
        <f>HYPERLINK("https://www.773grp.com/manufacturer/onsemi?pageNo=81", "Onsemi")</f>
        <v>Onsemi</v>
      </c>
      <c r="C13562" s="6">
        <v>7000</v>
      </c>
      <c r="D13562" s="7">
        <v>2.33</v>
      </c>
    </row>
    <row r="13563" spans="1:5" x14ac:dyDescent="0.25">
      <c r="A13563" t="str">
        <f>HYPERLINK("https://www.773grp.com/globalSearch/NCP4640H030T1G/page-1", "NCP4640H030T1G")</f>
        <v>NCP4640H030T1G</v>
      </c>
      <c r="B13563" s="3" t="str">
        <f>HYPERLINK("https://www.773grp.com/manufacturer/onsemi?pageNo=82", "Onsemi")</f>
        <v>Onsemi</v>
      </c>
      <c r="C13563" s="6">
        <v>7810</v>
      </c>
      <c r="D13563" s="7">
        <v>2.33</v>
      </c>
    </row>
    <row r="13564" spans="1:5" x14ac:dyDescent="0.25">
      <c r="A13564" t="str">
        <f>HYPERLINK("https://www.773grp.com/globalSearch/NCP4640H033T1G/page-1", "NCP4640H033T1G")</f>
        <v>NCP4640H033T1G</v>
      </c>
      <c r="B13564" s="3" t="str">
        <f>HYPERLINK("https://www.773grp.com/manufacturer/onsemi?pageNo=83", "Onsemi")</f>
        <v>Onsemi</v>
      </c>
      <c r="C13564" s="6">
        <v>1363</v>
      </c>
      <c r="D13564" s="7">
        <v>2.33</v>
      </c>
    </row>
    <row r="13565" spans="1:5" x14ac:dyDescent="0.25">
      <c r="A13565" t="str">
        <f>HYPERLINK("https://www.773grp.com/globalSearch/NCP4640H080T1G/page-1", "NCP4640H080T1G")</f>
        <v>NCP4640H080T1G</v>
      </c>
      <c r="B13565" s="3" t="str">
        <f>HYPERLINK("https://www.773grp.com/manufacturer/onsemi?pageNo=84", "Onsemi")</f>
        <v>Onsemi</v>
      </c>
      <c r="C13565" s="6">
        <v>1965</v>
      </c>
      <c r="D13565" s="7">
        <v>2.33</v>
      </c>
    </row>
    <row r="13566" spans="1:5" x14ac:dyDescent="0.25">
      <c r="A13566" t="str">
        <f>HYPERLINK("https://www.773grp.com/globalSearch/NCP4640H120T1G/page-1", "NCP4640H120T1G")</f>
        <v>NCP4640H120T1G</v>
      </c>
      <c r="B13566" s="3" t="str">
        <f>HYPERLINK("https://www.773grp.com/manufacturer/onsemi?pageNo=85", "Onsemi")</f>
        <v>Onsemi</v>
      </c>
      <c r="C13566" s="6">
        <v>2000</v>
      </c>
      <c r="D13566" s="7">
        <v>2.33</v>
      </c>
    </row>
    <row r="13567" spans="1:5" x14ac:dyDescent="0.25">
      <c r="A13567" t="str">
        <f>HYPERLINK("https://www.773grp.com/globalSearch/NCP5355DG/page-1", "NCP5355DG")</f>
        <v>NCP5355DG</v>
      </c>
      <c r="B13567" s="3" t="str">
        <f>HYPERLINK("https://www.773grp.com/manufacturer/onsemi?pageNo=86", "Onsemi")</f>
        <v>Onsemi</v>
      </c>
      <c r="C13567" s="6">
        <v>1886</v>
      </c>
      <c r="D13567" s="7">
        <v>2.33</v>
      </c>
      <c r="E13567" t="s">
        <v>12</v>
      </c>
    </row>
    <row r="13568" spans="1:5" x14ac:dyDescent="0.25">
      <c r="A13568" t="str">
        <f>HYPERLINK("https://www.773grp.com/globalSearch/NCP5355DR2G/page-1", "NCP5355DR2G")</f>
        <v>NCP5355DR2G</v>
      </c>
      <c r="B13568" s="3" t="str">
        <f>HYPERLINK("https://www.773grp.com/manufacturer/onsemi?pageNo=87", "Onsemi")</f>
        <v>Onsemi</v>
      </c>
      <c r="C13568" s="6">
        <v>32500</v>
      </c>
      <c r="D13568" s="7">
        <v>2.33</v>
      </c>
      <c r="E13568" t="s">
        <v>12</v>
      </c>
    </row>
    <row r="13569" spans="1:5" x14ac:dyDescent="0.25">
      <c r="A13569" t="str">
        <f>HYPERLINK("https://www.773grp.com/globalSearch/NCP623MN-33R2G/page-1", "NCP623MN-33R2G")</f>
        <v>NCP623MN-33R2G</v>
      </c>
      <c r="B13569" s="3" t="str">
        <f>HYPERLINK("https://www.773grp.com/manufacturer/onsemi?pageNo=88", "Onsemi")</f>
        <v>Onsemi</v>
      </c>
      <c r="C13569" s="6">
        <v>3000</v>
      </c>
      <c r="D13569" s="7">
        <v>2.33</v>
      </c>
    </row>
    <row r="13570" spans="1:5" x14ac:dyDescent="0.25">
      <c r="A13570" t="str">
        <f>HYPERLINK("https://www.773grp.com/globalSearch/NCP623MN-50R2G/page-1", "NCP623MN-50R2G")</f>
        <v>NCP623MN-50R2G</v>
      </c>
      <c r="B13570" s="3" t="str">
        <f>HYPERLINK("https://www.773grp.com/manufacturer/onsemi?pageNo=89", "Onsemi")</f>
        <v>Onsemi</v>
      </c>
      <c r="C13570" s="6">
        <v>50600</v>
      </c>
      <c r="D13570" s="7">
        <v>2.33</v>
      </c>
      <c r="E13570" t="s">
        <v>15</v>
      </c>
    </row>
    <row r="13571" spans="1:5" x14ac:dyDescent="0.25">
      <c r="A13571" t="str">
        <f>HYPERLINK("https://www.773grp.com/globalSearch/NCV8535MN150R2G/page-1", "NCV8535MN150R2G")</f>
        <v>NCV8535MN150R2G</v>
      </c>
      <c r="B13571" s="3" t="str">
        <f>HYPERLINK("https://www.773grp.com/manufacturer/onsemi?pageNo=90", "Onsemi")</f>
        <v>Onsemi</v>
      </c>
      <c r="C13571" s="6">
        <v>8660</v>
      </c>
      <c r="D13571" s="7">
        <v>2.33</v>
      </c>
      <c r="E13571" t="s">
        <v>15</v>
      </c>
    </row>
    <row r="13572" spans="1:5" x14ac:dyDescent="0.25">
      <c r="A13572" t="str">
        <f>HYPERLINK("https://www.773grp.com/globalSearch/NCV8535MN250R2G/page-1", "NCV8535MN250R2G")</f>
        <v>NCV8535MN250R2G</v>
      </c>
      <c r="B13572" s="3" t="str">
        <f>HYPERLINK("https://www.773grp.com/manufacturer/onsemi?pageNo=91", "Onsemi")</f>
        <v>Onsemi</v>
      </c>
      <c r="C13572" s="6">
        <v>3375</v>
      </c>
      <c r="D13572" s="7">
        <v>2.33</v>
      </c>
    </row>
    <row r="13573" spans="1:5" x14ac:dyDescent="0.25">
      <c r="A13573" t="str">
        <f>HYPERLINK("https://www.773grp.com/globalSearch/NCV8535MN280R2G/page-1", "NCV8535MN280R2G")</f>
        <v>NCV8535MN280R2G</v>
      </c>
      <c r="B13573" s="3" t="str">
        <f>HYPERLINK("https://www.773grp.com/manufacturer/onsemi?pageNo=92", "Onsemi")</f>
        <v>Onsemi</v>
      </c>
      <c r="C13573" s="6">
        <v>12000</v>
      </c>
      <c r="D13573" s="7">
        <v>2.33</v>
      </c>
      <c r="E13573" t="s">
        <v>15</v>
      </c>
    </row>
    <row r="13574" spans="1:5" x14ac:dyDescent="0.25">
      <c r="A13574" t="str">
        <f>HYPERLINK("https://www.773grp.com/globalSearch/NCV8535MN285R2G/page-1", "NCV8535MN285R2G")</f>
        <v>NCV8535MN285R2G</v>
      </c>
      <c r="B13574" s="3" t="str">
        <f>HYPERLINK("https://www.773grp.com/manufacturer/onsemi?pageNo=93", "Onsemi")</f>
        <v>Onsemi</v>
      </c>
      <c r="C13574" s="6">
        <v>11980</v>
      </c>
      <c r="D13574" s="7">
        <v>2.33</v>
      </c>
      <c r="E13574" t="s">
        <v>15</v>
      </c>
    </row>
    <row r="13575" spans="1:5" x14ac:dyDescent="0.25">
      <c r="A13575" t="str">
        <f>HYPERLINK("https://www.773grp.com/globalSearch/NCV8535MN300R2G/page-1", "NCV8535MN300R2G")</f>
        <v>NCV8535MN300R2G</v>
      </c>
      <c r="B13575" s="3" t="str">
        <f>HYPERLINK("https://www.773grp.com/manufacturer/onsemi?pageNo=94", "Onsemi")</f>
        <v>Onsemi</v>
      </c>
      <c r="C13575" s="6">
        <v>9000</v>
      </c>
      <c r="D13575" s="7">
        <v>2.33</v>
      </c>
    </row>
    <row r="13576" spans="1:5" x14ac:dyDescent="0.25">
      <c r="A13576" t="str">
        <f>HYPERLINK("https://www.773grp.com/globalSearch/NCV8535MN350R2G/page-1", "NCV8535MN350R2G")</f>
        <v>NCV8535MN350R2G</v>
      </c>
      <c r="B13576" s="3" t="str">
        <f>HYPERLINK("https://www.773grp.com/manufacturer/onsemi?pageNo=95", "Onsemi")</f>
        <v>Onsemi</v>
      </c>
      <c r="C13576" s="6">
        <v>3000</v>
      </c>
      <c r="D13576" s="7">
        <v>2.33</v>
      </c>
      <c r="E13576" t="s">
        <v>15</v>
      </c>
    </row>
    <row r="13577" spans="1:5" x14ac:dyDescent="0.25">
      <c r="A13577" t="str">
        <f>HYPERLINK("https://www.773grp.com/globalSearch/NCV8535MN500R2G/page-1", "NCV8535MN500R2G")</f>
        <v>NCV8535MN500R2G</v>
      </c>
      <c r="B13577" s="3" t="str">
        <f>HYPERLINK("https://www.773grp.com/manufacturer/onsemi?pageNo=96", "Onsemi")</f>
        <v>Onsemi</v>
      </c>
      <c r="C13577" s="6">
        <v>5010</v>
      </c>
      <c r="D13577" s="7">
        <v>2.33</v>
      </c>
    </row>
    <row r="13578" spans="1:5" x14ac:dyDescent="0.25">
      <c r="A13578" t="str">
        <f>HYPERLINK("https://www.773grp.com/globalSearch/NCV8535MNADJR2G/page-1", "NCV8535MNADJR2G")</f>
        <v>NCV8535MNADJR2G</v>
      </c>
      <c r="B13578" s="3" t="str">
        <f>HYPERLINK("https://www.773grp.com/manufacturer/onsemi?pageNo=97", "Onsemi")</f>
        <v>Onsemi</v>
      </c>
      <c r="C13578" s="6">
        <v>8288</v>
      </c>
      <c r="D13578" s="7">
        <v>2.33</v>
      </c>
    </row>
    <row r="13579" spans="1:5" x14ac:dyDescent="0.25">
      <c r="A13579" t="str">
        <f>HYPERLINK("https://www.773grp.com/globalSearch/NCV8537MN180R2G/page-1", "NCV8537MN180R2G")</f>
        <v>NCV8537MN180R2G</v>
      </c>
      <c r="B13579" s="3" t="str">
        <f>HYPERLINK("https://www.773grp.com/manufacturer/onsemi?pageNo=98", "Onsemi")</f>
        <v>Onsemi</v>
      </c>
      <c r="C13579" s="6">
        <v>9000</v>
      </c>
      <c r="D13579" s="7">
        <v>2.33</v>
      </c>
    </row>
    <row r="13580" spans="1:5" x14ac:dyDescent="0.25">
      <c r="A13580" t="str">
        <f>HYPERLINK("https://www.773grp.com/globalSearch/NCV8537MN250R2G/page-1", "NCV8537MN250R2G")</f>
        <v>NCV8537MN250R2G</v>
      </c>
      <c r="B13580" s="3" t="str">
        <f>HYPERLINK("https://www.773grp.com/manufacturer/onsemi?pageNo=99", "Onsemi")</f>
        <v>Onsemi</v>
      </c>
      <c r="C13580" s="6">
        <v>12000</v>
      </c>
      <c r="D13580" s="7">
        <v>2.33</v>
      </c>
    </row>
    <row r="13581" spans="1:5" x14ac:dyDescent="0.25">
      <c r="A13581" t="str">
        <f>HYPERLINK("https://www.773grp.com/globalSearch/NCV8537MN330R2G/page-1", "NCV8537MN330R2G")</f>
        <v>NCV8537MN330R2G</v>
      </c>
      <c r="B13581" s="3" t="str">
        <f>HYPERLINK("https://www.773grp.com/manufacturer/onsemi?pageNo=100", "Onsemi")</f>
        <v>Onsemi</v>
      </c>
      <c r="C13581" s="6">
        <v>12000</v>
      </c>
      <c r="D13581" s="7">
        <v>2.33</v>
      </c>
    </row>
    <row r="13582" spans="1:5" x14ac:dyDescent="0.25">
      <c r="A13582" t="str">
        <f>HYPERLINK("https://www.773grp.com/globalSearch/NCV8537MN500R2G/page-1", "NCV8537MN500R2G")</f>
        <v>NCV8537MN500R2G</v>
      </c>
      <c r="B13582" s="3" t="str">
        <f>HYPERLINK("https://www.773grp.com/manufacturer/onsemi?pageNo=101", "Onsemi")</f>
        <v>Onsemi</v>
      </c>
      <c r="C13582" s="6">
        <v>15000</v>
      </c>
      <c r="D13582" s="7">
        <v>2.33</v>
      </c>
    </row>
    <row r="13583" spans="1:5" x14ac:dyDescent="0.25">
      <c r="A13583" t="str">
        <f>HYPERLINK("https://www.773grp.com/globalSearch/NCV8537MNADJR2G/page-1", "NCV8537MNADJR2G")</f>
        <v>NCV8537MNADJR2G</v>
      </c>
      <c r="B13583" s="3" t="str">
        <f>HYPERLINK("https://www.773grp.com/manufacturer/onsemi?pageNo=102", "Onsemi")</f>
        <v>Onsemi</v>
      </c>
      <c r="C13583" s="6">
        <v>9000</v>
      </c>
      <c r="D13583" s="7">
        <v>2.33</v>
      </c>
    </row>
    <row r="13584" spans="1:5" x14ac:dyDescent="0.25">
      <c r="A13584" t="str">
        <f>HYPERLINK("https://www.773grp.com/globalSearch/NTST30100SG/page-1", "NTST30100SG")</f>
        <v>NTST30100SG</v>
      </c>
      <c r="B13584" s="3" t="str">
        <f>HYPERLINK("https://www.773grp.com/manufacturer/onsemi?pageNo=103", "Onsemi")</f>
        <v>Onsemi</v>
      </c>
      <c r="C13584" s="6">
        <v>68838</v>
      </c>
      <c r="D13584" s="7">
        <v>2.33</v>
      </c>
      <c r="E13584" t="s">
        <v>82</v>
      </c>
    </row>
    <row r="13585" spans="1:5" x14ac:dyDescent="0.25">
      <c r="A13585" t="str">
        <f>HYPERLINK("https://www.773grp.com/globalSearch/NTTFS4943NTAG/page-1", "NTTFS4943NTAG")</f>
        <v>NTTFS4943NTAG</v>
      </c>
      <c r="B13585" s="3" t="str">
        <f>HYPERLINK("https://www.773grp.com/manufacturer/onsemi?pageNo=104", "Onsemi")</f>
        <v>Onsemi</v>
      </c>
      <c r="C13585" s="6">
        <v>72000</v>
      </c>
      <c r="D13585" s="7">
        <v>2.33</v>
      </c>
      <c r="E13585" t="s">
        <v>85</v>
      </c>
    </row>
    <row r="13586" spans="1:5" x14ac:dyDescent="0.25">
      <c r="A13586" t="str">
        <f>HYPERLINK("https://www.773grp.com/globalSearch/UC2844D/page-1", "UC2844D")</f>
        <v>UC2844D</v>
      </c>
      <c r="B13586" s="3" t="str">
        <f>HYPERLINK("https://www.773grp.com/manufacturer/onsemi?pageNo=105", "Onsemi")</f>
        <v>Onsemi</v>
      </c>
      <c r="C13586" s="6">
        <v>3150</v>
      </c>
      <c r="D13586" s="7">
        <v>2.33</v>
      </c>
      <c r="E13586" t="s">
        <v>5</v>
      </c>
    </row>
    <row r="13587" spans="1:5" x14ac:dyDescent="0.25">
      <c r="A13587" t="str">
        <f>HYPERLINK("https://www.773grp.com/globalSearch/UC2845D/page-1", "UC2845D")</f>
        <v>UC2845D</v>
      </c>
      <c r="B13587" s="3" t="str">
        <f>HYPERLINK("https://www.773grp.com/manufacturer/onsemi?pageNo=106", "Onsemi")</f>
        <v>Onsemi</v>
      </c>
      <c r="C13587" s="6">
        <v>787</v>
      </c>
      <c r="D13587" s="7">
        <v>2.33</v>
      </c>
      <c r="E13587" t="s">
        <v>5</v>
      </c>
    </row>
    <row r="13588" spans="1:5" x14ac:dyDescent="0.25">
      <c r="A13588" t="str">
        <f>HYPERLINK("https://www.773grp.com/globalSearch/2N6042/page-1", "2N6042")</f>
        <v>2N6042</v>
      </c>
      <c r="B13588" s="3" t="str">
        <f>HYPERLINK("https://www.773grp.com/manufacturer/onsemi?pageNo=107", "Onsemi")</f>
        <v>Onsemi</v>
      </c>
      <c r="C13588" s="6">
        <v>561</v>
      </c>
      <c r="D13588" s="7">
        <v>2.38</v>
      </c>
      <c r="E13588" t="s">
        <v>47</v>
      </c>
    </row>
    <row r="13589" spans="1:5" x14ac:dyDescent="0.25">
      <c r="A13589" t="str">
        <f>HYPERLINK("https://www.773grp.com/globalSearch/2N6288G/page-1", "2N6288G")</f>
        <v>2N6288G</v>
      </c>
      <c r="B13589" s="3" t="str">
        <f>HYPERLINK("https://www.773grp.com/manufacturer/onsemi?pageNo=108", "Onsemi")</f>
        <v>Onsemi</v>
      </c>
      <c r="C13589" s="6">
        <v>7131</v>
      </c>
      <c r="D13589" s="7">
        <v>2.38</v>
      </c>
      <c r="E13589" t="s">
        <v>47</v>
      </c>
    </row>
    <row r="13590" spans="1:5" x14ac:dyDescent="0.25">
      <c r="A13590" t="str">
        <f>HYPERLINK("https://www.773grp.com/globalSearch/2N6292G/page-1", "2N6292G")</f>
        <v>2N6292G</v>
      </c>
      <c r="B13590" s="3" t="str">
        <f>HYPERLINK("https://www.773grp.com/manufacturer/onsemi?pageNo=109", "Onsemi")</f>
        <v>Onsemi</v>
      </c>
      <c r="C13590" s="6">
        <v>5157</v>
      </c>
      <c r="D13590" s="7">
        <v>2.38</v>
      </c>
      <c r="E13590" t="s">
        <v>47</v>
      </c>
    </row>
    <row r="13591" spans="1:5" x14ac:dyDescent="0.25">
      <c r="A13591" t="str">
        <f>HYPERLINK("https://www.773grp.com/globalSearch/2N6490G/page-1", "2N6490G")</f>
        <v>2N6490G</v>
      </c>
      <c r="B13591" s="3" t="str">
        <f>HYPERLINK("https://www.773grp.com/manufacturer/onsemi?pageNo=110", "Onsemi")</f>
        <v>Onsemi</v>
      </c>
      <c r="C13591" s="6">
        <v>255</v>
      </c>
      <c r="D13591" s="7">
        <v>2.38</v>
      </c>
      <c r="E13591" t="s">
        <v>47</v>
      </c>
    </row>
    <row r="13592" spans="1:5" x14ac:dyDescent="0.25">
      <c r="A13592" t="str">
        <f>HYPERLINK("https://www.773grp.com/globalSearch/2N6491G/page-1", "2N6491G")</f>
        <v>2N6491G</v>
      </c>
      <c r="B13592" s="3" t="str">
        <f>HYPERLINK("https://www.773grp.com/manufacturer/onsemi?pageNo=111", "Onsemi")</f>
        <v>Onsemi</v>
      </c>
      <c r="C13592" s="6">
        <v>56540</v>
      </c>
      <c r="D13592" s="7">
        <v>2.38</v>
      </c>
      <c r="E13592" t="s">
        <v>47</v>
      </c>
    </row>
    <row r="13593" spans="1:5" x14ac:dyDescent="0.25">
      <c r="A13593" t="str">
        <f>HYPERLINK("https://www.773grp.com/globalSearch/ADP3118JRZ/page-1", "ADP3118JRZ")</f>
        <v>ADP3118JRZ</v>
      </c>
      <c r="B13593" s="3" t="str">
        <f>HYPERLINK("https://www.773grp.com/manufacturer/onsemi?pageNo=112", "Onsemi")</f>
        <v>Onsemi</v>
      </c>
      <c r="C13593" s="6">
        <v>392</v>
      </c>
      <c r="D13593" s="7">
        <v>2.38</v>
      </c>
      <c r="E13593" t="s">
        <v>12</v>
      </c>
    </row>
    <row r="13594" spans="1:5" x14ac:dyDescent="0.25">
      <c r="A13594" t="str">
        <f>HYPERLINK("https://www.773grp.com/globalSearch/AU5517DR2/page-1", "AU5517DR2")</f>
        <v>AU5517DR2</v>
      </c>
      <c r="B13594" s="3" t="str">
        <f>HYPERLINK("https://www.773grp.com/manufacturer/onsemi?pageNo=113", "Onsemi")</f>
        <v>Onsemi</v>
      </c>
      <c r="C13594" s="6">
        <v>9685</v>
      </c>
      <c r="D13594" s="7">
        <v>2.38</v>
      </c>
      <c r="E13594" t="s">
        <v>10</v>
      </c>
    </row>
    <row r="13595" spans="1:5" x14ac:dyDescent="0.25">
      <c r="A13595" t="str">
        <f>HYPERLINK("https://www.773grp.com/globalSearch/BD810G/page-1", "BD810G")</f>
        <v>BD810G</v>
      </c>
      <c r="B13595" s="3" t="str">
        <f>HYPERLINK("https://www.773grp.com/manufacturer/onsemi?pageNo=114", "Onsemi")</f>
        <v>Onsemi</v>
      </c>
      <c r="C13595" s="6">
        <v>1728</v>
      </c>
      <c r="D13595" s="7">
        <v>2.38</v>
      </c>
      <c r="E13595" t="s">
        <v>47</v>
      </c>
    </row>
    <row r="13596" spans="1:5" x14ac:dyDescent="0.25">
      <c r="A13596" t="str">
        <f>HYPERLINK("https://www.773grp.com/globalSearch/BTA08-600BW3G/page-1", "BTA08-600BW3G")</f>
        <v>BTA08-600BW3G</v>
      </c>
      <c r="B13596" s="3" t="str">
        <f>HYPERLINK("https://www.773grp.com/manufacturer/onsemi?pageNo=115", "Onsemi")</f>
        <v>Onsemi</v>
      </c>
      <c r="C13596" s="6">
        <v>21550</v>
      </c>
      <c r="D13596" s="7">
        <v>2.38</v>
      </c>
      <c r="E13596" t="s">
        <v>81</v>
      </c>
    </row>
    <row r="13597" spans="1:5" x14ac:dyDescent="0.25">
      <c r="A13597" t="str">
        <f>HYPERLINK("https://www.773grp.com/globalSearch/BTA08-600CW3G/page-1", "BTA08-600CW3G")</f>
        <v>BTA08-600CW3G</v>
      </c>
      <c r="B13597" s="3" t="str">
        <f>HYPERLINK("https://www.773grp.com/manufacturer/onsemi?pageNo=116", "Onsemi")</f>
        <v>Onsemi</v>
      </c>
      <c r="C13597" s="6">
        <v>2150</v>
      </c>
      <c r="D13597" s="7">
        <v>2.38</v>
      </c>
      <c r="E13597" t="s">
        <v>81</v>
      </c>
    </row>
    <row r="13598" spans="1:5" x14ac:dyDescent="0.25">
      <c r="A13598" t="str">
        <f>HYPERLINK("https://www.773grp.com/globalSearch/BTA08-800CW3G/page-1", "BTA08-800CW3G")</f>
        <v>BTA08-800CW3G</v>
      </c>
      <c r="B13598" s="3" t="str">
        <f>HYPERLINK("https://www.773grp.com/manufacturer/onsemi?pageNo=117", "Onsemi")</f>
        <v>Onsemi</v>
      </c>
      <c r="C13598" s="6">
        <v>672859</v>
      </c>
      <c r="D13598" s="7">
        <v>2.38</v>
      </c>
      <c r="E13598" t="s">
        <v>81</v>
      </c>
    </row>
    <row r="13599" spans="1:5" x14ac:dyDescent="0.25">
      <c r="A13599" t="str">
        <f>HYPERLINK("https://www.773grp.com/globalSearch/BTA08-800CW3LFG/page-1", "BTA08-800CW3LFG")</f>
        <v>BTA08-800CW3LFG</v>
      </c>
      <c r="B13599" s="3" t="str">
        <f>HYPERLINK("https://www.773grp.com/manufacturer/onsemi?pageNo=118", "Onsemi")</f>
        <v>Onsemi</v>
      </c>
      <c r="C13599" s="6">
        <v>1060</v>
      </c>
      <c r="D13599" s="7">
        <v>2.38</v>
      </c>
    </row>
    <row r="13600" spans="1:5" x14ac:dyDescent="0.25">
      <c r="A13600" t="str">
        <f>HYPERLINK("https://www.773grp.com/globalSearch/BTB16-600BW3G/page-1", "BTB16-600BW3G")</f>
        <v>BTB16-600BW3G</v>
      </c>
      <c r="B13600" s="3" t="str">
        <f>HYPERLINK("https://www.773grp.com/manufacturer/onsemi?pageNo=119", "Onsemi")</f>
        <v>Onsemi</v>
      </c>
      <c r="C13600" s="6">
        <v>110250</v>
      </c>
      <c r="D13600" s="7">
        <v>2.38</v>
      </c>
      <c r="E13600" t="s">
        <v>81</v>
      </c>
    </row>
    <row r="13601" spans="1:5" x14ac:dyDescent="0.25">
      <c r="A13601" t="str">
        <f>HYPERLINK("https://www.773grp.com/globalSearch/BU406G/page-1", "BU406G")</f>
        <v>BU406G</v>
      </c>
      <c r="B13601" s="3" t="str">
        <f>HYPERLINK("https://www.773grp.com/manufacturer/onsemi?pageNo=120", "Onsemi")</f>
        <v>Onsemi</v>
      </c>
      <c r="C13601" s="6">
        <v>33053</v>
      </c>
      <c r="D13601" s="7">
        <v>2.38</v>
      </c>
      <c r="E13601" t="s">
        <v>47</v>
      </c>
    </row>
    <row r="13602" spans="1:5" x14ac:dyDescent="0.25">
      <c r="A13602" t="str">
        <f>HYPERLINK("https://www.773grp.com/globalSearch/BU407/page-1", "BU407")</f>
        <v>BU407</v>
      </c>
      <c r="B13602" s="3" t="str">
        <f>HYPERLINK("https://www.773grp.com/manufacturer/onsemi?pageNo=121", "Onsemi")</f>
        <v>Onsemi</v>
      </c>
      <c r="C13602" s="6">
        <v>50</v>
      </c>
      <c r="D13602" s="7">
        <v>2.38</v>
      </c>
      <c r="E13602" t="s">
        <v>47</v>
      </c>
    </row>
    <row r="13603" spans="1:5" x14ac:dyDescent="0.25">
      <c r="A13603" t="str">
        <f>HYPERLINK("https://www.773grp.com/globalSearch/BUL146G/page-1", "BUL146G")</f>
        <v>BUL146G</v>
      </c>
      <c r="B13603" s="3" t="str">
        <f>HYPERLINK("https://www.773grp.com/manufacturer/onsemi?pageNo=122", "Onsemi")</f>
        <v>Onsemi</v>
      </c>
      <c r="C13603" s="6">
        <v>3173</v>
      </c>
      <c r="D13603" s="7">
        <v>2.38</v>
      </c>
      <c r="E13603" t="s">
        <v>47</v>
      </c>
    </row>
    <row r="13604" spans="1:5" x14ac:dyDescent="0.25">
      <c r="A13604" t="str">
        <f>HYPERLINK("https://www.773grp.com/globalSearch/CAT32TDI-GT3/page-1", "CAT32TDI-GT3")</f>
        <v>CAT32TDI-GT3</v>
      </c>
      <c r="B13604" s="3" t="str">
        <f>HYPERLINK("https://www.773grp.com/manufacturer/onsemi?pageNo=123", "Onsemi")</f>
        <v>Onsemi</v>
      </c>
      <c r="C13604" s="6">
        <v>12000</v>
      </c>
      <c r="D13604" s="7">
        <v>2.38</v>
      </c>
    </row>
    <row r="13605" spans="1:5" x14ac:dyDescent="0.25">
      <c r="A13605" t="str">
        <f>HYPERLINK("https://www.773grp.com/globalSearch/CAT32TDI-T3/page-1", "CAT32TDI-T3")</f>
        <v>CAT32TDI-T3</v>
      </c>
      <c r="B13605" s="3" t="str">
        <f>HYPERLINK("https://www.773grp.com/manufacturer/onsemi?pageNo=124", "Onsemi")</f>
        <v>Onsemi</v>
      </c>
      <c r="C13605" s="6">
        <v>9000</v>
      </c>
      <c r="D13605" s="7">
        <v>2.38</v>
      </c>
      <c r="E13605" t="s">
        <v>7</v>
      </c>
    </row>
    <row r="13606" spans="1:5" x14ac:dyDescent="0.25">
      <c r="A13606" t="str">
        <f>HYPERLINK("https://www.773grp.com/globalSearch/CAT32TDI-T3/page-1", "CAT32TDI-T3")</f>
        <v>CAT32TDI-T3</v>
      </c>
      <c r="B13606" s="3" t="str">
        <f>HYPERLINK("https://www.773grp.com/manufacturer/onsemi?pageNo=125", "Onsemi")</f>
        <v>Onsemi</v>
      </c>
      <c r="C13606" s="6">
        <v>4383</v>
      </c>
      <c r="D13606" s="7">
        <v>2.38</v>
      </c>
      <c r="E13606" t="s">
        <v>7</v>
      </c>
    </row>
    <row r="13607" spans="1:5" x14ac:dyDescent="0.25">
      <c r="A13607" t="str">
        <f>HYPERLINK("https://www.773grp.com/globalSearch/LM2594DADJG/page-1", "LM2594DADJG")</f>
        <v>LM2594DADJG</v>
      </c>
      <c r="B13607" s="3" t="str">
        <f>HYPERLINK("https://www.773grp.com/manufacturer/onsemi?pageNo=126", "Onsemi")</f>
        <v>Onsemi</v>
      </c>
      <c r="C13607" s="6">
        <v>1666</v>
      </c>
      <c r="D13607" s="7">
        <v>2.38</v>
      </c>
    </row>
    <row r="13608" spans="1:5" x14ac:dyDescent="0.25">
      <c r="A13608" t="str">
        <f>HYPERLINK("https://www.773grp.com/globalSearch/LM2931ACD2TR4G/page-1", "LM2931ACD2TR4G")</f>
        <v>LM2931ACD2TR4G</v>
      </c>
      <c r="B13608" s="3" t="str">
        <f>HYPERLINK("https://www.773grp.com/manufacturer/onsemi?pageNo=127", "Onsemi")</f>
        <v>Onsemi</v>
      </c>
      <c r="C13608" s="6">
        <v>36000</v>
      </c>
      <c r="D13608" s="7">
        <v>2.38</v>
      </c>
      <c r="E13608" t="s">
        <v>21</v>
      </c>
    </row>
    <row r="13609" spans="1:5" x14ac:dyDescent="0.25">
      <c r="A13609" t="str">
        <f>HYPERLINK("https://www.773grp.com/globalSearch/LM2931AD2T-5.0G/page-1", "LM2931AD2T-5.0G")</f>
        <v>LM2931AD2T-5.0G</v>
      </c>
      <c r="B13609" s="3" t="str">
        <f>HYPERLINK("https://www.773grp.com/manufacturer/onsemi?pageNo=128", "Onsemi")</f>
        <v>Onsemi</v>
      </c>
      <c r="C13609" s="6">
        <v>4019</v>
      </c>
      <c r="D13609" s="7">
        <v>2.38</v>
      </c>
      <c r="E13609" t="s">
        <v>15</v>
      </c>
    </row>
    <row r="13610" spans="1:5" x14ac:dyDescent="0.25">
      <c r="A13610" t="str">
        <f>HYPERLINK("https://www.773grp.com/globalSearch/LM337TG/page-1", "LM337TG")</f>
        <v>LM337TG</v>
      </c>
      <c r="B13610" s="3" t="str">
        <f>HYPERLINK("https://www.773grp.com/manufacturer/onsemi?pageNo=129", "Onsemi")</f>
        <v>Onsemi</v>
      </c>
      <c r="C13610" s="6">
        <v>9482</v>
      </c>
      <c r="D13610" s="7">
        <v>2.38</v>
      </c>
      <c r="E13610" t="s">
        <v>33</v>
      </c>
    </row>
    <row r="13611" spans="1:5" x14ac:dyDescent="0.25">
      <c r="A13611" t="str">
        <f>HYPERLINK("https://www.773grp.com/globalSearch/MBR20L45CTG/page-1", "MBR20L45CTG")</f>
        <v>MBR20L45CTG</v>
      </c>
      <c r="B13611" s="3" t="str">
        <f>HYPERLINK("https://www.773grp.com/manufacturer/onsemi?pageNo=130", "Onsemi")</f>
        <v>Onsemi</v>
      </c>
      <c r="C13611" s="6">
        <v>3332</v>
      </c>
      <c r="D13611" s="7">
        <v>2.38</v>
      </c>
      <c r="E13611" t="s">
        <v>82</v>
      </c>
    </row>
    <row r="13612" spans="1:5" x14ac:dyDescent="0.25">
      <c r="A13612" t="str">
        <f>HYPERLINK("https://www.773grp.com/globalSearch/MBR2535CT/page-1", "MBR2535CT")</f>
        <v>MBR2535CT</v>
      </c>
      <c r="B13612" s="3" t="str">
        <f>HYPERLINK("https://www.773grp.com/manufacturer/onsemi?pageNo=131", "Onsemi")</f>
        <v>Onsemi</v>
      </c>
      <c r="C13612" s="6">
        <v>167559</v>
      </c>
      <c r="D13612" s="7">
        <v>2.38</v>
      </c>
      <c r="E13612" t="s">
        <v>82</v>
      </c>
    </row>
    <row r="13613" spans="1:5" x14ac:dyDescent="0.25">
      <c r="A13613" t="str">
        <f>HYPERLINK("https://www.773grp.com/globalSearch/MBR2535CTL/page-1", "MBR2535CTL")</f>
        <v>MBR2535CTL</v>
      </c>
      <c r="B13613" s="3" t="str">
        <f>HYPERLINK("https://www.773grp.com/manufacturer/onsemi?pageNo=132", "Onsemi")</f>
        <v>Onsemi</v>
      </c>
      <c r="C13613" s="6">
        <v>2152</v>
      </c>
      <c r="D13613" s="7">
        <v>2.38</v>
      </c>
      <c r="E13613" t="s">
        <v>82</v>
      </c>
    </row>
    <row r="13614" spans="1:5" x14ac:dyDescent="0.25">
      <c r="A13614" t="str">
        <f>HYPERLINK("https://www.773grp.com/globalSearch/MBRB1045T4/page-1", "MBRB1045T4")</f>
        <v>MBRB1045T4</v>
      </c>
      <c r="B13614" s="3" t="str">
        <f>HYPERLINK("https://www.773grp.com/manufacturer/onsemi?pageNo=133", "Onsemi")</f>
        <v>Onsemi</v>
      </c>
      <c r="C13614" s="6">
        <v>3200</v>
      </c>
      <c r="D13614" s="7">
        <v>2.38</v>
      </c>
    </row>
    <row r="13615" spans="1:5" x14ac:dyDescent="0.25">
      <c r="A13615" t="str">
        <f>HYPERLINK("https://www.773grp.com/globalSearch/MBRD1035CTLG/page-1", "MBRD1035CTLG")</f>
        <v>MBRD1035CTLG</v>
      </c>
      <c r="B13615" s="3" t="str">
        <f>HYPERLINK("https://www.773grp.com/manufacturer/onsemi?pageNo=134", "Onsemi")</f>
        <v>Onsemi</v>
      </c>
      <c r="C13615" s="6">
        <v>3849</v>
      </c>
      <c r="D13615" s="7">
        <v>2.38</v>
      </c>
    </row>
    <row r="13616" spans="1:5" x14ac:dyDescent="0.25">
      <c r="A13616" t="str">
        <f>HYPERLINK("https://www.773grp.com/globalSearch/MBRD1035CTLT4G/page-1", "MBRD1035CTLT4G")</f>
        <v>MBRD1035CTLT4G</v>
      </c>
      <c r="B13616" s="3" t="str">
        <f>HYPERLINK("https://www.773grp.com/manufacturer/onsemi?pageNo=135", "Onsemi")</f>
        <v>Onsemi</v>
      </c>
      <c r="C13616" s="6">
        <v>25063</v>
      </c>
      <c r="D13616" s="7">
        <v>2.38</v>
      </c>
    </row>
    <row r="13617" spans="1:5" x14ac:dyDescent="0.25">
      <c r="A13617" t="str">
        <f>HYPERLINK("https://www.773grp.com/globalSearch/MBRF10H150CTG/page-1", "MBRF10H150CTG")</f>
        <v>MBRF10H150CTG</v>
      </c>
      <c r="B13617" s="3" t="str">
        <f>HYPERLINK("https://www.773grp.com/manufacturer/onsemi?pageNo=136", "Onsemi")</f>
        <v>Onsemi</v>
      </c>
      <c r="C13617" s="6">
        <v>223185</v>
      </c>
      <c r="D13617" s="7">
        <v>2.38</v>
      </c>
      <c r="E13617" t="s">
        <v>82</v>
      </c>
    </row>
    <row r="13618" spans="1:5" x14ac:dyDescent="0.25">
      <c r="A13618" t="str">
        <f>HYPERLINK("https://www.773grp.com/globalSearch/MC33074AP/page-1", "MC33074AP")</f>
        <v>MC33074AP</v>
      </c>
      <c r="B13618" s="3" t="str">
        <f>HYPERLINK("https://www.773grp.com/manufacturer/onsemi?pageNo=137", "Onsemi")</f>
        <v>Onsemi</v>
      </c>
      <c r="C13618" s="6">
        <v>25</v>
      </c>
      <c r="D13618" s="7">
        <v>2.38</v>
      </c>
      <c r="E13618" t="s">
        <v>10</v>
      </c>
    </row>
    <row r="13619" spans="1:5" x14ac:dyDescent="0.25">
      <c r="A13619" t="str">
        <f>HYPERLINK("https://www.773grp.com/globalSearch/MC33074DTBR2G/page-1", "MC33074DTBR2G")</f>
        <v>MC33074DTBR2G</v>
      </c>
      <c r="B13619" s="3" t="str">
        <f>HYPERLINK("https://www.773grp.com/manufacturer/onsemi?pageNo=138", "Onsemi")</f>
        <v>Onsemi</v>
      </c>
      <c r="C13619" s="6">
        <v>310</v>
      </c>
      <c r="D13619" s="7">
        <v>2.38</v>
      </c>
      <c r="E13619" t="s">
        <v>10</v>
      </c>
    </row>
    <row r="13620" spans="1:5" x14ac:dyDescent="0.25">
      <c r="A13620" t="str">
        <f>HYPERLINK("https://www.773grp.com/globalSearch/MC33077PG/page-1", "MC33077PG")</f>
        <v>MC33077PG</v>
      </c>
      <c r="B13620" s="3" t="str">
        <f>HYPERLINK("https://www.773grp.com/manufacturer/onsemi?pageNo=139", "Onsemi")</f>
        <v>Onsemi</v>
      </c>
      <c r="C13620" s="6">
        <v>3351</v>
      </c>
      <c r="D13620" s="7">
        <v>2.38</v>
      </c>
      <c r="E13620" t="s">
        <v>10</v>
      </c>
    </row>
    <row r="13621" spans="1:5" x14ac:dyDescent="0.25">
      <c r="A13621" t="str">
        <f>HYPERLINK("https://www.773grp.com/globalSearch/MC33151VDR2G/page-1", "MC33151VDR2G")</f>
        <v>MC33151VDR2G</v>
      </c>
      <c r="B13621" s="3" t="str">
        <f>HYPERLINK("https://www.773grp.com/manufacturer/onsemi?pageNo=140", "Onsemi")</f>
        <v>Onsemi</v>
      </c>
      <c r="C13621" s="6">
        <v>1250</v>
      </c>
      <c r="D13621" s="7">
        <v>2.38</v>
      </c>
      <c r="E13621" t="s">
        <v>12</v>
      </c>
    </row>
    <row r="13622" spans="1:5" x14ac:dyDescent="0.25">
      <c r="A13622" t="str">
        <f>HYPERLINK("https://www.773grp.com/globalSearch/MC33152VDG/page-1", "MC33152VDG")</f>
        <v>MC33152VDG</v>
      </c>
      <c r="B13622" s="3" t="str">
        <f>HYPERLINK("https://www.773grp.com/manufacturer/onsemi?pageNo=141", "Onsemi")</f>
        <v>Onsemi</v>
      </c>
      <c r="C13622" s="6">
        <v>686</v>
      </c>
      <c r="D13622" s="7">
        <v>2.38</v>
      </c>
    </row>
    <row r="13623" spans="1:5" x14ac:dyDescent="0.25">
      <c r="A13623" t="str">
        <f>HYPERLINK("https://www.773grp.com/globalSearch/MC33161D/page-1", "MC33161D")</f>
        <v>MC33161D</v>
      </c>
      <c r="B13623" s="3" t="str">
        <f>HYPERLINK("https://www.773grp.com/manufacturer/onsemi?pageNo=142", "Onsemi")</f>
        <v>Onsemi</v>
      </c>
      <c r="C13623" s="6">
        <v>294</v>
      </c>
      <c r="D13623" s="7">
        <v>2.38</v>
      </c>
      <c r="E13623" t="s">
        <v>26</v>
      </c>
    </row>
    <row r="13624" spans="1:5" x14ac:dyDescent="0.25">
      <c r="A13624" t="str">
        <f>HYPERLINK("https://www.773grp.com/globalSearch/MC33179D/page-1", "MC33179D")</f>
        <v>MC33179D</v>
      </c>
      <c r="B13624" s="3" t="str">
        <f>HYPERLINK("https://www.773grp.com/manufacturer/onsemi?pageNo=143", "Onsemi")</f>
        <v>Onsemi</v>
      </c>
      <c r="C13624" s="6">
        <v>1155</v>
      </c>
      <c r="D13624" s="7">
        <v>2.38</v>
      </c>
    </row>
    <row r="13625" spans="1:5" x14ac:dyDescent="0.25">
      <c r="A13625" t="str">
        <f>HYPERLINK("https://www.773grp.com/globalSearch/MC33274ADR2G/page-1", "MC33274ADR2G")</f>
        <v>MC33274ADR2G</v>
      </c>
      <c r="B13625" s="3" t="str">
        <f>HYPERLINK("https://www.773grp.com/manufacturer/onsemi?pageNo=144", "Onsemi")</f>
        <v>Onsemi</v>
      </c>
      <c r="C13625" s="6">
        <v>57774</v>
      </c>
      <c r="D13625" s="7">
        <v>2.38</v>
      </c>
      <c r="E13625" t="s">
        <v>10</v>
      </c>
    </row>
    <row r="13626" spans="1:5" x14ac:dyDescent="0.25">
      <c r="A13626" t="str">
        <f>HYPERLINK("https://www.773grp.com/globalSearch/MC34074VDG/page-1", "MC34074VDG")</f>
        <v>MC34074VDG</v>
      </c>
      <c r="B13626" s="3" t="str">
        <f>HYPERLINK("https://www.773grp.com/manufacturer/onsemi?pageNo=145", "Onsemi")</f>
        <v>Onsemi</v>
      </c>
      <c r="C13626" s="6">
        <v>1695</v>
      </c>
      <c r="D13626" s="7">
        <v>2.38</v>
      </c>
    </row>
    <row r="13627" spans="1:5" x14ac:dyDescent="0.25">
      <c r="A13627" t="str">
        <f>HYPERLINK("https://www.773grp.com/globalSearch/MC3488ADG/page-1", "MC3488ADG")</f>
        <v>MC3488ADG</v>
      </c>
      <c r="B13627" s="3" t="str">
        <f>HYPERLINK("https://www.773grp.com/manufacturer/onsemi?pageNo=146", "Onsemi")</f>
        <v>Onsemi</v>
      </c>
      <c r="C13627" s="6">
        <v>2445</v>
      </c>
      <c r="D13627" s="7">
        <v>2.38</v>
      </c>
      <c r="E13627" t="s">
        <v>17</v>
      </c>
    </row>
    <row r="13628" spans="1:5" x14ac:dyDescent="0.25">
      <c r="A13628" t="str">
        <f>HYPERLINK("https://www.773grp.com/globalSearch/MC3488ADR2G/page-1", "MC3488ADR2G")</f>
        <v>MC3488ADR2G</v>
      </c>
      <c r="B13628" s="3" t="str">
        <f>HYPERLINK("https://www.773grp.com/manufacturer/onsemi?pageNo=147", "Onsemi")</f>
        <v>Onsemi</v>
      </c>
      <c r="C13628" s="6">
        <v>3377</v>
      </c>
      <c r="D13628" s="7">
        <v>2.38</v>
      </c>
      <c r="E13628" t="s">
        <v>17</v>
      </c>
    </row>
    <row r="13629" spans="1:5" x14ac:dyDescent="0.25">
      <c r="A13629" t="str">
        <f>HYPERLINK("https://www.773grp.com/globalSearch/MC3488AP1G/page-1", "MC3488AP1G")</f>
        <v>MC3488AP1G</v>
      </c>
      <c r="B13629" s="3" t="str">
        <f>HYPERLINK("https://www.773grp.com/manufacturer/onsemi?pageNo=148", "Onsemi")</f>
        <v>Onsemi</v>
      </c>
      <c r="C13629" s="6">
        <v>11255</v>
      </c>
      <c r="D13629" s="7">
        <v>2.38</v>
      </c>
      <c r="E13629" t="s">
        <v>17</v>
      </c>
    </row>
    <row r="13630" spans="1:5" x14ac:dyDescent="0.25">
      <c r="A13630" t="str">
        <f>HYPERLINK("https://www.773grp.com/globalSearch/MC78L08CP/page-1", "MC78L08CP")</f>
        <v>MC78L08CP</v>
      </c>
      <c r="B13630" s="3" t="str">
        <f>HYPERLINK("https://www.773grp.com/manufacturer/onsemi?pageNo=149", "Onsemi")</f>
        <v>Onsemi</v>
      </c>
      <c r="C13630" s="6">
        <v>3886</v>
      </c>
      <c r="D13630" s="7">
        <v>2.38</v>
      </c>
      <c r="E13630" t="s">
        <v>24</v>
      </c>
    </row>
    <row r="13631" spans="1:5" x14ac:dyDescent="0.25">
      <c r="A13631" t="str">
        <f>HYPERLINK("https://www.773grp.com/globalSearch/MJB44H11G/page-1", "MJB44H11G")</f>
        <v>MJB44H11G</v>
      </c>
      <c r="B13631" s="3" t="str">
        <f>HYPERLINK("https://www.773grp.com/manufacturer/onsemi?pageNo=150", "Onsemi")</f>
        <v>Onsemi</v>
      </c>
      <c r="C13631" s="6">
        <v>1450</v>
      </c>
      <c r="D13631" s="7">
        <v>2.38</v>
      </c>
      <c r="E13631" t="s">
        <v>47</v>
      </c>
    </row>
    <row r="13632" spans="1:5" x14ac:dyDescent="0.25">
      <c r="A13632" t="str">
        <f>HYPERLINK("https://www.773grp.com/globalSearch/MJE18004D2G/page-1", "MJE18004D2G")</f>
        <v>MJE18004D2G</v>
      </c>
      <c r="B13632" s="3" t="str">
        <f>HYPERLINK("https://www.773grp.com/manufacturer/onsemi?pageNo=151", "Onsemi")</f>
        <v>Onsemi</v>
      </c>
      <c r="C13632" s="6">
        <v>1994</v>
      </c>
      <c r="D13632" s="7">
        <v>2.38</v>
      </c>
      <c r="E13632" t="s">
        <v>47</v>
      </c>
    </row>
    <row r="13633" spans="1:5" x14ac:dyDescent="0.25">
      <c r="A13633" t="str">
        <f>HYPERLINK("https://www.773grp.com/globalSearch/MJE3055TG/page-1", "MJE3055TG")</f>
        <v>MJE3055TG</v>
      </c>
      <c r="B13633" s="3" t="str">
        <f>HYPERLINK("https://www.773grp.com/manufacturer/onsemi?pageNo=152", "Onsemi")</f>
        <v>Onsemi</v>
      </c>
      <c r="C13633" s="6">
        <v>4187</v>
      </c>
      <c r="D13633" s="7">
        <v>2.38</v>
      </c>
      <c r="E13633" t="s">
        <v>47</v>
      </c>
    </row>
    <row r="13634" spans="1:5" x14ac:dyDescent="0.25">
      <c r="A13634" t="str">
        <f>HYPERLINK("https://www.773grp.com/globalSearch/MTP10N10ELG/page-1", "MTP10N10ELG")</f>
        <v>MTP10N10ELG</v>
      </c>
      <c r="B13634" s="3" t="str">
        <f>HYPERLINK("https://www.773grp.com/manufacturer/onsemi?pageNo=153", "Onsemi")</f>
        <v>Onsemi</v>
      </c>
      <c r="C13634" s="6">
        <v>291</v>
      </c>
      <c r="D13634" s="7">
        <v>2.38</v>
      </c>
      <c r="E13634" t="s">
        <v>84</v>
      </c>
    </row>
    <row r="13635" spans="1:5" x14ac:dyDescent="0.25">
      <c r="A13635" t="str">
        <f>HYPERLINK("https://www.773grp.com/globalSearch/MTP1302/page-1", "MTP1302")</f>
        <v>MTP1302</v>
      </c>
      <c r="B13635" s="3" t="str">
        <f>HYPERLINK("https://www.773grp.com/manufacturer/onsemi?pageNo=154", "Onsemi")</f>
        <v>Onsemi</v>
      </c>
      <c r="C13635" s="6">
        <v>1750</v>
      </c>
      <c r="D13635" s="7">
        <v>2.38</v>
      </c>
      <c r="E13635" t="s">
        <v>84</v>
      </c>
    </row>
    <row r="13636" spans="1:5" x14ac:dyDescent="0.25">
      <c r="A13636" t="str">
        <f>HYPERLINK("https://www.773grp.com/globalSearch/MTP2P50E/page-1", "MTP2P50E")</f>
        <v>MTP2P50E</v>
      </c>
      <c r="B13636" s="3" t="str">
        <f>HYPERLINK("https://www.773grp.com/manufacturer/onsemi?pageNo=155", "Onsemi")</f>
        <v>Onsemi</v>
      </c>
      <c r="C13636" s="6">
        <v>44</v>
      </c>
      <c r="D13636" s="7">
        <v>2.38</v>
      </c>
      <c r="E13636" t="s">
        <v>84</v>
      </c>
    </row>
    <row r="13637" spans="1:5" x14ac:dyDescent="0.25">
      <c r="A13637" t="str">
        <f>HYPERLINK("https://www.773grp.com/globalSearch/MTP5N40E/page-1", "MTP5N40E")</f>
        <v>MTP5N40E</v>
      </c>
      <c r="B13637" s="3" t="str">
        <f>HYPERLINK("https://www.773grp.com/manufacturer/onsemi?pageNo=156", "Onsemi")</f>
        <v>Onsemi</v>
      </c>
      <c r="C13637" s="6">
        <v>7762</v>
      </c>
      <c r="D13637" s="7">
        <v>2.38</v>
      </c>
      <c r="E13637" t="s">
        <v>84</v>
      </c>
    </row>
    <row r="13638" spans="1:5" x14ac:dyDescent="0.25">
      <c r="A13638" t="str">
        <f>HYPERLINK("https://www.773grp.com/globalSearch/MURD330T4G/page-1", "MURD330T4G")</f>
        <v>MURD330T4G</v>
      </c>
      <c r="B13638" s="3" t="str">
        <f>HYPERLINK("https://www.773grp.com/manufacturer/onsemi?pageNo=157", "Onsemi")</f>
        <v>Onsemi</v>
      </c>
      <c r="C13638" s="6">
        <v>7500</v>
      </c>
      <c r="D13638" s="7">
        <v>2.38</v>
      </c>
      <c r="E13638" t="s">
        <v>82</v>
      </c>
    </row>
    <row r="13639" spans="1:5" x14ac:dyDescent="0.25">
      <c r="A13639" t="str">
        <f>HYPERLINK("https://www.773grp.com/globalSearch/MURH8100E/page-1", "MURH8100E")</f>
        <v>MURH8100E</v>
      </c>
      <c r="B13639" s="3" t="str">
        <f>HYPERLINK("https://www.773grp.com/manufacturer/onsemi?pageNo=158", "Onsemi")</f>
        <v>Onsemi</v>
      </c>
      <c r="C13639" s="6">
        <v>1210</v>
      </c>
      <c r="D13639" s="7">
        <v>2.38</v>
      </c>
      <c r="E13639" t="s">
        <v>82</v>
      </c>
    </row>
    <row r="13640" spans="1:5" x14ac:dyDescent="0.25">
      <c r="A13640" t="str">
        <f>HYPERLINK("https://www.773grp.com/globalSearch/NCP1027P065G/page-1", "NCP1027P065G")</f>
        <v>NCP1027P065G</v>
      </c>
      <c r="B13640" s="3" t="str">
        <f>HYPERLINK("https://www.773grp.com/manufacturer/onsemi?pageNo=159", "Onsemi")</f>
        <v>Onsemi</v>
      </c>
      <c r="C13640" s="6">
        <v>47740</v>
      </c>
      <c r="D13640" s="7">
        <v>2.38</v>
      </c>
      <c r="E13640" t="s">
        <v>5</v>
      </c>
    </row>
    <row r="13641" spans="1:5" x14ac:dyDescent="0.25">
      <c r="A13641" t="str">
        <f>HYPERLINK("https://www.773grp.com/globalSearch/NCP1027P100G/page-1", "NCP1027P100G")</f>
        <v>NCP1027P100G</v>
      </c>
      <c r="B13641" s="3" t="str">
        <f>HYPERLINK("https://www.773grp.com/manufacturer/onsemi?pageNo=160", "Onsemi")</f>
        <v>Onsemi</v>
      </c>
      <c r="C13641" s="6">
        <v>18140</v>
      </c>
      <c r="D13641" s="7">
        <v>2.38</v>
      </c>
      <c r="E13641" t="s">
        <v>5</v>
      </c>
    </row>
    <row r="13642" spans="1:5" x14ac:dyDescent="0.25">
      <c r="A13642" t="str">
        <f>HYPERLINK("https://www.773grp.com/globalSearch/NCP1053P44G/page-1", "NCP1053P44G")</f>
        <v>NCP1053P44G</v>
      </c>
      <c r="B13642" s="3" t="str">
        <f>HYPERLINK("https://www.773grp.com/manufacturer/onsemi?pageNo=161", "Onsemi")</f>
        <v>Onsemi</v>
      </c>
      <c r="C13642" s="6">
        <v>160</v>
      </c>
      <c r="D13642" s="7">
        <v>2.38</v>
      </c>
      <c r="E13642" t="s">
        <v>5</v>
      </c>
    </row>
    <row r="13643" spans="1:5" x14ac:dyDescent="0.25">
      <c r="A13643" t="str">
        <f>HYPERLINK("https://www.773grp.com/globalSearch/NCP1054P100G/page-1", "NCP1054P100G")</f>
        <v>NCP1054P100G</v>
      </c>
      <c r="B13643" s="3" t="str">
        <f>HYPERLINK("https://www.773grp.com/manufacturer/onsemi?pageNo=162", "Onsemi")</f>
        <v>Onsemi</v>
      </c>
      <c r="C13643" s="6">
        <v>4935</v>
      </c>
      <c r="D13643" s="7">
        <v>2.38</v>
      </c>
      <c r="E13643" t="s">
        <v>5</v>
      </c>
    </row>
    <row r="13644" spans="1:5" x14ac:dyDescent="0.25">
      <c r="A13644" t="str">
        <f>HYPERLINK("https://www.773grp.com/globalSearch/NCP1054P136G/page-1", "NCP1054P136G")</f>
        <v>NCP1054P136G</v>
      </c>
      <c r="B13644" s="3" t="str">
        <f>HYPERLINK("https://www.773grp.com/manufacturer/onsemi?pageNo=163", "Onsemi")</f>
        <v>Onsemi</v>
      </c>
      <c r="C13644" s="6">
        <v>4</v>
      </c>
      <c r="D13644" s="7">
        <v>2.38</v>
      </c>
      <c r="E13644" t="s">
        <v>5</v>
      </c>
    </row>
    <row r="13645" spans="1:5" x14ac:dyDescent="0.25">
      <c r="A13645" t="str">
        <f>HYPERLINK("https://www.773grp.com/globalSearch/NCP1054P44G/page-1", "NCP1054P44G")</f>
        <v>NCP1054P44G</v>
      </c>
      <c r="B13645" s="3" t="str">
        <f>HYPERLINK("https://www.773grp.com/manufacturer/onsemi?pageNo=164", "Onsemi")</f>
        <v>Onsemi</v>
      </c>
      <c r="C13645" s="6">
        <v>6066</v>
      </c>
      <c r="D13645" s="7">
        <v>2.38</v>
      </c>
      <c r="E13645" t="s">
        <v>5</v>
      </c>
    </row>
    <row r="13646" spans="1:5" x14ac:dyDescent="0.25">
      <c r="A13646" t="str">
        <f>HYPERLINK("https://www.773grp.com/globalSearch/NCP1055P100G/page-1", "NCP1055P100G")</f>
        <v>NCP1055P100G</v>
      </c>
      <c r="B13646" s="3" t="str">
        <f>HYPERLINK("https://www.773grp.com/manufacturer/onsemi?pageNo=165", "Onsemi")</f>
        <v>Onsemi</v>
      </c>
      <c r="C13646" s="6">
        <v>3000</v>
      </c>
      <c r="D13646" s="7">
        <v>2.38</v>
      </c>
      <c r="E13646" t="s">
        <v>5</v>
      </c>
    </row>
    <row r="13647" spans="1:5" x14ac:dyDescent="0.25">
      <c r="A13647" t="str">
        <f>HYPERLINK("https://www.773grp.com/globalSearch/NCP1055P136G/page-1", "NCP1055P136G")</f>
        <v>NCP1055P136G</v>
      </c>
      <c r="B13647" s="3" t="str">
        <f>HYPERLINK("https://www.773grp.com/manufacturer/onsemi?pageNo=166", "Onsemi")</f>
        <v>Onsemi</v>
      </c>
      <c r="C13647" s="6">
        <v>1037</v>
      </c>
      <c r="D13647" s="7">
        <v>2.38</v>
      </c>
    </row>
    <row r="13648" spans="1:5" x14ac:dyDescent="0.25">
      <c r="A13648" t="str">
        <f>HYPERLINK("https://www.773grp.com/globalSearch/NCP1055P44G/page-1", "NCP1055P44G")</f>
        <v>NCP1055P44G</v>
      </c>
      <c r="B13648" s="3" t="str">
        <f>HYPERLINK("https://www.773grp.com/manufacturer/onsemi?pageNo=167", "Onsemi")</f>
        <v>Onsemi</v>
      </c>
      <c r="C13648" s="6">
        <v>5182</v>
      </c>
      <c r="D13648" s="7">
        <v>2.38</v>
      </c>
      <c r="E13648" t="s">
        <v>5</v>
      </c>
    </row>
    <row r="13649" spans="1:5" x14ac:dyDescent="0.25">
      <c r="A13649" t="str">
        <f>HYPERLINK("https://www.773grp.com/globalSearch/NCP1090DRG/page-1", "NCP1090DRG")</f>
        <v>NCP1090DRG</v>
      </c>
      <c r="B13649" s="3" t="str">
        <f>HYPERLINK("https://www.773grp.com/manufacturer/onsemi?pageNo=168", "Onsemi")</f>
        <v>Onsemi</v>
      </c>
      <c r="C13649" s="6">
        <v>137</v>
      </c>
      <c r="D13649" s="7">
        <v>2.38</v>
      </c>
      <c r="E13649" t="s">
        <v>62</v>
      </c>
    </row>
    <row r="13650" spans="1:5" x14ac:dyDescent="0.25">
      <c r="A13650" t="str">
        <f>HYPERLINK("https://www.773grp.com/globalSearch/NCP1092DBG/page-1", "NCP1092DBG")</f>
        <v>NCP1092DBG</v>
      </c>
      <c r="B13650" s="3" t="str">
        <f>HYPERLINK("https://www.773grp.com/manufacturer/onsemi?pageNo=169", "Onsemi")</f>
        <v>Onsemi</v>
      </c>
      <c r="C13650" s="6">
        <v>274</v>
      </c>
      <c r="D13650" s="7">
        <v>2.38</v>
      </c>
    </row>
    <row r="13651" spans="1:5" x14ac:dyDescent="0.25">
      <c r="A13651" t="str">
        <f>HYPERLINK("https://www.773grp.com/globalSearch/NCP1092DRG/page-1", "NCP1092DRG")</f>
        <v>NCP1092DRG</v>
      </c>
      <c r="B13651" s="3" t="str">
        <f>HYPERLINK("https://www.773grp.com/manufacturer/onsemi?pageNo=170", "Onsemi")</f>
        <v>Onsemi</v>
      </c>
      <c r="C13651" s="6">
        <v>334</v>
      </c>
      <c r="D13651" s="7">
        <v>2.38</v>
      </c>
    </row>
    <row r="13652" spans="1:5" x14ac:dyDescent="0.25">
      <c r="A13652" t="str">
        <f>HYPERLINK("https://www.773grp.com/globalSearch/NCP1094MNRG/page-1", "NCP1094MNRG")</f>
        <v>NCP1094MNRG</v>
      </c>
      <c r="B13652" s="3" t="str">
        <f>HYPERLINK("https://www.773grp.com/manufacturer/onsemi?pageNo=171", "Onsemi")</f>
        <v>Onsemi</v>
      </c>
      <c r="C13652" s="6">
        <v>3000</v>
      </c>
      <c r="D13652" s="7">
        <v>2.38</v>
      </c>
    </row>
    <row r="13653" spans="1:5" x14ac:dyDescent="0.25">
      <c r="A13653" t="str">
        <f>HYPERLINK("https://www.773grp.com/globalSearch/NCP1526MUTXG/page-1", "NCP1526MUTXG")</f>
        <v>NCP1526MUTXG</v>
      </c>
      <c r="B13653" s="3" t="str">
        <f>HYPERLINK("https://www.773grp.com/manufacturer/onsemi?pageNo=172", "Onsemi")</f>
        <v>Onsemi</v>
      </c>
      <c r="C13653" s="6">
        <v>54000</v>
      </c>
      <c r="D13653" s="7">
        <v>2.38</v>
      </c>
      <c r="E13653" t="s">
        <v>5</v>
      </c>
    </row>
    <row r="13654" spans="1:5" x14ac:dyDescent="0.25">
      <c r="A13654" t="str">
        <f>HYPERLINK("https://www.773grp.com/globalSearch/NCP1654BD200R2G/page-1", "NCP1654BD200R2G")</f>
        <v>NCP1654BD200R2G</v>
      </c>
      <c r="B13654" s="3" t="str">
        <f>HYPERLINK("https://www.773grp.com/manufacturer/onsemi?pageNo=173", "Onsemi")</f>
        <v>Onsemi</v>
      </c>
      <c r="C13654" s="6">
        <v>3180</v>
      </c>
      <c r="D13654" s="7">
        <v>2.38</v>
      </c>
    </row>
    <row r="13655" spans="1:5" x14ac:dyDescent="0.25">
      <c r="A13655" t="str">
        <f>HYPERLINK("https://www.773grp.com/globalSearch/NCP1654BD65R2G/page-1", "NCP1654BD65R2G")</f>
        <v>NCP1654BD65R2G</v>
      </c>
      <c r="B13655" s="3" t="str">
        <f>HYPERLINK("https://www.773grp.com/manufacturer/onsemi?pageNo=174", "Onsemi")</f>
        <v>Onsemi</v>
      </c>
      <c r="C13655" s="6">
        <v>42500</v>
      </c>
      <c r="D13655" s="7">
        <v>2.38</v>
      </c>
      <c r="E13655" t="s">
        <v>5</v>
      </c>
    </row>
    <row r="13656" spans="1:5" x14ac:dyDescent="0.25">
      <c r="A13656" t="str">
        <f>HYPERLINK("https://www.773grp.com/globalSearch/NCP1835BMNR2G/page-1", "NCP1835BMNR2G")</f>
        <v>NCP1835BMNR2G</v>
      </c>
      <c r="B13656" s="3" t="str">
        <f>HYPERLINK("https://www.773grp.com/manufacturer/onsemi?pageNo=175", "Onsemi")</f>
        <v>Onsemi</v>
      </c>
      <c r="C13656" s="6">
        <v>9030</v>
      </c>
      <c r="D13656" s="7">
        <v>2.38</v>
      </c>
      <c r="E13656" t="s">
        <v>26</v>
      </c>
    </row>
    <row r="13657" spans="1:5" x14ac:dyDescent="0.25">
      <c r="A13657" t="str">
        <f>HYPERLINK("https://www.773grp.com/globalSearch/NCP1835MN24T2G/page-1", "NCP1835MN24T2G")</f>
        <v>NCP1835MN24T2G</v>
      </c>
      <c r="B13657" s="3" t="str">
        <f>HYPERLINK("https://www.773grp.com/manufacturer/onsemi?pageNo=176", "Onsemi")</f>
        <v>Onsemi</v>
      </c>
      <c r="C13657" s="6">
        <v>710670</v>
      </c>
      <c r="D13657" s="7">
        <v>2.38</v>
      </c>
      <c r="E13657" t="s">
        <v>26</v>
      </c>
    </row>
    <row r="13658" spans="1:5" x14ac:dyDescent="0.25">
      <c r="A13658" t="str">
        <f>HYPERLINK("https://www.773grp.com/globalSearch/NCP3065DR2G/page-1", "NCP3065DR2G")</f>
        <v>NCP3065DR2G</v>
      </c>
      <c r="B13658" s="3" t="str">
        <f>HYPERLINK("https://www.773grp.com/manufacturer/onsemi?pageNo=177", "Onsemi")</f>
        <v>Onsemi</v>
      </c>
      <c r="C13658" s="6">
        <v>36942</v>
      </c>
      <c r="D13658" s="7">
        <v>2.38</v>
      </c>
      <c r="E13658" t="s">
        <v>7</v>
      </c>
    </row>
    <row r="13659" spans="1:5" x14ac:dyDescent="0.25">
      <c r="A13659" t="str">
        <f>HYPERLINK("https://www.773grp.com/globalSearch/NCP3065PG/page-1", "NCP3065PG")</f>
        <v>NCP3065PG</v>
      </c>
      <c r="B13659" s="3" t="str">
        <f>HYPERLINK("https://www.773grp.com/manufacturer/onsemi?pageNo=178", "Onsemi")</f>
        <v>Onsemi</v>
      </c>
      <c r="C13659" s="6">
        <v>50</v>
      </c>
      <c r="D13659" s="7">
        <v>2.38</v>
      </c>
    </row>
    <row r="13660" spans="1:5" x14ac:dyDescent="0.25">
      <c r="A13660" t="str">
        <f>HYPERLINK("https://www.773grp.com/globalSearch/NCP5010FCT1G/page-1", "NCP5010FCT1G")</f>
        <v>NCP5010FCT1G</v>
      </c>
      <c r="B13660" s="3" t="str">
        <f>HYPERLINK("https://www.773grp.com/manufacturer/onsemi?pageNo=179", "Onsemi")</f>
        <v>Onsemi</v>
      </c>
      <c r="C13660" s="6">
        <v>118665</v>
      </c>
      <c r="D13660" s="7">
        <v>2.38</v>
      </c>
      <c r="E13660" t="s">
        <v>5</v>
      </c>
    </row>
    <row r="13661" spans="1:5" x14ac:dyDescent="0.25">
      <c r="A13661" t="str">
        <f>HYPERLINK("https://www.773grp.com/globalSearch/NCP5173MNR2/page-1", "NCP5173MNR2")</f>
        <v>NCP5173MNR2</v>
      </c>
      <c r="B13661" s="3" t="str">
        <f>HYPERLINK("https://www.773grp.com/manufacturer/onsemi?pageNo=180", "Onsemi")</f>
        <v>Onsemi</v>
      </c>
      <c r="C13661" s="6">
        <v>5000</v>
      </c>
      <c r="D13661" s="7">
        <v>2.38</v>
      </c>
      <c r="E13661" t="s">
        <v>5</v>
      </c>
    </row>
    <row r="13662" spans="1:5" x14ac:dyDescent="0.25">
      <c r="A13662" t="str">
        <f>HYPERLINK("https://www.773grp.com/globalSearch/NCP5386MNR2G/page-1", "NCP5386MNR2G")</f>
        <v>NCP5386MNR2G</v>
      </c>
      <c r="B13662" s="3" t="str">
        <f>HYPERLINK("https://www.773grp.com/manufacturer/onsemi?pageNo=181", "Onsemi")</f>
        <v>Onsemi</v>
      </c>
      <c r="C13662" s="6">
        <v>27507</v>
      </c>
      <c r="D13662" s="7">
        <v>2.38</v>
      </c>
      <c r="E13662" t="s">
        <v>5</v>
      </c>
    </row>
    <row r="13663" spans="1:5" x14ac:dyDescent="0.25">
      <c r="A13663" t="str">
        <f>HYPERLINK("https://www.773grp.com/globalSearch/NCP5623CMUTBG/page-1", "NCP5623CMUTBG")</f>
        <v>NCP5623CMUTBG</v>
      </c>
      <c r="B13663" s="3" t="str">
        <f>HYPERLINK("https://www.773grp.com/manufacturer/onsemi?pageNo=182", "Onsemi")</f>
        <v>Onsemi</v>
      </c>
      <c r="C13663" s="6">
        <v>6000</v>
      </c>
      <c r="D13663" s="7">
        <v>2.38</v>
      </c>
    </row>
    <row r="13664" spans="1:5" x14ac:dyDescent="0.25">
      <c r="A13664" t="str">
        <f>HYPERLINK("https://www.773grp.com/globalSearch/NCP5623DTBR2G/page-1", "NCP5623DTBR2G")</f>
        <v>NCP5623DTBR2G</v>
      </c>
      <c r="B13664" s="3" t="str">
        <f>HYPERLINK("https://www.773grp.com/manufacturer/onsemi?pageNo=183", "Onsemi")</f>
        <v>Onsemi</v>
      </c>
      <c r="C13664" s="6">
        <v>30790</v>
      </c>
      <c r="D13664" s="7">
        <v>2.38</v>
      </c>
    </row>
    <row r="13665" spans="1:5" x14ac:dyDescent="0.25">
      <c r="A13665" t="str">
        <f>HYPERLINK("https://www.773grp.com/globalSearch/NCP6131S52MNR2G/page-1", "NCP6131S52MNR2G")</f>
        <v>NCP6131S52MNR2G</v>
      </c>
      <c r="B13665" s="3" t="str">
        <f>HYPERLINK("https://www.773grp.com/manufacturer/onsemi?pageNo=184", "Onsemi")</f>
        <v>Onsemi</v>
      </c>
      <c r="C13665" s="6">
        <v>7500</v>
      </c>
      <c r="D13665" s="7">
        <v>2.38</v>
      </c>
    </row>
    <row r="13666" spans="1:5" x14ac:dyDescent="0.25">
      <c r="A13666" t="str">
        <f>HYPERLINK("https://www.773grp.com/globalSearch/NCP623DM-33R2G/page-1", "NCP623DM-33R2G")</f>
        <v>NCP623DM-33R2G</v>
      </c>
      <c r="B13666" s="3" t="str">
        <f>HYPERLINK("https://www.773grp.com/manufacturer/onsemi?pageNo=185", "Onsemi")</f>
        <v>Onsemi</v>
      </c>
      <c r="C13666" s="6">
        <v>4000</v>
      </c>
      <c r="D13666" s="7">
        <v>2.38</v>
      </c>
      <c r="E13666" t="s">
        <v>15</v>
      </c>
    </row>
    <row r="13667" spans="1:5" x14ac:dyDescent="0.25">
      <c r="A13667" t="str">
        <f>HYPERLINK("https://www.773grp.com/globalSearch/NCP623DM-40R2/page-1", "NCP623DM-40R2")</f>
        <v>NCP623DM-40R2</v>
      </c>
      <c r="B13667" s="3" t="str">
        <f>HYPERLINK("https://www.773grp.com/manufacturer/onsemi?pageNo=186", "Onsemi")</f>
        <v>Onsemi</v>
      </c>
      <c r="C13667" s="6">
        <v>4000</v>
      </c>
      <c r="D13667" s="7">
        <v>2.38</v>
      </c>
      <c r="E13667" t="s">
        <v>15</v>
      </c>
    </row>
    <row r="13668" spans="1:5" x14ac:dyDescent="0.25">
      <c r="A13668" t="str">
        <f>HYPERLINK("https://www.773grp.com/globalSearch/NCP623DM-50R2G/page-1", "NCP623DM-50R2G")</f>
        <v>NCP623DM-50R2G</v>
      </c>
      <c r="B13668" s="3" t="str">
        <f>HYPERLINK("https://www.773grp.com/manufacturer/onsemi?pageNo=187", "Onsemi")</f>
        <v>Onsemi</v>
      </c>
      <c r="C13668" s="6">
        <v>4000</v>
      </c>
      <c r="D13668" s="7">
        <v>2.38</v>
      </c>
      <c r="E13668" t="s">
        <v>15</v>
      </c>
    </row>
    <row r="13669" spans="1:5" x14ac:dyDescent="0.25">
      <c r="A13669" t="str">
        <f>HYPERLINK("https://www.773grp.com/globalSearch/NCT1008CMN3R2G/page-1", "NCT1008CMN3R2G")</f>
        <v>NCT1008CMN3R2G</v>
      </c>
      <c r="B13669" s="3" t="str">
        <f>HYPERLINK("https://www.773grp.com/manufacturer/onsemi?pageNo=188", "Onsemi")</f>
        <v>Onsemi</v>
      </c>
      <c r="C13669" s="6">
        <v>24000</v>
      </c>
      <c r="D13669" s="7">
        <v>2.38</v>
      </c>
    </row>
    <row r="13670" spans="1:5" x14ac:dyDescent="0.25">
      <c r="A13670" t="str">
        <f>HYPERLINK("https://www.773grp.com/globalSearch/NCT1008CMT3R2G/page-1", "NCT1008CMT3R2G")</f>
        <v>NCT1008CMT3R2G</v>
      </c>
      <c r="B13670" s="3" t="str">
        <f>HYPERLINK("https://www.773grp.com/manufacturer/onsemi?pageNo=189", "Onsemi")</f>
        <v>Onsemi</v>
      </c>
      <c r="C13670" s="6">
        <v>210000</v>
      </c>
      <c r="D13670" s="7">
        <v>2.38</v>
      </c>
      <c r="E13670" t="s">
        <v>36</v>
      </c>
    </row>
    <row r="13671" spans="1:5" x14ac:dyDescent="0.25">
      <c r="A13671" t="str">
        <f>HYPERLINK("https://www.773grp.com/globalSearch/NCV2931AD-5.0R2/page-1", "NCV2931AD-5.0R2")</f>
        <v>NCV2931AD-5.0R2</v>
      </c>
      <c r="B13671" s="3" t="str">
        <f>HYPERLINK("https://www.773grp.com/manufacturer/onsemi?pageNo=190", "Onsemi")</f>
        <v>Onsemi</v>
      </c>
      <c r="C13671" s="6">
        <v>55000</v>
      </c>
      <c r="D13671" s="7">
        <v>2.38</v>
      </c>
      <c r="E13671" t="s">
        <v>15</v>
      </c>
    </row>
    <row r="13672" spans="1:5" x14ac:dyDescent="0.25">
      <c r="A13672" t="str">
        <f>HYPERLINK("https://www.773grp.com/globalSearch/NCV2931CDR2G/page-1", "NCV2931CDR2G")</f>
        <v>NCV2931CDR2G</v>
      </c>
      <c r="B13672" s="3" t="str">
        <f>HYPERLINK("https://www.773grp.com/manufacturer/onsemi?pageNo=191", "Onsemi")</f>
        <v>Onsemi</v>
      </c>
      <c r="C13672" s="6">
        <v>3654</v>
      </c>
      <c r="D13672" s="7">
        <v>2.38</v>
      </c>
    </row>
    <row r="13673" spans="1:5" x14ac:dyDescent="0.25">
      <c r="A13673" t="str">
        <f>HYPERLINK("https://www.773grp.com/globalSearch/NCV4275ADS50R4G/page-1", "NCV4275ADS50R4G")</f>
        <v>NCV4275ADS50R4G</v>
      </c>
      <c r="B13673" s="3" t="str">
        <f>HYPERLINK("https://www.773grp.com/manufacturer/onsemi?pageNo=192", "Onsemi")</f>
        <v>Onsemi</v>
      </c>
      <c r="C13673" s="6">
        <v>39555</v>
      </c>
      <c r="D13673" s="7">
        <v>2.38</v>
      </c>
      <c r="E13673" t="s">
        <v>15</v>
      </c>
    </row>
    <row r="13674" spans="1:5" x14ac:dyDescent="0.25">
      <c r="A13674" t="str">
        <f>HYPERLINK("https://www.773grp.com/globalSearch/NCV8406STT3G/page-1", "NCV8406STT3G")</f>
        <v>NCV8406STT3G</v>
      </c>
      <c r="B13674" s="3" t="str">
        <f>HYPERLINK("https://www.773grp.com/manufacturer/onsemi?pageNo=193", "Onsemi")</f>
        <v>Onsemi</v>
      </c>
      <c r="C13674" s="6">
        <v>3000</v>
      </c>
      <c r="D13674" s="7">
        <v>2.38</v>
      </c>
    </row>
    <row r="13675" spans="1:5" x14ac:dyDescent="0.25">
      <c r="A13675" t="str">
        <f>HYPERLINK("https://www.773grp.com/globalSearch/NE5534DG/page-1", "NE5534DG")</f>
        <v>NE5534DG</v>
      </c>
      <c r="B13675" s="3" t="str">
        <f>HYPERLINK("https://www.773grp.com/manufacturer/onsemi?pageNo=194", "Onsemi")</f>
        <v>Onsemi</v>
      </c>
      <c r="C13675" s="6">
        <v>1353</v>
      </c>
      <c r="D13675" s="7">
        <v>2.38</v>
      </c>
    </row>
    <row r="13676" spans="1:5" x14ac:dyDescent="0.25">
      <c r="A13676" t="str">
        <f>HYPERLINK("https://www.773grp.com/globalSearch/NE5534DR2G/page-1", "NE5534DR2G")</f>
        <v>NE5534DR2G</v>
      </c>
      <c r="B13676" s="3" t="str">
        <f>HYPERLINK("https://www.773grp.com/manufacturer/onsemi?pageNo=195", "Onsemi")</f>
        <v>Onsemi</v>
      </c>
      <c r="C13676" s="6">
        <v>2428</v>
      </c>
      <c r="D13676" s="7">
        <v>2.38</v>
      </c>
    </row>
    <row r="13677" spans="1:5" x14ac:dyDescent="0.25">
      <c r="A13677" t="str">
        <f>HYPERLINK("https://www.773grp.com/globalSearch/NGD8201ANT4G/page-1", "NGD8201ANT4G")</f>
        <v>NGD8201ANT4G</v>
      </c>
      <c r="B13677" s="3" t="str">
        <f>HYPERLINK("https://www.773grp.com/manufacturer/onsemi?pageNo=196", "Onsemi")</f>
        <v>Onsemi</v>
      </c>
      <c r="C13677" s="6">
        <v>37500</v>
      </c>
      <c r="D13677" s="7">
        <v>2.38</v>
      </c>
    </row>
    <row r="13678" spans="1:5" x14ac:dyDescent="0.25">
      <c r="A13678" t="str">
        <f>HYPERLINK("https://www.773grp.com/globalSearch/NGTB15N60EG/page-1", "NGTB15N60EG")</f>
        <v>NGTB15N60EG</v>
      </c>
      <c r="B13678" s="3" t="str">
        <f>HYPERLINK("https://www.773grp.com/manufacturer/onsemi?pageNo=197", "Onsemi")</f>
        <v>Onsemi</v>
      </c>
      <c r="C13678" s="6">
        <v>640</v>
      </c>
      <c r="D13678" s="7">
        <v>2.38</v>
      </c>
    </row>
    <row r="13679" spans="1:5" x14ac:dyDescent="0.25">
      <c r="A13679" t="str">
        <f>HYPERLINK("https://www.773grp.com/globalSearch/NGTB15N60S1EG/page-1", "NGTB15N60S1EG")</f>
        <v>NGTB15N60S1EG</v>
      </c>
      <c r="B13679" s="3" t="str">
        <f>HYPERLINK("https://www.773grp.com/manufacturer/onsemi?pageNo=198", "Onsemi")</f>
        <v>Onsemi</v>
      </c>
      <c r="C13679" s="6">
        <v>700</v>
      </c>
      <c r="D13679" s="7">
        <v>2.38</v>
      </c>
    </row>
    <row r="13680" spans="1:5" x14ac:dyDescent="0.25">
      <c r="A13680" t="str">
        <f>HYPERLINK("https://www.773grp.com/globalSearch/NLAS4717EPFCT1G/page-1", "NLAS4717EPFCT1G")</f>
        <v>NLAS4717EPFCT1G</v>
      </c>
      <c r="B13680" s="3" t="str">
        <f>HYPERLINK("https://www.773grp.com/manufacturer/onsemi?pageNo=199", "Onsemi")</f>
        <v>Onsemi</v>
      </c>
      <c r="C13680" s="6">
        <v>16037</v>
      </c>
      <c r="D13680" s="7">
        <v>2.38</v>
      </c>
      <c r="E13680" t="s">
        <v>46</v>
      </c>
    </row>
    <row r="13681" spans="1:5" x14ac:dyDescent="0.25">
      <c r="A13681" t="str">
        <f>HYPERLINK("https://www.773grp.com/globalSearch/NLAS4783MN1R2G/page-1", "NLAS4783MN1R2G")</f>
        <v>NLAS4783MN1R2G</v>
      </c>
      <c r="B13681" s="3" t="str">
        <f>HYPERLINK("https://www.773grp.com/manufacturer/onsemi?pageNo=200", "Onsemi")</f>
        <v>Onsemi</v>
      </c>
      <c r="C13681" s="6">
        <v>95429</v>
      </c>
      <c r="D13681" s="7">
        <v>2.38</v>
      </c>
      <c r="E13681" t="s">
        <v>46</v>
      </c>
    </row>
    <row r="13682" spans="1:5" x14ac:dyDescent="0.25">
      <c r="A13682" t="str">
        <f>HYPERLINK("https://www.773grp.com/globalSearch/NLSV2T240MUTAG/page-1", "NLSV2T240MUTAG")</f>
        <v>NLSV2T240MUTAG</v>
      </c>
      <c r="B13682" s="3" t="str">
        <f>HYPERLINK("https://www.773grp.com/manufacturer/onsemi?pageNo=201", "Onsemi")</f>
        <v>Onsemi</v>
      </c>
      <c r="C13682" s="6">
        <v>68916</v>
      </c>
      <c r="D13682" s="7">
        <v>2.38</v>
      </c>
      <c r="E13682" t="s">
        <v>11</v>
      </c>
    </row>
    <row r="13683" spans="1:5" x14ac:dyDescent="0.25">
      <c r="A13683" t="str">
        <f>HYPERLINK("https://www.773grp.com/globalSearch/NLSV2T244DMR2G/page-1", "NLSV2T244DMR2G")</f>
        <v>NLSV2T244DMR2G</v>
      </c>
      <c r="B13683" s="3" t="str">
        <f>HYPERLINK("https://www.773grp.com/manufacturer/onsemi?pageNo=202", "Onsemi")</f>
        <v>Onsemi</v>
      </c>
      <c r="C13683" s="6">
        <v>16000</v>
      </c>
      <c r="D13683" s="7">
        <v>2.38</v>
      </c>
    </row>
    <row r="13684" spans="1:5" x14ac:dyDescent="0.25">
      <c r="A13684" t="str">
        <f>HYPERLINK("https://www.773grp.com/globalSearch/NLSV2T244MUTAG/page-1", "NLSV2T244MUTAG")</f>
        <v>NLSV2T244MUTAG</v>
      </c>
      <c r="B13684" s="3" t="str">
        <f>HYPERLINK("https://www.773grp.com/manufacturer/onsemi?pageNo=203", "Onsemi")</f>
        <v>Onsemi</v>
      </c>
      <c r="C13684" s="6">
        <v>201000</v>
      </c>
      <c r="D13684" s="7">
        <v>2.38</v>
      </c>
      <c r="E13684" t="s">
        <v>62</v>
      </c>
    </row>
    <row r="13685" spans="1:5" x14ac:dyDescent="0.25">
      <c r="A13685" t="str">
        <f>HYPERLINK("https://www.773grp.com/globalSearch/NTB45N06L/page-1", "NTB45N06L")</f>
        <v>NTB45N06L</v>
      </c>
      <c r="B13685" s="3" t="str">
        <f>HYPERLINK("https://www.773grp.com/manufacturer/onsemi?pageNo=204", "Onsemi")</f>
        <v>Onsemi</v>
      </c>
      <c r="C13685" s="6">
        <v>550</v>
      </c>
      <c r="D13685" s="7">
        <v>2.38</v>
      </c>
      <c r="E13685" t="s">
        <v>84</v>
      </c>
    </row>
    <row r="13686" spans="1:5" x14ac:dyDescent="0.25">
      <c r="A13686" t="str">
        <f>HYPERLINK("https://www.773grp.com/globalSearch/NTMD3P03R2G/page-1", "NTMD3P03R2G")</f>
        <v>NTMD3P03R2G</v>
      </c>
      <c r="B13686" s="3" t="str">
        <f>HYPERLINK("https://www.773grp.com/manufacturer/onsemi?pageNo=205", "Onsemi")</f>
        <v>Onsemi</v>
      </c>
      <c r="C13686" s="6">
        <v>15438</v>
      </c>
      <c r="D13686" s="7">
        <v>2.38</v>
      </c>
      <c r="E13686" t="s">
        <v>85</v>
      </c>
    </row>
    <row r="13687" spans="1:5" x14ac:dyDescent="0.25">
      <c r="A13687" t="str">
        <f>HYPERLINK("https://www.773grp.com/globalSearch/NTMFS4108NT1G/page-1", "NTMFS4108NT1G")</f>
        <v>NTMFS4108NT1G</v>
      </c>
      <c r="B13687" s="3" t="str">
        <f>HYPERLINK("https://www.773grp.com/manufacturer/onsemi?pageNo=206", "Onsemi")</f>
        <v>Onsemi</v>
      </c>
      <c r="C13687" s="6">
        <v>17942</v>
      </c>
      <c r="D13687" s="7">
        <v>2.38</v>
      </c>
      <c r="E13687" t="s">
        <v>84</v>
      </c>
    </row>
    <row r="13688" spans="1:5" x14ac:dyDescent="0.25">
      <c r="A13688" t="str">
        <f>HYPERLINK("https://www.773grp.com/globalSearch/NTMFS4108NT3G/page-1", "NTMFS4108NT3G")</f>
        <v>NTMFS4108NT3G</v>
      </c>
      <c r="B13688" s="3" t="str">
        <f>HYPERLINK("https://www.773grp.com/manufacturer/onsemi?pageNo=207", "Onsemi")</f>
        <v>Onsemi</v>
      </c>
      <c r="C13688" s="6">
        <v>15000</v>
      </c>
      <c r="D13688" s="7">
        <v>2.38</v>
      </c>
      <c r="E13688" t="s">
        <v>84</v>
      </c>
    </row>
    <row r="13689" spans="1:5" x14ac:dyDescent="0.25">
      <c r="A13689" t="str">
        <f>HYPERLINK("https://www.773grp.com/globalSearch/NTMFS4898NFT1G/page-1", "NTMFS4898NFT1G")</f>
        <v>NTMFS4898NFT1G</v>
      </c>
      <c r="B13689" s="3" t="str">
        <f>HYPERLINK("https://www.773grp.com/manufacturer/onsemi?pageNo=208", "Onsemi")</f>
        <v>Onsemi</v>
      </c>
      <c r="C13689" s="6">
        <v>19315</v>
      </c>
      <c r="D13689" s="7">
        <v>2.38</v>
      </c>
      <c r="E13689" t="s">
        <v>84</v>
      </c>
    </row>
    <row r="13690" spans="1:5" x14ac:dyDescent="0.25">
      <c r="A13690" t="str">
        <f>HYPERLINK("https://www.773grp.com/globalSearch/NTMFS4898NFT3G/page-1", "NTMFS4898NFT3G")</f>
        <v>NTMFS4898NFT3G</v>
      </c>
      <c r="B13690" s="3" t="str">
        <f>HYPERLINK("https://www.773grp.com/manufacturer/onsemi?pageNo=209", "Onsemi")</f>
        <v>Onsemi</v>
      </c>
      <c r="C13690" s="6">
        <v>5771</v>
      </c>
      <c r="D13690" s="7">
        <v>2.38</v>
      </c>
    </row>
    <row r="13691" spans="1:5" x14ac:dyDescent="0.25">
      <c r="A13691" t="str">
        <f>HYPERLINK("https://www.773grp.com/globalSearch/NTMS4939NR2G/page-1", "NTMS4939NR2G")</f>
        <v>NTMS4939NR2G</v>
      </c>
      <c r="B13691" s="3" t="str">
        <f>HYPERLINK("https://www.773grp.com/manufacturer/onsemi?pageNo=210", "Onsemi")</f>
        <v>Onsemi</v>
      </c>
      <c r="C13691" s="6">
        <v>135000</v>
      </c>
      <c r="D13691" s="7">
        <v>2.38</v>
      </c>
    </row>
    <row r="13692" spans="1:5" x14ac:dyDescent="0.25">
      <c r="A13692" t="str">
        <f>HYPERLINK("https://www.773grp.com/globalSearch/NUF9002FCT1/page-1", "NUF9002FCT1")</f>
        <v>NUF9002FCT1</v>
      </c>
      <c r="B13692" s="3" t="str">
        <f>HYPERLINK("https://www.773grp.com/manufacturer/onsemi?pageNo=211", "Onsemi")</f>
        <v>Onsemi</v>
      </c>
      <c r="C13692" s="6">
        <v>48000</v>
      </c>
      <c r="D13692" s="7">
        <v>2.38</v>
      </c>
      <c r="E13692" t="s">
        <v>79</v>
      </c>
    </row>
    <row r="13693" spans="1:5" x14ac:dyDescent="0.25">
      <c r="A13693" t="str">
        <f>HYPERLINK("https://www.773grp.com/globalSearch/NVTFS5116PLTAG/page-1", "NVTFS5116PLTAG")</f>
        <v>NVTFS5116PLTAG</v>
      </c>
      <c r="B13693" s="3" t="str">
        <f>HYPERLINK("https://www.773grp.com/manufacturer/onsemi?pageNo=212", "Onsemi")</f>
        <v>Onsemi</v>
      </c>
      <c r="C13693" s="6">
        <v>118500</v>
      </c>
      <c r="D13693" s="7">
        <v>2.38</v>
      </c>
    </row>
    <row r="13694" spans="1:5" x14ac:dyDescent="0.25">
      <c r="A13694" t="str">
        <f>HYPERLINK("https://www.773grp.com/globalSearch/NVTFS5116PLTWG/page-1", "NVTFS5116PLTWG")</f>
        <v>NVTFS5116PLTWG</v>
      </c>
      <c r="B13694" s="3" t="str">
        <f>HYPERLINK("https://www.773grp.com/manufacturer/onsemi?pageNo=213", "Onsemi")</f>
        <v>Onsemi</v>
      </c>
      <c r="C13694" s="6">
        <v>15000</v>
      </c>
      <c r="D13694" s="7">
        <v>2.38</v>
      </c>
    </row>
    <row r="13695" spans="1:5" x14ac:dyDescent="0.25">
      <c r="A13695" t="str">
        <f>HYPERLINK("https://www.773grp.com/globalSearch/PCS3P8504AG-08CR/page-1", "PCS3P8504AG-08CR")</f>
        <v>PCS3P8504AG-08CR</v>
      </c>
      <c r="B13695" s="3" t="str">
        <f>HYPERLINK("https://www.773grp.com/manufacturer/onsemi?pageNo=214", "Onsemi")</f>
        <v>Onsemi</v>
      </c>
      <c r="C13695" s="6">
        <v>420000</v>
      </c>
      <c r="D13695" s="7">
        <v>2.38</v>
      </c>
      <c r="E13695" t="s">
        <v>65</v>
      </c>
    </row>
    <row r="13696" spans="1:5" x14ac:dyDescent="0.25">
      <c r="A13696" t="str">
        <f>HYPERLINK("https://www.773grp.com/globalSearch/SN75175DR2/page-1", "SN75175DR2")</f>
        <v>SN75175DR2</v>
      </c>
      <c r="B13696" s="3" t="str">
        <f>HYPERLINK("https://www.773grp.com/manufacturer/onsemi?pageNo=215", "Onsemi")</f>
        <v>Onsemi</v>
      </c>
      <c r="C13696" s="6">
        <v>1561</v>
      </c>
      <c r="D13696" s="7">
        <v>2.38</v>
      </c>
      <c r="E13696" t="s">
        <v>17</v>
      </c>
    </row>
    <row r="13697" spans="1:5" x14ac:dyDescent="0.25">
      <c r="A13697" t="str">
        <f>HYPERLINK("https://www.773grp.com/globalSearch/TL594CDTBG/page-1", "TL594CDTBG")</f>
        <v>TL594CDTBG</v>
      </c>
      <c r="B13697" s="3" t="str">
        <f>HYPERLINK("https://www.773grp.com/manufacturer/onsemi?pageNo=216", "Onsemi")</f>
        <v>Onsemi</v>
      </c>
      <c r="C13697" s="6">
        <v>4680</v>
      </c>
      <c r="D13697" s="7">
        <v>2.38</v>
      </c>
      <c r="E13697" t="s">
        <v>5</v>
      </c>
    </row>
    <row r="13698" spans="1:5" x14ac:dyDescent="0.25">
      <c r="A13698" t="str">
        <f>HYPERLINK("https://www.773grp.com/globalSearch/MMDF3N02HDR2/page-1", "MMDF3N02HDR2")</f>
        <v>MMDF3N02HDR2</v>
      </c>
      <c r="B13698" s="3" t="str">
        <f>HYPERLINK("https://www.773grp.com/manufacturer/onsemi?pageNo=217", "Onsemi")</f>
        <v>Onsemi</v>
      </c>
      <c r="C13698" s="6">
        <v>412</v>
      </c>
      <c r="D13698" s="7">
        <v>2.4300000000000002</v>
      </c>
      <c r="E13698" t="s">
        <v>84</v>
      </c>
    </row>
    <row r="13699" spans="1:5" x14ac:dyDescent="0.25">
      <c r="A13699" t="str">
        <f>HYPERLINK("https://www.773grp.com/globalSearch/2N6399G/page-1", "2N6399G")</f>
        <v>2N6399G</v>
      </c>
      <c r="B13699" s="3" t="str">
        <f>HYPERLINK("https://www.773grp.com/manufacturer/onsemi?pageNo=218", "Onsemi")</f>
        <v>Onsemi</v>
      </c>
      <c r="C13699" s="6">
        <v>2562</v>
      </c>
      <c r="D13699" s="7">
        <v>2.4300000000000002</v>
      </c>
    </row>
    <row r="13700" spans="1:5" x14ac:dyDescent="0.25">
      <c r="A13700" t="str">
        <f>HYPERLINK("https://www.773grp.com/globalSearch/BUL45D2G/page-1", "BUL45D2G")</f>
        <v>BUL45D2G</v>
      </c>
      <c r="B13700" s="3" t="str">
        <f>HYPERLINK("https://www.773grp.com/manufacturer/onsemi?pageNo=219", "Onsemi")</f>
        <v>Onsemi</v>
      </c>
      <c r="C13700" s="6">
        <v>11953</v>
      </c>
      <c r="D13700" s="7">
        <v>2.4300000000000002</v>
      </c>
      <c r="E13700" t="s">
        <v>47</v>
      </c>
    </row>
    <row r="13701" spans="1:5" x14ac:dyDescent="0.25">
      <c r="A13701" t="str">
        <f>HYPERLINK("https://www.773grp.com/globalSearch/CAT140169MWI-GT3/page-1", "CAT140169MWI-GT3")</f>
        <v>CAT140169MWI-GT3</v>
      </c>
      <c r="B13701" s="3" t="str">
        <f>HYPERLINK("https://www.773grp.com/manufacturer/onsemi?pageNo=220", "Onsemi")</f>
        <v>Onsemi</v>
      </c>
      <c r="C13701" s="6">
        <v>6000</v>
      </c>
      <c r="D13701" s="7">
        <v>2.4300000000000002</v>
      </c>
      <c r="E13701" t="s">
        <v>52</v>
      </c>
    </row>
    <row r="13702" spans="1:5" x14ac:dyDescent="0.25">
      <c r="A13702" t="str">
        <f>HYPERLINK("https://www.773grp.com/globalSearch/CS51411GDR8/page-1", "CS51411GDR8")</f>
        <v>CS51411GDR8</v>
      </c>
      <c r="B13702" s="3" t="str">
        <f>HYPERLINK("https://www.773grp.com/manufacturer/onsemi?pageNo=221", "Onsemi")</f>
        <v>Onsemi</v>
      </c>
      <c r="C13702" s="6">
        <v>9156</v>
      </c>
      <c r="D13702" s="7">
        <v>2.4300000000000002</v>
      </c>
      <c r="E13702" t="s">
        <v>5</v>
      </c>
    </row>
    <row r="13703" spans="1:5" x14ac:dyDescent="0.25">
      <c r="A13703" t="str">
        <f>HYPERLINK("https://www.773grp.com/globalSearch/LB1867M-TLM-E/page-1", "LB1867M-TLM-E")</f>
        <v>LB1867M-TLM-E</v>
      </c>
      <c r="B13703" s="3" t="str">
        <f>HYPERLINK("https://www.773grp.com/manufacturer/onsemi?pageNo=222", "Onsemi")</f>
        <v>Onsemi</v>
      </c>
      <c r="C13703" s="6">
        <v>87000</v>
      </c>
      <c r="D13703" s="7">
        <v>2.4300000000000002</v>
      </c>
    </row>
    <row r="13704" spans="1:5" x14ac:dyDescent="0.25">
      <c r="A13704" t="str">
        <f>HYPERLINK("https://www.773grp.com/globalSearch/LJF13007/page-1", "LJF13007")</f>
        <v>LJF13007</v>
      </c>
      <c r="B13704" s="3" t="str">
        <f>HYPERLINK("https://www.773grp.com/manufacturer/onsemi?pageNo=223", "Onsemi")</f>
        <v>Onsemi</v>
      </c>
      <c r="C13704" s="6">
        <v>23573</v>
      </c>
      <c r="D13704" s="7">
        <v>2.4300000000000002</v>
      </c>
    </row>
    <row r="13705" spans="1:5" x14ac:dyDescent="0.25">
      <c r="A13705" t="str">
        <f>HYPERLINK("https://www.773grp.com/globalSearch/MC33363P/page-1", "MC33363P")</f>
        <v>MC33363P</v>
      </c>
      <c r="B13705" s="3" t="str">
        <f>HYPERLINK("https://www.773grp.com/manufacturer/onsemi?pageNo=224", "Onsemi")</f>
        <v>Onsemi</v>
      </c>
      <c r="C13705" s="6">
        <v>248595</v>
      </c>
      <c r="D13705" s="7">
        <v>2.4300000000000002</v>
      </c>
      <c r="E13705" t="s">
        <v>5</v>
      </c>
    </row>
    <row r="13706" spans="1:5" x14ac:dyDescent="0.25">
      <c r="A13706" t="str">
        <f>HYPERLINK("https://www.773grp.com/globalSearch/MC34152DG/page-1", "MC34152DG")</f>
        <v>MC34152DG</v>
      </c>
      <c r="B13706" s="3" t="str">
        <f>HYPERLINK("https://www.773grp.com/manufacturer/onsemi?pageNo=225", "Onsemi")</f>
        <v>Onsemi</v>
      </c>
      <c r="C13706" s="6">
        <v>1609</v>
      </c>
      <c r="D13706" s="7">
        <v>2.4300000000000002</v>
      </c>
      <c r="E13706" t="s">
        <v>12</v>
      </c>
    </row>
    <row r="13707" spans="1:5" x14ac:dyDescent="0.25">
      <c r="A13707" t="str">
        <f>HYPERLINK("https://www.773grp.com/globalSearch/MC34152DR2G/page-1", "MC34152DR2G")</f>
        <v>MC34152DR2G</v>
      </c>
      <c r="B13707" s="3" t="str">
        <f>HYPERLINK("https://www.773grp.com/manufacturer/onsemi?pageNo=226", "Onsemi")</f>
        <v>Onsemi</v>
      </c>
      <c r="C13707" s="6">
        <v>12449</v>
      </c>
      <c r="D13707" s="7">
        <v>2.4300000000000002</v>
      </c>
      <c r="E13707" t="s">
        <v>12</v>
      </c>
    </row>
    <row r="13708" spans="1:5" x14ac:dyDescent="0.25">
      <c r="A13708" t="str">
        <f>HYPERLINK("https://www.773grp.com/globalSearch/MC34152PG/page-1", "MC34152PG")</f>
        <v>MC34152PG</v>
      </c>
      <c r="B13708" s="3" t="str">
        <f>HYPERLINK("https://www.773grp.com/manufacturer/onsemi?pageNo=227", "Onsemi")</f>
        <v>Onsemi</v>
      </c>
      <c r="C13708" s="6">
        <v>7190</v>
      </c>
      <c r="D13708" s="7">
        <v>2.4300000000000002</v>
      </c>
      <c r="E13708" t="s">
        <v>12</v>
      </c>
    </row>
    <row r="13709" spans="1:5" x14ac:dyDescent="0.25">
      <c r="A13709" t="str">
        <f>HYPERLINK("https://www.773grp.com/globalSearch/MC74AC160N/page-1", "MC74AC160N")</f>
        <v>MC74AC160N</v>
      </c>
      <c r="B13709" s="3" t="str">
        <f>HYPERLINK("https://www.773grp.com/manufacturer/onsemi?pageNo=228", "Onsemi")</f>
        <v>Onsemi</v>
      </c>
      <c r="C13709" s="6">
        <v>1130</v>
      </c>
      <c r="D13709" s="7">
        <v>2.4300000000000002</v>
      </c>
      <c r="E13709" t="s">
        <v>22</v>
      </c>
    </row>
    <row r="13710" spans="1:5" x14ac:dyDescent="0.25">
      <c r="A13710" t="str">
        <f>HYPERLINK("https://www.773grp.com/globalSearch/MC74AC190N/page-1", "MC74AC190N")</f>
        <v>MC74AC190N</v>
      </c>
      <c r="B13710" s="3" t="str">
        <f>HYPERLINK("https://www.773grp.com/manufacturer/onsemi?pageNo=229", "Onsemi")</f>
        <v>Onsemi</v>
      </c>
      <c r="C13710" s="6">
        <v>1455</v>
      </c>
      <c r="D13710" s="7">
        <v>2.4300000000000002</v>
      </c>
      <c r="E13710" t="s">
        <v>22</v>
      </c>
    </row>
    <row r="13711" spans="1:5" x14ac:dyDescent="0.25">
      <c r="A13711" t="str">
        <f>HYPERLINK("https://www.773grp.com/globalSearch/MC74AC533M/page-1", "MC74AC533M")</f>
        <v>MC74AC533M</v>
      </c>
      <c r="B13711" s="3" t="str">
        <f>HYPERLINK("https://www.773grp.com/manufacturer/onsemi?pageNo=230", "Onsemi")</f>
        <v>Onsemi</v>
      </c>
      <c r="C13711" s="6">
        <v>1600</v>
      </c>
      <c r="D13711" s="7">
        <v>2.4300000000000002</v>
      </c>
    </row>
    <row r="13712" spans="1:5" x14ac:dyDescent="0.25">
      <c r="A13712" t="str">
        <f>HYPERLINK("https://www.773grp.com/globalSearch/MC74AC533N/page-1", "MC74AC533N")</f>
        <v>MC74AC533N</v>
      </c>
      <c r="B13712" s="3" t="str">
        <f>HYPERLINK("https://www.773grp.com/manufacturer/onsemi?pageNo=231", "Onsemi")</f>
        <v>Onsemi</v>
      </c>
      <c r="C13712" s="6">
        <v>1069</v>
      </c>
      <c r="D13712" s="7">
        <v>2.4300000000000002</v>
      </c>
      <c r="E13712" t="s">
        <v>11</v>
      </c>
    </row>
    <row r="13713" spans="1:5" x14ac:dyDescent="0.25">
      <c r="A13713" t="str">
        <f>HYPERLINK("https://www.773grp.com/globalSearch/MC74F640DW/page-1", "MC74F640DW")</f>
        <v>MC74F640DW</v>
      </c>
      <c r="B13713" s="3" t="str">
        <f>HYPERLINK("https://www.773grp.com/manufacturer/onsemi?pageNo=232", "Onsemi")</f>
        <v>Onsemi</v>
      </c>
      <c r="C13713" s="6">
        <v>4852</v>
      </c>
      <c r="D13713" s="7">
        <v>2.4300000000000002</v>
      </c>
      <c r="E13713" t="s">
        <v>11</v>
      </c>
    </row>
    <row r="13714" spans="1:5" x14ac:dyDescent="0.25">
      <c r="A13714" t="str">
        <f>HYPERLINK("https://www.773grp.com/globalSearch/MC74F640DWR2/page-1", "MC74F640DWR2")</f>
        <v>MC74F640DWR2</v>
      </c>
      <c r="B13714" s="3" t="str">
        <f>HYPERLINK("https://www.773grp.com/manufacturer/onsemi?pageNo=233", "Onsemi")</f>
        <v>Onsemi</v>
      </c>
      <c r="C13714" s="6">
        <v>2000</v>
      </c>
      <c r="D13714" s="7">
        <v>2.4300000000000002</v>
      </c>
      <c r="E13714" t="s">
        <v>11</v>
      </c>
    </row>
    <row r="13715" spans="1:5" x14ac:dyDescent="0.25">
      <c r="A13715" t="str">
        <f>HYPERLINK("https://www.773grp.com/globalSearch/MC74F640N/page-1", "MC74F640N")</f>
        <v>MC74F640N</v>
      </c>
      <c r="B13715" s="3" t="str">
        <f>HYPERLINK("https://www.773grp.com/manufacturer/onsemi?pageNo=234", "Onsemi")</f>
        <v>Onsemi</v>
      </c>
      <c r="C13715" s="6">
        <v>3910</v>
      </c>
      <c r="D13715" s="7">
        <v>2.4300000000000002</v>
      </c>
      <c r="E13715" t="s">
        <v>11</v>
      </c>
    </row>
    <row r="13716" spans="1:5" x14ac:dyDescent="0.25">
      <c r="A13716" t="str">
        <f>HYPERLINK("https://www.773grp.com/globalSearch/MJ2955/page-1", "MJ2955")</f>
        <v>MJ2955</v>
      </c>
      <c r="B13716" s="3" t="str">
        <f>HYPERLINK("https://www.773grp.com/manufacturer/onsemi?pageNo=235", "Onsemi")</f>
        <v>Onsemi</v>
      </c>
      <c r="C13716" s="6">
        <v>447</v>
      </c>
      <c r="D13716" s="7">
        <v>2.4300000000000002</v>
      </c>
      <c r="E13716" t="s">
        <v>47</v>
      </c>
    </row>
    <row r="13717" spans="1:5" x14ac:dyDescent="0.25">
      <c r="A13717" t="str">
        <f>HYPERLINK("https://www.773grp.com/globalSearch/MJE15029G/page-1", "MJE15029G")</f>
        <v>MJE15029G</v>
      </c>
      <c r="B13717" s="3" t="str">
        <f>HYPERLINK("https://www.773grp.com/manufacturer/onsemi?pageNo=236", "Onsemi")</f>
        <v>Onsemi</v>
      </c>
      <c r="C13717" s="6">
        <v>8793</v>
      </c>
      <c r="D13717" s="7">
        <v>2.4300000000000002</v>
      </c>
      <c r="E13717" t="s">
        <v>47</v>
      </c>
    </row>
    <row r="13718" spans="1:5" x14ac:dyDescent="0.25">
      <c r="A13718" t="str">
        <f>HYPERLINK("https://www.773grp.com/globalSearch/MJE15030G/page-1", "MJE15030G")</f>
        <v>MJE15030G</v>
      </c>
      <c r="B13718" s="3" t="str">
        <f>HYPERLINK("https://www.773grp.com/manufacturer/onsemi?pageNo=237", "Onsemi")</f>
        <v>Onsemi</v>
      </c>
      <c r="C13718" s="6">
        <v>14925</v>
      </c>
      <c r="D13718" s="7">
        <v>2.4300000000000002</v>
      </c>
      <c r="E13718" t="s">
        <v>47</v>
      </c>
    </row>
    <row r="13719" spans="1:5" x14ac:dyDescent="0.25">
      <c r="A13719" t="str">
        <f>HYPERLINK("https://www.773grp.com/globalSearch/MJE15031G/page-1", "MJE15031G")</f>
        <v>MJE15031G</v>
      </c>
      <c r="B13719" s="3" t="str">
        <f>HYPERLINK("https://www.773grp.com/manufacturer/onsemi?pageNo=238", "Onsemi")</f>
        <v>Onsemi</v>
      </c>
      <c r="C13719" s="6">
        <v>32963</v>
      </c>
      <c r="D13719" s="7">
        <v>2.4300000000000002</v>
      </c>
      <c r="E13719" t="s">
        <v>47</v>
      </c>
    </row>
    <row r="13720" spans="1:5" x14ac:dyDescent="0.25">
      <c r="A13720" t="str">
        <f>HYPERLINK("https://www.773grp.com/globalSearch/MJE15032G/page-1", "MJE15032G")</f>
        <v>MJE15032G</v>
      </c>
      <c r="B13720" s="3" t="str">
        <f>HYPERLINK("https://www.773grp.com/manufacturer/onsemi?pageNo=239", "Onsemi")</f>
        <v>Onsemi</v>
      </c>
      <c r="C13720" s="6">
        <v>9399</v>
      </c>
      <c r="D13720" s="7">
        <v>2.4300000000000002</v>
      </c>
      <c r="E13720" t="s">
        <v>47</v>
      </c>
    </row>
    <row r="13721" spans="1:5" x14ac:dyDescent="0.25">
      <c r="A13721" t="str">
        <f>HYPERLINK("https://www.773grp.com/globalSearch/MJE15033G/page-1", "MJE15033G")</f>
        <v>MJE15033G</v>
      </c>
      <c r="B13721" s="3" t="str">
        <f>HYPERLINK("https://www.773grp.com/manufacturer/onsemi?pageNo=240", "Onsemi")</f>
        <v>Onsemi</v>
      </c>
      <c r="C13721" s="6">
        <v>775</v>
      </c>
      <c r="D13721" s="7">
        <v>2.4300000000000002</v>
      </c>
      <c r="E13721" t="s">
        <v>47</v>
      </c>
    </row>
    <row r="13722" spans="1:5" x14ac:dyDescent="0.25">
      <c r="A13722" t="str">
        <f>HYPERLINK("https://www.773grp.com/globalSearch/MJE5730G/page-1", "MJE5730G")</f>
        <v>MJE5730G</v>
      </c>
      <c r="B13722" s="3" t="str">
        <f>HYPERLINK("https://www.773grp.com/manufacturer/onsemi?pageNo=241", "Onsemi")</f>
        <v>Onsemi</v>
      </c>
      <c r="C13722" s="6">
        <v>165</v>
      </c>
      <c r="D13722" s="7">
        <v>2.4300000000000002</v>
      </c>
      <c r="E13722" t="s">
        <v>47</v>
      </c>
    </row>
    <row r="13723" spans="1:5" x14ac:dyDescent="0.25">
      <c r="A13723" t="str">
        <f>HYPERLINK("https://www.773grp.com/globalSearch/MJE5731AG/page-1", "MJE5731AG")</f>
        <v>MJE5731AG</v>
      </c>
      <c r="B13723" s="3" t="str">
        <f>HYPERLINK("https://www.773grp.com/manufacturer/onsemi?pageNo=242", "Onsemi")</f>
        <v>Onsemi</v>
      </c>
      <c r="C13723" s="6">
        <v>15</v>
      </c>
      <c r="D13723" s="7">
        <v>2.4300000000000002</v>
      </c>
      <c r="E13723" t="s">
        <v>47</v>
      </c>
    </row>
    <row r="13724" spans="1:5" x14ac:dyDescent="0.25">
      <c r="A13724" t="str">
        <f>HYPERLINK("https://www.773grp.com/globalSearch/MMDF3N02HDR2/page-1", "MMDF3N02HDR2")</f>
        <v>MMDF3N02HDR2</v>
      </c>
      <c r="B13724" s="3" t="str">
        <f>HYPERLINK("https://www.773grp.com/manufacturer/onsemi?pageNo=243", "Onsemi")</f>
        <v>Onsemi</v>
      </c>
      <c r="C13724" s="6">
        <v>18220</v>
      </c>
      <c r="D13724" s="7">
        <v>2.4300000000000002</v>
      </c>
      <c r="E13724" t="s">
        <v>84</v>
      </c>
    </row>
    <row r="13725" spans="1:5" x14ac:dyDescent="0.25">
      <c r="A13725" t="str">
        <f>HYPERLINK("https://www.773grp.com/globalSearch/MMDF3N02HDR2G/page-1", "MMDF3N02HDR2G")</f>
        <v>MMDF3N02HDR2G</v>
      </c>
      <c r="B13725" s="3" t="str">
        <f>HYPERLINK("https://www.773grp.com/manufacturer/onsemi?pageNo=244", "Onsemi")</f>
        <v>Onsemi</v>
      </c>
      <c r="C13725" s="6">
        <v>19500</v>
      </c>
      <c r="D13725" s="7">
        <v>2.4300000000000002</v>
      </c>
      <c r="E13725" t="s">
        <v>84</v>
      </c>
    </row>
    <row r="13726" spans="1:5" x14ac:dyDescent="0.25">
      <c r="A13726" t="str">
        <f>HYPERLINK("https://www.773grp.com/globalSearch/MMDF3N04HDR2G/page-1", "MMDF3N04HDR2G")</f>
        <v>MMDF3N04HDR2G</v>
      </c>
      <c r="B13726" s="3" t="str">
        <f>HYPERLINK("https://www.773grp.com/manufacturer/onsemi?pageNo=245", "Onsemi")</f>
        <v>Onsemi</v>
      </c>
      <c r="C13726" s="6">
        <v>275</v>
      </c>
      <c r="D13726" s="7">
        <v>2.4300000000000002</v>
      </c>
      <c r="E13726" t="s">
        <v>85</v>
      </c>
    </row>
    <row r="13727" spans="1:5" x14ac:dyDescent="0.25">
      <c r="A13727" t="str">
        <f>HYPERLINK("https://www.773grp.com/globalSearch/MTB52N06VL/page-1", "MTB52N06VL")</f>
        <v>MTB52N06VL</v>
      </c>
      <c r="B13727" s="3" t="str">
        <f>HYPERLINK("https://www.773grp.com/manufacturer/onsemi?pageNo=246", "Onsemi")</f>
        <v>Onsemi</v>
      </c>
      <c r="C13727" s="6">
        <v>946</v>
      </c>
      <c r="D13727" s="7">
        <v>2.4300000000000002</v>
      </c>
      <c r="E13727" t="s">
        <v>84</v>
      </c>
    </row>
    <row r="13728" spans="1:5" x14ac:dyDescent="0.25">
      <c r="A13728" t="str">
        <f>HYPERLINK("https://www.773grp.com/globalSearch/NCP1205P2/page-1", "NCP1205P2")</f>
        <v>NCP1205P2</v>
      </c>
      <c r="B13728" s="3" t="str">
        <f>HYPERLINK("https://www.773grp.com/manufacturer/onsemi?pageNo=247", "Onsemi")</f>
        <v>Onsemi</v>
      </c>
      <c r="C13728" s="6">
        <v>2386</v>
      </c>
      <c r="D13728" s="7">
        <v>2.4300000000000002</v>
      </c>
      <c r="E13728" t="s">
        <v>5</v>
      </c>
    </row>
    <row r="13729" spans="1:5" x14ac:dyDescent="0.25">
      <c r="A13729" t="str">
        <f>HYPERLINK("https://www.773grp.com/globalSearch/NCP1271P100G/page-1", "NCP1271P100G")</f>
        <v>NCP1271P100G</v>
      </c>
      <c r="B13729" s="3" t="str">
        <f>HYPERLINK("https://www.773grp.com/manufacturer/onsemi?pageNo=248", "Onsemi")</f>
        <v>Onsemi</v>
      </c>
      <c r="C13729" s="6">
        <v>15992</v>
      </c>
      <c r="D13729" s="7">
        <v>2.4300000000000002</v>
      </c>
      <c r="E13729" t="s">
        <v>5</v>
      </c>
    </row>
    <row r="13730" spans="1:5" x14ac:dyDescent="0.25">
      <c r="A13730" t="str">
        <f>HYPERLINK("https://www.773grp.com/globalSearch/NCP1271P65G/page-1", "NCP1271P65G")</f>
        <v>NCP1271P65G</v>
      </c>
      <c r="B13730" s="3" t="str">
        <f>HYPERLINK("https://www.773grp.com/manufacturer/onsemi?pageNo=249", "Onsemi")</f>
        <v>Onsemi</v>
      </c>
      <c r="C13730" s="6">
        <v>26745</v>
      </c>
      <c r="D13730" s="7">
        <v>2.4300000000000002</v>
      </c>
      <c r="E13730" t="s">
        <v>5</v>
      </c>
    </row>
    <row r="13731" spans="1:5" x14ac:dyDescent="0.25">
      <c r="A13731" t="str">
        <f>HYPERLINK("https://www.773grp.com/globalSearch/NCP1378PG/page-1", "NCP1378PG")</f>
        <v>NCP1378PG</v>
      </c>
      <c r="B13731" s="3" t="str">
        <f>HYPERLINK("https://www.773grp.com/manufacturer/onsemi?pageNo=250", "Onsemi")</f>
        <v>Onsemi</v>
      </c>
      <c r="C13731" s="6">
        <v>15029</v>
      </c>
      <c r="D13731" s="7">
        <v>2.4300000000000002</v>
      </c>
      <c r="E13731" t="s">
        <v>5</v>
      </c>
    </row>
    <row r="13732" spans="1:5" x14ac:dyDescent="0.25">
      <c r="A13732" t="str">
        <f>HYPERLINK("https://www.773grp.com/globalSearch/NCP5387MNR2G/page-1", "NCP5387MNR2G")</f>
        <v>NCP5387MNR2G</v>
      </c>
      <c r="B13732" s="3" t="str">
        <f>HYPERLINK("https://www.773grp.com/manufacturer/onsemi?pageNo=251", "Onsemi")</f>
        <v>Onsemi</v>
      </c>
      <c r="C13732" s="6">
        <v>127580</v>
      </c>
      <c r="D13732" s="7">
        <v>2.4300000000000002</v>
      </c>
    </row>
    <row r="13733" spans="1:5" x14ac:dyDescent="0.25">
      <c r="A13733" t="str">
        <f>HYPERLINK("https://www.773grp.com/globalSearch/NCP803SN438T1/page-1", "NCP803SN438T1")</f>
        <v>NCP803SN438T1</v>
      </c>
      <c r="B13733" s="3" t="str">
        <f>HYPERLINK("https://www.773grp.com/manufacturer/onsemi?pageNo=252", "Onsemi")</f>
        <v>Onsemi</v>
      </c>
      <c r="C13733" s="6">
        <v>9000</v>
      </c>
      <c r="D13733" s="7">
        <v>2.4300000000000002</v>
      </c>
      <c r="E13733" t="s">
        <v>26</v>
      </c>
    </row>
    <row r="13734" spans="1:5" x14ac:dyDescent="0.25">
      <c r="A13734" t="str">
        <f>HYPERLINK("https://www.773grp.com/globalSearch/NCV3064PG/page-1", "NCV3064PG")</f>
        <v>NCV3064PG</v>
      </c>
      <c r="B13734" s="3" t="str">
        <f>HYPERLINK("https://www.773grp.com/manufacturer/onsemi?pageNo=253", "Onsemi")</f>
        <v>Onsemi</v>
      </c>
      <c r="C13734" s="6">
        <v>12700</v>
      </c>
      <c r="D13734" s="7">
        <v>2.4300000000000002</v>
      </c>
      <c r="E13734" t="s">
        <v>5</v>
      </c>
    </row>
    <row r="13735" spans="1:5" x14ac:dyDescent="0.25">
      <c r="A13735" t="str">
        <f>HYPERLINK("https://www.773grp.com/globalSearch/NCV4266ST50T3G/page-1", "NCV4266ST50T3G")</f>
        <v>NCV4266ST50T3G</v>
      </c>
      <c r="B13735" s="3" t="str">
        <f>HYPERLINK("https://www.773grp.com/manufacturer/onsemi?pageNo=254", "Onsemi")</f>
        <v>Onsemi</v>
      </c>
      <c r="C13735" s="6">
        <v>15350</v>
      </c>
      <c r="D13735" s="7">
        <v>2.4300000000000002</v>
      </c>
    </row>
    <row r="13736" spans="1:5" x14ac:dyDescent="0.25">
      <c r="A13736" t="str">
        <f>HYPERLINK("https://www.773grp.com/globalSearch/NCV7356D1G/page-1", "NCV7356D1G")</f>
        <v>NCV7356D1G</v>
      </c>
      <c r="B13736" s="3" t="str">
        <f>HYPERLINK("https://www.773grp.com/manufacturer/onsemi?pageNo=255", "Onsemi")</f>
        <v>Onsemi</v>
      </c>
      <c r="C13736" s="6">
        <v>288</v>
      </c>
      <c r="D13736" s="7">
        <v>2.4300000000000002</v>
      </c>
      <c r="E13736" t="s">
        <v>45</v>
      </c>
    </row>
    <row r="13737" spans="1:5" x14ac:dyDescent="0.25">
      <c r="A13737" t="str">
        <f>HYPERLINK("https://www.773grp.com/globalSearch/NE5534NG/page-1", "NE5534NG")</f>
        <v>NE5534NG</v>
      </c>
      <c r="B13737" s="3" t="str">
        <f>HYPERLINK("https://www.773grp.com/manufacturer/onsemi?pageNo=256", "Onsemi")</f>
        <v>Onsemi</v>
      </c>
      <c r="C13737" s="6">
        <v>600</v>
      </c>
      <c r="D13737" s="7">
        <v>2.4300000000000002</v>
      </c>
      <c r="E13737" t="s">
        <v>10</v>
      </c>
    </row>
    <row r="13738" spans="1:5" x14ac:dyDescent="0.25">
      <c r="A13738" t="str">
        <f>HYPERLINK("https://www.773grp.com/globalSearch/NTMS7N03R2G/page-1", "NTMS7N03R2G")</f>
        <v>NTMS7N03R2G</v>
      </c>
      <c r="B13738" s="3" t="str">
        <f>HYPERLINK("https://www.773grp.com/manufacturer/onsemi?pageNo=257", "Onsemi")</f>
        <v>Onsemi</v>
      </c>
      <c r="C13738" s="6">
        <v>26075</v>
      </c>
      <c r="D13738" s="7">
        <v>2.4300000000000002</v>
      </c>
      <c r="E13738" t="s">
        <v>85</v>
      </c>
    </row>
    <row r="13739" spans="1:5" x14ac:dyDescent="0.25">
      <c r="A13739" t="str">
        <f>HYPERLINK("https://www.773grp.com/globalSearch/SA5534N/page-1", "SA5534N")</f>
        <v>SA5534N</v>
      </c>
      <c r="B13739" s="3" t="str">
        <f>HYPERLINK("https://www.773grp.com/manufacturer/onsemi?pageNo=258", "Onsemi")</f>
        <v>Onsemi</v>
      </c>
      <c r="C13739" s="6">
        <v>1900</v>
      </c>
      <c r="D13739" s="7">
        <v>2.4300000000000002</v>
      </c>
      <c r="E13739" t="s">
        <v>10</v>
      </c>
    </row>
    <row r="13740" spans="1:5" x14ac:dyDescent="0.25">
      <c r="A13740" t="str">
        <f>HYPERLINK("https://www.773grp.com/globalSearch/TND525SS-TL-2H/page-1", "TND525SS-TL-2H")</f>
        <v>TND525SS-TL-2H</v>
      </c>
      <c r="B13740" s="3" t="str">
        <f>HYPERLINK("https://www.773grp.com/manufacturer/onsemi?pageNo=259", "Onsemi")</f>
        <v>Onsemi</v>
      </c>
      <c r="C13740" s="6">
        <v>2430</v>
      </c>
      <c r="D13740" s="7">
        <v>2.4300000000000002</v>
      </c>
    </row>
    <row r="13741" spans="1:5" x14ac:dyDescent="0.25">
      <c r="A13741" t="str">
        <f>HYPERLINK("https://www.773grp.com/globalSearch/TY38403/page-1", "TY38403")</f>
        <v>TY38403</v>
      </c>
      <c r="B13741" s="3" t="str">
        <f>HYPERLINK("https://www.773grp.com/manufacturer/onsemi?pageNo=260", "Onsemi")</f>
        <v>Onsemi</v>
      </c>
      <c r="C13741" s="6">
        <v>480</v>
      </c>
      <c r="D13741" s="7">
        <v>2.4300000000000002</v>
      </c>
    </row>
    <row r="13742" spans="1:5" x14ac:dyDescent="0.25">
      <c r="A13742" t="str">
        <f>HYPERLINK("https://www.773grp.com/globalSearch/LM2931CT-NOPB/page-1", "LM2931CT-NOPB")</f>
        <v>LM2931CT-NOPB</v>
      </c>
      <c r="B13742" s="3" t="str">
        <f>HYPERLINK("https://www.773grp.com/manufacturer/onsemi?pageNo=261", "Onsemi")</f>
        <v>Onsemi</v>
      </c>
      <c r="C13742" s="6">
        <v>1</v>
      </c>
      <c r="D13742" s="7">
        <v>2.4300000000000002</v>
      </c>
    </row>
    <row r="13743" spans="1:5" x14ac:dyDescent="0.25">
      <c r="A13743" t="str">
        <f>HYPERLINK("https://www.773grp.com/globalSearch/BTA12-600BW3G/page-1", "BTA12-600BW3G")</f>
        <v>BTA12-600BW3G</v>
      </c>
      <c r="B13743" s="3" t="str">
        <f>HYPERLINK("https://www.773grp.com/manufacturer/onsemi?pageNo=262", "Onsemi")</f>
        <v>Onsemi</v>
      </c>
      <c r="C13743" s="6">
        <v>242700</v>
      </c>
      <c r="D13743" s="7">
        <v>2.48</v>
      </c>
      <c r="E13743" t="s">
        <v>81</v>
      </c>
    </row>
    <row r="13744" spans="1:5" x14ac:dyDescent="0.25">
      <c r="A13744" t="str">
        <f>HYPERLINK("https://www.773grp.com/globalSearch/BTA12-600CW3G/page-1", "BTA12-600CW3G")</f>
        <v>BTA12-600CW3G</v>
      </c>
      <c r="B13744" s="3" t="str">
        <f>HYPERLINK("https://www.773grp.com/manufacturer/onsemi?pageNo=263", "Onsemi")</f>
        <v>Onsemi</v>
      </c>
      <c r="C13744" s="6">
        <v>8465</v>
      </c>
      <c r="D13744" s="7">
        <v>2.48</v>
      </c>
      <c r="E13744" t="s">
        <v>81</v>
      </c>
    </row>
    <row r="13745" spans="1:5" x14ac:dyDescent="0.25">
      <c r="A13745" t="str">
        <f>HYPERLINK("https://www.773grp.com/globalSearch/BTA12-800BW3G/page-1", "BTA12-800BW3G")</f>
        <v>BTA12-800BW3G</v>
      </c>
      <c r="B13745" s="3" t="str">
        <f>HYPERLINK("https://www.773grp.com/manufacturer/onsemi?pageNo=264", "Onsemi")</f>
        <v>Onsemi</v>
      </c>
      <c r="C13745" s="6">
        <v>1000</v>
      </c>
      <c r="D13745" s="7">
        <v>2.48</v>
      </c>
      <c r="E13745" t="s">
        <v>81</v>
      </c>
    </row>
    <row r="13746" spans="1:5" x14ac:dyDescent="0.25">
      <c r="A13746" t="str">
        <f>HYPERLINK("https://www.773grp.com/globalSearch/BTA12-800CW3G/page-1", "BTA12-800CW3G")</f>
        <v>BTA12-800CW3G</v>
      </c>
      <c r="B13746" s="3" t="str">
        <f>HYPERLINK("https://www.773grp.com/manufacturer/onsemi?pageNo=265", "Onsemi")</f>
        <v>Onsemi</v>
      </c>
      <c r="C13746" s="6">
        <v>139900</v>
      </c>
      <c r="D13746" s="7">
        <v>2.48</v>
      </c>
      <c r="E13746" t="s">
        <v>81</v>
      </c>
    </row>
    <row r="13747" spans="1:5" x14ac:dyDescent="0.25">
      <c r="A13747" t="str">
        <f>HYPERLINK("https://www.773grp.com/globalSearch/CAT25256VI-G/page-1", "CAT25256VI-G")</f>
        <v>CAT25256VI-G</v>
      </c>
      <c r="B13747" s="3" t="str">
        <f>HYPERLINK("https://www.773grp.com/manufacturer/onsemi?pageNo=266", "Onsemi")</f>
        <v>Onsemi</v>
      </c>
      <c r="C13747" s="6">
        <v>1400</v>
      </c>
      <c r="D13747" s="7">
        <v>2.48</v>
      </c>
    </row>
    <row r="13748" spans="1:5" x14ac:dyDescent="0.25">
      <c r="A13748" t="str">
        <f>HYPERLINK("https://www.773grp.com/globalSearch/CAT25256YI-G/page-1", "CAT25256YI-G")</f>
        <v>CAT25256YI-G</v>
      </c>
      <c r="B13748" s="3" t="str">
        <f>HYPERLINK("https://www.773grp.com/manufacturer/onsemi?pageNo=267", "Onsemi")</f>
        <v>Onsemi</v>
      </c>
      <c r="C13748" s="6">
        <v>1495</v>
      </c>
      <c r="D13748" s="7">
        <v>2.48</v>
      </c>
    </row>
    <row r="13749" spans="1:5" x14ac:dyDescent="0.25">
      <c r="A13749" t="str">
        <f>HYPERLINK("https://www.773grp.com/globalSearch/LC898300XA-MH/page-1", "LC898300XA-MH")</f>
        <v>LC898300XA-MH</v>
      </c>
      <c r="B13749" s="3" t="str">
        <f>HYPERLINK("https://www.773grp.com/manufacturer/onsemi?pageNo=268", "Onsemi")</f>
        <v>Onsemi</v>
      </c>
      <c r="C13749" s="6">
        <v>112200</v>
      </c>
      <c r="D13749" s="7">
        <v>2.48</v>
      </c>
    </row>
    <row r="13750" spans="1:5" x14ac:dyDescent="0.25">
      <c r="A13750" t="str">
        <f>HYPERLINK("https://www.773grp.com/globalSearch/LE24LB642CSTL-TFM-H/page-1", "LE24LB642CSTL-TFM-H")</f>
        <v>LE24LB642CSTL-TFM-H</v>
      </c>
      <c r="B13750" s="3" t="str">
        <f>HYPERLINK("https://www.773grp.com/manufacturer/onsemi?pageNo=269", "Onsemi")</f>
        <v>Onsemi</v>
      </c>
      <c r="C13750" s="6">
        <v>240000</v>
      </c>
      <c r="D13750" s="7">
        <v>2.48</v>
      </c>
    </row>
    <row r="13751" spans="1:5" x14ac:dyDescent="0.25">
      <c r="A13751" t="str">
        <f>HYPERLINK("https://www.773grp.com/globalSearch/LM317MSTT3G/page-1", "LM317MSTT3G")</f>
        <v>LM317MSTT3G</v>
      </c>
      <c r="B13751" s="3" t="str">
        <f>HYPERLINK("https://www.773grp.com/manufacturer/onsemi?pageNo=270", "Onsemi")</f>
        <v>Onsemi</v>
      </c>
      <c r="C13751" s="6">
        <v>20250</v>
      </c>
      <c r="D13751" s="7">
        <v>2.48</v>
      </c>
      <c r="E13751" t="s">
        <v>18</v>
      </c>
    </row>
    <row r="13752" spans="1:5" x14ac:dyDescent="0.25">
      <c r="A13752" t="str">
        <f>HYPERLINK("https://www.773grp.com/globalSearch/MC33039DG/page-1", "MC33039DG")</f>
        <v>MC33039DG</v>
      </c>
      <c r="B13752" s="3" t="str">
        <f>HYPERLINK("https://www.773grp.com/manufacturer/onsemi?pageNo=271", "Onsemi")</f>
        <v>Onsemi</v>
      </c>
      <c r="C13752" s="6">
        <v>320</v>
      </c>
      <c r="D13752" s="7">
        <v>2.48</v>
      </c>
    </row>
    <row r="13753" spans="1:5" x14ac:dyDescent="0.25">
      <c r="A13753" t="str">
        <f>HYPERLINK("https://www.773grp.com/globalSearch/MC33039DR2G/page-1", "MC33039DR2G")</f>
        <v>MC33039DR2G</v>
      </c>
      <c r="B13753" s="3" t="str">
        <f>HYPERLINK("https://www.773grp.com/manufacturer/onsemi?pageNo=272", "Onsemi")</f>
        <v>Onsemi</v>
      </c>
      <c r="C13753" s="6">
        <v>5985</v>
      </c>
      <c r="D13753" s="7">
        <v>2.48</v>
      </c>
      <c r="E13753" t="s">
        <v>36</v>
      </c>
    </row>
    <row r="13754" spans="1:5" x14ac:dyDescent="0.25">
      <c r="A13754" t="str">
        <f>HYPERLINK("https://www.773grp.com/globalSearch/MC33060APG/page-1", "MC33060APG")</f>
        <v>MC33060APG</v>
      </c>
      <c r="B13754" s="3" t="str">
        <f>HYPERLINK("https://www.773grp.com/manufacturer/onsemi?pageNo=273", "Onsemi")</f>
        <v>Onsemi</v>
      </c>
      <c r="C13754" s="6">
        <v>4341</v>
      </c>
      <c r="D13754" s="7">
        <v>2.48</v>
      </c>
      <c r="E13754" t="s">
        <v>5</v>
      </c>
    </row>
    <row r="13755" spans="1:5" x14ac:dyDescent="0.25">
      <c r="A13755" t="str">
        <f>HYPERLINK("https://www.773grp.com/globalSearch/MC33174DTBG/page-1", "MC33174DTBG")</f>
        <v>MC33174DTBG</v>
      </c>
      <c r="B13755" s="3" t="str">
        <f>HYPERLINK("https://www.773grp.com/manufacturer/onsemi?pageNo=274", "Onsemi")</f>
        <v>Onsemi</v>
      </c>
      <c r="C13755" s="6">
        <v>11136</v>
      </c>
      <c r="D13755" s="7">
        <v>2.48</v>
      </c>
    </row>
    <row r="13756" spans="1:5" x14ac:dyDescent="0.25">
      <c r="A13756" t="str">
        <f>HYPERLINK("https://www.773grp.com/globalSearch/MC33174VDG/page-1", "MC33174VDG")</f>
        <v>MC33174VDG</v>
      </c>
      <c r="B13756" s="3" t="str">
        <f>HYPERLINK("https://www.773grp.com/manufacturer/onsemi?pageNo=275", "Onsemi")</f>
        <v>Onsemi</v>
      </c>
      <c r="C13756" s="6">
        <v>15</v>
      </c>
      <c r="D13756" s="7">
        <v>2.48</v>
      </c>
    </row>
    <row r="13757" spans="1:5" x14ac:dyDescent="0.25">
      <c r="A13757" t="str">
        <f>HYPERLINK("https://www.773grp.com/globalSearch/MC33174VDR2G/page-1", "MC33174VDR2G")</f>
        <v>MC33174VDR2G</v>
      </c>
      <c r="B13757" s="3" t="str">
        <f>HYPERLINK("https://www.773grp.com/manufacturer/onsemi?pageNo=276", "Onsemi")</f>
        <v>Onsemi</v>
      </c>
      <c r="C13757" s="6">
        <v>240</v>
      </c>
      <c r="D13757" s="7">
        <v>2.48</v>
      </c>
      <c r="E13757" t="s">
        <v>10</v>
      </c>
    </row>
    <row r="13758" spans="1:5" x14ac:dyDescent="0.25">
      <c r="A13758" t="str">
        <f>HYPERLINK("https://www.773grp.com/globalSearch/MC33174VPG/page-1", "MC33174VPG")</f>
        <v>MC33174VPG</v>
      </c>
      <c r="B13758" s="3" t="str">
        <f>HYPERLINK("https://www.773grp.com/manufacturer/onsemi?pageNo=277", "Onsemi")</f>
        <v>Onsemi</v>
      </c>
      <c r="C13758" s="6">
        <v>4340</v>
      </c>
      <c r="D13758" s="7">
        <v>2.48</v>
      </c>
      <c r="E13758" t="s">
        <v>10</v>
      </c>
    </row>
    <row r="13759" spans="1:5" x14ac:dyDescent="0.25">
      <c r="A13759" t="str">
        <f>HYPERLINK("https://www.773grp.com/globalSearch/MC33179DTBR2G/page-1", "MC33179DTBR2G")</f>
        <v>MC33179DTBR2G</v>
      </c>
      <c r="B13759" s="3" t="str">
        <f>HYPERLINK("https://www.773grp.com/manufacturer/onsemi?pageNo=278", "Onsemi")</f>
        <v>Onsemi</v>
      </c>
      <c r="C13759" s="6">
        <v>4987</v>
      </c>
      <c r="D13759" s="7">
        <v>2.48</v>
      </c>
    </row>
    <row r="13760" spans="1:5" x14ac:dyDescent="0.25">
      <c r="A13760" t="str">
        <f>HYPERLINK("https://www.773grp.com/globalSearch/MC34060APG/page-1", "MC34060APG")</f>
        <v>MC34060APG</v>
      </c>
      <c r="B13760" s="3" t="str">
        <f>HYPERLINK("https://www.773grp.com/manufacturer/onsemi?pageNo=279", "Onsemi")</f>
        <v>Onsemi</v>
      </c>
      <c r="C13760" s="6">
        <v>49</v>
      </c>
      <c r="D13760" s="7">
        <v>2.48</v>
      </c>
      <c r="E13760" t="s">
        <v>5</v>
      </c>
    </row>
    <row r="13761" spans="1:5" x14ac:dyDescent="0.25">
      <c r="A13761" t="str">
        <f>HYPERLINK("https://www.773grp.com/globalSearch/MC74AC160D/page-1", "MC74AC160D")</f>
        <v>MC74AC160D</v>
      </c>
      <c r="B13761" s="3" t="str">
        <f>HYPERLINK("https://www.773grp.com/manufacturer/onsemi?pageNo=280", "Onsemi")</f>
        <v>Onsemi</v>
      </c>
      <c r="C13761" s="6">
        <v>1697</v>
      </c>
      <c r="D13761" s="7">
        <v>2.48</v>
      </c>
      <c r="E13761" t="s">
        <v>22</v>
      </c>
    </row>
    <row r="13762" spans="1:5" x14ac:dyDescent="0.25">
      <c r="A13762" t="str">
        <f>HYPERLINK("https://www.773grp.com/globalSearch/MC74AC160DR2/page-1", "MC74AC160DR2")</f>
        <v>MC74AC160DR2</v>
      </c>
      <c r="B13762" s="3" t="str">
        <f>HYPERLINK("https://www.773grp.com/manufacturer/onsemi?pageNo=281", "Onsemi")</f>
        <v>Onsemi</v>
      </c>
      <c r="C13762" s="6">
        <v>10000</v>
      </c>
      <c r="D13762" s="7">
        <v>2.48</v>
      </c>
      <c r="E13762" t="s">
        <v>22</v>
      </c>
    </row>
    <row r="13763" spans="1:5" x14ac:dyDescent="0.25">
      <c r="A13763" t="str">
        <f>HYPERLINK("https://www.773grp.com/globalSearch/MC74F538N/page-1", "MC74F538N")</f>
        <v>MC74F538N</v>
      </c>
      <c r="B13763" s="3" t="str">
        <f>HYPERLINK("https://www.773grp.com/manufacturer/onsemi?pageNo=282", "Onsemi")</f>
        <v>Onsemi</v>
      </c>
      <c r="C13763" s="6">
        <v>688</v>
      </c>
      <c r="D13763" s="7">
        <v>2.48</v>
      </c>
      <c r="E13763" t="s">
        <v>32</v>
      </c>
    </row>
    <row r="13764" spans="1:5" x14ac:dyDescent="0.25">
      <c r="A13764" t="str">
        <f>HYPERLINK("https://www.773grp.com/globalSearch/MC78T15ABT/page-1", "MC78T15ABT")</f>
        <v>MC78T15ABT</v>
      </c>
      <c r="B13764" s="3" t="str">
        <f>HYPERLINK("https://www.773grp.com/manufacturer/onsemi?pageNo=283", "Onsemi")</f>
        <v>Onsemi</v>
      </c>
      <c r="C13764" s="6">
        <v>18328</v>
      </c>
      <c r="D13764" s="7">
        <v>2.48</v>
      </c>
      <c r="E13764" t="s">
        <v>24</v>
      </c>
    </row>
    <row r="13765" spans="1:5" x14ac:dyDescent="0.25">
      <c r="A13765" t="str">
        <f>HYPERLINK("https://www.773grp.com/globalSearch/NCP1337DR2G/page-1", "NCP1337DR2G")</f>
        <v>NCP1337DR2G</v>
      </c>
      <c r="B13765" s="3" t="str">
        <f>HYPERLINK("https://www.773grp.com/manufacturer/onsemi?pageNo=284", "Onsemi")</f>
        <v>Onsemi</v>
      </c>
      <c r="C13765" s="6">
        <v>34838</v>
      </c>
      <c r="D13765" s="7">
        <v>2.48</v>
      </c>
      <c r="E13765" t="s">
        <v>5</v>
      </c>
    </row>
    <row r="13766" spans="1:5" x14ac:dyDescent="0.25">
      <c r="A13766" t="str">
        <f>HYPERLINK("https://www.773grp.com/globalSearch/NCP1581DR2G/page-1", "NCP1581DR2G")</f>
        <v>NCP1581DR2G</v>
      </c>
      <c r="B13766" s="3" t="str">
        <f>HYPERLINK("https://www.773grp.com/manufacturer/onsemi?pageNo=285", "Onsemi")</f>
        <v>Onsemi</v>
      </c>
      <c r="C13766" s="6">
        <v>3904</v>
      </c>
      <c r="D13766" s="7">
        <v>2.48</v>
      </c>
    </row>
    <row r="13767" spans="1:5" x14ac:dyDescent="0.25">
      <c r="A13767" t="str">
        <f>HYPERLINK("https://www.773grp.com/globalSearch/NCP3065MNTXG/page-1", "NCP3065MNTXG")</f>
        <v>NCP3065MNTXG</v>
      </c>
      <c r="B13767" s="3" t="str">
        <f>HYPERLINK("https://www.773grp.com/manufacturer/onsemi?pageNo=286", "Onsemi")</f>
        <v>Onsemi</v>
      </c>
      <c r="C13767" s="6">
        <v>2972</v>
      </c>
      <c r="D13767" s="7">
        <v>2.48</v>
      </c>
      <c r="E13767" t="s">
        <v>7</v>
      </c>
    </row>
    <row r="13768" spans="1:5" x14ac:dyDescent="0.25">
      <c r="A13768" t="str">
        <f>HYPERLINK("https://www.773grp.com/globalSearch/NCP3066DR2G/page-1", "NCP3066DR2G")</f>
        <v>NCP3066DR2G</v>
      </c>
      <c r="B13768" s="3" t="str">
        <f>HYPERLINK("https://www.773grp.com/manufacturer/onsemi?pageNo=287", "Onsemi")</f>
        <v>Onsemi</v>
      </c>
      <c r="C13768" s="6">
        <v>20000</v>
      </c>
      <c r="D13768" s="7">
        <v>2.48</v>
      </c>
    </row>
    <row r="13769" spans="1:5" x14ac:dyDescent="0.25">
      <c r="A13769" t="str">
        <f>HYPERLINK("https://www.773grp.com/globalSearch/NCP3066PG/page-1", "NCP3066PG")</f>
        <v>NCP3066PG</v>
      </c>
      <c r="B13769" s="3" t="str">
        <f>HYPERLINK("https://www.773grp.com/manufacturer/onsemi?pageNo=288", "Onsemi")</f>
        <v>Onsemi</v>
      </c>
      <c r="C13769" s="6">
        <v>3460</v>
      </c>
      <c r="D13769" s="7">
        <v>2.48</v>
      </c>
      <c r="E13769" t="s">
        <v>5</v>
      </c>
    </row>
    <row r="13770" spans="1:5" x14ac:dyDescent="0.25">
      <c r="A13770" t="str">
        <f>HYPERLINK("https://www.773grp.com/globalSearch/NCP4523G3T1/page-1", "NCP4523G3T1")</f>
        <v>NCP4523G3T1</v>
      </c>
      <c r="B13770" s="3" t="str">
        <f>HYPERLINK("https://www.773grp.com/manufacturer/onsemi?pageNo=289", "Onsemi")</f>
        <v>Onsemi</v>
      </c>
      <c r="C13770" s="6">
        <v>3000</v>
      </c>
      <c r="D13770" s="7">
        <v>2.48</v>
      </c>
      <c r="E13770" t="s">
        <v>39</v>
      </c>
    </row>
    <row r="13771" spans="1:5" x14ac:dyDescent="0.25">
      <c r="A13771" t="str">
        <f>HYPERLINK("https://www.773grp.com/globalSearch/NCP5386AMNR2G/page-1", "NCP5386AMNR2G")</f>
        <v>NCP5386AMNR2G</v>
      </c>
      <c r="B13771" s="3" t="str">
        <f>HYPERLINK("https://www.773grp.com/manufacturer/onsemi?pageNo=290", "Onsemi")</f>
        <v>Onsemi</v>
      </c>
      <c r="C13771" s="6">
        <v>7858</v>
      </c>
      <c r="D13771" s="7">
        <v>2.48</v>
      </c>
      <c r="E13771" t="s">
        <v>5</v>
      </c>
    </row>
    <row r="13772" spans="1:5" x14ac:dyDescent="0.25">
      <c r="A13772" t="str">
        <f>HYPERLINK("https://www.773grp.com/globalSearch/NCP5398MNR2G/page-1", "NCP5398MNR2G")</f>
        <v>NCP5398MNR2G</v>
      </c>
      <c r="B13772" s="3" t="str">
        <f>HYPERLINK("https://www.773grp.com/manufacturer/onsemi?pageNo=291", "Onsemi")</f>
        <v>Onsemi</v>
      </c>
      <c r="C13772" s="6">
        <v>32559</v>
      </c>
      <c r="D13772" s="7">
        <v>2.48</v>
      </c>
    </row>
    <row r="13773" spans="1:5" x14ac:dyDescent="0.25">
      <c r="A13773" t="str">
        <f>HYPERLINK("https://www.773grp.com/globalSearch/NCP5424DG/page-1", "NCP5424DG")</f>
        <v>NCP5424DG</v>
      </c>
      <c r="B13773" s="3" t="str">
        <f>HYPERLINK("https://www.773grp.com/manufacturer/onsemi?pageNo=292", "Onsemi")</f>
        <v>Onsemi</v>
      </c>
      <c r="C13773" s="6">
        <v>336</v>
      </c>
      <c r="D13773" s="7">
        <v>2.48</v>
      </c>
      <c r="E13773" t="s">
        <v>5</v>
      </c>
    </row>
    <row r="13774" spans="1:5" x14ac:dyDescent="0.25">
      <c r="A13774" t="str">
        <f>HYPERLINK("https://www.773grp.com/globalSearch/NCV33275ST5.0T3G/page-1", "NCV33275ST5.0T3G")</f>
        <v>NCV33275ST5.0T3G</v>
      </c>
      <c r="B13774" s="3" t="str">
        <f>HYPERLINK("https://www.773grp.com/manufacturer/onsemi?pageNo=293", "Onsemi")</f>
        <v>Onsemi</v>
      </c>
      <c r="C13774" s="6">
        <v>16170</v>
      </c>
      <c r="D13774" s="7">
        <v>2.48</v>
      </c>
    </row>
    <row r="13775" spans="1:5" x14ac:dyDescent="0.25">
      <c r="A13775" t="str">
        <f>HYPERLINK("https://www.773grp.com/globalSearch/NCV5661MN18T2G/page-1", "NCV5661MN18T2G")</f>
        <v>NCV5661MN18T2G</v>
      </c>
      <c r="B13775" s="3" t="str">
        <f>HYPERLINK("https://www.773grp.com/manufacturer/onsemi?pageNo=294", "Onsemi")</f>
        <v>Onsemi</v>
      </c>
      <c r="C13775" s="6">
        <v>8350</v>
      </c>
      <c r="D13775" s="7">
        <v>2.48</v>
      </c>
      <c r="E13775" t="s">
        <v>15</v>
      </c>
    </row>
    <row r="13776" spans="1:5" x14ac:dyDescent="0.25">
      <c r="A13776" t="str">
        <f>HYPERLINK("https://www.773grp.com/globalSearch/NLSF1174MNR2G/page-1", "NLSF1174MNR2G")</f>
        <v>NLSF1174MNR2G</v>
      </c>
      <c r="B13776" s="3" t="str">
        <f>HYPERLINK("https://www.773grp.com/manufacturer/onsemi?pageNo=295", "Onsemi")</f>
        <v>Onsemi</v>
      </c>
      <c r="C13776" s="6">
        <v>29200</v>
      </c>
      <c r="D13776" s="7">
        <v>2.48</v>
      </c>
      <c r="E13776" t="s">
        <v>31</v>
      </c>
    </row>
    <row r="13777" spans="1:5" x14ac:dyDescent="0.25">
      <c r="A13777" t="str">
        <f>HYPERLINK("https://www.773grp.com/globalSearch/SE5532AD8G/page-1", "SE5532AD8G")</f>
        <v>SE5532AD8G</v>
      </c>
      <c r="B13777" s="3" t="str">
        <f>HYPERLINK("https://www.773grp.com/manufacturer/onsemi?pageNo=296", "Onsemi")</f>
        <v>Onsemi</v>
      </c>
      <c r="C13777" s="6">
        <v>66</v>
      </c>
      <c r="D13777" s="7">
        <v>2.48</v>
      </c>
      <c r="E13777" t="s">
        <v>10</v>
      </c>
    </row>
    <row r="13778" spans="1:5" x14ac:dyDescent="0.25">
      <c r="A13778" t="str">
        <f>HYPERLINK("https://www.773grp.com/globalSearch/SE5532AD8R2G/page-1", "SE5532AD8R2G")</f>
        <v>SE5532AD8R2G</v>
      </c>
      <c r="B13778" s="3" t="str">
        <f>HYPERLINK("https://www.773grp.com/manufacturer/onsemi?pageNo=297", "Onsemi")</f>
        <v>Onsemi</v>
      </c>
      <c r="C13778" s="6">
        <v>9670</v>
      </c>
      <c r="D13778" s="7">
        <v>2.48</v>
      </c>
      <c r="E13778" t="s">
        <v>10</v>
      </c>
    </row>
    <row r="13779" spans="1:5" x14ac:dyDescent="0.25">
      <c r="A13779" t="str">
        <f>HYPERLINK("https://www.773grp.com/globalSearch/TIP122/page-1", "TIP122")</f>
        <v>TIP122</v>
      </c>
      <c r="B13779" s="3" t="str">
        <f>HYPERLINK("https://www.773grp.com/manufacturer/onsemi?pageNo=298", "Onsemi")</f>
        <v>Onsemi</v>
      </c>
      <c r="C13779" s="6">
        <v>5557</v>
      </c>
      <c r="D13779" s="7">
        <v>2.48</v>
      </c>
      <c r="E13779" t="s">
        <v>47</v>
      </c>
    </row>
    <row r="13780" spans="1:5" x14ac:dyDescent="0.25">
      <c r="A13780" t="str">
        <f>HYPERLINK("https://www.773grp.com/globalSearch/TL594CNG/page-1", "TL594CNG")</f>
        <v>TL594CNG</v>
      </c>
      <c r="B13780" s="3" t="str">
        <f>HYPERLINK("https://www.773grp.com/manufacturer/onsemi?pageNo=299", "Onsemi")</f>
        <v>Onsemi</v>
      </c>
      <c r="C13780" s="6">
        <v>115835</v>
      </c>
      <c r="D13780" s="7">
        <v>2.48</v>
      </c>
      <c r="E13780" t="s">
        <v>5</v>
      </c>
    </row>
    <row r="13781" spans="1:5" x14ac:dyDescent="0.25">
      <c r="A13781" t="str">
        <f>HYPERLINK("https://www.773grp.com/globalSearch/2SK4198FS/page-1", "2SK4198FS")</f>
        <v>2SK4198FS</v>
      </c>
      <c r="B13781" s="3" t="str">
        <f>HYPERLINK("https://www.773grp.com/manufacturer/onsemi?pageNo=300", "Onsemi")</f>
        <v>Onsemi</v>
      </c>
      <c r="C13781" s="6">
        <v>20000</v>
      </c>
      <c r="D13781" s="7">
        <v>2.54</v>
      </c>
    </row>
    <row r="13782" spans="1:5" x14ac:dyDescent="0.25">
      <c r="A13782" t="str">
        <f>HYPERLINK("https://www.773grp.com/globalSearch/74VCXH245MNR2G/page-1", "74VCXH245MNR2G")</f>
        <v>74VCXH245MNR2G</v>
      </c>
      <c r="B13782" s="3" t="str">
        <f>HYPERLINK("https://www.773grp.com/manufacturer/onsemi?pageNo=301", "Onsemi")</f>
        <v>Onsemi</v>
      </c>
      <c r="C13782" s="6">
        <v>686371</v>
      </c>
      <c r="D13782" s="7">
        <v>2.54</v>
      </c>
      <c r="E13782" t="s">
        <v>11</v>
      </c>
    </row>
    <row r="13783" spans="1:5" x14ac:dyDescent="0.25">
      <c r="A13783" t="str">
        <f>HYPERLINK("https://www.773grp.com/globalSearch/ADM1032ARMZ-2RL7/page-1", "ADM1032ARMZ-2RL7")</f>
        <v>ADM1032ARMZ-2RL7</v>
      </c>
      <c r="B13783" s="3" t="str">
        <f>HYPERLINK("https://www.773grp.com/manufacturer/onsemi?pageNo=302", "Onsemi")</f>
        <v>Onsemi</v>
      </c>
      <c r="C13783" s="6">
        <v>2000</v>
      </c>
      <c r="D13783" s="7">
        <v>2.54</v>
      </c>
      <c r="E13783" t="s">
        <v>36</v>
      </c>
    </row>
    <row r="13784" spans="1:5" x14ac:dyDescent="0.25">
      <c r="A13784" t="str">
        <f>HYPERLINK("https://www.773grp.com/globalSearch/ADM1032ARMZ-R7/page-1", "ADM1032ARMZ-R7")</f>
        <v>ADM1032ARMZ-R7</v>
      </c>
      <c r="B13784" s="3" t="str">
        <f>HYPERLINK("https://www.773grp.com/manufacturer/onsemi?pageNo=303", "Onsemi")</f>
        <v>Onsemi</v>
      </c>
      <c r="C13784" s="6">
        <v>101679</v>
      </c>
      <c r="D13784" s="7">
        <v>2.54</v>
      </c>
      <c r="E13784" t="s">
        <v>36</v>
      </c>
    </row>
    <row r="13785" spans="1:5" x14ac:dyDescent="0.25">
      <c r="A13785" t="str">
        <f>HYPERLINK("https://www.773grp.com/globalSearch/ADM1032ARZ/page-1", "ADM1032ARZ")</f>
        <v>ADM1032ARZ</v>
      </c>
      <c r="B13785" s="3" t="str">
        <f>HYPERLINK("https://www.773grp.com/manufacturer/onsemi?pageNo=304", "Onsemi")</f>
        <v>Onsemi</v>
      </c>
      <c r="C13785" s="6">
        <v>1117</v>
      </c>
      <c r="D13785" s="7">
        <v>2.54</v>
      </c>
      <c r="E13785" t="s">
        <v>36</v>
      </c>
    </row>
    <row r="13786" spans="1:5" x14ac:dyDescent="0.25">
      <c r="A13786" t="str">
        <f>HYPERLINK("https://www.773grp.com/globalSearch/ADM1032ARZ-001/page-1", "ADM1032ARZ-001")</f>
        <v>ADM1032ARZ-001</v>
      </c>
      <c r="B13786" s="3" t="str">
        <f>HYPERLINK("https://www.773grp.com/manufacturer/onsemi?pageNo=305", "Onsemi")</f>
        <v>Onsemi</v>
      </c>
      <c r="C13786" s="6">
        <v>24402</v>
      </c>
      <c r="D13786" s="7">
        <v>2.54</v>
      </c>
    </row>
    <row r="13787" spans="1:5" x14ac:dyDescent="0.25">
      <c r="A13787" t="str">
        <f>HYPERLINK("https://www.773grp.com/globalSearch/ADM1032ARZ-1RL7/page-1", "ADM1032ARZ-1RL7")</f>
        <v>ADM1032ARZ-1RL7</v>
      </c>
      <c r="B13787" s="3" t="str">
        <f>HYPERLINK("https://www.773grp.com/manufacturer/onsemi?pageNo=306", "Onsemi")</f>
        <v>Onsemi</v>
      </c>
      <c r="C13787" s="6">
        <v>10000</v>
      </c>
      <c r="D13787" s="7">
        <v>2.54</v>
      </c>
    </row>
    <row r="13788" spans="1:5" x14ac:dyDescent="0.25">
      <c r="A13788" t="str">
        <f>HYPERLINK("https://www.773grp.com/globalSearch/ADM1032ARZ-REEL/page-1", "ADM1032ARZ-REEL")</f>
        <v>ADM1032ARZ-REEL</v>
      </c>
      <c r="B13788" s="3" t="str">
        <f>HYPERLINK("https://www.773grp.com/manufacturer/onsemi?pageNo=307", "Onsemi")</f>
        <v>Onsemi</v>
      </c>
      <c r="C13788" s="6">
        <v>95000</v>
      </c>
      <c r="D13788" s="7">
        <v>2.54</v>
      </c>
      <c r="E13788" t="s">
        <v>36</v>
      </c>
    </row>
    <row r="13789" spans="1:5" x14ac:dyDescent="0.25">
      <c r="A13789" t="str">
        <f>HYPERLINK("https://www.773grp.com/globalSearch/BTB16-800BW3G/page-1", "BTB16-800BW3G")</f>
        <v>BTB16-800BW3G</v>
      </c>
      <c r="B13789" s="3" t="str">
        <f>HYPERLINK("https://www.773grp.com/manufacturer/onsemi?pageNo=308", "Onsemi")</f>
        <v>Onsemi</v>
      </c>
      <c r="C13789" s="6">
        <v>55400</v>
      </c>
      <c r="D13789" s="7">
        <v>2.54</v>
      </c>
      <c r="E13789" t="s">
        <v>81</v>
      </c>
    </row>
    <row r="13790" spans="1:5" x14ac:dyDescent="0.25">
      <c r="A13790" t="str">
        <f>HYPERLINK("https://www.773grp.com/globalSearch/BTB16-800CW3G/page-1", "BTB16-800CW3G")</f>
        <v>BTB16-800CW3G</v>
      </c>
      <c r="B13790" s="3" t="str">
        <f>HYPERLINK("https://www.773grp.com/manufacturer/onsemi?pageNo=309", "Onsemi")</f>
        <v>Onsemi</v>
      </c>
      <c r="C13790" s="6">
        <v>650</v>
      </c>
      <c r="D13790" s="7">
        <v>2.54</v>
      </c>
      <c r="E13790" t="s">
        <v>81</v>
      </c>
    </row>
    <row r="13791" spans="1:5" x14ac:dyDescent="0.25">
      <c r="A13791" t="str">
        <f>HYPERLINK("https://www.773grp.com/globalSearch/CS3842BGN8/page-1", "CS3842BGN8")</f>
        <v>CS3842BGN8</v>
      </c>
      <c r="B13791" s="3" t="str">
        <f>HYPERLINK("https://www.773grp.com/manufacturer/onsemi?pageNo=310", "Onsemi")</f>
        <v>Onsemi</v>
      </c>
      <c r="C13791" s="6">
        <v>103930</v>
      </c>
      <c r="D13791" s="7">
        <v>2.54</v>
      </c>
      <c r="E13791" t="s">
        <v>5</v>
      </c>
    </row>
    <row r="13792" spans="1:5" x14ac:dyDescent="0.25">
      <c r="A13792" t="str">
        <f>HYPERLINK("https://www.773grp.com/globalSearch/CS3842BN8/page-1", "CS3842BN8")</f>
        <v>CS3842BN8</v>
      </c>
      <c r="B13792" s="3" t="str">
        <f>HYPERLINK("https://www.773grp.com/manufacturer/onsemi?pageNo=311", "Onsemi")</f>
        <v>Onsemi</v>
      </c>
      <c r="C13792" s="6">
        <v>3340</v>
      </c>
      <c r="D13792" s="7">
        <v>2.54</v>
      </c>
    </row>
    <row r="13793" spans="1:5" x14ac:dyDescent="0.25">
      <c r="A13793" t="str">
        <f>HYPERLINK("https://www.773grp.com/globalSearch/CS3843AGN8/page-1", "CS3843AGN8")</f>
        <v>CS3843AGN8</v>
      </c>
      <c r="B13793" s="3" t="str">
        <f>HYPERLINK("https://www.773grp.com/manufacturer/onsemi?pageNo=312", "Onsemi")</f>
        <v>Onsemi</v>
      </c>
      <c r="C13793" s="6">
        <v>950</v>
      </c>
      <c r="D13793" s="7">
        <v>2.54</v>
      </c>
      <c r="E13793" t="s">
        <v>5</v>
      </c>
    </row>
    <row r="13794" spans="1:5" x14ac:dyDescent="0.25">
      <c r="A13794" t="str">
        <f>HYPERLINK("https://www.773grp.com/globalSearch/CS3843BGN8/page-1", "CS3843BGN8")</f>
        <v>CS3843BGN8</v>
      </c>
      <c r="B13794" s="3" t="str">
        <f>HYPERLINK("https://www.773grp.com/manufacturer/onsemi?pageNo=313", "Onsemi")</f>
        <v>Onsemi</v>
      </c>
      <c r="C13794" s="6">
        <v>2490</v>
      </c>
      <c r="D13794" s="7">
        <v>2.54</v>
      </c>
      <c r="E13794" t="s">
        <v>5</v>
      </c>
    </row>
    <row r="13795" spans="1:5" x14ac:dyDescent="0.25">
      <c r="A13795" t="str">
        <f>HYPERLINK("https://www.773grp.com/globalSearch/CS3844GN8/page-1", "CS3844GN8")</f>
        <v>CS3844GN8</v>
      </c>
      <c r="B13795" s="3" t="str">
        <f>HYPERLINK("https://www.773grp.com/manufacturer/onsemi?pageNo=314", "Onsemi")</f>
        <v>Onsemi</v>
      </c>
      <c r="C13795" s="6">
        <v>8850</v>
      </c>
      <c r="D13795" s="7">
        <v>2.54</v>
      </c>
      <c r="E13795" t="s">
        <v>5</v>
      </c>
    </row>
    <row r="13796" spans="1:5" x14ac:dyDescent="0.25">
      <c r="A13796" t="str">
        <f>HYPERLINK("https://www.773grp.com/globalSearch/CS3845BGN8/page-1", "CS3845BGN8")</f>
        <v>CS3845BGN8</v>
      </c>
      <c r="B13796" s="3" t="str">
        <f>HYPERLINK("https://www.773grp.com/manufacturer/onsemi?pageNo=315", "Onsemi")</f>
        <v>Onsemi</v>
      </c>
      <c r="C13796" s="6">
        <v>219661</v>
      </c>
      <c r="D13796" s="7">
        <v>2.54</v>
      </c>
      <c r="E13796" t="s">
        <v>5</v>
      </c>
    </row>
    <row r="13797" spans="1:5" x14ac:dyDescent="0.25">
      <c r="A13797" t="str">
        <f>HYPERLINK("https://www.773grp.com/globalSearch/CS3845GN8/page-1", "CS3845GN8")</f>
        <v>CS3845GN8</v>
      </c>
      <c r="B13797" s="3" t="str">
        <f>HYPERLINK("https://www.773grp.com/manufacturer/onsemi?pageNo=316", "Onsemi")</f>
        <v>Onsemi</v>
      </c>
      <c r="C13797" s="6">
        <v>38681</v>
      </c>
      <c r="D13797" s="7">
        <v>2.54</v>
      </c>
      <c r="E13797" t="s">
        <v>5</v>
      </c>
    </row>
    <row r="13798" spans="1:5" x14ac:dyDescent="0.25">
      <c r="A13798" t="str">
        <f>HYPERLINK("https://www.773grp.com/globalSearch/CS9201YDFR8G/page-1", "CS9201YDFR8G")</f>
        <v>CS9201YDFR8G</v>
      </c>
      <c r="B13798" s="3" t="str">
        <f>HYPERLINK("https://www.773grp.com/manufacturer/onsemi?pageNo=317", "Onsemi")</f>
        <v>Onsemi</v>
      </c>
      <c r="C13798" s="6">
        <v>2285</v>
      </c>
      <c r="D13798" s="7">
        <v>2.54</v>
      </c>
      <c r="E13798" t="s">
        <v>15</v>
      </c>
    </row>
    <row r="13799" spans="1:5" x14ac:dyDescent="0.25">
      <c r="A13799" t="str">
        <f>HYPERLINK("https://www.773grp.com/globalSearch/JDX5012/page-1", "JDX5012")</f>
        <v>JDX5012</v>
      </c>
      <c r="B13799" s="3" t="str">
        <f>HYPERLINK("https://www.773grp.com/manufacturer/onsemi?pageNo=318", "Onsemi")</f>
        <v>Onsemi</v>
      </c>
      <c r="C13799" s="6">
        <v>22344</v>
      </c>
      <c r="D13799" s="7">
        <v>2.54</v>
      </c>
    </row>
    <row r="13800" spans="1:5" x14ac:dyDescent="0.25">
      <c r="A13800" t="str">
        <f>HYPERLINK("https://www.773grp.com/globalSearch/LM337BTG/page-1", "LM337BTG")</f>
        <v>LM337BTG</v>
      </c>
      <c r="B13800" s="3" t="str">
        <f>HYPERLINK("https://www.773grp.com/manufacturer/onsemi?pageNo=319", "Onsemi")</f>
        <v>Onsemi</v>
      </c>
      <c r="C13800" s="6">
        <v>1700</v>
      </c>
      <c r="D13800" s="7">
        <v>2.54</v>
      </c>
    </row>
    <row r="13801" spans="1:5" x14ac:dyDescent="0.25">
      <c r="A13801" t="str">
        <f>HYPERLINK("https://www.773grp.com/globalSearch/MAX1720EUT/page-1", "MAX1720EUT")</f>
        <v>MAX1720EUT</v>
      </c>
      <c r="B13801" s="3" t="str">
        <f>HYPERLINK("https://www.773grp.com/manufacturer/onsemi?pageNo=320", "Onsemi")</f>
        <v>Onsemi</v>
      </c>
      <c r="C13801" s="6">
        <v>2905</v>
      </c>
      <c r="D13801" s="7">
        <v>2.54</v>
      </c>
      <c r="E13801" t="s">
        <v>5</v>
      </c>
    </row>
    <row r="13802" spans="1:5" x14ac:dyDescent="0.25">
      <c r="A13802" t="str">
        <f>HYPERLINK("https://www.773grp.com/globalSearch/MC14555BFELG/page-1", "MC14555BFELG")</f>
        <v>MC14555BFELG</v>
      </c>
      <c r="B13802" s="3" t="str">
        <f>HYPERLINK("https://www.773grp.com/manufacturer/onsemi?pageNo=321", "Onsemi")</f>
        <v>Onsemi</v>
      </c>
      <c r="C13802" s="6">
        <v>8222</v>
      </c>
      <c r="D13802" s="7">
        <v>2.54</v>
      </c>
      <c r="E13802" t="s">
        <v>32</v>
      </c>
    </row>
    <row r="13803" spans="1:5" x14ac:dyDescent="0.25">
      <c r="A13803" t="str">
        <f>HYPERLINK("https://www.773grp.com/globalSearch/MC14C88BP/page-1", "MC14C88BP")</f>
        <v>MC14C88BP</v>
      </c>
      <c r="B13803" s="3" t="str">
        <f>HYPERLINK("https://www.773grp.com/manufacturer/onsemi?pageNo=322", "Onsemi")</f>
        <v>Onsemi</v>
      </c>
      <c r="C13803" s="6">
        <v>510</v>
      </c>
      <c r="D13803" s="7">
        <v>2.54</v>
      </c>
      <c r="E13803" t="s">
        <v>17</v>
      </c>
    </row>
    <row r="13804" spans="1:5" x14ac:dyDescent="0.25">
      <c r="A13804" t="str">
        <f>HYPERLINK("https://www.773grp.com/globalSearch/MC33348D-2R2/page-1", "MC33348D-2R2")</f>
        <v>MC33348D-2R2</v>
      </c>
      <c r="B13804" s="3" t="str">
        <f>HYPERLINK("https://www.773grp.com/manufacturer/onsemi?pageNo=323", "Onsemi")</f>
        <v>Onsemi</v>
      </c>
      <c r="C13804" s="6">
        <v>42700</v>
      </c>
      <c r="D13804" s="7">
        <v>2.54</v>
      </c>
      <c r="E13804" t="s">
        <v>26</v>
      </c>
    </row>
    <row r="13805" spans="1:5" x14ac:dyDescent="0.25">
      <c r="A13805" t="str">
        <f>HYPERLINK("https://www.773grp.com/globalSearch/MC54HC32AJ/page-1", "MC54HC32AJ")</f>
        <v>MC54HC32AJ</v>
      </c>
      <c r="B13805" s="3" t="str">
        <f>HYPERLINK("https://www.773grp.com/manufacturer/onsemi?pageNo=324", "Onsemi")</f>
        <v>Onsemi</v>
      </c>
      <c r="C13805" s="6">
        <v>8982</v>
      </c>
      <c r="D13805" s="7">
        <v>2.54</v>
      </c>
      <c r="E13805" t="s">
        <v>27</v>
      </c>
    </row>
    <row r="13806" spans="1:5" x14ac:dyDescent="0.25">
      <c r="A13806" t="str">
        <f>HYPERLINK("https://www.773grp.com/globalSearch/MC74AC162D/page-1", "MC74AC162D")</f>
        <v>MC74AC162D</v>
      </c>
      <c r="B13806" s="3" t="str">
        <f>HYPERLINK("https://www.773grp.com/manufacturer/onsemi?pageNo=325", "Onsemi")</f>
        <v>Onsemi</v>
      </c>
      <c r="C13806" s="6">
        <v>2229</v>
      </c>
      <c r="D13806" s="7">
        <v>2.54</v>
      </c>
      <c r="E13806" t="s">
        <v>22</v>
      </c>
    </row>
    <row r="13807" spans="1:5" x14ac:dyDescent="0.25">
      <c r="A13807" t="str">
        <f>HYPERLINK("https://www.773grp.com/globalSearch/MC74AC162DR2/page-1", "MC74AC162DR2")</f>
        <v>MC74AC162DR2</v>
      </c>
      <c r="B13807" s="3" t="str">
        <f>HYPERLINK("https://www.773grp.com/manufacturer/onsemi?pageNo=326", "Onsemi")</f>
        <v>Onsemi</v>
      </c>
      <c r="C13807" s="6">
        <v>2500</v>
      </c>
      <c r="D13807" s="7">
        <v>2.54</v>
      </c>
      <c r="E13807" t="s">
        <v>22</v>
      </c>
    </row>
    <row r="13808" spans="1:5" x14ac:dyDescent="0.25">
      <c r="A13808" t="str">
        <f>HYPERLINK("https://www.773grp.com/globalSearch/MC74AC194D/page-1", "MC74AC194D")</f>
        <v>MC74AC194D</v>
      </c>
      <c r="B13808" s="3" t="str">
        <f>HYPERLINK("https://www.773grp.com/manufacturer/onsemi?pageNo=327", "Onsemi")</f>
        <v>Onsemi</v>
      </c>
      <c r="C13808" s="6">
        <v>1988</v>
      </c>
      <c r="D13808" s="7">
        <v>2.54</v>
      </c>
      <c r="E13808" t="s">
        <v>28</v>
      </c>
    </row>
    <row r="13809" spans="1:5" x14ac:dyDescent="0.25">
      <c r="A13809" t="str">
        <f>HYPERLINK("https://www.773grp.com/globalSearch/MMPQ3904R1/page-1", "MMPQ3904R1")</f>
        <v>MMPQ3904R1</v>
      </c>
      <c r="B13809" s="3" t="str">
        <f>HYPERLINK("https://www.773grp.com/manufacturer/onsemi?pageNo=328", "Onsemi")</f>
        <v>Onsemi</v>
      </c>
      <c r="C13809" s="6">
        <v>8500</v>
      </c>
      <c r="D13809" s="7">
        <v>2.54</v>
      </c>
      <c r="E13809" t="s">
        <v>57</v>
      </c>
    </row>
    <row r="13810" spans="1:5" x14ac:dyDescent="0.25">
      <c r="A13810" t="str">
        <f>HYPERLINK("https://www.773grp.com/globalSearch/NCP1028P065G/page-1", "NCP1028P065G")</f>
        <v>NCP1028P065G</v>
      </c>
      <c r="B13810" s="3" t="str">
        <f>HYPERLINK("https://www.773grp.com/manufacturer/onsemi?pageNo=329", "Onsemi")</f>
        <v>Onsemi</v>
      </c>
      <c r="C13810" s="6">
        <v>26706</v>
      </c>
      <c r="D13810" s="7">
        <v>2.54</v>
      </c>
      <c r="E13810" t="s">
        <v>5</v>
      </c>
    </row>
    <row r="13811" spans="1:5" x14ac:dyDescent="0.25">
      <c r="A13811" t="str">
        <f>HYPERLINK("https://www.773grp.com/globalSearch/NCP1028P100G/page-1", "NCP1028P100G")</f>
        <v>NCP1028P100G</v>
      </c>
      <c r="B13811" s="3" t="str">
        <f>HYPERLINK("https://www.773grp.com/manufacturer/onsemi?pageNo=330", "Onsemi")</f>
        <v>Onsemi</v>
      </c>
      <c r="C13811" s="6">
        <v>6000</v>
      </c>
      <c r="D13811" s="7">
        <v>2.54</v>
      </c>
    </row>
    <row r="13812" spans="1:5" x14ac:dyDescent="0.25">
      <c r="A13812" t="str">
        <f>HYPERLINK("https://www.773grp.com/globalSearch/NCP1053ST136T3G/page-1", "NCP1053ST136T3G")</f>
        <v>NCP1053ST136T3G</v>
      </c>
      <c r="B13812" s="3" t="str">
        <f>HYPERLINK("https://www.773grp.com/manufacturer/onsemi?pageNo=331", "Onsemi")</f>
        <v>Onsemi</v>
      </c>
      <c r="C13812" s="6">
        <v>32000</v>
      </c>
      <c r="D13812" s="7">
        <v>2.54</v>
      </c>
    </row>
    <row r="13813" spans="1:5" x14ac:dyDescent="0.25">
      <c r="A13813" t="str">
        <f>HYPERLINK("https://www.773grp.com/globalSearch/NCP1055ST100T3G/page-1", "NCP1055ST100T3G")</f>
        <v>NCP1055ST100T3G</v>
      </c>
      <c r="B13813" s="3" t="str">
        <f>HYPERLINK("https://www.773grp.com/manufacturer/onsemi?pageNo=332", "Onsemi")</f>
        <v>Onsemi</v>
      </c>
      <c r="C13813" s="6">
        <v>4000</v>
      </c>
      <c r="D13813" s="7">
        <v>2.54</v>
      </c>
    </row>
    <row r="13814" spans="1:5" x14ac:dyDescent="0.25">
      <c r="A13814" t="str">
        <f>HYPERLINK("https://www.773grp.com/globalSearch/NCP1086D2T-33R4G/page-1", "NCP1086D2T-33R4G")</f>
        <v>NCP1086D2T-33R4G</v>
      </c>
      <c r="B13814" s="3" t="str">
        <f>HYPERLINK("https://www.773grp.com/manufacturer/onsemi?pageNo=333", "Onsemi")</f>
        <v>Onsemi</v>
      </c>
      <c r="C13814" s="6">
        <v>928341</v>
      </c>
      <c r="D13814" s="7">
        <v>2.54</v>
      </c>
      <c r="E13814" t="s">
        <v>15</v>
      </c>
    </row>
    <row r="13815" spans="1:5" x14ac:dyDescent="0.25">
      <c r="A13815" t="str">
        <f>HYPERLINK("https://www.773grp.com/globalSearch/NCP1086D2T-ADJG/page-1", "NCP1086D2T-ADJG")</f>
        <v>NCP1086D2T-ADJG</v>
      </c>
      <c r="B13815" s="3" t="str">
        <f>HYPERLINK("https://www.773grp.com/manufacturer/onsemi?pageNo=334", "Onsemi")</f>
        <v>Onsemi</v>
      </c>
      <c r="C13815" s="6">
        <v>11050</v>
      </c>
      <c r="D13815" s="7">
        <v>2.54</v>
      </c>
      <c r="E13815" t="s">
        <v>21</v>
      </c>
    </row>
    <row r="13816" spans="1:5" x14ac:dyDescent="0.25">
      <c r="A13816" t="str">
        <f>HYPERLINK("https://www.773grp.com/globalSearch/NCP1086D2TADJR4G/page-1", "NCP1086D2TADJR4G")</f>
        <v>NCP1086D2TADJR4G</v>
      </c>
      <c r="B13816" s="3" t="str">
        <f>HYPERLINK("https://www.773grp.com/manufacturer/onsemi?pageNo=335", "Onsemi")</f>
        <v>Onsemi</v>
      </c>
      <c r="C13816" s="6">
        <v>13500</v>
      </c>
      <c r="D13816" s="7">
        <v>2.54</v>
      </c>
      <c r="E13816" t="s">
        <v>21</v>
      </c>
    </row>
    <row r="13817" spans="1:5" x14ac:dyDescent="0.25">
      <c r="A13817" t="str">
        <f>HYPERLINK("https://www.773grp.com/globalSearch/NCP1396ADR2G/page-1", "NCP1396ADR2G")</f>
        <v>NCP1396ADR2G</v>
      </c>
      <c r="B13817" s="3" t="str">
        <f>HYPERLINK("https://www.773grp.com/manufacturer/onsemi?pageNo=336", "Onsemi")</f>
        <v>Onsemi</v>
      </c>
      <c r="C13817" s="6">
        <v>27468</v>
      </c>
      <c r="D13817" s="7">
        <v>2.54</v>
      </c>
      <c r="E13817" t="s">
        <v>5</v>
      </c>
    </row>
    <row r="13818" spans="1:5" x14ac:dyDescent="0.25">
      <c r="A13818" t="str">
        <f>HYPERLINK("https://www.773grp.com/globalSearch/NCP1396BDR2G/page-1", "NCP1396BDR2G")</f>
        <v>NCP1396BDR2G</v>
      </c>
      <c r="B13818" s="3" t="str">
        <f>HYPERLINK("https://www.773grp.com/manufacturer/onsemi?pageNo=337", "Onsemi")</f>
        <v>Onsemi</v>
      </c>
      <c r="C13818" s="6">
        <v>5882</v>
      </c>
      <c r="D13818" s="7">
        <v>2.54</v>
      </c>
      <c r="E13818" t="s">
        <v>5</v>
      </c>
    </row>
    <row r="13819" spans="1:5" x14ac:dyDescent="0.25">
      <c r="A13819" t="str">
        <f>HYPERLINK("https://www.773grp.com/globalSearch/NCP1397ADR2G/page-1", "NCP1397ADR2G")</f>
        <v>NCP1397ADR2G</v>
      </c>
      <c r="B13819" s="3" t="str">
        <f>HYPERLINK("https://www.773grp.com/manufacturer/onsemi?pageNo=338", "Onsemi")</f>
        <v>Onsemi</v>
      </c>
      <c r="C13819" s="6">
        <v>30000</v>
      </c>
      <c r="D13819" s="7">
        <v>2.54</v>
      </c>
      <c r="E13819" t="s">
        <v>5</v>
      </c>
    </row>
    <row r="13820" spans="1:5" x14ac:dyDescent="0.25">
      <c r="A13820" t="str">
        <f>HYPERLINK("https://www.773grp.com/globalSearch/NCP1397BDR2G/page-1", "NCP1397BDR2G")</f>
        <v>NCP1397BDR2G</v>
      </c>
      <c r="B13820" s="3" t="str">
        <f>HYPERLINK("https://www.773grp.com/manufacturer/onsemi?pageNo=339", "Onsemi")</f>
        <v>Onsemi</v>
      </c>
      <c r="C13820" s="6">
        <v>32500</v>
      </c>
      <c r="D13820" s="7">
        <v>2.54</v>
      </c>
    </row>
    <row r="13821" spans="1:5" x14ac:dyDescent="0.25">
      <c r="A13821" t="str">
        <f>HYPERLINK("https://www.773grp.com/globalSearch/NCP1582DR2G/page-1", "NCP1582DR2G")</f>
        <v>NCP1582DR2G</v>
      </c>
      <c r="B13821" s="3" t="str">
        <f>HYPERLINK("https://www.773grp.com/manufacturer/onsemi?pageNo=340", "Onsemi")</f>
        <v>Onsemi</v>
      </c>
      <c r="C13821" s="6">
        <v>1526</v>
      </c>
      <c r="D13821" s="7">
        <v>2.54</v>
      </c>
    </row>
    <row r="13822" spans="1:5" x14ac:dyDescent="0.25">
      <c r="A13822" t="str">
        <f>HYPERLINK("https://www.773grp.com/globalSearch/NCP1583DR2G/page-1", "NCP1583DR2G")</f>
        <v>NCP1583DR2G</v>
      </c>
      <c r="B13822" s="3" t="str">
        <f>HYPERLINK("https://www.773grp.com/manufacturer/onsemi?pageNo=341", "Onsemi")</f>
        <v>Onsemi</v>
      </c>
      <c r="C13822" s="6">
        <v>69796</v>
      </c>
      <c r="D13822" s="7">
        <v>2.54</v>
      </c>
      <c r="E13822" t="s">
        <v>5</v>
      </c>
    </row>
    <row r="13823" spans="1:5" x14ac:dyDescent="0.25">
      <c r="A13823" t="str">
        <f>HYPERLINK("https://www.773grp.com/globalSearch/NCP4641H030T1G/page-1", "NCP4641H030T1G")</f>
        <v>NCP4641H030T1G</v>
      </c>
      <c r="B13823" s="3" t="str">
        <f>HYPERLINK("https://www.773grp.com/manufacturer/onsemi?pageNo=342", "Onsemi")</f>
        <v>Onsemi</v>
      </c>
      <c r="C13823" s="6">
        <v>9945</v>
      </c>
      <c r="D13823" s="7">
        <v>2.54</v>
      </c>
    </row>
    <row r="13824" spans="1:5" x14ac:dyDescent="0.25">
      <c r="A13824" t="str">
        <f>HYPERLINK("https://www.773grp.com/globalSearch/NCP4641H050T1G/page-1", "NCP4641H050T1G")</f>
        <v>NCP4641H050T1G</v>
      </c>
      <c r="B13824" s="3" t="str">
        <f>HYPERLINK("https://www.773grp.com/manufacturer/onsemi?pageNo=343", "Onsemi")</f>
        <v>Onsemi</v>
      </c>
      <c r="C13824" s="6">
        <v>33000</v>
      </c>
      <c r="D13824" s="7">
        <v>2.54</v>
      </c>
    </row>
    <row r="13825" spans="1:5" x14ac:dyDescent="0.25">
      <c r="A13825" t="str">
        <f>HYPERLINK("https://www.773grp.com/globalSearch/NCP4641H080T1G/page-1", "NCP4641H080T1G")</f>
        <v>NCP4641H080T1G</v>
      </c>
      <c r="B13825" s="3" t="str">
        <f>HYPERLINK("https://www.773grp.com/manufacturer/onsemi?pageNo=344", "Onsemi")</f>
        <v>Onsemi</v>
      </c>
      <c r="C13825" s="6">
        <v>1000</v>
      </c>
      <c r="D13825" s="7">
        <v>2.54</v>
      </c>
    </row>
    <row r="13826" spans="1:5" x14ac:dyDescent="0.25">
      <c r="A13826" t="str">
        <f>HYPERLINK("https://www.773grp.com/globalSearch/NCP5201MNR2/page-1", "NCP5201MNR2")</f>
        <v>NCP5201MNR2</v>
      </c>
      <c r="B13826" s="3" t="str">
        <f>HYPERLINK("https://www.773grp.com/manufacturer/onsemi?pageNo=345", "Onsemi")</f>
        <v>Onsemi</v>
      </c>
      <c r="C13826" s="6">
        <v>4945</v>
      </c>
      <c r="D13826" s="7">
        <v>2.54</v>
      </c>
      <c r="E13826" t="s">
        <v>5</v>
      </c>
    </row>
    <row r="13827" spans="1:5" x14ac:dyDescent="0.25">
      <c r="A13827" t="str">
        <f>HYPERLINK("https://www.773grp.com/globalSearch/NCP5203MNR2/page-1", "NCP5203MNR2")</f>
        <v>NCP5203MNR2</v>
      </c>
      <c r="B13827" s="3" t="str">
        <f>HYPERLINK("https://www.773grp.com/manufacturer/onsemi?pageNo=346", "Onsemi")</f>
        <v>Onsemi</v>
      </c>
      <c r="C13827" s="6">
        <v>4989</v>
      </c>
      <c r="D13827" s="7">
        <v>2.54</v>
      </c>
      <c r="E13827" t="s">
        <v>5</v>
      </c>
    </row>
    <row r="13828" spans="1:5" x14ac:dyDescent="0.25">
      <c r="A13828" t="str">
        <f>HYPERLINK("https://www.773grp.com/globalSearch/NCP565D2T12R4G/page-1", "NCP565D2T12R4G")</f>
        <v>NCP565D2T12R4G</v>
      </c>
      <c r="B13828" s="3" t="str">
        <f>HYPERLINK("https://www.773grp.com/manufacturer/onsemi?pageNo=347", "Onsemi")</f>
        <v>Onsemi</v>
      </c>
      <c r="C13828" s="6">
        <v>86267</v>
      </c>
      <c r="D13828" s="7">
        <v>2.54</v>
      </c>
      <c r="E13828" t="s">
        <v>15</v>
      </c>
    </row>
    <row r="13829" spans="1:5" x14ac:dyDescent="0.25">
      <c r="A13829" t="str">
        <f>HYPERLINK("https://www.773grp.com/globalSearch/NCP565D2T33G/page-1", "NCP565D2T33G")</f>
        <v>NCP565D2T33G</v>
      </c>
      <c r="B13829" s="3" t="str">
        <f>HYPERLINK("https://www.773grp.com/manufacturer/onsemi?pageNo=348", "Onsemi")</f>
        <v>Onsemi</v>
      </c>
      <c r="C13829" s="6">
        <v>409</v>
      </c>
      <c r="D13829" s="7">
        <v>2.54</v>
      </c>
    </row>
    <row r="13830" spans="1:5" x14ac:dyDescent="0.25">
      <c r="A13830" t="str">
        <f>HYPERLINK("https://www.773grp.com/globalSearch/NCP565D2T33R4G/page-1", "NCP565D2T33R4G")</f>
        <v>NCP565D2T33R4G</v>
      </c>
      <c r="B13830" s="3" t="str">
        <f>HYPERLINK("https://www.773grp.com/manufacturer/onsemi?pageNo=349", "Onsemi")</f>
        <v>Onsemi</v>
      </c>
      <c r="C13830" s="6">
        <v>5902</v>
      </c>
      <c r="D13830" s="7">
        <v>2.54</v>
      </c>
      <c r="E13830" t="s">
        <v>15</v>
      </c>
    </row>
    <row r="13831" spans="1:5" x14ac:dyDescent="0.25">
      <c r="A13831" t="str">
        <f>HYPERLINK("https://www.773grp.com/globalSearch/NCP565D2TG/page-1", "NCP565D2TG")</f>
        <v>NCP565D2TG</v>
      </c>
      <c r="B13831" s="3" t="str">
        <f>HYPERLINK("https://www.773grp.com/manufacturer/onsemi?pageNo=350", "Onsemi")</f>
        <v>Onsemi</v>
      </c>
      <c r="C13831" s="6">
        <v>980</v>
      </c>
      <c r="D13831" s="7">
        <v>2.54</v>
      </c>
    </row>
    <row r="13832" spans="1:5" x14ac:dyDescent="0.25">
      <c r="A13832" t="str">
        <f>HYPERLINK("https://www.773grp.com/globalSearch/NCP565D2TR4G/page-1", "NCP565D2TR4G")</f>
        <v>NCP565D2TR4G</v>
      </c>
      <c r="B13832" s="3" t="str">
        <f>HYPERLINK("https://www.773grp.com/manufacturer/onsemi?pageNo=351", "Onsemi")</f>
        <v>Onsemi</v>
      </c>
      <c r="C13832" s="6">
        <v>85600</v>
      </c>
      <c r="D13832" s="7">
        <v>2.54</v>
      </c>
      <c r="E13832" t="s">
        <v>21</v>
      </c>
    </row>
    <row r="13833" spans="1:5" x14ac:dyDescent="0.25">
      <c r="A13833" t="str">
        <f>HYPERLINK("https://www.773grp.com/globalSearch/NCT72CMTR2G/page-1", "NCT72CMTR2G")</f>
        <v>NCT72CMTR2G</v>
      </c>
      <c r="B13833" s="3" t="str">
        <f>HYPERLINK("https://www.773grp.com/manufacturer/onsemi?pageNo=352", "Onsemi")</f>
        <v>Onsemi</v>
      </c>
      <c r="C13833" s="6">
        <v>82490</v>
      </c>
      <c r="D13833" s="7">
        <v>2.54</v>
      </c>
    </row>
    <row r="13834" spans="1:5" x14ac:dyDescent="0.25">
      <c r="A13834" t="str">
        <f>HYPERLINK("https://www.773grp.com/globalSearch/NCV2931ACDR2/page-1", "NCV2931ACDR2")</f>
        <v>NCV2931ACDR2</v>
      </c>
      <c r="B13834" s="3" t="str">
        <f>HYPERLINK("https://www.773grp.com/manufacturer/onsemi?pageNo=353", "Onsemi")</f>
        <v>Onsemi</v>
      </c>
      <c r="C13834" s="6">
        <v>1884</v>
      </c>
      <c r="D13834" s="7">
        <v>2.54</v>
      </c>
      <c r="E13834" t="s">
        <v>21</v>
      </c>
    </row>
    <row r="13835" spans="1:5" x14ac:dyDescent="0.25">
      <c r="A13835" t="str">
        <f>HYPERLINK("https://www.773grp.com/globalSearch/NCV2931ACDR2G/page-1", "NCV2931ACDR2G")</f>
        <v>NCV2931ACDR2G</v>
      </c>
      <c r="B13835" s="3" t="str">
        <f>HYPERLINK("https://www.773grp.com/manufacturer/onsemi?pageNo=354", "Onsemi")</f>
        <v>Onsemi</v>
      </c>
      <c r="C13835" s="6">
        <v>21032</v>
      </c>
      <c r="D13835" s="7">
        <v>2.54</v>
      </c>
    </row>
    <row r="13836" spans="1:5" x14ac:dyDescent="0.25">
      <c r="A13836" t="str">
        <f>HYPERLINK("https://www.773grp.com/globalSearch/NCV2931DT-5.0RKG/page-1", "NCV2931DT-5.0RKG")</f>
        <v>NCV2931DT-5.0RKG</v>
      </c>
      <c r="B13836" s="3" t="str">
        <f>HYPERLINK("https://www.773grp.com/manufacturer/onsemi?pageNo=355", "Onsemi")</f>
        <v>Onsemi</v>
      </c>
      <c r="C13836" s="6">
        <v>91500</v>
      </c>
      <c r="D13836" s="7">
        <v>2.54</v>
      </c>
      <c r="E13836" t="s">
        <v>15</v>
      </c>
    </row>
    <row r="13837" spans="1:5" x14ac:dyDescent="0.25">
      <c r="A13837" t="str">
        <f>HYPERLINK("https://www.773grp.com/globalSearch/NCV3011DTBR2G/page-1", "NCV3011DTBR2G")</f>
        <v>NCV3011DTBR2G</v>
      </c>
      <c r="B13837" s="3" t="str">
        <f>HYPERLINK("https://www.773grp.com/manufacturer/onsemi?pageNo=356", "Onsemi")</f>
        <v>Onsemi</v>
      </c>
      <c r="C13837" s="6">
        <v>7500</v>
      </c>
      <c r="D13837" s="7">
        <v>2.54</v>
      </c>
    </row>
    <row r="13838" spans="1:5" x14ac:dyDescent="0.25">
      <c r="A13838" t="str">
        <f>HYPERLINK("https://www.773grp.com/globalSearch/NCV3065DR2G/page-1", "NCV3065DR2G")</f>
        <v>NCV3065DR2G</v>
      </c>
      <c r="B13838" s="3" t="str">
        <f>HYPERLINK("https://www.773grp.com/manufacturer/onsemi?pageNo=357", "Onsemi")</f>
        <v>Onsemi</v>
      </c>
      <c r="C13838" s="6">
        <v>12828</v>
      </c>
      <c r="D13838" s="7">
        <v>2.54</v>
      </c>
      <c r="E13838" t="s">
        <v>7</v>
      </c>
    </row>
    <row r="13839" spans="1:5" x14ac:dyDescent="0.25">
      <c r="A13839" t="str">
        <f>HYPERLINK("https://www.773grp.com/globalSearch/NCV3065PG/page-1", "NCV3065PG")</f>
        <v>NCV3065PG</v>
      </c>
      <c r="B13839" s="3" t="str">
        <f>HYPERLINK("https://www.773grp.com/manufacturer/onsemi?pageNo=358", "Onsemi")</f>
        <v>Onsemi</v>
      </c>
      <c r="C13839" s="6">
        <v>8700</v>
      </c>
      <c r="D13839" s="7">
        <v>2.54</v>
      </c>
      <c r="E13839" t="s">
        <v>7</v>
      </c>
    </row>
    <row r="13840" spans="1:5" x14ac:dyDescent="0.25">
      <c r="A13840" t="str">
        <f>HYPERLINK("https://www.773grp.com/globalSearch/NCV4279BDW/page-1", "NCV4279BDW")</f>
        <v>NCV4279BDW</v>
      </c>
      <c r="B13840" s="3" t="str">
        <f>HYPERLINK("https://www.773grp.com/manufacturer/onsemi?pageNo=359", "Onsemi")</f>
        <v>Onsemi</v>
      </c>
      <c r="C13840" s="6">
        <v>3306</v>
      </c>
      <c r="D13840" s="7">
        <v>2.54</v>
      </c>
      <c r="E13840" t="s">
        <v>15</v>
      </c>
    </row>
    <row r="13841" spans="1:5" x14ac:dyDescent="0.25">
      <c r="A13841" t="str">
        <f>HYPERLINK("https://www.773grp.com/globalSearch/NCV5661DT12RKG/page-1", "NCV5661DT12RKG")</f>
        <v>NCV5661DT12RKG</v>
      </c>
      <c r="B13841" s="3" t="str">
        <f>HYPERLINK("https://www.773grp.com/manufacturer/onsemi?pageNo=360", "Onsemi")</f>
        <v>Onsemi</v>
      </c>
      <c r="C13841" s="6">
        <v>2500</v>
      </c>
      <c r="D13841" s="7">
        <v>2.54</v>
      </c>
      <c r="E13841" t="s">
        <v>15</v>
      </c>
    </row>
    <row r="13842" spans="1:5" x14ac:dyDescent="0.25">
      <c r="A13842" t="str">
        <f>HYPERLINK("https://www.773grp.com/globalSearch/NCV7356D2G/page-1", "NCV7356D2G")</f>
        <v>NCV7356D2G</v>
      </c>
      <c r="B13842" s="3" t="str">
        <f>HYPERLINK("https://www.773grp.com/manufacturer/onsemi?pageNo=361", "Onsemi")</f>
        <v>Onsemi</v>
      </c>
      <c r="C13842" s="6">
        <v>18775</v>
      </c>
      <c r="D13842" s="7">
        <v>2.54</v>
      </c>
    </row>
    <row r="13843" spans="1:5" x14ac:dyDescent="0.25">
      <c r="A13843" t="str">
        <f>HYPERLINK("https://www.773grp.com/globalSearch/NCV8501D100R2G/page-1", "NCV8501D100R2G")</f>
        <v>NCV8501D100R2G</v>
      </c>
      <c r="B13843" s="3" t="str">
        <f>HYPERLINK("https://www.773grp.com/manufacturer/onsemi?pageNo=362", "Onsemi")</f>
        <v>Onsemi</v>
      </c>
      <c r="C13843" s="6">
        <v>7817</v>
      </c>
      <c r="D13843" s="7">
        <v>2.54</v>
      </c>
      <c r="E13843" t="s">
        <v>15</v>
      </c>
    </row>
    <row r="13844" spans="1:5" x14ac:dyDescent="0.25">
      <c r="A13844" t="str">
        <f>HYPERLINK("https://www.773grp.com/globalSearch/NCV8501D33R2G/page-1", "NCV8501D33R2G")</f>
        <v>NCV8501D33R2G</v>
      </c>
      <c r="B13844" s="3" t="str">
        <f>HYPERLINK("https://www.773grp.com/manufacturer/onsemi?pageNo=363", "Onsemi")</f>
        <v>Onsemi</v>
      </c>
      <c r="C13844" s="6">
        <v>4475</v>
      </c>
      <c r="D13844" s="7">
        <v>2.54</v>
      </c>
      <c r="E13844" t="s">
        <v>15</v>
      </c>
    </row>
    <row r="13845" spans="1:5" x14ac:dyDescent="0.25">
      <c r="A13845" t="str">
        <f>HYPERLINK("https://www.773grp.com/globalSearch/NCV8501D50R2G/page-1", "NCV8501D50R2G")</f>
        <v>NCV8501D50R2G</v>
      </c>
      <c r="B13845" s="3" t="str">
        <f>HYPERLINK("https://www.773grp.com/manufacturer/onsemi?pageNo=364", "Onsemi")</f>
        <v>Onsemi</v>
      </c>
      <c r="C13845" s="6">
        <v>17500</v>
      </c>
      <c r="D13845" s="7">
        <v>2.54</v>
      </c>
      <c r="E13845" t="s">
        <v>15</v>
      </c>
    </row>
    <row r="13846" spans="1:5" x14ac:dyDescent="0.25">
      <c r="A13846" t="str">
        <f>HYPERLINK("https://www.773grp.com/globalSearch/NCV8501D80R2G/page-1", "NCV8501D80R2G")</f>
        <v>NCV8501D80R2G</v>
      </c>
      <c r="B13846" s="3" t="str">
        <f>HYPERLINK("https://www.773grp.com/manufacturer/onsemi?pageNo=365", "Onsemi")</f>
        <v>Onsemi</v>
      </c>
      <c r="C13846" s="6">
        <v>3700</v>
      </c>
      <c r="D13846" s="7">
        <v>2.54</v>
      </c>
    </row>
    <row r="13847" spans="1:5" x14ac:dyDescent="0.25">
      <c r="A13847" t="str">
        <f>HYPERLINK("https://www.773grp.com/globalSearch/NCV8501DADJR2G/page-1", "NCV8501DADJR2G")</f>
        <v>NCV8501DADJR2G</v>
      </c>
      <c r="B13847" s="3" t="str">
        <f>HYPERLINK("https://www.773grp.com/manufacturer/onsemi?pageNo=366", "Onsemi")</f>
        <v>Onsemi</v>
      </c>
      <c r="C13847" s="6">
        <v>1040</v>
      </c>
      <c r="D13847" s="7">
        <v>2.54</v>
      </c>
      <c r="E13847" t="s">
        <v>21</v>
      </c>
    </row>
    <row r="13848" spans="1:5" x14ac:dyDescent="0.25">
      <c r="A13848" t="str">
        <f>HYPERLINK("https://www.773grp.com/globalSearch/NCV8503PW50R2/page-1", "NCV8503PW50R2")</f>
        <v>NCV8503PW50R2</v>
      </c>
      <c r="B13848" s="3" t="str">
        <f>HYPERLINK("https://www.773grp.com/manufacturer/onsemi?pageNo=367", "Onsemi")</f>
        <v>Onsemi</v>
      </c>
      <c r="C13848" s="6">
        <v>8000</v>
      </c>
      <c r="D13848" s="7">
        <v>2.54</v>
      </c>
      <c r="E13848" t="s">
        <v>15</v>
      </c>
    </row>
    <row r="13849" spans="1:5" x14ac:dyDescent="0.25">
      <c r="A13849" t="str">
        <f>HYPERLINK("https://www.773grp.com/globalSearch/NCV8508DW50R2/page-1", "NCV8508DW50R2")</f>
        <v>NCV8508DW50R2</v>
      </c>
      <c r="B13849" s="3" t="str">
        <f>HYPERLINK("https://www.773grp.com/manufacturer/onsemi?pageNo=368", "Onsemi")</f>
        <v>Onsemi</v>
      </c>
      <c r="C13849" s="6">
        <v>5000</v>
      </c>
      <c r="D13849" s="7">
        <v>2.54</v>
      </c>
      <c r="E13849" t="s">
        <v>15</v>
      </c>
    </row>
    <row r="13850" spans="1:5" x14ac:dyDescent="0.25">
      <c r="A13850" t="str">
        <f>HYPERLINK("https://www.773grp.com/globalSearch/NE5230DG/page-1", "NE5230DG")</f>
        <v>NE5230DG</v>
      </c>
      <c r="B13850" s="3" t="str">
        <f>HYPERLINK("https://www.773grp.com/manufacturer/onsemi?pageNo=369", "Onsemi")</f>
        <v>Onsemi</v>
      </c>
      <c r="C13850" s="6">
        <v>294</v>
      </c>
      <c r="D13850" s="7">
        <v>2.54</v>
      </c>
    </row>
    <row r="13851" spans="1:5" x14ac:dyDescent="0.25">
      <c r="A13851" t="str">
        <f>HYPERLINK("https://www.773grp.com/globalSearch/NE5230DR2G/page-1", "NE5230DR2G")</f>
        <v>NE5230DR2G</v>
      </c>
      <c r="B13851" s="3" t="str">
        <f>HYPERLINK("https://www.773grp.com/manufacturer/onsemi?pageNo=370", "Onsemi")</f>
        <v>Onsemi</v>
      </c>
      <c r="C13851" s="6">
        <v>13727</v>
      </c>
      <c r="D13851" s="7">
        <v>2.54</v>
      </c>
    </row>
    <row r="13852" spans="1:5" x14ac:dyDescent="0.25">
      <c r="A13852" t="str">
        <f>HYPERLINK("https://www.773grp.com/globalSearch/NE5534ADG/page-1", "NE5534ADG")</f>
        <v>NE5534ADG</v>
      </c>
      <c r="B13852" s="3" t="str">
        <f>HYPERLINK("https://www.773grp.com/manufacturer/onsemi?pageNo=371", "Onsemi")</f>
        <v>Onsemi</v>
      </c>
      <c r="C13852" s="6">
        <v>880</v>
      </c>
      <c r="D13852" s="7">
        <v>2.54</v>
      </c>
      <c r="E13852" t="s">
        <v>10</v>
      </c>
    </row>
    <row r="13853" spans="1:5" x14ac:dyDescent="0.25">
      <c r="A13853" t="str">
        <f>HYPERLINK("https://www.773grp.com/globalSearch/NE5534ADR2G/page-1", "NE5534ADR2G")</f>
        <v>NE5534ADR2G</v>
      </c>
      <c r="B13853" s="3" t="str">
        <f>HYPERLINK("https://www.773grp.com/manufacturer/onsemi?pageNo=372", "Onsemi")</f>
        <v>Onsemi</v>
      </c>
      <c r="C13853" s="6">
        <v>8802</v>
      </c>
      <c r="D13853" s="7">
        <v>2.54</v>
      </c>
      <c r="E13853" t="s">
        <v>10</v>
      </c>
    </row>
    <row r="13854" spans="1:5" x14ac:dyDescent="0.25">
      <c r="A13854" t="str">
        <f>HYPERLINK("https://www.773grp.com/globalSearch/NTD4N60-001/page-1", "NTD4N60-001")</f>
        <v>NTD4N60-001</v>
      </c>
      <c r="B13854" s="3" t="str">
        <f>HYPERLINK("https://www.773grp.com/manufacturer/onsemi?pageNo=373", "Onsemi")</f>
        <v>Onsemi</v>
      </c>
      <c r="C13854" s="6">
        <v>150</v>
      </c>
      <c r="D13854" s="7">
        <v>2.54</v>
      </c>
    </row>
    <row r="13855" spans="1:5" x14ac:dyDescent="0.25">
      <c r="A13855" t="str">
        <f>HYPERLINK("https://www.773grp.com/globalSearch/NTD4N60T4/page-1", "NTD4N60T4")</f>
        <v>NTD4N60T4</v>
      </c>
      <c r="B13855" s="3" t="str">
        <f>HYPERLINK("https://www.773grp.com/manufacturer/onsemi?pageNo=374", "Onsemi")</f>
        <v>Onsemi</v>
      </c>
      <c r="C13855" s="6">
        <v>7138</v>
      </c>
      <c r="D13855" s="7">
        <v>2.54</v>
      </c>
      <c r="E13855" t="s">
        <v>84</v>
      </c>
    </row>
    <row r="13856" spans="1:5" x14ac:dyDescent="0.25">
      <c r="A13856" t="str">
        <f>HYPERLINK("https://www.773grp.com/globalSearch/NTD5N50T4/page-1", "NTD5N50T4")</f>
        <v>NTD5N50T4</v>
      </c>
      <c r="B13856" s="3" t="str">
        <f>HYPERLINK("https://www.773grp.com/manufacturer/onsemi?pageNo=375", "Onsemi")</f>
        <v>Onsemi</v>
      </c>
      <c r="C13856" s="6">
        <v>5000</v>
      </c>
      <c r="D13856" s="7">
        <v>2.54</v>
      </c>
      <c r="E13856" t="s">
        <v>84</v>
      </c>
    </row>
    <row r="13857" spans="1:5" x14ac:dyDescent="0.25">
      <c r="A13857" t="str">
        <f>HYPERLINK("https://www.773grp.com/globalSearch/NTD6N40/page-1", "NTD6N40")</f>
        <v>NTD6N40</v>
      </c>
      <c r="B13857" s="3" t="str">
        <f>HYPERLINK("https://www.773grp.com/manufacturer/onsemi?pageNo=376", "Onsemi")</f>
        <v>Onsemi</v>
      </c>
      <c r="C13857" s="6">
        <v>7801</v>
      </c>
      <c r="D13857" s="7">
        <v>2.54</v>
      </c>
      <c r="E13857" t="s">
        <v>84</v>
      </c>
    </row>
    <row r="13858" spans="1:5" x14ac:dyDescent="0.25">
      <c r="A13858" t="str">
        <f>HYPERLINK("https://www.773grp.com/globalSearch/NTD6N40-001/page-1", "NTD6N40-001")</f>
        <v>NTD6N40-001</v>
      </c>
      <c r="B13858" s="3" t="str">
        <f>HYPERLINK("https://www.773grp.com/manufacturer/onsemi?pageNo=377", "Onsemi")</f>
        <v>Onsemi</v>
      </c>
      <c r="C13858" s="6">
        <v>6300</v>
      </c>
      <c r="D13858" s="7">
        <v>2.54</v>
      </c>
    </row>
    <row r="13859" spans="1:5" x14ac:dyDescent="0.25">
      <c r="A13859" t="str">
        <f>HYPERLINK("https://www.773grp.com/globalSearch/NTD6N40T4/page-1", "NTD6N40T4")</f>
        <v>NTD6N40T4</v>
      </c>
      <c r="B13859" s="3" t="str">
        <f>HYPERLINK("https://www.773grp.com/manufacturer/onsemi?pageNo=378", "Onsemi")</f>
        <v>Onsemi</v>
      </c>
      <c r="C13859" s="6">
        <v>4960</v>
      </c>
      <c r="D13859" s="7">
        <v>2.54</v>
      </c>
      <c r="E13859" t="s">
        <v>84</v>
      </c>
    </row>
    <row r="13860" spans="1:5" x14ac:dyDescent="0.25">
      <c r="A13860" t="str">
        <f>HYPERLINK("https://www.773grp.com/globalSearch/NTTFS4932NTAG/page-1", "NTTFS4932NTAG")</f>
        <v>NTTFS4932NTAG</v>
      </c>
      <c r="B13860" s="3" t="str">
        <f>HYPERLINK("https://www.773grp.com/manufacturer/onsemi?pageNo=379", "Onsemi")</f>
        <v>Onsemi</v>
      </c>
      <c r="C13860" s="6">
        <v>96005</v>
      </c>
      <c r="D13860" s="7">
        <v>2.54</v>
      </c>
    </row>
    <row r="13861" spans="1:5" x14ac:dyDescent="0.25">
      <c r="A13861" t="str">
        <f>HYPERLINK("https://www.773grp.com/globalSearch/SE5532NG/page-1", "SE5532NG")</f>
        <v>SE5532NG</v>
      </c>
      <c r="B13861" s="3" t="str">
        <f>HYPERLINK("https://www.773grp.com/manufacturer/onsemi?pageNo=380", "Onsemi")</f>
        <v>Onsemi</v>
      </c>
      <c r="C13861" s="6">
        <v>4069</v>
      </c>
      <c r="D13861" s="7">
        <v>2.54</v>
      </c>
      <c r="E13861" t="s">
        <v>10</v>
      </c>
    </row>
    <row r="13862" spans="1:5" x14ac:dyDescent="0.25">
      <c r="A13862" t="str">
        <f>HYPERLINK("https://www.773grp.com/globalSearch/SN74LS623N/page-1", "SN74LS623N")</f>
        <v>SN74LS623N</v>
      </c>
      <c r="B13862" s="3" t="str">
        <f>HYPERLINK("https://www.773grp.com/manufacturer/onsemi?pageNo=381", "Onsemi")</f>
        <v>Onsemi</v>
      </c>
      <c r="C13862" s="6">
        <v>2464</v>
      </c>
      <c r="D13862" s="7">
        <v>2.54</v>
      </c>
      <c r="E13862" t="s">
        <v>11</v>
      </c>
    </row>
    <row r="13863" spans="1:5" x14ac:dyDescent="0.25">
      <c r="A13863" t="str">
        <f>HYPERLINK("https://www.773grp.com/globalSearch/MBR2090CT/page-1", "MBR2090CT")</f>
        <v>MBR2090CT</v>
      </c>
      <c r="B13863" s="3" t="str">
        <f>HYPERLINK("https://www.773grp.com/manufacturer/onsemi?pageNo=382", "Onsemi")</f>
        <v>Onsemi</v>
      </c>
      <c r="C13863" s="6">
        <v>130785</v>
      </c>
      <c r="D13863" s="7">
        <v>2.59</v>
      </c>
      <c r="E13863" t="s">
        <v>82</v>
      </c>
    </row>
    <row r="13864" spans="1:5" x14ac:dyDescent="0.25">
      <c r="A13864" t="str">
        <f>HYPERLINK("https://www.773grp.com/globalSearch/MBR2545CTG/page-1", "MBR2545CTG")</f>
        <v>MBR2545CTG</v>
      </c>
      <c r="B13864" s="3" t="str">
        <f>HYPERLINK("https://www.773grp.com/manufacturer/onsemi?pageNo=383", "Onsemi")</f>
        <v>Onsemi</v>
      </c>
      <c r="C13864" s="6">
        <v>183958</v>
      </c>
      <c r="D13864" s="7">
        <v>2.59</v>
      </c>
      <c r="E13864" t="s">
        <v>82</v>
      </c>
    </row>
    <row r="13865" spans="1:5" x14ac:dyDescent="0.25">
      <c r="A13865" t="str">
        <f>HYPERLINK("https://www.773grp.com/globalSearch/MBR30H60CTG/page-1", "MBR30H60CTG")</f>
        <v>MBR30H60CTG</v>
      </c>
      <c r="B13865" s="3" t="str">
        <f>HYPERLINK("https://www.773grp.com/manufacturer/onsemi?pageNo=384", "Onsemi")</f>
        <v>Onsemi</v>
      </c>
      <c r="C13865" s="6">
        <v>188067</v>
      </c>
      <c r="D13865" s="7">
        <v>2.59</v>
      </c>
      <c r="E13865" t="s">
        <v>82</v>
      </c>
    </row>
    <row r="13866" spans="1:5" x14ac:dyDescent="0.25">
      <c r="A13866" t="str">
        <f>HYPERLINK("https://www.773grp.com/globalSearch/MBR30H60CTH/page-1", "MBR30H60CTH")</f>
        <v>MBR30H60CTH</v>
      </c>
      <c r="B13866" s="3" t="str">
        <f>HYPERLINK("https://www.773grp.com/manufacturer/onsemi?pageNo=385", "Onsemi")</f>
        <v>Onsemi</v>
      </c>
      <c r="C13866" s="6">
        <v>9550</v>
      </c>
      <c r="D13866" s="7">
        <v>2.59</v>
      </c>
    </row>
    <row r="13867" spans="1:5" x14ac:dyDescent="0.25">
      <c r="A13867" t="str">
        <f>HYPERLINK("https://www.773grp.com/globalSearch/MBRB30H60CTT4G/page-1", "MBRB30H60CTT4G")</f>
        <v>MBRB30H60CTT4G</v>
      </c>
      <c r="B13867" s="3" t="str">
        <f>HYPERLINK("https://www.773grp.com/manufacturer/onsemi?pageNo=386", "Onsemi")</f>
        <v>Onsemi</v>
      </c>
      <c r="C13867" s="6">
        <v>84300</v>
      </c>
      <c r="D13867" s="7">
        <v>2.59</v>
      </c>
    </row>
    <row r="13868" spans="1:5" x14ac:dyDescent="0.25">
      <c r="A13868" t="str">
        <f>HYPERLINK("https://www.773grp.com/globalSearch/MBRF30H60CTG/page-1", "MBRF30H60CTG")</f>
        <v>MBRF30H60CTG</v>
      </c>
      <c r="B13868" s="3" t="str">
        <f>HYPERLINK("https://www.773grp.com/manufacturer/onsemi?pageNo=387", "Onsemi")</f>
        <v>Onsemi</v>
      </c>
      <c r="C13868" s="6">
        <v>235447</v>
      </c>
      <c r="D13868" s="7">
        <v>2.59</v>
      </c>
      <c r="E13868" t="s">
        <v>82</v>
      </c>
    </row>
    <row r="13869" spans="1:5" x14ac:dyDescent="0.25">
      <c r="A13869" t="str">
        <f>HYPERLINK("https://www.773grp.com/globalSearch/MC14C88BDR2/page-1", "MC14C88BDR2")</f>
        <v>MC14C88BDR2</v>
      </c>
      <c r="B13869" s="3" t="str">
        <f>HYPERLINK("https://www.773grp.com/manufacturer/onsemi?pageNo=388", "Onsemi")</f>
        <v>Onsemi</v>
      </c>
      <c r="C13869" s="6">
        <v>2500</v>
      </c>
      <c r="D13869" s="7">
        <v>2.59</v>
      </c>
      <c r="E13869" t="s">
        <v>17</v>
      </c>
    </row>
    <row r="13870" spans="1:5" x14ac:dyDescent="0.25">
      <c r="A13870" t="str">
        <f>HYPERLINK("https://www.773grp.com/globalSearch/MC74AC259N/page-1", "MC74AC259N")</f>
        <v>MC74AC259N</v>
      </c>
      <c r="B13870" s="3" t="str">
        <f>HYPERLINK("https://www.773grp.com/manufacturer/onsemi?pageNo=389", "Onsemi")</f>
        <v>Onsemi</v>
      </c>
      <c r="C13870" s="6">
        <v>300</v>
      </c>
      <c r="D13870" s="7">
        <v>2.59</v>
      </c>
      <c r="E13870" t="s">
        <v>31</v>
      </c>
    </row>
    <row r="13871" spans="1:5" x14ac:dyDescent="0.25">
      <c r="A13871" t="str">
        <f>HYPERLINK("https://www.773grp.com/globalSearch/MC74ACT259N/page-1", "MC74ACT259N")</f>
        <v>MC74ACT259N</v>
      </c>
      <c r="B13871" s="3" t="str">
        <f>HYPERLINK("https://www.773grp.com/manufacturer/onsemi?pageNo=390", "Onsemi")</f>
        <v>Onsemi</v>
      </c>
      <c r="C13871" s="6">
        <v>1550</v>
      </c>
      <c r="D13871" s="7">
        <v>2.59</v>
      </c>
      <c r="E13871" t="s">
        <v>31</v>
      </c>
    </row>
    <row r="13872" spans="1:5" x14ac:dyDescent="0.25">
      <c r="A13872" t="str">
        <f>HYPERLINK("https://www.773grp.com/globalSearch/MTP6P20E/page-1", "MTP6P20E")</f>
        <v>MTP6P20E</v>
      </c>
      <c r="B13872" s="3" t="str">
        <f>HYPERLINK("https://www.773grp.com/manufacturer/onsemi?pageNo=391", "Onsemi")</f>
        <v>Onsemi</v>
      </c>
      <c r="C13872" s="6">
        <v>1</v>
      </c>
      <c r="D13872" s="7">
        <v>2.59</v>
      </c>
      <c r="E13872" t="s">
        <v>84</v>
      </c>
    </row>
    <row r="13873" spans="1:5" x14ac:dyDescent="0.25">
      <c r="A13873" t="str">
        <f>HYPERLINK("https://www.773grp.com/globalSearch/NCP1212PG/page-1", "NCP1212PG")</f>
        <v>NCP1212PG</v>
      </c>
      <c r="B13873" s="3" t="str">
        <f>HYPERLINK("https://www.773grp.com/manufacturer/onsemi?pageNo=392", "Onsemi")</f>
        <v>Onsemi</v>
      </c>
      <c r="C13873" s="6">
        <v>3908</v>
      </c>
      <c r="D13873" s="7">
        <v>2.59</v>
      </c>
      <c r="E13873" t="s">
        <v>5</v>
      </c>
    </row>
    <row r="13874" spans="1:5" x14ac:dyDescent="0.25">
      <c r="A13874" t="str">
        <f>HYPERLINK("https://www.773grp.com/globalSearch/NCP1573D/page-1", "NCP1573D")</f>
        <v>NCP1573D</v>
      </c>
      <c r="B13874" s="3" t="str">
        <f>HYPERLINK("https://www.773grp.com/manufacturer/onsemi?pageNo=393", "Onsemi")</f>
        <v>Onsemi</v>
      </c>
      <c r="C13874" s="6">
        <v>1568</v>
      </c>
      <c r="D13874" s="7">
        <v>2.59</v>
      </c>
      <c r="E13874" t="s">
        <v>5</v>
      </c>
    </row>
    <row r="13875" spans="1:5" x14ac:dyDescent="0.25">
      <c r="A13875" t="str">
        <f>HYPERLINK("https://www.773grp.com/globalSearch/NCP1573DR2/page-1", "NCP1573DR2")</f>
        <v>NCP1573DR2</v>
      </c>
      <c r="B13875" s="3" t="str">
        <f>HYPERLINK("https://www.773grp.com/manufacturer/onsemi?pageNo=394", "Onsemi")</f>
        <v>Onsemi</v>
      </c>
      <c r="C13875" s="6">
        <v>2500</v>
      </c>
      <c r="D13875" s="7">
        <v>2.59</v>
      </c>
      <c r="E13875" t="s">
        <v>5</v>
      </c>
    </row>
    <row r="13876" spans="1:5" x14ac:dyDescent="0.25">
      <c r="A13876" t="str">
        <f>HYPERLINK("https://www.773grp.com/globalSearch/NCP6131NS52MNR2G/page-1", "NCP6131NS52MNR2G")</f>
        <v>NCP6131NS52MNR2G</v>
      </c>
      <c r="B13876" s="3" t="str">
        <f>HYPERLINK("https://www.773grp.com/manufacturer/onsemi?pageNo=395", "Onsemi")</f>
        <v>Onsemi</v>
      </c>
      <c r="C13876" s="6">
        <v>10000</v>
      </c>
      <c r="D13876" s="7">
        <v>2.59</v>
      </c>
    </row>
    <row r="13877" spans="1:5" x14ac:dyDescent="0.25">
      <c r="A13877" t="str">
        <f>HYPERLINK("https://www.773grp.com/globalSearch/NCP623MN-50R2/page-1", "NCP623MN-50R2")</f>
        <v>NCP623MN-50R2</v>
      </c>
      <c r="B13877" s="3" t="str">
        <f>HYPERLINK("https://www.773grp.com/manufacturer/onsemi?pageNo=396", "Onsemi")</f>
        <v>Onsemi</v>
      </c>
      <c r="C13877" s="6">
        <v>3000</v>
      </c>
      <c r="D13877" s="7">
        <v>2.59</v>
      </c>
      <c r="E13877" t="s">
        <v>15</v>
      </c>
    </row>
    <row r="13878" spans="1:5" x14ac:dyDescent="0.25">
      <c r="A13878" t="str">
        <f>HYPERLINK("https://www.773grp.com/globalSearch/NE5230N/page-1", "NE5230N")</f>
        <v>NE5230N</v>
      </c>
      <c r="B13878" s="3" t="str">
        <f>HYPERLINK("https://www.773grp.com/manufacturer/onsemi?pageNo=397", "Onsemi")</f>
        <v>Onsemi</v>
      </c>
      <c r="C13878" s="6">
        <v>850</v>
      </c>
      <c r="D13878" s="7">
        <v>2.59</v>
      </c>
      <c r="E13878" t="s">
        <v>10</v>
      </c>
    </row>
    <row r="13879" spans="1:5" x14ac:dyDescent="0.25">
      <c r="A13879" t="str">
        <f>HYPERLINK("https://www.773grp.com/globalSearch/NE5230NG/page-1", "NE5230NG")</f>
        <v>NE5230NG</v>
      </c>
      <c r="B13879" s="3" t="str">
        <f>HYPERLINK("https://www.773grp.com/manufacturer/onsemi?pageNo=398", "Onsemi")</f>
        <v>Onsemi</v>
      </c>
      <c r="C13879" s="6">
        <v>2416</v>
      </c>
      <c r="D13879" s="7">
        <v>2.59</v>
      </c>
      <c r="E13879" t="s">
        <v>10</v>
      </c>
    </row>
    <row r="13880" spans="1:5" x14ac:dyDescent="0.25">
      <c r="A13880" t="str">
        <f>HYPERLINK("https://www.773grp.com/globalSearch/NE553ANG/page-1", "NE553ANG")</f>
        <v>NE553ANG</v>
      </c>
      <c r="B13880" s="3" t="str">
        <f>HYPERLINK("https://www.773grp.com/manufacturer/onsemi?pageNo=399", "Onsemi")</f>
        <v>Onsemi</v>
      </c>
      <c r="C13880" s="6">
        <v>650</v>
      </c>
      <c r="D13880" s="7">
        <v>2.59</v>
      </c>
    </row>
    <row r="13881" spans="1:5" x14ac:dyDescent="0.25">
      <c r="A13881" t="str">
        <f>HYPERLINK("https://www.773grp.com/globalSearch/SA5534AN/page-1", "SA5534AN")</f>
        <v>SA5534AN</v>
      </c>
      <c r="B13881" s="3" t="str">
        <f>HYPERLINK("https://www.773grp.com/manufacturer/onsemi?pageNo=400", "Onsemi")</f>
        <v>Onsemi</v>
      </c>
      <c r="C13881" s="6">
        <v>1000</v>
      </c>
      <c r="D13881" s="7">
        <v>2.59</v>
      </c>
      <c r="E13881" t="s">
        <v>10</v>
      </c>
    </row>
    <row r="13882" spans="1:5" x14ac:dyDescent="0.25">
      <c r="A13882" t="str">
        <f>HYPERLINK("https://www.773grp.com/globalSearch/2N6394/page-1", "2N6394")</f>
        <v>2N6394</v>
      </c>
      <c r="B13882" s="3" t="str">
        <f>HYPERLINK("https://www.773grp.com/manufacturer/onsemi?pageNo=401", "Onsemi")</f>
        <v>Onsemi</v>
      </c>
      <c r="C13882" s="6">
        <v>500</v>
      </c>
      <c r="D13882" s="7">
        <v>2.64</v>
      </c>
      <c r="E13882" t="s">
        <v>47</v>
      </c>
    </row>
    <row r="13883" spans="1:5" x14ac:dyDescent="0.25">
      <c r="A13883" t="str">
        <f>HYPERLINK("https://www.773grp.com/globalSearch/2N6394G/page-1", "2N6394G")</f>
        <v>2N6394G</v>
      </c>
      <c r="B13883" s="3" t="str">
        <f>HYPERLINK("https://www.773grp.com/manufacturer/onsemi?pageNo=402", "Onsemi")</f>
        <v>Onsemi</v>
      </c>
      <c r="C13883" s="6">
        <v>5250</v>
      </c>
      <c r="D13883" s="7">
        <v>2.64</v>
      </c>
      <c r="E13883" t="s">
        <v>76</v>
      </c>
    </row>
    <row r="13884" spans="1:5" x14ac:dyDescent="0.25">
      <c r="A13884" t="str">
        <f>HYPERLINK("https://www.773grp.com/globalSearch/2N6394TG/page-1", "2N6394TG")</f>
        <v>2N6394TG</v>
      </c>
      <c r="B13884" s="3" t="str">
        <f>HYPERLINK("https://www.773grp.com/manufacturer/onsemi?pageNo=403", "Onsemi")</f>
        <v>Onsemi</v>
      </c>
      <c r="C13884" s="6">
        <v>1000</v>
      </c>
      <c r="D13884" s="7">
        <v>2.64</v>
      </c>
      <c r="E13884" t="s">
        <v>76</v>
      </c>
    </row>
    <row r="13885" spans="1:5" x14ac:dyDescent="0.25">
      <c r="A13885" t="str">
        <f>HYPERLINK("https://www.773grp.com/globalSearch/2N6395G/page-1", "2N6395G")</f>
        <v>2N6395G</v>
      </c>
      <c r="B13885" s="3" t="str">
        <f>HYPERLINK("https://www.773grp.com/manufacturer/onsemi?pageNo=404", "Onsemi")</f>
        <v>Onsemi</v>
      </c>
      <c r="C13885" s="6">
        <v>11000</v>
      </c>
      <c r="D13885" s="7">
        <v>2.64</v>
      </c>
      <c r="E13885" t="s">
        <v>76</v>
      </c>
    </row>
    <row r="13886" spans="1:5" x14ac:dyDescent="0.25">
      <c r="A13886" t="str">
        <f>HYPERLINK("https://www.773grp.com/globalSearch/2N6397G/page-1", "2N6397G")</f>
        <v>2N6397G</v>
      </c>
      <c r="B13886" s="3" t="str">
        <f>HYPERLINK("https://www.773grp.com/manufacturer/onsemi?pageNo=405", "Onsemi")</f>
        <v>Onsemi</v>
      </c>
      <c r="C13886" s="6">
        <v>556</v>
      </c>
      <c r="D13886" s="7">
        <v>2.64</v>
      </c>
      <c r="E13886" t="s">
        <v>76</v>
      </c>
    </row>
    <row r="13887" spans="1:5" x14ac:dyDescent="0.25">
      <c r="A13887" t="str">
        <f>HYPERLINK("https://www.773grp.com/globalSearch/2N6397TG/page-1", "2N6397TG")</f>
        <v>2N6397TG</v>
      </c>
      <c r="B13887" s="3" t="str">
        <f>HYPERLINK("https://www.773grp.com/manufacturer/onsemi?pageNo=406", "Onsemi")</f>
        <v>Onsemi</v>
      </c>
      <c r="C13887" s="6">
        <v>246</v>
      </c>
      <c r="D13887" s="7">
        <v>2.64</v>
      </c>
      <c r="E13887" t="s">
        <v>76</v>
      </c>
    </row>
    <row r="13888" spans="1:5" x14ac:dyDescent="0.25">
      <c r="A13888" t="str">
        <f>HYPERLINK("https://www.773grp.com/globalSearch/74VCXH16245DTRG/page-1", "74VCXH16245DTRG")</f>
        <v>74VCXH16245DTRG</v>
      </c>
      <c r="B13888" s="3" t="str">
        <f>HYPERLINK("https://www.773grp.com/manufacturer/onsemi?pageNo=407", "Onsemi")</f>
        <v>Onsemi</v>
      </c>
      <c r="C13888" s="6">
        <v>281</v>
      </c>
      <c r="D13888" s="7">
        <v>2.64</v>
      </c>
      <c r="E13888" t="s">
        <v>11</v>
      </c>
    </row>
    <row r="13889" spans="1:5" x14ac:dyDescent="0.25">
      <c r="A13889" t="str">
        <f>HYPERLINK("https://www.773grp.com/globalSearch/ADP3192JCPZ-RL/page-1", "ADP3192JCPZ-RL")</f>
        <v>ADP3192JCPZ-RL</v>
      </c>
      <c r="B13889" s="3" t="str">
        <f>HYPERLINK("https://www.773grp.com/manufacturer/onsemi?pageNo=408", "Onsemi")</f>
        <v>Onsemi</v>
      </c>
      <c r="C13889" s="6">
        <v>2500</v>
      </c>
      <c r="D13889" s="7">
        <v>2.64</v>
      </c>
      <c r="E13889" t="s">
        <v>5</v>
      </c>
    </row>
    <row r="13890" spans="1:5" x14ac:dyDescent="0.25">
      <c r="A13890" t="str">
        <f>HYPERLINK("https://www.773grp.com/globalSearch/BUL642D2G/page-1", "BUL642D2G")</f>
        <v>BUL642D2G</v>
      </c>
      <c r="B13890" s="3" t="str">
        <f>HYPERLINK("https://www.773grp.com/manufacturer/onsemi?pageNo=409", "Onsemi")</f>
        <v>Onsemi</v>
      </c>
      <c r="C13890" s="6">
        <v>1350</v>
      </c>
      <c r="D13890" s="7">
        <v>2.64</v>
      </c>
      <c r="E13890" t="s">
        <v>47</v>
      </c>
    </row>
    <row r="13891" spans="1:5" x14ac:dyDescent="0.25">
      <c r="A13891" t="str">
        <f>HYPERLINK("https://www.773grp.com/globalSearch/C122F1G/page-1", "C122F1G")</f>
        <v>C122F1G</v>
      </c>
      <c r="B13891" s="3" t="str">
        <f>HYPERLINK("https://www.773grp.com/manufacturer/onsemi?pageNo=410", "Onsemi")</f>
        <v>Onsemi</v>
      </c>
      <c r="C13891" s="6">
        <v>12733</v>
      </c>
      <c r="D13891" s="7">
        <v>2.64</v>
      </c>
      <c r="E13891" t="s">
        <v>76</v>
      </c>
    </row>
    <row r="13892" spans="1:5" x14ac:dyDescent="0.25">
      <c r="A13892" t="str">
        <f>HYPERLINK("https://www.773grp.com/globalSearch/CAT150029SWI-GT3/page-1", "CAT150029SWI-GT3")</f>
        <v>CAT150029SWI-GT3</v>
      </c>
      <c r="B13892" s="3" t="str">
        <f>HYPERLINK("https://www.773grp.com/manufacturer/onsemi?pageNo=411", "Onsemi")</f>
        <v>Onsemi</v>
      </c>
      <c r="C13892" s="6">
        <v>30000</v>
      </c>
      <c r="D13892" s="7">
        <v>2.64</v>
      </c>
      <c r="E13892" t="s">
        <v>52</v>
      </c>
    </row>
    <row r="13893" spans="1:5" x14ac:dyDescent="0.25">
      <c r="A13893" t="str">
        <f>HYPERLINK("https://www.773grp.com/globalSearch/CAT5110TBI-00GT3/page-1", "CAT5110TBI-00GT3")</f>
        <v>CAT5110TBI-00GT3</v>
      </c>
      <c r="B13893" s="3" t="str">
        <f>HYPERLINK("https://www.773grp.com/manufacturer/onsemi?pageNo=412", "Onsemi")</f>
        <v>Onsemi</v>
      </c>
      <c r="C13893" s="6">
        <v>3000</v>
      </c>
      <c r="D13893" s="7">
        <v>2.64</v>
      </c>
      <c r="E13893" t="s">
        <v>78</v>
      </c>
    </row>
    <row r="13894" spans="1:5" x14ac:dyDescent="0.25">
      <c r="A13894" t="str">
        <f>HYPERLINK("https://www.773grp.com/globalSearch/CAT5110TBI-10GT3/page-1", "CAT5110TBI-10GT3")</f>
        <v>CAT5110TBI-10GT3</v>
      </c>
      <c r="B13894" s="3" t="str">
        <f>HYPERLINK("https://www.773grp.com/manufacturer/onsemi?pageNo=413", "Onsemi")</f>
        <v>Onsemi</v>
      </c>
      <c r="C13894" s="6">
        <v>3000</v>
      </c>
      <c r="D13894" s="7">
        <v>2.64</v>
      </c>
    </row>
    <row r="13895" spans="1:5" x14ac:dyDescent="0.25">
      <c r="A13895" t="str">
        <f>HYPERLINK("https://www.773grp.com/globalSearch/CAT5110TBI-10-T3/page-1", "CAT5110TBI-10-T3")</f>
        <v>CAT5110TBI-10-T3</v>
      </c>
      <c r="B13895" s="3" t="str">
        <f>HYPERLINK("https://www.773grp.com/manufacturer/onsemi?pageNo=414", "Onsemi")</f>
        <v>Onsemi</v>
      </c>
      <c r="C13895" s="6">
        <v>21000</v>
      </c>
      <c r="D13895" s="7">
        <v>2.64</v>
      </c>
      <c r="E13895" t="s">
        <v>78</v>
      </c>
    </row>
    <row r="13896" spans="1:5" x14ac:dyDescent="0.25">
      <c r="A13896" t="str">
        <f>HYPERLINK("https://www.773grp.com/globalSearch/CAT5110TBI-50GT3/page-1", "CAT5110TBI-50GT3")</f>
        <v>CAT5110TBI-50GT3</v>
      </c>
      <c r="B13896" s="3" t="str">
        <f>HYPERLINK("https://www.773grp.com/manufacturer/onsemi?pageNo=415", "Onsemi")</f>
        <v>Onsemi</v>
      </c>
      <c r="C13896" s="6">
        <v>14500</v>
      </c>
      <c r="D13896" s="7">
        <v>2.64</v>
      </c>
      <c r="E13896" t="s">
        <v>78</v>
      </c>
    </row>
    <row r="13897" spans="1:5" x14ac:dyDescent="0.25">
      <c r="A13897" t="str">
        <f>HYPERLINK("https://www.773grp.com/globalSearch/CS3842AGN8/page-1", "CS3842AGN8")</f>
        <v>CS3842AGN8</v>
      </c>
      <c r="B13897" s="3" t="str">
        <f>HYPERLINK("https://www.773grp.com/manufacturer/onsemi?pageNo=416", "Onsemi")</f>
        <v>Onsemi</v>
      </c>
      <c r="C13897" s="6">
        <v>48</v>
      </c>
      <c r="D13897" s="7">
        <v>2.64</v>
      </c>
      <c r="E13897" t="s">
        <v>5</v>
      </c>
    </row>
    <row r="13898" spans="1:5" x14ac:dyDescent="0.25">
      <c r="A13898" t="str">
        <f>HYPERLINK("https://www.773grp.com/globalSearch/CS41000ZR3/page-1", "CS41000ZR3")</f>
        <v>CS41000ZR3</v>
      </c>
      <c r="B13898" s="3" t="str">
        <f>HYPERLINK("https://www.773grp.com/manufacturer/onsemi?pageNo=417", "Onsemi")</f>
        <v>Onsemi</v>
      </c>
      <c r="C13898" s="6">
        <v>6803</v>
      </c>
      <c r="D13898" s="7">
        <v>2.64</v>
      </c>
    </row>
    <row r="13899" spans="1:5" x14ac:dyDescent="0.25">
      <c r="A13899" t="str">
        <f>HYPERLINK("https://www.773grp.com/globalSearch/CS51031GD8G/page-1", "CS51031GD8G")</f>
        <v>CS51031GD8G</v>
      </c>
      <c r="B13899" s="3" t="str">
        <f>HYPERLINK("https://www.773grp.com/manufacturer/onsemi?pageNo=418", "Onsemi")</f>
        <v>Onsemi</v>
      </c>
      <c r="C13899" s="6">
        <v>3430</v>
      </c>
      <c r="D13899" s="7">
        <v>2.64</v>
      </c>
      <c r="E13899" t="s">
        <v>5</v>
      </c>
    </row>
    <row r="13900" spans="1:5" x14ac:dyDescent="0.25">
      <c r="A13900" t="str">
        <f>HYPERLINK("https://www.773grp.com/globalSearch/CS51031GDR8G/page-1", "CS51031GDR8G")</f>
        <v>CS51031GDR8G</v>
      </c>
      <c r="B13900" s="3" t="str">
        <f>HYPERLINK("https://www.773grp.com/manufacturer/onsemi?pageNo=419", "Onsemi")</f>
        <v>Onsemi</v>
      </c>
      <c r="C13900" s="6">
        <v>12240</v>
      </c>
      <c r="D13900" s="7">
        <v>2.64</v>
      </c>
      <c r="E13900" t="s">
        <v>5</v>
      </c>
    </row>
    <row r="13901" spans="1:5" x14ac:dyDescent="0.25">
      <c r="A13901" t="str">
        <f>HYPERLINK("https://www.773grp.com/globalSearch/CS51031YD8G/page-1", "CS51031YD8G")</f>
        <v>CS51031YD8G</v>
      </c>
      <c r="B13901" s="3" t="str">
        <f>HYPERLINK("https://www.773grp.com/manufacturer/onsemi?pageNo=420", "Onsemi")</f>
        <v>Onsemi</v>
      </c>
      <c r="C13901" s="6">
        <v>556</v>
      </c>
      <c r="D13901" s="7">
        <v>2.64</v>
      </c>
      <c r="E13901" t="s">
        <v>5</v>
      </c>
    </row>
    <row r="13902" spans="1:5" x14ac:dyDescent="0.25">
      <c r="A13902" t="str">
        <f>HYPERLINK("https://www.773grp.com/globalSearch/CS51033GD8G/page-1", "CS51033GD8G")</f>
        <v>CS51033GD8G</v>
      </c>
      <c r="B13902" s="3" t="str">
        <f>HYPERLINK("https://www.773grp.com/manufacturer/onsemi?pageNo=421", "Onsemi")</f>
        <v>Onsemi</v>
      </c>
      <c r="C13902" s="6">
        <v>3920</v>
      </c>
      <c r="D13902" s="7">
        <v>2.64</v>
      </c>
      <c r="E13902" t="s">
        <v>5</v>
      </c>
    </row>
    <row r="13903" spans="1:5" x14ac:dyDescent="0.25">
      <c r="A13903" t="str">
        <f>HYPERLINK("https://www.773grp.com/globalSearch/CS51033GDR8G/page-1", "CS51033GDR8G")</f>
        <v>CS51033GDR8G</v>
      </c>
      <c r="B13903" s="3" t="str">
        <f>HYPERLINK("https://www.773grp.com/manufacturer/onsemi?pageNo=422", "Onsemi")</f>
        <v>Onsemi</v>
      </c>
      <c r="C13903" s="6">
        <v>27450</v>
      </c>
      <c r="D13903" s="7">
        <v>2.64</v>
      </c>
      <c r="E13903" t="s">
        <v>5</v>
      </c>
    </row>
    <row r="13904" spans="1:5" x14ac:dyDescent="0.25">
      <c r="A13904" t="str">
        <f>HYPERLINK("https://www.773grp.com/globalSearch/CS51033YD8G/page-1", "CS51033YD8G")</f>
        <v>CS51033YD8G</v>
      </c>
      <c r="B13904" s="3" t="str">
        <f>HYPERLINK("https://www.773grp.com/manufacturer/onsemi?pageNo=423", "Onsemi")</f>
        <v>Onsemi</v>
      </c>
      <c r="C13904" s="6">
        <v>3689</v>
      </c>
      <c r="D13904" s="7">
        <v>2.64</v>
      </c>
      <c r="E13904" t="s">
        <v>5</v>
      </c>
    </row>
    <row r="13905" spans="1:5" x14ac:dyDescent="0.25">
      <c r="A13905" t="str">
        <f>HYPERLINK("https://www.773grp.com/globalSearch/CS51033YDR8G/page-1", "CS51033YDR8G")</f>
        <v>CS51033YDR8G</v>
      </c>
      <c r="B13905" s="3" t="str">
        <f>HYPERLINK("https://www.773grp.com/manufacturer/onsemi?pageNo=424", "Onsemi")</f>
        <v>Onsemi</v>
      </c>
      <c r="C13905" s="6">
        <v>15000</v>
      </c>
      <c r="D13905" s="7">
        <v>2.64</v>
      </c>
      <c r="E13905" t="s">
        <v>5</v>
      </c>
    </row>
    <row r="13906" spans="1:5" x14ac:dyDescent="0.25">
      <c r="A13906" t="str">
        <f>HYPERLINK("https://www.773grp.com/globalSearch/CS8271YN8/page-1", "CS8271YN8")</f>
        <v>CS8271YN8</v>
      </c>
      <c r="B13906" s="3" t="str">
        <f>HYPERLINK("https://www.773grp.com/manufacturer/onsemi?pageNo=425", "Onsemi")</f>
        <v>Onsemi</v>
      </c>
      <c r="C13906" s="6">
        <v>1835</v>
      </c>
      <c r="D13906" s="7">
        <v>2.64</v>
      </c>
      <c r="E13906" t="s">
        <v>21</v>
      </c>
    </row>
    <row r="13907" spans="1:5" x14ac:dyDescent="0.25">
      <c r="A13907" t="str">
        <f>HYPERLINK("https://www.773grp.com/globalSearch/LB11850VA-TLM-H/page-1", "LB11850VA-TLM-H")</f>
        <v>LB11850VA-TLM-H</v>
      </c>
      <c r="B13907" s="3" t="str">
        <f>HYPERLINK("https://www.773grp.com/manufacturer/onsemi?pageNo=426", "Onsemi")</f>
        <v>Onsemi</v>
      </c>
      <c r="C13907" s="6">
        <v>46000</v>
      </c>
      <c r="D13907" s="7">
        <v>2.64</v>
      </c>
    </row>
    <row r="13908" spans="1:5" x14ac:dyDescent="0.25">
      <c r="A13908" t="str">
        <f>HYPERLINK("https://www.773grp.com/globalSearch/LC03-6R2G/page-1", "LC03-6R2G")</f>
        <v>LC03-6R2G</v>
      </c>
      <c r="B13908" s="3" t="str">
        <f>HYPERLINK("https://www.773grp.com/manufacturer/onsemi?pageNo=427", "Onsemi")</f>
        <v>Onsemi</v>
      </c>
      <c r="C13908" s="6">
        <v>2500</v>
      </c>
      <c r="D13908" s="7">
        <v>2.64</v>
      </c>
    </row>
    <row r="13909" spans="1:5" x14ac:dyDescent="0.25">
      <c r="A13909" t="str">
        <f>HYPERLINK("https://www.773grp.com/globalSearch/MAC15MG/page-1", "MAC15MG")</f>
        <v>MAC15MG</v>
      </c>
      <c r="B13909" s="3" t="str">
        <f>HYPERLINK("https://www.773grp.com/manufacturer/onsemi?pageNo=428", "Onsemi")</f>
        <v>Onsemi</v>
      </c>
      <c r="C13909" s="6">
        <v>4508</v>
      </c>
      <c r="D13909" s="7">
        <v>2.64</v>
      </c>
      <c r="E13909" t="s">
        <v>81</v>
      </c>
    </row>
    <row r="13910" spans="1:5" x14ac:dyDescent="0.25">
      <c r="A13910" t="str">
        <f>HYPERLINK("https://www.773grp.com/globalSearch/MAC15NG/page-1", "MAC15NG")</f>
        <v>MAC15NG</v>
      </c>
      <c r="B13910" s="3" t="str">
        <f>HYPERLINK("https://www.773grp.com/manufacturer/onsemi?pageNo=429", "Onsemi")</f>
        <v>Onsemi</v>
      </c>
      <c r="C13910" s="6">
        <v>1130</v>
      </c>
      <c r="D13910" s="7">
        <v>2.64</v>
      </c>
      <c r="E13910" t="s">
        <v>81</v>
      </c>
    </row>
    <row r="13911" spans="1:5" x14ac:dyDescent="0.25">
      <c r="A13911" t="str">
        <f>HYPERLINK("https://www.773grp.com/globalSearch/MAC15SDG/page-1", "MAC15SDG")</f>
        <v>MAC15SDG</v>
      </c>
      <c r="B13911" s="3" t="str">
        <f>HYPERLINK("https://www.773grp.com/manufacturer/onsemi?pageNo=430", "Onsemi")</f>
        <v>Onsemi</v>
      </c>
      <c r="C13911" s="6">
        <v>3768</v>
      </c>
      <c r="D13911" s="7">
        <v>2.64</v>
      </c>
      <c r="E13911" t="s">
        <v>81</v>
      </c>
    </row>
    <row r="13912" spans="1:5" x14ac:dyDescent="0.25">
      <c r="A13912" t="str">
        <f>HYPERLINK("https://www.773grp.com/globalSearch/MAC15SMG/page-1", "MAC15SMG")</f>
        <v>MAC15SMG</v>
      </c>
      <c r="B13912" s="3" t="str">
        <f>HYPERLINK("https://www.773grp.com/manufacturer/onsemi?pageNo=431", "Onsemi")</f>
        <v>Onsemi</v>
      </c>
      <c r="C13912" s="6">
        <v>3382</v>
      </c>
      <c r="D13912" s="7">
        <v>2.64</v>
      </c>
    </row>
    <row r="13913" spans="1:5" x14ac:dyDescent="0.25">
      <c r="A13913" t="str">
        <f>HYPERLINK("https://www.773grp.com/globalSearch/MAC16CMG/page-1", "MAC16CMG")</f>
        <v>MAC16CMG</v>
      </c>
      <c r="B13913" s="3" t="str">
        <f>HYPERLINK("https://www.773grp.com/manufacturer/onsemi?pageNo=432", "Onsemi")</f>
        <v>Onsemi</v>
      </c>
      <c r="C13913" s="6">
        <v>21743</v>
      </c>
      <c r="D13913" s="7">
        <v>2.64</v>
      </c>
      <c r="E13913" t="s">
        <v>81</v>
      </c>
    </row>
    <row r="13914" spans="1:5" x14ac:dyDescent="0.25">
      <c r="A13914" t="str">
        <f>HYPERLINK("https://www.773grp.com/globalSearch/MAC16CNG/page-1", "MAC16CNG")</f>
        <v>MAC16CNG</v>
      </c>
      <c r="B13914" s="3" t="str">
        <f>HYPERLINK("https://www.773grp.com/manufacturer/onsemi?pageNo=433", "Onsemi")</f>
        <v>Onsemi</v>
      </c>
      <c r="C13914" s="6">
        <v>24428</v>
      </c>
      <c r="D13914" s="7">
        <v>2.64</v>
      </c>
      <c r="E13914" t="s">
        <v>81</v>
      </c>
    </row>
    <row r="13915" spans="1:5" x14ac:dyDescent="0.25">
      <c r="A13915" t="str">
        <f>HYPERLINK("https://www.773grp.com/globalSearch/MAC16DG/page-1", "MAC16DG")</f>
        <v>MAC16DG</v>
      </c>
      <c r="B13915" s="3" t="str">
        <f>HYPERLINK("https://www.773grp.com/manufacturer/onsemi?pageNo=434", "Onsemi")</f>
        <v>Onsemi</v>
      </c>
      <c r="C13915" s="6">
        <v>10296</v>
      </c>
      <c r="D13915" s="7">
        <v>2.64</v>
      </c>
      <c r="E13915" t="s">
        <v>81</v>
      </c>
    </row>
    <row r="13916" spans="1:5" x14ac:dyDescent="0.25">
      <c r="A13916" t="str">
        <f>HYPERLINK("https://www.773grp.com/globalSearch/MAC16HCDG/page-1", "MAC16HCDG")</f>
        <v>MAC16HCDG</v>
      </c>
      <c r="B13916" s="3" t="str">
        <f>HYPERLINK("https://www.773grp.com/manufacturer/onsemi?pageNo=435", "Onsemi")</f>
        <v>Onsemi</v>
      </c>
      <c r="C13916" s="6">
        <v>1783</v>
      </c>
      <c r="D13916" s="7">
        <v>2.64</v>
      </c>
      <c r="E13916" t="s">
        <v>81</v>
      </c>
    </row>
    <row r="13917" spans="1:5" x14ac:dyDescent="0.25">
      <c r="A13917" t="str">
        <f>HYPERLINK("https://www.773grp.com/globalSearch/MAC16HCMG/page-1", "MAC16HCMG")</f>
        <v>MAC16HCMG</v>
      </c>
      <c r="B13917" s="3" t="str">
        <f>HYPERLINK("https://www.773grp.com/manufacturer/onsemi?pageNo=436", "Onsemi")</f>
        <v>Onsemi</v>
      </c>
      <c r="C13917" s="6">
        <v>46</v>
      </c>
      <c r="D13917" s="7">
        <v>2.64</v>
      </c>
      <c r="E13917" t="s">
        <v>81</v>
      </c>
    </row>
    <row r="13918" spans="1:5" x14ac:dyDescent="0.25">
      <c r="A13918" t="str">
        <f>HYPERLINK("https://www.773grp.com/globalSearch/MAC16HCNG/page-1", "MAC16HCNG")</f>
        <v>MAC16HCNG</v>
      </c>
      <c r="B13918" s="3" t="str">
        <f>HYPERLINK("https://www.773grp.com/manufacturer/onsemi?pageNo=437", "Onsemi")</f>
        <v>Onsemi</v>
      </c>
      <c r="C13918" s="6">
        <v>17</v>
      </c>
      <c r="D13918" s="7">
        <v>2.64</v>
      </c>
      <c r="E13918" t="s">
        <v>81</v>
      </c>
    </row>
    <row r="13919" spans="1:5" x14ac:dyDescent="0.25">
      <c r="A13919" t="str">
        <f>HYPERLINK("https://www.773grp.com/globalSearch/MAC16M/page-1", "MAC16M")</f>
        <v>MAC16M</v>
      </c>
      <c r="B13919" s="3" t="str">
        <f>HYPERLINK("https://www.773grp.com/manufacturer/onsemi?pageNo=438", "Onsemi")</f>
        <v>Onsemi</v>
      </c>
      <c r="C13919" s="6">
        <v>150</v>
      </c>
      <c r="D13919" s="7">
        <v>2.64</v>
      </c>
      <c r="E13919" t="s">
        <v>81</v>
      </c>
    </row>
    <row r="13920" spans="1:5" x14ac:dyDescent="0.25">
      <c r="A13920" t="str">
        <f>HYPERLINK("https://www.773grp.com/globalSearch/MAC16MG/page-1", "MAC16MG")</f>
        <v>MAC16MG</v>
      </c>
      <c r="B13920" s="3" t="str">
        <f>HYPERLINK("https://www.773grp.com/manufacturer/onsemi?pageNo=439", "Onsemi")</f>
        <v>Onsemi</v>
      </c>
      <c r="C13920" s="6">
        <v>1406</v>
      </c>
      <c r="D13920" s="7">
        <v>2.64</v>
      </c>
      <c r="E13920" t="s">
        <v>81</v>
      </c>
    </row>
    <row r="13921" spans="1:5" x14ac:dyDescent="0.25">
      <c r="A13921" t="str">
        <f>HYPERLINK("https://www.773grp.com/globalSearch/MAC16NG/page-1", "MAC16NG")</f>
        <v>MAC16NG</v>
      </c>
      <c r="B13921" s="3" t="str">
        <f>HYPERLINK("https://www.773grp.com/manufacturer/onsemi?pageNo=440", "Onsemi")</f>
        <v>Onsemi</v>
      </c>
      <c r="C13921" s="6">
        <v>27</v>
      </c>
      <c r="D13921" s="7">
        <v>2.64</v>
      </c>
      <c r="E13921" t="s">
        <v>81</v>
      </c>
    </row>
    <row r="13922" spans="1:5" x14ac:dyDescent="0.25">
      <c r="A13922" t="str">
        <f>HYPERLINK("https://www.773grp.com/globalSearch/MBR3045PT/page-1", "MBR3045PT")</f>
        <v>MBR3045PT</v>
      </c>
      <c r="B13922" s="3" t="str">
        <f>HYPERLINK("https://www.773grp.com/manufacturer/onsemi?pageNo=441", "Onsemi")</f>
        <v>Onsemi</v>
      </c>
      <c r="C13922" s="6">
        <v>5658</v>
      </c>
      <c r="D13922" s="7">
        <v>2.64</v>
      </c>
      <c r="E13922" t="s">
        <v>82</v>
      </c>
    </row>
    <row r="13923" spans="1:5" x14ac:dyDescent="0.25">
      <c r="A13923" t="str">
        <f>HYPERLINK("https://www.773grp.com/globalSearch/MBR30L45CTG/page-1", "MBR30L45CTG")</f>
        <v>MBR30L45CTG</v>
      </c>
      <c r="B13923" s="3" t="str">
        <f>HYPERLINK("https://www.773grp.com/manufacturer/onsemi?pageNo=442", "Onsemi")</f>
        <v>Onsemi</v>
      </c>
      <c r="C13923" s="6">
        <v>621930</v>
      </c>
      <c r="D13923" s="7">
        <v>2.64</v>
      </c>
      <c r="E13923" t="s">
        <v>82</v>
      </c>
    </row>
    <row r="13924" spans="1:5" x14ac:dyDescent="0.25">
      <c r="A13924" t="str">
        <f>HYPERLINK("https://www.773grp.com/globalSearch/MBR30L45CTH/page-1", "MBR30L45CTH")</f>
        <v>MBR30L45CTH</v>
      </c>
      <c r="B13924" s="3" t="str">
        <f>HYPERLINK("https://www.773grp.com/manufacturer/onsemi?pageNo=443", "Onsemi")</f>
        <v>Onsemi</v>
      </c>
      <c r="C13924" s="6">
        <v>400721</v>
      </c>
      <c r="D13924" s="7">
        <v>2.64</v>
      </c>
    </row>
    <row r="13925" spans="1:5" x14ac:dyDescent="0.25">
      <c r="A13925" t="str">
        <f>HYPERLINK("https://www.773grp.com/globalSearch/MBRF20H100CTG/page-1", "MBRF20H100CTG")</f>
        <v>MBRF20H100CTG</v>
      </c>
      <c r="B13925" s="3" t="str">
        <f>HYPERLINK("https://www.773grp.com/manufacturer/onsemi?pageNo=444", "Onsemi")</f>
        <v>Onsemi</v>
      </c>
      <c r="C13925" s="6">
        <v>127720</v>
      </c>
      <c r="D13925" s="7">
        <v>2.64</v>
      </c>
      <c r="E13925" t="s">
        <v>82</v>
      </c>
    </row>
    <row r="13926" spans="1:5" x14ac:dyDescent="0.25">
      <c r="A13926" t="str">
        <f>HYPERLINK("https://www.773grp.com/globalSearch/MBRF2545CT/page-1", "MBRF2545CT")</f>
        <v>MBRF2545CT</v>
      </c>
      <c r="B13926" s="3" t="str">
        <f>HYPERLINK("https://www.773grp.com/manufacturer/onsemi?pageNo=445", "Onsemi")</f>
        <v>Onsemi</v>
      </c>
      <c r="C13926" s="6">
        <v>3396</v>
      </c>
      <c r="D13926" s="7">
        <v>2.64</v>
      </c>
      <c r="E13926" t="s">
        <v>82</v>
      </c>
    </row>
    <row r="13927" spans="1:5" x14ac:dyDescent="0.25">
      <c r="A13927" t="str">
        <f>HYPERLINK("https://www.773grp.com/globalSearch/MBRF30H100CTG/page-1", "MBRF30H100CTG")</f>
        <v>MBRF30H100CTG</v>
      </c>
      <c r="B13927" s="3" t="str">
        <f>HYPERLINK("https://www.773grp.com/manufacturer/onsemi?pageNo=446", "Onsemi")</f>
        <v>Onsemi</v>
      </c>
      <c r="C13927" s="6">
        <v>1350</v>
      </c>
      <c r="D13927" s="7">
        <v>2.64</v>
      </c>
      <c r="E13927" t="s">
        <v>82</v>
      </c>
    </row>
    <row r="13928" spans="1:5" x14ac:dyDescent="0.25">
      <c r="A13928" t="str">
        <f>HYPERLINK("https://www.773grp.com/globalSearch/MC10121P/page-1", "MC10121P")</f>
        <v>MC10121P</v>
      </c>
      <c r="B13928" s="3" t="str">
        <f>HYPERLINK("https://www.773grp.com/manufacturer/onsemi?pageNo=447", "Onsemi")</f>
        <v>Onsemi</v>
      </c>
      <c r="C13928" s="6">
        <v>7375</v>
      </c>
      <c r="D13928" s="7">
        <v>2.64</v>
      </c>
      <c r="E13928" t="s">
        <v>27</v>
      </c>
    </row>
    <row r="13929" spans="1:5" x14ac:dyDescent="0.25">
      <c r="A13929" t="str">
        <f>HYPERLINK("https://www.773grp.com/globalSearch/MC14551BF/page-1", "MC14551BF")</f>
        <v>MC14551BF</v>
      </c>
      <c r="B13929" s="3" t="str">
        <f>HYPERLINK("https://www.773grp.com/manufacturer/onsemi?pageNo=448", "Onsemi")</f>
        <v>Onsemi</v>
      </c>
      <c r="C13929" s="6">
        <v>700</v>
      </c>
      <c r="D13929" s="7">
        <v>2.64</v>
      </c>
      <c r="E13929" t="s">
        <v>46</v>
      </c>
    </row>
    <row r="13930" spans="1:5" x14ac:dyDescent="0.25">
      <c r="A13930" t="str">
        <f>HYPERLINK("https://www.773grp.com/globalSearch/MC14557BFL1/page-1", "MC14557BFL1")</f>
        <v>MC14557BFL1</v>
      </c>
      <c r="B13930" s="3" t="str">
        <f>HYPERLINK("https://www.773grp.com/manufacturer/onsemi?pageNo=449", "Onsemi")</f>
        <v>Onsemi</v>
      </c>
      <c r="C13930" s="6">
        <v>1000</v>
      </c>
      <c r="D13930" s="7">
        <v>2.64</v>
      </c>
      <c r="E13930" t="s">
        <v>28</v>
      </c>
    </row>
    <row r="13931" spans="1:5" x14ac:dyDescent="0.25">
      <c r="A13931" t="str">
        <f>HYPERLINK("https://www.773grp.com/globalSearch/MC33077DG/page-1", "MC33077DG")</f>
        <v>MC33077DG</v>
      </c>
      <c r="B13931" s="3" t="str">
        <f>HYPERLINK("https://www.773grp.com/manufacturer/onsemi?pageNo=450", "Onsemi")</f>
        <v>Onsemi</v>
      </c>
      <c r="C13931" s="6">
        <v>1764</v>
      </c>
      <c r="D13931" s="7">
        <v>2.64</v>
      </c>
    </row>
    <row r="13932" spans="1:5" x14ac:dyDescent="0.25">
      <c r="A13932" t="str">
        <f>HYPERLINK("https://www.773grp.com/globalSearch/MC33077DR2G/page-1", "MC33077DR2G")</f>
        <v>MC33077DR2G</v>
      </c>
      <c r="B13932" s="3" t="str">
        <f>HYPERLINK("https://www.773grp.com/manufacturer/onsemi?pageNo=451", "Onsemi")</f>
        <v>Onsemi</v>
      </c>
      <c r="C13932" s="6">
        <v>71508</v>
      </c>
      <c r="D13932" s="7">
        <v>2.64</v>
      </c>
    </row>
    <row r="13933" spans="1:5" x14ac:dyDescent="0.25">
      <c r="A13933" t="str">
        <f>HYPERLINK("https://www.773grp.com/globalSearch/MC33078ML1/page-1", "MC33078ML1")</f>
        <v>MC33078ML1</v>
      </c>
      <c r="B13933" s="3" t="str">
        <f>HYPERLINK("https://www.773grp.com/manufacturer/onsemi?pageNo=452", "Onsemi")</f>
        <v>Onsemi</v>
      </c>
      <c r="C13933" s="6">
        <v>6000</v>
      </c>
      <c r="D13933" s="7">
        <v>2.64</v>
      </c>
    </row>
    <row r="13934" spans="1:5" x14ac:dyDescent="0.25">
      <c r="A13934" t="str">
        <f>HYPERLINK("https://www.773grp.com/globalSearch/MC33267D2T/page-1", "MC33267D2T")</f>
        <v>MC33267D2T</v>
      </c>
      <c r="B13934" s="3" t="str">
        <f>HYPERLINK("https://www.773grp.com/manufacturer/onsemi?pageNo=453", "Onsemi")</f>
        <v>Onsemi</v>
      </c>
      <c r="C13934" s="6">
        <v>107</v>
      </c>
      <c r="D13934" s="7">
        <v>2.64</v>
      </c>
      <c r="E13934" t="s">
        <v>15</v>
      </c>
    </row>
    <row r="13935" spans="1:5" x14ac:dyDescent="0.25">
      <c r="A13935" t="str">
        <f>HYPERLINK("https://www.773grp.com/globalSearch/MC33267D2TR4/page-1", "MC33267D2TR4")</f>
        <v>MC33267D2TR4</v>
      </c>
      <c r="B13935" s="3" t="str">
        <f>HYPERLINK("https://www.773grp.com/manufacturer/onsemi?pageNo=454", "Onsemi")</f>
        <v>Onsemi</v>
      </c>
      <c r="C13935" s="6">
        <v>10400</v>
      </c>
      <c r="D13935" s="7">
        <v>2.64</v>
      </c>
      <c r="E13935" t="s">
        <v>15</v>
      </c>
    </row>
    <row r="13936" spans="1:5" x14ac:dyDescent="0.25">
      <c r="A13936" t="str">
        <f>HYPERLINK("https://www.773grp.com/globalSearch/MC33267T/page-1", "MC33267T")</f>
        <v>MC33267T</v>
      </c>
      <c r="B13936" s="3" t="str">
        <f>HYPERLINK("https://www.773grp.com/manufacturer/onsemi?pageNo=455", "Onsemi")</f>
        <v>Onsemi</v>
      </c>
      <c r="C13936" s="6">
        <v>1919</v>
      </c>
      <c r="D13936" s="7">
        <v>2.64</v>
      </c>
      <c r="E13936" t="s">
        <v>15</v>
      </c>
    </row>
    <row r="13937" spans="1:5" x14ac:dyDescent="0.25">
      <c r="A13937" t="str">
        <f>HYPERLINK("https://www.773grp.com/globalSearch/MC33272APG/page-1", "MC33272APG")</f>
        <v>MC33272APG</v>
      </c>
      <c r="B13937" s="3" t="str">
        <f>HYPERLINK("https://www.773grp.com/manufacturer/onsemi?pageNo=456", "Onsemi")</f>
        <v>Onsemi</v>
      </c>
      <c r="C13937" s="6">
        <v>2793</v>
      </c>
      <c r="D13937" s="7">
        <v>2.64</v>
      </c>
      <c r="E13937" t="s">
        <v>10</v>
      </c>
    </row>
    <row r="13938" spans="1:5" x14ac:dyDescent="0.25">
      <c r="A13938" t="str">
        <f>HYPERLINK("https://www.773grp.com/globalSearch/MC74AC646DW/page-1", "MC74AC646DW")</f>
        <v>MC74AC646DW</v>
      </c>
      <c r="B13938" s="3" t="str">
        <f>HYPERLINK("https://www.773grp.com/manufacturer/onsemi?pageNo=457", "Onsemi")</f>
        <v>Onsemi</v>
      </c>
      <c r="C13938" s="6">
        <v>4630</v>
      </c>
      <c r="D13938" s="7">
        <v>2.64</v>
      </c>
      <c r="E13938" t="s">
        <v>11</v>
      </c>
    </row>
    <row r="13939" spans="1:5" x14ac:dyDescent="0.25">
      <c r="A13939" t="str">
        <f>HYPERLINK("https://www.773grp.com/globalSearch/MC74ACT323DWR2/page-1", "MC74ACT323DWR2")</f>
        <v>MC74ACT323DWR2</v>
      </c>
      <c r="B13939" s="3" t="str">
        <f>HYPERLINK("https://www.773grp.com/manufacturer/onsemi?pageNo=458", "Onsemi")</f>
        <v>Onsemi</v>
      </c>
      <c r="C13939" s="6">
        <v>3840</v>
      </c>
      <c r="D13939" s="7">
        <v>2.64</v>
      </c>
      <c r="E13939" t="s">
        <v>28</v>
      </c>
    </row>
    <row r="13940" spans="1:5" x14ac:dyDescent="0.25">
      <c r="A13940" t="str">
        <f>HYPERLINK("https://www.773grp.com/globalSearch/MC74ACT646DW/page-1", "MC74ACT646DW")</f>
        <v>MC74ACT646DW</v>
      </c>
      <c r="B13940" s="3" t="str">
        <f>HYPERLINK("https://www.773grp.com/manufacturer/onsemi?pageNo=459", "Onsemi")</f>
        <v>Onsemi</v>
      </c>
      <c r="C13940" s="6">
        <v>17880</v>
      </c>
      <c r="D13940" s="7">
        <v>2.64</v>
      </c>
      <c r="E13940" t="s">
        <v>11</v>
      </c>
    </row>
    <row r="13941" spans="1:5" x14ac:dyDescent="0.25">
      <c r="A13941" t="str">
        <f>HYPERLINK("https://www.773grp.com/globalSearch/MCR12LDG/page-1", "MCR12LDG")</f>
        <v>MCR12LDG</v>
      </c>
      <c r="B13941" s="3" t="str">
        <f>HYPERLINK("https://www.773grp.com/manufacturer/onsemi?pageNo=460", "Onsemi")</f>
        <v>Onsemi</v>
      </c>
      <c r="C13941" s="6">
        <v>5596</v>
      </c>
      <c r="D13941" s="7">
        <v>2.64</v>
      </c>
      <c r="E13941" t="s">
        <v>76</v>
      </c>
    </row>
    <row r="13942" spans="1:5" x14ac:dyDescent="0.25">
      <c r="A13942" t="str">
        <f>HYPERLINK("https://www.773grp.com/globalSearch/MCR12LMG/page-1", "MCR12LMG")</f>
        <v>MCR12LMG</v>
      </c>
      <c r="B13942" s="3" t="str">
        <f>HYPERLINK("https://www.773grp.com/manufacturer/onsemi?pageNo=461", "Onsemi")</f>
        <v>Onsemi</v>
      </c>
      <c r="C13942" s="6">
        <v>3000</v>
      </c>
      <c r="D13942" s="7">
        <v>2.64</v>
      </c>
      <c r="E13942" t="s">
        <v>76</v>
      </c>
    </row>
    <row r="13943" spans="1:5" x14ac:dyDescent="0.25">
      <c r="A13943" t="str">
        <f>HYPERLINK("https://www.773grp.com/globalSearch/MCR16NG/page-1", "MCR16NG")</f>
        <v>MCR16NG</v>
      </c>
      <c r="B13943" s="3" t="str">
        <f>HYPERLINK("https://www.773grp.com/manufacturer/onsemi?pageNo=462", "Onsemi")</f>
        <v>Onsemi</v>
      </c>
      <c r="C13943" s="6">
        <v>2690</v>
      </c>
      <c r="D13943" s="7">
        <v>2.64</v>
      </c>
      <c r="E13943" t="s">
        <v>76</v>
      </c>
    </row>
    <row r="13944" spans="1:5" x14ac:dyDescent="0.25">
      <c r="A13944" t="str">
        <f>HYPERLINK("https://www.773grp.com/globalSearch/MCR218-2G/page-1", "MCR218-2G")</f>
        <v>MCR218-2G</v>
      </c>
      <c r="B13944" s="3" t="str">
        <f>HYPERLINK("https://www.773grp.com/manufacturer/onsemi?pageNo=463", "Onsemi")</f>
        <v>Onsemi</v>
      </c>
      <c r="C13944" s="6">
        <v>500</v>
      </c>
      <c r="D13944" s="7">
        <v>2.64</v>
      </c>
    </row>
    <row r="13945" spans="1:5" x14ac:dyDescent="0.25">
      <c r="A13945" t="str">
        <f>HYPERLINK("https://www.773grp.com/globalSearch/MCR218-4G/page-1", "MCR218-4G")</f>
        <v>MCR218-4G</v>
      </c>
      <c r="B13945" s="3" t="str">
        <f>HYPERLINK("https://www.773grp.com/manufacturer/onsemi?pageNo=464", "Onsemi")</f>
        <v>Onsemi</v>
      </c>
      <c r="C13945" s="6">
        <v>8900</v>
      </c>
      <c r="D13945" s="7">
        <v>2.64</v>
      </c>
      <c r="E13945" t="s">
        <v>76</v>
      </c>
    </row>
    <row r="13946" spans="1:5" x14ac:dyDescent="0.25">
      <c r="A13946" t="str">
        <f>HYPERLINK("https://www.773grp.com/globalSearch/MCR218-6G/page-1", "MCR218-6G")</f>
        <v>MCR218-6G</v>
      </c>
      <c r="B13946" s="3" t="str">
        <f>HYPERLINK("https://www.773grp.com/manufacturer/onsemi?pageNo=465", "Onsemi")</f>
        <v>Onsemi</v>
      </c>
      <c r="C13946" s="6">
        <v>400</v>
      </c>
      <c r="D13946" s="7">
        <v>2.64</v>
      </c>
    </row>
    <row r="13947" spans="1:5" x14ac:dyDescent="0.25">
      <c r="A13947" t="str">
        <f>HYPERLINK("https://www.773grp.com/globalSearch/MCR310-10G/page-1", "MCR310-10G")</f>
        <v>MCR310-10G</v>
      </c>
      <c r="B13947" s="3" t="str">
        <f>HYPERLINK("https://www.773grp.com/manufacturer/onsemi?pageNo=466", "Onsemi")</f>
        <v>Onsemi</v>
      </c>
      <c r="C13947" s="6">
        <v>23422</v>
      </c>
      <c r="D13947" s="7">
        <v>2.64</v>
      </c>
      <c r="E13947" t="s">
        <v>76</v>
      </c>
    </row>
    <row r="13948" spans="1:5" x14ac:dyDescent="0.25">
      <c r="A13948" t="str">
        <f>HYPERLINK("https://www.773grp.com/globalSearch/MCR68-2G/page-1", "MCR68-2G")</f>
        <v>MCR68-2G</v>
      </c>
      <c r="B13948" s="3" t="str">
        <f>HYPERLINK("https://www.773grp.com/manufacturer/onsemi?pageNo=467", "Onsemi")</f>
        <v>Onsemi</v>
      </c>
      <c r="C13948" s="6">
        <v>2489</v>
      </c>
      <c r="D13948" s="7">
        <v>2.64</v>
      </c>
      <c r="E13948" t="s">
        <v>76</v>
      </c>
    </row>
    <row r="13949" spans="1:5" x14ac:dyDescent="0.25">
      <c r="A13949" t="str">
        <f>HYPERLINK("https://www.773grp.com/globalSearch/MCR72-3G/page-1", "MCR72-3G")</f>
        <v>MCR72-3G</v>
      </c>
      <c r="B13949" s="3" t="str">
        <f>HYPERLINK("https://www.773grp.com/manufacturer/onsemi?pageNo=468", "Onsemi")</f>
        <v>Onsemi</v>
      </c>
      <c r="C13949" s="6">
        <v>700</v>
      </c>
      <c r="D13949" s="7">
        <v>2.64</v>
      </c>
      <c r="E13949" t="s">
        <v>76</v>
      </c>
    </row>
    <row r="13950" spans="1:5" x14ac:dyDescent="0.25">
      <c r="A13950" t="str">
        <f>HYPERLINK("https://www.773grp.com/globalSearch/MCR72-6TG/page-1", "MCR72-6TG")</f>
        <v>MCR72-6TG</v>
      </c>
      <c r="B13950" s="3" t="str">
        <f>HYPERLINK("https://www.773grp.com/manufacturer/onsemi?pageNo=469", "Onsemi")</f>
        <v>Onsemi</v>
      </c>
      <c r="C13950" s="6">
        <v>2663</v>
      </c>
      <c r="D13950" s="7">
        <v>2.64</v>
      </c>
      <c r="E13950" t="s">
        <v>76</v>
      </c>
    </row>
    <row r="13951" spans="1:5" x14ac:dyDescent="0.25">
      <c r="A13951" t="str">
        <f>HYPERLINK("https://www.773grp.com/globalSearch/MCR72-8G/page-1", "MCR72-8G")</f>
        <v>MCR72-8G</v>
      </c>
      <c r="B13951" s="3" t="str">
        <f>HYPERLINK("https://www.773grp.com/manufacturer/onsemi?pageNo=470", "Onsemi")</f>
        <v>Onsemi</v>
      </c>
      <c r="C13951" s="6">
        <v>6972</v>
      </c>
      <c r="D13951" s="7">
        <v>2.64</v>
      </c>
      <c r="E13951" t="s">
        <v>76</v>
      </c>
    </row>
    <row r="13952" spans="1:5" x14ac:dyDescent="0.25">
      <c r="A13952" t="str">
        <f>HYPERLINK("https://www.773grp.com/globalSearch/MCR72-8TG/page-1", "MCR72-8TG")</f>
        <v>MCR72-8TG</v>
      </c>
      <c r="B13952" s="3" t="str">
        <f>HYPERLINK("https://www.773grp.com/manufacturer/onsemi?pageNo=471", "Onsemi")</f>
        <v>Onsemi</v>
      </c>
      <c r="C13952" s="6">
        <v>201716</v>
      </c>
      <c r="D13952" s="7">
        <v>2.64</v>
      </c>
      <c r="E13952" t="s">
        <v>76</v>
      </c>
    </row>
    <row r="13953" spans="1:5" x14ac:dyDescent="0.25">
      <c r="A13953" t="str">
        <f>HYPERLINK("https://www.773grp.com/globalSearch/MSR860G/page-1", "MSR860G")</f>
        <v>MSR860G</v>
      </c>
      <c r="B13953" s="3" t="str">
        <f>HYPERLINK("https://www.773grp.com/manufacturer/onsemi?pageNo=472", "Onsemi")</f>
        <v>Onsemi</v>
      </c>
      <c r="C13953" s="6">
        <v>117200</v>
      </c>
      <c r="D13953" s="7">
        <v>2.64</v>
      </c>
      <c r="E13953" t="s">
        <v>82</v>
      </c>
    </row>
    <row r="13954" spans="1:5" x14ac:dyDescent="0.25">
      <c r="A13954" t="str">
        <f>HYPERLINK("https://www.773grp.com/globalSearch/MURH840CT/page-1", "MURH840CT")</f>
        <v>MURH840CT</v>
      </c>
      <c r="B13954" s="3" t="str">
        <f>HYPERLINK("https://www.773grp.com/manufacturer/onsemi?pageNo=473", "Onsemi")</f>
        <v>Onsemi</v>
      </c>
      <c r="C13954" s="6">
        <v>170200</v>
      </c>
      <c r="D13954" s="7">
        <v>2.64</v>
      </c>
      <c r="E13954" t="s">
        <v>82</v>
      </c>
    </row>
    <row r="13955" spans="1:5" x14ac:dyDescent="0.25">
      <c r="A13955" t="str">
        <f>HYPERLINK("https://www.773grp.com/globalSearch/MURH860CT/page-1", "MURH860CT")</f>
        <v>MURH860CT</v>
      </c>
      <c r="B13955" s="3" t="str">
        <f>HYPERLINK("https://www.773grp.com/manufacturer/onsemi?pageNo=474", "Onsemi")</f>
        <v>Onsemi</v>
      </c>
      <c r="C13955" s="6">
        <v>2055</v>
      </c>
      <c r="D13955" s="7">
        <v>2.64</v>
      </c>
      <c r="E13955" t="s">
        <v>82</v>
      </c>
    </row>
    <row r="13956" spans="1:5" x14ac:dyDescent="0.25">
      <c r="A13956" t="str">
        <f>HYPERLINK("https://www.773grp.com/globalSearch/NCL30000DR2G/page-1", "NCL30000DR2G")</f>
        <v>NCL30000DR2G</v>
      </c>
      <c r="B13956" s="3" t="str">
        <f>HYPERLINK("https://www.773grp.com/manufacturer/onsemi?pageNo=475", "Onsemi")</f>
        <v>Onsemi</v>
      </c>
      <c r="C13956" s="6">
        <v>19872</v>
      </c>
      <c r="D13956" s="7">
        <v>2.64</v>
      </c>
      <c r="E13956" t="s">
        <v>7</v>
      </c>
    </row>
    <row r="13957" spans="1:5" x14ac:dyDescent="0.25">
      <c r="A13957" t="str">
        <f>HYPERLINK("https://www.773grp.com/globalSearch/NCL30100SNT1G/page-1", "NCL30100SNT1G")</f>
        <v>NCL30100SNT1G</v>
      </c>
      <c r="B13957" s="3" t="str">
        <f>HYPERLINK("https://www.773grp.com/manufacturer/onsemi?pageNo=476", "Onsemi")</f>
        <v>Onsemi</v>
      </c>
      <c r="C13957" s="6">
        <v>48000</v>
      </c>
      <c r="D13957" s="7">
        <v>2.64</v>
      </c>
    </row>
    <row r="13958" spans="1:5" x14ac:dyDescent="0.25">
      <c r="A13958" t="str">
        <f>HYPERLINK("https://www.773grp.com/globalSearch/NCP1212DR2G/page-1", "NCP1212DR2G")</f>
        <v>NCP1212DR2G</v>
      </c>
      <c r="B13958" s="3" t="str">
        <f>HYPERLINK("https://www.773grp.com/manufacturer/onsemi?pageNo=477", "Onsemi")</f>
        <v>Onsemi</v>
      </c>
      <c r="C13958" s="6">
        <v>2444</v>
      </c>
      <c r="D13958" s="7">
        <v>2.64</v>
      </c>
      <c r="E13958" t="s">
        <v>5</v>
      </c>
    </row>
    <row r="13959" spans="1:5" x14ac:dyDescent="0.25">
      <c r="A13959" t="str">
        <f>HYPERLINK("https://www.773grp.com/globalSearch/NCP1237AD65R2G/page-1", "NCP1237AD65R2G")</f>
        <v>NCP1237AD65R2G</v>
      </c>
      <c r="B13959" s="3" t="str">
        <f>HYPERLINK("https://www.773grp.com/manufacturer/onsemi?pageNo=478", "Onsemi")</f>
        <v>Onsemi</v>
      </c>
      <c r="C13959" s="6">
        <v>2500</v>
      </c>
      <c r="D13959" s="7">
        <v>2.64</v>
      </c>
    </row>
    <row r="13960" spans="1:5" x14ac:dyDescent="0.25">
      <c r="A13960" t="str">
        <f>HYPERLINK("https://www.773grp.com/globalSearch/NCP1237BD65R2G/page-1", "NCP1237BD65R2G")</f>
        <v>NCP1237BD65R2G</v>
      </c>
      <c r="B13960" s="3" t="str">
        <f>HYPERLINK("https://www.773grp.com/manufacturer/onsemi?pageNo=479", "Onsemi")</f>
        <v>Onsemi</v>
      </c>
      <c r="C13960" s="6">
        <v>59860</v>
      </c>
      <c r="D13960" s="7">
        <v>2.64</v>
      </c>
      <c r="E13960" t="s">
        <v>5</v>
      </c>
    </row>
    <row r="13961" spans="1:5" x14ac:dyDescent="0.25">
      <c r="A13961" t="str">
        <f>HYPERLINK("https://www.773grp.com/globalSearch/NCP1238AD65R2G/page-1", "NCP1238AD65R2G")</f>
        <v>NCP1238AD65R2G</v>
      </c>
      <c r="B13961" s="3" t="str">
        <f>HYPERLINK("https://www.773grp.com/manufacturer/onsemi?pageNo=480", "Onsemi")</f>
        <v>Onsemi</v>
      </c>
      <c r="C13961" s="6">
        <v>12500</v>
      </c>
      <c r="D13961" s="7">
        <v>2.64</v>
      </c>
    </row>
    <row r="13962" spans="1:5" x14ac:dyDescent="0.25">
      <c r="A13962" t="str">
        <f>HYPERLINK("https://www.773grp.com/globalSearch/NCP1238BD65R2G/page-1", "NCP1238BD65R2G")</f>
        <v>NCP1238BD65R2G</v>
      </c>
      <c r="B13962" s="3" t="str">
        <f>HYPERLINK("https://www.773grp.com/manufacturer/onsemi?pageNo=481", "Onsemi")</f>
        <v>Onsemi</v>
      </c>
      <c r="C13962" s="6">
        <v>17500</v>
      </c>
      <c r="D13962" s="7">
        <v>2.64</v>
      </c>
      <c r="E13962" t="s">
        <v>5</v>
      </c>
    </row>
    <row r="13963" spans="1:5" x14ac:dyDescent="0.25">
      <c r="A13963" t="str">
        <f>HYPERLINK("https://www.773grp.com/globalSearch/NCP1246AD065R2G/page-1", "NCP1246AD065R2G")</f>
        <v>NCP1246AD065R2G</v>
      </c>
      <c r="B13963" s="3" t="str">
        <f>HYPERLINK("https://www.773grp.com/manufacturer/onsemi?pageNo=482", "Onsemi")</f>
        <v>Onsemi</v>
      </c>
      <c r="C13963" s="6">
        <v>7500</v>
      </c>
      <c r="D13963" s="7">
        <v>2.64</v>
      </c>
    </row>
    <row r="13964" spans="1:5" x14ac:dyDescent="0.25">
      <c r="A13964" t="str">
        <f>HYPERLINK("https://www.773grp.com/globalSearch/NCP1246AD100R2G/page-1", "NCP1246AD100R2G")</f>
        <v>NCP1246AD100R2G</v>
      </c>
      <c r="B13964" s="3" t="str">
        <f>HYPERLINK("https://www.773grp.com/manufacturer/onsemi?pageNo=483", "Onsemi")</f>
        <v>Onsemi</v>
      </c>
      <c r="C13964" s="6">
        <v>2500</v>
      </c>
      <c r="D13964" s="7">
        <v>2.64</v>
      </c>
    </row>
    <row r="13965" spans="1:5" x14ac:dyDescent="0.25">
      <c r="A13965" t="str">
        <f>HYPERLINK("https://www.773grp.com/globalSearch/NCP1288BD65R2G/page-1", "NCP1288BD65R2G")</f>
        <v>NCP1288BD65R2G</v>
      </c>
      <c r="B13965" s="3" t="str">
        <f>HYPERLINK("https://www.773grp.com/manufacturer/onsemi?pageNo=484", "Onsemi")</f>
        <v>Onsemi</v>
      </c>
      <c r="C13965" s="6">
        <v>2500</v>
      </c>
      <c r="D13965" s="7">
        <v>2.64</v>
      </c>
    </row>
    <row r="13966" spans="1:5" x14ac:dyDescent="0.25">
      <c r="A13966" t="str">
        <f>HYPERLINK("https://www.773grp.com/globalSearch/NCP1501DMR2/page-1", "NCP1501DMR2")</f>
        <v>NCP1501DMR2</v>
      </c>
      <c r="B13966" s="3" t="str">
        <f>HYPERLINK("https://www.773grp.com/manufacturer/onsemi?pageNo=485", "Onsemi")</f>
        <v>Onsemi</v>
      </c>
      <c r="C13966" s="6">
        <v>3877</v>
      </c>
      <c r="D13966" s="7">
        <v>2.64</v>
      </c>
      <c r="E13966" t="s">
        <v>5</v>
      </c>
    </row>
    <row r="13967" spans="1:5" x14ac:dyDescent="0.25">
      <c r="A13967" t="str">
        <f>HYPERLINK("https://www.773grp.com/globalSearch/NCP45560IMNTWG-L/page-1", "NCP45560IMNTWG-L")</f>
        <v>NCP45560IMNTWG-L</v>
      </c>
      <c r="B13967" s="3" t="str">
        <f>HYPERLINK("https://www.773grp.com/manufacturer/onsemi?pageNo=486", "Onsemi")</f>
        <v>Onsemi</v>
      </c>
      <c r="C13967" s="6">
        <v>3000</v>
      </c>
      <c r="D13967" s="7">
        <v>2.64</v>
      </c>
    </row>
    <row r="13968" spans="1:5" x14ac:dyDescent="0.25">
      <c r="A13968" t="str">
        <f>HYPERLINK("https://www.773grp.com/globalSearch/NCP4626DMX033TCG/page-1", "NCP4626DMX033TCG")</f>
        <v>NCP4626DMX033TCG</v>
      </c>
      <c r="B13968" s="3" t="str">
        <f>HYPERLINK("https://www.773grp.com/manufacturer/onsemi?pageNo=487", "Onsemi")</f>
        <v>Onsemi</v>
      </c>
      <c r="C13968" s="6">
        <v>15000</v>
      </c>
      <c r="D13968" s="7">
        <v>2.64</v>
      </c>
    </row>
    <row r="13969" spans="1:5" x14ac:dyDescent="0.25">
      <c r="A13969" t="str">
        <f>HYPERLINK("https://www.773grp.com/globalSearch/NCP4626DMX050TCG/page-1", "NCP4626DMX050TCG")</f>
        <v>NCP4626DMX050TCG</v>
      </c>
      <c r="B13969" s="3" t="str">
        <f>HYPERLINK("https://www.773grp.com/manufacturer/onsemi?pageNo=488", "Onsemi")</f>
        <v>Onsemi</v>
      </c>
      <c r="C13969" s="6">
        <v>5000</v>
      </c>
      <c r="D13969" s="7">
        <v>2.64</v>
      </c>
    </row>
    <row r="13970" spans="1:5" x14ac:dyDescent="0.25">
      <c r="A13970" t="str">
        <f>HYPERLINK("https://www.773grp.com/globalSearch/NCP4626HMX033TCG/page-1", "NCP4626HMX033TCG")</f>
        <v>NCP4626HMX033TCG</v>
      </c>
      <c r="B13970" s="3" t="str">
        <f>HYPERLINK("https://www.773grp.com/manufacturer/onsemi?pageNo=489", "Onsemi")</f>
        <v>Onsemi</v>
      </c>
      <c r="C13970" s="6">
        <v>5000</v>
      </c>
      <c r="D13970" s="7">
        <v>2.64</v>
      </c>
    </row>
    <row r="13971" spans="1:5" x14ac:dyDescent="0.25">
      <c r="A13971" t="str">
        <f>HYPERLINK("https://www.773grp.com/globalSearch/NCP4672DR2G/page-1", "NCP4672DR2G")</f>
        <v>NCP4672DR2G</v>
      </c>
      <c r="B13971" s="3" t="str">
        <f>HYPERLINK("https://www.773grp.com/manufacturer/onsemi?pageNo=490", "Onsemi")</f>
        <v>Onsemi</v>
      </c>
      <c r="C13971" s="6">
        <v>417430</v>
      </c>
      <c r="D13971" s="7">
        <v>2.64</v>
      </c>
      <c r="E13971" t="s">
        <v>96</v>
      </c>
    </row>
    <row r="13972" spans="1:5" x14ac:dyDescent="0.25">
      <c r="A13972" t="str">
        <f>HYPERLINK("https://www.773grp.com/globalSearch/NCP5080MUTXG/page-1", "NCP5080MUTXG")</f>
        <v>NCP5080MUTXG</v>
      </c>
      <c r="B13972" s="3" t="str">
        <f>HYPERLINK("https://www.773grp.com/manufacturer/onsemi?pageNo=491", "Onsemi")</f>
        <v>Onsemi</v>
      </c>
      <c r="C13972" s="6">
        <v>56300</v>
      </c>
      <c r="D13972" s="7">
        <v>2.64</v>
      </c>
      <c r="E13972" t="s">
        <v>5</v>
      </c>
    </row>
    <row r="13973" spans="1:5" x14ac:dyDescent="0.25">
      <c r="A13973" t="str">
        <f>HYPERLINK("https://www.773grp.com/globalSearch/NCP5603MNR2G/page-1", "NCP5603MNR2G")</f>
        <v>NCP5603MNR2G</v>
      </c>
      <c r="B13973" s="3" t="str">
        <f>HYPERLINK("https://www.773grp.com/manufacturer/onsemi?pageNo=492", "Onsemi")</f>
        <v>Onsemi</v>
      </c>
      <c r="C13973" s="6">
        <v>288867</v>
      </c>
      <c r="D13973" s="7">
        <v>2.64</v>
      </c>
      <c r="E13973" t="s">
        <v>7</v>
      </c>
    </row>
    <row r="13974" spans="1:5" x14ac:dyDescent="0.25">
      <c r="A13974" t="str">
        <f>HYPERLINK("https://www.773grp.com/globalSearch/NCP630AD2TG/page-1", "NCP630AD2TG")</f>
        <v>NCP630AD2TG</v>
      </c>
      <c r="B13974" s="3" t="str">
        <f>HYPERLINK("https://www.773grp.com/manufacturer/onsemi?pageNo=493", "Onsemi")</f>
        <v>Onsemi</v>
      </c>
      <c r="C13974" s="6">
        <v>250</v>
      </c>
      <c r="D13974" s="7">
        <v>2.64</v>
      </c>
    </row>
    <row r="13975" spans="1:5" x14ac:dyDescent="0.25">
      <c r="A13975" t="str">
        <f>HYPERLINK("https://www.773grp.com/globalSearch/NCP630AD2TR4G/page-1", "NCP630AD2TR4G")</f>
        <v>NCP630AD2TR4G</v>
      </c>
      <c r="B13975" s="3" t="str">
        <f>HYPERLINK("https://www.773grp.com/manufacturer/onsemi?pageNo=494", "Onsemi")</f>
        <v>Onsemi</v>
      </c>
      <c r="C13975" s="6">
        <v>5097</v>
      </c>
      <c r="D13975" s="7">
        <v>2.64</v>
      </c>
      <c r="E13975" t="s">
        <v>21</v>
      </c>
    </row>
    <row r="13976" spans="1:5" x14ac:dyDescent="0.25">
      <c r="A13976" t="str">
        <f>HYPERLINK("https://www.773grp.com/globalSearch/NCP630GD2TG/page-1", "NCP630GD2TG")</f>
        <v>NCP630GD2TG</v>
      </c>
      <c r="B13976" s="3" t="str">
        <f>HYPERLINK("https://www.773grp.com/manufacturer/onsemi?pageNo=495", "Onsemi")</f>
        <v>Onsemi</v>
      </c>
      <c r="C13976" s="6">
        <v>2550</v>
      </c>
      <c r="D13976" s="7">
        <v>2.64</v>
      </c>
      <c r="E13976" t="s">
        <v>15</v>
      </c>
    </row>
    <row r="13977" spans="1:5" x14ac:dyDescent="0.25">
      <c r="A13977" t="str">
        <f>HYPERLINK("https://www.773grp.com/globalSearch/NCP630GD2TR4G/page-1", "NCP630GD2TR4G")</f>
        <v>NCP630GD2TR4G</v>
      </c>
      <c r="B13977" s="3" t="str">
        <f>HYPERLINK("https://www.773grp.com/manufacturer/onsemi?pageNo=496", "Onsemi")</f>
        <v>Onsemi</v>
      </c>
      <c r="C13977" s="6">
        <v>2353</v>
      </c>
      <c r="D13977" s="7">
        <v>2.64</v>
      </c>
      <c r="E13977" t="s">
        <v>15</v>
      </c>
    </row>
    <row r="13978" spans="1:5" x14ac:dyDescent="0.25">
      <c r="A13978" t="str">
        <f>HYPERLINK("https://www.773grp.com/globalSearch/NCP694D08HT1G/page-1", "NCP694D08HT1G")</f>
        <v>NCP694D08HT1G</v>
      </c>
      <c r="B13978" s="3" t="str">
        <f>HYPERLINK("https://www.773grp.com/manufacturer/onsemi?pageNo=497", "Onsemi")</f>
        <v>Onsemi</v>
      </c>
      <c r="C13978" s="6">
        <v>4500</v>
      </c>
      <c r="D13978" s="7">
        <v>2.64</v>
      </c>
      <c r="E13978" t="s">
        <v>15</v>
      </c>
    </row>
    <row r="13979" spans="1:5" x14ac:dyDescent="0.25">
      <c r="A13979" t="str">
        <f>HYPERLINK("https://www.773grp.com/globalSearch/NCP694D10HT1G/page-1", "NCP694D10HT1G")</f>
        <v>NCP694D10HT1G</v>
      </c>
      <c r="B13979" s="3" t="str">
        <f>HYPERLINK("https://www.773grp.com/manufacturer/onsemi?pageNo=498", "Onsemi")</f>
        <v>Onsemi</v>
      </c>
      <c r="C13979" s="6">
        <v>1000</v>
      </c>
      <c r="D13979" s="7">
        <v>2.64</v>
      </c>
      <c r="E13979" t="s">
        <v>15</v>
      </c>
    </row>
    <row r="13980" spans="1:5" x14ac:dyDescent="0.25">
      <c r="A13980" t="str">
        <f>HYPERLINK("https://www.773grp.com/globalSearch/NCP694D12HT1G/page-1", "NCP694D12HT1G")</f>
        <v>NCP694D12HT1G</v>
      </c>
      <c r="B13980" s="3" t="str">
        <f>HYPERLINK("https://www.773grp.com/manufacturer/onsemi?pageNo=499", "Onsemi")</f>
        <v>Onsemi</v>
      </c>
      <c r="C13980" s="6">
        <v>4650</v>
      </c>
      <c r="D13980" s="7">
        <v>2.64</v>
      </c>
      <c r="E13980" t="s">
        <v>15</v>
      </c>
    </row>
    <row r="13981" spans="1:5" x14ac:dyDescent="0.25">
      <c r="A13981" t="str">
        <f>HYPERLINK("https://www.773grp.com/globalSearch/NCP694D25HT1G/page-1", "NCP694D25HT1G")</f>
        <v>NCP694D25HT1G</v>
      </c>
      <c r="B13981" s="3" t="str">
        <f>HYPERLINK("https://www.773grp.com/manufacturer/onsemi?pageNo=500", "Onsemi")</f>
        <v>Onsemi</v>
      </c>
      <c r="C13981" s="6">
        <v>2000</v>
      </c>
      <c r="D13981" s="7">
        <v>2.64</v>
      </c>
      <c r="E13981" t="s">
        <v>15</v>
      </c>
    </row>
    <row r="13982" spans="1:5" x14ac:dyDescent="0.25">
      <c r="A13982" t="str">
        <f>HYPERLINK("https://www.773grp.com/globalSearch/NCP694H08HT1G/page-1", "NCP694H08HT1G")</f>
        <v>NCP694H08HT1G</v>
      </c>
      <c r="B13982" s="3" t="str">
        <f>HYPERLINK("https://www.773grp.com/manufacturer/onsemi?pageNo=501", "Onsemi")</f>
        <v>Onsemi</v>
      </c>
      <c r="C13982" s="6">
        <v>3000</v>
      </c>
      <c r="D13982" s="7">
        <v>2.64</v>
      </c>
      <c r="E13982" t="s">
        <v>15</v>
      </c>
    </row>
    <row r="13983" spans="1:5" x14ac:dyDescent="0.25">
      <c r="A13983" t="str">
        <f>HYPERLINK("https://www.773grp.com/globalSearch/NCP694H10HT1G/page-1", "NCP694H10HT1G")</f>
        <v>NCP694H10HT1G</v>
      </c>
      <c r="B13983" s="3" t="str">
        <f>HYPERLINK("https://www.773grp.com/manufacturer/onsemi?pageNo=502", "Onsemi")</f>
        <v>Onsemi</v>
      </c>
      <c r="C13983" s="6">
        <v>1000</v>
      </c>
      <c r="D13983" s="7">
        <v>2.64</v>
      </c>
    </row>
    <row r="13984" spans="1:5" x14ac:dyDescent="0.25">
      <c r="A13984" t="str">
        <f>HYPERLINK("https://www.773grp.com/globalSearch/NCP694H12HT1G/page-1", "NCP694H12HT1G")</f>
        <v>NCP694H12HT1G</v>
      </c>
      <c r="B13984" s="3" t="str">
        <f>HYPERLINK("https://www.773grp.com/manufacturer/onsemi?pageNo=503", "Onsemi")</f>
        <v>Onsemi</v>
      </c>
      <c r="C13984" s="6">
        <v>3995</v>
      </c>
      <c r="D13984" s="7">
        <v>2.64</v>
      </c>
      <c r="E13984" t="s">
        <v>15</v>
      </c>
    </row>
    <row r="13985" spans="1:5" x14ac:dyDescent="0.25">
      <c r="A13985" t="str">
        <f>HYPERLINK("https://www.773grp.com/globalSearch/NCP694H25HT1G/page-1", "NCP694H25HT1G")</f>
        <v>NCP694H25HT1G</v>
      </c>
      <c r="B13985" s="3" t="str">
        <f>HYPERLINK("https://www.773grp.com/manufacturer/onsemi?pageNo=504", "Onsemi")</f>
        <v>Onsemi</v>
      </c>
      <c r="C13985" s="6">
        <v>6000</v>
      </c>
      <c r="D13985" s="7">
        <v>2.64</v>
      </c>
      <c r="E13985" t="s">
        <v>15</v>
      </c>
    </row>
    <row r="13986" spans="1:5" x14ac:dyDescent="0.25">
      <c r="A13986" t="str">
        <f>HYPERLINK("https://www.773grp.com/globalSearch/NCS6433DR2G/page-1", "NCS6433DR2G")</f>
        <v>NCS6433DR2G</v>
      </c>
      <c r="B13986" s="3" t="str">
        <f>HYPERLINK("https://www.773grp.com/manufacturer/onsemi?pageNo=505", "Onsemi")</f>
        <v>Onsemi</v>
      </c>
      <c r="C13986" s="6">
        <v>16796</v>
      </c>
      <c r="D13986" s="7">
        <v>2.64</v>
      </c>
      <c r="E13986" t="s">
        <v>46</v>
      </c>
    </row>
    <row r="13987" spans="1:5" x14ac:dyDescent="0.25">
      <c r="A13987" t="str">
        <f>HYPERLINK("https://www.773grp.com/globalSearch/NCS6433DTBR2G/page-1", "NCS6433DTBR2G")</f>
        <v>NCS6433DTBR2G</v>
      </c>
      <c r="B13987" s="3" t="str">
        <f>HYPERLINK("https://www.773grp.com/manufacturer/onsemi?pageNo=506", "Onsemi")</f>
        <v>Onsemi</v>
      </c>
      <c r="C13987" s="6">
        <v>50032</v>
      </c>
      <c r="D13987" s="7">
        <v>2.64</v>
      </c>
      <c r="E13987" t="s">
        <v>46</v>
      </c>
    </row>
    <row r="13988" spans="1:5" x14ac:dyDescent="0.25">
      <c r="A13988" t="str">
        <f>HYPERLINK("https://www.773grp.com/globalSearch/NCV3065MNTXG/page-1", "NCV3065MNTXG")</f>
        <v>NCV3065MNTXG</v>
      </c>
      <c r="B13988" s="3" t="str">
        <f>HYPERLINK("https://www.773grp.com/manufacturer/onsemi?pageNo=507", "Onsemi")</f>
        <v>Onsemi</v>
      </c>
      <c r="C13988" s="6">
        <v>2254</v>
      </c>
      <c r="D13988" s="7">
        <v>2.64</v>
      </c>
      <c r="E13988" t="s">
        <v>7</v>
      </c>
    </row>
    <row r="13989" spans="1:5" x14ac:dyDescent="0.25">
      <c r="A13989" t="str">
        <f>HYPERLINK("https://www.773grp.com/globalSearch/NCV3066DR2G/page-1", "NCV3066DR2G")</f>
        <v>NCV3066DR2G</v>
      </c>
      <c r="B13989" s="3" t="str">
        <f>HYPERLINK("https://www.773grp.com/manufacturer/onsemi?pageNo=508", "Onsemi")</f>
        <v>Onsemi</v>
      </c>
      <c r="C13989" s="6">
        <v>7756</v>
      </c>
      <c r="D13989" s="7">
        <v>2.64</v>
      </c>
    </row>
    <row r="13990" spans="1:5" x14ac:dyDescent="0.25">
      <c r="A13990" t="str">
        <f>HYPERLINK("https://www.773grp.com/globalSearch/NCV3066PG/page-1", "NCV3066PG")</f>
        <v>NCV3066PG</v>
      </c>
      <c r="B13990" s="3" t="str">
        <f>HYPERLINK("https://www.773grp.com/manufacturer/onsemi?pageNo=509", "Onsemi")</f>
        <v>Onsemi</v>
      </c>
      <c r="C13990" s="6">
        <v>11700</v>
      </c>
      <c r="D13990" s="7">
        <v>2.64</v>
      </c>
      <c r="E13990" t="s">
        <v>5</v>
      </c>
    </row>
    <row r="13991" spans="1:5" x14ac:dyDescent="0.25">
      <c r="A13991" t="str">
        <f>HYPERLINK("https://www.773grp.com/globalSearch/NCV33152DR2G/page-1", "NCV33152DR2G")</f>
        <v>NCV33152DR2G</v>
      </c>
      <c r="B13991" s="3" t="str">
        <f>HYPERLINK("https://www.773grp.com/manufacturer/onsemi?pageNo=510", "Onsemi")</f>
        <v>Onsemi</v>
      </c>
      <c r="C13991" s="6">
        <v>2500</v>
      </c>
      <c r="D13991" s="7">
        <v>2.64</v>
      </c>
    </row>
    <row r="13992" spans="1:5" x14ac:dyDescent="0.25">
      <c r="A13992" t="str">
        <f>HYPERLINK("https://www.773grp.com/globalSearch/NCV4269AD150R2G/page-1", "NCV4269AD150R2G")</f>
        <v>NCV4269AD150R2G</v>
      </c>
      <c r="B13992" s="3" t="str">
        <f>HYPERLINK("https://www.773grp.com/manufacturer/onsemi?pageNo=511", "Onsemi")</f>
        <v>Onsemi</v>
      </c>
      <c r="C13992" s="6">
        <v>7500</v>
      </c>
      <c r="D13992" s="7">
        <v>2.64</v>
      </c>
    </row>
    <row r="13993" spans="1:5" x14ac:dyDescent="0.25">
      <c r="A13993" t="str">
        <f>HYPERLINK("https://www.773grp.com/globalSearch/NCV4275ADT33RKG/page-1", "NCV4275ADT33RKG")</f>
        <v>NCV4275ADT33RKG</v>
      </c>
      <c r="B13993" s="3" t="str">
        <f>HYPERLINK("https://www.773grp.com/manufacturer/onsemi?pageNo=512", "Onsemi")</f>
        <v>Onsemi</v>
      </c>
      <c r="C13993" s="6">
        <v>30</v>
      </c>
      <c r="D13993" s="7">
        <v>2.64</v>
      </c>
      <c r="E13993" t="s">
        <v>15</v>
      </c>
    </row>
    <row r="13994" spans="1:5" x14ac:dyDescent="0.25">
      <c r="A13994" t="str">
        <f>HYPERLINK("https://www.773grp.com/globalSearch/NCV4275ADT50RKG/page-1", "NCV4275ADT50RKG")</f>
        <v>NCV4275ADT50RKG</v>
      </c>
      <c r="B13994" s="3" t="str">
        <f>HYPERLINK("https://www.773grp.com/manufacturer/onsemi?pageNo=513", "Onsemi")</f>
        <v>Onsemi</v>
      </c>
      <c r="C13994" s="6">
        <v>12350</v>
      </c>
      <c r="D13994" s="7">
        <v>2.64</v>
      </c>
      <c r="E13994" t="s">
        <v>15</v>
      </c>
    </row>
    <row r="13995" spans="1:5" x14ac:dyDescent="0.25">
      <c r="A13995" t="str">
        <f>HYPERLINK("https://www.773grp.com/globalSearch/NCV8184DG/page-1", "NCV8184DG")</f>
        <v>NCV8184DG</v>
      </c>
      <c r="B13995" s="3" t="str">
        <f>HYPERLINK("https://www.773grp.com/manufacturer/onsemi?pageNo=514", "Onsemi")</f>
        <v>Onsemi</v>
      </c>
      <c r="C13995" s="6">
        <v>1636</v>
      </c>
      <c r="D13995" s="7">
        <v>2.64</v>
      </c>
      <c r="E13995" t="s">
        <v>21</v>
      </c>
    </row>
    <row r="13996" spans="1:5" x14ac:dyDescent="0.25">
      <c r="A13996" t="str">
        <f>HYPERLINK("https://www.773grp.com/globalSearch/NCV8184DR2G/page-1", "NCV8184DR2G")</f>
        <v>NCV8184DR2G</v>
      </c>
      <c r="B13996" s="3" t="str">
        <f>HYPERLINK("https://www.773grp.com/manufacturer/onsemi?pageNo=515", "Onsemi")</f>
        <v>Onsemi</v>
      </c>
      <c r="C13996" s="6">
        <v>14095</v>
      </c>
      <c r="D13996" s="7">
        <v>2.64</v>
      </c>
      <c r="E13996" t="s">
        <v>21</v>
      </c>
    </row>
    <row r="13997" spans="1:5" x14ac:dyDescent="0.25">
      <c r="A13997" t="str">
        <f>HYPERLINK("https://www.773grp.com/globalSearch/NID5004NT4G/page-1", "NID5004NT4G")</f>
        <v>NID5004NT4G</v>
      </c>
      <c r="B13997" s="3" t="str">
        <f>HYPERLINK("https://www.773grp.com/manufacturer/onsemi?pageNo=516", "Onsemi")</f>
        <v>Onsemi</v>
      </c>
      <c r="C13997" s="6">
        <v>9900</v>
      </c>
      <c r="D13997" s="7">
        <v>2.64</v>
      </c>
    </row>
    <row r="13998" spans="1:5" x14ac:dyDescent="0.25">
      <c r="A13998" t="str">
        <f>HYPERLINK("https://www.773grp.com/globalSearch/NIMD6001NR2G/page-1", "NIMD6001NR2G")</f>
        <v>NIMD6001NR2G</v>
      </c>
      <c r="B13998" s="3" t="str">
        <f>HYPERLINK("https://www.773grp.com/manufacturer/onsemi?pageNo=517", "Onsemi")</f>
        <v>Onsemi</v>
      </c>
      <c r="C13998" s="6">
        <v>17300</v>
      </c>
      <c r="D13998" s="7">
        <v>2.64</v>
      </c>
      <c r="E13998" t="s">
        <v>8</v>
      </c>
    </row>
    <row r="13999" spans="1:5" x14ac:dyDescent="0.25">
      <c r="A13999" t="str">
        <f>HYPERLINK("https://www.773grp.com/globalSearch/NLAS44599DTG/page-1", "NLAS44599DTG")</f>
        <v>NLAS44599DTG</v>
      </c>
      <c r="B13999" s="3" t="str">
        <f>HYPERLINK("https://www.773grp.com/manufacturer/onsemi?pageNo=518", "Onsemi")</f>
        <v>Onsemi</v>
      </c>
      <c r="C13999" s="6">
        <v>4</v>
      </c>
      <c r="D13999" s="7">
        <v>2.64</v>
      </c>
    </row>
    <row r="14000" spans="1:5" x14ac:dyDescent="0.25">
      <c r="A14000" t="str">
        <f>HYPERLINK("https://www.773grp.com/globalSearch/NLAS44599DTR2/page-1", "NLAS44599DTR2")</f>
        <v>NLAS44599DTR2</v>
      </c>
      <c r="B14000" s="3" t="str">
        <f>HYPERLINK("https://www.773grp.com/manufacturer/onsemi?pageNo=519", "Onsemi")</f>
        <v>Onsemi</v>
      </c>
      <c r="C14000" s="6">
        <v>1878</v>
      </c>
      <c r="D14000" s="7">
        <v>2.64</v>
      </c>
      <c r="E14000" t="s">
        <v>46</v>
      </c>
    </row>
    <row r="14001" spans="1:5" x14ac:dyDescent="0.25">
      <c r="A14001" t="str">
        <f>HYPERLINK("https://www.773grp.com/globalSearch/NLAS4685FCT1G/page-1", "NLAS4685FCT1G")</f>
        <v>NLAS4685FCT1G</v>
      </c>
      <c r="B14001" s="3" t="str">
        <f>HYPERLINK("https://www.773grp.com/manufacturer/onsemi?pageNo=520", "Onsemi")</f>
        <v>Onsemi</v>
      </c>
      <c r="C14001" s="6">
        <v>41780</v>
      </c>
      <c r="D14001" s="7">
        <v>2.64</v>
      </c>
      <c r="E14001" t="s">
        <v>46</v>
      </c>
    </row>
    <row r="14002" spans="1:5" x14ac:dyDescent="0.25">
      <c r="A14002" t="str">
        <f>HYPERLINK("https://www.773grp.com/globalSearch/NLAST44599DTG/page-1", "NLAST44599DTG")</f>
        <v>NLAST44599DTG</v>
      </c>
      <c r="B14002" s="3" t="str">
        <f>HYPERLINK("https://www.773grp.com/manufacturer/onsemi?pageNo=521", "Onsemi")</f>
        <v>Onsemi</v>
      </c>
      <c r="C14002" s="6">
        <v>25920</v>
      </c>
      <c r="D14002" s="7">
        <v>2.64</v>
      </c>
      <c r="E14002" t="s">
        <v>46</v>
      </c>
    </row>
    <row r="14003" spans="1:5" x14ac:dyDescent="0.25">
      <c r="A14003" t="str">
        <f>HYPERLINK("https://www.773grp.com/globalSearch/NLAST44599DTR2G/page-1", "NLAST44599DTR2G")</f>
        <v>NLAST44599DTR2G</v>
      </c>
      <c r="B14003" s="3" t="str">
        <f>HYPERLINK("https://www.773grp.com/manufacturer/onsemi?pageNo=522", "Onsemi")</f>
        <v>Onsemi</v>
      </c>
      <c r="C14003" s="6">
        <v>10145</v>
      </c>
      <c r="D14003" s="7">
        <v>2.64</v>
      </c>
      <c r="E14003" t="s">
        <v>46</v>
      </c>
    </row>
    <row r="14004" spans="1:5" x14ac:dyDescent="0.25">
      <c r="A14004" t="str">
        <f>HYPERLINK("https://www.773grp.com/globalSearch/NLSF308MNR2G/page-1", "NLSF308MNR2G")</f>
        <v>NLSF308MNR2G</v>
      </c>
      <c r="B14004" s="3" t="str">
        <f>HYPERLINK("https://www.773grp.com/manufacturer/onsemi?pageNo=523", "Onsemi")</f>
        <v>Onsemi</v>
      </c>
      <c r="C14004" s="6">
        <v>11000</v>
      </c>
      <c r="D14004" s="7">
        <v>2.64</v>
      </c>
      <c r="E14004" t="s">
        <v>27</v>
      </c>
    </row>
    <row r="14005" spans="1:5" x14ac:dyDescent="0.25">
      <c r="A14005" t="str">
        <f>HYPERLINK("https://www.773grp.com/globalSearch/NLSF3T125MNR2G/page-1", "NLSF3T125MNR2G")</f>
        <v>NLSF3T125MNR2G</v>
      </c>
      <c r="B14005" s="3" t="str">
        <f>HYPERLINK("https://www.773grp.com/manufacturer/onsemi?pageNo=524", "Onsemi")</f>
        <v>Onsemi</v>
      </c>
      <c r="C14005" s="6">
        <v>600565</v>
      </c>
      <c r="D14005" s="7">
        <v>2.64</v>
      </c>
      <c r="E14005" t="s">
        <v>11</v>
      </c>
    </row>
    <row r="14006" spans="1:5" x14ac:dyDescent="0.25">
      <c r="A14006" t="str">
        <f>HYPERLINK("https://www.773grp.com/globalSearch/NLSF3T126MNR2G/page-1", "NLSF3T126MNR2G")</f>
        <v>NLSF3T126MNR2G</v>
      </c>
      <c r="B14006" s="3" t="str">
        <f>HYPERLINK("https://www.773grp.com/manufacturer/onsemi?pageNo=525", "Onsemi")</f>
        <v>Onsemi</v>
      </c>
      <c r="C14006" s="6">
        <v>27700</v>
      </c>
      <c r="D14006" s="7">
        <v>2.64</v>
      </c>
      <c r="E14006" t="s">
        <v>11</v>
      </c>
    </row>
    <row r="14007" spans="1:5" x14ac:dyDescent="0.25">
      <c r="A14007" t="str">
        <f>HYPERLINK("https://www.773grp.com/globalSearch/NTB25P06T4/page-1", "NTB25P06T4")</f>
        <v>NTB25P06T4</v>
      </c>
      <c r="B14007" s="3" t="str">
        <f>HYPERLINK("https://www.773grp.com/manufacturer/onsemi?pageNo=526", "Onsemi")</f>
        <v>Onsemi</v>
      </c>
      <c r="C14007" s="6">
        <v>3260</v>
      </c>
      <c r="D14007" s="7">
        <v>2.64</v>
      </c>
      <c r="E14007" t="s">
        <v>84</v>
      </c>
    </row>
    <row r="14008" spans="1:5" x14ac:dyDescent="0.25">
      <c r="A14008" t="str">
        <f>HYPERLINK("https://www.773grp.com/globalSearch/NTLTS3107PR2G/page-1", "NTLTS3107PR2G")</f>
        <v>NTLTS3107PR2G</v>
      </c>
      <c r="B14008" s="3" t="str">
        <f>HYPERLINK("https://www.773grp.com/manufacturer/onsemi?pageNo=527", "Onsemi")</f>
        <v>Onsemi</v>
      </c>
      <c r="C14008" s="6">
        <v>3000</v>
      </c>
      <c r="D14008" s="7">
        <v>2.64</v>
      </c>
    </row>
    <row r="14009" spans="1:5" x14ac:dyDescent="0.25">
      <c r="A14009" t="str">
        <f>HYPERLINK("https://www.773grp.com/globalSearch/NUF2900MNT1G/page-1", "NUF2900MNT1G")</f>
        <v>NUF2900MNT1G</v>
      </c>
      <c r="B14009" s="3" t="str">
        <f>HYPERLINK("https://www.773grp.com/manufacturer/onsemi?pageNo=528", "Onsemi")</f>
        <v>Onsemi</v>
      </c>
      <c r="C14009" s="6">
        <v>8085</v>
      </c>
      <c r="D14009" s="7">
        <v>2.64</v>
      </c>
      <c r="E14009" t="s">
        <v>79</v>
      </c>
    </row>
    <row r="14010" spans="1:5" x14ac:dyDescent="0.25">
      <c r="A14010" t="str">
        <f>HYPERLINK("https://www.773grp.com/globalSearch/NUF9001FCT1G/page-1", "NUF9001FCT1G")</f>
        <v>NUF9001FCT1G</v>
      </c>
      <c r="B14010" s="3" t="str">
        <f>HYPERLINK("https://www.773grp.com/manufacturer/onsemi?pageNo=529", "Onsemi")</f>
        <v>Onsemi</v>
      </c>
      <c r="C14010" s="6">
        <v>929690</v>
      </c>
      <c r="D14010" s="7">
        <v>2.64</v>
      </c>
      <c r="E14010" t="s">
        <v>79</v>
      </c>
    </row>
    <row r="14011" spans="1:5" x14ac:dyDescent="0.25">
      <c r="A14011" t="str">
        <f>HYPERLINK("https://www.773grp.com/globalSearch/NUF9002FCT1G/page-1", "NUF9002FCT1G")</f>
        <v>NUF9002FCT1G</v>
      </c>
      <c r="B14011" s="3" t="str">
        <f>HYPERLINK("https://www.773grp.com/manufacturer/onsemi?pageNo=530", "Onsemi")</f>
        <v>Onsemi</v>
      </c>
      <c r="C14011" s="6">
        <v>957391</v>
      </c>
      <c r="D14011" s="7">
        <v>2.64</v>
      </c>
      <c r="E14011" t="s">
        <v>79</v>
      </c>
    </row>
    <row r="14012" spans="1:5" x14ac:dyDescent="0.25">
      <c r="A14012" t="str">
        <f>HYPERLINK("https://www.773grp.com/globalSearch/NUP4201DR2G/page-1", "NUP4201DR2G")</f>
        <v>NUP4201DR2G</v>
      </c>
      <c r="B14012" s="3" t="str">
        <f>HYPERLINK("https://www.773grp.com/manufacturer/onsemi?pageNo=531", "Onsemi")</f>
        <v>Onsemi</v>
      </c>
      <c r="C14012" s="6">
        <v>4550</v>
      </c>
      <c r="D14012" s="7">
        <v>2.64</v>
      </c>
      <c r="E14012" t="s">
        <v>75</v>
      </c>
    </row>
    <row r="14013" spans="1:5" x14ac:dyDescent="0.25">
      <c r="A14013" t="str">
        <f>HYPERLINK("https://www.773grp.com/globalSearch/NUS3045MNT1G/page-1", "NUS3045MNT1G")</f>
        <v>NUS3045MNT1G</v>
      </c>
      <c r="B14013" s="3" t="str">
        <f>HYPERLINK("https://www.773grp.com/manufacturer/onsemi?pageNo=532", "Onsemi")</f>
        <v>Onsemi</v>
      </c>
      <c r="C14013" s="6">
        <v>1450</v>
      </c>
      <c r="D14013" s="7">
        <v>2.64</v>
      </c>
      <c r="E14013" t="s">
        <v>26</v>
      </c>
    </row>
    <row r="14014" spans="1:5" x14ac:dyDescent="0.25">
      <c r="A14014" t="str">
        <f>HYPERLINK("https://www.773grp.com/globalSearch/NUS3046MNT1G/page-1", "NUS3046MNT1G")</f>
        <v>NUS3046MNT1G</v>
      </c>
      <c r="B14014" s="3" t="str">
        <f>HYPERLINK("https://www.773grp.com/manufacturer/onsemi?pageNo=533", "Onsemi")</f>
        <v>Onsemi</v>
      </c>
      <c r="C14014" s="6">
        <v>182720</v>
      </c>
      <c r="D14014" s="7">
        <v>2.64</v>
      </c>
      <c r="E14014" t="s">
        <v>26</v>
      </c>
    </row>
    <row r="14015" spans="1:5" x14ac:dyDescent="0.25">
      <c r="A14015" t="str">
        <f>HYPERLINK("https://www.773grp.com/globalSearch/NUS3116MTR2G/page-1", "NUS3116MTR2G")</f>
        <v>NUS3116MTR2G</v>
      </c>
      <c r="B14015" s="3" t="str">
        <f>HYPERLINK("https://www.773grp.com/manufacturer/onsemi?pageNo=534", "Onsemi")</f>
        <v>Onsemi</v>
      </c>
      <c r="C14015" s="6">
        <v>62795</v>
      </c>
      <c r="D14015" s="7">
        <v>2.64</v>
      </c>
      <c r="E14015" t="s">
        <v>85</v>
      </c>
    </row>
    <row r="14016" spans="1:5" x14ac:dyDescent="0.25">
      <c r="A14016" t="str">
        <f>HYPERLINK("https://www.773grp.com/globalSearch/P3P85R01AG-08CR/page-1", "P3P85R01AG-08CR")</f>
        <v>P3P85R01AG-08CR</v>
      </c>
      <c r="B14016" s="3" t="str">
        <f>HYPERLINK("https://www.773grp.com/manufacturer/onsemi?pageNo=535", "Onsemi")</f>
        <v>Onsemi</v>
      </c>
      <c r="C14016" s="6">
        <v>6000</v>
      </c>
      <c r="D14016" s="7">
        <v>2.64</v>
      </c>
    </row>
    <row r="14017" spans="1:5" x14ac:dyDescent="0.25">
      <c r="A14017" t="str">
        <f>HYPERLINK("https://www.773grp.com/globalSearch/SBRB2545CT/page-1", "SBRB2545CT")</f>
        <v>SBRB2545CT</v>
      </c>
      <c r="B14017" s="3" t="str">
        <f>HYPERLINK("https://www.773grp.com/manufacturer/onsemi?pageNo=536", "Onsemi")</f>
        <v>Onsemi</v>
      </c>
      <c r="C14017" s="6">
        <v>6100</v>
      </c>
      <c r="D14017" s="7">
        <v>2.64</v>
      </c>
    </row>
    <row r="14018" spans="1:5" x14ac:dyDescent="0.25">
      <c r="A14018" t="str">
        <f>HYPERLINK("https://www.773grp.com/globalSearch/SG3525ANG/page-1", "SG3525ANG")</f>
        <v>SG3525ANG</v>
      </c>
      <c r="B14018" s="3" t="str">
        <f>HYPERLINK("https://www.773grp.com/manufacturer/onsemi?pageNo=537", "Onsemi")</f>
        <v>Onsemi</v>
      </c>
      <c r="C14018" s="6">
        <v>21458</v>
      </c>
      <c r="D14018" s="7">
        <v>2.64</v>
      </c>
      <c r="E14018" t="s">
        <v>5</v>
      </c>
    </row>
    <row r="14019" spans="1:5" x14ac:dyDescent="0.25">
      <c r="A14019" t="str">
        <f>HYPERLINK("https://www.773grp.com/globalSearch/SR4461/page-1", "SR4461")</f>
        <v>SR4461</v>
      </c>
      <c r="B14019" s="3" t="str">
        <f>HYPERLINK("https://www.773grp.com/manufacturer/onsemi?pageNo=538", "Onsemi")</f>
        <v>Onsemi</v>
      </c>
      <c r="C14019" s="6">
        <v>60000</v>
      </c>
      <c r="D14019" s="7">
        <v>2.64</v>
      </c>
    </row>
    <row r="14020" spans="1:5" x14ac:dyDescent="0.25">
      <c r="A14020" t="str">
        <f>HYPERLINK("https://www.773grp.com/globalSearch/TL0645VN/page-1", "TL0645VN")</f>
        <v>TL0645VN</v>
      </c>
      <c r="B14020" s="3" t="str">
        <f>HYPERLINK("https://www.773grp.com/manufacturer/onsemi?pageNo=539", "Onsemi")</f>
        <v>Onsemi</v>
      </c>
      <c r="C14020" s="6">
        <v>438</v>
      </c>
      <c r="D14020" s="7">
        <v>2.64</v>
      </c>
    </row>
    <row r="14021" spans="1:5" x14ac:dyDescent="0.25">
      <c r="A14021" t="str">
        <f>HYPERLINK("https://www.773grp.com/globalSearch/UC3843AD2/page-1", "UC3843AD2")</f>
        <v>UC3843AD2</v>
      </c>
      <c r="B14021" s="3" t="str">
        <f>HYPERLINK("https://www.773grp.com/manufacturer/onsemi?pageNo=540", "Onsemi")</f>
        <v>Onsemi</v>
      </c>
      <c r="C14021" s="6">
        <v>320</v>
      </c>
      <c r="D14021" s="7">
        <v>2.64</v>
      </c>
    </row>
    <row r="14022" spans="1:5" x14ac:dyDescent="0.25">
      <c r="A14022" t="str">
        <f>HYPERLINK("https://www.773grp.com/globalSearch/ADP3211MNR2G/page-1", "ADP3211MNR2G")</f>
        <v>ADP3211MNR2G</v>
      </c>
      <c r="B14022" s="3" t="str">
        <f>HYPERLINK("https://www.773grp.com/manufacturer/onsemi?pageNo=541", "Onsemi")</f>
        <v>Onsemi</v>
      </c>
      <c r="C14022" s="6">
        <v>15000</v>
      </c>
      <c r="D14022" s="7">
        <v>2.69</v>
      </c>
      <c r="E14022" t="s">
        <v>5</v>
      </c>
    </row>
    <row r="14023" spans="1:5" x14ac:dyDescent="0.25">
      <c r="A14023" t="str">
        <f>HYPERLINK("https://www.773grp.com/globalSearch/CAT25256XI/page-1", "CAT25256XI")</f>
        <v>CAT25256XI</v>
      </c>
      <c r="B14023" s="3" t="str">
        <f>HYPERLINK("https://www.773grp.com/manufacturer/onsemi?pageNo=542", "Onsemi")</f>
        <v>Onsemi</v>
      </c>
      <c r="C14023" s="6">
        <v>901</v>
      </c>
      <c r="D14023" s="7">
        <v>2.69</v>
      </c>
    </row>
    <row r="14024" spans="1:5" x14ac:dyDescent="0.25">
      <c r="A14024" t="str">
        <f>HYPERLINK("https://www.773grp.com/globalSearch/CAT5110SDI-00GT3/page-1", "CAT5110SDI-00GT3")</f>
        <v>CAT5110SDI-00GT3</v>
      </c>
      <c r="B14024" s="3" t="str">
        <f>HYPERLINK("https://www.773grp.com/manufacturer/onsemi?pageNo=543", "Onsemi")</f>
        <v>Onsemi</v>
      </c>
      <c r="C14024" s="6">
        <v>21000</v>
      </c>
      <c r="D14024" s="7">
        <v>2.69</v>
      </c>
      <c r="E14024" t="s">
        <v>78</v>
      </c>
    </row>
    <row r="14025" spans="1:5" x14ac:dyDescent="0.25">
      <c r="A14025" t="str">
        <f>HYPERLINK("https://www.773grp.com/globalSearch/CAT5110SDI-10GT3/page-1", "CAT5110SDI-10GT3")</f>
        <v>CAT5110SDI-10GT3</v>
      </c>
      <c r="B14025" s="3" t="str">
        <f>HYPERLINK("https://www.773grp.com/manufacturer/onsemi?pageNo=544", "Onsemi")</f>
        <v>Onsemi</v>
      </c>
      <c r="C14025" s="6">
        <v>6000</v>
      </c>
      <c r="D14025" s="7">
        <v>2.69</v>
      </c>
    </row>
    <row r="14026" spans="1:5" x14ac:dyDescent="0.25">
      <c r="A14026" t="str">
        <f>HYPERLINK("https://www.773grp.com/globalSearch/CAT5110SDI-50GT3/page-1", "CAT5110SDI-50GT3")</f>
        <v>CAT5110SDI-50GT3</v>
      </c>
      <c r="B14026" s="3" t="str">
        <f>HYPERLINK("https://www.773grp.com/manufacturer/onsemi?pageNo=545", "Onsemi")</f>
        <v>Onsemi</v>
      </c>
      <c r="C14026" s="6">
        <v>42000</v>
      </c>
      <c r="D14026" s="7">
        <v>2.69</v>
      </c>
      <c r="E14026" t="s">
        <v>78</v>
      </c>
    </row>
    <row r="14027" spans="1:5" x14ac:dyDescent="0.25">
      <c r="A14027" t="str">
        <f>HYPERLINK("https://www.773grp.com/globalSearch/CAT9554AYI-GT2/page-1", "CAT9554AYI-GT2")</f>
        <v>CAT9554AYI-GT2</v>
      </c>
      <c r="B14027" s="3" t="str">
        <f>HYPERLINK("https://www.773grp.com/manufacturer/onsemi?pageNo=546", "Onsemi")</f>
        <v>Onsemi</v>
      </c>
      <c r="C14027" s="6">
        <v>20500</v>
      </c>
      <c r="D14027" s="7">
        <v>2.69</v>
      </c>
    </row>
    <row r="14028" spans="1:5" x14ac:dyDescent="0.25">
      <c r="A14028" t="str">
        <f>HYPERLINK("https://www.773grp.com/globalSearch/CAT9554YI/page-1", "CAT9554YI")</f>
        <v>CAT9554YI</v>
      </c>
      <c r="B14028" s="3" t="str">
        <f>HYPERLINK("https://www.773grp.com/manufacturer/onsemi?pageNo=547", "Onsemi")</f>
        <v>Onsemi</v>
      </c>
      <c r="C14028" s="6">
        <v>2738</v>
      </c>
      <c r="D14028" s="7">
        <v>2.69</v>
      </c>
    </row>
    <row r="14029" spans="1:5" x14ac:dyDescent="0.25">
      <c r="A14029" t="str">
        <f>HYPERLINK("https://www.773grp.com/globalSearch/CS5204-1GT3/page-1", "CS5204-1GT3")</f>
        <v>CS5204-1GT3</v>
      </c>
      <c r="B14029" s="3" t="str">
        <f>HYPERLINK("https://www.773grp.com/manufacturer/onsemi?pageNo=548", "Onsemi")</f>
        <v>Onsemi</v>
      </c>
      <c r="C14029" s="6">
        <v>7949</v>
      </c>
      <c r="D14029" s="7">
        <v>2.69</v>
      </c>
      <c r="E14029" t="s">
        <v>21</v>
      </c>
    </row>
    <row r="14030" spans="1:5" x14ac:dyDescent="0.25">
      <c r="A14030" t="str">
        <f>HYPERLINK("https://www.773grp.com/globalSearch/CS8221YDFR8/page-1", "CS8221YDFR8")</f>
        <v>CS8221YDFR8</v>
      </c>
      <c r="B14030" s="3" t="str">
        <f>HYPERLINK("https://www.773grp.com/manufacturer/onsemi?pageNo=549", "Onsemi")</f>
        <v>Onsemi</v>
      </c>
      <c r="C14030" s="6">
        <v>2500</v>
      </c>
      <c r="D14030" s="7">
        <v>2.69</v>
      </c>
      <c r="E14030" t="s">
        <v>15</v>
      </c>
    </row>
    <row r="14031" spans="1:5" x14ac:dyDescent="0.25">
      <c r="A14031" t="str">
        <f>HYPERLINK("https://www.773grp.com/globalSearch/CS8321YDPR3/page-1", "CS8321YDPR3")</f>
        <v>CS8321YDPR3</v>
      </c>
      <c r="B14031" s="3" t="str">
        <f>HYPERLINK("https://www.773grp.com/manufacturer/onsemi?pageNo=550", "Onsemi")</f>
        <v>Onsemi</v>
      </c>
      <c r="C14031" s="6">
        <v>740</v>
      </c>
      <c r="D14031" s="7">
        <v>2.69</v>
      </c>
      <c r="E14031" t="s">
        <v>15</v>
      </c>
    </row>
    <row r="14032" spans="1:5" x14ac:dyDescent="0.25">
      <c r="A14032" t="str">
        <f>HYPERLINK("https://www.773grp.com/globalSearch/CS8321YT3/page-1", "CS8321YT3")</f>
        <v>CS8321YT3</v>
      </c>
      <c r="B14032" s="3" t="str">
        <f>HYPERLINK("https://www.773grp.com/manufacturer/onsemi?pageNo=551", "Onsemi")</f>
        <v>Onsemi</v>
      </c>
      <c r="C14032" s="6">
        <v>723</v>
      </c>
      <c r="D14032" s="7">
        <v>2.69</v>
      </c>
      <c r="E14032" t="s">
        <v>15</v>
      </c>
    </row>
    <row r="14033" spans="1:5" x14ac:dyDescent="0.25">
      <c r="A14033" t="str">
        <f>HYPERLINK("https://www.773grp.com/globalSearch/CS8321YT3G/page-1", "CS8321YT3G")</f>
        <v>CS8321YT3G</v>
      </c>
      <c r="B14033" s="3" t="str">
        <f>HYPERLINK("https://www.773grp.com/manufacturer/onsemi?pageNo=552", "Onsemi")</f>
        <v>Onsemi</v>
      </c>
      <c r="C14033" s="6">
        <v>2250</v>
      </c>
      <c r="D14033" s="7">
        <v>2.69</v>
      </c>
      <c r="E14033" t="s">
        <v>15</v>
      </c>
    </row>
    <row r="14034" spans="1:5" x14ac:dyDescent="0.25">
      <c r="A14034" t="str">
        <f>HYPERLINK("https://www.773grp.com/globalSearch/L79M05TL-E/page-1", "L79M05TL-E")</f>
        <v>L79M05TL-E</v>
      </c>
      <c r="B14034" s="3" t="str">
        <f>HYPERLINK("https://www.773grp.com/manufacturer/onsemi?pageNo=553", "Onsemi")</f>
        <v>Onsemi</v>
      </c>
      <c r="C14034" s="6">
        <v>2000</v>
      </c>
      <c r="D14034" s="7">
        <v>2.69</v>
      </c>
    </row>
    <row r="14035" spans="1:5" x14ac:dyDescent="0.25">
      <c r="A14035" t="str">
        <f>HYPERLINK("https://www.773grp.com/globalSearch/LA73054-TLM-E/page-1", "LA73054-TLM-E")</f>
        <v>LA73054-TLM-E</v>
      </c>
      <c r="B14035" s="3" t="str">
        <f>HYPERLINK("https://www.773grp.com/manufacturer/onsemi?pageNo=554", "Onsemi")</f>
        <v>Onsemi</v>
      </c>
      <c r="C14035" s="6">
        <v>172000</v>
      </c>
      <c r="D14035" s="7">
        <v>2.69</v>
      </c>
    </row>
    <row r="14036" spans="1:5" x14ac:dyDescent="0.25">
      <c r="A14036" t="str">
        <f>HYPERLINK("https://www.773grp.com/globalSearch/MBRB8H100T4G/page-1", "MBRB8H100T4G")</f>
        <v>MBRB8H100T4G</v>
      </c>
      <c r="B14036" s="3" t="str">
        <f>HYPERLINK("https://www.773grp.com/manufacturer/onsemi?pageNo=555", "Onsemi")</f>
        <v>Onsemi</v>
      </c>
      <c r="C14036" s="6">
        <v>186604</v>
      </c>
      <c r="D14036" s="7">
        <v>2.69</v>
      </c>
      <c r="E14036" t="s">
        <v>82</v>
      </c>
    </row>
    <row r="14037" spans="1:5" x14ac:dyDescent="0.25">
      <c r="A14037" t="str">
        <f>HYPERLINK("https://www.773grp.com/globalSearch/MBRS4201T3G/page-1", "MBRS4201T3G")</f>
        <v>MBRS4201T3G</v>
      </c>
      <c r="B14037" s="3" t="str">
        <f>HYPERLINK("https://www.773grp.com/manufacturer/onsemi?pageNo=556", "Onsemi")</f>
        <v>Onsemi</v>
      </c>
      <c r="C14037" s="6">
        <v>10000</v>
      </c>
      <c r="D14037" s="7">
        <v>2.69</v>
      </c>
    </row>
    <row r="14038" spans="1:5" x14ac:dyDescent="0.25">
      <c r="A14038" t="str">
        <f>HYPERLINK("https://www.773grp.com/globalSearch/MC14551BCP/page-1", "MC14551BCP")</f>
        <v>MC14551BCP</v>
      </c>
      <c r="B14038" s="3" t="str">
        <f>HYPERLINK("https://www.773grp.com/manufacturer/onsemi?pageNo=557", "Onsemi")</f>
        <v>Onsemi</v>
      </c>
      <c r="C14038" s="6">
        <v>2072</v>
      </c>
      <c r="D14038" s="7">
        <v>2.69</v>
      </c>
      <c r="E14038" t="s">
        <v>46</v>
      </c>
    </row>
    <row r="14039" spans="1:5" x14ac:dyDescent="0.25">
      <c r="A14039" t="str">
        <f>HYPERLINK("https://www.773grp.com/globalSearch/MC34151DG/page-1", "MC34151DG")</f>
        <v>MC34151DG</v>
      </c>
      <c r="B14039" s="3" t="str">
        <f>HYPERLINK("https://www.773grp.com/manufacturer/onsemi?pageNo=558", "Onsemi")</f>
        <v>Onsemi</v>
      </c>
      <c r="C14039" s="6">
        <v>1252</v>
      </c>
      <c r="D14039" s="7">
        <v>2.69</v>
      </c>
      <c r="E14039" t="s">
        <v>12</v>
      </c>
    </row>
    <row r="14040" spans="1:5" x14ac:dyDescent="0.25">
      <c r="A14040" t="str">
        <f>HYPERLINK("https://www.773grp.com/globalSearch/MC34151DR2G/page-1", "MC34151DR2G")</f>
        <v>MC34151DR2G</v>
      </c>
      <c r="B14040" s="3" t="str">
        <f>HYPERLINK("https://www.773grp.com/manufacturer/onsemi?pageNo=559", "Onsemi")</f>
        <v>Onsemi</v>
      </c>
      <c r="C14040" s="6">
        <v>26825</v>
      </c>
      <c r="D14040" s="7">
        <v>2.69</v>
      </c>
      <c r="E14040" t="s">
        <v>12</v>
      </c>
    </row>
    <row r="14041" spans="1:5" x14ac:dyDescent="0.25">
      <c r="A14041" t="str">
        <f>HYPERLINK("https://www.773grp.com/globalSearch/MC34151PG/page-1", "MC34151PG")</f>
        <v>MC34151PG</v>
      </c>
      <c r="B14041" s="3" t="str">
        <f>HYPERLINK("https://www.773grp.com/manufacturer/onsemi?pageNo=560", "Onsemi")</f>
        <v>Onsemi</v>
      </c>
      <c r="C14041" s="6">
        <v>48160</v>
      </c>
      <c r="D14041" s="7">
        <v>2.69</v>
      </c>
      <c r="E14041" t="s">
        <v>12</v>
      </c>
    </row>
    <row r="14042" spans="1:5" x14ac:dyDescent="0.25">
      <c r="A14042" t="str">
        <f>HYPERLINK("https://www.773grp.com/globalSearch/MC74ACT113D/page-1", "MC74ACT113D")</f>
        <v>MC74ACT113D</v>
      </c>
      <c r="B14042" s="3" t="str">
        <f>HYPERLINK("https://www.773grp.com/manufacturer/onsemi?pageNo=561", "Onsemi")</f>
        <v>Onsemi</v>
      </c>
      <c r="C14042" s="6">
        <v>807</v>
      </c>
      <c r="D14042" s="7">
        <v>2.69</v>
      </c>
      <c r="E14042" t="s">
        <v>31</v>
      </c>
    </row>
    <row r="14043" spans="1:5" x14ac:dyDescent="0.25">
      <c r="A14043" t="str">
        <f>HYPERLINK("https://www.773grp.com/globalSearch/MCR218-8FP/page-1", "MCR218-8FP")</f>
        <v>MCR218-8FP</v>
      </c>
      <c r="B14043" s="3" t="str">
        <f>HYPERLINK("https://www.773grp.com/manufacturer/onsemi?pageNo=562", "Onsemi")</f>
        <v>Onsemi</v>
      </c>
      <c r="C14043" s="6">
        <v>25461</v>
      </c>
      <c r="D14043" s="7">
        <v>2.69</v>
      </c>
      <c r="E14043" t="s">
        <v>76</v>
      </c>
    </row>
    <row r="14044" spans="1:5" x14ac:dyDescent="0.25">
      <c r="A14044" t="str">
        <f>HYPERLINK("https://www.773grp.com/globalSearch/MJF127G/page-1", "MJF127G")</f>
        <v>MJF127G</v>
      </c>
      <c r="B14044" s="3" t="str">
        <f>HYPERLINK("https://www.773grp.com/manufacturer/onsemi?pageNo=563", "Onsemi")</f>
        <v>Onsemi</v>
      </c>
      <c r="C14044" s="6">
        <v>40</v>
      </c>
      <c r="D14044" s="7">
        <v>2.69</v>
      </c>
      <c r="E14044" t="s">
        <v>47</v>
      </c>
    </row>
    <row r="14045" spans="1:5" x14ac:dyDescent="0.25">
      <c r="A14045" t="str">
        <f>HYPERLINK("https://www.773grp.com/globalSearch/MPQ6700/page-1", "MPQ6700")</f>
        <v>MPQ6700</v>
      </c>
      <c r="B14045" s="3" t="str">
        <f>HYPERLINK("https://www.773grp.com/manufacturer/onsemi?pageNo=564", "Onsemi")</f>
        <v>Onsemi</v>
      </c>
      <c r="C14045" s="6">
        <v>56512</v>
      </c>
      <c r="D14045" s="7">
        <v>2.69</v>
      </c>
      <c r="E14045" t="s">
        <v>57</v>
      </c>
    </row>
    <row r="14046" spans="1:5" x14ac:dyDescent="0.25">
      <c r="A14046" t="str">
        <f>HYPERLINK("https://www.773grp.com/globalSearch/NCV4269D1R2G/page-1", "NCV4269D1R2G")</f>
        <v>NCV4269D1R2G</v>
      </c>
      <c r="B14046" s="3" t="str">
        <f>HYPERLINK("https://www.773grp.com/manufacturer/onsemi?pageNo=565", "Onsemi")</f>
        <v>Onsemi</v>
      </c>
      <c r="C14046" s="6">
        <v>10714</v>
      </c>
      <c r="D14046" s="7">
        <v>2.69</v>
      </c>
      <c r="E14046" t="s">
        <v>15</v>
      </c>
    </row>
    <row r="14047" spans="1:5" x14ac:dyDescent="0.25">
      <c r="A14047" t="str">
        <f>HYPERLINK("https://www.773grp.com/globalSearch/NTMS10P02R2G/page-1", "NTMS10P02R2G")</f>
        <v>NTMS10P02R2G</v>
      </c>
      <c r="B14047" s="3" t="str">
        <f>HYPERLINK("https://www.773grp.com/manufacturer/onsemi?pageNo=566", "Onsemi")</f>
        <v>Onsemi</v>
      </c>
      <c r="C14047" s="6">
        <v>28529</v>
      </c>
      <c r="D14047" s="7">
        <v>2.69</v>
      </c>
      <c r="E14047" t="s">
        <v>85</v>
      </c>
    </row>
    <row r="14048" spans="1:5" x14ac:dyDescent="0.25">
      <c r="A14048" t="str">
        <f>HYPERLINK("https://www.773grp.com/globalSearch/NTTFS4939NTAG/page-1", "NTTFS4939NTAG")</f>
        <v>NTTFS4939NTAG</v>
      </c>
      <c r="B14048" s="3" t="str">
        <f>HYPERLINK("https://www.773grp.com/manufacturer/onsemi?pageNo=567", "Onsemi")</f>
        <v>Onsemi</v>
      </c>
      <c r="C14048" s="6">
        <v>49500</v>
      </c>
      <c r="D14048" s="7">
        <v>2.69</v>
      </c>
    </row>
    <row r="14049" spans="1:5" x14ac:dyDescent="0.25">
      <c r="A14049" t="str">
        <f>HYPERLINK("https://www.773grp.com/globalSearch/SA5534NG/page-1", "SA5534NG")</f>
        <v>SA5534NG</v>
      </c>
      <c r="B14049" s="3" t="str">
        <f>HYPERLINK("https://www.773grp.com/manufacturer/onsemi?pageNo=568", "Onsemi")</f>
        <v>Onsemi</v>
      </c>
      <c r="C14049" s="6">
        <v>3708</v>
      </c>
      <c r="D14049" s="7">
        <v>2.69</v>
      </c>
      <c r="E14049" t="s">
        <v>10</v>
      </c>
    </row>
    <row r="14050" spans="1:5" x14ac:dyDescent="0.25">
      <c r="A14050" t="str">
        <f>HYPERLINK("https://www.773grp.com/globalSearch/UAA2016DG/page-1", "UAA2016DG")</f>
        <v>UAA2016DG</v>
      </c>
      <c r="B14050" s="3" t="str">
        <f>HYPERLINK("https://www.773grp.com/manufacturer/onsemi?pageNo=569", "Onsemi")</f>
        <v>Onsemi</v>
      </c>
      <c r="C14050" s="6">
        <v>14</v>
      </c>
      <c r="D14050" s="7">
        <v>2.69</v>
      </c>
      <c r="E14050" t="s">
        <v>36</v>
      </c>
    </row>
    <row r="14051" spans="1:5" x14ac:dyDescent="0.25">
      <c r="A14051" t="str">
        <f>HYPERLINK("https://www.773grp.com/globalSearch/UAA2016PG/page-1", "UAA2016PG")</f>
        <v>UAA2016PG</v>
      </c>
      <c r="B14051" s="3" t="str">
        <f>HYPERLINK("https://www.773grp.com/manufacturer/onsemi?pageNo=570", "Onsemi")</f>
        <v>Onsemi</v>
      </c>
      <c r="C14051" s="6">
        <v>4828</v>
      </c>
      <c r="D14051" s="7">
        <v>2.69</v>
      </c>
      <c r="E14051" t="s">
        <v>36</v>
      </c>
    </row>
    <row r="14052" spans="1:5" x14ac:dyDescent="0.25">
      <c r="A14052" t="str">
        <f>HYPERLINK("https://www.773grp.com/globalSearch/2N6400G/page-1", "2N6400G")</f>
        <v>2N6400G</v>
      </c>
      <c r="B14052" s="3" t="str">
        <f>HYPERLINK("https://www.773grp.com/manufacturer/onsemi?pageNo=571", "Onsemi")</f>
        <v>Onsemi</v>
      </c>
      <c r="C14052" s="6">
        <v>1000</v>
      </c>
      <c r="D14052" s="7">
        <v>2.75</v>
      </c>
      <c r="E14052" t="s">
        <v>76</v>
      </c>
    </row>
    <row r="14053" spans="1:5" x14ac:dyDescent="0.25">
      <c r="A14053" t="str">
        <f>HYPERLINK("https://www.773grp.com/globalSearch/2N6401G/page-1", "2N6401G")</f>
        <v>2N6401G</v>
      </c>
      <c r="B14053" s="3" t="str">
        <f>HYPERLINK("https://www.773grp.com/manufacturer/onsemi?pageNo=572", "Onsemi")</f>
        <v>Onsemi</v>
      </c>
      <c r="C14053" s="6">
        <v>2000</v>
      </c>
      <c r="D14053" s="7">
        <v>2.75</v>
      </c>
      <c r="E14053" t="s">
        <v>76</v>
      </c>
    </row>
    <row r="14054" spans="1:5" x14ac:dyDescent="0.25">
      <c r="A14054" t="str">
        <f>HYPERLINK("https://www.773grp.com/globalSearch/2N6402G/page-1", "2N6402G")</f>
        <v>2N6402G</v>
      </c>
      <c r="B14054" s="3" t="str">
        <f>HYPERLINK("https://www.773grp.com/manufacturer/onsemi?pageNo=573", "Onsemi")</f>
        <v>Onsemi</v>
      </c>
      <c r="C14054" s="6">
        <v>869</v>
      </c>
      <c r="D14054" s="7">
        <v>2.75</v>
      </c>
      <c r="E14054" t="s">
        <v>76</v>
      </c>
    </row>
    <row r="14055" spans="1:5" x14ac:dyDescent="0.25">
      <c r="A14055" t="str">
        <f>HYPERLINK("https://www.773grp.com/globalSearch/2N6403/page-1", "2N6403")</f>
        <v>2N6403</v>
      </c>
      <c r="B14055" s="3" t="str">
        <f>HYPERLINK("https://www.773grp.com/manufacturer/onsemi?pageNo=574", "Onsemi")</f>
        <v>Onsemi</v>
      </c>
      <c r="C14055" s="6">
        <v>1000</v>
      </c>
      <c r="D14055" s="7">
        <v>2.75</v>
      </c>
      <c r="E14055" t="s">
        <v>76</v>
      </c>
    </row>
    <row r="14056" spans="1:5" x14ac:dyDescent="0.25">
      <c r="A14056" t="str">
        <f>HYPERLINK("https://www.773grp.com/globalSearch/2N6403G/page-1", "2N6403G")</f>
        <v>2N6403G</v>
      </c>
      <c r="B14056" s="3" t="str">
        <f>HYPERLINK("https://www.773grp.com/manufacturer/onsemi?pageNo=575", "Onsemi")</f>
        <v>Onsemi</v>
      </c>
      <c r="C14056" s="6">
        <v>35413</v>
      </c>
      <c r="D14056" s="7">
        <v>2.75</v>
      </c>
      <c r="E14056" t="s">
        <v>76</v>
      </c>
    </row>
    <row r="14057" spans="1:5" x14ac:dyDescent="0.25">
      <c r="A14057" t="str">
        <f>HYPERLINK("https://www.773grp.com/globalSearch/2N6403TG/page-1", "2N6403TG")</f>
        <v>2N6403TG</v>
      </c>
      <c r="B14057" s="3" t="str">
        <f>HYPERLINK("https://www.773grp.com/manufacturer/onsemi?pageNo=576", "Onsemi")</f>
        <v>Onsemi</v>
      </c>
      <c r="C14057" s="6">
        <v>700</v>
      </c>
      <c r="D14057" s="7">
        <v>2.75</v>
      </c>
    </row>
    <row r="14058" spans="1:5" x14ac:dyDescent="0.25">
      <c r="A14058" t="str">
        <f>HYPERLINK("https://www.773grp.com/globalSearch/2N6404G/page-1", "2N6404G")</f>
        <v>2N6404G</v>
      </c>
      <c r="B14058" s="3" t="str">
        <f>HYPERLINK("https://www.773grp.com/manufacturer/onsemi?pageNo=577", "Onsemi")</f>
        <v>Onsemi</v>
      </c>
      <c r="C14058" s="6">
        <v>2400</v>
      </c>
      <c r="D14058" s="7">
        <v>2.75</v>
      </c>
      <c r="E14058" t="s">
        <v>76</v>
      </c>
    </row>
    <row r="14059" spans="1:5" x14ac:dyDescent="0.25">
      <c r="A14059" t="str">
        <f>HYPERLINK("https://www.773grp.com/globalSearch/2N6504G/page-1", "2N6504G")</f>
        <v>2N6504G</v>
      </c>
      <c r="B14059" s="3" t="str">
        <f>HYPERLINK("https://www.773grp.com/manufacturer/onsemi?pageNo=578", "Onsemi")</f>
        <v>Onsemi</v>
      </c>
      <c r="C14059" s="6">
        <v>2400</v>
      </c>
      <c r="D14059" s="7">
        <v>2.75</v>
      </c>
      <c r="E14059" t="s">
        <v>76</v>
      </c>
    </row>
    <row r="14060" spans="1:5" x14ac:dyDescent="0.25">
      <c r="A14060" t="str">
        <f>HYPERLINK("https://www.773grp.com/globalSearch/2N6505/page-1", "2N6505")</f>
        <v>2N6505</v>
      </c>
      <c r="B14060" s="3" t="str">
        <f>HYPERLINK("https://www.773grp.com/manufacturer/onsemi?pageNo=579", "Onsemi")</f>
        <v>Onsemi</v>
      </c>
      <c r="C14060" s="6">
        <v>337</v>
      </c>
      <c r="D14060" s="7">
        <v>2.75</v>
      </c>
      <c r="E14060" t="s">
        <v>76</v>
      </c>
    </row>
    <row r="14061" spans="1:5" x14ac:dyDescent="0.25">
      <c r="A14061" t="str">
        <f>HYPERLINK("https://www.773grp.com/globalSearch/2N6505G/page-1", "2N6505G")</f>
        <v>2N6505G</v>
      </c>
      <c r="B14061" s="3" t="str">
        <f>HYPERLINK("https://www.773grp.com/manufacturer/onsemi?pageNo=580", "Onsemi")</f>
        <v>Onsemi</v>
      </c>
      <c r="C14061" s="6">
        <v>9874</v>
      </c>
      <c r="D14061" s="7">
        <v>2.75</v>
      </c>
    </row>
    <row r="14062" spans="1:5" x14ac:dyDescent="0.25">
      <c r="A14062" t="str">
        <f>HYPERLINK("https://www.773grp.com/globalSearch/2N6505T/page-1", "2N6505T")</f>
        <v>2N6505T</v>
      </c>
      <c r="B14062" s="3" t="str">
        <f>HYPERLINK("https://www.773grp.com/manufacturer/onsemi?pageNo=581", "Onsemi")</f>
        <v>Onsemi</v>
      </c>
      <c r="C14062" s="6">
        <v>1250</v>
      </c>
      <c r="D14062" s="7">
        <v>2.75</v>
      </c>
      <c r="E14062" t="s">
        <v>76</v>
      </c>
    </row>
    <row r="14063" spans="1:5" x14ac:dyDescent="0.25">
      <c r="A14063" t="str">
        <f>HYPERLINK("https://www.773grp.com/globalSearch/2N6505TG/page-1", "2N6505TG")</f>
        <v>2N6505TG</v>
      </c>
      <c r="B14063" s="3" t="str">
        <f>HYPERLINK("https://www.773grp.com/manufacturer/onsemi?pageNo=582", "Onsemi")</f>
        <v>Onsemi</v>
      </c>
      <c r="C14063" s="6">
        <v>1100</v>
      </c>
      <c r="D14063" s="7">
        <v>2.75</v>
      </c>
      <c r="E14063" t="s">
        <v>76</v>
      </c>
    </row>
    <row r="14064" spans="1:5" x14ac:dyDescent="0.25">
      <c r="A14064" t="str">
        <f>HYPERLINK("https://www.773grp.com/globalSearch/2N6507G/page-1", "2N6507G")</f>
        <v>2N6507G</v>
      </c>
      <c r="B14064" s="3" t="str">
        <f>HYPERLINK("https://www.773grp.com/manufacturer/onsemi?pageNo=583", "Onsemi")</f>
        <v>Onsemi</v>
      </c>
      <c r="C14064" s="6">
        <v>500</v>
      </c>
      <c r="D14064" s="7">
        <v>2.75</v>
      </c>
      <c r="E14064" t="s">
        <v>76</v>
      </c>
    </row>
    <row r="14065" spans="1:5" x14ac:dyDescent="0.25">
      <c r="A14065" t="str">
        <f>HYPERLINK("https://www.773grp.com/globalSearch/2N6507TG/page-1", "2N6507TG")</f>
        <v>2N6507TG</v>
      </c>
      <c r="B14065" s="3" t="str">
        <f>HYPERLINK("https://www.773grp.com/manufacturer/onsemi?pageNo=584", "Onsemi")</f>
        <v>Onsemi</v>
      </c>
      <c r="C14065" s="6">
        <v>257</v>
      </c>
      <c r="D14065" s="7">
        <v>2.75</v>
      </c>
      <c r="E14065" t="s">
        <v>76</v>
      </c>
    </row>
    <row r="14066" spans="1:5" x14ac:dyDescent="0.25">
      <c r="A14066" t="str">
        <f>HYPERLINK("https://www.773grp.com/globalSearch/2N6508/page-1", "2N6508")</f>
        <v>2N6508</v>
      </c>
      <c r="B14066" s="3" t="str">
        <f>HYPERLINK("https://www.773grp.com/manufacturer/onsemi?pageNo=585", "Onsemi")</f>
        <v>Onsemi</v>
      </c>
      <c r="C14066" s="6">
        <v>13663</v>
      </c>
      <c r="D14066" s="7">
        <v>2.75</v>
      </c>
      <c r="E14066" t="s">
        <v>76</v>
      </c>
    </row>
    <row r="14067" spans="1:5" x14ac:dyDescent="0.25">
      <c r="A14067" t="str">
        <f>HYPERLINK("https://www.773grp.com/globalSearch/2N6508T/page-1", "2N6508T")</f>
        <v>2N6508T</v>
      </c>
      <c r="B14067" s="3" t="str">
        <f>HYPERLINK("https://www.773grp.com/manufacturer/onsemi?pageNo=586", "Onsemi")</f>
        <v>Onsemi</v>
      </c>
      <c r="C14067" s="6">
        <v>300</v>
      </c>
      <c r="D14067" s="7">
        <v>2.75</v>
      </c>
      <c r="E14067" t="s">
        <v>76</v>
      </c>
    </row>
    <row r="14068" spans="1:5" x14ac:dyDescent="0.25">
      <c r="A14068" t="str">
        <f>HYPERLINK("https://www.773grp.com/globalSearch/2N6509/page-1", "2N6509")</f>
        <v>2N6509</v>
      </c>
      <c r="B14068" s="3" t="str">
        <f>HYPERLINK("https://www.773grp.com/manufacturer/onsemi?pageNo=587", "Onsemi")</f>
        <v>Onsemi</v>
      </c>
      <c r="C14068" s="6">
        <v>142</v>
      </c>
      <c r="D14068" s="7">
        <v>2.75</v>
      </c>
      <c r="E14068" t="s">
        <v>76</v>
      </c>
    </row>
    <row r="14069" spans="1:5" x14ac:dyDescent="0.25">
      <c r="A14069" t="str">
        <f>HYPERLINK("https://www.773grp.com/globalSearch/ADP3192AJCPZ-RL/page-1", "ADP3192AJCPZ-RL")</f>
        <v>ADP3192AJCPZ-RL</v>
      </c>
      <c r="B14069" s="3" t="str">
        <f>HYPERLINK("https://www.773grp.com/manufacturer/onsemi?pageNo=588", "Onsemi")</f>
        <v>Onsemi</v>
      </c>
      <c r="C14069" s="6">
        <v>5000</v>
      </c>
      <c r="D14069" s="7">
        <v>2.75</v>
      </c>
    </row>
    <row r="14070" spans="1:5" x14ac:dyDescent="0.25">
      <c r="A14070" t="str">
        <f>HYPERLINK("https://www.773grp.com/globalSearch/ADP3211AMNR2G/page-1", "ADP3211AMNR2G")</f>
        <v>ADP3211AMNR2G</v>
      </c>
      <c r="B14070" s="3" t="str">
        <f>HYPERLINK("https://www.773grp.com/manufacturer/onsemi?pageNo=589", "Onsemi")</f>
        <v>Onsemi</v>
      </c>
      <c r="C14070" s="6">
        <v>83999</v>
      </c>
      <c r="D14070" s="7">
        <v>2.75</v>
      </c>
      <c r="E14070" t="s">
        <v>5</v>
      </c>
    </row>
    <row r="14071" spans="1:5" x14ac:dyDescent="0.25">
      <c r="A14071" t="str">
        <f>HYPERLINK("https://www.773grp.com/globalSearch/CAT150049SWI-GT3/page-1", "CAT150049SWI-GT3")</f>
        <v>CAT150049SWI-GT3</v>
      </c>
      <c r="B14071" s="3" t="str">
        <f>HYPERLINK("https://www.773grp.com/manufacturer/onsemi?pageNo=590", "Onsemi")</f>
        <v>Onsemi</v>
      </c>
      <c r="C14071" s="6">
        <v>27000</v>
      </c>
      <c r="D14071" s="7">
        <v>2.75</v>
      </c>
      <c r="E14071" t="s">
        <v>52</v>
      </c>
    </row>
    <row r="14072" spans="1:5" x14ac:dyDescent="0.25">
      <c r="A14072" t="str">
        <f>HYPERLINK("https://www.773grp.com/globalSearch/CS290H/page-1", "CS290H")</f>
        <v>CS290H</v>
      </c>
      <c r="B14072" s="3" t="str">
        <f>HYPERLINK("https://www.773grp.com/manufacturer/onsemi?pageNo=591", "Onsemi")</f>
        <v>Onsemi</v>
      </c>
      <c r="C14072" s="6">
        <v>1321</v>
      </c>
      <c r="D14072" s="7">
        <v>2.75</v>
      </c>
    </row>
    <row r="14073" spans="1:5" x14ac:dyDescent="0.25">
      <c r="A14073" t="str">
        <f>HYPERLINK("https://www.773grp.com/globalSearch/CS5205-1GT3/page-1", "CS5205-1GT3")</f>
        <v>CS5205-1GT3</v>
      </c>
      <c r="B14073" s="3" t="str">
        <f>HYPERLINK("https://www.773grp.com/manufacturer/onsemi?pageNo=592", "Onsemi")</f>
        <v>Onsemi</v>
      </c>
      <c r="C14073" s="6">
        <v>950</v>
      </c>
      <c r="D14073" s="7">
        <v>2.75</v>
      </c>
      <c r="E14073" t="s">
        <v>21</v>
      </c>
    </row>
    <row r="14074" spans="1:5" x14ac:dyDescent="0.25">
      <c r="A14074" t="str">
        <f>HYPERLINK("https://www.773grp.com/globalSearch/CS5205A-1GDPR3/page-1", "CS5205A-1GDPR3")</f>
        <v>CS5205A-1GDPR3</v>
      </c>
      <c r="B14074" s="3" t="str">
        <f>HYPERLINK("https://www.773grp.com/manufacturer/onsemi?pageNo=593", "Onsemi")</f>
        <v>Onsemi</v>
      </c>
      <c r="C14074" s="6">
        <v>792</v>
      </c>
      <c r="D14074" s="7">
        <v>2.75</v>
      </c>
      <c r="E14074" t="s">
        <v>21</v>
      </c>
    </row>
    <row r="14075" spans="1:5" x14ac:dyDescent="0.25">
      <c r="A14075" t="str">
        <f>HYPERLINK("https://www.773grp.com/globalSearch/CS68067TVA5/page-1", "CS68067TVA5")</f>
        <v>CS68067TVA5</v>
      </c>
      <c r="B14075" s="3" t="str">
        <f>HYPERLINK("https://www.773grp.com/manufacturer/onsemi?pageNo=594", "Onsemi")</f>
        <v>Onsemi</v>
      </c>
      <c r="C14075" s="6">
        <v>4800</v>
      </c>
      <c r="D14075" s="7">
        <v>2.75</v>
      </c>
    </row>
    <row r="14076" spans="1:5" x14ac:dyDescent="0.25">
      <c r="A14076" t="str">
        <f>HYPERLINK("https://www.773grp.com/globalSearch/CS8101YD8/page-1", "CS8101YD8")</f>
        <v>CS8101YD8</v>
      </c>
      <c r="B14076" s="3" t="str">
        <f>HYPERLINK("https://www.773grp.com/manufacturer/onsemi?pageNo=595", "Onsemi")</f>
        <v>Onsemi</v>
      </c>
      <c r="C14076" s="6">
        <v>4508</v>
      </c>
      <c r="D14076" s="7">
        <v>2.75</v>
      </c>
      <c r="E14076" t="s">
        <v>15</v>
      </c>
    </row>
    <row r="14077" spans="1:5" x14ac:dyDescent="0.25">
      <c r="A14077" t="str">
        <f>HYPERLINK("https://www.773grp.com/globalSearch/CS8101YDR8/page-1", "CS8101YDR8")</f>
        <v>CS8101YDR8</v>
      </c>
      <c r="B14077" s="3" t="str">
        <f>HYPERLINK("https://www.773grp.com/manufacturer/onsemi?pageNo=596", "Onsemi")</f>
        <v>Onsemi</v>
      </c>
      <c r="C14077" s="6">
        <v>4990</v>
      </c>
      <c r="D14077" s="7">
        <v>2.75</v>
      </c>
      <c r="E14077" t="s">
        <v>15</v>
      </c>
    </row>
    <row r="14078" spans="1:5" x14ac:dyDescent="0.25">
      <c r="A14078" t="str">
        <f>HYPERLINK("https://www.773grp.com/globalSearch/IRF540/page-1", "IRF540")</f>
        <v>IRF540</v>
      </c>
      <c r="B14078" s="3" t="str">
        <f>HYPERLINK("https://www.773grp.com/manufacturer/onsemi?pageNo=597", "Onsemi")</f>
        <v>Onsemi</v>
      </c>
      <c r="C14078" s="6">
        <v>15313</v>
      </c>
      <c r="D14078" s="7">
        <v>2.75</v>
      </c>
      <c r="E14078" t="s">
        <v>84</v>
      </c>
    </row>
    <row r="14079" spans="1:5" x14ac:dyDescent="0.25">
      <c r="A14079" t="str">
        <f>HYPERLINK("https://www.773grp.com/globalSearch/LB11867RV-TLM-H/page-1", "LB11867RV-TLM-H")</f>
        <v>LB11867RV-TLM-H</v>
      </c>
      <c r="B14079" s="3" t="str">
        <f>HYPERLINK("https://www.773grp.com/manufacturer/onsemi?pageNo=598", "Onsemi")</f>
        <v>Onsemi</v>
      </c>
      <c r="C14079" s="6">
        <v>16000</v>
      </c>
      <c r="D14079" s="7">
        <v>2.75</v>
      </c>
    </row>
    <row r="14080" spans="1:5" x14ac:dyDescent="0.25">
      <c r="A14080" t="str">
        <f>HYPERLINK("https://www.773grp.com/globalSearch/MBR1645/page-1", "MBR1645")</f>
        <v>MBR1645</v>
      </c>
      <c r="B14080" s="3" t="str">
        <f>HYPERLINK("https://www.773grp.com/manufacturer/onsemi?pageNo=599", "Onsemi")</f>
        <v>Onsemi</v>
      </c>
      <c r="C14080" s="6">
        <v>767</v>
      </c>
      <c r="D14080" s="7">
        <v>2.75</v>
      </c>
      <c r="E14080" t="s">
        <v>82</v>
      </c>
    </row>
    <row r="14081" spans="1:5" x14ac:dyDescent="0.25">
      <c r="A14081" t="str">
        <f>HYPERLINK("https://www.773grp.com/globalSearch/MBR20H100CTG/page-1", "MBR20H100CTG")</f>
        <v>MBR20H100CTG</v>
      </c>
      <c r="B14081" s="3" t="str">
        <f>HYPERLINK("https://www.773grp.com/manufacturer/onsemi?pageNo=600", "Onsemi")</f>
        <v>Onsemi</v>
      </c>
      <c r="C14081" s="6">
        <v>265806</v>
      </c>
      <c r="D14081" s="7">
        <v>2.75</v>
      </c>
      <c r="E14081" t="s">
        <v>82</v>
      </c>
    </row>
    <row r="14082" spans="1:5" x14ac:dyDescent="0.25">
      <c r="A14082" t="str">
        <f>HYPERLINK("https://www.773grp.com/globalSearch/MBR20H100CTH/page-1", "MBR20H100CTH")</f>
        <v>MBR20H100CTH</v>
      </c>
      <c r="B14082" s="3" t="str">
        <f>HYPERLINK("https://www.773grp.com/manufacturer/onsemi?pageNo=601", "Onsemi")</f>
        <v>Onsemi</v>
      </c>
      <c r="C14082" s="6">
        <v>29800</v>
      </c>
      <c r="D14082" s="7">
        <v>2.75</v>
      </c>
    </row>
    <row r="14083" spans="1:5" x14ac:dyDescent="0.25">
      <c r="A14083" t="str">
        <f>HYPERLINK("https://www.773grp.com/globalSearch/MBRB1645T4G/page-1", "MBRB1645T4G")</f>
        <v>MBRB1645T4G</v>
      </c>
      <c r="B14083" s="3" t="str">
        <f>HYPERLINK("https://www.773grp.com/manufacturer/onsemi?pageNo=602", "Onsemi")</f>
        <v>Onsemi</v>
      </c>
      <c r="C14083" s="6">
        <v>1480</v>
      </c>
      <c r="D14083" s="7">
        <v>2.75</v>
      </c>
    </row>
    <row r="14084" spans="1:5" x14ac:dyDescent="0.25">
      <c r="A14084" t="str">
        <f>HYPERLINK("https://www.773grp.com/globalSearch/MC33204DR2/page-1", "MC33204DR2")</f>
        <v>MC33204DR2</v>
      </c>
      <c r="B14084" s="3" t="str">
        <f>HYPERLINK("https://www.773grp.com/manufacturer/onsemi?pageNo=603", "Onsemi")</f>
        <v>Onsemi</v>
      </c>
      <c r="C14084" s="6">
        <v>1262</v>
      </c>
      <c r="D14084" s="7">
        <v>2.75</v>
      </c>
    </row>
    <row r="14085" spans="1:5" x14ac:dyDescent="0.25">
      <c r="A14085" t="str">
        <f>HYPERLINK("https://www.773grp.com/globalSearch/MC33204PG/page-1", "MC33204PG")</f>
        <v>MC33204PG</v>
      </c>
      <c r="B14085" s="3" t="str">
        <f>HYPERLINK("https://www.773grp.com/manufacturer/onsemi?pageNo=604", "Onsemi")</f>
        <v>Onsemi</v>
      </c>
      <c r="C14085" s="6">
        <v>2229</v>
      </c>
      <c r="D14085" s="7">
        <v>2.75</v>
      </c>
      <c r="E14085" t="s">
        <v>10</v>
      </c>
    </row>
    <row r="14086" spans="1:5" x14ac:dyDescent="0.25">
      <c r="A14086" t="str">
        <f>HYPERLINK("https://www.773grp.com/globalSearch/MC33342P/page-1", "MC33342P")</f>
        <v>MC33342P</v>
      </c>
      <c r="B14086" s="3" t="str">
        <f>HYPERLINK("https://www.773grp.com/manufacturer/onsemi?pageNo=605", "Onsemi")</f>
        <v>Onsemi</v>
      </c>
      <c r="C14086" s="6">
        <v>6000</v>
      </c>
      <c r="D14086" s="7">
        <v>2.75</v>
      </c>
      <c r="E14086" t="s">
        <v>5</v>
      </c>
    </row>
    <row r="14087" spans="1:5" x14ac:dyDescent="0.25">
      <c r="A14087" t="str">
        <f>HYPERLINK("https://www.773grp.com/globalSearch/MC33342PG/page-1", "MC33342PG")</f>
        <v>MC33342PG</v>
      </c>
      <c r="B14087" s="3" t="str">
        <f>HYPERLINK("https://www.773grp.com/manufacturer/onsemi?pageNo=606", "Onsemi")</f>
        <v>Onsemi</v>
      </c>
      <c r="C14087" s="6">
        <v>4820</v>
      </c>
      <c r="D14087" s="7">
        <v>2.75</v>
      </c>
      <c r="E14087" t="s">
        <v>5</v>
      </c>
    </row>
    <row r="14088" spans="1:5" x14ac:dyDescent="0.25">
      <c r="A14088" t="str">
        <f>HYPERLINK("https://www.773grp.com/globalSearch/MC74ACT378N/page-1", "MC74ACT378N")</f>
        <v>MC74ACT378N</v>
      </c>
      <c r="B14088" s="3" t="str">
        <f>HYPERLINK("https://www.773grp.com/manufacturer/onsemi?pageNo=607", "Onsemi")</f>
        <v>Onsemi</v>
      </c>
      <c r="C14088" s="6">
        <v>2000</v>
      </c>
      <c r="D14088" s="7">
        <v>2.75</v>
      </c>
      <c r="E14088" t="s">
        <v>31</v>
      </c>
    </row>
    <row r="14089" spans="1:5" x14ac:dyDescent="0.25">
      <c r="A14089" t="str">
        <f>HYPERLINK("https://www.773grp.com/globalSearch/MC74F169D/page-1", "MC74F169D")</f>
        <v>MC74F169D</v>
      </c>
      <c r="B14089" s="3" t="str">
        <f>HYPERLINK("https://www.773grp.com/manufacturer/onsemi?pageNo=608", "Onsemi")</f>
        <v>Onsemi</v>
      </c>
      <c r="C14089" s="6">
        <v>5756</v>
      </c>
      <c r="D14089" s="7">
        <v>2.75</v>
      </c>
      <c r="E14089" t="s">
        <v>22</v>
      </c>
    </row>
    <row r="14090" spans="1:5" x14ac:dyDescent="0.25">
      <c r="A14090" t="str">
        <f>HYPERLINK("https://www.773grp.com/globalSearch/MC74F169DR2/page-1", "MC74F169DR2")</f>
        <v>MC74F169DR2</v>
      </c>
      <c r="B14090" s="3" t="str">
        <f>HYPERLINK("https://www.773grp.com/manufacturer/onsemi?pageNo=609", "Onsemi")</f>
        <v>Onsemi</v>
      </c>
      <c r="C14090" s="6">
        <v>5000</v>
      </c>
      <c r="D14090" s="7">
        <v>2.75</v>
      </c>
      <c r="E14090" t="s">
        <v>22</v>
      </c>
    </row>
    <row r="14091" spans="1:5" x14ac:dyDescent="0.25">
      <c r="A14091" t="str">
        <f>HYPERLINK("https://www.773grp.com/globalSearch/MC74F169M/page-1", "MC74F169M")</f>
        <v>MC74F169M</v>
      </c>
      <c r="B14091" s="3" t="str">
        <f>HYPERLINK("https://www.773grp.com/manufacturer/onsemi?pageNo=610", "Onsemi")</f>
        <v>Onsemi</v>
      </c>
      <c r="C14091" s="6">
        <v>1600</v>
      </c>
      <c r="D14091" s="7">
        <v>2.75</v>
      </c>
    </row>
    <row r="14092" spans="1:5" x14ac:dyDescent="0.25">
      <c r="A14092" t="str">
        <f>HYPERLINK("https://www.773grp.com/globalSearch/MC74F85M/page-1", "MC74F85M")</f>
        <v>MC74F85M</v>
      </c>
      <c r="B14092" s="3" t="str">
        <f>HYPERLINK("https://www.773grp.com/manufacturer/onsemi?pageNo=611", "Onsemi")</f>
        <v>Onsemi</v>
      </c>
      <c r="C14092" s="6">
        <v>1500</v>
      </c>
      <c r="D14092" s="7">
        <v>2.75</v>
      </c>
    </row>
    <row r="14093" spans="1:5" x14ac:dyDescent="0.25">
      <c r="A14093" t="str">
        <f>HYPERLINK("https://www.773grp.com/globalSearch/MC74LCX646DT/page-1", "MC74LCX646DT")</f>
        <v>MC74LCX646DT</v>
      </c>
      <c r="B14093" s="3" t="str">
        <f>HYPERLINK("https://www.773grp.com/manufacturer/onsemi?pageNo=612", "Onsemi")</f>
        <v>Onsemi</v>
      </c>
      <c r="C14093" s="6">
        <v>1450</v>
      </c>
      <c r="D14093" s="7">
        <v>2.75</v>
      </c>
      <c r="E14093" t="s">
        <v>11</v>
      </c>
    </row>
    <row r="14094" spans="1:5" x14ac:dyDescent="0.25">
      <c r="A14094" t="str">
        <f>HYPERLINK("https://www.773grp.com/globalSearch/MC74LCX646DWR2/page-1", "MC74LCX646DWR2")</f>
        <v>MC74LCX646DWR2</v>
      </c>
      <c r="B14094" s="3" t="str">
        <f>HYPERLINK("https://www.773grp.com/manufacturer/onsemi?pageNo=613", "Onsemi")</f>
        <v>Onsemi</v>
      </c>
      <c r="C14094" s="6">
        <v>1000</v>
      </c>
      <c r="D14094" s="7">
        <v>2.75</v>
      </c>
      <c r="E14094" t="s">
        <v>11</v>
      </c>
    </row>
    <row r="14095" spans="1:5" x14ac:dyDescent="0.25">
      <c r="A14095" t="str">
        <f>HYPERLINK("https://www.773grp.com/globalSearch/MC74LCX652DT/page-1", "MC74LCX652DT")</f>
        <v>MC74LCX652DT</v>
      </c>
      <c r="B14095" s="3" t="str">
        <f>HYPERLINK("https://www.773grp.com/manufacturer/onsemi?pageNo=614", "Onsemi")</f>
        <v>Onsemi</v>
      </c>
      <c r="C14095" s="6">
        <v>10602</v>
      </c>
      <c r="D14095" s="7">
        <v>2.75</v>
      </c>
      <c r="E14095" t="s">
        <v>11</v>
      </c>
    </row>
    <row r="14096" spans="1:5" x14ac:dyDescent="0.25">
      <c r="A14096" t="str">
        <f>HYPERLINK("https://www.773grp.com/globalSearch/MC74LCX652DTR2/page-1", "MC74LCX652DTR2")</f>
        <v>MC74LCX652DTR2</v>
      </c>
      <c r="B14096" s="3" t="str">
        <f>HYPERLINK("https://www.773grp.com/manufacturer/onsemi?pageNo=615", "Onsemi")</f>
        <v>Onsemi</v>
      </c>
      <c r="C14096" s="6">
        <v>2500</v>
      </c>
      <c r="D14096" s="7">
        <v>2.75</v>
      </c>
      <c r="E14096" t="s">
        <v>11</v>
      </c>
    </row>
    <row r="14097" spans="1:5" x14ac:dyDescent="0.25">
      <c r="A14097" t="str">
        <f>HYPERLINK("https://www.773grp.com/globalSearch/MC74LCX652DW/page-1", "MC74LCX652DW")</f>
        <v>MC74LCX652DW</v>
      </c>
      <c r="B14097" s="3" t="str">
        <f>HYPERLINK("https://www.773grp.com/manufacturer/onsemi?pageNo=616", "Onsemi")</f>
        <v>Onsemi</v>
      </c>
      <c r="C14097" s="6">
        <v>1710</v>
      </c>
      <c r="D14097" s="7">
        <v>2.75</v>
      </c>
      <c r="E14097" t="s">
        <v>11</v>
      </c>
    </row>
    <row r="14098" spans="1:5" x14ac:dyDescent="0.25">
      <c r="A14098" t="str">
        <f>HYPERLINK("https://www.773grp.com/globalSearch/MC74LCX652DWR2/page-1", "MC74LCX652DWR2")</f>
        <v>MC74LCX652DWR2</v>
      </c>
      <c r="B14098" s="3" t="str">
        <f>HYPERLINK("https://www.773grp.com/manufacturer/onsemi?pageNo=617", "Onsemi")</f>
        <v>Onsemi</v>
      </c>
      <c r="C14098" s="6">
        <v>44000</v>
      </c>
      <c r="D14098" s="7">
        <v>2.75</v>
      </c>
      <c r="E14098" t="s">
        <v>11</v>
      </c>
    </row>
    <row r="14099" spans="1:5" x14ac:dyDescent="0.25">
      <c r="A14099" t="str">
        <f>HYPERLINK("https://www.773grp.com/globalSearch/MC74LVXC3245DW/page-1", "MC74LVXC3245DW")</f>
        <v>MC74LVXC3245DW</v>
      </c>
      <c r="B14099" s="3" t="str">
        <f>HYPERLINK("https://www.773grp.com/manufacturer/onsemi?pageNo=618", "Onsemi")</f>
        <v>Onsemi</v>
      </c>
      <c r="C14099" s="6">
        <v>12086</v>
      </c>
      <c r="D14099" s="7">
        <v>2.75</v>
      </c>
      <c r="E14099" t="s">
        <v>11</v>
      </c>
    </row>
    <row r="14100" spans="1:5" x14ac:dyDescent="0.25">
      <c r="A14100" t="str">
        <f>HYPERLINK("https://www.773grp.com/globalSearch/MCR69-2G/page-1", "MCR69-2G")</f>
        <v>MCR69-2G</v>
      </c>
      <c r="B14100" s="3" t="str">
        <f>HYPERLINK("https://www.773grp.com/manufacturer/onsemi?pageNo=619", "Onsemi")</f>
        <v>Onsemi</v>
      </c>
      <c r="C14100" s="6">
        <v>6215</v>
      </c>
      <c r="D14100" s="7">
        <v>2.75</v>
      </c>
      <c r="E14100" t="s">
        <v>76</v>
      </c>
    </row>
    <row r="14101" spans="1:5" x14ac:dyDescent="0.25">
      <c r="A14101" t="str">
        <f>HYPERLINK("https://www.773grp.com/globalSearch/MCR69-3G/page-1", "MCR69-3G")</f>
        <v>MCR69-3G</v>
      </c>
      <c r="B14101" s="3" t="str">
        <f>HYPERLINK("https://www.773grp.com/manufacturer/onsemi?pageNo=620", "Onsemi")</f>
        <v>Onsemi</v>
      </c>
      <c r="C14101" s="6">
        <v>1026</v>
      </c>
      <c r="D14101" s="7">
        <v>2.75</v>
      </c>
      <c r="E14101" t="s">
        <v>76</v>
      </c>
    </row>
    <row r="14102" spans="1:5" x14ac:dyDescent="0.25">
      <c r="A14102" t="str">
        <f>HYPERLINK("https://www.773grp.com/globalSearch/NCP1280DR2/page-1", "NCP1280DR2")</f>
        <v>NCP1280DR2</v>
      </c>
      <c r="B14102" s="3" t="str">
        <f>HYPERLINK("https://www.773grp.com/manufacturer/onsemi?pageNo=621", "Onsemi")</f>
        <v>Onsemi</v>
      </c>
      <c r="C14102" s="6">
        <v>2500</v>
      </c>
      <c r="D14102" s="7">
        <v>2.75</v>
      </c>
      <c r="E14102" t="s">
        <v>5</v>
      </c>
    </row>
    <row r="14103" spans="1:5" x14ac:dyDescent="0.25">
      <c r="A14103" t="str">
        <f>HYPERLINK("https://www.773grp.com/globalSearch/NCP1575DG/page-1", "NCP1575DG")</f>
        <v>NCP1575DG</v>
      </c>
      <c r="B14103" s="3" t="str">
        <f>HYPERLINK("https://www.773grp.com/manufacturer/onsemi?pageNo=622", "Onsemi")</f>
        <v>Onsemi</v>
      </c>
      <c r="C14103" s="6">
        <v>439</v>
      </c>
      <c r="D14103" s="7">
        <v>2.75</v>
      </c>
      <c r="E14103" t="s">
        <v>5</v>
      </c>
    </row>
    <row r="14104" spans="1:5" x14ac:dyDescent="0.25">
      <c r="A14104" t="str">
        <f>HYPERLINK("https://www.773grp.com/globalSearch/NCP1575DR2/page-1", "NCP1575DR2")</f>
        <v>NCP1575DR2</v>
      </c>
      <c r="B14104" s="3" t="str">
        <f>HYPERLINK("https://www.773grp.com/manufacturer/onsemi?pageNo=623", "Onsemi")</f>
        <v>Onsemi</v>
      </c>
      <c r="C14104" s="6">
        <v>2490</v>
      </c>
      <c r="D14104" s="7">
        <v>2.75</v>
      </c>
      <c r="E14104" t="s">
        <v>5</v>
      </c>
    </row>
    <row r="14105" spans="1:5" x14ac:dyDescent="0.25">
      <c r="A14105" t="str">
        <f>HYPERLINK("https://www.773grp.com/globalSearch/NCP1601ADR2G/page-1", "NCP1601ADR2G")</f>
        <v>NCP1601ADR2G</v>
      </c>
      <c r="B14105" s="3" t="str">
        <f>HYPERLINK("https://www.773grp.com/manufacturer/onsemi?pageNo=624", "Onsemi")</f>
        <v>Onsemi</v>
      </c>
      <c r="C14105" s="6">
        <v>14670</v>
      </c>
      <c r="D14105" s="7">
        <v>2.75</v>
      </c>
      <c r="E14105" t="s">
        <v>5</v>
      </c>
    </row>
    <row r="14106" spans="1:5" x14ac:dyDescent="0.25">
      <c r="A14106" t="str">
        <f>HYPERLINK("https://www.773grp.com/globalSearch/NCP5392EMNR2G/page-1", "NCP5392EMNR2G")</f>
        <v>NCP5392EMNR2G</v>
      </c>
      <c r="B14106" s="3" t="str">
        <f>HYPERLINK("https://www.773grp.com/manufacturer/onsemi?pageNo=625", "Onsemi")</f>
        <v>Onsemi</v>
      </c>
      <c r="C14106" s="6">
        <v>2500</v>
      </c>
      <c r="D14106" s="7">
        <v>2.75</v>
      </c>
    </row>
    <row r="14107" spans="1:5" x14ac:dyDescent="0.25">
      <c r="A14107" t="str">
        <f>HYPERLINK("https://www.773grp.com/globalSearch/NCP5392MNR2G/page-1", "NCP5392MNR2G")</f>
        <v>NCP5392MNR2G</v>
      </c>
      <c r="B14107" s="3" t="str">
        <f>HYPERLINK("https://www.773grp.com/manufacturer/onsemi?pageNo=626", "Onsemi")</f>
        <v>Onsemi</v>
      </c>
      <c r="C14107" s="6">
        <v>12459</v>
      </c>
      <c r="D14107" s="7">
        <v>2.75</v>
      </c>
      <c r="E14107" t="s">
        <v>5</v>
      </c>
    </row>
    <row r="14108" spans="1:5" x14ac:dyDescent="0.25">
      <c r="A14108" t="str">
        <f>HYPERLINK("https://www.773grp.com/globalSearch/NCP5392PMNR2G/page-1", "NCP5392PMNR2G")</f>
        <v>NCP5392PMNR2G</v>
      </c>
      <c r="B14108" s="3" t="str">
        <f>HYPERLINK("https://www.773grp.com/manufacturer/onsemi?pageNo=627", "Onsemi")</f>
        <v>Onsemi</v>
      </c>
      <c r="C14108" s="6">
        <v>3690</v>
      </c>
      <c r="D14108" s="7">
        <v>2.75</v>
      </c>
    </row>
    <row r="14109" spans="1:5" x14ac:dyDescent="0.25">
      <c r="A14109" t="str">
        <f>HYPERLINK("https://www.773grp.com/globalSearch/NCP5392QMNR2G/page-1", "NCP5392QMNR2G")</f>
        <v>NCP5392QMNR2G</v>
      </c>
      <c r="B14109" s="3" t="str">
        <f>HYPERLINK("https://www.773grp.com/manufacturer/onsemi?pageNo=628", "Onsemi")</f>
        <v>Onsemi</v>
      </c>
      <c r="C14109" s="6">
        <v>62500</v>
      </c>
      <c r="D14109" s="7">
        <v>2.75</v>
      </c>
    </row>
    <row r="14110" spans="1:5" x14ac:dyDescent="0.25">
      <c r="A14110" t="str">
        <f>HYPERLINK("https://www.773grp.com/globalSearch/NCP5392TMNR2G/page-1", "NCP5392TMNR2G")</f>
        <v>NCP5392TMNR2G</v>
      </c>
      <c r="B14110" s="3" t="str">
        <f>HYPERLINK("https://www.773grp.com/manufacturer/onsemi?pageNo=629", "Onsemi")</f>
        <v>Onsemi</v>
      </c>
      <c r="C14110" s="6">
        <v>107500</v>
      </c>
      <c r="D14110" s="7">
        <v>2.75</v>
      </c>
    </row>
    <row r="14111" spans="1:5" x14ac:dyDescent="0.25">
      <c r="A14111" t="str">
        <f>HYPERLINK("https://www.773grp.com/globalSearch/NCV4264D50R2G/page-1", "NCV4264D50R2G")</f>
        <v>NCV4264D50R2G</v>
      </c>
      <c r="B14111" s="3" t="str">
        <f>HYPERLINK("https://www.773grp.com/manufacturer/onsemi?pageNo=630", "Onsemi")</f>
        <v>Onsemi</v>
      </c>
      <c r="C14111" s="6">
        <v>1140</v>
      </c>
      <c r="D14111" s="7">
        <v>2.75</v>
      </c>
    </row>
    <row r="14112" spans="1:5" x14ac:dyDescent="0.25">
      <c r="A14112" t="str">
        <f>HYPERLINK("https://www.773grp.com/globalSearch/NCV4264ST33T3G/page-1", "NCV4264ST33T3G")</f>
        <v>NCV4264ST33T3G</v>
      </c>
      <c r="B14112" s="3" t="str">
        <f>HYPERLINK("https://www.773grp.com/manufacturer/onsemi?pageNo=631", "Onsemi")</f>
        <v>Onsemi</v>
      </c>
      <c r="C14112" s="6">
        <v>5605</v>
      </c>
      <c r="D14112" s="7">
        <v>2.75</v>
      </c>
      <c r="E14112" t="s">
        <v>15</v>
      </c>
    </row>
    <row r="14113" spans="1:5" x14ac:dyDescent="0.25">
      <c r="A14113" t="str">
        <f>HYPERLINK("https://www.773grp.com/globalSearch/NCV4264ST50T3G/page-1", "NCV4264ST50T3G")</f>
        <v>NCV4264ST50T3G</v>
      </c>
      <c r="B14113" s="3" t="str">
        <f>HYPERLINK("https://www.773grp.com/manufacturer/onsemi?pageNo=632", "Onsemi")</f>
        <v>Onsemi</v>
      </c>
      <c r="C14113" s="6">
        <v>63423</v>
      </c>
      <c r="D14113" s="7">
        <v>2.75</v>
      </c>
      <c r="E14113" t="s">
        <v>15</v>
      </c>
    </row>
    <row r="14114" spans="1:5" x14ac:dyDescent="0.25">
      <c r="A14114" t="str">
        <f>HYPERLINK("https://www.773grp.com/globalSearch/NCV8501DADJ/page-1", "NCV8501DADJ")</f>
        <v>NCV8501DADJ</v>
      </c>
      <c r="B14114" s="3" t="str">
        <f>HYPERLINK("https://www.773grp.com/manufacturer/onsemi?pageNo=633", "Onsemi")</f>
        <v>Onsemi</v>
      </c>
      <c r="C14114" s="6">
        <v>882</v>
      </c>
      <c r="D14114" s="7">
        <v>2.75</v>
      </c>
      <c r="E14114" t="s">
        <v>21</v>
      </c>
    </row>
    <row r="14115" spans="1:5" x14ac:dyDescent="0.25">
      <c r="A14115" t="str">
        <f>HYPERLINK("https://www.773grp.com/globalSearch/NGD18N45CLBT4G/page-1", "NGD18N45CLBT4G")</f>
        <v>NGD18N45CLBT4G</v>
      </c>
      <c r="B14115" s="3" t="str">
        <f>HYPERLINK("https://www.773grp.com/manufacturer/onsemi?pageNo=634", "Onsemi")</f>
        <v>Onsemi</v>
      </c>
      <c r="C14115" s="6">
        <v>14960</v>
      </c>
      <c r="D14115" s="7">
        <v>2.75</v>
      </c>
    </row>
    <row r="14116" spans="1:5" x14ac:dyDescent="0.25">
      <c r="A14116" t="str">
        <f>HYPERLINK("https://www.773grp.com/globalSearch/SA5230DG/page-1", "SA5230DG")</f>
        <v>SA5230DG</v>
      </c>
      <c r="B14116" s="3" t="str">
        <f>HYPERLINK("https://www.773grp.com/manufacturer/onsemi?pageNo=635", "Onsemi")</f>
        <v>Onsemi</v>
      </c>
      <c r="C14116" s="6">
        <v>11172</v>
      </c>
      <c r="D14116" s="7">
        <v>2.75</v>
      </c>
      <c r="E14116" t="s">
        <v>10</v>
      </c>
    </row>
    <row r="14117" spans="1:5" x14ac:dyDescent="0.25">
      <c r="A14117" t="str">
        <f>HYPERLINK("https://www.773grp.com/globalSearch/SA5230DR2G/page-1", "SA5230DR2G")</f>
        <v>SA5230DR2G</v>
      </c>
      <c r="B14117" s="3" t="str">
        <f>HYPERLINK("https://www.773grp.com/manufacturer/onsemi?pageNo=636", "Onsemi")</f>
        <v>Onsemi</v>
      </c>
      <c r="C14117" s="6">
        <v>13011</v>
      </c>
      <c r="D14117" s="7">
        <v>2.75</v>
      </c>
      <c r="E14117" t="s">
        <v>10</v>
      </c>
    </row>
    <row r="14118" spans="1:5" x14ac:dyDescent="0.25">
      <c r="A14118" t="str">
        <f>HYPERLINK("https://www.773grp.com/globalSearch/SC78117P1/page-1", "SC78117P1")</f>
        <v>SC78117P1</v>
      </c>
      <c r="B14118" s="3" t="str">
        <f>HYPERLINK("https://www.773grp.com/manufacturer/onsemi?pageNo=637", "Onsemi")</f>
        <v>Onsemi</v>
      </c>
      <c r="C14118" s="6">
        <v>4000</v>
      </c>
      <c r="D14118" s="7">
        <v>2.75</v>
      </c>
    </row>
    <row r="14119" spans="1:5" x14ac:dyDescent="0.25">
      <c r="A14119" t="str">
        <f>HYPERLINK("https://www.773grp.com/globalSearch/SCYA5230DR2G/page-1", "SCYA5230DR2G")</f>
        <v>SCYA5230DR2G</v>
      </c>
      <c r="B14119" s="3" t="str">
        <f>HYPERLINK("https://www.773grp.com/manufacturer/onsemi?pageNo=638", "Onsemi")</f>
        <v>Onsemi</v>
      </c>
      <c r="C14119" s="6">
        <v>2500</v>
      </c>
      <c r="D14119" s="7">
        <v>2.75</v>
      </c>
    </row>
    <row r="14120" spans="1:5" x14ac:dyDescent="0.25">
      <c r="A14120" t="str">
        <f>HYPERLINK("https://www.773grp.com/globalSearch/BDW47G/page-1", "BDW47G")</f>
        <v>BDW47G</v>
      </c>
      <c r="B14120" s="3" t="str">
        <f>HYPERLINK("https://www.773grp.com/manufacturer/onsemi?pageNo=639", "Onsemi")</f>
        <v>Onsemi</v>
      </c>
      <c r="C14120" s="6">
        <v>2915</v>
      </c>
      <c r="D14120" s="7">
        <v>2.8</v>
      </c>
      <c r="E14120" t="s">
        <v>47</v>
      </c>
    </row>
    <row r="14121" spans="1:5" x14ac:dyDescent="0.25">
      <c r="A14121" t="str">
        <f>HYPERLINK("https://www.773grp.com/globalSearch/CS5205-3GDPR3/page-1", "CS5205-3GDPR3")</f>
        <v>CS5205-3GDPR3</v>
      </c>
      <c r="B14121" s="3" t="str">
        <f>HYPERLINK("https://www.773grp.com/manufacturer/onsemi?pageNo=640", "Onsemi")</f>
        <v>Onsemi</v>
      </c>
      <c r="C14121" s="6">
        <v>4500</v>
      </c>
      <c r="D14121" s="7">
        <v>2.8</v>
      </c>
      <c r="E14121" t="s">
        <v>15</v>
      </c>
    </row>
    <row r="14122" spans="1:5" x14ac:dyDescent="0.25">
      <c r="A14122" t="str">
        <f>HYPERLINK("https://www.773grp.com/globalSearch/CS5207-1GT3/page-1", "CS5207-1GT3")</f>
        <v>CS5207-1GT3</v>
      </c>
      <c r="B14122" s="3" t="str">
        <f>HYPERLINK("https://www.773grp.com/manufacturer/onsemi?pageNo=641", "Onsemi")</f>
        <v>Onsemi</v>
      </c>
      <c r="C14122" s="6">
        <v>349</v>
      </c>
      <c r="D14122" s="7">
        <v>2.8</v>
      </c>
      <c r="E14122" t="s">
        <v>21</v>
      </c>
    </row>
    <row r="14123" spans="1:5" x14ac:dyDescent="0.25">
      <c r="A14123" t="str">
        <f>HYPERLINK("https://www.773grp.com/globalSearch/LA5735M-TE-L-E/page-1", "LA5735M-TE-L-E")</f>
        <v>LA5735M-TE-L-E</v>
      </c>
      <c r="B14123" s="3" t="str">
        <f>HYPERLINK("https://www.773grp.com/manufacturer/onsemi?pageNo=642", "Onsemi")</f>
        <v>Onsemi</v>
      </c>
      <c r="C14123" s="6">
        <v>1000</v>
      </c>
      <c r="D14123" s="7">
        <v>2.8</v>
      </c>
    </row>
    <row r="14124" spans="1:5" x14ac:dyDescent="0.25">
      <c r="A14124" t="str">
        <f>HYPERLINK("https://www.773grp.com/globalSearch/LB11970RV-TLM-H/page-1", "LB11970RV-TLM-H")</f>
        <v>LB11970RV-TLM-H</v>
      </c>
      <c r="B14124" s="3" t="str">
        <f>HYPERLINK("https://www.773grp.com/manufacturer/onsemi?pageNo=643", "Onsemi")</f>
        <v>Onsemi</v>
      </c>
      <c r="C14124" s="6">
        <v>48000</v>
      </c>
      <c r="D14124" s="7">
        <v>2.8</v>
      </c>
    </row>
    <row r="14125" spans="1:5" x14ac:dyDescent="0.25">
      <c r="A14125" t="str">
        <f>HYPERLINK("https://www.773grp.com/globalSearch/LP2950ACDT-5.0RK/page-1", "LP2950ACDT-5.0RK")</f>
        <v>LP2950ACDT-5.0RK</v>
      </c>
      <c r="B14125" s="3" t="str">
        <f>HYPERLINK("https://www.773grp.com/manufacturer/onsemi?pageNo=644", "Onsemi")</f>
        <v>Onsemi</v>
      </c>
      <c r="C14125" s="6">
        <v>2500</v>
      </c>
      <c r="D14125" s="7">
        <v>2.8</v>
      </c>
      <c r="E14125" t="s">
        <v>15</v>
      </c>
    </row>
    <row r="14126" spans="1:5" x14ac:dyDescent="0.25">
      <c r="A14126" t="str">
        <f>HYPERLINK("https://www.773grp.com/globalSearch/MBRF745/page-1", "MBRF745")</f>
        <v>MBRF745</v>
      </c>
      <c r="B14126" s="3" t="str">
        <f>HYPERLINK("https://www.773grp.com/manufacturer/onsemi?pageNo=645", "Onsemi")</f>
        <v>Onsemi</v>
      </c>
      <c r="C14126" s="6">
        <v>40375</v>
      </c>
      <c r="D14126" s="7">
        <v>2.8</v>
      </c>
      <c r="E14126" t="s">
        <v>82</v>
      </c>
    </row>
    <row r="14127" spans="1:5" x14ac:dyDescent="0.25">
      <c r="A14127" t="str">
        <f>HYPERLINK("https://www.773grp.com/globalSearch/MC33151DR2/page-1", "MC33151DR2")</f>
        <v>MC33151DR2</v>
      </c>
      <c r="B14127" s="3" t="str">
        <f>HYPERLINK("https://www.773grp.com/manufacturer/onsemi?pageNo=646", "Onsemi")</f>
        <v>Onsemi</v>
      </c>
      <c r="C14127" s="6">
        <v>2349</v>
      </c>
      <c r="D14127" s="7">
        <v>2.8</v>
      </c>
      <c r="E14127" t="s">
        <v>12</v>
      </c>
    </row>
    <row r="14128" spans="1:5" x14ac:dyDescent="0.25">
      <c r="A14128" t="str">
        <f>HYPERLINK("https://www.773grp.com/globalSearch/MC74F169N/page-1", "MC74F169N")</f>
        <v>MC74F169N</v>
      </c>
      <c r="B14128" s="3" t="str">
        <f>HYPERLINK("https://www.773grp.com/manufacturer/onsemi?pageNo=647", "Onsemi")</f>
        <v>Onsemi</v>
      </c>
      <c r="C14128" s="6">
        <v>1289</v>
      </c>
      <c r="D14128" s="7">
        <v>2.8</v>
      </c>
      <c r="E14128" t="s">
        <v>22</v>
      </c>
    </row>
    <row r="14129" spans="1:5" x14ac:dyDescent="0.25">
      <c r="A14129" t="str">
        <f>HYPERLINK("https://www.773grp.com/globalSearch/MC74HC154N/page-1", "MC74HC154N")</f>
        <v>MC74HC154N</v>
      </c>
      <c r="B14129" s="3" t="str">
        <f>HYPERLINK("https://www.773grp.com/manufacturer/onsemi?pageNo=648", "Onsemi")</f>
        <v>Onsemi</v>
      </c>
      <c r="C14129" s="6">
        <v>79</v>
      </c>
      <c r="D14129" s="7">
        <v>2.8</v>
      </c>
      <c r="E14129" t="s">
        <v>32</v>
      </c>
    </row>
    <row r="14130" spans="1:5" x14ac:dyDescent="0.25">
      <c r="A14130" t="str">
        <f>HYPERLINK("https://www.773grp.com/globalSearch/MJE16004/page-1", "MJE16004")</f>
        <v>MJE16004</v>
      </c>
      <c r="B14130" s="3" t="str">
        <f>HYPERLINK("https://www.773grp.com/manufacturer/onsemi?pageNo=649", "Onsemi")</f>
        <v>Onsemi</v>
      </c>
      <c r="C14130" s="6">
        <v>133526</v>
      </c>
      <c r="D14130" s="7">
        <v>2.8</v>
      </c>
      <c r="E14130" t="s">
        <v>47</v>
      </c>
    </row>
    <row r="14131" spans="1:5" x14ac:dyDescent="0.25">
      <c r="A14131" t="str">
        <f>HYPERLINK("https://www.773grp.com/globalSearch/MJW0302A/page-1", "MJW0302A")</f>
        <v>MJW0302A</v>
      </c>
      <c r="B14131" s="3" t="str">
        <f>HYPERLINK("https://www.773grp.com/manufacturer/onsemi?pageNo=650", "Onsemi")</f>
        <v>Onsemi</v>
      </c>
      <c r="C14131" s="6">
        <v>1660</v>
      </c>
      <c r="D14131" s="7">
        <v>2.8</v>
      </c>
      <c r="E14131" t="s">
        <v>47</v>
      </c>
    </row>
    <row r="14132" spans="1:5" x14ac:dyDescent="0.25">
      <c r="A14132" t="str">
        <f>HYPERLINK("https://www.773grp.com/globalSearch/MJW0302AG/page-1", "MJW0302AG")</f>
        <v>MJW0302AG</v>
      </c>
      <c r="B14132" s="3" t="str">
        <f>HYPERLINK("https://www.773grp.com/manufacturer/onsemi?pageNo=651", "Onsemi")</f>
        <v>Onsemi</v>
      </c>
      <c r="C14132" s="6">
        <v>1590</v>
      </c>
      <c r="D14132" s="7">
        <v>2.8</v>
      </c>
    </row>
    <row r="14133" spans="1:5" x14ac:dyDescent="0.25">
      <c r="A14133" t="str">
        <f>HYPERLINK("https://www.773grp.com/globalSearch/MTAJ27N06ELFK/page-1", "MTAJ27N06ELFK")</f>
        <v>MTAJ27N06ELFK</v>
      </c>
      <c r="B14133" s="3" t="str">
        <f>HYPERLINK("https://www.773grp.com/manufacturer/onsemi?pageNo=652", "Onsemi")</f>
        <v>Onsemi</v>
      </c>
      <c r="C14133" s="6">
        <v>9</v>
      </c>
      <c r="D14133" s="7">
        <v>2.8</v>
      </c>
    </row>
    <row r="14134" spans="1:5" x14ac:dyDescent="0.25">
      <c r="A14134" t="str">
        <f>HYPERLINK("https://www.773grp.com/globalSearch/MTB30P06V/page-1", "MTB30P06V")</f>
        <v>MTB30P06V</v>
      </c>
      <c r="B14134" s="3" t="str">
        <f>HYPERLINK("https://www.773grp.com/manufacturer/onsemi?pageNo=653", "Onsemi")</f>
        <v>Onsemi</v>
      </c>
      <c r="C14134" s="6">
        <v>5176</v>
      </c>
      <c r="D14134" s="7">
        <v>2.8</v>
      </c>
      <c r="E14134" t="s">
        <v>84</v>
      </c>
    </row>
    <row r="14135" spans="1:5" x14ac:dyDescent="0.25">
      <c r="A14135" t="str">
        <f>HYPERLINK("https://www.773grp.com/globalSearch/MTP9N25E/page-1", "MTP9N25E")</f>
        <v>MTP9N25E</v>
      </c>
      <c r="B14135" s="3" t="str">
        <f>HYPERLINK("https://www.773grp.com/manufacturer/onsemi?pageNo=654", "Onsemi")</f>
        <v>Onsemi</v>
      </c>
      <c r="C14135" s="6">
        <v>4493</v>
      </c>
      <c r="D14135" s="7">
        <v>2.8</v>
      </c>
      <c r="E14135" t="s">
        <v>84</v>
      </c>
    </row>
    <row r="14136" spans="1:5" x14ac:dyDescent="0.25">
      <c r="A14136" t="str">
        <f>HYPERLINK("https://www.773grp.com/globalSearch/MURHB840CTT4/page-1", "MURHB840CTT4")</f>
        <v>MURHB840CTT4</v>
      </c>
      <c r="B14136" s="3" t="str">
        <f>HYPERLINK("https://www.773grp.com/manufacturer/onsemi?pageNo=655", "Onsemi")</f>
        <v>Onsemi</v>
      </c>
      <c r="C14136" s="6">
        <v>3528</v>
      </c>
      <c r="D14136" s="7">
        <v>2.8</v>
      </c>
      <c r="E14136" t="s">
        <v>82</v>
      </c>
    </row>
    <row r="14137" spans="1:5" x14ac:dyDescent="0.25">
      <c r="A14137" t="str">
        <f>HYPERLINK("https://www.773grp.com/globalSearch/NCN6011DMR2/page-1", "NCN6011DMR2")</f>
        <v>NCN6011DMR2</v>
      </c>
      <c r="B14137" s="3" t="str">
        <f>HYPERLINK("https://www.773grp.com/manufacturer/onsemi?pageNo=656", "Onsemi")</f>
        <v>Onsemi</v>
      </c>
      <c r="C14137" s="6">
        <v>8000</v>
      </c>
      <c r="D14137" s="7">
        <v>2.8</v>
      </c>
      <c r="E14137" t="s">
        <v>36</v>
      </c>
    </row>
    <row r="14138" spans="1:5" x14ac:dyDescent="0.25">
      <c r="A14138" t="str">
        <f>HYPERLINK("https://www.773grp.com/globalSearch/NCN6011DTB/page-1", "NCN6011DTB")</f>
        <v>NCN6011DTB</v>
      </c>
      <c r="B14138" s="3" t="str">
        <f>HYPERLINK("https://www.773grp.com/manufacturer/onsemi?pageNo=657", "Onsemi")</f>
        <v>Onsemi</v>
      </c>
      <c r="C14138" s="6">
        <v>12965</v>
      </c>
      <c r="D14138" s="7">
        <v>2.8</v>
      </c>
      <c r="E14138" t="s">
        <v>36</v>
      </c>
    </row>
    <row r="14139" spans="1:5" x14ac:dyDescent="0.25">
      <c r="A14139" t="str">
        <f>HYPERLINK("https://www.773grp.com/globalSearch/NCN6011DTBR2/page-1", "NCN6011DTBR2")</f>
        <v>NCN6011DTBR2</v>
      </c>
      <c r="B14139" s="3" t="str">
        <f>HYPERLINK("https://www.773grp.com/manufacturer/onsemi?pageNo=658", "Onsemi")</f>
        <v>Onsemi</v>
      </c>
      <c r="C14139" s="6">
        <v>5000</v>
      </c>
      <c r="D14139" s="7">
        <v>2.8</v>
      </c>
      <c r="E14139" t="s">
        <v>36</v>
      </c>
    </row>
    <row r="14140" spans="1:5" x14ac:dyDescent="0.25">
      <c r="A14140" t="str">
        <f>HYPERLINK("https://www.773grp.com/globalSearch/NCP1002PG/page-1", "NCP1002PG")</f>
        <v>NCP1002PG</v>
      </c>
      <c r="B14140" s="3" t="str">
        <f>HYPERLINK("https://www.773grp.com/manufacturer/onsemi?pageNo=659", "Onsemi")</f>
        <v>Onsemi</v>
      </c>
      <c r="C14140" s="6">
        <v>2168</v>
      </c>
      <c r="D14140" s="7">
        <v>2.8</v>
      </c>
      <c r="E14140" t="s">
        <v>5</v>
      </c>
    </row>
    <row r="14141" spans="1:5" x14ac:dyDescent="0.25">
      <c r="A14141" t="str">
        <f>HYPERLINK("https://www.773grp.com/globalSearch/NCP1509MNR2/page-1", "NCP1509MNR2")</f>
        <v>NCP1509MNR2</v>
      </c>
      <c r="B14141" s="3" t="str">
        <f>HYPERLINK("https://www.773grp.com/manufacturer/onsemi?pageNo=660", "Onsemi")</f>
        <v>Onsemi</v>
      </c>
      <c r="C14141" s="6">
        <v>27000</v>
      </c>
      <c r="D14141" s="7">
        <v>2.8</v>
      </c>
      <c r="E14141" t="s">
        <v>5</v>
      </c>
    </row>
    <row r="14142" spans="1:5" x14ac:dyDescent="0.25">
      <c r="A14142" t="str">
        <f>HYPERLINK("https://www.773grp.com/globalSearch/NCP1523FCT2G/page-1", "NCP1523FCT2G")</f>
        <v>NCP1523FCT2G</v>
      </c>
      <c r="B14142" s="3" t="str">
        <f>HYPERLINK("https://www.773grp.com/manufacturer/onsemi?pageNo=661", "Onsemi")</f>
        <v>Onsemi</v>
      </c>
      <c r="C14142" s="6">
        <v>119932</v>
      </c>
      <c r="D14142" s="7">
        <v>2.8</v>
      </c>
      <c r="E14142" t="s">
        <v>5</v>
      </c>
    </row>
    <row r="14143" spans="1:5" x14ac:dyDescent="0.25">
      <c r="A14143" t="str">
        <f>HYPERLINK("https://www.773grp.com/globalSearch/NCP51510MNTWG/page-1", "NCP51510MNTWG")</f>
        <v>NCP51510MNTWG</v>
      </c>
      <c r="B14143" s="3" t="str">
        <f>HYPERLINK("https://www.773grp.com/manufacturer/onsemi?pageNo=662", "Onsemi")</f>
        <v>Onsemi</v>
      </c>
      <c r="C14143" s="6">
        <v>5860</v>
      </c>
      <c r="D14143" s="7">
        <v>2.8</v>
      </c>
    </row>
    <row r="14144" spans="1:5" x14ac:dyDescent="0.25">
      <c r="A14144" t="str">
        <f>HYPERLINK("https://www.773grp.com/globalSearch/NCP5386BMNR2G/page-1", "NCP5386BMNR2G")</f>
        <v>NCP5386BMNR2G</v>
      </c>
      <c r="B14144" s="3" t="str">
        <f>HYPERLINK("https://www.773grp.com/manufacturer/onsemi?pageNo=663", "Onsemi")</f>
        <v>Onsemi</v>
      </c>
      <c r="C14144" s="6">
        <v>7500</v>
      </c>
      <c r="D14144" s="7">
        <v>2.8</v>
      </c>
      <c r="E14144" t="s">
        <v>5</v>
      </c>
    </row>
    <row r="14145" spans="1:5" x14ac:dyDescent="0.25">
      <c r="A14145" t="str">
        <f>HYPERLINK("https://www.773grp.com/globalSearch/NCV7420D23R2G/page-1", "NCV7420D23R2G")</f>
        <v>NCV7420D23R2G</v>
      </c>
      <c r="B14145" s="3" t="str">
        <f>HYPERLINK("https://www.773grp.com/manufacturer/onsemi?pageNo=664", "Onsemi")</f>
        <v>Onsemi</v>
      </c>
      <c r="C14145" s="6">
        <v>3000</v>
      </c>
      <c r="D14145" s="7">
        <v>2.8</v>
      </c>
      <c r="E14145" t="s">
        <v>17</v>
      </c>
    </row>
    <row r="14146" spans="1:5" x14ac:dyDescent="0.25">
      <c r="A14146" t="str">
        <f>HYPERLINK("https://www.773grp.com/globalSearch/NCV7420D25G/page-1", "NCV7420D25G")</f>
        <v>NCV7420D25G</v>
      </c>
      <c r="B14146" s="3" t="str">
        <f>HYPERLINK("https://www.773grp.com/manufacturer/onsemi?pageNo=665", "Onsemi")</f>
        <v>Onsemi</v>
      </c>
      <c r="C14146" s="6">
        <v>110</v>
      </c>
      <c r="D14146" s="7">
        <v>2.8</v>
      </c>
      <c r="E14146" t="s">
        <v>17</v>
      </c>
    </row>
    <row r="14147" spans="1:5" x14ac:dyDescent="0.25">
      <c r="A14147" t="str">
        <f>HYPERLINK("https://www.773grp.com/globalSearch/NTD5802NT4G/page-1", "NTD5802NT4G")</f>
        <v>NTD5802NT4G</v>
      </c>
      <c r="B14147" s="3" t="str">
        <f>HYPERLINK("https://www.773grp.com/manufacturer/onsemi?pageNo=666", "Onsemi")</f>
        <v>Onsemi</v>
      </c>
      <c r="C14147" s="6">
        <v>762</v>
      </c>
      <c r="D14147" s="7">
        <v>2.8</v>
      </c>
    </row>
    <row r="14148" spans="1:5" x14ac:dyDescent="0.25">
      <c r="A14148" t="str">
        <f>HYPERLINK("https://www.773grp.com/globalSearch/NTP35N15/page-1", "NTP35N15")</f>
        <v>NTP35N15</v>
      </c>
      <c r="B14148" s="3" t="str">
        <f>HYPERLINK("https://www.773grp.com/manufacturer/onsemi?pageNo=667", "Onsemi")</f>
        <v>Onsemi</v>
      </c>
      <c r="C14148" s="6">
        <v>17597</v>
      </c>
      <c r="D14148" s="7">
        <v>2.8</v>
      </c>
      <c r="E14148" t="s">
        <v>84</v>
      </c>
    </row>
    <row r="14149" spans="1:5" x14ac:dyDescent="0.25">
      <c r="A14149" t="str">
        <f>HYPERLINK("https://www.773grp.com/globalSearch/NUS3055MUTAG/page-1", "NUS3055MUTAG")</f>
        <v>NUS3055MUTAG</v>
      </c>
      <c r="B14149" s="3" t="str">
        <f>HYPERLINK("https://www.773grp.com/manufacturer/onsemi?pageNo=668", "Onsemi")</f>
        <v>Onsemi</v>
      </c>
      <c r="C14149" s="6">
        <v>17962</v>
      </c>
      <c r="D14149" s="7">
        <v>2.8</v>
      </c>
      <c r="E14149" t="s">
        <v>26</v>
      </c>
    </row>
    <row r="14150" spans="1:5" x14ac:dyDescent="0.25">
      <c r="A14150" t="str">
        <f>HYPERLINK("https://www.773grp.com/globalSearch/SA5534ADG/page-1", "SA5534ADG")</f>
        <v>SA5534ADG</v>
      </c>
      <c r="B14150" s="3" t="str">
        <f>HYPERLINK("https://www.773grp.com/manufacturer/onsemi?pageNo=669", "Onsemi")</f>
        <v>Onsemi</v>
      </c>
      <c r="C14150" s="6">
        <v>490</v>
      </c>
      <c r="D14150" s="7">
        <v>2.8</v>
      </c>
      <c r="E14150" t="s">
        <v>10</v>
      </c>
    </row>
    <row r="14151" spans="1:5" x14ac:dyDescent="0.25">
      <c r="A14151" t="str">
        <f>HYPERLINK("https://www.773grp.com/globalSearch/SA5534ADR2/page-1", "SA5534ADR2")</f>
        <v>SA5534ADR2</v>
      </c>
      <c r="B14151" s="3" t="str">
        <f>HYPERLINK("https://www.773grp.com/manufacturer/onsemi?pageNo=670", "Onsemi")</f>
        <v>Onsemi</v>
      </c>
      <c r="C14151" s="6">
        <v>2252</v>
      </c>
      <c r="D14151" s="7">
        <v>2.8</v>
      </c>
      <c r="E14151" t="s">
        <v>10</v>
      </c>
    </row>
    <row r="14152" spans="1:5" x14ac:dyDescent="0.25">
      <c r="A14152" t="str">
        <f>HYPERLINK("https://www.773grp.com/globalSearch/SA5534ADR2G/page-1", "SA5534ADR2G")</f>
        <v>SA5534ADR2G</v>
      </c>
      <c r="B14152" s="3" t="str">
        <f>HYPERLINK("https://www.773grp.com/manufacturer/onsemi?pageNo=671", "Onsemi")</f>
        <v>Onsemi</v>
      </c>
      <c r="C14152" s="6">
        <v>9451</v>
      </c>
      <c r="D14152" s="7">
        <v>2.8</v>
      </c>
      <c r="E14152" t="s">
        <v>10</v>
      </c>
    </row>
    <row r="14153" spans="1:5" x14ac:dyDescent="0.25">
      <c r="A14153" t="str">
        <f>HYPERLINK("https://www.773grp.com/globalSearch/SC027MG066BFR2/page-1", "SC027MG066BFR2")</f>
        <v>SC027MG066BFR2</v>
      </c>
      <c r="B14153" s="3" t="str">
        <f>HYPERLINK("https://www.773grp.com/manufacturer/onsemi?pageNo=672", "Onsemi")</f>
        <v>Onsemi</v>
      </c>
      <c r="C14153" s="6">
        <v>4000</v>
      </c>
      <c r="D14153" s="7">
        <v>2.8</v>
      </c>
    </row>
    <row r="14154" spans="1:5" x14ac:dyDescent="0.25">
      <c r="A14154" t="str">
        <f>HYPERLINK("https://www.773grp.com/globalSearch/STP8053/page-1", "STP8053")</f>
        <v>STP8053</v>
      </c>
      <c r="B14154" s="3" t="str">
        <f>HYPERLINK("https://www.773grp.com/manufacturer/onsemi?pageNo=673", "Onsemi")</f>
        <v>Onsemi</v>
      </c>
      <c r="C14154" s="6">
        <v>17700</v>
      </c>
      <c r="D14154" s="7">
        <v>2.8</v>
      </c>
    </row>
    <row r="14155" spans="1:5" x14ac:dyDescent="0.25">
      <c r="A14155" t="str">
        <f>HYPERLINK("https://www.773grp.com/globalSearch/ATP602-TL-H/page-1", "ATP602-TL-H")</f>
        <v>ATP602-TL-H</v>
      </c>
      <c r="B14155" s="3" t="str">
        <f>HYPERLINK("https://www.773grp.com/manufacturer/onsemi?pageNo=674", "Onsemi")</f>
        <v>Onsemi</v>
      </c>
      <c r="C14155" s="6">
        <v>3000</v>
      </c>
      <c r="D14155" s="7">
        <v>2.85</v>
      </c>
    </row>
    <row r="14156" spans="1:5" x14ac:dyDescent="0.25">
      <c r="A14156" t="str">
        <f>HYPERLINK("https://www.773grp.com/globalSearch/BTA16-600BW3G/page-1", "BTA16-600BW3G")</f>
        <v>BTA16-600BW3G</v>
      </c>
      <c r="B14156" s="3" t="str">
        <f>HYPERLINK("https://www.773grp.com/manufacturer/onsemi?pageNo=675", "Onsemi")</f>
        <v>Onsemi</v>
      </c>
      <c r="C14156" s="6">
        <v>117000</v>
      </c>
      <c r="D14156" s="7">
        <v>2.85</v>
      </c>
      <c r="E14156" t="s">
        <v>81</v>
      </c>
    </row>
    <row r="14157" spans="1:5" x14ac:dyDescent="0.25">
      <c r="A14157" t="str">
        <f>HYPERLINK("https://www.773grp.com/globalSearch/BTA16-600CW3G/page-1", "BTA16-600CW3G")</f>
        <v>BTA16-600CW3G</v>
      </c>
      <c r="B14157" s="3" t="str">
        <f>HYPERLINK("https://www.773grp.com/manufacturer/onsemi?pageNo=676", "Onsemi")</f>
        <v>Onsemi</v>
      </c>
      <c r="C14157" s="6">
        <v>2700</v>
      </c>
      <c r="D14157" s="7">
        <v>2.85</v>
      </c>
    </row>
    <row r="14158" spans="1:5" x14ac:dyDescent="0.25">
      <c r="A14158" t="str">
        <f>HYPERLINK("https://www.773grp.com/globalSearch/BTA16-600SW3G/page-1", "BTA16-600SW3G")</f>
        <v>BTA16-600SW3G</v>
      </c>
      <c r="B14158" s="3" t="str">
        <f>HYPERLINK("https://www.773grp.com/manufacturer/onsemi?pageNo=677", "Onsemi")</f>
        <v>Onsemi</v>
      </c>
      <c r="C14158" s="6">
        <v>32750</v>
      </c>
      <c r="D14158" s="7">
        <v>2.85</v>
      </c>
    </row>
    <row r="14159" spans="1:5" x14ac:dyDescent="0.25">
      <c r="A14159" t="str">
        <f>HYPERLINK("https://www.773grp.com/globalSearch/BTA16-800BW3G/page-1", "BTA16-800BW3G")</f>
        <v>BTA16-800BW3G</v>
      </c>
      <c r="B14159" s="3" t="str">
        <f>HYPERLINK("https://www.773grp.com/manufacturer/onsemi?pageNo=678", "Onsemi")</f>
        <v>Onsemi</v>
      </c>
      <c r="C14159" s="6">
        <v>87410</v>
      </c>
      <c r="D14159" s="7">
        <v>2.85</v>
      </c>
      <c r="E14159" t="s">
        <v>81</v>
      </c>
    </row>
    <row r="14160" spans="1:5" x14ac:dyDescent="0.25">
      <c r="A14160" t="str">
        <f>HYPERLINK("https://www.773grp.com/globalSearch/BTA16-800CW3G/page-1", "BTA16-800CW3G")</f>
        <v>BTA16-800CW3G</v>
      </c>
      <c r="B14160" s="3" t="str">
        <f>HYPERLINK("https://www.773grp.com/manufacturer/onsemi?pageNo=679", "Onsemi")</f>
        <v>Onsemi</v>
      </c>
      <c r="C14160" s="6">
        <v>37600</v>
      </c>
      <c r="D14160" s="7">
        <v>2.85</v>
      </c>
      <c r="E14160" t="s">
        <v>81</v>
      </c>
    </row>
    <row r="14161" spans="1:5" x14ac:dyDescent="0.25">
      <c r="A14161" t="str">
        <f>HYPERLINK("https://www.773grp.com/globalSearch/CAT150089SWI-G/page-1", "CAT150089SWI-G")</f>
        <v>CAT150089SWI-G</v>
      </c>
      <c r="B14161" s="3" t="str">
        <f>HYPERLINK("https://www.773grp.com/manufacturer/onsemi?pageNo=680", "Onsemi")</f>
        <v>Onsemi</v>
      </c>
      <c r="C14161" s="6">
        <v>1400</v>
      </c>
      <c r="D14161" s="7">
        <v>2.85</v>
      </c>
    </row>
    <row r="14162" spans="1:5" x14ac:dyDescent="0.25">
      <c r="A14162" t="str">
        <f>HYPERLINK("https://www.773grp.com/globalSearch/CAT150089SWI-GT3/page-1", "CAT150089SWI-GT3")</f>
        <v>CAT150089SWI-GT3</v>
      </c>
      <c r="B14162" s="3" t="str">
        <f>HYPERLINK("https://www.773grp.com/manufacturer/onsemi?pageNo=681", "Onsemi")</f>
        <v>Onsemi</v>
      </c>
      <c r="C14162" s="6">
        <v>15000</v>
      </c>
      <c r="D14162" s="7">
        <v>2.85</v>
      </c>
      <c r="E14162" t="s">
        <v>52</v>
      </c>
    </row>
    <row r="14163" spans="1:5" x14ac:dyDescent="0.25">
      <c r="A14163" t="str">
        <f>HYPERLINK("https://www.773grp.com/globalSearch/CAT3626HV4-GT2/page-1", "CAT3626HV4-GT2")</f>
        <v>CAT3626HV4-GT2</v>
      </c>
      <c r="B14163" s="3" t="str">
        <f>HYPERLINK("https://www.773grp.com/manufacturer/onsemi?pageNo=682", "Onsemi")</f>
        <v>Onsemi</v>
      </c>
      <c r="C14163" s="6">
        <v>146000</v>
      </c>
      <c r="D14163" s="7">
        <v>2.85</v>
      </c>
      <c r="E14163" t="s">
        <v>7</v>
      </c>
    </row>
    <row r="14164" spans="1:5" x14ac:dyDescent="0.25">
      <c r="A14164" t="str">
        <f>HYPERLINK("https://www.773grp.com/globalSearch/CAT3626HV4-T2/page-1", "CAT3626HV4-T2")</f>
        <v>CAT3626HV4-T2</v>
      </c>
      <c r="B14164" s="3" t="str">
        <f>HYPERLINK("https://www.773grp.com/manufacturer/onsemi?pageNo=683", "Onsemi")</f>
        <v>Onsemi</v>
      </c>
      <c r="C14164" s="6">
        <v>12000</v>
      </c>
      <c r="D14164" s="7">
        <v>2.85</v>
      </c>
      <c r="E14164" t="s">
        <v>7</v>
      </c>
    </row>
    <row r="14165" spans="1:5" x14ac:dyDescent="0.25">
      <c r="A14165" t="str">
        <f>HYPERLINK("https://www.773grp.com/globalSearch/CAT706SVI-GT3/page-1", "CAT706SVI-GT3")</f>
        <v>CAT706SVI-GT3</v>
      </c>
      <c r="B14165" s="3" t="str">
        <f>HYPERLINK("https://www.773grp.com/manufacturer/onsemi?pageNo=684", "Onsemi")</f>
        <v>Onsemi</v>
      </c>
      <c r="C14165" s="6">
        <v>2500</v>
      </c>
      <c r="D14165" s="7">
        <v>2.85</v>
      </c>
      <c r="E14165" t="s">
        <v>26</v>
      </c>
    </row>
    <row r="14166" spans="1:5" x14ac:dyDescent="0.25">
      <c r="A14166" t="str">
        <f>HYPERLINK("https://www.773grp.com/globalSearch/CS3845BGD8/page-1", "CS3845BGD8")</f>
        <v>CS3845BGD8</v>
      </c>
      <c r="B14166" s="3" t="str">
        <f>HYPERLINK("https://www.773grp.com/manufacturer/onsemi?pageNo=685", "Onsemi")</f>
        <v>Onsemi</v>
      </c>
      <c r="C14166" s="6">
        <v>350</v>
      </c>
      <c r="D14166" s="7">
        <v>2.85</v>
      </c>
      <c r="E14166" t="s">
        <v>5</v>
      </c>
    </row>
    <row r="14167" spans="1:5" x14ac:dyDescent="0.25">
      <c r="A14167" t="str">
        <f>HYPERLINK("https://www.773grp.com/globalSearch/CS5132HGDWR24/page-1", "CS5132HGDWR24")</f>
        <v>CS5132HGDWR24</v>
      </c>
      <c r="B14167" s="3" t="str">
        <f>HYPERLINK("https://www.773grp.com/manufacturer/onsemi?pageNo=686", "Onsemi")</f>
        <v>Onsemi</v>
      </c>
      <c r="C14167" s="6">
        <v>1000</v>
      </c>
      <c r="D14167" s="7">
        <v>2.85</v>
      </c>
      <c r="E14167" t="s">
        <v>5</v>
      </c>
    </row>
    <row r="14168" spans="1:5" x14ac:dyDescent="0.25">
      <c r="A14168" t="str">
        <f>HYPERLINK("https://www.773grp.com/globalSearch/LB1909MC-BH/page-1", "LB1909MC-BH")</f>
        <v>LB1909MC-BH</v>
      </c>
      <c r="B14168" s="3" t="str">
        <f>HYPERLINK("https://www.773grp.com/manufacturer/onsemi?pageNo=687", "Onsemi")</f>
        <v>Onsemi</v>
      </c>
      <c r="C14168" s="6">
        <v>2500</v>
      </c>
      <c r="D14168" s="7">
        <v>2.85</v>
      </c>
    </row>
    <row r="14169" spans="1:5" x14ac:dyDescent="0.25">
      <c r="A14169" t="str">
        <f>HYPERLINK("https://www.773grp.com/globalSearch/LM317MBSTT3G/page-1", "LM317MBSTT3G")</f>
        <v>LM317MBSTT3G</v>
      </c>
      <c r="B14169" s="3" t="str">
        <f>HYPERLINK("https://www.773grp.com/manufacturer/onsemi?pageNo=688", "Onsemi")</f>
        <v>Onsemi</v>
      </c>
      <c r="C14169" s="6">
        <v>62989</v>
      </c>
      <c r="D14169" s="7">
        <v>2.85</v>
      </c>
    </row>
    <row r="14170" spans="1:5" x14ac:dyDescent="0.25">
      <c r="A14170" t="str">
        <f>HYPERLINK("https://www.773grp.com/globalSearch/MBR40L45CTG/page-1", "MBR40L45CTG")</f>
        <v>MBR40L45CTG</v>
      </c>
      <c r="B14170" s="3" t="str">
        <f>HYPERLINK("https://www.773grp.com/manufacturer/onsemi?pageNo=689", "Onsemi")</f>
        <v>Onsemi</v>
      </c>
      <c r="C14170" s="6">
        <v>44838</v>
      </c>
      <c r="D14170" s="7">
        <v>2.85</v>
      </c>
      <c r="E14170" t="s">
        <v>82</v>
      </c>
    </row>
    <row r="14171" spans="1:5" x14ac:dyDescent="0.25">
      <c r="A14171" t="str">
        <f>HYPERLINK("https://www.773grp.com/globalSearch/MC33204DTBG/page-1", "MC33204DTBG")</f>
        <v>MC33204DTBG</v>
      </c>
      <c r="B14171" s="3" t="str">
        <f>HYPERLINK("https://www.773grp.com/manufacturer/onsemi?pageNo=690", "Onsemi")</f>
        <v>Onsemi</v>
      </c>
      <c r="C14171" s="6">
        <v>221</v>
      </c>
      <c r="D14171" s="7">
        <v>2.85</v>
      </c>
      <c r="E14171" t="s">
        <v>10</v>
      </c>
    </row>
    <row r="14172" spans="1:5" x14ac:dyDescent="0.25">
      <c r="A14172" t="str">
        <f>HYPERLINK("https://www.773grp.com/globalSearch/MC74AC4040MELG/page-1", "MC74AC4040MELG")</f>
        <v>MC74AC4040MELG</v>
      </c>
      <c r="B14172" s="3" t="str">
        <f>HYPERLINK("https://www.773grp.com/manufacturer/onsemi?pageNo=691", "Onsemi")</f>
        <v>Onsemi</v>
      </c>
      <c r="C14172" s="6">
        <v>14974</v>
      </c>
      <c r="D14172" s="7">
        <v>2.85</v>
      </c>
      <c r="E14172" t="s">
        <v>22</v>
      </c>
    </row>
    <row r="14173" spans="1:5" x14ac:dyDescent="0.25">
      <c r="A14173" t="str">
        <f>HYPERLINK("https://www.773grp.com/globalSearch/MJF2955G/page-1", "MJF2955G")</f>
        <v>MJF2955G</v>
      </c>
      <c r="B14173" s="3" t="str">
        <f>HYPERLINK("https://www.773grp.com/manufacturer/onsemi?pageNo=692", "Onsemi")</f>
        <v>Onsemi</v>
      </c>
      <c r="C14173" s="6">
        <v>847</v>
      </c>
      <c r="D14173" s="7">
        <v>2.85</v>
      </c>
      <c r="E14173" t="s">
        <v>47</v>
      </c>
    </row>
    <row r="14174" spans="1:5" x14ac:dyDescent="0.25">
      <c r="A14174" t="str">
        <f>HYPERLINK("https://www.773grp.com/globalSearch/MJF3055G/page-1", "MJF3055G")</f>
        <v>MJF3055G</v>
      </c>
      <c r="B14174" s="3" t="str">
        <f>HYPERLINK("https://www.773grp.com/manufacturer/onsemi?pageNo=693", "Onsemi")</f>
        <v>Onsemi</v>
      </c>
      <c r="C14174" s="6">
        <v>49</v>
      </c>
      <c r="D14174" s="7">
        <v>2.85</v>
      </c>
      <c r="E14174" t="s">
        <v>47</v>
      </c>
    </row>
    <row r="14175" spans="1:5" x14ac:dyDescent="0.25">
      <c r="A14175" t="str">
        <f>HYPERLINK("https://www.773grp.com/globalSearch/MUR1620CTRG/page-1", "MUR1620CTRG")</f>
        <v>MUR1620CTRG</v>
      </c>
      <c r="B14175" s="3" t="str">
        <f>HYPERLINK("https://www.773grp.com/manufacturer/onsemi?pageNo=694", "Onsemi")</f>
        <v>Onsemi</v>
      </c>
      <c r="C14175" s="6">
        <v>74800</v>
      </c>
      <c r="D14175" s="7">
        <v>2.85</v>
      </c>
      <c r="E14175" t="s">
        <v>82</v>
      </c>
    </row>
    <row r="14176" spans="1:5" x14ac:dyDescent="0.25">
      <c r="A14176" t="str">
        <f>HYPERLINK("https://www.773grp.com/globalSearch/MUR1640CTG/page-1", "MUR1640CTG")</f>
        <v>MUR1640CTG</v>
      </c>
      <c r="B14176" s="3" t="str">
        <f>HYPERLINK("https://www.773grp.com/manufacturer/onsemi?pageNo=695", "Onsemi")</f>
        <v>Onsemi</v>
      </c>
      <c r="C14176" s="6">
        <v>20150</v>
      </c>
      <c r="D14176" s="7">
        <v>2.85</v>
      </c>
      <c r="E14176" t="s">
        <v>82</v>
      </c>
    </row>
    <row r="14177" spans="1:5" x14ac:dyDescent="0.25">
      <c r="A14177" t="str">
        <f>HYPERLINK("https://www.773grp.com/globalSearch/MUR1660CTG/page-1", "MUR1660CTG")</f>
        <v>MUR1660CTG</v>
      </c>
      <c r="B14177" s="3" t="str">
        <f>HYPERLINK("https://www.773grp.com/manufacturer/onsemi?pageNo=696", "Onsemi")</f>
        <v>Onsemi</v>
      </c>
      <c r="C14177" s="6">
        <v>44250</v>
      </c>
      <c r="D14177" s="7">
        <v>2.85</v>
      </c>
      <c r="E14177" t="s">
        <v>82</v>
      </c>
    </row>
    <row r="14178" spans="1:5" x14ac:dyDescent="0.25">
      <c r="A14178" t="str">
        <f>HYPERLINK("https://www.773grp.com/globalSearch/NCP1521ASNT1G/page-1", "NCP1521ASNT1G")</f>
        <v>NCP1521ASNT1G</v>
      </c>
      <c r="B14178" s="3" t="str">
        <f>HYPERLINK("https://www.773grp.com/manufacturer/onsemi?pageNo=697", "Onsemi")</f>
        <v>Onsemi</v>
      </c>
      <c r="C14178" s="6">
        <v>10337</v>
      </c>
      <c r="D14178" s="7">
        <v>2.85</v>
      </c>
      <c r="E14178" t="s">
        <v>5</v>
      </c>
    </row>
    <row r="14179" spans="1:5" x14ac:dyDescent="0.25">
      <c r="A14179" t="str">
        <f>HYPERLINK("https://www.773grp.com/globalSearch/NCP5666DS50R4G/page-1", "NCP5666DS50R4G")</f>
        <v>NCP5666DS50R4G</v>
      </c>
      <c r="B14179" s="3" t="str">
        <f>HYPERLINK("https://www.773grp.com/manufacturer/onsemi?pageNo=698", "Onsemi")</f>
        <v>Onsemi</v>
      </c>
      <c r="C14179" s="6">
        <v>2293</v>
      </c>
      <c r="D14179" s="7">
        <v>2.85</v>
      </c>
      <c r="E14179" t="s">
        <v>15</v>
      </c>
    </row>
    <row r="14180" spans="1:5" x14ac:dyDescent="0.25">
      <c r="A14180" t="str">
        <f>HYPERLINK("https://www.773grp.com/globalSearch/NCP631GD2TG/page-1", "NCP631GD2TG")</f>
        <v>NCP631GD2TG</v>
      </c>
      <c r="B14180" s="3" t="str">
        <f>HYPERLINK("https://www.773grp.com/manufacturer/onsemi?pageNo=699", "Onsemi")</f>
        <v>Onsemi</v>
      </c>
      <c r="C14180" s="6">
        <v>1064</v>
      </c>
      <c r="D14180" s="7">
        <v>2.85</v>
      </c>
      <c r="E14180" t="s">
        <v>15</v>
      </c>
    </row>
    <row r="14181" spans="1:5" x14ac:dyDescent="0.25">
      <c r="A14181" t="str">
        <f>HYPERLINK("https://www.773grp.com/globalSearch/NCV4279A50D1G/page-1", "NCV4279A50D1G")</f>
        <v>NCV4279A50D1G</v>
      </c>
      <c r="B14181" s="3" t="str">
        <f>HYPERLINK("https://www.773grp.com/manufacturer/onsemi?pageNo=700", "Onsemi")</f>
        <v>Onsemi</v>
      </c>
      <c r="C14181" s="6">
        <v>393</v>
      </c>
      <c r="D14181" s="7">
        <v>2.85</v>
      </c>
    </row>
    <row r="14182" spans="1:5" x14ac:dyDescent="0.25">
      <c r="A14182" t="str">
        <f>HYPERLINK("https://www.773grp.com/globalSearch/NTB45N06LT4G/page-1", "NTB45N06LT4G")</f>
        <v>NTB45N06LT4G</v>
      </c>
      <c r="B14182" s="3" t="str">
        <f>HYPERLINK("https://www.773grp.com/manufacturer/onsemi?pageNo=701", "Onsemi")</f>
        <v>Onsemi</v>
      </c>
      <c r="C14182" s="6">
        <v>6894</v>
      </c>
      <c r="D14182" s="7">
        <v>2.85</v>
      </c>
      <c r="E14182" t="s">
        <v>84</v>
      </c>
    </row>
    <row r="14183" spans="1:5" x14ac:dyDescent="0.25">
      <c r="A14183" t="str">
        <f>HYPERLINK("https://www.773grp.com/globalSearch/NUS3065MUTAG/page-1", "NUS3065MUTAG")</f>
        <v>NUS3065MUTAG</v>
      </c>
      <c r="B14183" s="3" t="str">
        <f>HYPERLINK("https://www.773grp.com/manufacturer/onsemi?pageNo=702", "Onsemi")</f>
        <v>Onsemi</v>
      </c>
      <c r="C14183" s="6">
        <v>6000</v>
      </c>
      <c r="D14183" s="7">
        <v>2.85</v>
      </c>
      <c r="E14183" t="s">
        <v>26</v>
      </c>
    </row>
    <row r="14184" spans="1:5" x14ac:dyDescent="0.25">
      <c r="A14184" t="str">
        <f>HYPERLINK("https://www.773grp.com/globalSearch/PZTA96T3/page-1", "PZTA96T3")</f>
        <v>PZTA96T3</v>
      </c>
      <c r="B14184" s="3" t="str">
        <f>HYPERLINK("https://www.773grp.com/manufacturer/onsemi?pageNo=703", "Onsemi")</f>
        <v>Onsemi</v>
      </c>
      <c r="C14184" s="6">
        <v>16000</v>
      </c>
      <c r="D14184" s="7">
        <v>2.85</v>
      </c>
      <c r="E14184" t="s">
        <v>57</v>
      </c>
    </row>
    <row r="14185" spans="1:5" x14ac:dyDescent="0.25">
      <c r="A14185" t="str">
        <f>HYPERLINK("https://www.773grp.com/globalSearch/SA5230NG/page-1", "SA5230NG")</f>
        <v>SA5230NG</v>
      </c>
      <c r="B14185" s="3" t="str">
        <f>HYPERLINK("https://www.773grp.com/manufacturer/onsemi?pageNo=704", "Onsemi")</f>
        <v>Onsemi</v>
      </c>
      <c r="C14185" s="6">
        <v>2532</v>
      </c>
      <c r="D14185" s="7">
        <v>2.85</v>
      </c>
      <c r="E14185" t="s">
        <v>10</v>
      </c>
    </row>
    <row r="14186" spans="1:5" x14ac:dyDescent="0.25">
      <c r="A14186" t="str">
        <f>HYPERLINK("https://www.773grp.com/globalSearch/SA5534ANG/page-1", "SA5534ANG")</f>
        <v>SA5534ANG</v>
      </c>
      <c r="B14186" s="3" t="str">
        <f>HYPERLINK("https://www.773grp.com/manufacturer/onsemi?pageNo=705", "Onsemi")</f>
        <v>Onsemi</v>
      </c>
      <c r="C14186" s="6">
        <v>2603</v>
      </c>
      <c r="D14186" s="7">
        <v>2.85</v>
      </c>
      <c r="E14186" t="s">
        <v>10</v>
      </c>
    </row>
    <row r="14187" spans="1:5" x14ac:dyDescent="0.25">
      <c r="A14187" t="str">
        <f>HYPERLINK("https://www.773grp.com/globalSearch/TCA0372DWG/page-1", "TCA0372DWG")</f>
        <v>TCA0372DWG</v>
      </c>
      <c r="B14187" s="3" t="str">
        <f>HYPERLINK("https://www.773grp.com/manufacturer/onsemi?pageNo=706", "Onsemi")</f>
        <v>Onsemi</v>
      </c>
      <c r="C14187" s="6">
        <v>795</v>
      </c>
      <c r="D14187" s="7">
        <v>2.85</v>
      </c>
      <c r="E14187" t="s">
        <v>10</v>
      </c>
    </row>
    <row r="14188" spans="1:5" x14ac:dyDescent="0.25">
      <c r="A14188" t="str">
        <f>HYPERLINK("https://www.773grp.com/globalSearch/TCA0372DWR2G/page-1", "TCA0372DWR2G")</f>
        <v>TCA0372DWR2G</v>
      </c>
      <c r="B14188" s="3" t="str">
        <f>HYPERLINK("https://www.773grp.com/manufacturer/onsemi?pageNo=707", "Onsemi")</f>
        <v>Onsemi</v>
      </c>
      <c r="C14188" s="6">
        <v>9921</v>
      </c>
      <c r="D14188" s="7">
        <v>2.85</v>
      </c>
    </row>
    <row r="14189" spans="1:5" x14ac:dyDescent="0.25">
      <c r="A14189" t="str">
        <f>HYPERLINK("https://www.773grp.com/globalSearch/BUH100G/page-1", "BUH100G")</f>
        <v>BUH100G</v>
      </c>
      <c r="B14189" s="3" t="str">
        <f>HYPERLINK("https://www.773grp.com/manufacturer/onsemi?pageNo=708", "Onsemi")</f>
        <v>Onsemi</v>
      </c>
      <c r="C14189" s="6">
        <v>23495</v>
      </c>
      <c r="D14189" s="7">
        <v>2.9</v>
      </c>
      <c r="E14189" t="s">
        <v>47</v>
      </c>
    </row>
    <row r="14190" spans="1:5" x14ac:dyDescent="0.25">
      <c r="A14190" t="str">
        <f>HYPERLINK("https://www.773grp.com/globalSearch/BUL146FG/page-1", "BUL146FG")</f>
        <v>BUL146FG</v>
      </c>
      <c r="B14190" s="3" t="str">
        <f>HYPERLINK("https://www.773grp.com/manufacturer/onsemi?pageNo=709", "Onsemi")</f>
        <v>Onsemi</v>
      </c>
      <c r="C14190" s="6">
        <v>20</v>
      </c>
      <c r="D14190" s="7">
        <v>2.9</v>
      </c>
      <c r="E14190" t="s">
        <v>47</v>
      </c>
    </row>
    <row r="14191" spans="1:5" x14ac:dyDescent="0.25">
      <c r="A14191" t="str">
        <f>HYPERLINK("https://www.773grp.com/globalSearch/BUL147/page-1", "BUL147")</f>
        <v>BUL147</v>
      </c>
      <c r="B14191" s="3" t="str">
        <f>HYPERLINK("https://www.773grp.com/manufacturer/onsemi?pageNo=710", "Onsemi")</f>
        <v>Onsemi</v>
      </c>
      <c r="C14191" s="6">
        <v>50</v>
      </c>
      <c r="D14191" s="7">
        <v>2.9</v>
      </c>
      <c r="E14191" t="s">
        <v>47</v>
      </c>
    </row>
    <row r="14192" spans="1:5" x14ac:dyDescent="0.25">
      <c r="A14192" t="str">
        <f>HYPERLINK("https://www.773grp.com/globalSearch/CAT24C512WI-GT3/page-1", "CAT24C512WI-GT3")</f>
        <v>CAT24C512WI-GT3</v>
      </c>
      <c r="B14192" s="3" t="str">
        <f>HYPERLINK("https://www.773grp.com/manufacturer/onsemi?pageNo=711", "Onsemi")</f>
        <v>Onsemi</v>
      </c>
      <c r="C14192" s="6">
        <v>33000</v>
      </c>
      <c r="D14192" s="7">
        <v>2.9</v>
      </c>
      <c r="E14192" t="s">
        <v>52</v>
      </c>
    </row>
    <row r="14193" spans="1:5" x14ac:dyDescent="0.25">
      <c r="A14193" t="str">
        <f>HYPERLINK("https://www.773grp.com/globalSearch/CAT24C512YI-GT3/page-1", "CAT24C512YI-GT3")</f>
        <v>CAT24C512YI-GT3</v>
      </c>
      <c r="B14193" s="3" t="str">
        <f>HYPERLINK("https://www.773grp.com/manufacturer/onsemi?pageNo=712", "Onsemi")</f>
        <v>Onsemi</v>
      </c>
      <c r="C14193" s="6">
        <v>90000</v>
      </c>
      <c r="D14193" s="7">
        <v>2.9</v>
      </c>
    </row>
    <row r="14194" spans="1:5" x14ac:dyDescent="0.25">
      <c r="A14194" t="str">
        <f>HYPERLINK("https://www.773grp.com/globalSearch/CAT9554HV4I-GT2/page-1", "CAT9554HV4I-GT2")</f>
        <v>CAT9554HV4I-GT2</v>
      </c>
      <c r="B14194" s="3" t="str">
        <f>HYPERLINK("https://www.773grp.com/manufacturer/onsemi?pageNo=713", "Onsemi")</f>
        <v>Onsemi</v>
      </c>
      <c r="C14194" s="6">
        <v>74000</v>
      </c>
      <c r="D14194" s="7">
        <v>2.9</v>
      </c>
      <c r="E14194" t="s">
        <v>71</v>
      </c>
    </row>
    <row r="14195" spans="1:5" x14ac:dyDescent="0.25">
      <c r="A14195" t="str">
        <f>HYPERLINK("https://www.773grp.com/globalSearch/CM2030-A0TR/page-1", "CM2030-A0TR")</f>
        <v>CM2030-A0TR</v>
      </c>
      <c r="B14195" s="3" t="str">
        <f>HYPERLINK("https://www.773grp.com/manufacturer/onsemi?pageNo=714", "Onsemi")</f>
        <v>Onsemi</v>
      </c>
      <c r="C14195" s="6">
        <v>40000</v>
      </c>
      <c r="D14195" s="7">
        <v>2.9</v>
      </c>
      <c r="E14195" t="s">
        <v>19</v>
      </c>
    </row>
    <row r="14196" spans="1:5" x14ac:dyDescent="0.25">
      <c r="A14196" t="str">
        <f>HYPERLINK("https://www.773grp.com/globalSearch/CS51313GDR16/page-1", "CS51313GDR16")</f>
        <v>CS51313GDR16</v>
      </c>
      <c r="B14196" s="3" t="str">
        <f>HYPERLINK("https://www.773grp.com/manufacturer/onsemi?pageNo=715", "Onsemi")</f>
        <v>Onsemi</v>
      </c>
      <c r="C14196" s="6">
        <v>1154</v>
      </c>
      <c r="D14196" s="7">
        <v>2.9</v>
      </c>
      <c r="E14196" t="s">
        <v>5</v>
      </c>
    </row>
    <row r="14197" spans="1:5" x14ac:dyDescent="0.25">
      <c r="A14197" t="str">
        <f>HYPERLINK("https://www.773grp.com/globalSearch/CS9001DW16/page-1", "CS9001DW16")</f>
        <v>CS9001DW16</v>
      </c>
      <c r="B14197" s="3" t="str">
        <f>HYPERLINK("https://www.773grp.com/manufacturer/onsemi?pageNo=716", "Onsemi")</f>
        <v>Onsemi</v>
      </c>
      <c r="C14197" s="6">
        <v>2209</v>
      </c>
      <c r="D14197" s="7">
        <v>2.9</v>
      </c>
    </row>
    <row r="14198" spans="1:5" x14ac:dyDescent="0.25">
      <c r="A14198" t="str">
        <f>HYPERLINK("https://www.773grp.com/globalSearch/DAC-08CN/page-1", "DAC-08CN")</f>
        <v>DAC-08CN</v>
      </c>
      <c r="B14198" s="3" t="str">
        <f>HYPERLINK("https://www.773grp.com/manufacturer/onsemi?pageNo=717", "Onsemi")</f>
        <v>Onsemi</v>
      </c>
      <c r="C14198" s="6">
        <v>53427</v>
      </c>
      <c r="D14198" s="7">
        <v>2.9</v>
      </c>
      <c r="E14198" t="s">
        <v>29</v>
      </c>
    </row>
    <row r="14199" spans="1:5" x14ac:dyDescent="0.25">
      <c r="A14199" t="str">
        <f>HYPERLINK("https://www.773grp.com/globalSearch/LM2594PADJG/page-1", "LM2594PADJG")</f>
        <v>LM2594PADJG</v>
      </c>
      <c r="B14199" s="3" t="str">
        <f>HYPERLINK("https://www.773grp.com/manufacturer/onsemi?pageNo=718", "Onsemi")</f>
        <v>Onsemi</v>
      </c>
      <c r="C14199" s="6">
        <v>8040</v>
      </c>
      <c r="D14199" s="7">
        <v>2.9</v>
      </c>
      <c r="E14199" t="s">
        <v>5</v>
      </c>
    </row>
    <row r="14200" spans="1:5" x14ac:dyDescent="0.25">
      <c r="A14200" t="str">
        <f>HYPERLINK("https://www.773grp.com/globalSearch/MBR2090CTLFAJ/page-1", "MBR2090CTLFAJ")</f>
        <v>MBR2090CTLFAJ</v>
      </c>
      <c r="B14200" s="3" t="str">
        <f>HYPERLINK("https://www.773grp.com/manufacturer/onsemi?pageNo=719", "Onsemi")</f>
        <v>Onsemi</v>
      </c>
      <c r="C14200" s="6">
        <v>900</v>
      </c>
      <c r="D14200" s="7">
        <v>2.9</v>
      </c>
    </row>
    <row r="14201" spans="1:5" x14ac:dyDescent="0.25">
      <c r="A14201" t="str">
        <f>HYPERLINK("https://www.773grp.com/globalSearch/MBR2535CTLG/page-1", "MBR2535CTLG")</f>
        <v>MBR2535CTLG</v>
      </c>
      <c r="B14201" s="3" t="str">
        <f>HYPERLINK("https://www.773grp.com/manufacturer/onsemi?pageNo=720", "Onsemi")</f>
        <v>Onsemi</v>
      </c>
      <c r="C14201" s="6">
        <v>6466</v>
      </c>
      <c r="D14201" s="7">
        <v>2.9</v>
      </c>
      <c r="E14201" t="s">
        <v>82</v>
      </c>
    </row>
    <row r="14202" spans="1:5" x14ac:dyDescent="0.25">
      <c r="A14202" t="str">
        <f>HYPERLINK("https://www.773grp.com/globalSearch/MBRB2545CTG/page-1", "MBRB2545CTG")</f>
        <v>MBRB2545CTG</v>
      </c>
      <c r="B14202" s="3" t="str">
        <f>HYPERLINK("https://www.773grp.com/manufacturer/onsemi?pageNo=721", "Onsemi")</f>
        <v>Onsemi</v>
      </c>
      <c r="C14202" s="6">
        <v>23055</v>
      </c>
      <c r="D14202" s="7">
        <v>2.9</v>
      </c>
    </row>
    <row r="14203" spans="1:5" x14ac:dyDescent="0.25">
      <c r="A14203" t="str">
        <f>HYPERLINK("https://www.773grp.com/globalSearch/MBRB2545CTT4G/page-1", "MBRB2545CTT4G")</f>
        <v>MBRB2545CTT4G</v>
      </c>
      <c r="B14203" s="3" t="str">
        <f>HYPERLINK("https://www.773grp.com/manufacturer/onsemi?pageNo=722", "Onsemi")</f>
        <v>Onsemi</v>
      </c>
      <c r="C14203" s="6">
        <v>800</v>
      </c>
      <c r="D14203" s="7">
        <v>2.9</v>
      </c>
    </row>
    <row r="14204" spans="1:5" x14ac:dyDescent="0.25">
      <c r="A14204" t="str">
        <f>HYPERLINK("https://www.773grp.com/globalSearch/MBRF30L45CTG/page-1", "MBRF30L45CTG")</f>
        <v>MBRF30L45CTG</v>
      </c>
      <c r="B14204" s="3" t="str">
        <f>HYPERLINK("https://www.773grp.com/manufacturer/onsemi?pageNo=723", "Onsemi")</f>
        <v>Onsemi</v>
      </c>
      <c r="C14204" s="6">
        <v>4350</v>
      </c>
      <c r="D14204" s="7">
        <v>2.9</v>
      </c>
    </row>
    <row r="14205" spans="1:5" x14ac:dyDescent="0.25">
      <c r="A14205" t="str">
        <f>HYPERLINK("https://www.773grp.com/globalSearch/MC10H104MR1/page-1", "MC10H104MR1")</f>
        <v>MC10H104MR1</v>
      </c>
      <c r="B14205" s="3" t="str">
        <f>HYPERLINK("https://www.773grp.com/manufacturer/onsemi?pageNo=724", "Onsemi")</f>
        <v>Onsemi</v>
      </c>
      <c r="C14205" s="6">
        <v>2000</v>
      </c>
      <c r="D14205" s="7">
        <v>2.9</v>
      </c>
      <c r="E14205" t="s">
        <v>27</v>
      </c>
    </row>
    <row r="14206" spans="1:5" x14ac:dyDescent="0.25">
      <c r="A14206" t="str">
        <f>HYPERLINK("https://www.773grp.com/globalSearch/MC14504BD/page-1", "MC14504BD")</f>
        <v>MC14504BD</v>
      </c>
      <c r="B14206" s="3" t="str">
        <f>HYPERLINK("https://www.773grp.com/manufacturer/onsemi?pageNo=725", "Onsemi")</f>
        <v>Onsemi</v>
      </c>
      <c r="C14206" s="6">
        <v>5712</v>
      </c>
      <c r="D14206" s="7">
        <v>2.9</v>
      </c>
    </row>
    <row r="14207" spans="1:5" x14ac:dyDescent="0.25">
      <c r="A14207" t="str">
        <f>HYPERLINK("https://www.773grp.com/globalSearch/MC14504BDG/page-1", "MC14504BDG")</f>
        <v>MC14504BDG</v>
      </c>
      <c r="B14207" s="3" t="str">
        <f>HYPERLINK("https://www.773grp.com/manufacturer/onsemi?pageNo=726", "Onsemi")</f>
        <v>Onsemi</v>
      </c>
      <c r="C14207" s="6">
        <v>1024</v>
      </c>
      <c r="D14207" s="7">
        <v>2.9</v>
      </c>
    </row>
    <row r="14208" spans="1:5" x14ac:dyDescent="0.25">
      <c r="A14208" t="str">
        <f>HYPERLINK("https://www.773grp.com/globalSearch/MC14504BDR2G/page-1", "MC14504BDR2G")</f>
        <v>MC14504BDR2G</v>
      </c>
      <c r="B14208" s="3" t="str">
        <f>HYPERLINK("https://www.773grp.com/manufacturer/onsemi?pageNo=727", "Onsemi")</f>
        <v>Onsemi</v>
      </c>
      <c r="C14208" s="6">
        <v>48572</v>
      </c>
      <c r="D14208" s="7">
        <v>2.9</v>
      </c>
      <c r="E14208" t="s">
        <v>61</v>
      </c>
    </row>
    <row r="14209" spans="1:5" x14ac:dyDescent="0.25">
      <c r="A14209" t="str">
        <f>HYPERLINK("https://www.773grp.com/globalSearch/MC14504BF/page-1", "MC14504BF")</f>
        <v>MC14504BF</v>
      </c>
      <c r="B14209" s="3" t="str">
        <f>HYPERLINK("https://www.773grp.com/manufacturer/onsemi?pageNo=728", "Onsemi")</f>
        <v>Onsemi</v>
      </c>
      <c r="C14209" s="6">
        <v>512</v>
      </c>
      <c r="D14209" s="7">
        <v>2.9</v>
      </c>
      <c r="E14209" t="s">
        <v>61</v>
      </c>
    </row>
    <row r="14210" spans="1:5" x14ac:dyDescent="0.25">
      <c r="A14210" t="str">
        <f>HYPERLINK("https://www.773grp.com/globalSearch/MC14504BFG/page-1", "MC14504BFG")</f>
        <v>MC14504BFG</v>
      </c>
      <c r="B14210" s="3" t="str">
        <f>HYPERLINK("https://www.773grp.com/manufacturer/onsemi?pageNo=729", "Onsemi")</f>
        <v>Onsemi</v>
      </c>
      <c r="C14210" s="6">
        <v>3700</v>
      </c>
      <c r="D14210" s="7">
        <v>2.9</v>
      </c>
      <c r="E14210" t="s">
        <v>61</v>
      </c>
    </row>
    <row r="14211" spans="1:5" x14ac:dyDescent="0.25">
      <c r="A14211" t="str">
        <f>HYPERLINK("https://www.773grp.com/globalSearch/MC14559BCP/page-1", "MC14559BCP")</f>
        <v>MC14559BCP</v>
      </c>
      <c r="B14211" s="3" t="str">
        <f>HYPERLINK("https://www.773grp.com/manufacturer/onsemi?pageNo=730", "Onsemi")</f>
        <v>Onsemi</v>
      </c>
      <c r="C14211" s="6">
        <v>844</v>
      </c>
      <c r="D14211" s="7">
        <v>2.9</v>
      </c>
      <c r="E14211" t="s">
        <v>68</v>
      </c>
    </row>
    <row r="14212" spans="1:5" x14ac:dyDescent="0.25">
      <c r="A14212" t="str">
        <f>HYPERLINK("https://www.773grp.com/globalSearch/MC33204VDR2G/page-1", "MC33204VDR2G")</f>
        <v>MC33204VDR2G</v>
      </c>
      <c r="B14212" s="3" t="str">
        <f>HYPERLINK("https://www.773grp.com/manufacturer/onsemi?pageNo=731", "Onsemi")</f>
        <v>Onsemi</v>
      </c>
      <c r="C14212" s="6">
        <v>4964</v>
      </c>
      <c r="D14212" s="7">
        <v>2.9</v>
      </c>
      <c r="E14212" t="s">
        <v>10</v>
      </c>
    </row>
    <row r="14213" spans="1:5" x14ac:dyDescent="0.25">
      <c r="A14213" t="str">
        <f>HYPERLINK("https://www.773grp.com/globalSearch/MC33204VPG/page-1", "MC33204VPG")</f>
        <v>MC33204VPG</v>
      </c>
      <c r="B14213" s="3" t="str">
        <f>HYPERLINK("https://www.773grp.com/manufacturer/onsemi?pageNo=732", "Onsemi")</f>
        <v>Onsemi</v>
      </c>
      <c r="C14213" s="6">
        <v>2400</v>
      </c>
      <c r="D14213" s="7">
        <v>2.9</v>
      </c>
      <c r="E14213" t="s">
        <v>10</v>
      </c>
    </row>
    <row r="14214" spans="1:5" x14ac:dyDescent="0.25">
      <c r="A14214" t="str">
        <f>HYPERLINK("https://www.773grp.com/globalSearch/MC44608P100/page-1", "MC44608P100")</f>
        <v>MC44608P100</v>
      </c>
      <c r="B14214" s="3" t="str">
        <f>HYPERLINK("https://www.773grp.com/manufacturer/onsemi?pageNo=733", "Onsemi")</f>
        <v>Onsemi</v>
      </c>
      <c r="C14214" s="6">
        <v>2790</v>
      </c>
      <c r="D14214" s="7">
        <v>2.9</v>
      </c>
      <c r="E14214" t="s">
        <v>5</v>
      </c>
    </row>
    <row r="14215" spans="1:5" x14ac:dyDescent="0.25">
      <c r="A14215" t="str">
        <f>HYPERLINK("https://www.773grp.com/globalSearch/MC74AC259DR2G/page-1", "MC74AC259DR2G")</f>
        <v>MC74AC259DR2G</v>
      </c>
      <c r="B14215" s="3" t="str">
        <f>HYPERLINK("https://www.773grp.com/manufacturer/onsemi?pageNo=734", "Onsemi")</f>
        <v>Onsemi</v>
      </c>
      <c r="C14215" s="6">
        <v>2400</v>
      </c>
      <c r="D14215" s="7">
        <v>2.9</v>
      </c>
    </row>
    <row r="14216" spans="1:5" x14ac:dyDescent="0.25">
      <c r="A14216" t="str">
        <f>HYPERLINK("https://www.773grp.com/globalSearch/MC74ACT259DG/page-1", "MC74ACT259DG")</f>
        <v>MC74ACT259DG</v>
      </c>
      <c r="B14216" s="3" t="str">
        <f>HYPERLINK("https://www.773grp.com/manufacturer/onsemi?pageNo=735", "Onsemi")</f>
        <v>Onsemi</v>
      </c>
      <c r="C14216" s="6">
        <v>8774</v>
      </c>
      <c r="D14216" s="7">
        <v>2.9</v>
      </c>
      <c r="E14216" t="s">
        <v>31</v>
      </c>
    </row>
    <row r="14217" spans="1:5" x14ac:dyDescent="0.25">
      <c r="A14217" t="str">
        <f>HYPERLINK("https://www.773grp.com/globalSearch/MC74ACT259DR2G/page-1", "MC74ACT259DR2G")</f>
        <v>MC74ACT259DR2G</v>
      </c>
      <c r="B14217" s="3" t="str">
        <f>HYPERLINK("https://www.773grp.com/manufacturer/onsemi?pageNo=736", "Onsemi")</f>
        <v>Onsemi</v>
      </c>
      <c r="C14217" s="6">
        <v>2381</v>
      </c>
      <c r="D14217" s="7">
        <v>2.9</v>
      </c>
      <c r="E14217" t="s">
        <v>31</v>
      </c>
    </row>
    <row r="14218" spans="1:5" x14ac:dyDescent="0.25">
      <c r="A14218" t="str">
        <f>HYPERLINK("https://www.773grp.com/globalSearch/MJF6668G/page-1", "MJF6668G")</f>
        <v>MJF6668G</v>
      </c>
      <c r="B14218" s="3" t="str">
        <f>HYPERLINK("https://www.773grp.com/manufacturer/onsemi?pageNo=737", "Onsemi")</f>
        <v>Onsemi</v>
      </c>
      <c r="C14218" s="6">
        <v>11602</v>
      </c>
      <c r="D14218" s="7">
        <v>2.9</v>
      </c>
      <c r="E14218" t="s">
        <v>47</v>
      </c>
    </row>
    <row r="14219" spans="1:5" x14ac:dyDescent="0.25">
      <c r="A14219" t="str">
        <f>HYPERLINK("https://www.773grp.com/globalSearch/MR2520L/page-1", "MR2520L")</f>
        <v>MR2520L</v>
      </c>
      <c r="B14219" s="3" t="str">
        <f>HYPERLINK("https://www.773grp.com/manufacturer/onsemi?pageNo=738", "Onsemi")</f>
        <v>Onsemi</v>
      </c>
      <c r="C14219" s="6">
        <v>1150</v>
      </c>
      <c r="D14219" s="7">
        <v>2.9</v>
      </c>
      <c r="E14219" t="s">
        <v>75</v>
      </c>
    </row>
    <row r="14220" spans="1:5" x14ac:dyDescent="0.25">
      <c r="A14220" t="str">
        <f>HYPERLINK("https://www.773grp.com/globalSearch/NB3N551DR2G/page-1", "NB3N551DR2G")</f>
        <v>NB3N551DR2G</v>
      </c>
      <c r="B14220" s="3" t="str">
        <f>HYPERLINK("https://www.773grp.com/manufacturer/onsemi?pageNo=739", "Onsemi")</f>
        <v>Onsemi</v>
      </c>
      <c r="C14220" s="6">
        <v>1000</v>
      </c>
      <c r="D14220" s="7">
        <v>2.9</v>
      </c>
      <c r="E14220" t="s">
        <v>30</v>
      </c>
    </row>
    <row r="14221" spans="1:5" x14ac:dyDescent="0.25">
      <c r="A14221" t="str">
        <f>HYPERLINK("https://www.773grp.com/globalSearch/NCL30002DR2G/page-1", "NCL30002DR2G")</f>
        <v>NCL30002DR2G</v>
      </c>
      <c r="B14221" s="3" t="str">
        <f>HYPERLINK("https://www.773grp.com/manufacturer/onsemi?pageNo=740", "Onsemi")</f>
        <v>Onsemi</v>
      </c>
      <c r="C14221" s="6">
        <v>4500</v>
      </c>
      <c r="D14221" s="7">
        <v>2.9</v>
      </c>
    </row>
    <row r="14222" spans="1:5" x14ac:dyDescent="0.25">
      <c r="A14222" t="str">
        <f>HYPERLINK("https://www.773grp.com/globalSearch/NCP1422MNR2G/page-1", "NCP1422MNR2G")</f>
        <v>NCP1422MNR2G</v>
      </c>
      <c r="B14222" s="3" t="str">
        <f>HYPERLINK("https://www.773grp.com/manufacturer/onsemi?pageNo=741", "Onsemi")</f>
        <v>Onsemi</v>
      </c>
      <c r="C14222" s="6">
        <v>166945</v>
      </c>
      <c r="D14222" s="7">
        <v>2.9</v>
      </c>
      <c r="E14222" t="s">
        <v>5</v>
      </c>
    </row>
    <row r="14223" spans="1:5" x14ac:dyDescent="0.25">
      <c r="A14223" t="str">
        <f>HYPERLINK("https://www.773grp.com/globalSearch/NCP1578MNR2G/page-1", "NCP1578MNR2G")</f>
        <v>NCP1578MNR2G</v>
      </c>
      <c r="B14223" s="3" t="str">
        <f>HYPERLINK("https://www.773grp.com/manufacturer/onsemi?pageNo=742", "Onsemi")</f>
        <v>Onsemi</v>
      </c>
      <c r="C14223" s="6">
        <v>8239</v>
      </c>
      <c r="D14223" s="7">
        <v>2.9</v>
      </c>
      <c r="E14223" t="s">
        <v>5</v>
      </c>
    </row>
    <row r="14224" spans="1:5" x14ac:dyDescent="0.25">
      <c r="A14224" t="str">
        <f>HYPERLINK("https://www.773grp.com/globalSearch/NCP1653ADR2G/page-1", "NCP1653ADR2G")</f>
        <v>NCP1653ADR2G</v>
      </c>
      <c r="B14224" s="3" t="str">
        <f>HYPERLINK("https://www.773grp.com/manufacturer/onsemi?pageNo=743", "Onsemi")</f>
        <v>Onsemi</v>
      </c>
      <c r="C14224" s="6">
        <v>37913</v>
      </c>
      <c r="D14224" s="7">
        <v>2.9</v>
      </c>
      <c r="E14224" t="s">
        <v>5</v>
      </c>
    </row>
    <row r="14225" spans="1:5" x14ac:dyDescent="0.25">
      <c r="A14225" t="str">
        <f>HYPERLINK("https://www.773grp.com/globalSearch/NCP1653DR2G/page-1", "NCP1653DR2G")</f>
        <v>NCP1653DR2G</v>
      </c>
      <c r="B14225" s="3" t="str">
        <f>HYPERLINK("https://www.773grp.com/manufacturer/onsemi?pageNo=744", "Onsemi")</f>
        <v>Onsemi</v>
      </c>
      <c r="C14225" s="6">
        <v>45870</v>
      </c>
      <c r="D14225" s="7">
        <v>2.9</v>
      </c>
      <c r="E14225" t="s">
        <v>5</v>
      </c>
    </row>
    <row r="14226" spans="1:5" x14ac:dyDescent="0.25">
      <c r="A14226" t="str">
        <f>HYPERLINK("https://www.773grp.com/globalSearch/NCP4414DR2/page-1", "NCP4414DR2")</f>
        <v>NCP4414DR2</v>
      </c>
      <c r="B14226" s="3" t="str">
        <f>HYPERLINK("https://www.773grp.com/manufacturer/onsemi?pageNo=745", "Onsemi")</f>
        <v>Onsemi</v>
      </c>
      <c r="C14226" s="6">
        <v>368</v>
      </c>
      <c r="D14226" s="7">
        <v>2.9</v>
      </c>
      <c r="E14226" t="s">
        <v>12</v>
      </c>
    </row>
    <row r="14227" spans="1:5" x14ac:dyDescent="0.25">
      <c r="A14227" t="str">
        <f>HYPERLINK("https://www.773grp.com/globalSearch/NCP4894DMR2/page-1", "NCP4894DMR2")</f>
        <v>NCP4894DMR2</v>
      </c>
      <c r="B14227" s="3" t="str">
        <f>HYPERLINK("https://www.773grp.com/manufacturer/onsemi?pageNo=746", "Onsemi")</f>
        <v>Onsemi</v>
      </c>
      <c r="C14227" s="6">
        <v>4000</v>
      </c>
      <c r="D14227" s="7">
        <v>2.9</v>
      </c>
      <c r="E14227" t="s">
        <v>14</v>
      </c>
    </row>
    <row r="14228" spans="1:5" x14ac:dyDescent="0.25">
      <c r="A14228" t="str">
        <f>HYPERLINK("https://www.773grp.com/globalSearch/NCP5210MNR2G/page-1", "NCP5210MNR2G")</f>
        <v>NCP5210MNR2G</v>
      </c>
      <c r="B14228" s="3" t="str">
        <f>HYPERLINK("https://www.773grp.com/manufacturer/onsemi?pageNo=747", "Onsemi")</f>
        <v>Onsemi</v>
      </c>
      <c r="C14228" s="6">
        <v>235100</v>
      </c>
      <c r="D14228" s="7">
        <v>2.9</v>
      </c>
      <c r="E14228" t="s">
        <v>5</v>
      </c>
    </row>
    <row r="14229" spans="1:5" x14ac:dyDescent="0.25">
      <c r="A14229" t="str">
        <f>HYPERLINK("https://www.773grp.com/globalSearch/NCP5378MNR2G/page-1", "NCP5378MNR2G")</f>
        <v>NCP5378MNR2G</v>
      </c>
      <c r="B14229" s="3" t="str">
        <f>HYPERLINK("https://www.773grp.com/manufacturer/onsemi?pageNo=748", "Onsemi")</f>
        <v>Onsemi</v>
      </c>
      <c r="C14229" s="6">
        <v>3000</v>
      </c>
      <c r="D14229" s="7">
        <v>2.9</v>
      </c>
    </row>
    <row r="14230" spans="1:5" x14ac:dyDescent="0.25">
      <c r="A14230" t="str">
        <f>HYPERLINK("https://www.773grp.com/globalSearch/NCP5380MNR2G/page-1", "NCP5380MNR2G")</f>
        <v>NCP5380MNR2G</v>
      </c>
      <c r="B14230" s="3" t="str">
        <f>HYPERLINK("https://www.773grp.com/manufacturer/onsemi?pageNo=749", "Onsemi")</f>
        <v>Onsemi</v>
      </c>
      <c r="C14230" s="6">
        <v>45004</v>
      </c>
      <c r="D14230" s="7">
        <v>2.9</v>
      </c>
      <c r="E14230" t="s">
        <v>5</v>
      </c>
    </row>
    <row r="14231" spans="1:5" x14ac:dyDescent="0.25">
      <c r="A14231" t="str">
        <f>HYPERLINK("https://www.773grp.com/globalSearch/NCP5604AMTR2G/page-1", "NCP5604AMTR2G")</f>
        <v>NCP5604AMTR2G</v>
      </c>
      <c r="B14231" s="3" t="str">
        <f>HYPERLINK("https://www.773grp.com/manufacturer/onsemi?pageNo=750", "Onsemi")</f>
        <v>Onsemi</v>
      </c>
      <c r="C14231" s="6">
        <v>164387</v>
      </c>
      <c r="D14231" s="7">
        <v>2.9</v>
      </c>
      <c r="E14231" t="s">
        <v>7</v>
      </c>
    </row>
    <row r="14232" spans="1:5" x14ac:dyDescent="0.25">
      <c r="A14232" t="str">
        <f>HYPERLINK("https://www.773grp.com/globalSearch/NCP5604BMTR2G/page-1", "NCP5604BMTR2G")</f>
        <v>NCP5604BMTR2G</v>
      </c>
      <c r="B14232" s="3" t="str">
        <f>HYPERLINK("https://www.773grp.com/manufacturer/onsemi?pageNo=751", "Onsemi")</f>
        <v>Onsemi</v>
      </c>
      <c r="C14232" s="6">
        <v>404986</v>
      </c>
      <c r="D14232" s="7">
        <v>2.9</v>
      </c>
      <c r="E14232" t="s">
        <v>7</v>
      </c>
    </row>
    <row r="14233" spans="1:5" x14ac:dyDescent="0.25">
      <c r="A14233" t="str">
        <f>HYPERLINK("https://www.773grp.com/globalSearch/NCP5662MN15R2G/page-1", "NCP5662MN15R2G")</f>
        <v>NCP5662MN15R2G</v>
      </c>
      <c r="B14233" s="3" t="str">
        <f>HYPERLINK("https://www.773grp.com/manufacturer/onsemi?pageNo=752", "Onsemi")</f>
        <v>Onsemi</v>
      </c>
      <c r="C14233" s="6">
        <v>3935</v>
      </c>
      <c r="D14233" s="7">
        <v>2.9</v>
      </c>
      <c r="E14233" t="s">
        <v>15</v>
      </c>
    </row>
    <row r="14234" spans="1:5" x14ac:dyDescent="0.25">
      <c r="A14234" t="str">
        <f>HYPERLINK("https://www.773grp.com/globalSearch/NCP6922CBMTTXG/page-1", "NCP6922CBMTTXG")</f>
        <v>NCP6922CBMTTXG</v>
      </c>
      <c r="B14234" s="3" t="str">
        <f>HYPERLINK("https://www.773grp.com/manufacturer/onsemi?pageNo=753", "Onsemi")</f>
        <v>Onsemi</v>
      </c>
      <c r="C14234" s="6">
        <v>3000</v>
      </c>
      <c r="D14234" s="7">
        <v>2.9</v>
      </c>
    </row>
    <row r="14235" spans="1:5" x14ac:dyDescent="0.25">
      <c r="A14235" t="str">
        <f>HYPERLINK("https://www.773grp.com/globalSearch/NCP6922CCMTTXG/page-1", "NCP6922CCMTTXG")</f>
        <v>NCP6922CCMTTXG</v>
      </c>
      <c r="B14235" s="3" t="str">
        <f>HYPERLINK("https://www.773grp.com/manufacturer/onsemi?pageNo=754", "Onsemi")</f>
        <v>Onsemi</v>
      </c>
      <c r="C14235" s="6">
        <v>3000</v>
      </c>
      <c r="D14235" s="7">
        <v>2.9</v>
      </c>
    </row>
    <row r="14236" spans="1:5" x14ac:dyDescent="0.25">
      <c r="A14236" t="str">
        <f>HYPERLINK("https://www.773grp.com/globalSearch/NCP694DSAN08T1G/page-1", "NCP694DSAN08T1G")</f>
        <v>NCP694DSAN08T1G</v>
      </c>
      <c r="B14236" s="3" t="str">
        <f>HYPERLINK("https://www.773grp.com/manufacturer/onsemi?pageNo=755", "Onsemi")</f>
        <v>Onsemi</v>
      </c>
      <c r="C14236" s="6">
        <v>6000</v>
      </c>
      <c r="D14236" s="7">
        <v>2.9</v>
      </c>
      <c r="E14236" t="s">
        <v>15</v>
      </c>
    </row>
    <row r="14237" spans="1:5" x14ac:dyDescent="0.25">
      <c r="A14237" t="str">
        <f>HYPERLINK("https://www.773grp.com/globalSearch/NCP694DSAN10T1G/page-1", "NCP694DSAN10T1G")</f>
        <v>NCP694DSAN10T1G</v>
      </c>
      <c r="B14237" s="3" t="str">
        <f>HYPERLINK("https://www.773grp.com/manufacturer/onsemi?pageNo=756", "Onsemi")</f>
        <v>Onsemi</v>
      </c>
      <c r="C14237" s="6">
        <v>6000</v>
      </c>
      <c r="D14237" s="7">
        <v>2.9</v>
      </c>
    </row>
    <row r="14238" spans="1:5" x14ac:dyDescent="0.25">
      <c r="A14238" t="str">
        <f>HYPERLINK("https://www.773grp.com/globalSearch/NCP694DSAN12T1G/page-1", "NCP694DSAN12T1G")</f>
        <v>NCP694DSAN12T1G</v>
      </c>
      <c r="B14238" s="3" t="str">
        <f>HYPERLINK("https://www.773grp.com/manufacturer/onsemi?pageNo=757", "Onsemi")</f>
        <v>Onsemi</v>
      </c>
      <c r="C14238" s="6">
        <v>9000</v>
      </c>
      <c r="D14238" s="7">
        <v>2.9</v>
      </c>
    </row>
    <row r="14239" spans="1:5" x14ac:dyDescent="0.25">
      <c r="A14239" t="str">
        <f>HYPERLINK("https://www.773grp.com/globalSearch/NCP694DSAN25T1G/page-1", "NCP694DSAN25T1G")</f>
        <v>NCP694DSAN25T1G</v>
      </c>
      <c r="B14239" s="3" t="str">
        <f>HYPERLINK("https://www.773grp.com/manufacturer/onsemi?pageNo=758", "Onsemi")</f>
        <v>Onsemi</v>
      </c>
      <c r="C14239" s="6">
        <v>6000</v>
      </c>
      <c r="D14239" s="7">
        <v>2.9</v>
      </c>
    </row>
    <row r="14240" spans="1:5" x14ac:dyDescent="0.25">
      <c r="A14240" t="str">
        <f>HYPERLINK("https://www.773grp.com/globalSearch/NCP694DSANADJT1G/page-1", "NCP694DSANADJT1G")</f>
        <v>NCP694DSANADJT1G</v>
      </c>
      <c r="B14240" s="3" t="str">
        <f>HYPERLINK("https://www.773grp.com/manufacturer/onsemi?pageNo=759", "Onsemi")</f>
        <v>Onsemi</v>
      </c>
      <c r="C14240" s="6">
        <v>900</v>
      </c>
      <c r="D14240" s="7">
        <v>2.9</v>
      </c>
    </row>
    <row r="14241" spans="1:5" x14ac:dyDescent="0.25">
      <c r="A14241" t="str">
        <f>HYPERLINK("https://www.773grp.com/globalSearch/NCP694HSAN08T1G/page-1", "NCP694HSAN08T1G")</f>
        <v>NCP694HSAN08T1G</v>
      </c>
      <c r="B14241" s="3" t="str">
        <f>HYPERLINK("https://www.773grp.com/manufacturer/onsemi?pageNo=760", "Onsemi")</f>
        <v>Onsemi</v>
      </c>
      <c r="C14241" s="6">
        <v>9000</v>
      </c>
      <c r="D14241" s="7">
        <v>2.9</v>
      </c>
      <c r="E14241" t="s">
        <v>15</v>
      </c>
    </row>
    <row r="14242" spans="1:5" x14ac:dyDescent="0.25">
      <c r="A14242" t="str">
        <f>HYPERLINK("https://www.773grp.com/globalSearch/NCP694HSAN10T1G/page-1", "NCP694HSAN10T1G")</f>
        <v>NCP694HSAN10T1G</v>
      </c>
      <c r="B14242" s="3" t="str">
        <f>HYPERLINK("https://www.773grp.com/manufacturer/onsemi?pageNo=761", "Onsemi")</f>
        <v>Onsemi</v>
      </c>
      <c r="C14242" s="6">
        <v>12000</v>
      </c>
      <c r="D14242" s="7">
        <v>2.9</v>
      </c>
      <c r="E14242" t="s">
        <v>15</v>
      </c>
    </row>
    <row r="14243" spans="1:5" x14ac:dyDescent="0.25">
      <c r="A14243" t="str">
        <f>HYPERLINK("https://www.773grp.com/globalSearch/NCP694HSAN25T1G/page-1", "NCP694HSAN25T1G")</f>
        <v>NCP694HSAN25T1G</v>
      </c>
      <c r="B14243" s="3" t="str">
        <f>HYPERLINK("https://www.773grp.com/manufacturer/onsemi?pageNo=762", "Onsemi")</f>
        <v>Onsemi</v>
      </c>
      <c r="C14243" s="6">
        <v>12000</v>
      </c>
      <c r="D14243" s="7">
        <v>2.9</v>
      </c>
      <c r="E14243" t="s">
        <v>15</v>
      </c>
    </row>
    <row r="14244" spans="1:5" x14ac:dyDescent="0.25">
      <c r="A14244" t="str">
        <f>HYPERLINK("https://www.773grp.com/globalSearch/NCV33272ADR2G/page-1", "NCV33272ADR2G")</f>
        <v>NCV33272ADR2G</v>
      </c>
      <c r="B14244" s="3" t="str">
        <f>HYPERLINK("https://www.773grp.com/manufacturer/onsemi?pageNo=763", "Onsemi")</f>
        <v>Onsemi</v>
      </c>
      <c r="C14244" s="6">
        <v>2500</v>
      </c>
      <c r="D14244" s="7">
        <v>2.9</v>
      </c>
    </row>
    <row r="14245" spans="1:5" x14ac:dyDescent="0.25">
      <c r="A14245" t="str">
        <f>HYPERLINK("https://www.773grp.com/globalSearch/NCV4274ADT33RKG/page-1", "NCV4274ADT33RKG")</f>
        <v>NCV4274ADT33RKG</v>
      </c>
      <c r="B14245" s="3" t="str">
        <f>HYPERLINK("https://www.773grp.com/manufacturer/onsemi?pageNo=764", "Onsemi")</f>
        <v>Onsemi</v>
      </c>
      <c r="C14245" s="6">
        <v>5617</v>
      </c>
      <c r="D14245" s="7">
        <v>2.9</v>
      </c>
      <c r="E14245" t="s">
        <v>24</v>
      </c>
    </row>
    <row r="14246" spans="1:5" x14ac:dyDescent="0.25">
      <c r="A14246" t="str">
        <f>HYPERLINK("https://www.773grp.com/globalSearch/NCV4274ADT50RKG/page-1", "NCV4274ADT50RKG")</f>
        <v>NCV4274ADT50RKG</v>
      </c>
      <c r="B14246" s="3" t="str">
        <f>HYPERLINK("https://www.773grp.com/manufacturer/onsemi?pageNo=765", "Onsemi")</f>
        <v>Onsemi</v>
      </c>
      <c r="C14246" s="6">
        <v>2330</v>
      </c>
      <c r="D14246" s="7">
        <v>2.9</v>
      </c>
    </row>
    <row r="14247" spans="1:5" x14ac:dyDescent="0.25">
      <c r="A14247" t="str">
        <f>HYPERLINK("https://www.773grp.com/globalSearch/NCV4299D1R2G/page-1", "NCV4299D1R2G")</f>
        <v>NCV4299D1R2G</v>
      </c>
      <c r="B14247" s="3" t="str">
        <f>HYPERLINK("https://www.773grp.com/manufacturer/onsemi?pageNo=766", "Onsemi")</f>
        <v>Onsemi</v>
      </c>
      <c r="C14247" s="6">
        <v>12500</v>
      </c>
      <c r="D14247" s="7">
        <v>2.9</v>
      </c>
    </row>
    <row r="14248" spans="1:5" x14ac:dyDescent="0.25">
      <c r="A14248" t="str">
        <f>HYPERLINK("https://www.773grp.com/globalSearch/NCV8506D2T33/page-1", "NCV8506D2T33")</f>
        <v>NCV8506D2T33</v>
      </c>
      <c r="B14248" s="3" t="str">
        <f>HYPERLINK("https://www.773grp.com/manufacturer/onsemi?pageNo=767", "Onsemi")</f>
        <v>Onsemi</v>
      </c>
      <c r="C14248" s="6">
        <v>1875</v>
      </c>
      <c r="D14248" s="7">
        <v>2.9</v>
      </c>
      <c r="E14248" t="s">
        <v>15</v>
      </c>
    </row>
    <row r="14249" spans="1:5" x14ac:dyDescent="0.25">
      <c r="A14249" t="str">
        <f>HYPERLINK("https://www.773grp.com/globalSearch/NCV8506D2T33R4/page-1", "NCV8506D2T33R4")</f>
        <v>NCV8506D2T33R4</v>
      </c>
      <c r="B14249" s="3" t="str">
        <f>HYPERLINK("https://www.773grp.com/manufacturer/onsemi?pageNo=768", "Onsemi")</f>
        <v>Onsemi</v>
      </c>
      <c r="C14249" s="6">
        <v>10500</v>
      </c>
      <c r="D14249" s="7">
        <v>2.9</v>
      </c>
      <c r="E14249" t="s">
        <v>15</v>
      </c>
    </row>
    <row r="14250" spans="1:5" x14ac:dyDescent="0.25">
      <c r="A14250" t="str">
        <f>HYPERLINK("https://www.773grp.com/globalSearch/NLAS44599MNG/page-1", "NLAS44599MNG")</f>
        <v>NLAS44599MNG</v>
      </c>
      <c r="B14250" s="3" t="str">
        <f>HYPERLINK("https://www.773grp.com/manufacturer/onsemi?pageNo=769", "Onsemi")</f>
        <v>Onsemi</v>
      </c>
      <c r="C14250" s="6">
        <v>7107</v>
      </c>
      <c r="D14250" s="7">
        <v>2.9</v>
      </c>
      <c r="E14250" t="s">
        <v>46</v>
      </c>
    </row>
    <row r="14251" spans="1:5" x14ac:dyDescent="0.25">
      <c r="A14251" t="str">
        <f>HYPERLINK("https://www.773grp.com/globalSearch/NLAS44599MNR2G/page-1", "NLAS44599MNR2G")</f>
        <v>NLAS44599MNR2G</v>
      </c>
      <c r="B14251" s="3" t="str">
        <f>HYPERLINK("https://www.773grp.com/manufacturer/onsemi?pageNo=770", "Onsemi")</f>
        <v>Onsemi</v>
      </c>
      <c r="C14251" s="6">
        <v>43796</v>
      </c>
      <c r="D14251" s="7">
        <v>2.9</v>
      </c>
      <c r="E14251" t="s">
        <v>46</v>
      </c>
    </row>
    <row r="14252" spans="1:5" x14ac:dyDescent="0.25">
      <c r="A14252" t="str">
        <f>HYPERLINK("https://www.773grp.com/globalSearch/NLAS9431MTR2G/page-1", "NLAS9431MTR2G")</f>
        <v>NLAS9431MTR2G</v>
      </c>
      <c r="B14252" s="3" t="str">
        <f>HYPERLINK("https://www.773grp.com/manufacturer/onsemi?pageNo=771", "Onsemi")</f>
        <v>Onsemi</v>
      </c>
      <c r="C14252" s="6">
        <v>17355</v>
      </c>
      <c r="D14252" s="7">
        <v>2.9</v>
      </c>
      <c r="E14252" t="s">
        <v>46</v>
      </c>
    </row>
    <row r="14253" spans="1:5" x14ac:dyDescent="0.25">
      <c r="A14253" t="str">
        <f>HYPERLINK("https://www.773grp.com/globalSearch/NLAST44599MNG/page-1", "NLAST44599MNG")</f>
        <v>NLAST44599MNG</v>
      </c>
      <c r="B14253" s="3" t="str">
        <f>HYPERLINK("https://www.773grp.com/manufacturer/onsemi?pageNo=772", "Onsemi")</f>
        <v>Onsemi</v>
      </c>
      <c r="C14253" s="6">
        <v>20286</v>
      </c>
      <c r="D14253" s="7">
        <v>2.9</v>
      </c>
      <c r="E14253" t="s">
        <v>46</v>
      </c>
    </row>
    <row r="14254" spans="1:5" x14ac:dyDescent="0.25">
      <c r="A14254" t="str">
        <f>HYPERLINK("https://www.773grp.com/globalSearch/NLAST44599MNR2G/page-1", "NLAST44599MNR2G")</f>
        <v>NLAST44599MNR2G</v>
      </c>
      <c r="B14254" s="3" t="str">
        <f>HYPERLINK("https://www.773grp.com/manufacturer/onsemi?pageNo=773", "Onsemi")</f>
        <v>Onsemi</v>
      </c>
      <c r="C14254" s="6">
        <v>25195</v>
      </c>
      <c r="D14254" s="7">
        <v>2.9</v>
      </c>
      <c r="E14254" t="s">
        <v>46</v>
      </c>
    </row>
    <row r="14255" spans="1:5" x14ac:dyDescent="0.25">
      <c r="A14255" t="str">
        <f>HYPERLINK("https://www.773grp.com/globalSearch/NLAST9431MTR2G/page-1", "NLAST9431MTR2G")</f>
        <v>NLAST9431MTR2G</v>
      </c>
      <c r="B14255" s="3" t="str">
        <f>HYPERLINK("https://www.773grp.com/manufacturer/onsemi?pageNo=774", "Onsemi")</f>
        <v>Onsemi</v>
      </c>
      <c r="C14255" s="6">
        <v>8870</v>
      </c>
      <c r="D14255" s="7">
        <v>2.9</v>
      </c>
      <c r="E14255" t="s">
        <v>46</v>
      </c>
    </row>
    <row r="14256" spans="1:5" x14ac:dyDescent="0.25">
      <c r="A14256" t="str">
        <f>HYPERLINK("https://www.773grp.com/globalSearch/NTD5862N-1G/page-1", "NTD5862N-1G")</f>
        <v>NTD5862N-1G</v>
      </c>
      <c r="B14256" s="3" t="str">
        <f>HYPERLINK("https://www.773grp.com/manufacturer/onsemi?pageNo=775", "Onsemi")</f>
        <v>Onsemi</v>
      </c>
      <c r="C14256" s="6">
        <v>205</v>
      </c>
      <c r="D14256" s="7">
        <v>2.9</v>
      </c>
    </row>
    <row r="14257" spans="1:5" x14ac:dyDescent="0.25">
      <c r="A14257" t="str">
        <f>HYPERLINK("https://www.773grp.com/globalSearch/NTD5862NT4G/page-1", "NTD5862NT4G")</f>
        <v>NTD5862NT4G</v>
      </c>
      <c r="B14257" s="3" t="str">
        <f>HYPERLINK("https://www.773grp.com/manufacturer/onsemi?pageNo=776", "Onsemi")</f>
        <v>Onsemi</v>
      </c>
      <c r="C14257" s="6">
        <v>59304</v>
      </c>
      <c r="D14257" s="7">
        <v>2.9</v>
      </c>
    </row>
    <row r="14258" spans="1:5" x14ac:dyDescent="0.25">
      <c r="A14258" t="str">
        <f>HYPERLINK("https://www.773grp.com/globalSearch/NTMFS4833NT1G/page-1", "NTMFS4833NT1G")</f>
        <v>NTMFS4833NT1G</v>
      </c>
      <c r="B14258" s="3" t="str">
        <f>HYPERLINK("https://www.773grp.com/manufacturer/onsemi?pageNo=777", "Onsemi")</f>
        <v>Onsemi</v>
      </c>
      <c r="C14258" s="6">
        <v>210</v>
      </c>
      <c r="D14258" s="7">
        <v>2.9</v>
      </c>
      <c r="E14258" t="s">
        <v>84</v>
      </c>
    </row>
    <row r="14259" spans="1:5" x14ac:dyDescent="0.25">
      <c r="A14259" t="str">
        <f>HYPERLINK("https://www.773grp.com/globalSearch/NTMFS4897NFT1G/page-1", "NTMFS4897NFT1G")</f>
        <v>NTMFS4897NFT1G</v>
      </c>
      <c r="B14259" s="3" t="str">
        <f>HYPERLINK("https://www.773grp.com/manufacturer/onsemi?pageNo=778", "Onsemi")</f>
        <v>Onsemi</v>
      </c>
      <c r="C14259" s="6">
        <v>40500</v>
      </c>
      <c r="D14259" s="7">
        <v>2.9</v>
      </c>
      <c r="E14259" t="s">
        <v>84</v>
      </c>
    </row>
    <row r="14260" spans="1:5" x14ac:dyDescent="0.25">
      <c r="A14260" t="str">
        <f>HYPERLINK("https://www.773grp.com/globalSearch/NTMFS4897NFT3G/page-1", "NTMFS4897NFT3G")</f>
        <v>NTMFS4897NFT3G</v>
      </c>
      <c r="B14260" s="3" t="str">
        <f>HYPERLINK("https://www.773grp.com/manufacturer/onsemi?pageNo=779", "Onsemi")</f>
        <v>Onsemi</v>
      </c>
      <c r="C14260" s="6">
        <v>5000</v>
      </c>
      <c r="D14260" s="7">
        <v>2.9</v>
      </c>
    </row>
    <row r="14261" spans="1:5" x14ac:dyDescent="0.25">
      <c r="A14261" t="str">
        <f>HYPERLINK("https://www.773grp.com/globalSearch/PCS3P7303AG-08CR/page-1", "PCS3P7303AG-08CR")</f>
        <v>PCS3P7303AG-08CR</v>
      </c>
      <c r="B14261" s="3" t="str">
        <f>HYPERLINK("https://www.773grp.com/manufacturer/onsemi?pageNo=780", "Onsemi")</f>
        <v>Onsemi</v>
      </c>
      <c r="C14261" s="6">
        <v>6000</v>
      </c>
      <c r="D14261" s="7">
        <v>2.9</v>
      </c>
      <c r="E14261" t="s">
        <v>65</v>
      </c>
    </row>
    <row r="14262" spans="1:5" x14ac:dyDescent="0.25">
      <c r="A14262" t="str">
        <f>HYPERLINK("https://www.773grp.com/globalSearch/SA5230N/page-1", "SA5230N")</f>
        <v>SA5230N</v>
      </c>
      <c r="B14262" s="3" t="str">
        <f>HYPERLINK("https://www.773grp.com/manufacturer/onsemi?pageNo=781", "Onsemi")</f>
        <v>Onsemi</v>
      </c>
      <c r="C14262" s="6">
        <v>1075</v>
      </c>
      <c r="D14262" s="7">
        <v>2.9</v>
      </c>
      <c r="E14262" t="s">
        <v>10</v>
      </c>
    </row>
    <row r="14263" spans="1:5" x14ac:dyDescent="0.25">
      <c r="A14263" t="str">
        <f>HYPERLINK("https://www.773grp.com/globalSearch/SBT80-04J/page-1", "SBT80-04J")</f>
        <v>SBT80-04J</v>
      </c>
      <c r="B14263" s="3" t="str">
        <f>HYPERLINK("https://www.773grp.com/manufacturer/onsemi?pageNo=782", "Onsemi")</f>
        <v>Onsemi</v>
      </c>
      <c r="C14263" s="6">
        <v>100</v>
      </c>
      <c r="D14263" s="7">
        <v>2.9</v>
      </c>
    </row>
    <row r="14264" spans="1:5" x14ac:dyDescent="0.25">
      <c r="A14264" t="str">
        <f>HYPERLINK("https://www.773grp.com/globalSearch/SE5534NG/page-1", "SE5534NG")</f>
        <v>SE5534NG</v>
      </c>
      <c r="B14264" s="3" t="str">
        <f>HYPERLINK("https://www.773grp.com/manufacturer/onsemi?pageNo=783", "Onsemi")</f>
        <v>Onsemi</v>
      </c>
      <c r="C14264" s="6">
        <v>350</v>
      </c>
      <c r="D14264" s="7">
        <v>2.9</v>
      </c>
      <c r="E14264" t="s">
        <v>10</v>
      </c>
    </row>
    <row r="14265" spans="1:5" x14ac:dyDescent="0.25">
      <c r="A14265" t="str">
        <f>HYPERLINK("https://www.773grp.com/globalSearch/SN54LS109AJ/page-1", "SN54LS109AJ")</f>
        <v>SN54LS109AJ</v>
      </c>
      <c r="B14265" s="3" t="str">
        <f>HYPERLINK("https://www.773grp.com/manufacturer/onsemi?pageNo=784", "Onsemi")</f>
        <v>Onsemi</v>
      </c>
      <c r="C14265" s="6">
        <v>1325</v>
      </c>
      <c r="D14265" s="7">
        <v>2.9</v>
      </c>
      <c r="E14265" t="s">
        <v>31</v>
      </c>
    </row>
    <row r="14266" spans="1:5" x14ac:dyDescent="0.25">
      <c r="A14266" t="str">
        <f>HYPERLINK("https://www.773grp.com/globalSearch/SN54LS112AJ/page-1", "SN54LS112AJ")</f>
        <v>SN54LS112AJ</v>
      </c>
      <c r="B14266" s="3" t="str">
        <f>HYPERLINK("https://www.773grp.com/manufacturer/onsemi?pageNo=785", "Onsemi")</f>
        <v>Onsemi</v>
      </c>
      <c r="C14266" s="6">
        <v>2</v>
      </c>
      <c r="D14266" s="7">
        <v>2.9</v>
      </c>
      <c r="E14266" t="s">
        <v>31</v>
      </c>
    </row>
    <row r="14267" spans="1:5" x14ac:dyDescent="0.25">
      <c r="A14267" t="str">
        <f>HYPERLINK("https://www.773grp.com/globalSearch/SRDA05-4R2/page-1", "SRDA05-4R2")</f>
        <v>SRDA05-4R2</v>
      </c>
      <c r="B14267" s="3" t="str">
        <f>HYPERLINK("https://www.773grp.com/manufacturer/onsemi?pageNo=786", "Onsemi")</f>
        <v>Onsemi</v>
      </c>
      <c r="C14267" s="6">
        <v>1876</v>
      </c>
      <c r="D14267" s="7">
        <v>2.9</v>
      </c>
      <c r="E14267" t="s">
        <v>75</v>
      </c>
    </row>
    <row r="14268" spans="1:5" x14ac:dyDescent="0.25">
      <c r="A14268" t="str">
        <f>HYPERLINK("https://www.773grp.com/globalSearch/SRDA3.3-4DR2G/page-1", "SRDA3.3-4DR2G")</f>
        <v>SRDA3.3-4DR2G</v>
      </c>
      <c r="B14268" s="3" t="str">
        <f>HYPERLINK("https://www.773grp.com/manufacturer/onsemi?pageNo=787", "Onsemi")</f>
        <v>Onsemi</v>
      </c>
      <c r="C14268" s="6">
        <v>588</v>
      </c>
      <c r="D14268" s="7">
        <v>2.9</v>
      </c>
    </row>
    <row r="14269" spans="1:5" x14ac:dyDescent="0.25">
      <c r="A14269" t="str">
        <f>HYPERLINK("https://www.773grp.com/globalSearch/TM00143/page-1", "TM00143")</f>
        <v>TM00143</v>
      </c>
      <c r="B14269" s="3" t="str">
        <f>HYPERLINK("https://www.773grp.com/manufacturer/onsemi?pageNo=788", "Onsemi")</f>
        <v>Onsemi</v>
      </c>
      <c r="C14269" s="6">
        <v>500</v>
      </c>
      <c r="D14269" s="7">
        <v>2.9</v>
      </c>
    </row>
    <row r="14270" spans="1:5" x14ac:dyDescent="0.25">
      <c r="A14270" t="str">
        <f>HYPERLINK("https://www.773grp.com/globalSearch/CAT1161WI-25-GT3/page-1", "CAT1161WI-25-GT3")</f>
        <v>CAT1161WI-25-GT3</v>
      </c>
      <c r="B14270" s="3" t="str">
        <f>HYPERLINK("https://www.773grp.com/manufacturer/onsemi?pageNo=789", "Onsemi")</f>
        <v>Onsemi</v>
      </c>
      <c r="C14270" s="6">
        <v>5450</v>
      </c>
      <c r="D14270" s="7">
        <v>2.95</v>
      </c>
      <c r="E14270" t="s">
        <v>26</v>
      </c>
    </row>
    <row r="14271" spans="1:5" x14ac:dyDescent="0.25">
      <c r="A14271" t="str">
        <f>HYPERLINK("https://www.773grp.com/globalSearch/CAT1161WI28/page-1", "CAT1161WI28")</f>
        <v>CAT1161WI28</v>
      </c>
      <c r="B14271" s="3" t="str">
        <f>HYPERLINK("https://www.773grp.com/manufacturer/onsemi?pageNo=790", "Onsemi")</f>
        <v>Onsemi</v>
      </c>
      <c r="C14271" s="6">
        <v>480</v>
      </c>
      <c r="D14271" s="7">
        <v>2.95</v>
      </c>
      <c r="E14271" t="s">
        <v>26</v>
      </c>
    </row>
    <row r="14272" spans="1:5" x14ac:dyDescent="0.25">
      <c r="A14272" t="str">
        <f>HYPERLINK("https://www.773grp.com/globalSearch/CAT1161WI45/page-1", "CAT1161WI45")</f>
        <v>CAT1161WI45</v>
      </c>
      <c r="B14272" s="3" t="str">
        <f>HYPERLINK("https://www.773grp.com/manufacturer/onsemi?pageNo=791", "Onsemi")</f>
        <v>Onsemi</v>
      </c>
      <c r="C14272" s="6">
        <v>1300</v>
      </c>
      <c r="D14272" s="7">
        <v>2.95</v>
      </c>
      <c r="E14272" t="s">
        <v>26</v>
      </c>
    </row>
    <row r="14273" spans="1:5" x14ac:dyDescent="0.25">
      <c r="A14273" t="str">
        <f>HYPERLINK("https://www.773grp.com/globalSearch/CAT1161WI-45-GT3/page-1", "CAT1161WI-45-GT3")</f>
        <v>CAT1161WI-45-GT3</v>
      </c>
      <c r="B14273" s="3" t="str">
        <f>HYPERLINK("https://www.773grp.com/manufacturer/onsemi?pageNo=792", "Onsemi")</f>
        <v>Onsemi</v>
      </c>
      <c r="C14273" s="6">
        <v>1000</v>
      </c>
      <c r="D14273" s="7">
        <v>2.95</v>
      </c>
    </row>
    <row r="14274" spans="1:5" x14ac:dyDescent="0.25">
      <c r="A14274" t="str">
        <f>HYPERLINK("https://www.773grp.com/globalSearch/CAT1161WI-45-T3/page-1", "CAT1161WI-45-T3")</f>
        <v>CAT1161WI-45-T3</v>
      </c>
      <c r="B14274" s="3" t="str">
        <f>HYPERLINK("https://www.773grp.com/manufacturer/onsemi?pageNo=793", "Onsemi")</f>
        <v>Onsemi</v>
      </c>
      <c r="C14274" s="6">
        <v>15000</v>
      </c>
      <c r="D14274" s="7">
        <v>2.95</v>
      </c>
      <c r="E14274" t="s">
        <v>26</v>
      </c>
    </row>
    <row r="14275" spans="1:5" x14ac:dyDescent="0.25">
      <c r="A14275" t="str">
        <f>HYPERLINK("https://www.773grp.com/globalSearch/CAT1162WI28/page-1", "CAT1162WI28")</f>
        <v>CAT1162WI28</v>
      </c>
      <c r="B14275" s="3" t="str">
        <f>HYPERLINK("https://www.773grp.com/manufacturer/onsemi?pageNo=794", "Onsemi")</f>
        <v>Onsemi</v>
      </c>
      <c r="C14275" s="6">
        <v>800</v>
      </c>
      <c r="D14275" s="7">
        <v>2.95</v>
      </c>
      <c r="E14275" t="s">
        <v>26</v>
      </c>
    </row>
    <row r="14276" spans="1:5" x14ac:dyDescent="0.25">
      <c r="A14276" t="str">
        <f>HYPERLINK("https://www.773grp.com/globalSearch/CAT1162WI-42-G/page-1", "CAT1162WI-42-G")</f>
        <v>CAT1162WI-42-G</v>
      </c>
      <c r="B14276" s="3" t="str">
        <f>HYPERLINK("https://www.773grp.com/manufacturer/onsemi?pageNo=795", "Onsemi")</f>
        <v>Onsemi</v>
      </c>
      <c r="C14276" s="6">
        <v>2400</v>
      </c>
      <c r="D14276" s="7">
        <v>2.95</v>
      </c>
    </row>
    <row r="14277" spans="1:5" x14ac:dyDescent="0.25">
      <c r="A14277" t="str">
        <f>HYPERLINK("https://www.773grp.com/globalSearch/CAT1163WI30/page-1", "CAT1163WI30")</f>
        <v>CAT1163WI30</v>
      </c>
      <c r="B14277" s="3" t="str">
        <f>HYPERLINK("https://www.773grp.com/manufacturer/onsemi?pageNo=796", "Onsemi")</f>
        <v>Onsemi</v>
      </c>
      <c r="C14277" s="6">
        <v>1900</v>
      </c>
      <c r="D14277" s="7">
        <v>2.95</v>
      </c>
      <c r="E14277" t="s">
        <v>37</v>
      </c>
    </row>
    <row r="14278" spans="1:5" x14ac:dyDescent="0.25">
      <c r="A14278" t="str">
        <f>HYPERLINK("https://www.773grp.com/globalSearch/CAT1163WI-30-T3/page-1", "CAT1163WI-30-T3")</f>
        <v>CAT1163WI-30-T3</v>
      </c>
      <c r="B14278" s="3" t="str">
        <f>HYPERLINK("https://www.773grp.com/manufacturer/onsemi?pageNo=797", "Onsemi")</f>
        <v>Onsemi</v>
      </c>
      <c r="C14278" s="6">
        <v>3000</v>
      </c>
      <c r="D14278" s="7">
        <v>2.95</v>
      </c>
    </row>
    <row r="14279" spans="1:5" x14ac:dyDescent="0.25">
      <c r="A14279" t="str">
        <f>HYPERLINK("https://www.773grp.com/globalSearch/CS3843AGD8/page-1", "CS3843AGD8")</f>
        <v>CS3843AGD8</v>
      </c>
      <c r="B14279" s="3" t="str">
        <f>HYPERLINK("https://www.773grp.com/manufacturer/onsemi?pageNo=798", "Onsemi")</f>
        <v>Onsemi</v>
      </c>
      <c r="C14279" s="6">
        <v>32</v>
      </c>
      <c r="D14279" s="7">
        <v>2.95</v>
      </c>
      <c r="E14279" t="s">
        <v>5</v>
      </c>
    </row>
    <row r="14280" spans="1:5" x14ac:dyDescent="0.25">
      <c r="A14280" t="str">
        <f>HYPERLINK("https://www.773grp.com/globalSearch/CS8361YDWF16/page-1", "CS8361YDWF16")</f>
        <v>CS8361YDWF16</v>
      </c>
      <c r="B14280" s="3" t="str">
        <f>HYPERLINK("https://www.773grp.com/manufacturer/onsemi?pageNo=799", "Onsemi")</f>
        <v>Onsemi</v>
      </c>
      <c r="C14280" s="6">
        <v>67</v>
      </c>
      <c r="D14280" s="7">
        <v>2.95</v>
      </c>
      <c r="E14280" t="s">
        <v>39</v>
      </c>
    </row>
    <row r="14281" spans="1:5" x14ac:dyDescent="0.25">
      <c r="A14281" t="str">
        <f>HYPERLINK("https://www.773grp.com/globalSearch/IRF730/page-1", "IRF730")</f>
        <v>IRF730</v>
      </c>
      <c r="B14281" s="3" t="str">
        <f>HYPERLINK("https://www.773grp.com/manufacturer/onsemi?pageNo=800", "Onsemi")</f>
        <v>Onsemi</v>
      </c>
      <c r="C14281" s="6">
        <v>216</v>
      </c>
      <c r="D14281" s="7">
        <v>2.95</v>
      </c>
      <c r="E14281" t="s">
        <v>84</v>
      </c>
    </row>
    <row r="14282" spans="1:5" x14ac:dyDescent="0.25">
      <c r="A14282" t="str">
        <f>HYPERLINK("https://www.773grp.com/globalSearch/L78LR05E-MA-E/page-1", "L78LR05E-MA-E")</f>
        <v>L78LR05E-MA-E</v>
      </c>
      <c r="B14282" s="3" t="str">
        <f>HYPERLINK("https://www.773grp.com/manufacturer/onsemi?pageNo=801", "Onsemi")</f>
        <v>Onsemi</v>
      </c>
      <c r="C14282" s="6">
        <v>14970</v>
      </c>
      <c r="D14282" s="7">
        <v>2.95</v>
      </c>
    </row>
    <row r="14283" spans="1:5" x14ac:dyDescent="0.25">
      <c r="A14283" t="str">
        <f>HYPERLINK("https://www.773grp.com/globalSearch/LA4814JA-ZE/page-1", "LA4814JA-ZE")</f>
        <v>LA4814JA-ZE</v>
      </c>
      <c r="B14283" s="3" t="str">
        <f>HYPERLINK("https://www.773grp.com/manufacturer/onsemi?pageNo=802", "Onsemi")</f>
        <v>Onsemi</v>
      </c>
      <c r="C14283" s="6">
        <v>560</v>
      </c>
      <c r="D14283" s="7">
        <v>2.95</v>
      </c>
    </row>
    <row r="14284" spans="1:5" x14ac:dyDescent="0.25">
      <c r="A14284" t="str">
        <f>HYPERLINK("https://www.773grp.com/globalSearch/MC33272ADG/page-1", "MC33272ADG")</f>
        <v>MC33272ADG</v>
      </c>
      <c r="B14284" s="3" t="str">
        <f>HYPERLINK("https://www.773grp.com/manufacturer/onsemi?pageNo=803", "Onsemi")</f>
        <v>Onsemi</v>
      </c>
      <c r="C14284" s="6">
        <v>4359</v>
      </c>
      <c r="D14284" s="7">
        <v>2.95</v>
      </c>
      <c r="E14284" t="s">
        <v>10</v>
      </c>
    </row>
    <row r="14285" spans="1:5" x14ac:dyDescent="0.25">
      <c r="A14285" t="str">
        <f>HYPERLINK("https://www.773grp.com/globalSearch/MC33272ADR2G/page-1", "MC33272ADR2G")</f>
        <v>MC33272ADR2G</v>
      </c>
      <c r="B14285" s="3" t="str">
        <f>HYPERLINK("https://www.773grp.com/manufacturer/onsemi?pageNo=804", "Onsemi")</f>
        <v>Onsemi</v>
      </c>
      <c r="C14285" s="6">
        <v>44923</v>
      </c>
      <c r="D14285" s="7">
        <v>2.95</v>
      </c>
      <c r="E14285" t="s">
        <v>10</v>
      </c>
    </row>
    <row r="14286" spans="1:5" x14ac:dyDescent="0.25">
      <c r="A14286" t="str">
        <f>HYPERLINK("https://www.773grp.com/globalSearch/MC33284DR2/page-1", "MC33284DR2")</f>
        <v>MC33284DR2</v>
      </c>
      <c r="B14286" s="3" t="str">
        <f>HYPERLINK("https://www.773grp.com/manufacturer/onsemi?pageNo=805", "Onsemi")</f>
        <v>Onsemi</v>
      </c>
      <c r="C14286" s="6">
        <v>5034</v>
      </c>
      <c r="D14286" s="7">
        <v>2.95</v>
      </c>
      <c r="E14286" t="s">
        <v>10</v>
      </c>
    </row>
    <row r="14287" spans="1:5" x14ac:dyDescent="0.25">
      <c r="A14287" t="str">
        <f>HYPERLINK("https://www.773grp.com/globalSearch/MC34167TV/page-1", "MC34167TV")</f>
        <v>MC34167TV</v>
      </c>
      <c r="B14287" s="3" t="str">
        <f>HYPERLINK("https://www.773grp.com/manufacturer/onsemi?pageNo=806", "Onsemi")</f>
        <v>Onsemi</v>
      </c>
      <c r="C14287" s="6">
        <v>1245</v>
      </c>
      <c r="D14287" s="7">
        <v>2.95</v>
      </c>
      <c r="E14287" t="s">
        <v>5</v>
      </c>
    </row>
    <row r="14288" spans="1:5" x14ac:dyDescent="0.25">
      <c r="A14288" t="str">
        <f>HYPERLINK("https://www.773grp.com/globalSearch/MC74AC378D/page-1", "MC74AC378D")</f>
        <v>MC74AC378D</v>
      </c>
      <c r="B14288" s="3" t="str">
        <f>HYPERLINK("https://www.773grp.com/manufacturer/onsemi?pageNo=807", "Onsemi")</f>
        <v>Onsemi</v>
      </c>
      <c r="C14288" s="6">
        <v>6382</v>
      </c>
      <c r="D14288" s="7">
        <v>2.95</v>
      </c>
      <c r="E14288" t="s">
        <v>31</v>
      </c>
    </row>
    <row r="14289" spans="1:5" x14ac:dyDescent="0.25">
      <c r="A14289" t="str">
        <f>HYPERLINK("https://www.773grp.com/globalSearch/MC74AC378N/page-1", "MC74AC378N")</f>
        <v>MC74AC378N</v>
      </c>
      <c r="B14289" s="3" t="str">
        <f>HYPERLINK("https://www.773grp.com/manufacturer/onsemi?pageNo=808", "Onsemi")</f>
        <v>Onsemi</v>
      </c>
      <c r="C14289" s="6">
        <v>3175</v>
      </c>
      <c r="D14289" s="7">
        <v>2.95</v>
      </c>
      <c r="E14289" t="s">
        <v>31</v>
      </c>
    </row>
    <row r="14290" spans="1:5" x14ac:dyDescent="0.25">
      <c r="A14290" t="str">
        <f>HYPERLINK("https://www.773grp.com/globalSearch/MC74ACT323M/page-1", "MC74ACT323M")</f>
        <v>MC74ACT323M</v>
      </c>
      <c r="B14290" s="3" t="str">
        <f>HYPERLINK("https://www.773grp.com/manufacturer/onsemi?pageNo=809", "Onsemi")</f>
        <v>Onsemi</v>
      </c>
      <c r="C14290" s="6">
        <v>1640</v>
      </c>
      <c r="D14290" s="7">
        <v>2.95</v>
      </c>
    </row>
    <row r="14291" spans="1:5" x14ac:dyDescent="0.25">
      <c r="A14291" t="str">
        <f>HYPERLINK("https://www.773grp.com/globalSearch/MC74LCX16240DT/page-1", "MC74LCX16240DT")</f>
        <v>MC74LCX16240DT</v>
      </c>
      <c r="B14291" s="3" t="str">
        <f>HYPERLINK("https://www.773grp.com/manufacturer/onsemi?pageNo=810", "Onsemi")</f>
        <v>Onsemi</v>
      </c>
      <c r="C14291" s="6">
        <v>5915</v>
      </c>
      <c r="D14291" s="7">
        <v>2.95</v>
      </c>
      <c r="E14291" t="s">
        <v>11</v>
      </c>
    </row>
    <row r="14292" spans="1:5" x14ac:dyDescent="0.25">
      <c r="A14292" t="str">
        <f>HYPERLINK("https://www.773grp.com/globalSearch/MGP4N60E/page-1", "MGP4N60E")</f>
        <v>MGP4N60E</v>
      </c>
      <c r="B14292" s="3" t="str">
        <f>HYPERLINK("https://www.773grp.com/manufacturer/onsemi?pageNo=811", "Onsemi")</f>
        <v>Onsemi</v>
      </c>
      <c r="C14292" s="6">
        <v>2810</v>
      </c>
      <c r="D14292" s="7">
        <v>2.95</v>
      </c>
      <c r="E14292" t="s">
        <v>94</v>
      </c>
    </row>
    <row r="14293" spans="1:5" x14ac:dyDescent="0.25">
      <c r="A14293" t="str">
        <f>HYPERLINK("https://www.773grp.com/globalSearch/NCP1500DMR2G/page-1", "NCP1500DMR2G")</f>
        <v>NCP1500DMR2G</v>
      </c>
      <c r="B14293" s="3" t="str">
        <f>HYPERLINK("https://www.773grp.com/manufacturer/onsemi?pageNo=812", "Onsemi")</f>
        <v>Onsemi</v>
      </c>
      <c r="C14293" s="6">
        <v>63890</v>
      </c>
      <c r="D14293" s="7">
        <v>2.95</v>
      </c>
      <c r="E14293" t="s">
        <v>5</v>
      </c>
    </row>
    <row r="14294" spans="1:5" x14ac:dyDescent="0.25">
      <c r="A14294" t="str">
        <f>HYPERLINK("https://www.773grp.com/globalSearch/NCP1501DMR2G/page-1", "NCP1501DMR2G")</f>
        <v>NCP1501DMR2G</v>
      </c>
      <c r="B14294" s="3" t="str">
        <f>HYPERLINK("https://www.773grp.com/manufacturer/onsemi?pageNo=813", "Onsemi")</f>
        <v>Onsemi</v>
      </c>
      <c r="C14294" s="6">
        <v>3975</v>
      </c>
      <c r="D14294" s="7">
        <v>2.95</v>
      </c>
      <c r="E14294" t="s">
        <v>5</v>
      </c>
    </row>
    <row r="14295" spans="1:5" x14ac:dyDescent="0.25">
      <c r="A14295" t="str">
        <f>HYPERLINK("https://www.773grp.com/globalSearch/NCP3218MNR2G/page-1", "NCP3218MNR2G")</f>
        <v>NCP3218MNR2G</v>
      </c>
      <c r="B14295" s="3" t="str">
        <f>HYPERLINK("https://www.773grp.com/manufacturer/onsemi?pageNo=814", "Onsemi")</f>
        <v>Onsemi</v>
      </c>
      <c r="C14295" s="6">
        <v>54745</v>
      </c>
      <c r="D14295" s="7">
        <v>2.95</v>
      </c>
    </row>
    <row r="14296" spans="1:5" x14ac:dyDescent="0.25">
      <c r="A14296" t="str">
        <f>HYPERLINK("https://www.773grp.com/globalSearch/NCP5399FTR2G/page-1", "NCP5399FTR2G")</f>
        <v>NCP5399FTR2G</v>
      </c>
      <c r="B14296" s="3" t="str">
        <f>HYPERLINK("https://www.773grp.com/manufacturer/onsemi?pageNo=815", "Onsemi")</f>
        <v>Onsemi</v>
      </c>
      <c r="C14296" s="6">
        <v>58000</v>
      </c>
      <c r="D14296" s="7">
        <v>2.95</v>
      </c>
    </row>
    <row r="14297" spans="1:5" x14ac:dyDescent="0.25">
      <c r="A14297" t="str">
        <f>HYPERLINK("https://www.773grp.com/globalSearch/NCV7361AD/page-1", "NCV7361AD")</f>
        <v>NCV7361AD</v>
      </c>
      <c r="B14297" s="3" t="str">
        <f>HYPERLINK("https://www.773grp.com/manufacturer/onsemi?pageNo=816", "Onsemi")</f>
        <v>Onsemi</v>
      </c>
      <c r="C14297" s="6">
        <v>1140</v>
      </c>
      <c r="D14297" s="7">
        <v>2.95</v>
      </c>
      <c r="E14297" t="s">
        <v>17</v>
      </c>
    </row>
    <row r="14298" spans="1:5" x14ac:dyDescent="0.25">
      <c r="A14298" t="str">
        <f>HYPERLINK("https://www.773grp.com/globalSearch/NCV8501DADJR2/page-1", "NCV8501DADJR2")</f>
        <v>NCV8501DADJR2</v>
      </c>
      <c r="B14298" s="3" t="str">
        <f>HYPERLINK("https://www.773grp.com/manufacturer/onsemi?pageNo=817", "Onsemi")</f>
        <v>Onsemi</v>
      </c>
      <c r="C14298" s="6">
        <v>2500</v>
      </c>
      <c r="D14298" s="7">
        <v>2.95</v>
      </c>
      <c r="E14298" t="s">
        <v>21</v>
      </c>
    </row>
    <row r="14299" spans="1:5" x14ac:dyDescent="0.25">
      <c r="A14299" t="str">
        <f>HYPERLINK("https://www.773grp.com/globalSearch/NCV8502D100G/page-1", "NCV8502D100G")</f>
        <v>NCV8502D100G</v>
      </c>
      <c r="B14299" s="3" t="str">
        <f>HYPERLINK("https://www.773grp.com/manufacturer/onsemi?pageNo=818", "Onsemi")</f>
        <v>Onsemi</v>
      </c>
      <c r="C14299" s="6">
        <v>135</v>
      </c>
      <c r="D14299" s="7">
        <v>2.95</v>
      </c>
      <c r="E14299" t="s">
        <v>15</v>
      </c>
    </row>
    <row r="14300" spans="1:5" x14ac:dyDescent="0.25">
      <c r="A14300" t="str">
        <f>HYPERLINK("https://www.773grp.com/globalSearch/NCV8502D100R2G/page-1", "NCV8502D100R2G")</f>
        <v>NCV8502D100R2G</v>
      </c>
      <c r="B14300" s="3" t="str">
        <f>HYPERLINK("https://www.773grp.com/manufacturer/onsemi?pageNo=819", "Onsemi")</f>
        <v>Onsemi</v>
      </c>
      <c r="C14300" s="6">
        <v>2500</v>
      </c>
      <c r="D14300" s="7">
        <v>2.95</v>
      </c>
      <c r="E14300" t="s">
        <v>15</v>
      </c>
    </row>
    <row r="14301" spans="1:5" x14ac:dyDescent="0.25">
      <c r="A14301" t="str">
        <f>HYPERLINK("https://www.773grp.com/globalSearch/NCV8502D25G/page-1", "NCV8502D25G")</f>
        <v>NCV8502D25G</v>
      </c>
      <c r="B14301" s="3" t="str">
        <f>HYPERLINK("https://www.773grp.com/manufacturer/onsemi?pageNo=820", "Onsemi")</f>
        <v>Onsemi</v>
      </c>
      <c r="C14301" s="6">
        <v>4302</v>
      </c>
      <c r="D14301" s="7">
        <v>2.95</v>
      </c>
      <c r="E14301" t="s">
        <v>15</v>
      </c>
    </row>
    <row r="14302" spans="1:5" x14ac:dyDescent="0.25">
      <c r="A14302" t="str">
        <f>HYPERLINK("https://www.773grp.com/globalSearch/NCV8502D25R2G/page-1", "NCV8502D25R2G")</f>
        <v>NCV8502D25R2G</v>
      </c>
      <c r="B14302" s="3" t="str">
        <f>HYPERLINK("https://www.773grp.com/manufacturer/onsemi?pageNo=821", "Onsemi")</f>
        <v>Onsemi</v>
      </c>
      <c r="C14302" s="6">
        <v>2500</v>
      </c>
      <c r="D14302" s="7">
        <v>2.95</v>
      </c>
      <c r="E14302" t="s">
        <v>15</v>
      </c>
    </row>
    <row r="14303" spans="1:5" x14ac:dyDescent="0.25">
      <c r="A14303" t="str">
        <f>HYPERLINK("https://www.773grp.com/globalSearch/NCV8502D33R2G/page-1", "NCV8502D33R2G")</f>
        <v>NCV8502D33R2G</v>
      </c>
      <c r="B14303" s="3" t="str">
        <f>HYPERLINK("https://www.773grp.com/manufacturer/onsemi?pageNo=822", "Onsemi")</f>
        <v>Onsemi</v>
      </c>
      <c r="C14303" s="6">
        <v>2500</v>
      </c>
      <c r="D14303" s="7">
        <v>2.95</v>
      </c>
    </row>
    <row r="14304" spans="1:5" x14ac:dyDescent="0.25">
      <c r="A14304" t="str">
        <f>HYPERLINK("https://www.773grp.com/globalSearch/NCV8502D50G/page-1", "NCV8502D50G")</f>
        <v>NCV8502D50G</v>
      </c>
      <c r="B14304" s="3" t="str">
        <f>HYPERLINK("https://www.773grp.com/manufacturer/onsemi?pageNo=823", "Onsemi")</f>
        <v>Onsemi</v>
      </c>
      <c r="C14304" s="6">
        <v>329</v>
      </c>
      <c r="D14304" s="7">
        <v>2.95</v>
      </c>
    </row>
    <row r="14305" spans="1:5" x14ac:dyDescent="0.25">
      <c r="A14305" t="str">
        <f>HYPERLINK("https://www.773grp.com/globalSearch/NCV8502D50R2G/page-1", "NCV8502D50R2G")</f>
        <v>NCV8502D50R2G</v>
      </c>
      <c r="B14305" s="3" t="str">
        <f>HYPERLINK("https://www.773grp.com/manufacturer/onsemi?pageNo=824", "Onsemi")</f>
        <v>Onsemi</v>
      </c>
      <c r="C14305" s="6">
        <v>5609</v>
      </c>
      <c r="D14305" s="7">
        <v>2.95</v>
      </c>
      <c r="E14305" t="s">
        <v>15</v>
      </c>
    </row>
    <row r="14306" spans="1:5" x14ac:dyDescent="0.25">
      <c r="A14306" t="str">
        <f>HYPERLINK("https://www.773grp.com/globalSearch/NCV8502D80G/page-1", "NCV8502D80G")</f>
        <v>NCV8502D80G</v>
      </c>
      <c r="B14306" s="3" t="str">
        <f>HYPERLINK("https://www.773grp.com/manufacturer/onsemi?pageNo=825", "Onsemi")</f>
        <v>Onsemi</v>
      </c>
      <c r="C14306" s="6">
        <v>9321</v>
      </c>
      <c r="D14306" s="7">
        <v>2.95</v>
      </c>
      <c r="E14306" t="s">
        <v>15</v>
      </c>
    </row>
    <row r="14307" spans="1:5" x14ac:dyDescent="0.25">
      <c r="A14307" t="str">
        <f>HYPERLINK("https://www.773grp.com/globalSearch/NCV8502D80R2G/page-1", "NCV8502D80R2G")</f>
        <v>NCV8502D80R2G</v>
      </c>
      <c r="B14307" s="3" t="str">
        <f>HYPERLINK("https://www.773grp.com/manufacturer/onsemi?pageNo=826", "Onsemi")</f>
        <v>Onsemi</v>
      </c>
      <c r="C14307" s="6">
        <v>15000</v>
      </c>
      <c r="D14307" s="7">
        <v>2.95</v>
      </c>
      <c r="E14307" t="s">
        <v>15</v>
      </c>
    </row>
    <row r="14308" spans="1:5" x14ac:dyDescent="0.25">
      <c r="A14308" t="str">
        <f>HYPERLINK("https://www.773grp.com/globalSearch/NCV8505D2T33/page-1", "NCV8505D2T33")</f>
        <v>NCV8505D2T33</v>
      </c>
      <c r="B14308" s="3" t="str">
        <f>HYPERLINK("https://www.773grp.com/manufacturer/onsemi?pageNo=827", "Onsemi")</f>
        <v>Onsemi</v>
      </c>
      <c r="C14308" s="6">
        <v>329</v>
      </c>
      <c r="D14308" s="7">
        <v>2.95</v>
      </c>
      <c r="E14308" t="s">
        <v>15</v>
      </c>
    </row>
    <row r="14309" spans="1:5" x14ac:dyDescent="0.25">
      <c r="A14309" t="str">
        <f>HYPERLINK("https://www.773grp.com/globalSearch/NCV8505D2T50R4/page-1", "NCV8505D2T50R4")</f>
        <v>NCV8505D2T50R4</v>
      </c>
      <c r="B14309" s="3" t="str">
        <f>HYPERLINK("https://www.773grp.com/manufacturer/onsemi?pageNo=828", "Onsemi")</f>
        <v>Onsemi</v>
      </c>
      <c r="C14309" s="6">
        <v>67000</v>
      </c>
      <c r="D14309" s="7">
        <v>2.95</v>
      </c>
      <c r="E14309" t="s">
        <v>15</v>
      </c>
    </row>
    <row r="14310" spans="1:5" x14ac:dyDescent="0.25">
      <c r="A14310" t="str">
        <f>HYPERLINK("https://www.773grp.com/globalSearch/NCV8664ST50T3G/page-1", "NCV8664ST50T3G")</f>
        <v>NCV8664ST50T3G</v>
      </c>
      <c r="B14310" s="3" t="str">
        <f>HYPERLINK("https://www.773grp.com/manufacturer/onsemi?pageNo=829", "Onsemi")</f>
        <v>Onsemi</v>
      </c>
      <c r="C14310" s="6">
        <v>2680</v>
      </c>
      <c r="D14310" s="7">
        <v>2.95</v>
      </c>
    </row>
    <row r="14311" spans="1:5" x14ac:dyDescent="0.25">
      <c r="A14311" t="str">
        <f>HYPERLINK("https://www.773grp.com/globalSearch/NTMFS4923NET1G/page-1", "NTMFS4923NET1G")</f>
        <v>NTMFS4923NET1G</v>
      </c>
      <c r="B14311" s="3" t="str">
        <f>HYPERLINK("https://www.773grp.com/manufacturer/onsemi?pageNo=830", "Onsemi")</f>
        <v>Onsemi</v>
      </c>
      <c r="C14311" s="6">
        <v>1478</v>
      </c>
      <c r="D14311" s="7">
        <v>2.95</v>
      </c>
    </row>
    <row r="14312" spans="1:5" x14ac:dyDescent="0.25">
      <c r="A14312" t="str">
        <f>HYPERLINK("https://www.773grp.com/globalSearch/SBT80-06J/page-1", "SBT80-06J")</f>
        <v>SBT80-06J</v>
      </c>
      <c r="B14312" s="3" t="str">
        <f>HYPERLINK("https://www.773grp.com/manufacturer/onsemi?pageNo=831", "Onsemi")</f>
        <v>Onsemi</v>
      </c>
      <c r="C14312" s="6">
        <v>216</v>
      </c>
      <c r="D14312" s="7">
        <v>2.95</v>
      </c>
    </row>
    <row r="14313" spans="1:5" x14ac:dyDescent="0.25">
      <c r="A14313" t="str">
        <f>HYPERLINK("https://www.773grp.com/globalSearch/SE5534AN/page-1", "SE5534AN")</f>
        <v>SE5534AN</v>
      </c>
      <c r="B14313" s="3" t="str">
        <f>HYPERLINK("https://www.773grp.com/manufacturer/onsemi?pageNo=832", "Onsemi")</f>
        <v>Onsemi</v>
      </c>
      <c r="C14313" s="6">
        <v>1152</v>
      </c>
      <c r="D14313" s="7">
        <v>2.95</v>
      </c>
      <c r="E14313" t="s">
        <v>10</v>
      </c>
    </row>
    <row r="14314" spans="1:5" x14ac:dyDescent="0.25">
      <c r="A14314" t="str">
        <f>HYPERLINK("https://www.773grp.com/globalSearch/SE5534ANG/page-1", "SE5534ANG")</f>
        <v>SE5534ANG</v>
      </c>
      <c r="B14314" s="3" t="str">
        <f>HYPERLINK("https://www.773grp.com/manufacturer/onsemi?pageNo=833", "Onsemi")</f>
        <v>Onsemi</v>
      </c>
      <c r="C14314" s="6">
        <v>367</v>
      </c>
      <c r="D14314" s="7">
        <v>2.95</v>
      </c>
      <c r="E14314" t="s">
        <v>10</v>
      </c>
    </row>
    <row r="14315" spans="1:5" x14ac:dyDescent="0.25">
      <c r="A14315" t="str">
        <f>HYPERLINK("https://www.773grp.com/globalSearch/STP3N50E/page-1", "STP3N50E")</f>
        <v>STP3N50E</v>
      </c>
      <c r="B14315" s="3" t="str">
        <f>HYPERLINK("https://www.773grp.com/manufacturer/onsemi?pageNo=834", "Onsemi")</f>
        <v>Onsemi</v>
      </c>
      <c r="C14315" s="6">
        <v>7200</v>
      </c>
      <c r="D14315" s="7">
        <v>2.95</v>
      </c>
    </row>
    <row r="14316" spans="1:5" x14ac:dyDescent="0.25">
      <c r="A14316" t="str">
        <f>HYPERLINK("https://www.773grp.com/globalSearch/CAT1162LI-30-G/page-1", "CAT1162LI-30-G")</f>
        <v>CAT1162LI-30-G</v>
      </c>
      <c r="B14316" s="3" t="str">
        <f>HYPERLINK("https://www.773grp.com/manufacturer/onsemi?pageNo=835", "Onsemi")</f>
        <v>Onsemi</v>
      </c>
      <c r="C14316" s="6">
        <v>450</v>
      </c>
      <c r="D14316" s="7">
        <v>3</v>
      </c>
      <c r="E14316" t="s">
        <v>26</v>
      </c>
    </row>
    <row r="14317" spans="1:5" x14ac:dyDescent="0.25">
      <c r="A14317" t="str">
        <f>HYPERLINK("https://www.773grp.com/globalSearch/CAT1163LI-42-G/page-1", "CAT1163LI-42-G")</f>
        <v>CAT1163LI-42-G</v>
      </c>
      <c r="B14317" s="3" t="str">
        <f>HYPERLINK("https://www.773grp.com/manufacturer/onsemi?pageNo=836", "Onsemi")</f>
        <v>Onsemi</v>
      </c>
      <c r="C14317" s="6">
        <v>450</v>
      </c>
      <c r="D14317" s="7">
        <v>3</v>
      </c>
      <c r="E14317" t="s">
        <v>37</v>
      </c>
    </row>
    <row r="14318" spans="1:5" x14ac:dyDescent="0.25">
      <c r="A14318" t="str">
        <f>HYPERLINK("https://www.773grp.com/globalSearch/CAT24C512XIT2/page-1", "CAT24C512XIT2")</f>
        <v>CAT24C512XIT2</v>
      </c>
      <c r="B14318" s="3" t="str">
        <f>HYPERLINK("https://www.773grp.com/manufacturer/onsemi?pageNo=837", "Onsemi")</f>
        <v>Onsemi</v>
      </c>
      <c r="C14318" s="6">
        <v>216</v>
      </c>
      <c r="D14318" s="7">
        <v>3</v>
      </c>
    </row>
    <row r="14319" spans="1:5" x14ac:dyDescent="0.25">
      <c r="A14319" t="str">
        <f>HYPERLINK("https://www.773grp.com/globalSearch/CAT24C512XI-T2/page-1", "CAT24C512XI-T2")</f>
        <v>CAT24C512XI-T2</v>
      </c>
      <c r="B14319" s="3" t="str">
        <f>HYPERLINK("https://www.773grp.com/manufacturer/onsemi?pageNo=838", "Onsemi")</f>
        <v>Onsemi</v>
      </c>
      <c r="C14319" s="6">
        <v>14000</v>
      </c>
      <c r="D14319" s="7">
        <v>3</v>
      </c>
    </row>
    <row r="14320" spans="1:5" x14ac:dyDescent="0.25">
      <c r="A14320" t="str">
        <f>HYPERLINK("https://www.773grp.com/globalSearch/CAT705ZI-GT3/page-1", "CAT705ZI-GT3")</f>
        <v>CAT705ZI-GT3</v>
      </c>
      <c r="B14320" s="3" t="str">
        <f>HYPERLINK("https://www.773grp.com/manufacturer/onsemi?pageNo=839", "Onsemi")</f>
        <v>Onsemi</v>
      </c>
      <c r="C14320" s="6">
        <v>27000</v>
      </c>
      <c r="D14320" s="7">
        <v>3</v>
      </c>
    </row>
    <row r="14321" spans="1:5" x14ac:dyDescent="0.25">
      <c r="A14321" t="str">
        <f>HYPERLINK("https://www.773grp.com/globalSearch/CAT706SZI-GT3/page-1", "CAT706SZI-GT3")</f>
        <v>CAT706SZI-GT3</v>
      </c>
      <c r="B14321" s="3" t="str">
        <f>HYPERLINK("https://www.773grp.com/manufacturer/onsemi?pageNo=840", "Onsemi")</f>
        <v>Onsemi</v>
      </c>
      <c r="C14321" s="6">
        <v>6000</v>
      </c>
      <c r="D14321" s="7">
        <v>3</v>
      </c>
      <c r="E14321" t="s">
        <v>26</v>
      </c>
    </row>
    <row r="14322" spans="1:5" x14ac:dyDescent="0.25">
      <c r="A14322" t="str">
        <f>HYPERLINK("https://www.773grp.com/globalSearch/CAT9555YI/page-1", "CAT9555YI")</f>
        <v>CAT9555YI</v>
      </c>
      <c r="B14322" s="3" t="str">
        <f>HYPERLINK("https://www.773grp.com/manufacturer/onsemi?pageNo=841", "Onsemi")</f>
        <v>Onsemi</v>
      </c>
      <c r="C14322" s="6">
        <v>248</v>
      </c>
      <c r="D14322" s="7">
        <v>3</v>
      </c>
    </row>
    <row r="14323" spans="1:5" x14ac:dyDescent="0.25">
      <c r="A14323" t="str">
        <f>HYPERLINK("https://www.773grp.com/globalSearch/CAT9555YI-T2/page-1", "CAT9555YI-T2")</f>
        <v>CAT9555YI-T2</v>
      </c>
      <c r="B14323" s="3" t="str">
        <f>HYPERLINK("https://www.773grp.com/manufacturer/onsemi?pageNo=842", "Onsemi")</f>
        <v>Onsemi</v>
      </c>
      <c r="C14323" s="6">
        <v>64000</v>
      </c>
      <c r="D14323" s="7">
        <v>3</v>
      </c>
    </row>
    <row r="14324" spans="1:5" x14ac:dyDescent="0.25">
      <c r="A14324" t="str">
        <f>HYPERLINK("https://www.773grp.com/globalSearch/LV5980MC-AH/page-1", "LV5980MC-AH")</f>
        <v>LV5980MC-AH</v>
      </c>
      <c r="B14324" s="3" t="str">
        <f>HYPERLINK("https://www.773grp.com/manufacturer/onsemi?pageNo=843", "Onsemi")</f>
        <v>Onsemi</v>
      </c>
      <c r="C14324" s="6">
        <v>2500</v>
      </c>
      <c r="D14324" s="7">
        <v>3</v>
      </c>
    </row>
    <row r="14325" spans="1:5" x14ac:dyDescent="0.25">
      <c r="A14325" t="str">
        <f>HYPERLINK("https://www.773grp.com/globalSearch/MBR2030CTL/page-1", "MBR2030CTL")</f>
        <v>MBR2030CTL</v>
      </c>
      <c r="B14325" s="3" t="str">
        <f>HYPERLINK("https://www.773grp.com/manufacturer/onsemi?pageNo=844", "Onsemi")</f>
        <v>Onsemi</v>
      </c>
      <c r="C14325" s="6">
        <v>50</v>
      </c>
      <c r="D14325" s="7">
        <v>3</v>
      </c>
      <c r="E14325" t="s">
        <v>82</v>
      </c>
    </row>
    <row r="14326" spans="1:5" x14ac:dyDescent="0.25">
      <c r="A14326" t="str">
        <f>HYPERLINK("https://www.773grp.com/globalSearch/MBR30H30CTG/page-1", "MBR30H30CTG")</f>
        <v>MBR30H30CTG</v>
      </c>
      <c r="B14326" s="3" t="str">
        <f>HYPERLINK("https://www.773grp.com/manufacturer/onsemi?pageNo=845", "Onsemi")</f>
        <v>Onsemi</v>
      </c>
      <c r="C14326" s="6">
        <v>691</v>
      </c>
      <c r="D14326" s="7">
        <v>3</v>
      </c>
      <c r="E14326" t="s">
        <v>82</v>
      </c>
    </row>
    <row r="14327" spans="1:5" x14ac:dyDescent="0.25">
      <c r="A14327" t="str">
        <f>HYPERLINK("https://www.773grp.com/globalSearch/MBRB30H30CT-1G/page-1", "MBRB30H30CT-1G")</f>
        <v>MBRB30H30CT-1G</v>
      </c>
      <c r="B14327" s="3" t="str">
        <f>HYPERLINK("https://www.773grp.com/manufacturer/onsemi?pageNo=846", "Onsemi")</f>
        <v>Onsemi</v>
      </c>
      <c r="C14327" s="6">
        <v>12000</v>
      </c>
      <c r="D14327" s="7">
        <v>3</v>
      </c>
      <c r="E14327" t="s">
        <v>82</v>
      </c>
    </row>
    <row r="14328" spans="1:5" x14ac:dyDescent="0.25">
      <c r="A14328" t="str">
        <f>HYPERLINK("https://www.773grp.com/globalSearch/MBRB30H60CT-1G/page-1", "MBRB30H60CT-1G")</f>
        <v>MBRB30H60CT-1G</v>
      </c>
      <c r="B14328" s="3" t="str">
        <f>HYPERLINK("https://www.773grp.com/manufacturer/onsemi?pageNo=847", "Onsemi")</f>
        <v>Onsemi</v>
      </c>
      <c r="C14328" s="6">
        <v>173886</v>
      </c>
      <c r="D14328" s="7">
        <v>3</v>
      </c>
      <c r="E14328" t="s">
        <v>82</v>
      </c>
    </row>
    <row r="14329" spans="1:5" x14ac:dyDescent="0.25">
      <c r="A14329" t="str">
        <f>HYPERLINK("https://www.773grp.com/globalSearch/MC1011OP/page-1", "MC1011OP")</f>
        <v>MC1011OP</v>
      </c>
      <c r="B14329" s="3" t="str">
        <f>HYPERLINK("https://www.773grp.com/manufacturer/onsemi?pageNo=848", "Onsemi")</f>
        <v>Onsemi</v>
      </c>
      <c r="C14329" s="6">
        <v>2994</v>
      </c>
      <c r="D14329" s="7">
        <v>3</v>
      </c>
    </row>
    <row r="14330" spans="1:5" x14ac:dyDescent="0.25">
      <c r="A14330" t="str">
        <f>HYPERLINK("https://www.773grp.com/globalSearch/MC33184P/page-1", "MC33184P")</f>
        <v>MC33184P</v>
      </c>
      <c r="B14330" s="3" t="str">
        <f>HYPERLINK("https://www.773grp.com/manufacturer/onsemi?pageNo=849", "Onsemi")</f>
        <v>Onsemi</v>
      </c>
      <c r="C14330" s="6">
        <v>9</v>
      </c>
      <c r="D14330" s="7">
        <v>3</v>
      </c>
      <c r="E14330" t="s">
        <v>10</v>
      </c>
    </row>
    <row r="14331" spans="1:5" x14ac:dyDescent="0.25">
      <c r="A14331" t="str">
        <f>HYPERLINK("https://www.773grp.com/globalSearch/MC74F259D/page-1", "MC74F259D")</f>
        <v>MC74F259D</v>
      </c>
      <c r="B14331" s="3" t="str">
        <f>HYPERLINK("https://www.773grp.com/manufacturer/onsemi?pageNo=850", "Onsemi")</f>
        <v>Onsemi</v>
      </c>
      <c r="C14331" s="6">
        <v>1552</v>
      </c>
      <c r="D14331" s="7">
        <v>3</v>
      </c>
      <c r="E14331" t="s">
        <v>31</v>
      </c>
    </row>
    <row r="14332" spans="1:5" x14ac:dyDescent="0.25">
      <c r="A14332" t="str">
        <f>HYPERLINK("https://www.773grp.com/globalSearch/MC74F259DW/page-1", "MC74F259DW")</f>
        <v>MC74F259DW</v>
      </c>
      <c r="B14332" s="3" t="str">
        <f>HYPERLINK("https://www.773grp.com/manufacturer/onsemi?pageNo=851", "Onsemi")</f>
        <v>Onsemi</v>
      </c>
      <c r="C14332" s="6">
        <v>23</v>
      </c>
      <c r="D14332" s="7">
        <v>3</v>
      </c>
    </row>
    <row r="14333" spans="1:5" x14ac:dyDescent="0.25">
      <c r="A14333" t="str">
        <f>HYPERLINK("https://www.773grp.com/globalSearch/MSRF860G/page-1", "MSRF860G")</f>
        <v>MSRF860G</v>
      </c>
      <c r="B14333" s="3" t="str">
        <f>HYPERLINK("https://www.773grp.com/manufacturer/onsemi?pageNo=852", "Onsemi")</f>
        <v>Onsemi</v>
      </c>
      <c r="C14333" s="6">
        <v>4470</v>
      </c>
      <c r="D14333" s="7">
        <v>3</v>
      </c>
      <c r="E14333" t="s">
        <v>82</v>
      </c>
    </row>
    <row r="14334" spans="1:5" x14ac:dyDescent="0.25">
      <c r="A14334" t="str">
        <f>HYPERLINK("https://www.773grp.com/globalSearch/MURF860G/page-1", "MURF860G")</f>
        <v>MURF860G</v>
      </c>
      <c r="B14334" s="3" t="str">
        <f>HYPERLINK("https://www.773grp.com/manufacturer/onsemi?pageNo=853", "Onsemi")</f>
        <v>Onsemi</v>
      </c>
      <c r="C14334" s="6">
        <v>148975</v>
      </c>
      <c r="D14334" s="7">
        <v>3</v>
      </c>
      <c r="E14334" t="s">
        <v>82</v>
      </c>
    </row>
    <row r="14335" spans="1:5" x14ac:dyDescent="0.25">
      <c r="A14335" t="str">
        <f>HYPERLINK("https://www.773grp.com/globalSearch/NCP1395ADR2G/page-1", "NCP1395ADR2G")</f>
        <v>NCP1395ADR2G</v>
      </c>
      <c r="B14335" s="3" t="str">
        <f>HYPERLINK("https://www.773grp.com/manufacturer/onsemi?pageNo=854", "Onsemi")</f>
        <v>Onsemi</v>
      </c>
      <c r="C14335" s="6">
        <v>639645</v>
      </c>
      <c r="D14335" s="7">
        <v>3</v>
      </c>
      <c r="E14335" t="s">
        <v>5</v>
      </c>
    </row>
    <row r="14336" spans="1:5" x14ac:dyDescent="0.25">
      <c r="A14336" t="str">
        <f>HYPERLINK("https://www.773grp.com/globalSearch/NCP1395BDR2G/page-1", "NCP1395BDR2G")</f>
        <v>NCP1395BDR2G</v>
      </c>
      <c r="B14336" s="3" t="str">
        <f>HYPERLINK("https://www.773grp.com/manufacturer/onsemi?pageNo=855", "Onsemi")</f>
        <v>Onsemi</v>
      </c>
      <c r="C14336" s="6">
        <v>28889</v>
      </c>
      <c r="D14336" s="7">
        <v>3</v>
      </c>
      <c r="E14336" t="s">
        <v>5</v>
      </c>
    </row>
    <row r="14337" spans="1:5" x14ac:dyDescent="0.25">
      <c r="A14337" t="str">
        <f>HYPERLINK("https://www.773grp.com/globalSearch/NCP4896FCT1G/page-1", "NCP4896FCT1G")</f>
        <v>NCP4896FCT1G</v>
      </c>
      <c r="B14337" s="3" t="str">
        <f>HYPERLINK("https://www.773grp.com/manufacturer/onsemi?pageNo=856", "Onsemi")</f>
        <v>Onsemi</v>
      </c>
      <c r="C14337" s="6">
        <v>1290000</v>
      </c>
      <c r="D14337" s="7">
        <v>3</v>
      </c>
      <c r="E14337" t="s">
        <v>14</v>
      </c>
    </row>
    <row r="14338" spans="1:5" x14ac:dyDescent="0.25">
      <c r="A14338" t="str">
        <f>HYPERLINK("https://www.773grp.com/globalSearch/NCP5662DS12R4G/page-1", "NCP5662DS12R4G")</f>
        <v>NCP5662DS12R4G</v>
      </c>
      <c r="B14338" s="3" t="str">
        <f>HYPERLINK("https://www.773grp.com/manufacturer/onsemi?pageNo=857", "Onsemi")</f>
        <v>Onsemi</v>
      </c>
      <c r="C14338" s="6">
        <v>65878</v>
      </c>
      <c r="D14338" s="7">
        <v>3</v>
      </c>
      <c r="E14338" t="s">
        <v>15</v>
      </c>
    </row>
    <row r="14339" spans="1:5" x14ac:dyDescent="0.25">
      <c r="A14339" t="str">
        <f>HYPERLINK("https://www.773grp.com/globalSearch/NCP5662DS15R4G/page-1", "NCP5662DS15R4G")</f>
        <v>NCP5662DS15R4G</v>
      </c>
      <c r="B14339" s="3" t="str">
        <f>HYPERLINK("https://www.773grp.com/manufacturer/onsemi?pageNo=858", "Onsemi")</f>
        <v>Onsemi</v>
      </c>
      <c r="C14339" s="6">
        <v>40129</v>
      </c>
      <c r="D14339" s="7">
        <v>3</v>
      </c>
      <c r="E14339" t="s">
        <v>15</v>
      </c>
    </row>
    <row r="14340" spans="1:5" x14ac:dyDescent="0.25">
      <c r="A14340" t="str">
        <f>HYPERLINK("https://www.773grp.com/globalSearch/NCP5662DS25R4G/page-1", "NCP5662DS25R4G")</f>
        <v>NCP5662DS25R4G</v>
      </c>
      <c r="B14340" s="3" t="str">
        <f>HYPERLINK("https://www.773grp.com/manufacturer/onsemi?pageNo=859", "Onsemi")</f>
        <v>Onsemi</v>
      </c>
      <c r="C14340" s="6">
        <v>580</v>
      </c>
      <c r="D14340" s="7">
        <v>3</v>
      </c>
      <c r="E14340" t="s">
        <v>15</v>
      </c>
    </row>
    <row r="14341" spans="1:5" x14ac:dyDescent="0.25">
      <c r="A14341" t="str">
        <f>HYPERLINK("https://www.773grp.com/globalSearch/NCP5662DS28R4G/page-1", "NCP5662DS28R4G")</f>
        <v>NCP5662DS28R4G</v>
      </c>
      <c r="B14341" s="3" t="str">
        <f>HYPERLINK("https://www.773grp.com/manufacturer/onsemi?pageNo=860", "Onsemi")</f>
        <v>Onsemi</v>
      </c>
      <c r="C14341" s="6">
        <v>3155</v>
      </c>
      <c r="D14341" s="7">
        <v>3</v>
      </c>
      <c r="E14341" t="s">
        <v>15</v>
      </c>
    </row>
    <row r="14342" spans="1:5" x14ac:dyDescent="0.25">
      <c r="A14342" t="str">
        <f>HYPERLINK("https://www.773grp.com/globalSearch/NCP5662DS30R4G/page-1", "NCP5662DS30R4G")</f>
        <v>NCP5662DS30R4G</v>
      </c>
      <c r="B14342" s="3" t="str">
        <f>HYPERLINK("https://www.773grp.com/manufacturer/onsemi?pageNo=861", "Onsemi")</f>
        <v>Onsemi</v>
      </c>
      <c r="C14342" s="6">
        <v>3190</v>
      </c>
      <c r="D14342" s="7">
        <v>3</v>
      </c>
      <c r="E14342" t="s">
        <v>15</v>
      </c>
    </row>
    <row r="14343" spans="1:5" x14ac:dyDescent="0.25">
      <c r="A14343" t="str">
        <f>HYPERLINK("https://www.773grp.com/globalSearch/NCP5662DS33R/page-1", "NCP5662DS33R")</f>
        <v>NCP5662DS33R</v>
      </c>
      <c r="B14343" s="3" t="str">
        <f>HYPERLINK("https://www.773grp.com/manufacturer/onsemi?pageNo=862", "Onsemi")</f>
        <v>Onsemi</v>
      </c>
      <c r="C14343" s="6">
        <v>7200</v>
      </c>
      <c r="D14343" s="7">
        <v>3</v>
      </c>
    </row>
    <row r="14344" spans="1:5" x14ac:dyDescent="0.25">
      <c r="A14344" t="str">
        <f>HYPERLINK("https://www.773grp.com/globalSearch/NCP5662DS33R4G/page-1", "NCP5662DS33R4G")</f>
        <v>NCP5662DS33R4G</v>
      </c>
      <c r="B14344" s="3" t="str">
        <f>HYPERLINK("https://www.773grp.com/manufacturer/onsemi?pageNo=863", "Onsemi")</f>
        <v>Onsemi</v>
      </c>
      <c r="C14344" s="6">
        <v>531550</v>
      </c>
      <c r="D14344" s="7">
        <v>3</v>
      </c>
      <c r="E14344" t="s">
        <v>15</v>
      </c>
    </row>
    <row r="14345" spans="1:5" x14ac:dyDescent="0.25">
      <c r="A14345" t="str">
        <f>HYPERLINK("https://www.773grp.com/globalSearch/NCP5662DSADJR4G/page-1", "NCP5662DSADJR4G")</f>
        <v>NCP5662DSADJR4G</v>
      </c>
      <c r="B14345" s="3" t="str">
        <f>HYPERLINK("https://www.773grp.com/manufacturer/onsemi?pageNo=864", "Onsemi")</f>
        <v>Onsemi</v>
      </c>
      <c r="C14345" s="6">
        <v>13621</v>
      </c>
      <c r="D14345" s="7">
        <v>3</v>
      </c>
      <c r="E14345" t="s">
        <v>21</v>
      </c>
    </row>
    <row r="14346" spans="1:5" x14ac:dyDescent="0.25">
      <c r="A14346" t="str">
        <f>HYPERLINK("https://www.773grp.com/globalSearch/NCV33039DR2G/page-1", "NCV33039DR2G")</f>
        <v>NCV33039DR2G</v>
      </c>
      <c r="B14346" s="3" t="str">
        <f>HYPERLINK("https://www.773grp.com/manufacturer/onsemi?pageNo=865", "Onsemi")</f>
        <v>Onsemi</v>
      </c>
      <c r="C14346" s="6">
        <v>2090</v>
      </c>
      <c r="D14346" s="7">
        <v>3</v>
      </c>
      <c r="E14346" t="s">
        <v>36</v>
      </c>
    </row>
    <row r="14347" spans="1:5" x14ac:dyDescent="0.25">
      <c r="A14347" t="str">
        <f>HYPERLINK("https://www.773grp.com/globalSearch/NCV4274AST25T3G/page-1", "NCV4274AST25T3G")</f>
        <v>NCV4274AST25T3G</v>
      </c>
      <c r="B14347" s="3" t="str">
        <f>HYPERLINK("https://www.773grp.com/manufacturer/onsemi?pageNo=866", "Onsemi")</f>
        <v>Onsemi</v>
      </c>
      <c r="C14347" s="6">
        <v>10536</v>
      </c>
      <c r="D14347" s="7">
        <v>3</v>
      </c>
      <c r="E14347" t="s">
        <v>24</v>
      </c>
    </row>
    <row r="14348" spans="1:5" x14ac:dyDescent="0.25">
      <c r="A14348" t="str">
        <f>HYPERLINK("https://www.773grp.com/globalSearch/NCV4274AST33T3G/page-1", "NCV4274AST33T3G")</f>
        <v>NCV4274AST33T3G</v>
      </c>
      <c r="B14348" s="3" t="str">
        <f>HYPERLINK("https://www.773grp.com/manufacturer/onsemi?pageNo=867", "Onsemi")</f>
        <v>Onsemi</v>
      </c>
      <c r="C14348" s="6">
        <v>1340</v>
      </c>
      <c r="D14348" s="7">
        <v>3</v>
      </c>
    </row>
    <row r="14349" spans="1:5" x14ac:dyDescent="0.25">
      <c r="A14349" t="str">
        <f>HYPERLINK("https://www.773grp.com/globalSearch/NCV4274ST25T3G/page-1", "NCV4274ST25T3G")</f>
        <v>NCV4274ST25T3G</v>
      </c>
      <c r="B14349" s="3" t="str">
        <f>HYPERLINK("https://www.773grp.com/manufacturer/onsemi?pageNo=868", "Onsemi")</f>
        <v>Onsemi</v>
      </c>
      <c r="C14349" s="6">
        <v>12000</v>
      </c>
      <c r="D14349" s="7">
        <v>3</v>
      </c>
      <c r="E14349" t="s">
        <v>24</v>
      </c>
    </row>
    <row r="14350" spans="1:5" x14ac:dyDescent="0.25">
      <c r="A14350" t="str">
        <f>HYPERLINK("https://www.773grp.com/globalSearch/NCV4274ST33T3G/page-1", "NCV4274ST33T3G")</f>
        <v>NCV4274ST33T3G</v>
      </c>
      <c r="B14350" s="3" t="str">
        <f>HYPERLINK("https://www.773grp.com/manufacturer/onsemi?pageNo=869", "Onsemi")</f>
        <v>Onsemi</v>
      </c>
      <c r="C14350" s="6">
        <v>1967</v>
      </c>
      <c r="D14350" s="7">
        <v>3</v>
      </c>
      <c r="E14350" t="s">
        <v>24</v>
      </c>
    </row>
    <row r="14351" spans="1:5" x14ac:dyDescent="0.25">
      <c r="A14351" t="str">
        <f>HYPERLINK("https://www.773grp.com/globalSearch/NTB45N06T4/page-1", "NTB45N06T4")</f>
        <v>NTB45N06T4</v>
      </c>
      <c r="B14351" s="3" t="str">
        <f>HYPERLINK("https://www.773grp.com/manufacturer/onsemi?pageNo=870", "Onsemi")</f>
        <v>Onsemi</v>
      </c>
      <c r="C14351" s="6">
        <v>1600</v>
      </c>
      <c r="D14351" s="7">
        <v>3</v>
      </c>
      <c r="E14351" t="s">
        <v>84</v>
      </c>
    </row>
    <row r="14352" spans="1:5" x14ac:dyDescent="0.25">
      <c r="A14352" t="str">
        <f>HYPERLINK("https://www.773grp.com/globalSearch/NTB45N06T4G/page-1", "NTB45N06T4G")</f>
        <v>NTB45N06T4G</v>
      </c>
      <c r="B14352" s="3" t="str">
        <f>HYPERLINK("https://www.773grp.com/manufacturer/onsemi?pageNo=871", "Onsemi")</f>
        <v>Onsemi</v>
      </c>
      <c r="C14352" s="6">
        <v>1600</v>
      </c>
      <c r="D14352" s="7">
        <v>3</v>
      </c>
      <c r="E14352" t="s">
        <v>84</v>
      </c>
    </row>
    <row r="14353" spans="1:5" x14ac:dyDescent="0.25">
      <c r="A14353" t="str">
        <f>HYPERLINK("https://www.773grp.com/globalSearch/ADP3198AJCPZ-RL/page-1", "ADP3198AJCPZ-RL")</f>
        <v>ADP3198AJCPZ-RL</v>
      </c>
      <c r="B14353" s="3" t="str">
        <f>HYPERLINK("https://www.773grp.com/manufacturer/onsemi?pageNo=872", "Onsemi")</f>
        <v>Onsemi</v>
      </c>
      <c r="C14353" s="6">
        <v>5000</v>
      </c>
      <c r="D14353" s="7">
        <v>3.05</v>
      </c>
      <c r="E14353" t="s">
        <v>5</v>
      </c>
    </row>
    <row r="14354" spans="1:5" x14ac:dyDescent="0.25">
      <c r="A14354" t="str">
        <f>HYPERLINK("https://www.773grp.com/globalSearch/ADP3212MNR2G/page-1", "ADP3212MNR2G")</f>
        <v>ADP3212MNR2G</v>
      </c>
      <c r="B14354" s="3" t="str">
        <f>HYPERLINK("https://www.773grp.com/manufacturer/onsemi?pageNo=873", "Onsemi")</f>
        <v>Onsemi</v>
      </c>
      <c r="C14354" s="6">
        <v>140800</v>
      </c>
      <c r="D14354" s="7">
        <v>3.05</v>
      </c>
      <c r="E14354" t="s">
        <v>5</v>
      </c>
    </row>
    <row r="14355" spans="1:5" x14ac:dyDescent="0.25">
      <c r="A14355" t="str">
        <f>HYPERLINK("https://www.773grp.com/globalSearch/AMIS41682CANM1RG/page-1", "AMIS41682CANM1RG")</f>
        <v>AMIS41682CANM1RG</v>
      </c>
      <c r="B14355" s="3" t="str">
        <f>HYPERLINK("https://www.773grp.com/manufacturer/onsemi?pageNo=874", "Onsemi")</f>
        <v>Onsemi</v>
      </c>
      <c r="C14355" s="6">
        <v>3000</v>
      </c>
      <c r="D14355" s="7">
        <v>3.05</v>
      </c>
      <c r="E14355" t="s">
        <v>45</v>
      </c>
    </row>
    <row r="14356" spans="1:5" x14ac:dyDescent="0.25">
      <c r="A14356" t="str">
        <f>HYPERLINK("https://www.773grp.com/globalSearch/AMIS41683CANN1G/page-1", "AMIS41683CANN1G")</f>
        <v>AMIS41683CANN1G</v>
      </c>
      <c r="B14356" s="3" t="str">
        <f>HYPERLINK("https://www.773grp.com/manufacturer/onsemi?pageNo=875", "Onsemi")</f>
        <v>Onsemi</v>
      </c>
      <c r="C14356" s="6">
        <v>12</v>
      </c>
      <c r="D14356" s="7">
        <v>3.05</v>
      </c>
      <c r="E14356" t="s">
        <v>45</v>
      </c>
    </row>
    <row r="14357" spans="1:5" x14ac:dyDescent="0.25">
      <c r="A14357" t="str">
        <f>HYPERLINK("https://www.773grp.com/globalSearch/AMIS41683CANN1G/page-1", "AMIS41683CANN1G")</f>
        <v>AMIS41683CANN1G</v>
      </c>
      <c r="B14357" s="3" t="str">
        <f>HYPERLINK("https://www.773grp.com/manufacturer/onsemi?pageNo=876", "Onsemi")</f>
        <v>Onsemi</v>
      </c>
      <c r="C14357" s="6">
        <v>295</v>
      </c>
      <c r="D14357" s="7">
        <v>3.05</v>
      </c>
      <c r="E14357" t="s">
        <v>45</v>
      </c>
    </row>
    <row r="14358" spans="1:5" x14ac:dyDescent="0.25">
      <c r="A14358" t="str">
        <f>HYPERLINK("https://www.773grp.com/globalSearch/CAT4016HV6-T2/page-1", "CAT4016HV6-T2")</f>
        <v>CAT4016HV6-T2</v>
      </c>
      <c r="B14358" s="3" t="str">
        <f>HYPERLINK("https://www.773grp.com/manufacturer/onsemi?pageNo=877", "Onsemi")</f>
        <v>Onsemi</v>
      </c>
      <c r="C14358" s="6">
        <v>10000</v>
      </c>
      <c r="D14358" s="7">
        <v>3.05</v>
      </c>
      <c r="E14358" t="s">
        <v>7</v>
      </c>
    </row>
    <row r="14359" spans="1:5" x14ac:dyDescent="0.25">
      <c r="A14359" t="str">
        <f>HYPERLINK("https://www.773grp.com/globalSearch/CAT4016VSR-T2/page-1", "CAT4016VSR-T2")</f>
        <v>CAT4016VSR-T2</v>
      </c>
      <c r="B14359" s="3" t="str">
        <f>HYPERLINK("https://www.773grp.com/manufacturer/onsemi?pageNo=878", "Onsemi")</f>
        <v>Onsemi</v>
      </c>
      <c r="C14359" s="6">
        <v>18000</v>
      </c>
      <c r="D14359" s="7">
        <v>3.05</v>
      </c>
      <c r="E14359" t="s">
        <v>7</v>
      </c>
    </row>
    <row r="14360" spans="1:5" x14ac:dyDescent="0.25">
      <c r="A14360" t="str">
        <f>HYPERLINK("https://www.773grp.com/globalSearch/CAT4016VS-T2/page-1", "CAT4016VS-T2")</f>
        <v>CAT4016VS-T2</v>
      </c>
      <c r="B14360" s="3" t="str">
        <f>HYPERLINK("https://www.773grp.com/manufacturer/onsemi?pageNo=879", "Onsemi")</f>
        <v>Onsemi</v>
      </c>
      <c r="C14360" s="6">
        <v>6000</v>
      </c>
      <c r="D14360" s="7">
        <v>3.05</v>
      </c>
      <c r="E14360" t="s">
        <v>7</v>
      </c>
    </row>
    <row r="14361" spans="1:5" x14ac:dyDescent="0.25">
      <c r="A14361" t="str">
        <f>HYPERLINK("https://www.773grp.com/globalSearch/CAT4016Y-T2/page-1", "CAT4016Y-T2")</f>
        <v>CAT4016Y-T2</v>
      </c>
      <c r="B14361" s="3" t="str">
        <f>HYPERLINK("https://www.773grp.com/manufacturer/onsemi?pageNo=880", "Onsemi")</f>
        <v>Onsemi</v>
      </c>
      <c r="C14361" s="6">
        <v>35800</v>
      </c>
      <c r="D14361" s="7">
        <v>3.05</v>
      </c>
    </row>
    <row r="14362" spans="1:5" x14ac:dyDescent="0.25">
      <c r="A14362" t="str">
        <f>HYPERLINK("https://www.773grp.com/globalSearch/CS3524AGDWR16/page-1", "CS3524AGDWR16")</f>
        <v>CS3524AGDWR16</v>
      </c>
      <c r="B14362" s="3" t="str">
        <f>HYPERLINK("https://www.773grp.com/manufacturer/onsemi?pageNo=881", "Onsemi")</f>
        <v>Onsemi</v>
      </c>
      <c r="C14362" s="6">
        <v>29000</v>
      </c>
      <c r="D14362" s="7">
        <v>3.05</v>
      </c>
      <c r="E14362" t="s">
        <v>5</v>
      </c>
    </row>
    <row r="14363" spans="1:5" x14ac:dyDescent="0.25">
      <c r="A14363" t="str">
        <f>HYPERLINK("https://www.773grp.com/globalSearch/CS3524AGN16/page-1", "CS3524AGN16")</f>
        <v>CS3524AGN16</v>
      </c>
      <c r="B14363" s="3" t="str">
        <f>HYPERLINK("https://www.773grp.com/manufacturer/onsemi?pageNo=882", "Onsemi")</f>
        <v>Onsemi</v>
      </c>
      <c r="C14363" s="6">
        <v>27748</v>
      </c>
      <c r="D14363" s="7">
        <v>3.05</v>
      </c>
      <c r="E14363" t="s">
        <v>5</v>
      </c>
    </row>
    <row r="14364" spans="1:5" x14ac:dyDescent="0.25">
      <c r="A14364" t="str">
        <f>HYPERLINK("https://www.773grp.com/globalSearch/CS5212GDR14/page-1", "CS5212GDR14")</f>
        <v>CS5212GDR14</v>
      </c>
      <c r="B14364" s="3" t="str">
        <f>HYPERLINK("https://www.773grp.com/manufacturer/onsemi?pageNo=883", "Onsemi")</f>
        <v>Onsemi</v>
      </c>
      <c r="C14364" s="6">
        <v>7933</v>
      </c>
      <c r="D14364" s="7">
        <v>3.05</v>
      </c>
      <c r="E14364" t="s">
        <v>5</v>
      </c>
    </row>
    <row r="14365" spans="1:5" x14ac:dyDescent="0.25">
      <c r="A14365" t="str">
        <f>HYPERLINK("https://www.773grp.com/globalSearch/FW274-TL-E/page-1", "FW274-TL-E")</f>
        <v>FW274-TL-E</v>
      </c>
      <c r="B14365" s="3" t="str">
        <f>HYPERLINK("https://www.773grp.com/manufacturer/onsemi?pageNo=884", "Onsemi")</f>
        <v>Onsemi</v>
      </c>
      <c r="C14365" s="6">
        <v>22000</v>
      </c>
      <c r="D14365" s="7">
        <v>3.05</v>
      </c>
    </row>
    <row r="14366" spans="1:5" x14ac:dyDescent="0.25">
      <c r="A14366" t="str">
        <f>HYPERLINK("https://www.773grp.com/globalSearch/JLC1562BFELG/page-1", "JLC1562BFELG")</f>
        <v>JLC1562BFELG</v>
      </c>
      <c r="B14366" s="3" t="str">
        <f>HYPERLINK("https://www.773grp.com/manufacturer/onsemi?pageNo=885", "Onsemi")</f>
        <v>Onsemi</v>
      </c>
      <c r="C14366" s="6">
        <v>84760</v>
      </c>
      <c r="D14366" s="7">
        <v>3.05</v>
      </c>
      <c r="E14366" t="s">
        <v>71</v>
      </c>
    </row>
    <row r="14367" spans="1:5" x14ac:dyDescent="0.25">
      <c r="A14367" t="str">
        <f>HYPERLINK("https://www.773grp.com/globalSearch/JLC1562BFG/page-1", "JLC1562BFG")</f>
        <v>JLC1562BFG</v>
      </c>
      <c r="B14367" s="3" t="str">
        <f>HYPERLINK("https://www.773grp.com/manufacturer/onsemi?pageNo=886", "Onsemi")</f>
        <v>Onsemi</v>
      </c>
      <c r="C14367" s="6">
        <v>3114</v>
      </c>
      <c r="D14367" s="7">
        <v>3.05</v>
      </c>
      <c r="E14367" t="s">
        <v>71</v>
      </c>
    </row>
    <row r="14368" spans="1:5" x14ac:dyDescent="0.25">
      <c r="A14368" t="str">
        <f>HYPERLINK("https://www.773grp.com/globalSearch/JLC1562BNG/page-1", "JLC1562BNG")</f>
        <v>JLC1562BNG</v>
      </c>
      <c r="B14368" s="3" t="str">
        <f>HYPERLINK("https://www.773grp.com/manufacturer/onsemi?pageNo=887", "Onsemi")</f>
        <v>Onsemi</v>
      </c>
      <c r="C14368" s="6">
        <v>4206</v>
      </c>
      <c r="D14368" s="7">
        <v>3.05</v>
      </c>
      <c r="E14368" t="s">
        <v>71</v>
      </c>
    </row>
    <row r="14369" spans="1:5" x14ac:dyDescent="0.25">
      <c r="A14369" t="str">
        <f>HYPERLINK("https://www.773grp.com/globalSearch/LM2595TVADJG/page-1", "LM2595TVADJG")</f>
        <v>LM2595TVADJG</v>
      </c>
      <c r="B14369" s="3" t="str">
        <f>HYPERLINK("https://www.773grp.com/manufacturer/onsemi?pageNo=888", "Onsemi")</f>
        <v>Onsemi</v>
      </c>
      <c r="C14369" s="6">
        <v>12950</v>
      </c>
      <c r="D14369" s="7">
        <v>3.05</v>
      </c>
      <c r="E14369" t="s">
        <v>5</v>
      </c>
    </row>
    <row r="14370" spans="1:5" x14ac:dyDescent="0.25">
      <c r="A14370" t="str">
        <f>HYPERLINK("https://www.773grp.com/globalSearch/MBR2060CTG/page-1", "MBR2060CTG")</f>
        <v>MBR2060CTG</v>
      </c>
      <c r="B14370" s="3" t="str">
        <f>HYPERLINK("https://www.773grp.com/manufacturer/onsemi?pageNo=889", "Onsemi")</f>
        <v>Onsemi</v>
      </c>
      <c r="C14370" s="6">
        <v>115640</v>
      </c>
      <c r="D14370" s="7">
        <v>3.05</v>
      </c>
      <c r="E14370" t="s">
        <v>82</v>
      </c>
    </row>
    <row r="14371" spans="1:5" x14ac:dyDescent="0.25">
      <c r="A14371" t="str">
        <f>HYPERLINK("https://www.773grp.com/globalSearch/MBR2080CTG/page-1", "MBR2080CTG")</f>
        <v>MBR2080CTG</v>
      </c>
      <c r="B14371" s="3" t="str">
        <f>HYPERLINK("https://www.773grp.com/manufacturer/onsemi?pageNo=890", "Onsemi")</f>
        <v>Onsemi</v>
      </c>
      <c r="C14371" s="6">
        <v>25600</v>
      </c>
      <c r="D14371" s="7">
        <v>3.05</v>
      </c>
      <c r="E14371" t="s">
        <v>82</v>
      </c>
    </row>
    <row r="14372" spans="1:5" x14ac:dyDescent="0.25">
      <c r="A14372" t="str">
        <f>HYPERLINK("https://www.773grp.com/globalSearch/MBR2090CTG/page-1", "MBR2090CTG")</f>
        <v>MBR2090CTG</v>
      </c>
      <c r="B14372" s="3" t="str">
        <f>HYPERLINK("https://www.773grp.com/manufacturer/onsemi?pageNo=891", "Onsemi")</f>
        <v>Onsemi</v>
      </c>
      <c r="C14372" s="6">
        <v>9897</v>
      </c>
      <c r="D14372" s="7">
        <v>3.05</v>
      </c>
      <c r="E14372" t="s">
        <v>82</v>
      </c>
    </row>
    <row r="14373" spans="1:5" x14ac:dyDescent="0.25">
      <c r="A14373" t="str">
        <f>HYPERLINK("https://www.773grp.com/globalSearch/MC10H115MR1/page-1", "MC10H115MR1")</f>
        <v>MC10H115MR1</v>
      </c>
      <c r="B14373" s="3" t="str">
        <f>HYPERLINK("https://www.773grp.com/manufacturer/onsemi?pageNo=892", "Onsemi")</f>
        <v>Onsemi</v>
      </c>
      <c r="C14373" s="6">
        <v>2970</v>
      </c>
      <c r="D14373" s="7">
        <v>3.05</v>
      </c>
      <c r="E14373" t="s">
        <v>17</v>
      </c>
    </row>
    <row r="14374" spans="1:5" x14ac:dyDescent="0.25">
      <c r="A14374" t="str">
        <f>HYPERLINK("https://www.773grp.com/globalSearch/MC14014BCL/page-1", "MC14014BCL")</f>
        <v>MC14014BCL</v>
      </c>
      <c r="B14374" s="3" t="str">
        <f>HYPERLINK("https://www.773grp.com/manufacturer/onsemi?pageNo=893", "Onsemi")</f>
        <v>Onsemi</v>
      </c>
      <c r="C14374" s="6">
        <v>670</v>
      </c>
      <c r="D14374" s="7">
        <v>3.05</v>
      </c>
      <c r="E14374" t="s">
        <v>28</v>
      </c>
    </row>
    <row r="14375" spans="1:5" x14ac:dyDescent="0.25">
      <c r="A14375" t="str">
        <f>HYPERLINK("https://www.773grp.com/globalSearch/MC14504BDTG/page-1", "MC14504BDTG")</f>
        <v>MC14504BDTG</v>
      </c>
      <c r="B14375" s="3" t="str">
        <f>HYPERLINK("https://www.773grp.com/manufacturer/onsemi?pageNo=894", "Onsemi")</f>
        <v>Onsemi</v>
      </c>
      <c r="C14375" s="6">
        <v>1633</v>
      </c>
      <c r="D14375" s="7">
        <v>3.05</v>
      </c>
      <c r="E14375" t="s">
        <v>61</v>
      </c>
    </row>
    <row r="14376" spans="1:5" x14ac:dyDescent="0.25">
      <c r="A14376" t="str">
        <f>HYPERLINK("https://www.773grp.com/globalSearch/MC54HC244AJ/page-1", "MC54HC244AJ")</f>
        <v>MC54HC244AJ</v>
      </c>
      <c r="B14376" s="3" t="str">
        <f>HYPERLINK("https://www.773grp.com/manufacturer/onsemi?pageNo=895", "Onsemi")</f>
        <v>Onsemi</v>
      </c>
      <c r="C14376" s="6">
        <v>9</v>
      </c>
      <c r="D14376" s="7">
        <v>3.05</v>
      </c>
      <c r="E14376" t="s">
        <v>11</v>
      </c>
    </row>
    <row r="14377" spans="1:5" x14ac:dyDescent="0.25">
      <c r="A14377" t="str">
        <f>HYPERLINK("https://www.773grp.com/globalSearch/MC74AC646N/page-1", "MC74AC646N")</f>
        <v>MC74AC646N</v>
      </c>
      <c r="B14377" s="3" t="str">
        <f>HYPERLINK("https://www.773grp.com/manufacturer/onsemi?pageNo=896", "Onsemi")</f>
        <v>Onsemi</v>
      </c>
      <c r="C14377" s="6">
        <v>30</v>
      </c>
      <c r="D14377" s="7">
        <v>3.05</v>
      </c>
      <c r="E14377" t="s">
        <v>11</v>
      </c>
    </row>
    <row r="14378" spans="1:5" x14ac:dyDescent="0.25">
      <c r="A14378" t="str">
        <f>HYPERLINK("https://www.773grp.com/globalSearch/MJF18004G/page-1", "MJF18004G")</f>
        <v>MJF18004G</v>
      </c>
      <c r="B14378" s="3" t="str">
        <f>HYPERLINK("https://www.773grp.com/manufacturer/onsemi?pageNo=897", "Onsemi")</f>
        <v>Onsemi</v>
      </c>
      <c r="C14378" s="6">
        <v>4068</v>
      </c>
      <c r="D14378" s="7">
        <v>3.05</v>
      </c>
    </row>
    <row r="14379" spans="1:5" x14ac:dyDescent="0.25">
      <c r="A14379" t="str">
        <f>HYPERLINK("https://www.773grp.com/globalSearch/MJF44H11G/page-1", "MJF44H11G")</f>
        <v>MJF44H11G</v>
      </c>
      <c r="B14379" s="3" t="str">
        <f>HYPERLINK("https://www.773grp.com/manufacturer/onsemi?pageNo=898", "Onsemi")</f>
        <v>Onsemi</v>
      </c>
      <c r="C14379" s="6">
        <v>500</v>
      </c>
      <c r="D14379" s="7">
        <v>3.05</v>
      </c>
    </row>
    <row r="14380" spans="1:5" x14ac:dyDescent="0.25">
      <c r="A14380" t="str">
        <f>HYPERLINK("https://www.773grp.com/globalSearch/MJF6388G/page-1", "MJF6388G")</f>
        <v>MJF6388G</v>
      </c>
      <c r="B14380" s="3" t="str">
        <f>HYPERLINK("https://www.773grp.com/manufacturer/onsemi?pageNo=899", "Onsemi")</f>
        <v>Onsemi</v>
      </c>
      <c r="C14380" s="6">
        <v>103</v>
      </c>
      <c r="D14380" s="7">
        <v>3.05</v>
      </c>
      <c r="E14380" t="s">
        <v>47</v>
      </c>
    </row>
    <row r="14381" spans="1:5" x14ac:dyDescent="0.25">
      <c r="A14381" t="str">
        <f>HYPERLINK("https://www.773grp.com/globalSearch/MTB15N06V/page-1", "MTB15N06V")</f>
        <v>MTB15N06V</v>
      </c>
      <c r="B14381" s="3" t="str">
        <f>HYPERLINK("https://www.773grp.com/manufacturer/onsemi?pageNo=900", "Onsemi")</f>
        <v>Onsemi</v>
      </c>
      <c r="C14381" s="6">
        <v>1881</v>
      </c>
      <c r="D14381" s="7">
        <v>3.05</v>
      </c>
      <c r="E14381" t="s">
        <v>84</v>
      </c>
    </row>
    <row r="14382" spans="1:5" x14ac:dyDescent="0.25">
      <c r="A14382" t="str">
        <f>HYPERLINK("https://www.773grp.com/globalSearch/NCV33074ADTBR2G/page-1", "NCV33074ADTBR2G")</f>
        <v>NCV33074ADTBR2G</v>
      </c>
      <c r="B14382" s="3" t="str">
        <f>HYPERLINK("https://www.773grp.com/manufacturer/onsemi?pageNo=901", "Onsemi")</f>
        <v>Onsemi</v>
      </c>
      <c r="C14382" s="6">
        <v>35</v>
      </c>
      <c r="D14382" s="7">
        <v>3.05</v>
      </c>
    </row>
    <row r="14383" spans="1:5" x14ac:dyDescent="0.25">
      <c r="A14383" t="str">
        <f>HYPERLINK("https://www.773grp.com/globalSearch/NCV4269DWR2G/page-1", "NCV4269DWR2G")</f>
        <v>NCV4269DWR2G</v>
      </c>
      <c r="B14383" s="3" t="str">
        <f>HYPERLINK("https://www.773grp.com/manufacturer/onsemi?pageNo=902", "Onsemi")</f>
        <v>Onsemi</v>
      </c>
      <c r="C14383" s="6">
        <v>3000</v>
      </c>
      <c r="D14383" s="7">
        <v>3.05</v>
      </c>
      <c r="E14383" t="s">
        <v>15</v>
      </c>
    </row>
    <row r="14384" spans="1:5" x14ac:dyDescent="0.25">
      <c r="A14384" t="str">
        <f>HYPERLINK("https://www.773grp.com/globalSearch/NCV4279D1G/page-1", "NCV4279D1G")</f>
        <v>NCV4279D1G</v>
      </c>
      <c r="B14384" s="3" t="str">
        <f>HYPERLINK("https://www.773grp.com/manufacturer/onsemi?pageNo=903", "Onsemi")</f>
        <v>Onsemi</v>
      </c>
      <c r="C14384" s="6">
        <v>1878</v>
      </c>
      <c r="D14384" s="7">
        <v>3.05</v>
      </c>
      <c r="E14384" t="s">
        <v>15</v>
      </c>
    </row>
    <row r="14385" spans="1:5" x14ac:dyDescent="0.25">
      <c r="A14385" t="str">
        <f>HYPERLINK("https://www.773grp.com/globalSearch/NCV4279D1R2G/page-1", "NCV4279D1R2G")</f>
        <v>NCV4279D1R2G</v>
      </c>
      <c r="B14385" s="3" t="str">
        <f>HYPERLINK("https://www.773grp.com/manufacturer/onsemi?pageNo=904", "Onsemi")</f>
        <v>Onsemi</v>
      </c>
      <c r="C14385" s="6">
        <v>27031</v>
      </c>
      <c r="D14385" s="7">
        <v>3.05</v>
      </c>
      <c r="E14385" t="s">
        <v>15</v>
      </c>
    </row>
    <row r="14386" spans="1:5" x14ac:dyDescent="0.25">
      <c r="A14386" t="str">
        <f>HYPERLINK("https://www.773grp.com/globalSearch/NLSX3373MUTAG/page-1", "NLSX3373MUTAG")</f>
        <v>NLSX3373MUTAG</v>
      </c>
      <c r="B14386" s="3" t="str">
        <f>HYPERLINK("https://www.773grp.com/manufacturer/onsemi?pageNo=905", "Onsemi")</f>
        <v>Onsemi</v>
      </c>
      <c r="C14386" s="6">
        <v>252000</v>
      </c>
      <c r="D14386" s="7">
        <v>3.05</v>
      </c>
      <c r="E14386" t="s">
        <v>11</v>
      </c>
    </row>
    <row r="14387" spans="1:5" x14ac:dyDescent="0.25">
      <c r="A14387" t="str">
        <f>HYPERLINK("https://www.773grp.com/globalSearch/SC65938FN115R2/page-1", "SC65938FN115R2")</f>
        <v>SC65938FN115R2</v>
      </c>
      <c r="B14387" s="3" t="str">
        <f>HYPERLINK("https://www.773grp.com/manufacturer/onsemi?pageNo=906", "Onsemi")</f>
        <v>Onsemi</v>
      </c>
      <c r="C14387" s="6">
        <v>5500</v>
      </c>
      <c r="D14387" s="7">
        <v>3.05</v>
      </c>
    </row>
    <row r="14388" spans="1:5" x14ac:dyDescent="0.25">
      <c r="A14388" t="str">
        <f>HYPERLINK("https://www.773grp.com/globalSearch/SC65938FN116R2/page-1", "SC65938FN116R2")</f>
        <v>SC65938FN116R2</v>
      </c>
      <c r="B14388" s="3" t="str">
        <f>HYPERLINK("https://www.773grp.com/manufacturer/onsemi?pageNo=907", "Onsemi")</f>
        <v>Onsemi</v>
      </c>
      <c r="C14388" s="6">
        <v>15000</v>
      </c>
      <c r="D14388" s="7">
        <v>3.05</v>
      </c>
    </row>
    <row r="14389" spans="1:5" x14ac:dyDescent="0.25">
      <c r="A14389" t="str">
        <f>HYPERLINK("https://www.773grp.com/globalSearch/CS3750ENF16/page-1", "CS3750ENF16")</f>
        <v>CS3750ENF16</v>
      </c>
      <c r="B14389" s="3" t="str">
        <f>HYPERLINK("https://www.773grp.com/manufacturer/onsemi?pageNo=908", "Onsemi")</f>
        <v>Onsemi</v>
      </c>
      <c r="C14389" s="6">
        <v>1150</v>
      </c>
      <c r="D14389" s="7">
        <v>2.81</v>
      </c>
      <c r="E14389" t="s">
        <v>8</v>
      </c>
    </row>
    <row r="14390" spans="1:5" x14ac:dyDescent="0.25">
      <c r="A14390" t="str">
        <f>HYPERLINK("https://www.773grp.com/globalSearch/CS3972YDW16/page-1", "CS3972YDW16")</f>
        <v>CS3972YDW16</v>
      </c>
      <c r="B14390" s="3" t="str">
        <f>HYPERLINK("https://www.773grp.com/manufacturer/onsemi?pageNo=909", "Onsemi")</f>
        <v>Onsemi</v>
      </c>
      <c r="C14390" s="6">
        <v>3120</v>
      </c>
      <c r="D14390" s="7">
        <v>2.81</v>
      </c>
      <c r="E14390" t="s">
        <v>5</v>
      </c>
    </row>
    <row r="14391" spans="1:5" x14ac:dyDescent="0.25">
      <c r="A14391" t="str">
        <f>HYPERLINK("https://www.773grp.com/globalSearch/CS3972YDWR16/page-1", "CS3972YDWR16")</f>
        <v>CS3972YDWR16</v>
      </c>
      <c r="B14391" s="3" t="str">
        <f>HYPERLINK("https://www.773grp.com/manufacturer/onsemi?pageNo=910", "Onsemi")</f>
        <v>Onsemi</v>
      </c>
      <c r="C14391" s="6">
        <v>3000</v>
      </c>
      <c r="D14391" s="7">
        <v>2.81</v>
      </c>
      <c r="E14391" t="s">
        <v>5</v>
      </c>
    </row>
    <row r="14392" spans="1:5" x14ac:dyDescent="0.25">
      <c r="A14392" t="str">
        <f>HYPERLINK("https://www.773grp.com/globalSearch/CS3972YN8/page-1", "CS3972YN8")</f>
        <v>CS3972YN8</v>
      </c>
      <c r="B14392" s="3" t="str">
        <f>HYPERLINK("https://www.773grp.com/manufacturer/onsemi?pageNo=911", "Onsemi")</f>
        <v>Onsemi</v>
      </c>
      <c r="C14392" s="6">
        <v>185331</v>
      </c>
      <c r="D14392" s="7">
        <v>2.81</v>
      </c>
      <c r="E14392" t="s">
        <v>5</v>
      </c>
    </row>
    <row r="14393" spans="1:5" x14ac:dyDescent="0.25">
      <c r="A14393" t="str">
        <f>HYPERLINK("https://www.773grp.com/globalSearch/CS45073N14/page-1", "CS45073N14")</f>
        <v>CS45073N14</v>
      </c>
      <c r="B14393" s="3" t="str">
        <f>HYPERLINK("https://www.773grp.com/manufacturer/onsemi?pageNo=912", "Onsemi")</f>
        <v>Onsemi</v>
      </c>
      <c r="C14393" s="6">
        <v>85000</v>
      </c>
      <c r="D14393" s="7">
        <v>2.81</v>
      </c>
    </row>
    <row r="14394" spans="1:5" x14ac:dyDescent="0.25">
      <c r="A14394" t="str">
        <f>HYPERLINK("https://www.773grp.com/globalSearch/MBR60H100CTG/page-1", "MBR60H100CTG")</f>
        <v>MBR60H100CTG</v>
      </c>
      <c r="B14394" s="3" t="str">
        <f>HYPERLINK("https://www.773grp.com/manufacturer/onsemi?pageNo=913", "Onsemi")</f>
        <v>Onsemi</v>
      </c>
      <c r="C14394" s="6">
        <v>152044</v>
      </c>
      <c r="D14394" s="7">
        <v>2.81</v>
      </c>
      <c r="E14394" t="s">
        <v>82</v>
      </c>
    </row>
    <row r="14395" spans="1:5" x14ac:dyDescent="0.25">
      <c r="A14395" t="str">
        <f>HYPERLINK("https://www.773grp.com/globalSearch/MC100EL16D/page-1", "MC100EL16D")</f>
        <v>MC100EL16D</v>
      </c>
      <c r="B14395" s="3" t="str">
        <f>HYPERLINK("https://www.773grp.com/manufacturer/onsemi?pageNo=914", "Onsemi")</f>
        <v>Onsemi</v>
      </c>
      <c r="C14395" s="6">
        <v>23724</v>
      </c>
      <c r="D14395" s="7">
        <v>2.81</v>
      </c>
      <c r="E14395" t="s">
        <v>17</v>
      </c>
    </row>
    <row r="14396" spans="1:5" x14ac:dyDescent="0.25">
      <c r="A14396" t="str">
        <f>HYPERLINK("https://www.773grp.com/globalSearch/MC100EL16DR2/page-1", "MC100EL16DR2")</f>
        <v>MC100EL16DR2</v>
      </c>
      <c r="B14396" s="3" t="str">
        <f>HYPERLINK("https://www.773grp.com/manufacturer/onsemi?pageNo=915", "Onsemi")</f>
        <v>Onsemi</v>
      </c>
      <c r="C14396" s="6">
        <v>8930</v>
      </c>
      <c r="D14396" s="7">
        <v>2.81</v>
      </c>
      <c r="E14396" t="s">
        <v>17</v>
      </c>
    </row>
    <row r="14397" spans="1:5" x14ac:dyDescent="0.25">
      <c r="A14397" t="str">
        <f>HYPERLINK("https://www.773grp.com/globalSearch/MC100EL16DTR2/page-1", "MC100EL16DTR2")</f>
        <v>MC100EL16DTR2</v>
      </c>
      <c r="B14397" s="3" t="str">
        <f>HYPERLINK("https://www.773grp.com/manufacturer/onsemi?pageNo=916", "Onsemi")</f>
        <v>Onsemi</v>
      </c>
      <c r="C14397" s="6">
        <v>5000</v>
      </c>
      <c r="D14397" s="7">
        <v>2.81</v>
      </c>
      <c r="E14397" t="s">
        <v>17</v>
      </c>
    </row>
    <row r="14398" spans="1:5" x14ac:dyDescent="0.25">
      <c r="A14398" t="str">
        <f>HYPERLINK("https://www.773grp.com/globalSearch/MC100ELT25DR2G/page-1", "MC100ELT25DR2G")</f>
        <v>MC100ELT25DR2G</v>
      </c>
      <c r="B14398" s="3" t="str">
        <f>HYPERLINK("https://www.773grp.com/manufacturer/onsemi?pageNo=917", "Onsemi")</f>
        <v>Onsemi</v>
      </c>
      <c r="C14398" s="6">
        <v>31500</v>
      </c>
      <c r="D14398" s="7">
        <v>2.81</v>
      </c>
      <c r="E14398" t="s">
        <v>61</v>
      </c>
    </row>
    <row r="14399" spans="1:5" x14ac:dyDescent="0.25">
      <c r="A14399" t="str">
        <f>HYPERLINK("https://www.773grp.com/globalSearch/MC100LVEL16D/page-1", "MC100LVEL16D")</f>
        <v>MC100LVEL16D</v>
      </c>
      <c r="B14399" s="3" t="str">
        <f>HYPERLINK("https://www.773grp.com/manufacturer/onsemi?pageNo=918", "Onsemi")</f>
        <v>Onsemi</v>
      </c>
      <c r="C14399" s="6">
        <v>22823</v>
      </c>
      <c r="D14399" s="7">
        <v>2.81</v>
      </c>
      <c r="E14399" t="s">
        <v>17</v>
      </c>
    </row>
    <row r="14400" spans="1:5" x14ac:dyDescent="0.25">
      <c r="A14400" t="str">
        <f>HYPERLINK("https://www.773grp.com/globalSearch/MC100LVEL16DT/page-1", "MC100LVEL16DT")</f>
        <v>MC100LVEL16DT</v>
      </c>
      <c r="B14400" s="3" t="str">
        <f>HYPERLINK("https://www.773grp.com/manufacturer/onsemi?pageNo=919", "Onsemi")</f>
        <v>Onsemi</v>
      </c>
      <c r="C14400" s="6">
        <v>7683</v>
      </c>
      <c r="D14400" s="7">
        <v>2.81</v>
      </c>
      <c r="E14400" t="s">
        <v>17</v>
      </c>
    </row>
    <row r="14401" spans="1:5" x14ac:dyDescent="0.25">
      <c r="A14401" t="str">
        <f>HYPERLINK("https://www.773grp.com/globalSearch/MC100LVELT23DR2G/page-1", "MC100LVELT23DR2G")</f>
        <v>MC100LVELT23DR2G</v>
      </c>
      <c r="B14401" s="3" t="str">
        <f>HYPERLINK("https://www.773grp.com/manufacturer/onsemi?pageNo=920", "Onsemi")</f>
        <v>Onsemi</v>
      </c>
      <c r="C14401" s="6">
        <v>9400</v>
      </c>
      <c r="D14401" s="7">
        <v>2.81</v>
      </c>
      <c r="E14401" t="s">
        <v>61</v>
      </c>
    </row>
    <row r="14402" spans="1:5" x14ac:dyDescent="0.25">
      <c r="A14402" t="str">
        <f>HYPERLINK("https://www.773grp.com/globalSearch/MC100LVELT23MNRG/page-1", "MC100LVELT23MNRG")</f>
        <v>MC100LVELT23MNRG</v>
      </c>
      <c r="B14402" s="3" t="str">
        <f>HYPERLINK("https://www.773grp.com/manufacturer/onsemi?pageNo=921", "Onsemi")</f>
        <v>Onsemi</v>
      </c>
      <c r="C14402" s="6">
        <v>32850</v>
      </c>
      <c r="D14402" s="7">
        <v>2.81</v>
      </c>
      <c r="E14402" t="s">
        <v>61</v>
      </c>
    </row>
    <row r="14403" spans="1:5" x14ac:dyDescent="0.25">
      <c r="A14403" t="str">
        <f>HYPERLINK("https://www.773grp.com/globalSearch/MC10EL16D/page-1", "MC10EL16D")</f>
        <v>MC10EL16D</v>
      </c>
      <c r="B14403" s="3" t="str">
        <f>HYPERLINK("https://www.773grp.com/manufacturer/onsemi?pageNo=922", "Onsemi")</f>
        <v>Onsemi</v>
      </c>
      <c r="C14403" s="6">
        <v>3631</v>
      </c>
      <c r="D14403" s="7">
        <v>2.81</v>
      </c>
      <c r="E14403" t="s">
        <v>17</v>
      </c>
    </row>
    <row r="14404" spans="1:5" x14ac:dyDescent="0.25">
      <c r="A14404" t="str">
        <f>HYPERLINK("https://www.773grp.com/globalSearch/MC10EL16DT/page-1", "MC10EL16DT")</f>
        <v>MC10EL16DT</v>
      </c>
      <c r="B14404" s="3" t="str">
        <f>HYPERLINK("https://www.773grp.com/manufacturer/onsemi?pageNo=923", "Onsemi")</f>
        <v>Onsemi</v>
      </c>
      <c r="C14404" s="6">
        <v>12705</v>
      </c>
      <c r="D14404" s="7">
        <v>2.81</v>
      </c>
      <c r="E14404" t="s">
        <v>17</v>
      </c>
    </row>
    <row r="14405" spans="1:5" x14ac:dyDescent="0.25">
      <c r="A14405" t="str">
        <f>HYPERLINK("https://www.773grp.com/globalSearch/MC10ELT21DR2G/page-1", "MC10ELT21DR2G")</f>
        <v>MC10ELT21DR2G</v>
      </c>
      <c r="B14405" s="3" t="str">
        <f>HYPERLINK("https://www.773grp.com/manufacturer/onsemi?pageNo=924", "Onsemi")</f>
        <v>Onsemi</v>
      </c>
      <c r="C14405" s="6">
        <v>2500</v>
      </c>
      <c r="D14405" s="7">
        <v>2.81</v>
      </c>
      <c r="E14405" t="s">
        <v>61</v>
      </c>
    </row>
    <row r="14406" spans="1:5" x14ac:dyDescent="0.25">
      <c r="A14406" t="str">
        <f>HYPERLINK("https://www.773grp.com/globalSearch/MC10H100L/page-1", "MC10H100L")</f>
        <v>MC10H100L</v>
      </c>
      <c r="B14406" s="3" t="str">
        <f>HYPERLINK("https://www.773grp.com/manufacturer/onsemi?pageNo=925", "Onsemi")</f>
        <v>Onsemi</v>
      </c>
      <c r="C14406" s="6">
        <v>275</v>
      </c>
      <c r="D14406" s="7">
        <v>2.81</v>
      </c>
      <c r="E14406" t="s">
        <v>27</v>
      </c>
    </row>
    <row r="14407" spans="1:5" x14ac:dyDescent="0.25">
      <c r="A14407" t="str">
        <f>HYPERLINK("https://www.773grp.com/globalSearch/MC10H101L/page-1", "MC10H101L")</f>
        <v>MC10H101L</v>
      </c>
      <c r="B14407" s="3" t="str">
        <f>HYPERLINK("https://www.773grp.com/manufacturer/onsemi?pageNo=926", "Onsemi")</f>
        <v>Onsemi</v>
      </c>
      <c r="C14407" s="6">
        <v>1162</v>
      </c>
      <c r="D14407" s="7">
        <v>2.81</v>
      </c>
      <c r="E14407" t="s">
        <v>27</v>
      </c>
    </row>
    <row r="14408" spans="1:5" x14ac:dyDescent="0.25">
      <c r="A14408" t="str">
        <f>HYPERLINK("https://www.773grp.com/globalSearch/MC10H106L/page-1", "MC10H106L")</f>
        <v>MC10H106L</v>
      </c>
      <c r="B14408" s="3" t="str">
        <f>HYPERLINK("https://www.773grp.com/manufacturer/onsemi?pageNo=927", "Onsemi")</f>
        <v>Onsemi</v>
      </c>
      <c r="C14408" s="6">
        <v>159</v>
      </c>
      <c r="D14408" s="7">
        <v>2.81</v>
      </c>
      <c r="E14408" t="s">
        <v>27</v>
      </c>
    </row>
    <row r="14409" spans="1:5" x14ac:dyDescent="0.25">
      <c r="A14409" t="str">
        <f>HYPERLINK("https://www.773grp.com/globalSearch/MC10H113L/page-1", "MC10H113L")</f>
        <v>MC10H113L</v>
      </c>
      <c r="B14409" s="3" t="str">
        <f>HYPERLINK("https://www.773grp.com/manufacturer/onsemi?pageNo=928", "Onsemi")</f>
        <v>Onsemi</v>
      </c>
      <c r="C14409" s="6">
        <v>625</v>
      </c>
      <c r="D14409" s="7">
        <v>2.81</v>
      </c>
      <c r="E14409" t="s">
        <v>27</v>
      </c>
    </row>
    <row r="14410" spans="1:5" x14ac:dyDescent="0.25">
      <c r="A14410" t="str">
        <f>HYPERLINK("https://www.773grp.com/globalSearch/MC14551BD/page-1", "MC14551BD")</f>
        <v>MC14551BD</v>
      </c>
      <c r="B14410" s="3" t="str">
        <f>HYPERLINK("https://www.773grp.com/manufacturer/onsemi?pageNo=929", "Onsemi")</f>
        <v>Onsemi</v>
      </c>
      <c r="C14410" s="6">
        <v>1502</v>
      </c>
      <c r="D14410" s="7">
        <v>2.81</v>
      </c>
      <c r="E14410" t="s">
        <v>46</v>
      </c>
    </row>
    <row r="14411" spans="1:5" x14ac:dyDescent="0.25">
      <c r="A14411" t="str">
        <f>HYPERLINK("https://www.773grp.com/globalSearch/MC14551BDG/page-1", "MC14551BDG")</f>
        <v>MC14551BDG</v>
      </c>
      <c r="B14411" s="3" t="str">
        <f>HYPERLINK("https://www.773grp.com/manufacturer/onsemi?pageNo=930", "Onsemi")</f>
        <v>Onsemi</v>
      </c>
      <c r="C14411" s="6">
        <v>54</v>
      </c>
      <c r="D14411" s="7">
        <v>2.81</v>
      </c>
      <c r="E14411" t="s">
        <v>46</v>
      </c>
    </row>
    <row r="14412" spans="1:5" x14ac:dyDescent="0.25">
      <c r="A14412" t="str">
        <f>HYPERLINK("https://www.773grp.com/globalSearch/MC14551BDR2G/page-1", "MC14551BDR2G")</f>
        <v>MC14551BDR2G</v>
      </c>
      <c r="B14412" s="3" t="str">
        <f>HYPERLINK("https://www.773grp.com/manufacturer/onsemi?pageNo=931", "Onsemi")</f>
        <v>Onsemi</v>
      </c>
      <c r="C14412" s="6">
        <v>12077</v>
      </c>
      <c r="D14412" s="7">
        <v>2.81</v>
      </c>
      <c r="E14412" t="s">
        <v>46</v>
      </c>
    </row>
    <row r="14413" spans="1:5" x14ac:dyDescent="0.25">
      <c r="A14413" t="str">
        <f>HYPERLINK("https://www.773grp.com/globalSearch/MC14551BFELG/page-1", "MC14551BFELG")</f>
        <v>MC14551BFELG</v>
      </c>
      <c r="B14413" s="3" t="str">
        <f>HYPERLINK("https://www.773grp.com/manufacturer/onsemi?pageNo=932", "Onsemi")</f>
        <v>Onsemi</v>
      </c>
      <c r="C14413" s="6">
        <v>9935</v>
      </c>
      <c r="D14413" s="7">
        <v>2.81</v>
      </c>
      <c r="E14413" t="s">
        <v>46</v>
      </c>
    </row>
    <row r="14414" spans="1:5" x14ac:dyDescent="0.25">
      <c r="A14414" t="str">
        <f>HYPERLINK("https://www.773grp.com/globalSearch/MC14551BFG/page-1", "MC14551BFG")</f>
        <v>MC14551BFG</v>
      </c>
      <c r="B14414" s="3" t="str">
        <f>HYPERLINK("https://www.773grp.com/manufacturer/onsemi?pageNo=933", "Onsemi")</f>
        <v>Onsemi</v>
      </c>
      <c r="C14414" s="6">
        <v>2954</v>
      </c>
      <c r="D14414" s="7">
        <v>2.81</v>
      </c>
      <c r="E14414" t="s">
        <v>46</v>
      </c>
    </row>
    <row r="14415" spans="1:5" x14ac:dyDescent="0.25">
      <c r="A14415" t="str">
        <f>HYPERLINK("https://www.773grp.com/globalSearch/MC33067DWG/page-1", "MC33067DWG")</f>
        <v>MC33067DWG</v>
      </c>
      <c r="B14415" s="3" t="str">
        <f>HYPERLINK("https://www.773grp.com/manufacturer/onsemi?pageNo=934", "Onsemi")</f>
        <v>Onsemi</v>
      </c>
      <c r="C14415" s="6">
        <v>96</v>
      </c>
      <c r="D14415" s="7">
        <v>2.81</v>
      </c>
      <c r="E14415" t="s">
        <v>5</v>
      </c>
    </row>
    <row r="14416" spans="1:5" x14ac:dyDescent="0.25">
      <c r="A14416" t="str">
        <f>HYPERLINK("https://www.773grp.com/globalSearch/MC33067DWR2G/page-1", "MC33067DWR2G")</f>
        <v>MC33067DWR2G</v>
      </c>
      <c r="B14416" s="3" t="str">
        <f>HYPERLINK("https://www.773grp.com/manufacturer/onsemi?pageNo=935", "Onsemi")</f>
        <v>Onsemi</v>
      </c>
      <c r="C14416" s="6">
        <v>2000</v>
      </c>
      <c r="D14416" s="7">
        <v>2.81</v>
      </c>
    </row>
    <row r="14417" spans="1:5" x14ac:dyDescent="0.25">
      <c r="A14417" t="str">
        <f>HYPERLINK("https://www.773grp.com/globalSearch/MC33067PG/page-1", "MC33067PG")</f>
        <v>MC33067PG</v>
      </c>
      <c r="B14417" s="3" t="str">
        <f>HYPERLINK("https://www.773grp.com/manufacturer/onsemi?pageNo=936", "Onsemi")</f>
        <v>Onsemi</v>
      </c>
      <c r="C14417" s="6">
        <v>29831</v>
      </c>
      <c r="D14417" s="7">
        <v>2.81</v>
      </c>
      <c r="E14417" t="s">
        <v>5</v>
      </c>
    </row>
    <row r="14418" spans="1:5" x14ac:dyDescent="0.25">
      <c r="A14418" t="str">
        <f>HYPERLINK("https://www.773grp.com/globalSearch/MC74AC646DWG/page-1", "MC74AC646DWG")</f>
        <v>MC74AC646DWG</v>
      </c>
      <c r="B14418" s="3" t="str">
        <f>HYPERLINK("https://www.773grp.com/manufacturer/onsemi?pageNo=937", "Onsemi")</f>
        <v>Onsemi</v>
      </c>
      <c r="C14418" s="6">
        <v>4620</v>
      </c>
      <c r="D14418" s="7">
        <v>2.81</v>
      </c>
      <c r="E14418" t="s">
        <v>11</v>
      </c>
    </row>
    <row r="14419" spans="1:5" x14ac:dyDescent="0.25">
      <c r="A14419" t="str">
        <f>HYPERLINK("https://www.773grp.com/globalSearch/MC74AC646DWR2/page-1", "MC74AC646DWR2")</f>
        <v>MC74AC646DWR2</v>
      </c>
      <c r="B14419" s="3" t="str">
        <f>HYPERLINK("https://www.773grp.com/manufacturer/onsemi?pageNo=938", "Onsemi")</f>
        <v>Onsemi</v>
      </c>
      <c r="C14419" s="6">
        <v>11000</v>
      </c>
      <c r="D14419" s="7">
        <v>2.81</v>
      </c>
      <c r="E14419" t="s">
        <v>11</v>
      </c>
    </row>
    <row r="14420" spans="1:5" x14ac:dyDescent="0.25">
      <c r="A14420" t="str">
        <f>HYPERLINK("https://www.773grp.com/globalSearch/MC74AC646DWR2G/page-1", "MC74AC646DWR2G")</f>
        <v>MC74AC646DWR2G</v>
      </c>
      <c r="B14420" s="3" t="str">
        <f>HYPERLINK("https://www.773grp.com/manufacturer/onsemi?pageNo=939", "Onsemi")</f>
        <v>Onsemi</v>
      </c>
      <c r="C14420" s="6">
        <v>900</v>
      </c>
      <c r="D14420" s="7">
        <v>2.81</v>
      </c>
      <c r="E14420" t="s">
        <v>11</v>
      </c>
    </row>
    <row r="14421" spans="1:5" x14ac:dyDescent="0.25">
      <c r="A14421" t="str">
        <f>HYPERLINK("https://www.773grp.com/globalSearch/MC74ACT646DWG/page-1", "MC74ACT646DWG")</f>
        <v>MC74ACT646DWG</v>
      </c>
      <c r="B14421" s="3" t="str">
        <f>HYPERLINK("https://www.773grp.com/manufacturer/onsemi?pageNo=940", "Onsemi")</f>
        <v>Onsemi</v>
      </c>
      <c r="C14421" s="6">
        <v>707</v>
      </c>
      <c r="D14421" s="7">
        <v>2.81</v>
      </c>
      <c r="E14421" t="s">
        <v>11</v>
      </c>
    </row>
    <row r="14422" spans="1:5" x14ac:dyDescent="0.25">
      <c r="A14422" t="str">
        <f>HYPERLINK("https://www.773grp.com/globalSearch/MC74ACT646DWR2G/page-1", "MC74ACT646DWR2G")</f>
        <v>MC74ACT646DWR2G</v>
      </c>
      <c r="B14422" s="3" t="str">
        <f>HYPERLINK("https://www.773grp.com/manufacturer/onsemi?pageNo=941", "Onsemi")</f>
        <v>Onsemi</v>
      </c>
      <c r="C14422" s="6">
        <v>865</v>
      </c>
      <c r="D14422" s="7">
        <v>2.81</v>
      </c>
      <c r="E14422" t="s">
        <v>11</v>
      </c>
    </row>
    <row r="14423" spans="1:5" x14ac:dyDescent="0.25">
      <c r="A14423" t="str">
        <f>HYPERLINK("https://www.773grp.com/globalSearch/NB3N2302DG/page-1", "NB3N2302DG")</f>
        <v>NB3N2302DG</v>
      </c>
      <c r="B14423" s="3" t="str">
        <f>HYPERLINK("https://www.773grp.com/manufacturer/onsemi?pageNo=942", "Onsemi")</f>
        <v>Onsemi</v>
      </c>
      <c r="C14423" s="6">
        <v>382</v>
      </c>
      <c r="D14423" s="7">
        <v>2.81</v>
      </c>
    </row>
    <row r="14424" spans="1:5" x14ac:dyDescent="0.25">
      <c r="A14424" t="str">
        <f>HYPERLINK("https://www.773grp.com/globalSearch/NCN6001DTBR2G/page-1", "NCN6001DTBR2G")</f>
        <v>NCN6001DTBR2G</v>
      </c>
      <c r="B14424" s="3" t="str">
        <f>HYPERLINK("https://www.773grp.com/manufacturer/onsemi?pageNo=943", "Onsemi")</f>
        <v>Onsemi</v>
      </c>
      <c r="C14424" s="6">
        <v>6169</v>
      </c>
      <c r="D14424" s="7">
        <v>2.81</v>
      </c>
      <c r="E14424" t="s">
        <v>62</v>
      </c>
    </row>
    <row r="14425" spans="1:5" x14ac:dyDescent="0.25">
      <c r="A14425" t="str">
        <f>HYPERLINK("https://www.773grp.com/globalSearch/NCP1562ADBR2G/page-1", "NCP1562ADBR2G")</f>
        <v>NCP1562ADBR2G</v>
      </c>
      <c r="B14425" s="3" t="str">
        <f>HYPERLINK("https://www.773grp.com/manufacturer/onsemi?pageNo=944", "Onsemi")</f>
        <v>Onsemi</v>
      </c>
      <c r="C14425" s="6">
        <v>9472</v>
      </c>
      <c r="D14425" s="7">
        <v>2.81</v>
      </c>
      <c r="E14425" t="s">
        <v>5</v>
      </c>
    </row>
    <row r="14426" spans="1:5" x14ac:dyDescent="0.25">
      <c r="A14426" t="str">
        <f>HYPERLINK("https://www.773grp.com/globalSearch/NCP1562ADR2G/page-1", "NCP1562ADR2G")</f>
        <v>NCP1562ADR2G</v>
      </c>
      <c r="B14426" s="3" t="str">
        <f>HYPERLINK("https://www.773grp.com/manufacturer/onsemi?pageNo=945", "Onsemi")</f>
        <v>Onsemi</v>
      </c>
      <c r="C14426" s="6">
        <v>9373</v>
      </c>
      <c r="D14426" s="7">
        <v>2.81</v>
      </c>
      <c r="E14426" t="s">
        <v>5</v>
      </c>
    </row>
    <row r="14427" spans="1:5" x14ac:dyDescent="0.25">
      <c r="A14427" t="str">
        <f>HYPERLINK("https://www.773grp.com/globalSearch/NCP1562BDBR2G/page-1", "NCP1562BDBR2G")</f>
        <v>NCP1562BDBR2G</v>
      </c>
      <c r="B14427" s="3" t="str">
        <f>HYPERLINK("https://www.773grp.com/manufacturer/onsemi?pageNo=946", "Onsemi")</f>
        <v>Onsemi</v>
      </c>
      <c r="C14427" s="6">
        <v>12600</v>
      </c>
      <c r="D14427" s="7">
        <v>2.81</v>
      </c>
      <c r="E14427" t="s">
        <v>5</v>
      </c>
    </row>
    <row r="14428" spans="1:5" x14ac:dyDescent="0.25">
      <c r="A14428" t="str">
        <f>HYPERLINK("https://www.773grp.com/globalSearch/NCP1562BDR2G/page-1", "NCP1562BDR2G")</f>
        <v>NCP1562BDR2G</v>
      </c>
      <c r="B14428" s="3" t="str">
        <f>HYPERLINK("https://www.773grp.com/manufacturer/onsemi?pageNo=947", "Onsemi")</f>
        <v>Onsemi</v>
      </c>
      <c r="C14428" s="6">
        <v>12673</v>
      </c>
      <c r="D14428" s="7">
        <v>2.81</v>
      </c>
      <c r="E14428" t="s">
        <v>5</v>
      </c>
    </row>
    <row r="14429" spans="1:5" x14ac:dyDescent="0.25">
      <c r="A14429" t="str">
        <f>HYPERLINK("https://www.773grp.com/globalSearch/NCV7703BD2R2G/page-1", "NCV7703BD2R2G")</f>
        <v>NCV7703BD2R2G</v>
      </c>
      <c r="B14429" s="3" t="str">
        <f>HYPERLINK("https://www.773grp.com/manufacturer/onsemi?pageNo=948", "Onsemi")</f>
        <v>Onsemi</v>
      </c>
      <c r="C14429" s="6">
        <v>7500</v>
      </c>
      <c r="D14429" s="7">
        <v>2.81</v>
      </c>
    </row>
    <row r="14430" spans="1:5" x14ac:dyDescent="0.25">
      <c r="A14430" t="str">
        <f>HYPERLINK("https://www.773grp.com/globalSearch/NCV8842MNR2G/page-1", "NCV8842MNR2G")</f>
        <v>NCV8842MNR2G</v>
      </c>
      <c r="B14430" s="3" t="str">
        <f>HYPERLINK("https://www.773grp.com/manufacturer/onsemi?pageNo=949", "Onsemi")</f>
        <v>Onsemi</v>
      </c>
      <c r="C14430" s="6">
        <v>15120</v>
      </c>
      <c r="D14430" s="7">
        <v>2.81</v>
      </c>
      <c r="E14430" t="s">
        <v>5</v>
      </c>
    </row>
    <row r="14431" spans="1:5" x14ac:dyDescent="0.25">
      <c r="A14431" t="str">
        <f>HYPERLINK("https://www.773grp.com/globalSearch/NTB30N20T4G/page-1", "NTB30N20T4G")</f>
        <v>NTB30N20T4G</v>
      </c>
      <c r="B14431" s="3" t="str">
        <f>HYPERLINK("https://www.773grp.com/manufacturer/onsemi?pageNo=950", "Onsemi")</f>
        <v>Onsemi</v>
      </c>
      <c r="C14431" s="6">
        <v>1</v>
      </c>
      <c r="D14431" s="7">
        <v>2.81</v>
      </c>
      <c r="E14431" t="s">
        <v>84</v>
      </c>
    </row>
    <row r="14432" spans="1:5" x14ac:dyDescent="0.25">
      <c r="A14432" t="str">
        <f>HYPERLINK("https://www.773grp.com/globalSearch/P3P623S00BG-08SR/page-1", "P3P623S00BG-08SR")</f>
        <v>P3P623S00BG-08SR</v>
      </c>
      <c r="B14432" s="3" t="str">
        <f>HYPERLINK("https://www.773grp.com/manufacturer/onsemi?pageNo=951", "Onsemi")</f>
        <v>Onsemi</v>
      </c>
      <c r="C14432" s="6">
        <v>10000</v>
      </c>
      <c r="D14432" s="7">
        <v>2.81</v>
      </c>
      <c r="E14432" t="s">
        <v>30</v>
      </c>
    </row>
    <row r="14433" spans="1:5" x14ac:dyDescent="0.25">
      <c r="A14433" t="str">
        <f>HYPERLINK("https://www.773grp.com/globalSearch/P3P623S05BG-08TR/page-1", "P3P623S05BG-08TR")</f>
        <v>P3P623S05BG-08TR</v>
      </c>
      <c r="B14433" s="3" t="str">
        <f>HYPERLINK("https://www.773grp.com/manufacturer/onsemi?pageNo=952", "Onsemi")</f>
        <v>Onsemi</v>
      </c>
      <c r="C14433" s="6">
        <v>2500</v>
      </c>
      <c r="D14433" s="7">
        <v>2.81</v>
      </c>
    </row>
    <row r="14434" spans="1:5" x14ac:dyDescent="0.25">
      <c r="A14434" t="str">
        <f>HYPERLINK("https://www.773grp.com/globalSearch/PCS2I2309NZG16SR/page-1", "PCS2I2309NZG16SR")</f>
        <v>PCS2I2309NZG16SR</v>
      </c>
      <c r="B14434" s="3" t="str">
        <f>HYPERLINK("https://www.773grp.com/manufacturer/onsemi?pageNo=953", "Onsemi")</f>
        <v>Onsemi</v>
      </c>
      <c r="C14434" s="6">
        <v>7302</v>
      </c>
      <c r="D14434" s="7">
        <v>2.81</v>
      </c>
    </row>
    <row r="14435" spans="1:5" x14ac:dyDescent="0.25">
      <c r="A14435" t="str">
        <f>HYPERLINK("https://www.773grp.com/globalSearch/SURB1660CTT4/page-1", "SURB1660CTT4")</f>
        <v>SURB1660CTT4</v>
      </c>
      <c r="B14435" s="3" t="str">
        <f>HYPERLINK("https://www.773grp.com/manufacturer/onsemi?pageNo=954", "Onsemi")</f>
        <v>Onsemi</v>
      </c>
      <c r="C14435" s="6">
        <v>800</v>
      </c>
      <c r="D14435" s="7">
        <v>2.81</v>
      </c>
    </row>
    <row r="14436" spans="1:5" x14ac:dyDescent="0.25">
      <c r="A14436" t="str">
        <f>HYPERLINK("https://www.773grp.com/globalSearch/ADP3182JRQZ-REEL/page-1", "ADP3182JRQZ-REEL")</f>
        <v>ADP3182JRQZ-REEL</v>
      </c>
      <c r="B14436" s="3" t="str">
        <f>HYPERLINK("https://www.773grp.com/manufacturer/onsemi?pageNo=955", "Onsemi")</f>
        <v>Onsemi</v>
      </c>
      <c r="C14436" s="6">
        <v>5000</v>
      </c>
      <c r="D14436" s="7">
        <v>3.1</v>
      </c>
      <c r="E14436" t="s">
        <v>5</v>
      </c>
    </row>
    <row r="14437" spans="1:5" x14ac:dyDescent="0.25">
      <c r="A14437" t="str">
        <f>HYPERLINK("https://www.773grp.com/globalSearch/ADP3182JRQZ-REEL/page-1", "ADP3182JRQZ-REEL")</f>
        <v>ADP3182JRQZ-REEL</v>
      </c>
      <c r="B14437" s="3" t="str">
        <f>HYPERLINK("https://www.773grp.com/manufacturer/onsemi?pageNo=956", "Onsemi")</f>
        <v>Onsemi</v>
      </c>
      <c r="C14437" s="6">
        <v>900</v>
      </c>
      <c r="D14437" s="7">
        <v>3.1</v>
      </c>
      <c r="E14437" t="s">
        <v>5</v>
      </c>
    </row>
    <row r="14438" spans="1:5" x14ac:dyDescent="0.25">
      <c r="A14438" t="str">
        <f>HYPERLINK("https://www.773grp.com/globalSearch/ADP3182JRQZ-REEL/page-1", "ADP3182JRQZ-REEL")</f>
        <v>ADP3182JRQZ-REEL</v>
      </c>
      <c r="B14438" s="3" t="str">
        <f>HYPERLINK("https://www.773grp.com/manufacturer/onsemi?pageNo=957", "Onsemi")</f>
        <v>Onsemi</v>
      </c>
      <c r="C14438" s="6">
        <v>20000</v>
      </c>
      <c r="D14438" s="7">
        <v>3.1</v>
      </c>
      <c r="E14438" t="s">
        <v>5</v>
      </c>
    </row>
    <row r="14439" spans="1:5" x14ac:dyDescent="0.25">
      <c r="A14439" t="str">
        <f>HYPERLINK("https://www.773grp.com/globalSearch/CAT1021WI-45-GT3/page-1", "CAT1021WI-45-GT3")</f>
        <v>CAT1021WI-45-GT3</v>
      </c>
      <c r="B14439" s="3" t="str">
        <f>HYPERLINK("https://www.773grp.com/manufacturer/onsemi?pageNo=958", "Onsemi")</f>
        <v>Onsemi</v>
      </c>
      <c r="C14439" s="6">
        <v>6000</v>
      </c>
      <c r="D14439" s="7">
        <v>3.1</v>
      </c>
    </row>
    <row r="14440" spans="1:5" x14ac:dyDescent="0.25">
      <c r="A14440" t="str">
        <f>HYPERLINK("https://www.773grp.com/globalSearch/CAT1023WI-42-GT3/page-1", "CAT1023WI-42-GT3")</f>
        <v>CAT1023WI-42-GT3</v>
      </c>
      <c r="B14440" s="3" t="str">
        <f>HYPERLINK("https://www.773grp.com/manufacturer/onsemi?pageNo=959", "Onsemi")</f>
        <v>Onsemi</v>
      </c>
      <c r="C14440" s="6">
        <v>3000</v>
      </c>
      <c r="D14440" s="7">
        <v>3.1</v>
      </c>
    </row>
    <row r="14441" spans="1:5" x14ac:dyDescent="0.25">
      <c r="A14441" t="str">
        <f>HYPERLINK("https://www.773grp.com/globalSearch/CAT1025WI-25-GT3/page-1", "CAT1025WI-25-GT3")</f>
        <v>CAT1025WI-25-GT3</v>
      </c>
      <c r="B14441" s="3" t="str">
        <f>HYPERLINK("https://www.773grp.com/manufacturer/onsemi?pageNo=960", "Onsemi")</f>
        <v>Onsemi</v>
      </c>
      <c r="C14441" s="6">
        <v>1700</v>
      </c>
      <c r="D14441" s="7">
        <v>3.1</v>
      </c>
    </row>
    <row r="14442" spans="1:5" x14ac:dyDescent="0.25">
      <c r="A14442" t="str">
        <f>HYPERLINK("https://www.773grp.com/globalSearch/CS3843AGD14/page-1", "CS3843AGD14")</f>
        <v>CS3843AGD14</v>
      </c>
      <c r="B14442" s="3" t="str">
        <f>HYPERLINK("https://www.773grp.com/manufacturer/onsemi?pageNo=961", "Onsemi")</f>
        <v>Onsemi</v>
      </c>
      <c r="C14442" s="6">
        <v>5505</v>
      </c>
      <c r="D14442" s="7">
        <v>3.1</v>
      </c>
      <c r="E14442" t="s">
        <v>5</v>
      </c>
    </row>
    <row r="14443" spans="1:5" x14ac:dyDescent="0.25">
      <c r="A14443" t="str">
        <f>HYPERLINK("https://www.773grp.com/globalSearch/CS3843AGDR14/page-1", "CS3843AGDR14")</f>
        <v>CS3843AGDR14</v>
      </c>
      <c r="B14443" s="3" t="str">
        <f>HYPERLINK("https://www.773grp.com/manufacturer/onsemi?pageNo=962", "Onsemi")</f>
        <v>Onsemi</v>
      </c>
      <c r="C14443" s="6">
        <v>2500</v>
      </c>
      <c r="D14443" s="7">
        <v>3.1</v>
      </c>
      <c r="E14443" t="s">
        <v>5</v>
      </c>
    </row>
    <row r="14444" spans="1:5" x14ac:dyDescent="0.25">
      <c r="A14444" t="str">
        <f>HYPERLINK("https://www.773grp.com/globalSearch/CS5212ED14/page-1", "CS5212ED14")</f>
        <v>CS5212ED14</v>
      </c>
      <c r="B14444" s="3" t="str">
        <f>HYPERLINK("https://www.773grp.com/manufacturer/onsemi?pageNo=963", "Onsemi")</f>
        <v>Onsemi</v>
      </c>
      <c r="C14444" s="6">
        <v>440</v>
      </c>
      <c r="D14444" s="7">
        <v>3.1</v>
      </c>
      <c r="E14444" t="s">
        <v>5</v>
      </c>
    </row>
    <row r="14445" spans="1:5" x14ac:dyDescent="0.25">
      <c r="A14445" t="str">
        <f>HYPERLINK("https://www.773grp.com/globalSearch/CS5212EDR14/page-1", "CS5212EDR14")</f>
        <v>CS5212EDR14</v>
      </c>
      <c r="B14445" s="3" t="str">
        <f>HYPERLINK("https://www.773grp.com/manufacturer/onsemi?pageNo=964", "Onsemi")</f>
        <v>Onsemi</v>
      </c>
      <c r="C14445" s="6">
        <v>7498</v>
      </c>
      <c r="D14445" s="7">
        <v>3.1</v>
      </c>
      <c r="E14445" t="s">
        <v>5</v>
      </c>
    </row>
    <row r="14446" spans="1:5" x14ac:dyDescent="0.25">
      <c r="A14446" t="str">
        <f>HYPERLINK("https://www.773grp.com/globalSearch/LB1830M-TLM-E/page-1", "LB1830M-TLM-E")</f>
        <v>LB1830M-TLM-E</v>
      </c>
      <c r="B14446" s="3" t="str">
        <f>HYPERLINK("https://www.773grp.com/manufacturer/onsemi?pageNo=965", "Onsemi")</f>
        <v>Onsemi</v>
      </c>
      <c r="C14446" s="6">
        <v>89</v>
      </c>
      <c r="D14446" s="7">
        <v>3.1</v>
      </c>
    </row>
    <row r="14447" spans="1:5" x14ac:dyDescent="0.25">
      <c r="A14447" t="str">
        <f>HYPERLINK("https://www.773grp.com/globalSearch/MBR3045STG/page-1", "MBR3045STG")</f>
        <v>MBR3045STG</v>
      </c>
      <c r="B14447" s="3" t="str">
        <f>HYPERLINK("https://www.773grp.com/manufacturer/onsemi?pageNo=966", "Onsemi")</f>
        <v>Onsemi</v>
      </c>
      <c r="C14447" s="6">
        <v>29407</v>
      </c>
      <c r="D14447" s="7">
        <v>3.1</v>
      </c>
      <c r="E14447" t="s">
        <v>82</v>
      </c>
    </row>
    <row r="14448" spans="1:5" x14ac:dyDescent="0.25">
      <c r="A14448" t="str">
        <f>HYPERLINK("https://www.773grp.com/globalSearch/MC33364D1G/page-1", "MC33364D1G")</f>
        <v>MC33364D1G</v>
      </c>
      <c r="B14448" s="3" t="str">
        <f>HYPERLINK("https://www.773grp.com/manufacturer/onsemi?pageNo=967", "Onsemi")</f>
        <v>Onsemi</v>
      </c>
      <c r="C14448" s="6">
        <v>2109</v>
      </c>
      <c r="D14448" s="7">
        <v>3.1</v>
      </c>
      <c r="E14448" t="s">
        <v>5</v>
      </c>
    </row>
    <row r="14449" spans="1:5" x14ac:dyDescent="0.25">
      <c r="A14449" t="str">
        <f>HYPERLINK("https://www.773grp.com/globalSearch/MC33364D1R2G/page-1", "MC33364D1R2G")</f>
        <v>MC33364D1R2G</v>
      </c>
      <c r="B14449" s="3" t="str">
        <f>HYPERLINK("https://www.773grp.com/manufacturer/onsemi?pageNo=968", "Onsemi")</f>
        <v>Onsemi</v>
      </c>
      <c r="C14449" s="6">
        <v>1680</v>
      </c>
      <c r="D14449" s="7">
        <v>3.1</v>
      </c>
    </row>
    <row r="14450" spans="1:5" x14ac:dyDescent="0.25">
      <c r="A14450" t="str">
        <f>HYPERLINK("https://www.773grp.com/globalSearch/MC33364D2G/page-1", "MC33364D2G")</f>
        <v>MC33364D2G</v>
      </c>
      <c r="B14450" s="3" t="str">
        <f>HYPERLINK("https://www.773grp.com/manufacturer/onsemi?pageNo=969", "Onsemi")</f>
        <v>Onsemi</v>
      </c>
      <c r="C14450" s="6">
        <v>38084</v>
      </c>
      <c r="D14450" s="7">
        <v>3.1</v>
      </c>
      <c r="E14450" t="s">
        <v>5</v>
      </c>
    </row>
    <row r="14451" spans="1:5" x14ac:dyDescent="0.25">
      <c r="A14451" t="str">
        <f>HYPERLINK("https://www.773grp.com/globalSearch/MC33364D2R2G/page-1", "MC33364D2R2G")</f>
        <v>MC33364D2R2G</v>
      </c>
      <c r="B14451" s="3" t="str">
        <f>HYPERLINK("https://www.773grp.com/manufacturer/onsemi?pageNo=970", "Onsemi")</f>
        <v>Onsemi</v>
      </c>
      <c r="C14451" s="6">
        <v>12154</v>
      </c>
      <c r="D14451" s="7">
        <v>3.1</v>
      </c>
      <c r="E14451" t="s">
        <v>5</v>
      </c>
    </row>
    <row r="14452" spans="1:5" x14ac:dyDescent="0.25">
      <c r="A14452" t="str">
        <f>HYPERLINK("https://www.773grp.com/globalSearch/MC33364DG/page-1", "MC33364DG")</f>
        <v>MC33364DG</v>
      </c>
      <c r="B14452" s="3" t="str">
        <f>HYPERLINK("https://www.773grp.com/manufacturer/onsemi?pageNo=971", "Onsemi")</f>
        <v>Onsemi</v>
      </c>
      <c r="C14452" s="6">
        <v>250</v>
      </c>
      <c r="D14452" s="7">
        <v>3.1</v>
      </c>
      <c r="E14452" t="s">
        <v>5</v>
      </c>
    </row>
    <row r="14453" spans="1:5" x14ac:dyDescent="0.25">
      <c r="A14453" t="str">
        <f>HYPERLINK("https://www.773grp.com/globalSearch/MC33364DR2G/page-1", "MC33364DR2G")</f>
        <v>MC33364DR2G</v>
      </c>
      <c r="B14453" s="3" t="str">
        <f>HYPERLINK("https://www.773grp.com/manufacturer/onsemi?pageNo=972", "Onsemi")</f>
        <v>Onsemi</v>
      </c>
      <c r="C14453" s="6">
        <v>2059</v>
      </c>
      <c r="D14453" s="7">
        <v>3.1</v>
      </c>
    </row>
    <row r="14454" spans="1:5" x14ac:dyDescent="0.25">
      <c r="A14454" t="str">
        <f>HYPERLINK("https://www.773grp.com/globalSearch/MC74AC4040DG/page-1", "MC74AC4040DG")</f>
        <v>MC74AC4040DG</v>
      </c>
      <c r="B14454" s="3" t="str">
        <f>HYPERLINK("https://www.773grp.com/manufacturer/onsemi?pageNo=973", "Onsemi")</f>
        <v>Onsemi</v>
      </c>
      <c r="C14454" s="6">
        <v>27473</v>
      </c>
      <c r="D14454" s="7">
        <v>3.1</v>
      </c>
      <c r="E14454" t="s">
        <v>22</v>
      </c>
    </row>
    <row r="14455" spans="1:5" x14ac:dyDescent="0.25">
      <c r="A14455" t="str">
        <f>HYPERLINK("https://www.773grp.com/globalSearch/MC74AC4040DR2G/page-1", "MC74AC4040DR2G")</f>
        <v>MC74AC4040DR2G</v>
      </c>
      <c r="B14455" s="3" t="str">
        <f>HYPERLINK("https://www.773grp.com/manufacturer/onsemi?pageNo=974", "Onsemi")</f>
        <v>Onsemi</v>
      </c>
      <c r="C14455" s="6">
        <v>15883</v>
      </c>
      <c r="D14455" s="7">
        <v>3.1</v>
      </c>
      <c r="E14455" t="s">
        <v>22</v>
      </c>
    </row>
    <row r="14456" spans="1:5" x14ac:dyDescent="0.25">
      <c r="A14456" t="str">
        <f>HYPERLINK("https://www.773grp.com/globalSearch/NCP1522ASNT1G/page-1", "NCP1522ASNT1G")</f>
        <v>NCP1522ASNT1G</v>
      </c>
      <c r="B14456" s="3" t="str">
        <f>HYPERLINK("https://www.773grp.com/manufacturer/onsemi?pageNo=975", "Onsemi")</f>
        <v>Onsemi</v>
      </c>
      <c r="C14456" s="6">
        <v>26970</v>
      </c>
      <c r="D14456" s="7">
        <v>3.1</v>
      </c>
      <c r="E14456" t="s">
        <v>5</v>
      </c>
    </row>
    <row r="14457" spans="1:5" x14ac:dyDescent="0.25">
      <c r="A14457" t="str">
        <f>HYPERLINK("https://www.773grp.com/globalSearch/NCP1653APG/page-1", "NCP1653APG")</f>
        <v>NCP1653APG</v>
      </c>
      <c r="B14457" s="3" t="str">
        <f>HYPERLINK("https://www.773grp.com/manufacturer/onsemi?pageNo=976", "Onsemi")</f>
        <v>Onsemi</v>
      </c>
      <c r="C14457" s="6">
        <v>36540</v>
      </c>
      <c r="D14457" s="7">
        <v>3.1</v>
      </c>
      <c r="E14457" t="s">
        <v>5</v>
      </c>
    </row>
    <row r="14458" spans="1:5" x14ac:dyDescent="0.25">
      <c r="A14458" t="str">
        <f>HYPERLINK("https://www.773grp.com/globalSearch/NCP1653PG/page-1", "NCP1653PG")</f>
        <v>NCP1653PG</v>
      </c>
      <c r="B14458" s="3" t="str">
        <f>HYPERLINK("https://www.773grp.com/manufacturer/onsemi?pageNo=977", "Onsemi")</f>
        <v>Onsemi</v>
      </c>
      <c r="C14458" s="6">
        <v>7238</v>
      </c>
      <c r="D14458" s="7">
        <v>3.1</v>
      </c>
      <c r="E14458" t="s">
        <v>5</v>
      </c>
    </row>
    <row r="14459" spans="1:5" x14ac:dyDescent="0.25">
      <c r="A14459" t="str">
        <f>HYPERLINK("https://www.773grp.com/globalSearch/NCP5008DMR2G/page-1", "NCP5008DMR2G")</f>
        <v>NCP5008DMR2G</v>
      </c>
      <c r="B14459" s="3" t="str">
        <f>HYPERLINK("https://www.773grp.com/manufacturer/onsemi?pageNo=978", "Onsemi")</f>
        <v>Onsemi</v>
      </c>
      <c r="C14459" s="6">
        <v>491</v>
      </c>
      <c r="D14459" s="7">
        <v>3.1</v>
      </c>
      <c r="E14459" t="s">
        <v>7</v>
      </c>
    </row>
    <row r="14460" spans="1:5" x14ac:dyDescent="0.25">
      <c r="A14460" t="str">
        <f>HYPERLINK("https://www.773grp.com/globalSearch/NCP5667DS50R4G/page-1", "NCP5667DS50R4G")</f>
        <v>NCP5667DS50R4G</v>
      </c>
      <c r="B14460" s="3" t="str">
        <f>HYPERLINK("https://www.773grp.com/manufacturer/onsemi?pageNo=979", "Onsemi")</f>
        <v>Onsemi</v>
      </c>
      <c r="C14460" s="6">
        <v>2058</v>
      </c>
      <c r="D14460" s="7">
        <v>3.1</v>
      </c>
      <c r="E14460" t="s">
        <v>15</v>
      </c>
    </row>
    <row r="14461" spans="1:5" x14ac:dyDescent="0.25">
      <c r="A14461" t="str">
        <f>HYPERLINK("https://www.773grp.com/globalSearch/NCP590MN5ATAG/page-1", "NCP590MN5ATAG")</f>
        <v>NCP590MN5ATAG</v>
      </c>
      <c r="B14461" s="3" t="str">
        <f>HYPERLINK("https://www.773grp.com/manufacturer/onsemi?pageNo=980", "Onsemi")</f>
        <v>Onsemi</v>
      </c>
      <c r="C14461" s="6">
        <v>14925</v>
      </c>
      <c r="D14461" s="7">
        <v>3.1</v>
      </c>
      <c r="E14461" t="s">
        <v>39</v>
      </c>
    </row>
    <row r="14462" spans="1:5" x14ac:dyDescent="0.25">
      <c r="A14462" t="str">
        <f>HYPERLINK("https://www.773grp.com/globalSearch/NCP590MNDPTAG/page-1", "NCP590MNDPTAG")</f>
        <v>NCP590MNDPTAG</v>
      </c>
      <c r="B14462" s="3" t="str">
        <f>HYPERLINK("https://www.773grp.com/manufacturer/onsemi?pageNo=981", "Onsemi")</f>
        <v>Onsemi</v>
      </c>
      <c r="C14462" s="6">
        <v>86660</v>
      </c>
      <c r="D14462" s="7">
        <v>3.1</v>
      </c>
      <c r="E14462" t="s">
        <v>39</v>
      </c>
    </row>
    <row r="14463" spans="1:5" x14ac:dyDescent="0.25">
      <c r="A14463" t="str">
        <f>HYPERLINK("https://www.773grp.com/globalSearch/NCP590MNOATAG/page-1", "NCP590MNOATAG")</f>
        <v>NCP590MNOATAG</v>
      </c>
      <c r="B14463" s="3" t="str">
        <f>HYPERLINK("https://www.773grp.com/manufacturer/onsemi?pageNo=982", "Onsemi")</f>
        <v>Onsemi</v>
      </c>
      <c r="C14463" s="6">
        <v>48000</v>
      </c>
      <c r="D14463" s="7">
        <v>3.1</v>
      </c>
      <c r="E14463" t="s">
        <v>39</v>
      </c>
    </row>
    <row r="14464" spans="1:5" x14ac:dyDescent="0.25">
      <c r="A14464" t="str">
        <f>HYPERLINK("https://www.773grp.com/globalSearch/NCP590MNVVTAG/page-1", "NCP590MNVVTAG")</f>
        <v>NCP590MNVVTAG</v>
      </c>
      <c r="B14464" s="3" t="str">
        <f>HYPERLINK("https://www.773grp.com/manufacturer/onsemi?pageNo=983", "Onsemi")</f>
        <v>Onsemi</v>
      </c>
      <c r="C14464" s="6">
        <v>30573</v>
      </c>
      <c r="D14464" s="7">
        <v>3.1</v>
      </c>
    </row>
    <row r="14465" spans="1:5" x14ac:dyDescent="0.25">
      <c r="A14465" t="str">
        <f>HYPERLINK("https://www.773grp.com/globalSearch/NCP81007MNTWG/page-1", "NCP81007MNTWG")</f>
        <v>NCP81007MNTWG</v>
      </c>
      <c r="B14465" s="3" t="str">
        <f>HYPERLINK("https://www.773grp.com/manufacturer/onsemi?pageNo=984", "Onsemi")</f>
        <v>Onsemi</v>
      </c>
      <c r="C14465" s="6">
        <v>105000</v>
      </c>
      <c r="D14465" s="7">
        <v>3.1</v>
      </c>
    </row>
    <row r="14466" spans="1:5" x14ac:dyDescent="0.25">
      <c r="A14466" t="str">
        <f>HYPERLINK("https://www.773grp.com/globalSearch/NCV2931AST-5T3G/page-1", "NCV2931AST-5T3G")</f>
        <v>NCV2931AST-5T3G</v>
      </c>
      <c r="B14466" s="3" t="str">
        <f>HYPERLINK("https://www.773grp.com/manufacturer/onsemi?pageNo=985", "Onsemi")</f>
        <v>Onsemi</v>
      </c>
      <c r="C14466" s="6">
        <v>18314</v>
      </c>
      <c r="D14466" s="7">
        <v>3.1</v>
      </c>
    </row>
    <row r="14467" spans="1:5" x14ac:dyDescent="0.25">
      <c r="A14467" t="str">
        <f>HYPERLINK("https://www.773grp.com/globalSearch/NCV4276ADT33RKG/page-1", "NCV4276ADT33RKG")</f>
        <v>NCV4276ADT33RKG</v>
      </c>
      <c r="B14467" s="3" t="str">
        <f>HYPERLINK("https://www.773grp.com/manufacturer/onsemi?pageNo=986", "Onsemi")</f>
        <v>Onsemi</v>
      </c>
      <c r="C14467" s="6">
        <v>9193</v>
      </c>
      <c r="D14467" s="7">
        <v>3.1</v>
      </c>
      <c r="E14467" t="s">
        <v>15</v>
      </c>
    </row>
    <row r="14468" spans="1:5" x14ac:dyDescent="0.25">
      <c r="A14468" t="str">
        <f>HYPERLINK("https://www.773grp.com/globalSearch/NCV5504DTRKG/page-1", "NCV5504DTRKG")</f>
        <v>NCV5504DTRKG</v>
      </c>
      <c r="B14468" s="3" t="str">
        <f>HYPERLINK("https://www.773grp.com/manufacturer/onsemi?pageNo=987", "Onsemi")</f>
        <v>Onsemi</v>
      </c>
      <c r="C14468" s="6">
        <v>9606</v>
      </c>
      <c r="D14468" s="7">
        <v>3.1</v>
      </c>
      <c r="E14468" t="s">
        <v>51</v>
      </c>
    </row>
    <row r="14469" spans="1:5" x14ac:dyDescent="0.25">
      <c r="A14469" t="str">
        <f>HYPERLINK("https://www.773grp.com/globalSearch/NCV8501D100G/page-1", "NCV8501D100G")</f>
        <v>NCV8501D100G</v>
      </c>
      <c r="B14469" s="3" t="str">
        <f>HYPERLINK("https://www.773grp.com/manufacturer/onsemi?pageNo=988", "Onsemi")</f>
        <v>Onsemi</v>
      </c>
      <c r="C14469" s="6">
        <v>227</v>
      </c>
      <c r="D14469" s="7">
        <v>3.1</v>
      </c>
      <c r="E14469" t="s">
        <v>15</v>
      </c>
    </row>
    <row r="14470" spans="1:5" x14ac:dyDescent="0.25">
      <c r="A14470" t="str">
        <f>HYPERLINK("https://www.773grp.com/globalSearch/NCV8501D25G/page-1", "NCV8501D25G")</f>
        <v>NCV8501D25G</v>
      </c>
      <c r="B14470" s="3" t="str">
        <f>HYPERLINK("https://www.773grp.com/manufacturer/onsemi?pageNo=989", "Onsemi")</f>
        <v>Onsemi</v>
      </c>
      <c r="C14470" s="6">
        <v>880</v>
      </c>
      <c r="D14470" s="7">
        <v>3.1</v>
      </c>
      <c r="E14470" t="s">
        <v>15</v>
      </c>
    </row>
    <row r="14471" spans="1:5" x14ac:dyDescent="0.25">
      <c r="A14471" t="str">
        <f>HYPERLINK("https://www.773grp.com/globalSearch/NCV8501D25R2G/page-1", "NCV8501D25R2G")</f>
        <v>NCV8501D25R2G</v>
      </c>
      <c r="B14471" s="3" t="str">
        <f>HYPERLINK("https://www.773grp.com/manufacturer/onsemi?pageNo=990", "Onsemi")</f>
        <v>Onsemi</v>
      </c>
      <c r="C14471" s="6">
        <v>680</v>
      </c>
      <c r="D14471" s="7">
        <v>3.1</v>
      </c>
      <c r="E14471" t="s">
        <v>15</v>
      </c>
    </row>
    <row r="14472" spans="1:5" x14ac:dyDescent="0.25">
      <c r="A14472" t="str">
        <f>HYPERLINK("https://www.773grp.com/globalSearch/NCV8501D33G/page-1", "NCV8501D33G")</f>
        <v>NCV8501D33G</v>
      </c>
      <c r="B14472" s="3" t="str">
        <f>HYPERLINK("https://www.773grp.com/manufacturer/onsemi?pageNo=991", "Onsemi")</f>
        <v>Onsemi</v>
      </c>
      <c r="C14472" s="6">
        <v>2504</v>
      </c>
      <c r="D14472" s="7">
        <v>3.1</v>
      </c>
      <c r="E14472" t="s">
        <v>15</v>
      </c>
    </row>
    <row r="14473" spans="1:5" x14ac:dyDescent="0.25">
      <c r="A14473" t="str">
        <f>HYPERLINK("https://www.773grp.com/globalSearch/NCV8501D50G/page-1", "NCV8501D50G")</f>
        <v>NCV8501D50G</v>
      </c>
      <c r="B14473" s="3" t="str">
        <f>HYPERLINK("https://www.773grp.com/manufacturer/onsemi?pageNo=992", "Onsemi")</f>
        <v>Onsemi</v>
      </c>
      <c r="C14473" s="6">
        <v>4998</v>
      </c>
      <c r="D14473" s="7">
        <v>3.1</v>
      </c>
    </row>
    <row r="14474" spans="1:5" x14ac:dyDescent="0.25">
      <c r="A14474" t="str">
        <f>HYPERLINK("https://www.773grp.com/globalSearch/NCV8501DADJG/page-1", "NCV8501DADJG")</f>
        <v>NCV8501DADJG</v>
      </c>
      <c r="B14474" s="3" t="str">
        <f>HYPERLINK("https://www.773grp.com/manufacturer/onsemi?pageNo=993", "Onsemi")</f>
        <v>Onsemi</v>
      </c>
      <c r="C14474" s="6">
        <v>3515</v>
      </c>
      <c r="D14474" s="7">
        <v>3.1</v>
      </c>
      <c r="E14474" t="s">
        <v>21</v>
      </c>
    </row>
    <row r="14475" spans="1:5" x14ac:dyDescent="0.25">
      <c r="A14475" t="str">
        <f>HYPERLINK("https://www.773grp.com/globalSearch/NID5001NT4/page-1", "NID5001NT4")</f>
        <v>NID5001NT4</v>
      </c>
      <c r="B14475" s="3" t="str">
        <f>HYPERLINK("https://www.773grp.com/manufacturer/onsemi?pageNo=994", "Onsemi")</f>
        <v>Onsemi</v>
      </c>
      <c r="C14475" s="6">
        <v>4470</v>
      </c>
      <c r="D14475" s="7">
        <v>3.1</v>
      </c>
      <c r="E14475" t="s">
        <v>84</v>
      </c>
    </row>
    <row r="14476" spans="1:5" x14ac:dyDescent="0.25">
      <c r="A14476" t="str">
        <f>HYPERLINK("https://www.773grp.com/globalSearch/NVD5802NT4G/page-1", "NVD5802NT4G")</f>
        <v>NVD5802NT4G</v>
      </c>
      <c r="B14476" s="3" t="str">
        <f>HYPERLINK("https://www.773grp.com/manufacturer/onsemi?pageNo=995", "Onsemi")</f>
        <v>Onsemi</v>
      </c>
      <c r="C14476" s="6">
        <v>2500</v>
      </c>
      <c r="D14476" s="7">
        <v>3.1</v>
      </c>
      <c r="E14476" t="s">
        <v>84</v>
      </c>
    </row>
    <row r="14477" spans="1:5" x14ac:dyDescent="0.25">
      <c r="A14477" t="str">
        <f>HYPERLINK("https://www.773grp.com/globalSearch/CS8101YTHA5/page-1", "CS8101YTHA5")</f>
        <v>CS8101YTHA5</v>
      </c>
      <c r="B14477" s="3" t="str">
        <f>HYPERLINK("https://www.773grp.com/manufacturer/onsemi?pageNo=996", "Onsemi")</f>
        <v>Onsemi</v>
      </c>
      <c r="C14477" s="6">
        <v>43</v>
      </c>
      <c r="D14477" s="7">
        <v>2.84</v>
      </c>
      <c r="E14477" t="s">
        <v>15</v>
      </c>
    </row>
    <row r="14478" spans="1:5" x14ac:dyDescent="0.25">
      <c r="A14478" t="str">
        <f>HYPERLINK("https://www.773grp.com/globalSearch/CS8101YTHA5G/page-1", "CS8101YTHA5G")</f>
        <v>CS8101YTHA5G</v>
      </c>
      <c r="B14478" s="3" t="str">
        <f>HYPERLINK("https://www.773grp.com/manufacturer/onsemi?pageNo=997", "Onsemi")</f>
        <v>Onsemi</v>
      </c>
      <c r="C14478" s="6">
        <v>250</v>
      </c>
      <c r="D14478" s="7">
        <v>2.84</v>
      </c>
      <c r="E14478" t="s">
        <v>15</v>
      </c>
    </row>
    <row r="14479" spans="1:5" x14ac:dyDescent="0.25">
      <c r="A14479" t="str">
        <f>HYPERLINK("https://www.773grp.com/globalSearch/CS8101YTVA5G/page-1", "CS8101YTVA5G")</f>
        <v>CS8101YTVA5G</v>
      </c>
      <c r="B14479" s="3" t="str">
        <f>HYPERLINK("https://www.773grp.com/manufacturer/onsemi?pageNo=998", "Onsemi")</f>
        <v>Onsemi</v>
      </c>
      <c r="C14479" s="6">
        <v>5650</v>
      </c>
      <c r="D14479" s="7">
        <v>2.84</v>
      </c>
      <c r="E14479" t="s">
        <v>15</v>
      </c>
    </row>
    <row r="14480" spans="1:5" x14ac:dyDescent="0.25">
      <c r="A14480" t="str">
        <f>HYPERLINK("https://www.773grp.com/globalSearch/CS8122YTHA5G/page-1", "CS8122YTHA5G")</f>
        <v>CS8122YTHA5G</v>
      </c>
      <c r="B14480" s="3" t="str">
        <f>HYPERLINK("https://www.773grp.com/manufacturer/onsemi?pageNo=999", "Onsemi")</f>
        <v>Onsemi</v>
      </c>
      <c r="C14480" s="6">
        <v>1195</v>
      </c>
      <c r="D14480" s="7">
        <v>2.84</v>
      </c>
      <c r="E14480" t="s">
        <v>15</v>
      </c>
    </row>
    <row r="14481" spans="1:5" x14ac:dyDescent="0.25">
      <c r="A14481" t="str">
        <f>HYPERLINK("https://www.773grp.com/globalSearch/CS8122YTVA5G/page-1", "CS8122YTVA5G")</f>
        <v>CS8122YTVA5G</v>
      </c>
      <c r="B14481" s="3" t="str">
        <f>HYPERLINK("https://www.773grp.com/manufacturer/onsemi?pageNo=1000", "Onsemi")</f>
        <v>Onsemi</v>
      </c>
      <c r="C14481" s="6">
        <v>5449</v>
      </c>
      <c r="D14481" s="7">
        <v>2.84</v>
      </c>
      <c r="E14481" t="s">
        <v>15</v>
      </c>
    </row>
    <row r="14482" spans="1:5" x14ac:dyDescent="0.25">
      <c r="A14482" t="str">
        <f>HYPERLINK("https://www.773grp.com/globalSearch/CS8141YDPSR7/page-1", "CS8141YDPSR7")</f>
        <v>CS8141YDPSR7</v>
      </c>
      <c r="B14482" s="3" t="str">
        <f>HYPERLINK("https://www.773grp.com/manufacturer/onsemi?pageNo=1001", "Onsemi")</f>
        <v>Onsemi</v>
      </c>
      <c r="C14482" s="6">
        <v>12750</v>
      </c>
      <c r="D14482" s="7">
        <v>2.84</v>
      </c>
      <c r="E14482" t="s">
        <v>15</v>
      </c>
    </row>
    <row r="14483" spans="1:5" x14ac:dyDescent="0.25">
      <c r="A14483" t="str">
        <f>HYPERLINK("https://www.773grp.com/globalSearch/LC75700T-MPB-E/page-1", "LC75700T-MPB-E")</f>
        <v>LC75700T-MPB-E</v>
      </c>
      <c r="B14483" s="3" t="str">
        <f>HYPERLINK("https://www.773grp.com/manufacturer/onsemi?pageNo=1002", "Onsemi")</f>
        <v>Onsemi</v>
      </c>
      <c r="C14483" s="6">
        <v>70</v>
      </c>
      <c r="D14483" s="7">
        <v>2.84</v>
      </c>
    </row>
    <row r="14484" spans="1:5" x14ac:dyDescent="0.25">
      <c r="A14484" t="str">
        <f>HYPERLINK("https://www.773grp.com/globalSearch/MC10H103L/page-1", "MC10H103L")</f>
        <v>MC10H103L</v>
      </c>
      <c r="B14484" s="3" t="str">
        <f>HYPERLINK("https://www.773grp.com/manufacturer/onsemi?pageNo=1003", "Onsemi")</f>
        <v>Onsemi</v>
      </c>
      <c r="C14484" s="6">
        <v>213</v>
      </c>
      <c r="D14484" s="7">
        <v>2.84</v>
      </c>
      <c r="E14484" t="s">
        <v>27</v>
      </c>
    </row>
    <row r="14485" spans="1:5" x14ac:dyDescent="0.25">
      <c r="A14485" t="str">
        <f>HYPERLINK("https://www.773grp.com/globalSearch/MC10H104L/page-1", "MC10H104L")</f>
        <v>MC10H104L</v>
      </c>
      <c r="B14485" s="3" t="str">
        <f>HYPERLINK("https://www.773grp.com/manufacturer/onsemi?pageNo=1004", "Onsemi")</f>
        <v>Onsemi</v>
      </c>
      <c r="C14485" s="6">
        <v>688</v>
      </c>
      <c r="D14485" s="7">
        <v>2.84</v>
      </c>
      <c r="E14485" t="s">
        <v>27</v>
      </c>
    </row>
    <row r="14486" spans="1:5" x14ac:dyDescent="0.25">
      <c r="A14486" t="str">
        <f>HYPERLINK("https://www.773grp.com/globalSearch/MC10H105L/page-1", "MC10H105L")</f>
        <v>MC10H105L</v>
      </c>
      <c r="B14486" s="3" t="str">
        <f>HYPERLINK("https://www.773grp.com/manufacturer/onsemi?pageNo=1005", "Onsemi")</f>
        <v>Onsemi</v>
      </c>
      <c r="C14486" s="6">
        <v>3548</v>
      </c>
      <c r="D14486" s="7">
        <v>2.84</v>
      </c>
      <c r="E14486" t="s">
        <v>27</v>
      </c>
    </row>
    <row r="14487" spans="1:5" x14ac:dyDescent="0.25">
      <c r="A14487" t="str">
        <f>HYPERLINK("https://www.773grp.com/globalSearch/MC10H107L/page-1", "MC10H107L")</f>
        <v>MC10H107L</v>
      </c>
      <c r="B14487" s="3" t="str">
        <f>HYPERLINK("https://www.773grp.com/manufacturer/onsemi?pageNo=1006", "Onsemi")</f>
        <v>Onsemi</v>
      </c>
      <c r="C14487" s="6">
        <v>295</v>
      </c>
      <c r="D14487" s="7">
        <v>2.84</v>
      </c>
      <c r="E14487" t="s">
        <v>27</v>
      </c>
    </row>
    <row r="14488" spans="1:5" x14ac:dyDescent="0.25">
      <c r="A14488" t="str">
        <f>HYPERLINK("https://www.773grp.com/globalSearch/MC10H109L/page-1", "MC10H109L")</f>
        <v>MC10H109L</v>
      </c>
      <c r="B14488" s="3" t="str">
        <f>HYPERLINK("https://www.773grp.com/manufacturer/onsemi?pageNo=1007", "Onsemi")</f>
        <v>Onsemi</v>
      </c>
      <c r="C14488" s="6">
        <v>95</v>
      </c>
      <c r="D14488" s="7">
        <v>2.84</v>
      </c>
      <c r="E14488" t="s">
        <v>27</v>
      </c>
    </row>
    <row r="14489" spans="1:5" x14ac:dyDescent="0.25">
      <c r="A14489" t="str">
        <f>HYPERLINK("https://www.773grp.com/globalSearch/MC10H115L/page-1", "MC10H115L")</f>
        <v>MC10H115L</v>
      </c>
      <c r="B14489" s="3" t="str">
        <f>HYPERLINK("https://www.773grp.com/manufacturer/onsemi?pageNo=1008", "Onsemi")</f>
        <v>Onsemi</v>
      </c>
      <c r="C14489" s="6">
        <v>883</v>
      </c>
      <c r="D14489" s="7">
        <v>2.84</v>
      </c>
      <c r="E14489" t="s">
        <v>17</v>
      </c>
    </row>
    <row r="14490" spans="1:5" x14ac:dyDescent="0.25">
      <c r="A14490" t="str">
        <f>HYPERLINK("https://www.773grp.com/globalSearch/MC10H117L/page-1", "MC10H117L")</f>
        <v>MC10H117L</v>
      </c>
      <c r="B14490" s="3" t="str">
        <f>HYPERLINK("https://www.773grp.com/manufacturer/onsemi?pageNo=1009", "Onsemi")</f>
        <v>Onsemi</v>
      </c>
      <c r="C14490" s="6">
        <v>307</v>
      </c>
      <c r="D14490" s="7">
        <v>2.84</v>
      </c>
      <c r="E14490" t="s">
        <v>27</v>
      </c>
    </row>
    <row r="14491" spans="1:5" x14ac:dyDescent="0.25">
      <c r="A14491" t="str">
        <f>HYPERLINK("https://www.773grp.com/globalSearch/NCP3123MNTXG/page-1", "NCP3123MNTXG")</f>
        <v>NCP3123MNTXG</v>
      </c>
      <c r="B14491" s="3" t="str">
        <f>HYPERLINK("https://www.773grp.com/manufacturer/onsemi?pageNo=1010", "Onsemi")</f>
        <v>Onsemi</v>
      </c>
      <c r="C14491" s="6">
        <v>34133</v>
      </c>
      <c r="D14491" s="7">
        <v>2.84</v>
      </c>
    </row>
    <row r="14492" spans="1:5" x14ac:dyDescent="0.25">
      <c r="A14492" t="str">
        <f>HYPERLINK("https://www.773grp.com/globalSearch/NCP5162D/page-1", "NCP5162D")</f>
        <v>NCP5162D</v>
      </c>
      <c r="B14492" s="3" t="str">
        <f>HYPERLINK("https://www.773grp.com/manufacturer/onsemi?pageNo=1011", "Onsemi")</f>
        <v>Onsemi</v>
      </c>
      <c r="C14492" s="6">
        <v>1296</v>
      </c>
      <c r="D14492" s="7">
        <v>2.84</v>
      </c>
      <c r="E14492" t="s">
        <v>5</v>
      </c>
    </row>
    <row r="14493" spans="1:5" x14ac:dyDescent="0.25">
      <c r="A14493" t="str">
        <f>HYPERLINK("https://www.773grp.com/globalSearch/NCP5162DR2/page-1", "NCP5162DR2")</f>
        <v>NCP5162DR2</v>
      </c>
      <c r="B14493" s="3" t="str">
        <f>HYPERLINK("https://www.773grp.com/manufacturer/onsemi?pageNo=1012", "Onsemi")</f>
        <v>Onsemi</v>
      </c>
      <c r="C14493" s="6">
        <v>2500</v>
      </c>
      <c r="D14493" s="7">
        <v>2.84</v>
      </c>
      <c r="E14493" t="s">
        <v>5</v>
      </c>
    </row>
    <row r="14494" spans="1:5" x14ac:dyDescent="0.25">
      <c r="A14494" t="str">
        <f>HYPERLINK("https://www.773grp.com/globalSearch/2N4036/page-1", "2N4036")</f>
        <v>2N4036</v>
      </c>
      <c r="B14494" s="3" t="str">
        <f>HYPERLINK("https://www.773grp.com/manufacturer/onsemi?pageNo=1013", "Onsemi")</f>
        <v>Onsemi</v>
      </c>
      <c r="C14494" s="6">
        <v>2</v>
      </c>
      <c r="D14494" s="7">
        <v>3.18</v>
      </c>
      <c r="E14494" t="s">
        <v>57</v>
      </c>
    </row>
    <row r="14495" spans="1:5" x14ac:dyDescent="0.25">
      <c r="A14495" t="str">
        <f>HYPERLINK("https://www.773grp.com/globalSearch/2N4037/page-1", "2N4037")</f>
        <v>2N4037</v>
      </c>
      <c r="B14495" s="3" t="str">
        <f>HYPERLINK("https://www.773grp.com/manufacturer/onsemi?pageNo=1014", "Onsemi")</f>
        <v>Onsemi</v>
      </c>
      <c r="C14495" s="6">
        <v>1169</v>
      </c>
      <c r="D14495" s="7">
        <v>3.18</v>
      </c>
      <c r="E14495" t="s">
        <v>57</v>
      </c>
    </row>
    <row r="14496" spans="1:5" x14ac:dyDescent="0.25">
      <c r="A14496" t="str">
        <f>HYPERLINK("https://www.773grp.com/globalSearch/BUV26G/page-1", "BUV26G")</f>
        <v>BUV26G</v>
      </c>
      <c r="B14496" s="3" t="str">
        <f>HYPERLINK("https://www.773grp.com/manufacturer/onsemi?pageNo=1015", "Onsemi")</f>
        <v>Onsemi</v>
      </c>
      <c r="C14496" s="6">
        <v>122</v>
      </c>
      <c r="D14496" s="7">
        <v>3.18</v>
      </c>
      <c r="E14496" t="s">
        <v>47</v>
      </c>
    </row>
    <row r="14497" spans="1:5" x14ac:dyDescent="0.25">
      <c r="A14497" t="str">
        <f>HYPERLINK("https://www.773grp.com/globalSearch/CAT3200ZI-T3/page-1", "CAT3200ZI-T3")</f>
        <v>CAT3200ZI-T3</v>
      </c>
      <c r="B14497" s="3" t="str">
        <f>HYPERLINK("https://www.773grp.com/manufacturer/onsemi?pageNo=1016", "Onsemi")</f>
        <v>Onsemi</v>
      </c>
      <c r="C14497" s="6">
        <v>3000</v>
      </c>
      <c r="D14497" s="7">
        <v>3.18</v>
      </c>
      <c r="E14497" t="s">
        <v>5</v>
      </c>
    </row>
    <row r="14498" spans="1:5" x14ac:dyDescent="0.25">
      <c r="A14498" t="str">
        <f>HYPERLINK("https://www.773grp.com/globalSearch/CAT34TS02VP2GT4A/page-1", "CAT34TS02VP2GT4A")</f>
        <v>CAT34TS02VP2GT4A</v>
      </c>
      <c r="B14498" s="3" t="str">
        <f>HYPERLINK("https://www.773grp.com/manufacturer/onsemi?pageNo=1017", "Onsemi")</f>
        <v>Onsemi</v>
      </c>
      <c r="C14498" s="6">
        <v>32758</v>
      </c>
      <c r="D14498" s="7">
        <v>3.18</v>
      </c>
    </row>
    <row r="14499" spans="1:5" x14ac:dyDescent="0.25">
      <c r="A14499" t="str">
        <f>HYPERLINK("https://www.773grp.com/globalSearch/CAT3636HV3-GT2/page-1", "CAT3636HV3-GT2")</f>
        <v>CAT3636HV3-GT2</v>
      </c>
      <c r="B14499" s="3" t="str">
        <f>HYPERLINK("https://www.773grp.com/manufacturer/onsemi?pageNo=1018", "Onsemi")</f>
        <v>Onsemi</v>
      </c>
      <c r="C14499" s="6">
        <v>12000</v>
      </c>
      <c r="D14499" s="7">
        <v>3.18</v>
      </c>
      <c r="E14499" t="s">
        <v>7</v>
      </c>
    </row>
    <row r="14500" spans="1:5" x14ac:dyDescent="0.25">
      <c r="A14500" t="str">
        <f>HYPERLINK("https://www.773grp.com/globalSearch/CAT6095VP2-GT4/page-1", "CAT6095VP2-GT4")</f>
        <v>CAT6095VP2-GT4</v>
      </c>
      <c r="B14500" s="3" t="str">
        <f>HYPERLINK("https://www.773grp.com/manufacturer/onsemi?pageNo=1019", "Onsemi")</f>
        <v>Onsemi</v>
      </c>
      <c r="C14500" s="6">
        <v>7358</v>
      </c>
      <c r="D14500" s="7">
        <v>3.18</v>
      </c>
      <c r="E14500" t="s">
        <v>9</v>
      </c>
    </row>
    <row r="14501" spans="1:5" x14ac:dyDescent="0.25">
      <c r="A14501" t="str">
        <f>HYPERLINK("https://www.773grp.com/globalSearch/CS3843BGD8/page-1", "CS3843BGD8")</f>
        <v>CS3843BGD8</v>
      </c>
      <c r="B14501" s="3" t="str">
        <f>HYPERLINK("https://www.773grp.com/manufacturer/onsemi?pageNo=1020", "Onsemi")</f>
        <v>Onsemi</v>
      </c>
      <c r="C14501" s="6">
        <v>274</v>
      </c>
      <c r="D14501" s="7">
        <v>3.18</v>
      </c>
      <c r="E14501" t="s">
        <v>5</v>
      </c>
    </row>
    <row r="14502" spans="1:5" x14ac:dyDescent="0.25">
      <c r="A14502" t="str">
        <f>HYPERLINK("https://www.773grp.com/globalSearch/CS3843BGDR8/page-1", "CS3843BGDR8")</f>
        <v>CS3843BGDR8</v>
      </c>
      <c r="B14502" s="3" t="str">
        <f>HYPERLINK("https://www.773grp.com/manufacturer/onsemi?pageNo=1021", "Onsemi")</f>
        <v>Onsemi</v>
      </c>
      <c r="C14502" s="6">
        <v>2500</v>
      </c>
      <c r="D14502" s="7">
        <v>3.18</v>
      </c>
      <c r="E14502" t="s">
        <v>5</v>
      </c>
    </row>
    <row r="14503" spans="1:5" x14ac:dyDescent="0.25">
      <c r="A14503" t="str">
        <f>HYPERLINK("https://www.773grp.com/globalSearch/CS3844GDR8/page-1", "CS3844GDR8")</f>
        <v>CS3844GDR8</v>
      </c>
      <c r="B14503" s="3" t="str">
        <f>HYPERLINK("https://www.773grp.com/manufacturer/onsemi?pageNo=1022", "Onsemi")</f>
        <v>Onsemi</v>
      </c>
      <c r="C14503" s="6">
        <v>20000</v>
      </c>
      <c r="D14503" s="7">
        <v>3.18</v>
      </c>
      <c r="E14503" t="s">
        <v>5</v>
      </c>
    </row>
    <row r="14504" spans="1:5" x14ac:dyDescent="0.25">
      <c r="A14504" t="str">
        <f>HYPERLINK("https://www.773grp.com/globalSearch/CS51221ED16/page-1", "CS51221ED16")</f>
        <v>CS51221ED16</v>
      </c>
      <c r="B14504" s="3" t="str">
        <f>HYPERLINK("https://www.773grp.com/manufacturer/onsemi?pageNo=1023", "Onsemi")</f>
        <v>Onsemi</v>
      </c>
      <c r="C14504" s="6">
        <v>427</v>
      </c>
      <c r="D14504" s="7">
        <v>3.18</v>
      </c>
      <c r="E14504" t="s">
        <v>5</v>
      </c>
    </row>
    <row r="14505" spans="1:5" x14ac:dyDescent="0.25">
      <c r="A14505" t="str">
        <f>HYPERLINK("https://www.773grp.com/globalSearch/CS51221EDR16/page-1", "CS51221EDR16")</f>
        <v>CS51221EDR16</v>
      </c>
      <c r="B14505" s="3" t="str">
        <f>HYPERLINK("https://www.773grp.com/manufacturer/onsemi?pageNo=1024", "Onsemi")</f>
        <v>Onsemi</v>
      </c>
      <c r="C14505" s="6">
        <v>10000</v>
      </c>
      <c r="D14505" s="7">
        <v>3.18</v>
      </c>
      <c r="E14505" t="s">
        <v>5</v>
      </c>
    </row>
    <row r="14506" spans="1:5" x14ac:dyDescent="0.25">
      <c r="A14506" t="str">
        <f>HYPERLINK("https://www.773grp.com/globalSearch/CS51221EDTB16G/page-1", "CS51221EDTB16G")</f>
        <v>CS51221EDTB16G</v>
      </c>
      <c r="B14506" s="3" t="str">
        <f>HYPERLINK("https://www.773grp.com/manufacturer/onsemi?pageNo=1025", "Onsemi")</f>
        <v>Onsemi</v>
      </c>
      <c r="C14506" s="6">
        <v>4459</v>
      </c>
      <c r="D14506" s="7">
        <v>3.18</v>
      </c>
      <c r="E14506" t="s">
        <v>5</v>
      </c>
    </row>
    <row r="14507" spans="1:5" x14ac:dyDescent="0.25">
      <c r="A14507" t="str">
        <f>HYPERLINK("https://www.773grp.com/globalSearch/CS5253-1GDP5/page-1", "CS5253-1GDP5")</f>
        <v>CS5253-1GDP5</v>
      </c>
      <c r="B14507" s="3" t="str">
        <f>HYPERLINK("https://www.773grp.com/manufacturer/onsemi?pageNo=1026", "Onsemi")</f>
        <v>Onsemi</v>
      </c>
      <c r="C14507" s="6">
        <v>1031</v>
      </c>
      <c r="D14507" s="7">
        <v>3.18</v>
      </c>
      <c r="E14507" t="s">
        <v>21</v>
      </c>
    </row>
    <row r="14508" spans="1:5" x14ac:dyDescent="0.25">
      <c r="A14508" t="str">
        <f>HYPERLINK("https://www.773grp.com/globalSearch/CS5253B-1GDP5/page-1", "CS5253B-1GDP5")</f>
        <v>CS5253B-1GDP5</v>
      </c>
      <c r="B14508" s="3" t="str">
        <f>HYPERLINK("https://www.773grp.com/manufacturer/onsemi?pageNo=1027", "Onsemi")</f>
        <v>Onsemi</v>
      </c>
      <c r="C14508" s="6">
        <v>100</v>
      </c>
      <c r="D14508" s="7">
        <v>3.18</v>
      </c>
      <c r="E14508" t="s">
        <v>21</v>
      </c>
    </row>
    <row r="14509" spans="1:5" x14ac:dyDescent="0.25">
      <c r="A14509" t="str">
        <f>HYPERLINK("https://www.773grp.com/globalSearch/CS5253B-1GDPR5/page-1", "CS5253B-1GDPR5")</f>
        <v>CS5253B-1GDPR5</v>
      </c>
      <c r="B14509" s="3" t="str">
        <f>HYPERLINK("https://www.773grp.com/manufacturer/onsemi?pageNo=1028", "Onsemi")</f>
        <v>Onsemi</v>
      </c>
      <c r="C14509" s="6">
        <v>9246</v>
      </c>
      <c r="D14509" s="7">
        <v>3.18</v>
      </c>
      <c r="E14509" t="s">
        <v>21</v>
      </c>
    </row>
    <row r="14510" spans="1:5" x14ac:dyDescent="0.25">
      <c r="A14510" t="str">
        <f>HYPERLINK("https://www.773grp.com/globalSearch/LC945P/page-1", "LC945P")</f>
        <v>LC945P</v>
      </c>
      <c r="B14510" s="3" t="str">
        <f>HYPERLINK("https://www.773grp.com/manufacturer/onsemi?pageNo=1029", "Onsemi")</f>
        <v>Onsemi</v>
      </c>
      <c r="C14510" s="6">
        <v>60000</v>
      </c>
      <c r="D14510" s="7">
        <v>3.18</v>
      </c>
    </row>
    <row r="14511" spans="1:5" x14ac:dyDescent="0.25">
      <c r="A14511" t="str">
        <f>HYPERLINK("https://www.773grp.com/globalSearch/M74LCX16240DTR2G/page-1", "M74LCX16240DTR2G")</f>
        <v>M74LCX16240DTR2G</v>
      </c>
      <c r="B14511" s="3" t="str">
        <f>HYPERLINK("https://www.773grp.com/manufacturer/onsemi?pageNo=1030", "Onsemi")</f>
        <v>Onsemi</v>
      </c>
      <c r="C14511" s="6">
        <v>15000</v>
      </c>
      <c r="D14511" s="7">
        <v>3.18</v>
      </c>
      <c r="E14511" t="s">
        <v>11</v>
      </c>
    </row>
    <row r="14512" spans="1:5" x14ac:dyDescent="0.25">
      <c r="A14512" t="str">
        <f>HYPERLINK("https://www.773grp.com/globalSearch/M74LCX16244DTR2G/page-1", "M74LCX16244DTR2G")</f>
        <v>M74LCX16244DTR2G</v>
      </c>
      <c r="B14512" s="3" t="str">
        <f>HYPERLINK("https://www.773grp.com/manufacturer/onsemi?pageNo=1031", "Onsemi")</f>
        <v>Onsemi</v>
      </c>
      <c r="C14512" s="6">
        <v>556347</v>
      </c>
      <c r="D14512" s="7">
        <v>3.18</v>
      </c>
      <c r="E14512" t="s">
        <v>11</v>
      </c>
    </row>
    <row r="14513" spans="1:5" x14ac:dyDescent="0.25">
      <c r="A14513" t="str">
        <f>HYPERLINK("https://www.773grp.com/globalSearch/M74LCX16245DTR2G/page-1", "M74LCX16245DTR2G")</f>
        <v>M74LCX16245DTR2G</v>
      </c>
      <c r="B14513" s="3" t="str">
        <f>HYPERLINK("https://www.773grp.com/manufacturer/onsemi?pageNo=1032", "Onsemi")</f>
        <v>Onsemi</v>
      </c>
      <c r="C14513" s="6">
        <v>11598</v>
      </c>
      <c r="D14513" s="7">
        <v>3.18</v>
      </c>
      <c r="E14513" t="s">
        <v>11</v>
      </c>
    </row>
    <row r="14514" spans="1:5" x14ac:dyDescent="0.25">
      <c r="A14514" t="str">
        <f>HYPERLINK("https://www.773grp.com/globalSearch/M74LCX16374DTR/page-1", "M74LCX16374DTR")</f>
        <v>M74LCX16374DTR</v>
      </c>
      <c r="B14514" s="3" t="str">
        <f>HYPERLINK("https://www.773grp.com/manufacturer/onsemi?pageNo=1033", "Onsemi")</f>
        <v>Onsemi</v>
      </c>
      <c r="C14514" s="6">
        <v>2500</v>
      </c>
      <c r="D14514" s="7">
        <v>3.18</v>
      </c>
    </row>
    <row r="14515" spans="1:5" x14ac:dyDescent="0.25">
      <c r="A14515" t="str">
        <f>HYPERLINK("https://www.773grp.com/globalSearch/M74LCX16374DTR2G/page-1", "M74LCX16374DTR2G")</f>
        <v>M74LCX16374DTR2G</v>
      </c>
      <c r="B14515" s="3" t="str">
        <f>HYPERLINK("https://www.773grp.com/manufacturer/onsemi?pageNo=1034", "Onsemi")</f>
        <v>Onsemi</v>
      </c>
      <c r="C14515" s="6">
        <v>8427</v>
      </c>
      <c r="D14515" s="7">
        <v>3.18</v>
      </c>
      <c r="E14515" t="s">
        <v>11</v>
      </c>
    </row>
    <row r="14516" spans="1:5" x14ac:dyDescent="0.25">
      <c r="A14516" t="str">
        <f>HYPERLINK("https://www.773grp.com/globalSearch/MAC212A10G/page-1", "MAC212A10G")</f>
        <v>MAC212A10G</v>
      </c>
      <c r="B14516" s="3" t="str">
        <f>HYPERLINK("https://www.773grp.com/manufacturer/onsemi?pageNo=1035", "Onsemi")</f>
        <v>Onsemi</v>
      </c>
      <c r="C14516" s="6">
        <v>3000</v>
      </c>
      <c r="D14516" s="7">
        <v>3.18</v>
      </c>
      <c r="E14516" t="s">
        <v>81</v>
      </c>
    </row>
    <row r="14517" spans="1:5" x14ac:dyDescent="0.25">
      <c r="A14517" t="str">
        <f>HYPERLINK("https://www.773grp.com/globalSearch/MBRB20200CTG/page-1", "MBRB20200CTG")</f>
        <v>MBRB20200CTG</v>
      </c>
      <c r="B14517" s="3" t="str">
        <f>HYPERLINK("https://www.773grp.com/manufacturer/onsemi?pageNo=1036", "Onsemi")</f>
        <v>Onsemi</v>
      </c>
      <c r="C14517" s="6">
        <v>1220</v>
      </c>
      <c r="D14517" s="7">
        <v>3.18</v>
      </c>
    </row>
    <row r="14518" spans="1:5" x14ac:dyDescent="0.25">
      <c r="A14518" t="str">
        <f>HYPERLINK("https://www.773grp.com/globalSearch/MBRB20200CTT4G/page-1", "MBRB20200CTT4G")</f>
        <v>MBRB20200CTT4G</v>
      </c>
      <c r="B14518" s="3" t="str">
        <f>HYPERLINK("https://www.773grp.com/manufacturer/onsemi?pageNo=1037", "Onsemi")</f>
        <v>Onsemi</v>
      </c>
      <c r="C14518" s="6">
        <v>1600</v>
      </c>
      <c r="D14518" s="7">
        <v>3.18</v>
      </c>
    </row>
    <row r="14519" spans="1:5" x14ac:dyDescent="0.25">
      <c r="A14519" t="str">
        <f>HYPERLINK("https://www.773grp.com/globalSearch/MC14557BF/page-1", "MC14557BF")</f>
        <v>MC14557BF</v>
      </c>
      <c r="B14519" s="3" t="str">
        <f>HYPERLINK("https://www.773grp.com/manufacturer/onsemi?pageNo=1038", "Onsemi")</f>
        <v>Onsemi</v>
      </c>
      <c r="C14519" s="6">
        <v>840</v>
      </c>
      <c r="D14519" s="7">
        <v>3.18</v>
      </c>
      <c r="E14519" t="s">
        <v>28</v>
      </c>
    </row>
    <row r="14520" spans="1:5" x14ac:dyDescent="0.25">
      <c r="A14520" t="str">
        <f>HYPERLINK("https://www.773grp.com/globalSearch/MC34163DW/page-1", "MC34163DW")</f>
        <v>MC34163DW</v>
      </c>
      <c r="B14520" s="3" t="str">
        <f>HYPERLINK("https://www.773grp.com/manufacturer/onsemi?pageNo=1039", "Onsemi")</f>
        <v>Onsemi</v>
      </c>
      <c r="C14520" s="6">
        <v>298</v>
      </c>
      <c r="D14520" s="7">
        <v>3.18</v>
      </c>
      <c r="E14520" t="s">
        <v>5</v>
      </c>
    </row>
    <row r="14521" spans="1:5" x14ac:dyDescent="0.25">
      <c r="A14521" t="str">
        <f>HYPERLINK("https://www.773grp.com/globalSearch/MC74ACT299DW/page-1", "MC74ACT299DW")</f>
        <v>MC74ACT299DW</v>
      </c>
      <c r="B14521" s="3" t="str">
        <f>HYPERLINK("https://www.773grp.com/manufacturer/onsemi?pageNo=1040", "Onsemi")</f>
        <v>Onsemi</v>
      </c>
      <c r="C14521" s="6">
        <v>38</v>
      </c>
      <c r="D14521" s="7">
        <v>3.18</v>
      </c>
      <c r="E14521" t="s">
        <v>28</v>
      </c>
    </row>
    <row r="14522" spans="1:5" x14ac:dyDescent="0.25">
      <c r="A14522" t="str">
        <f>HYPERLINK("https://www.773grp.com/globalSearch/MC74LCX16244DTG/page-1", "MC74LCX16244DTG")</f>
        <v>MC74LCX16244DTG</v>
      </c>
      <c r="B14522" s="3" t="str">
        <f>HYPERLINK("https://www.773grp.com/manufacturer/onsemi?pageNo=1041", "Onsemi")</f>
        <v>Onsemi</v>
      </c>
      <c r="C14522" s="6">
        <v>1437</v>
      </c>
      <c r="D14522" s="7">
        <v>3.18</v>
      </c>
      <c r="E14522" t="s">
        <v>11</v>
      </c>
    </row>
    <row r="14523" spans="1:5" x14ac:dyDescent="0.25">
      <c r="A14523" t="str">
        <f>HYPERLINK("https://www.773grp.com/globalSearch/MC74LCX16245DT/page-1", "MC74LCX16245DT")</f>
        <v>MC74LCX16245DT</v>
      </c>
      <c r="B14523" s="3" t="str">
        <f>HYPERLINK("https://www.773grp.com/manufacturer/onsemi?pageNo=1042", "Onsemi")</f>
        <v>Onsemi</v>
      </c>
      <c r="C14523" s="6">
        <v>2760</v>
      </c>
      <c r="D14523" s="7">
        <v>3.18</v>
      </c>
      <c r="E14523" t="s">
        <v>11</v>
      </c>
    </row>
    <row r="14524" spans="1:5" x14ac:dyDescent="0.25">
      <c r="A14524" t="str">
        <f>HYPERLINK("https://www.773grp.com/globalSearch/MC74LCX16245DTG/page-1", "MC74LCX16245DTG")</f>
        <v>MC74LCX16245DTG</v>
      </c>
      <c r="B14524" s="3" t="str">
        <f>HYPERLINK("https://www.773grp.com/manufacturer/onsemi?pageNo=1043", "Onsemi")</f>
        <v>Onsemi</v>
      </c>
      <c r="C14524" s="6">
        <v>3168</v>
      </c>
      <c r="D14524" s="7">
        <v>3.18</v>
      </c>
      <c r="E14524" t="s">
        <v>11</v>
      </c>
    </row>
    <row r="14525" spans="1:5" x14ac:dyDescent="0.25">
      <c r="A14525" t="str">
        <f>HYPERLINK("https://www.773grp.com/globalSearch/MC74LCX16373DTG/page-1", "MC74LCX16373DTG")</f>
        <v>MC74LCX16373DTG</v>
      </c>
      <c r="B14525" s="3" t="str">
        <f>HYPERLINK("https://www.773grp.com/manufacturer/onsemi?pageNo=1044", "Onsemi")</f>
        <v>Onsemi</v>
      </c>
      <c r="C14525" s="6">
        <v>22</v>
      </c>
      <c r="D14525" s="7">
        <v>3.18</v>
      </c>
      <c r="E14525" t="s">
        <v>11</v>
      </c>
    </row>
    <row r="14526" spans="1:5" x14ac:dyDescent="0.25">
      <c r="A14526" t="str">
        <f>HYPERLINK("https://www.773grp.com/globalSearch/MC74LCX16374DTG/page-1", "MC74LCX16374DTG")</f>
        <v>MC74LCX16374DTG</v>
      </c>
      <c r="B14526" s="3" t="str">
        <f>HYPERLINK("https://www.773grp.com/manufacturer/onsemi?pageNo=1045", "Onsemi")</f>
        <v>Onsemi</v>
      </c>
      <c r="C14526" s="6">
        <v>4524</v>
      </c>
      <c r="D14526" s="7">
        <v>3.18</v>
      </c>
      <c r="E14526" t="s">
        <v>11</v>
      </c>
    </row>
    <row r="14527" spans="1:5" x14ac:dyDescent="0.25">
      <c r="A14527" t="str">
        <f>HYPERLINK("https://www.773grp.com/globalSearch/MGP4N60ED/page-1", "MGP4N60ED")</f>
        <v>MGP4N60ED</v>
      </c>
      <c r="B14527" s="3" t="str">
        <f>HYPERLINK("https://www.773grp.com/manufacturer/onsemi?pageNo=1046", "Onsemi")</f>
        <v>Onsemi</v>
      </c>
      <c r="C14527" s="6">
        <v>3631</v>
      </c>
      <c r="D14527" s="7">
        <v>3.18</v>
      </c>
      <c r="E14527" t="s">
        <v>94</v>
      </c>
    </row>
    <row r="14528" spans="1:5" x14ac:dyDescent="0.25">
      <c r="A14528" t="str">
        <f>HYPERLINK("https://www.773grp.com/globalSearch/MJF47G/page-1", "MJF47G")</f>
        <v>MJF47G</v>
      </c>
      <c r="B14528" s="3" t="str">
        <f>HYPERLINK("https://www.773grp.com/manufacturer/onsemi?pageNo=1047", "Onsemi")</f>
        <v>Onsemi</v>
      </c>
      <c r="C14528" s="6">
        <v>1300</v>
      </c>
      <c r="D14528" s="7">
        <v>3.18</v>
      </c>
      <c r="E14528" t="s">
        <v>47</v>
      </c>
    </row>
    <row r="14529" spans="1:5" x14ac:dyDescent="0.25">
      <c r="A14529" t="str">
        <f>HYPERLINK("https://www.773grp.com/globalSearch/MSRF1560G/page-1", "MSRF1560G")</f>
        <v>MSRF1560G</v>
      </c>
      <c r="B14529" s="3" t="str">
        <f>HYPERLINK("https://www.773grp.com/manufacturer/onsemi?pageNo=1048", "Onsemi")</f>
        <v>Onsemi</v>
      </c>
      <c r="C14529" s="6">
        <v>6989</v>
      </c>
      <c r="D14529" s="7">
        <v>3.18</v>
      </c>
      <c r="E14529" t="s">
        <v>82</v>
      </c>
    </row>
    <row r="14530" spans="1:5" x14ac:dyDescent="0.25">
      <c r="A14530" t="str">
        <f>HYPERLINK("https://www.773grp.com/globalSearch/MUR1520/page-1", "MUR1520")</f>
        <v>MUR1520</v>
      </c>
      <c r="B14530" s="3" t="str">
        <f>HYPERLINK("https://www.773grp.com/manufacturer/onsemi?pageNo=1049", "Onsemi")</f>
        <v>Onsemi</v>
      </c>
      <c r="C14530" s="6">
        <v>1543</v>
      </c>
      <c r="D14530" s="7">
        <v>3.18</v>
      </c>
    </row>
    <row r="14531" spans="1:5" x14ac:dyDescent="0.25">
      <c r="A14531" t="str">
        <f>HYPERLINK("https://www.773grp.com/globalSearch/MUR1540/page-1", "MUR1540")</f>
        <v>MUR1540</v>
      </c>
      <c r="B14531" s="3" t="str">
        <f>HYPERLINK("https://www.773grp.com/manufacturer/onsemi?pageNo=1050", "Onsemi")</f>
        <v>Onsemi</v>
      </c>
      <c r="C14531" s="6">
        <v>963</v>
      </c>
      <c r="D14531" s="7">
        <v>3.18</v>
      </c>
      <c r="E14531" t="s">
        <v>82</v>
      </c>
    </row>
    <row r="14532" spans="1:5" x14ac:dyDescent="0.25">
      <c r="A14532" t="str">
        <f>HYPERLINK("https://www.773grp.com/globalSearch/MURF1560G/page-1", "MURF1560G")</f>
        <v>MURF1560G</v>
      </c>
      <c r="B14532" s="3" t="str">
        <f>HYPERLINK("https://www.773grp.com/manufacturer/onsemi?pageNo=1051", "Onsemi")</f>
        <v>Onsemi</v>
      </c>
      <c r="C14532" s="6">
        <v>15120</v>
      </c>
      <c r="D14532" s="7">
        <v>3.18</v>
      </c>
      <c r="E14532" t="s">
        <v>82</v>
      </c>
    </row>
    <row r="14533" spans="1:5" x14ac:dyDescent="0.25">
      <c r="A14533" t="str">
        <f>HYPERLINK("https://www.773grp.com/globalSearch/MURH860CTG/page-1", "MURH860CTG")</f>
        <v>MURH860CTG</v>
      </c>
      <c r="B14533" s="3" t="str">
        <f>HYPERLINK("https://www.773grp.com/manufacturer/onsemi?pageNo=1052", "Onsemi")</f>
        <v>Onsemi</v>
      </c>
      <c r="C14533" s="6">
        <v>2280</v>
      </c>
      <c r="D14533" s="7">
        <v>3.18</v>
      </c>
      <c r="E14533" t="s">
        <v>82</v>
      </c>
    </row>
    <row r="14534" spans="1:5" x14ac:dyDescent="0.25">
      <c r="A14534" t="str">
        <f>HYPERLINK("https://www.773grp.com/globalSearch/NB3N551DG/page-1", "NB3N551DG")</f>
        <v>NB3N551DG</v>
      </c>
      <c r="B14534" s="3" t="str">
        <f>HYPERLINK("https://www.773grp.com/manufacturer/onsemi?pageNo=1053", "Onsemi")</f>
        <v>Onsemi</v>
      </c>
      <c r="C14534" s="6">
        <v>11823</v>
      </c>
      <c r="D14534" s="7">
        <v>3.18</v>
      </c>
      <c r="E14534" t="s">
        <v>30</v>
      </c>
    </row>
    <row r="14535" spans="1:5" x14ac:dyDescent="0.25">
      <c r="A14535" t="str">
        <f>HYPERLINK("https://www.773grp.com/globalSearch/NB3RL02FCT2G/page-1", "NB3RL02FCT2G")</f>
        <v>NB3RL02FCT2G</v>
      </c>
      <c r="B14535" s="3" t="str">
        <f>HYPERLINK("https://www.773grp.com/manufacturer/onsemi?pageNo=1054", "Onsemi")</f>
        <v>Onsemi</v>
      </c>
      <c r="C14535" s="6">
        <v>3000</v>
      </c>
      <c r="D14535" s="7">
        <v>3.18</v>
      </c>
    </row>
    <row r="14536" spans="1:5" x14ac:dyDescent="0.25">
      <c r="A14536" t="str">
        <f>HYPERLINK("https://www.773grp.com/globalSearch/NCN4555MNR2G/page-1", "NCN4555MNR2G")</f>
        <v>NCN4555MNR2G</v>
      </c>
      <c r="B14536" s="3" t="str">
        <f>HYPERLINK("https://www.773grp.com/manufacturer/onsemi?pageNo=1055", "Onsemi")</f>
        <v>Onsemi</v>
      </c>
      <c r="C14536" s="6">
        <v>1074274</v>
      </c>
      <c r="D14536" s="7">
        <v>3.18</v>
      </c>
      <c r="E14536" t="s">
        <v>26</v>
      </c>
    </row>
    <row r="14537" spans="1:5" x14ac:dyDescent="0.25">
      <c r="A14537" t="str">
        <f>HYPERLINK("https://www.773grp.com/globalSearch/NCP112DG/page-1", "NCP112DG")</f>
        <v>NCP112DG</v>
      </c>
      <c r="B14537" s="3" t="str">
        <f>HYPERLINK("https://www.773grp.com/manufacturer/onsemi?pageNo=1056", "Onsemi")</f>
        <v>Onsemi</v>
      </c>
      <c r="C14537" s="6">
        <v>18</v>
      </c>
      <c r="D14537" s="7">
        <v>3.18</v>
      </c>
      <c r="E14537" t="s">
        <v>26</v>
      </c>
    </row>
    <row r="14538" spans="1:5" x14ac:dyDescent="0.25">
      <c r="A14538" t="str">
        <f>HYPERLINK("https://www.773grp.com/globalSearch/NCP1605ADR2G/page-1", "NCP1605ADR2G")</f>
        <v>NCP1605ADR2G</v>
      </c>
      <c r="B14538" s="3" t="str">
        <f>HYPERLINK("https://www.773grp.com/manufacturer/onsemi?pageNo=1057", "Onsemi")</f>
        <v>Onsemi</v>
      </c>
      <c r="C14538" s="6">
        <v>22195</v>
      </c>
      <c r="D14538" s="7">
        <v>3.18</v>
      </c>
      <c r="E14538" t="s">
        <v>5</v>
      </c>
    </row>
    <row r="14539" spans="1:5" x14ac:dyDescent="0.25">
      <c r="A14539" t="str">
        <f>HYPERLINK("https://www.773grp.com/globalSearch/NCP1605BDR2G/page-1", "NCP1605BDR2G")</f>
        <v>NCP1605BDR2G</v>
      </c>
      <c r="B14539" s="3" t="str">
        <f>HYPERLINK("https://www.773grp.com/manufacturer/onsemi?pageNo=1058", "Onsemi")</f>
        <v>Onsemi</v>
      </c>
      <c r="C14539" s="6">
        <v>2494</v>
      </c>
      <c r="D14539" s="7">
        <v>3.18</v>
      </c>
    </row>
    <row r="14540" spans="1:5" x14ac:dyDescent="0.25">
      <c r="A14540" t="str">
        <f>HYPERLINK("https://www.773grp.com/globalSearch/NCP1605DR2G/page-1", "NCP1605DR2G")</f>
        <v>NCP1605DR2G</v>
      </c>
      <c r="B14540" s="3" t="str">
        <f>HYPERLINK("https://www.773grp.com/manufacturer/onsemi?pageNo=1059", "Onsemi")</f>
        <v>Onsemi</v>
      </c>
      <c r="C14540" s="6">
        <v>3325</v>
      </c>
      <c r="D14540" s="7">
        <v>3.18</v>
      </c>
      <c r="E14540" t="s">
        <v>5</v>
      </c>
    </row>
    <row r="14541" spans="1:5" x14ac:dyDescent="0.25">
      <c r="A14541" t="str">
        <f>HYPERLINK("https://www.773grp.com/globalSearch/NCP4629HDT050T5G/page-1", "NCP4629HDT050T5G")</f>
        <v>NCP4629HDT050T5G</v>
      </c>
      <c r="B14541" s="3" t="str">
        <f>HYPERLINK("https://www.773grp.com/manufacturer/onsemi?pageNo=1060", "Onsemi")</f>
        <v>Onsemi</v>
      </c>
      <c r="C14541" s="6">
        <v>146</v>
      </c>
      <c r="D14541" s="7">
        <v>3.18</v>
      </c>
    </row>
    <row r="14542" spans="1:5" x14ac:dyDescent="0.25">
      <c r="A14542" t="str">
        <f>HYPERLINK("https://www.773grp.com/globalSearch/NCP4629HDT060T5G/page-1", "NCP4629HDT060T5G")</f>
        <v>NCP4629HDT060T5G</v>
      </c>
      <c r="B14542" s="3" t="str">
        <f>HYPERLINK("https://www.773grp.com/manufacturer/onsemi?pageNo=1061", "Onsemi")</f>
        <v>Onsemi</v>
      </c>
      <c r="C14542" s="6">
        <v>24000</v>
      </c>
      <c r="D14542" s="7">
        <v>3.18</v>
      </c>
    </row>
    <row r="14543" spans="1:5" x14ac:dyDescent="0.25">
      <c r="A14543" t="str">
        <f>HYPERLINK("https://www.773grp.com/globalSearch/NCP4629HDT120T5G/page-1", "NCP4629HDT120T5G")</f>
        <v>NCP4629HDT120T5G</v>
      </c>
      <c r="B14543" s="3" t="str">
        <f>HYPERLINK("https://www.773grp.com/manufacturer/onsemi?pageNo=1062", "Onsemi")</f>
        <v>Onsemi</v>
      </c>
      <c r="C14543" s="6">
        <v>14907</v>
      </c>
      <c r="D14543" s="7">
        <v>3.18</v>
      </c>
    </row>
    <row r="14544" spans="1:5" x14ac:dyDescent="0.25">
      <c r="A14544" t="str">
        <f>HYPERLINK("https://www.773grp.com/globalSearch/NCP5050MTTXG/page-1", "NCP5050MTTXG")</f>
        <v>NCP5050MTTXG</v>
      </c>
      <c r="B14544" s="3" t="str">
        <f>HYPERLINK("https://www.773grp.com/manufacturer/onsemi?pageNo=1063", "Onsemi")</f>
        <v>Onsemi</v>
      </c>
      <c r="C14544" s="6">
        <v>36513</v>
      </c>
      <c r="D14544" s="7">
        <v>3.18</v>
      </c>
      <c r="E14544" t="s">
        <v>5</v>
      </c>
    </row>
    <row r="14545" spans="1:5" x14ac:dyDescent="0.25">
      <c r="A14545" t="str">
        <f>HYPERLINK("https://www.773grp.com/globalSearch/NCP5210MNR2/page-1", "NCP5210MNR2")</f>
        <v>NCP5210MNR2</v>
      </c>
      <c r="B14545" s="3" t="str">
        <f>HYPERLINK("https://www.773grp.com/manufacturer/onsemi?pageNo=1064", "Onsemi")</f>
        <v>Onsemi</v>
      </c>
      <c r="C14545" s="6">
        <v>228984</v>
      </c>
      <c r="D14545" s="7">
        <v>3.18</v>
      </c>
      <c r="E14545" t="s">
        <v>5</v>
      </c>
    </row>
    <row r="14546" spans="1:5" x14ac:dyDescent="0.25">
      <c r="A14546" t="str">
        <f>HYPERLINK("https://www.773grp.com/globalSearch/NCP5392HMNR2G/page-1", "NCP5392HMNR2G")</f>
        <v>NCP5392HMNR2G</v>
      </c>
      <c r="B14546" s="3" t="str">
        <f>HYPERLINK("https://www.773grp.com/manufacturer/onsemi?pageNo=1065", "Onsemi")</f>
        <v>Onsemi</v>
      </c>
      <c r="C14546" s="6">
        <v>8052</v>
      </c>
      <c r="D14546" s="7">
        <v>3.18</v>
      </c>
    </row>
    <row r="14547" spans="1:5" x14ac:dyDescent="0.25">
      <c r="A14547" t="str">
        <f>HYPERLINK("https://www.773grp.com/globalSearch/NCP5666DS25R4G/page-1", "NCP5666DS25R4G")</f>
        <v>NCP5666DS25R4G</v>
      </c>
      <c r="B14547" s="3" t="str">
        <f>HYPERLINK("https://www.773grp.com/manufacturer/onsemi?pageNo=1066", "Onsemi")</f>
        <v>Onsemi</v>
      </c>
      <c r="C14547" s="6">
        <v>7278</v>
      </c>
      <c r="D14547" s="7">
        <v>3.18</v>
      </c>
      <c r="E14547" t="s">
        <v>15</v>
      </c>
    </row>
    <row r="14548" spans="1:5" x14ac:dyDescent="0.25">
      <c r="A14548" t="str">
        <f>HYPERLINK("https://www.773grp.com/globalSearch/NCS2566DTBR2G/page-1", "NCS2566DTBR2G")</f>
        <v>NCS2566DTBR2G</v>
      </c>
      <c r="B14548" s="3" t="str">
        <f>HYPERLINK("https://www.773grp.com/manufacturer/onsemi?pageNo=1067", "Onsemi")</f>
        <v>Onsemi</v>
      </c>
      <c r="C14548" s="6">
        <v>26175</v>
      </c>
      <c r="D14548" s="7">
        <v>3.18</v>
      </c>
    </row>
    <row r="14549" spans="1:5" x14ac:dyDescent="0.25">
      <c r="A14549" t="str">
        <f>HYPERLINK("https://www.773grp.com/globalSearch/NCV4299D2R2G/page-1", "NCV4299D2R2G")</f>
        <v>NCV4299D2R2G</v>
      </c>
      <c r="B14549" s="3" t="str">
        <f>HYPERLINK("https://www.773grp.com/manufacturer/onsemi?pageNo=1068", "Onsemi")</f>
        <v>Onsemi</v>
      </c>
      <c r="C14549" s="6">
        <v>7405</v>
      </c>
      <c r="D14549" s="7">
        <v>3.18</v>
      </c>
      <c r="E14549" t="s">
        <v>15</v>
      </c>
    </row>
    <row r="14550" spans="1:5" x14ac:dyDescent="0.25">
      <c r="A14550" t="str">
        <f>HYPERLINK("https://www.773grp.com/globalSearch/NCV565D2TG/page-1", "NCV565D2TG")</f>
        <v>NCV565D2TG</v>
      </c>
      <c r="B14550" s="3" t="str">
        <f>HYPERLINK("https://www.773grp.com/manufacturer/onsemi?pageNo=1069", "Onsemi")</f>
        <v>Onsemi</v>
      </c>
      <c r="C14550" s="6">
        <v>3250</v>
      </c>
      <c r="D14550" s="7">
        <v>3.18</v>
      </c>
    </row>
    <row r="14551" spans="1:5" x14ac:dyDescent="0.25">
      <c r="A14551" t="str">
        <f>HYPERLINK("https://www.773grp.com/globalSearch/NCV565D2TR4G/page-1", "NCV565D2TR4G")</f>
        <v>NCV565D2TR4G</v>
      </c>
      <c r="B14551" s="3" t="str">
        <f>HYPERLINK("https://www.773grp.com/manufacturer/onsemi?pageNo=1070", "Onsemi")</f>
        <v>Onsemi</v>
      </c>
      <c r="C14551" s="6">
        <v>2994</v>
      </c>
      <c r="D14551" s="7">
        <v>3.18</v>
      </c>
      <c r="E14551" t="s">
        <v>21</v>
      </c>
    </row>
    <row r="14552" spans="1:5" x14ac:dyDescent="0.25">
      <c r="A14552" t="str">
        <f>HYPERLINK("https://www.773grp.com/globalSearch/NCV7441D20G/page-1", "NCV7441D20G")</f>
        <v>NCV7441D20G</v>
      </c>
      <c r="B14552" s="3" t="str">
        <f>HYPERLINK("https://www.773grp.com/manufacturer/onsemi?pageNo=1071", "Onsemi")</f>
        <v>Onsemi</v>
      </c>
      <c r="C14552" s="6">
        <v>770</v>
      </c>
      <c r="D14552" s="7">
        <v>3.18</v>
      </c>
    </row>
    <row r="14553" spans="1:5" x14ac:dyDescent="0.25">
      <c r="A14553" t="str">
        <f>HYPERLINK("https://www.773grp.com/globalSearch/NCV8405ADTRKG/page-1", "NCV8405ADTRKG")</f>
        <v>NCV8405ADTRKG</v>
      </c>
      <c r="B14553" s="3" t="str">
        <f>HYPERLINK("https://www.773grp.com/manufacturer/onsemi?pageNo=1072", "Onsemi")</f>
        <v>Onsemi</v>
      </c>
      <c r="C14553" s="6">
        <v>2000</v>
      </c>
      <c r="D14553" s="7">
        <v>3.18</v>
      </c>
    </row>
    <row r="14554" spans="1:5" x14ac:dyDescent="0.25">
      <c r="A14554" t="str">
        <f>HYPERLINK("https://www.773grp.com/globalSearch/NCV8405ASTT1G/page-1", "NCV8405ASTT1G")</f>
        <v>NCV8405ASTT1G</v>
      </c>
      <c r="B14554" s="3" t="str">
        <f>HYPERLINK("https://www.773grp.com/manufacturer/onsemi?pageNo=1073", "Onsemi")</f>
        <v>Onsemi</v>
      </c>
      <c r="C14554" s="6">
        <v>10000</v>
      </c>
      <c r="D14554" s="7">
        <v>3.18</v>
      </c>
    </row>
    <row r="14555" spans="1:5" x14ac:dyDescent="0.25">
      <c r="A14555" t="str">
        <f>HYPERLINK("https://www.773grp.com/globalSearch/NCV8504PW33/page-1", "NCV8504PW33")</f>
        <v>NCV8504PW33</v>
      </c>
      <c r="B14555" s="3" t="str">
        <f>HYPERLINK("https://www.773grp.com/manufacturer/onsemi?pageNo=1074", "Onsemi")</f>
        <v>Onsemi</v>
      </c>
      <c r="C14555" s="6">
        <v>528</v>
      </c>
      <c r="D14555" s="7">
        <v>3.18</v>
      </c>
      <c r="E14555" t="s">
        <v>15</v>
      </c>
    </row>
    <row r="14556" spans="1:5" x14ac:dyDescent="0.25">
      <c r="A14556" t="str">
        <f>HYPERLINK("https://www.773grp.com/globalSearch/NGB15N41ACLT4G/page-1", "NGB15N41ACLT4G")</f>
        <v>NGB15N41ACLT4G</v>
      </c>
      <c r="B14556" s="3" t="str">
        <f>HYPERLINK("https://www.773grp.com/manufacturer/onsemi?pageNo=1075", "Onsemi")</f>
        <v>Onsemi</v>
      </c>
      <c r="C14556" s="6">
        <v>3200</v>
      </c>
      <c r="D14556" s="7">
        <v>3.18</v>
      </c>
    </row>
    <row r="14557" spans="1:5" x14ac:dyDescent="0.25">
      <c r="A14557" t="str">
        <f>HYPERLINK("https://www.773grp.com/globalSearch/NIF62514T1G/page-1", "NIF62514T1G")</f>
        <v>NIF62514T1G</v>
      </c>
      <c r="B14557" s="3" t="str">
        <f>HYPERLINK("https://www.773grp.com/manufacturer/onsemi?pageNo=1076", "Onsemi")</f>
        <v>Onsemi</v>
      </c>
      <c r="C14557" s="6">
        <v>22393</v>
      </c>
      <c r="D14557" s="7">
        <v>3.18</v>
      </c>
      <c r="E14557" t="s">
        <v>84</v>
      </c>
    </row>
    <row r="14558" spans="1:5" x14ac:dyDescent="0.25">
      <c r="A14558" t="str">
        <f>HYPERLINK("https://www.773grp.com/globalSearch/NIF62514T3G/page-1", "NIF62514T3G")</f>
        <v>NIF62514T3G</v>
      </c>
      <c r="B14558" s="3" t="str">
        <f>HYPERLINK("https://www.773grp.com/manufacturer/onsemi?pageNo=1077", "Onsemi")</f>
        <v>Onsemi</v>
      </c>
      <c r="C14558" s="6">
        <v>39500</v>
      </c>
      <c r="D14558" s="7">
        <v>3.18</v>
      </c>
      <c r="E14558" t="s">
        <v>84</v>
      </c>
    </row>
    <row r="14559" spans="1:5" x14ac:dyDescent="0.25">
      <c r="A14559" t="str">
        <f>HYPERLINK("https://www.773grp.com/globalSearch/NLAS5223LMNR2G/page-1", "NLAS5223LMNR2G")</f>
        <v>NLAS5223LMNR2G</v>
      </c>
      <c r="B14559" s="3" t="str">
        <f>HYPERLINK("https://www.773grp.com/manufacturer/onsemi?pageNo=1078", "Onsemi")</f>
        <v>Onsemi</v>
      </c>
      <c r="C14559" s="6">
        <v>119730</v>
      </c>
      <c r="D14559" s="7">
        <v>3.18</v>
      </c>
      <c r="E14559" t="s">
        <v>46</v>
      </c>
    </row>
    <row r="14560" spans="1:5" x14ac:dyDescent="0.25">
      <c r="A14560" t="str">
        <f>HYPERLINK("https://www.773grp.com/globalSearch/NLSV22T244MUTAG/page-1", "NLSV22T244MUTAG")</f>
        <v>NLSV22T244MUTAG</v>
      </c>
      <c r="B14560" s="3" t="str">
        <f>HYPERLINK("https://www.773grp.com/manufacturer/onsemi?pageNo=1079", "Onsemi")</f>
        <v>Onsemi</v>
      </c>
      <c r="C14560" s="6">
        <v>54000</v>
      </c>
      <c r="D14560" s="7">
        <v>3.18</v>
      </c>
      <c r="E14560" t="s">
        <v>11</v>
      </c>
    </row>
    <row r="14561" spans="1:5" x14ac:dyDescent="0.25">
      <c r="A14561" t="str">
        <f>HYPERLINK("https://www.773grp.com/globalSearch/NLSV4T240MUTAG/page-1", "NLSV4T240MUTAG")</f>
        <v>NLSV4T240MUTAG</v>
      </c>
      <c r="B14561" s="3" t="str">
        <f>HYPERLINK("https://www.773grp.com/manufacturer/onsemi?pageNo=1080", "Onsemi")</f>
        <v>Onsemi</v>
      </c>
      <c r="C14561" s="6">
        <v>105986</v>
      </c>
      <c r="D14561" s="7">
        <v>3.18</v>
      </c>
      <c r="E14561" t="s">
        <v>11</v>
      </c>
    </row>
    <row r="14562" spans="1:5" x14ac:dyDescent="0.25">
      <c r="A14562" t="str">
        <f>HYPERLINK("https://www.773grp.com/globalSearch/NLSV4T244DTR2G/page-1", "NLSV4T244DTR2G")</f>
        <v>NLSV4T244DTR2G</v>
      </c>
      <c r="B14562" s="3" t="str">
        <f>HYPERLINK("https://www.773grp.com/manufacturer/onsemi?pageNo=1081", "Onsemi")</f>
        <v>Onsemi</v>
      </c>
      <c r="C14562" s="6">
        <v>714</v>
      </c>
      <c r="D14562" s="7">
        <v>3.18</v>
      </c>
    </row>
    <row r="14563" spans="1:5" x14ac:dyDescent="0.25">
      <c r="A14563" t="str">
        <f>HYPERLINK("https://www.773grp.com/globalSearch/NLSV4T244EMUTAG/page-1", "NLSV4T244EMUTAG")</f>
        <v>NLSV4T244EMUTAG</v>
      </c>
      <c r="B14563" s="3" t="str">
        <f>HYPERLINK("https://www.773grp.com/manufacturer/onsemi?pageNo=1082", "Onsemi")</f>
        <v>Onsemi</v>
      </c>
      <c r="C14563" s="6">
        <v>3000</v>
      </c>
      <c r="D14563" s="7">
        <v>3.18</v>
      </c>
    </row>
    <row r="14564" spans="1:5" x14ac:dyDescent="0.25">
      <c r="A14564" t="str">
        <f>HYPERLINK("https://www.773grp.com/globalSearch/NLSV4T244MUTAG/page-1", "NLSV4T244MUTAG")</f>
        <v>NLSV4T244MUTAG</v>
      </c>
      <c r="B14564" s="3" t="str">
        <f>HYPERLINK("https://www.773grp.com/manufacturer/onsemi?pageNo=1083", "Onsemi")</f>
        <v>Onsemi</v>
      </c>
      <c r="C14564" s="6">
        <v>126300</v>
      </c>
      <c r="D14564" s="7">
        <v>3.18</v>
      </c>
      <c r="E14564" t="s">
        <v>11</v>
      </c>
    </row>
    <row r="14565" spans="1:5" x14ac:dyDescent="0.25">
      <c r="A14565" t="str">
        <f>HYPERLINK("https://www.773grp.com/globalSearch/NLSV4T3234FCT1G/page-1", "NLSV4T3234FCT1G")</f>
        <v>NLSV4T3234FCT1G</v>
      </c>
      <c r="B14565" s="3" t="str">
        <f>HYPERLINK("https://www.773grp.com/manufacturer/onsemi?pageNo=1084", "Onsemi")</f>
        <v>Onsemi</v>
      </c>
      <c r="C14565" s="6">
        <v>249351</v>
      </c>
      <c r="D14565" s="7">
        <v>3.18</v>
      </c>
      <c r="E14565" t="s">
        <v>11</v>
      </c>
    </row>
    <row r="14566" spans="1:5" x14ac:dyDescent="0.25">
      <c r="A14566" t="str">
        <f>HYPERLINK("https://www.773grp.com/globalSearch/NLSV8T244DR2G/page-1", "NLSV8T244DR2G")</f>
        <v>NLSV8T244DR2G</v>
      </c>
      <c r="B14566" s="3" t="str">
        <f>HYPERLINK("https://www.773grp.com/manufacturer/onsemi?pageNo=1085", "Onsemi")</f>
        <v>Onsemi</v>
      </c>
      <c r="C14566" s="6">
        <v>5000</v>
      </c>
      <c r="D14566" s="7">
        <v>3.18</v>
      </c>
    </row>
    <row r="14567" spans="1:5" x14ac:dyDescent="0.25">
      <c r="A14567" t="str">
        <f>HYPERLINK("https://www.773grp.com/globalSearch/NTB25P06T4G/page-1", "NTB25P06T4G")</f>
        <v>NTB25P06T4G</v>
      </c>
      <c r="B14567" s="3" t="str">
        <f>HYPERLINK("https://www.773grp.com/manufacturer/onsemi?pageNo=1086", "Onsemi")</f>
        <v>Onsemi</v>
      </c>
      <c r="C14567" s="6">
        <v>68521</v>
      </c>
      <c r="D14567" s="7">
        <v>3.18</v>
      </c>
      <c r="E14567" t="s">
        <v>84</v>
      </c>
    </row>
    <row r="14568" spans="1:5" x14ac:dyDescent="0.25">
      <c r="A14568" t="str">
        <f>HYPERLINK("https://www.773grp.com/globalSearch/NTSB30100S-1G/page-1", "NTSB30100S-1G")</f>
        <v>NTSB30100S-1G</v>
      </c>
      <c r="B14568" s="3" t="str">
        <f>HYPERLINK("https://www.773grp.com/manufacturer/onsemi?pageNo=1087", "Onsemi")</f>
        <v>Onsemi</v>
      </c>
      <c r="C14568" s="6">
        <v>4500</v>
      </c>
      <c r="D14568" s="7">
        <v>3.18</v>
      </c>
    </row>
    <row r="14569" spans="1:5" x14ac:dyDescent="0.25">
      <c r="A14569" t="str">
        <f>HYPERLINK("https://www.773grp.com/globalSearch/P1P3800AG12CRTWG/page-1", "P1P3800AG12CRTWG")</f>
        <v>P1P3800AG12CRTWG</v>
      </c>
      <c r="B14569" s="3" t="str">
        <f>HYPERLINK("https://www.773grp.com/manufacturer/onsemi?pageNo=1088", "Onsemi")</f>
        <v>Onsemi</v>
      </c>
      <c r="C14569" s="6">
        <v>1089000</v>
      </c>
      <c r="D14569" s="7">
        <v>3.18</v>
      </c>
    </row>
    <row r="14570" spans="1:5" x14ac:dyDescent="0.25">
      <c r="A14570" t="str">
        <f>HYPERLINK("https://www.773grp.com/globalSearch/PCS3P8103AG-06JR/page-1", "PCS3P8103AG-06JR")</f>
        <v>PCS3P8103AG-06JR</v>
      </c>
      <c r="B14570" s="3" t="str">
        <f>HYPERLINK("https://www.773grp.com/manufacturer/onsemi?pageNo=1089", "Onsemi")</f>
        <v>Onsemi</v>
      </c>
      <c r="C14570" s="6">
        <v>50</v>
      </c>
      <c r="D14570" s="7">
        <v>3.18</v>
      </c>
      <c r="E14570" t="s">
        <v>65</v>
      </c>
    </row>
    <row r="14571" spans="1:5" x14ac:dyDescent="0.25">
      <c r="A14571" t="str">
        <f>HYPERLINK("https://www.773grp.com/globalSearch/SC141D/page-1", "SC141D")</f>
        <v>SC141D</v>
      </c>
      <c r="B14571" s="3" t="str">
        <f>HYPERLINK("https://www.773grp.com/manufacturer/onsemi?pageNo=1090", "Onsemi")</f>
        <v>Onsemi</v>
      </c>
      <c r="C14571" s="6">
        <v>300</v>
      </c>
      <c r="D14571" s="7">
        <v>3.18</v>
      </c>
    </row>
    <row r="14572" spans="1:5" x14ac:dyDescent="0.25">
      <c r="A14572" t="str">
        <f>HYPERLINK("https://www.773grp.com/globalSearch/SG3525ADWG/page-1", "SG3525ADWG")</f>
        <v>SG3525ADWG</v>
      </c>
      <c r="B14572" s="3" t="str">
        <f>HYPERLINK("https://www.773grp.com/manufacturer/onsemi?pageNo=1091", "Onsemi")</f>
        <v>Onsemi</v>
      </c>
      <c r="C14572" s="6">
        <v>8780</v>
      </c>
      <c r="D14572" s="7">
        <v>3.18</v>
      </c>
      <c r="E14572" t="s">
        <v>5</v>
      </c>
    </row>
    <row r="14573" spans="1:5" x14ac:dyDescent="0.25">
      <c r="A14573" t="str">
        <f>HYPERLINK("https://www.773grp.com/globalSearch/SG3525ADWR2G/page-1", "SG3525ADWR2G")</f>
        <v>SG3525ADWR2G</v>
      </c>
      <c r="B14573" s="3" t="str">
        <f>HYPERLINK("https://www.773grp.com/manufacturer/onsemi?pageNo=1092", "Onsemi")</f>
        <v>Onsemi</v>
      </c>
      <c r="C14573" s="6">
        <v>74000</v>
      </c>
      <c r="D14573" s="7">
        <v>3.18</v>
      </c>
      <c r="E14573" t="s">
        <v>5</v>
      </c>
    </row>
    <row r="14574" spans="1:5" x14ac:dyDescent="0.25">
      <c r="A14574" t="str">
        <f>HYPERLINK("https://www.773grp.com/globalSearch/TCM33063AVOATR/page-1", "TCM33063AVOATR")</f>
        <v>TCM33063AVOATR</v>
      </c>
      <c r="B14574" s="3" t="str">
        <f>HYPERLINK("https://www.773grp.com/manufacturer/onsemi?pageNo=1093", "Onsemi")</f>
        <v>Onsemi</v>
      </c>
      <c r="C14574" s="6">
        <v>45000</v>
      </c>
      <c r="D14574" s="7">
        <v>3.18</v>
      </c>
    </row>
    <row r="14575" spans="1:5" x14ac:dyDescent="0.25">
      <c r="A14575" t="str">
        <f>HYPERLINK("https://www.773grp.com/globalSearch/TCM33063AVPA/page-1", "TCM33063AVPA")</f>
        <v>TCM33063AVPA</v>
      </c>
      <c r="B14575" s="3" t="str">
        <f>HYPERLINK("https://www.773grp.com/manufacturer/onsemi?pageNo=1094", "Onsemi")</f>
        <v>Onsemi</v>
      </c>
      <c r="C14575" s="6">
        <v>14850</v>
      </c>
      <c r="D14575" s="7">
        <v>3.18</v>
      </c>
    </row>
    <row r="14576" spans="1:5" x14ac:dyDescent="0.25">
      <c r="A14576" t="str">
        <f>HYPERLINK("https://www.773grp.com/globalSearch/BUV48/page-1", "BUV48")</f>
        <v>BUV48</v>
      </c>
      <c r="B14576" s="3" t="str">
        <f>HYPERLINK("https://www.773grp.com/manufacturer/onsemi?pageNo=1095", "Onsemi")</f>
        <v>Onsemi</v>
      </c>
      <c r="C14576" s="6">
        <v>3120</v>
      </c>
      <c r="D14576" s="7">
        <v>2.88</v>
      </c>
      <c r="E14576" t="s">
        <v>47</v>
      </c>
    </row>
    <row r="14577" spans="1:5" x14ac:dyDescent="0.25">
      <c r="A14577" t="str">
        <f>HYPERLINK("https://www.773grp.com/globalSearch/CS5150GD16/page-1", "CS5150GD16")</f>
        <v>CS5150GD16</v>
      </c>
      <c r="B14577" s="3" t="str">
        <f>HYPERLINK("https://www.773grp.com/manufacturer/onsemi?pageNo=1096", "Onsemi")</f>
        <v>Onsemi</v>
      </c>
      <c r="C14577" s="6">
        <v>2538</v>
      </c>
      <c r="D14577" s="7">
        <v>2.88</v>
      </c>
      <c r="E14577" t="s">
        <v>5</v>
      </c>
    </row>
    <row r="14578" spans="1:5" x14ac:dyDescent="0.25">
      <c r="A14578" t="str">
        <f>HYPERLINK("https://www.773grp.com/globalSearch/CS5150GDR16/page-1", "CS5150GDR16")</f>
        <v>CS5150GDR16</v>
      </c>
      <c r="B14578" s="3" t="str">
        <f>HYPERLINK("https://www.773grp.com/manufacturer/onsemi?pageNo=1097", "Onsemi")</f>
        <v>Onsemi</v>
      </c>
      <c r="C14578" s="6">
        <v>12500</v>
      </c>
      <c r="D14578" s="7">
        <v>2.88</v>
      </c>
      <c r="E14578" t="s">
        <v>5</v>
      </c>
    </row>
    <row r="14579" spans="1:5" x14ac:dyDescent="0.25">
      <c r="A14579" t="str">
        <f>HYPERLINK("https://www.773grp.com/globalSearch/CS5150GN16/page-1", "CS5150GN16")</f>
        <v>CS5150GN16</v>
      </c>
      <c r="B14579" s="3" t="str">
        <f>HYPERLINK("https://www.773grp.com/manufacturer/onsemi?pageNo=1098", "Onsemi")</f>
        <v>Onsemi</v>
      </c>
      <c r="C14579" s="6">
        <v>1925</v>
      </c>
      <c r="D14579" s="7">
        <v>2.88</v>
      </c>
      <c r="E14579" t="s">
        <v>5</v>
      </c>
    </row>
    <row r="14580" spans="1:5" x14ac:dyDescent="0.25">
      <c r="A14580" t="str">
        <f>HYPERLINK("https://www.773grp.com/globalSearch/CS5151GN16/page-1", "CS5151GN16")</f>
        <v>CS5151GN16</v>
      </c>
      <c r="B14580" s="3" t="str">
        <f>HYPERLINK("https://www.773grp.com/manufacturer/onsemi?pageNo=1099", "Onsemi")</f>
        <v>Onsemi</v>
      </c>
      <c r="C14580" s="6">
        <v>1000</v>
      </c>
      <c r="D14580" s="7">
        <v>2.88</v>
      </c>
      <c r="E14580" t="s">
        <v>5</v>
      </c>
    </row>
    <row r="14581" spans="1:5" x14ac:dyDescent="0.25">
      <c r="A14581" t="str">
        <f>HYPERLINK("https://www.773grp.com/globalSearch/CS5156GD16/page-1", "CS5156GD16")</f>
        <v>CS5156GD16</v>
      </c>
      <c r="B14581" s="3" t="str">
        <f>HYPERLINK("https://www.773grp.com/manufacturer/onsemi?pageNo=1100", "Onsemi")</f>
        <v>Onsemi</v>
      </c>
      <c r="C14581" s="6">
        <v>1824</v>
      </c>
      <c r="D14581" s="7">
        <v>2.88</v>
      </c>
      <c r="E14581" t="s">
        <v>5</v>
      </c>
    </row>
    <row r="14582" spans="1:5" x14ac:dyDescent="0.25">
      <c r="A14582" t="str">
        <f>HYPERLINK("https://www.773grp.com/globalSearch/CS5156GN16/page-1", "CS5156GN16")</f>
        <v>CS5156GN16</v>
      </c>
      <c r="B14582" s="3" t="str">
        <f>HYPERLINK("https://www.773grp.com/manufacturer/onsemi?pageNo=1101", "Onsemi")</f>
        <v>Onsemi</v>
      </c>
      <c r="C14582" s="6">
        <v>3775</v>
      </c>
      <c r="D14582" s="7">
        <v>2.88</v>
      </c>
      <c r="E14582" t="s">
        <v>5</v>
      </c>
    </row>
    <row r="14583" spans="1:5" x14ac:dyDescent="0.25">
      <c r="A14583" t="str">
        <f>HYPERLINK("https://www.773grp.com/globalSearch/CS5160GD/page-1", "CS5160GD")</f>
        <v>CS5160GD</v>
      </c>
      <c r="B14583" s="3" t="str">
        <f>HYPERLINK("https://www.773grp.com/manufacturer/onsemi?pageNo=1102", "Onsemi")</f>
        <v>Onsemi</v>
      </c>
      <c r="C14583" s="6">
        <v>4416</v>
      </c>
      <c r="D14583" s="7">
        <v>2.88</v>
      </c>
    </row>
    <row r="14584" spans="1:5" x14ac:dyDescent="0.25">
      <c r="A14584" t="str">
        <f>HYPERLINK("https://www.773grp.com/globalSearch/CS5160GD16/page-1", "CS5160GD16")</f>
        <v>CS5160GD16</v>
      </c>
      <c r="B14584" s="3" t="str">
        <f>HYPERLINK("https://www.773grp.com/manufacturer/onsemi?pageNo=1103", "Onsemi")</f>
        <v>Onsemi</v>
      </c>
      <c r="C14584" s="6">
        <v>10848</v>
      </c>
      <c r="D14584" s="7">
        <v>2.88</v>
      </c>
      <c r="E14584" t="s">
        <v>5</v>
      </c>
    </row>
    <row r="14585" spans="1:5" x14ac:dyDescent="0.25">
      <c r="A14585" t="str">
        <f>HYPERLINK("https://www.773grp.com/globalSearch/CS5160GDR16/page-1", "CS5160GDR16")</f>
        <v>CS5160GDR16</v>
      </c>
      <c r="B14585" s="3" t="str">
        <f>HYPERLINK("https://www.773grp.com/manufacturer/onsemi?pageNo=1104", "Onsemi")</f>
        <v>Onsemi</v>
      </c>
      <c r="C14585" s="6">
        <v>45000</v>
      </c>
      <c r="D14585" s="7">
        <v>2.88</v>
      </c>
      <c r="E14585" t="s">
        <v>5</v>
      </c>
    </row>
    <row r="14586" spans="1:5" x14ac:dyDescent="0.25">
      <c r="A14586" t="str">
        <f>HYPERLINK("https://www.773grp.com/globalSearch/CS5161GD16/page-1", "CS5161GD16")</f>
        <v>CS5161GD16</v>
      </c>
      <c r="B14586" s="3" t="str">
        <f>HYPERLINK("https://www.773grp.com/manufacturer/onsemi?pageNo=1105", "Onsemi")</f>
        <v>Onsemi</v>
      </c>
      <c r="C14586" s="6">
        <v>44</v>
      </c>
      <c r="D14586" s="7">
        <v>2.88</v>
      </c>
      <c r="E14586" t="s">
        <v>5</v>
      </c>
    </row>
    <row r="14587" spans="1:5" x14ac:dyDescent="0.25">
      <c r="A14587" t="str">
        <f>HYPERLINK("https://www.773grp.com/globalSearch/CS5161HGD16/page-1", "CS5161HGD16")</f>
        <v>CS5161HGD16</v>
      </c>
      <c r="B14587" s="3" t="str">
        <f>HYPERLINK("https://www.773grp.com/manufacturer/onsemi?pageNo=1106", "Onsemi")</f>
        <v>Onsemi</v>
      </c>
      <c r="C14587" s="6">
        <v>288</v>
      </c>
      <c r="D14587" s="7">
        <v>2.88</v>
      </c>
      <c r="E14587" t="s">
        <v>5</v>
      </c>
    </row>
    <row r="14588" spans="1:5" x14ac:dyDescent="0.25">
      <c r="A14588" t="str">
        <f>HYPERLINK("https://www.773grp.com/globalSearch/CS5161HGDR16/page-1", "CS5161HGDR16")</f>
        <v>CS5161HGDR16</v>
      </c>
      <c r="B14588" s="3" t="str">
        <f>HYPERLINK("https://www.773grp.com/manufacturer/onsemi?pageNo=1107", "Onsemi")</f>
        <v>Onsemi</v>
      </c>
      <c r="C14588" s="6">
        <v>2500</v>
      </c>
      <c r="D14588" s="7">
        <v>2.88</v>
      </c>
      <c r="E14588" t="s">
        <v>5</v>
      </c>
    </row>
    <row r="14589" spans="1:5" x14ac:dyDescent="0.25">
      <c r="A14589" t="str">
        <f>HYPERLINK("https://www.773grp.com/globalSearch/CS8126-2GT5/page-1", "CS8126-2GT5")</f>
        <v>CS8126-2GT5</v>
      </c>
      <c r="B14589" s="3" t="str">
        <f>HYPERLINK("https://www.773grp.com/manufacturer/onsemi?pageNo=1108", "Onsemi")</f>
        <v>Onsemi</v>
      </c>
      <c r="C14589" s="6">
        <v>9802</v>
      </c>
      <c r="D14589" s="7">
        <v>2.88</v>
      </c>
      <c r="E14589" t="s">
        <v>15</v>
      </c>
    </row>
    <row r="14590" spans="1:5" x14ac:dyDescent="0.25">
      <c r="A14590" t="str">
        <f>HYPERLINK("https://www.773grp.com/globalSearch/MBRF40250TG/page-1", "MBRF40250TG")</f>
        <v>MBRF40250TG</v>
      </c>
      <c r="B14590" s="3" t="str">
        <f>HYPERLINK("https://www.773grp.com/manufacturer/onsemi?pageNo=1109", "Onsemi")</f>
        <v>Onsemi</v>
      </c>
      <c r="C14590" s="6">
        <v>300</v>
      </c>
      <c r="D14590" s="7">
        <v>2.88</v>
      </c>
      <c r="E14590" t="s">
        <v>82</v>
      </c>
    </row>
    <row r="14591" spans="1:5" x14ac:dyDescent="0.25">
      <c r="A14591" t="str">
        <f>HYPERLINK("https://www.773grp.com/globalSearch/MC14574D/page-1", "MC14574D")</f>
        <v>MC14574D</v>
      </c>
      <c r="B14591" s="3" t="str">
        <f>HYPERLINK("https://www.773grp.com/manufacturer/onsemi?pageNo=1110", "Onsemi")</f>
        <v>Onsemi</v>
      </c>
      <c r="C14591" s="6">
        <v>370</v>
      </c>
      <c r="D14591" s="7">
        <v>2.88</v>
      </c>
    </row>
    <row r="14592" spans="1:5" x14ac:dyDescent="0.25">
      <c r="A14592" t="str">
        <f>HYPERLINK("https://www.773grp.com/globalSearch/NTB6412ANG/page-1", "NTB6412ANG")</f>
        <v>NTB6412ANG</v>
      </c>
      <c r="B14592" s="3" t="str">
        <f>HYPERLINK("https://www.773grp.com/manufacturer/onsemi?pageNo=1111", "Onsemi")</f>
        <v>Onsemi</v>
      </c>
      <c r="C14592" s="6">
        <v>16050</v>
      </c>
      <c r="D14592" s="7">
        <v>2.88</v>
      </c>
    </row>
    <row r="14593" spans="1:5" x14ac:dyDescent="0.25">
      <c r="A14593" t="str">
        <f>HYPERLINK("https://www.773grp.com/globalSearch/NTB6412ANT4G/page-1", "NTB6412ANT4G")</f>
        <v>NTB6412ANT4G</v>
      </c>
      <c r="B14593" s="3" t="str">
        <f>HYPERLINK("https://www.773grp.com/manufacturer/onsemi?pageNo=1112", "Onsemi")</f>
        <v>Onsemi</v>
      </c>
      <c r="C14593" s="6">
        <v>585</v>
      </c>
      <c r="D14593" s="7">
        <v>2.88</v>
      </c>
    </row>
    <row r="14594" spans="1:5" x14ac:dyDescent="0.25">
      <c r="A14594" t="str">
        <f>HYPERLINK("https://www.773grp.com/globalSearch/ADP3186JRUZ-REEL/page-1", "ADP3186JRUZ-REEL")</f>
        <v>ADP3186JRUZ-REEL</v>
      </c>
      <c r="B14594" s="3" t="str">
        <f>HYPERLINK("https://www.773grp.com/manufacturer/onsemi?pageNo=1113", "Onsemi")</f>
        <v>Onsemi</v>
      </c>
      <c r="C14594" s="6">
        <v>52242</v>
      </c>
      <c r="D14594" s="7">
        <v>2.9</v>
      </c>
      <c r="E14594" t="s">
        <v>5</v>
      </c>
    </row>
    <row r="14595" spans="1:5" x14ac:dyDescent="0.25">
      <c r="A14595" t="str">
        <f>HYPERLINK("https://www.773grp.com/globalSearch/JDX6002/page-1", "JDX6002")</f>
        <v>JDX6002</v>
      </c>
      <c r="B14595" s="3" t="str">
        <f>HYPERLINK("https://www.773grp.com/manufacturer/onsemi?pageNo=1114", "Onsemi")</f>
        <v>Onsemi</v>
      </c>
      <c r="C14595" s="6">
        <v>497</v>
      </c>
      <c r="D14595" s="7">
        <v>2.9</v>
      </c>
    </row>
    <row r="14596" spans="1:5" x14ac:dyDescent="0.25">
      <c r="A14596" t="str">
        <f>HYPERLINK("https://www.773grp.com/globalSearch/MC10160L/page-1", "MC10160L")</f>
        <v>MC10160L</v>
      </c>
      <c r="B14596" s="3" t="str">
        <f>HYPERLINK("https://www.773grp.com/manufacturer/onsemi?pageNo=1115", "Onsemi")</f>
        <v>Onsemi</v>
      </c>
      <c r="C14596" s="6">
        <v>3410</v>
      </c>
      <c r="D14596" s="7">
        <v>2.9</v>
      </c>
      <c r="E14596" t="s">
        <v>38</v>
      </c>
    </row>
    <row r="14597" spans="1:5" x14ac:dyDescent="0.25">
      <c r="A14597" t="str">
        <f>HYPERLINK("https://www.773grp.com/globalSearch/MC10H123FN/page-1", "MC10H123FN")</f>
        <v>MC10H123FN</v>
      </c>
      <c r="B14597" s="3" t="str">
        <f>HYPERLINK("https://www.773grp.com/manufacturer/onsemi?pageNo=1116", "Onsemi")</f>
        <v>Onsemi</v>
      </c>
      <c r="C14597" s="6">
        <v>5472</v>
      </c>
      <c r="D14597" s="7">
        <v>2.9</v>
      </c>
      <c r="E14597" t="s">
        <v>11</v>
      </c>
    </row>
    <row r="14598" spans="1:5" x14ac:dyDescent="0.25">
      <c r="A14598" t="str">
        <f>HYPERLINK("https://www.773grp.com/globalSearch/MC10H123FNR2/page-1", "MC10H123FNR2")</f>
        <v>MC10H123FNR2</v>
      </c>
      <c r="B14598" s="3" t="str">
        <f>HYPERLINK("https://www.773grp.com/manufacturer/onsemi?pageNo=1117", "Onsemi")</f>
        <v>Onsemi</v>
      </c>
      <c r="C14598" s="6">
        <v>4500</v>
      </c>
      <c r="D14598" s="7">
        <v>2.9</v>
      </c>
      <c r="E14598" t="s">
        <v>11</v>
      </c>
    </row>
    <row r="14599" spans="1:5" x14ac:dyDescent="0.25">
      <c r="A14599" t="str">
        <f>HYPERLINK("https://www.773grp.com/globalSearch/CS5257A-1GT5/page-1", "CS5257A-1GT5")</f>
        <v>CS5257A-1GT5</v>
      </c>
      <c r="B14599" s="3" t="str">
        <f>HYPERLINK("https://www.773grp.com/manufacturer/onsemi?pageNo=1118", "Onsemi")</f>
        <v>Onsemi</v>
      </c>
      <c r="C14599" s="6">
        <v>50</v>
      </c>
      <c r="D14599" s="7">
        <v>3.23</v>
      </c>
      <c r="E14599" t="s">
        <v>21</v>
      </c>
    </row>
    <row r="14600" spans="1:5" x14ac:dyDescent="0.25">
      <c r="A14600" t="str">
        <f>HYPERLINK("https://www.773grp.com/globalSearch/CS5258-1GT5/page-1", "CS5258-1GT5")</f>
        <v>CS5258-1GT5</v>
      </c>
      <c r="B14600" s="3" t="str">
        <f>HYPERLINK("https://www.773grp.com/manufacturer/onsemi?pageNo=1119", "Onsemi")</f>
        <v>Onsemi</v>
      </c>
      <c r="C14600" s="6">
        <v>2100</v>
      </c>
      <c r="D14600" s="7">
        <v>3.23</v>
      </c>
      <c r="E14600" t="s">
        <v>21</v>
      </c>
    </row>
    <row r="14601" spans="1:5" x14ac:dyDescent="0.25">
      <c r="A14601" t="str">
        <f>HYPERLINK("https://www.773grp.com/globalSearch/CS8151YNF16/page-1", "CS8151YNF16")</f>
        <v>CS8151YNF16</v>
      </c>
      <c r="B14601" s="3" t="str">
        <f>HYPERLINK("https://www.773grp.com/manufacturer/onsemi?pageNo=1120", "Onsemi")</f>
        <v>Onsemi</v>
      </c>
      <c r="C14601" s="6">
        <v>800</v>
      </c>
      <c r="D14601" s="7">
        <v>3.23</v>
      </c>
      <c r="E14601" t="s">
        <v>15</v>
      </c>
    </row>
    <row r="14602" spans="1:5" x14ac:dyDescent="0.25">
      <c r="A14602" t="str">
        <f>HYPERLINK("https://www.773grp.com/globalSearch/L4949DG/page-1", "L4949DG")</f>
        <v>L4949DG</v>
      </c>
      <c r="B14602" s="3" t="str">
        <f>HYPERLINK("https://www.773grp.com/manufacturer/onsemi?pageNo=1121", "Onsemi")</f>
        <v>Onsemi</v>
      </c>
      <c r="C14602" s="6">
        <v>1014</v>
      </c>
      <c r="D14602" s="7">
        <v>3.23</v>
      </c>
      <c r="E14602" t="s">
        <v>15</v>
      </c>
    </row>
    <row r="14603" spans="1:5" x14ac:dyDescent="0.25">
      <c r="A14603" t="str">
        <f>HYPERLINK("https://www.773grp.com/globalSearch/L4949DR2G/page-1", "L4949DR2G")</f>
        <v>L4949DR2G</v>
      </c>
      <c r="B14603" s="3" t="str">
        <f>HYPERLINK("https://www.773grp.com/manufacturer/onsemi?pageNo=1122", "Onsemi")</f>
        <v>Onsemi</v>
      </c>
      <c r="C14603" s="6">
        <v>29950</v>
      </c>
      <c r="D14603" s="7">
        <v>3.23</v>
      </c>
      <c r="E14603" t="s">
        <v>15</v>
      </c>
    </row>
    <row r="14604" spans="1:5" x14ac:dyDescent="0.25">
      <c r="A14604" t="str">
        <f>HYPERLINK("https://www.773grp.com/globalSearch/MC33163DW/page-1", "MC33163DW")</f>
        <v>MC33163DW</v>
      </c>
      <c r="B14604" s="3" t="str">
        <f>HYPERLINK("https://www.773grp.com/manufacturer/onsemi?pageNo=1123", "Onsemi")</f>
        <v>Onsemi</v>
      </c>
      <c r="C14604" s="6">
        <v>971</v>
      </c>
      <c r="D14604" s="7">
        <v>3.23</v>
      </c>
      <c r="E14604" t="s">
        <v>5</v>
      </c>
    </row>
    <row r="14605" spans="1:5" x14ac:dyDescent="0.25">
      <c r="A14605" t="str">
        <f>HYPERLINK("https://www.773grp.com/globalSearch/MC33163P/page-1", "MC33163P")</f>
        <v>MC33163P</v>
      </c>
      <c r="B14605" s="3" t="str">
        <f>HYPERLINK("https://www.773grp.com/manufacturer/onsemi?pageNo=1124", "Onsemi")</f>
        <v>Onsemi</v>
      </c>
      <c r="C14605" s="6">
        <v>25</v>
      </c>
      <c r="D14605" s="7">
        <v>3.23</v>
      </c>
      <c r="E14605" t="s">
        <v>5</v>
      </c>
    </row>
    <row r="14606" spans="1:5" x14ac:dyDescent="0.25">
      <c r="A14606" t="str">
        <f>HYPERLINK("https://www.773grp.com/globalSearch/NCP5214MNR2G/page-1", "NCP5214MNR2G")</f>
        <v>NCP5214MNR2G</v>
      </c>
      <c r="B14606" s="3" t="str">
        <f>HYPERLINK("https://www.773grp.com/manufacturer/onsemi?pageNo=1125", "Onsemi")</f>
        <v>Onsemi</v>
      </c>
      <c r="C14606" s="6">
        <v>574785</v>
      </c>
      <c r="D14606" s="7">
        <v>3.23</v>
      </c>
      <c r="E14606" t="s">
        <v>5</v>
      </c>
    </row>
    <row r="14607" spans="1:5" x14ac:dyDescent="0.25">
      <c r="A14607" t="str">
        <f>HYPERLINK("https://www.773grp.com/globalSearch/NCP5388MNR2G/page-1", "NCP5388MNR2G")</f>
        <v>NCP5388MNR2G</v>
      </c>
      <c r="B14607" s="3" t="str">
        <f>HYPERLINK("https://www.773grp.com/manufacturer/onsemi?pageNo=1126", "Onsemi")</f>
        <v>Onsemi</v>
      </c>
      <c r="C14607" s="6">
        <v>50409</v>
      </c>
      <c r="D14607" s="7">
        <v>3.23</v>
      </c>
      <c r="E14607" t="s">
        <v>5</v>
      </c>
    </row>
    <row r="14608" spans="1:5" x14ac:dyDescent="0.25">
      <c r="A14608" t="str">
        <f>HYPERLINK("https://www.773grp.com/globalSearch/NCP5663DS15R4G/page-1", "NCP5663DS15R4G")</f>
        <v>NCP5663DS15R4G</v>
      </c>
      <c r="B14608" s="3" t="str">
        <f>HYPERLINK("https://www.773grp.com/manufacturer/onsemi?pageNo=1127", "Onsemi")</f>
        <v>Onsemi</v>
      </c>
      <c r="C14608" s="6">
        <v>5130</v>
      </c>
      <c r="D14608" s="7">
        <v>3.23</v>
      </c>
      <c r="E14608" t="s">
        <v>15</v>
      </c>
    </row>
    <row r="14609" spans="1:5" x14ac:dyDescent="0.25">
      <c r="A14609" t="str">
        <f>HYPERLINK("https://www.773grp.com/globalSearch/NCP5663DS18R4G/page-1", "NCP5663DS18R4G")</f>
        <v>NCP5663DS18R4G</v>
      </c>
      <c r="B14609" s="3" t="str">
        <f>HYPERLINK("https://www.773grp.com/manufacturer/onsemi?pageNo=1128", "Onsemi")</f>
        <v>Onsemi</v>
      </c>
      <c r="C14609" s="6">
        <v>1380</v>
      </c>
      <c r="D14609" s="7">
        <v>3.23</v>
      </c>
    </row>
    <row r="14610" spans="1:5" x14ac:dyDescent="0.25">
      <c r="A14610" t="str">
        <f>HYPERLINK("https://www.773grp.com/globalSearch/NCP5663DSADJ/page-1", "NCP5663DSADJ")</f>
        <v>NCP5663DSADJ</v>
      </c>
      <c r="B14610" s="3" t="str">
        <f>HYPERLINK("https://www.773grp.com/manufacturer/onsemi?pageNo=1129", "Onsemi")</f>
        <v>Onsemi</v>
      </c>
      <c r="C14610" s="6">
        <v>800</v>
      </c>
      <c r="D14610" s="7">
        <v>3.23</v>
      </c>
    </row>
    <row r="14611" spans="1:5" x14ac:dyDescent="0.25">
      <c r="A14611" t="str">
        <f>HYPERLINK("https://www.773grp.com/globalSearch/NCP5663DSADJR4G/page-1", "NCP5663DSADJR4G")</f>
        <v>NCP5663DSADJR4G</v>
      </c>
      <c r="B14611" s="3" t="str">
        <f>HYPERLINK("https://www.773grp.com/manufacturer/onsemi?pageNo=1130", "Onsemi")</f>
        <v>Onsemi</v>
      </c>
      <c r="C14611" s="6">
        <v>8703</v>
      </c>
      <c r="D14611" s="7">
        <v>3.23</v>
      </c>
      <c r="E14611" t="s">
        <v>21</v>
      </c>
    </row>
    <row r="14612" spans="1:5" x14ac:dyDescent="0.25">
      <c r="A14612" t="str">
        <f>HYPERLINK("https://www.773grp.com/globalSearch/NCV4276ADT50RKG/page-1", "NCV4276ADT50RKG")</f>
        <v>NCV4276ADT50RKG</v>
      </c>
      <c r="B14612" s="3" t="str">
        <f>HYPERLINK("https://www.773grp.com/manufacturer/onsemi?pageNo=1131", "Onsemi")</f>
        <v>Onsemi</v>
      </c>
      <c r="C14612" s="6">
        <v>1640</v>
      </c>
      <c r="D14612" s="7">
        <v>3.23</v>
      </c>
      <c r="E14612" t="s">
        <v>15</v>
      </c>
    </row>
    <row r="14613" spans="1:5" x14ac:dyDescent="0.25">
      <c r="A14613" t="str">
        <f>HYPERLINK("https://www.773grp.com/globalSearch/NCV4276ADTADJRKG/page-1", "NCV4276ADTADJRKG")</f>
        <v>NCV4276ADTADJRKG</v>
      </c>
      <c r="B14613" s="3" t="str">
        <f>HYPERLINK("https://www.773grp.com/manufacturer/onsemi?pageNo=1132", "Onsemi")</f>
        <v>Onsemi</v>
      </c>
      <c r="C14613" s="6">
        <v>2645</v>
      </c>
      <c r="D14613" s="7">
        <v>3.23</v>
      </c>
      <c r="E14613" t="s">
        <v>21</v>
      </c>
    </row>
    <row r="14614" spans="1:5" x14ac:dyDescent="0.25">
      <c r="A14614" t="str">
        <f>HYPERLINK("https://www.773grp.com/globalSearch/NCV4276DTADJRKG/page-1", "NCV4276DTADJRKG")</f>
        <v>NCV4276DTADJRKG</v>
      </c>
      <c r="B14614" s="3" t="str">
        <f>HYPERLINK("https://www.773grp.com/manufacturer/onsemi?pageNo=1133", "Onsemi")</f>
        <v>Onsemi</v>
      </c>
      <c r="C14614" s="6">
        <v>54625</v>
      </c>
      <c r="D14614" s="7">
        <v>3.23</v>
      </c>
      <c r="E14614" t="s">
        <v>21</v>
      </c>
    </row>
    <row r="14615" spans="1:5" x14ac:dyDescent="0.25">
      <c r="A14615" t="str">
        <f>HYPERLINK("https://www.773grp.com/globalSearch/NLSV1T240MUTBG/page-1", "NLSV1T240MUTBG")</f>
        <v>NLSV1T240MUTBG</v>
      </c>
      <c r="B14615" s="3" t="str">
        <f>HYPERLINK("https://www.773grp.com/manufacturer/onsemi?pageNo=1134", "Onsemi")</f>
        <v>Onsemi</v>
      </c>
      <c r="C14615" s="6">
        <v>86295</v>
      </c>
      <c r="D14615" s="7">
        <v>3.23</v>
      </c>
      <c r="E14615" t="s">
        <v>11</v>
      </c>
    </row>
    <row r="14616" spans="1:5" x14ac:dyDescent="0.25">
      <c r="A14616" t="str">
        <f>HYPERLINK("https://www.773grp.com/globalSearch/NLSV1T244MUTBG/page-1", "NLSV1T244MUTBG")</f>
        <v>NLSV1T244MUTBG</v>
      </c>
      <c r="B14616" s="3" t="str">
        <f>HYPERLINK("https://www.773grp.com/manufacturer/onsemi?pageNo=1135", "Onsemi")</f>
        <v>Onsemi</v>
      </c>
      <c r="C14616" s="6">
        <v>6000</v>
      </c>
      <c r="D14616" s="7">
        <v>3.23</v>
      </c>
    </row>
    <row r="14617" spans="1:5" x14ac:dyDescent="0.25">
      <c r="A14617" t="str">
        <f>HYPERLINK("https://www.773grp.com/globalSearch/NLV14504BDG/page-1", "NLV14504BDG")</f>
        <v>NLV14504BDG</v>
      </c>
      <c r="B14617" s="3" t="str">
        <f>HYPERLINK("https://www.773grp.com/manufacturer/onsemi?pageNo=1136", "Onsemi")</f>
        <v>Onsemi</v>
      </c>
      <c r="C14617" s="6">
        <v>2928</v>
      </c>
      <c r="D14617" s="7">
        <v>3.23</v>
      </c>
    </row>
    <row r="14618" spans="1:5" x14ac:dyDescent="0.25">
      <c r="A14618" t="str">
        <f>HYPERLINK("https://www.773grp.com/globalSearch/SBRB2545CTG/page-1", "SBRB2545CTG")</f>
        <v>SBRB2545CTG</v>
      </c>
      <c r="B14618" s="3" t="str">
        <f>HYPERLINK("https://www.773grp.com/manufacturer/onsemi?pageNo=1137", "Onsemi")</f>
        <v>Onsemi</v>
      </c>
      <c r="C14618" s="6">
        <v>2200</v>
      </c>
      <c r="D14618" s="7">
        <v>3.23</v>
      </c>
    </row>
    <row r="14619" spans="1:5" x14ac:dyDescent="0.25">
      <c r="A14619" t="str">
        <f>HYPERLINK("https://www.773grp.com/globalSearch/SBRB2545CTT4G/page-1", "SBRB2545CTT4G")</f>
        <v>SBRB2545CTT4G</v>
      </c>
      <c r="B14619" s="3" t="str">
        <f>HYPERLINK("https://www.773grp.com/manufacturer/onsemi?pageNo=1138", "Onsemi")</f>
        <v>Onsemi</v>
      </c>
      <c r="C14619" s="6">
        <v>800</v>
      </c>
      <c r="D14619" s="7">
        <v>3.23</v>
      </c>
    </row>
    <row r="14620" spans="1:5" x14ac:dyDescent="0.25">
      <c r="A14620" t="str">
        <f>HYPERLINK("https://www.773grp.com/globalSearch/MBRF2060CTG/page-1", "MBRF2060CTG")</f>
        <v>MBRF2060CTG</v>
      </c>
      <c r="B14620" s="3" t="str">
        <f>HYPERLINK("https://www.773grp.com/manufacturer/onsemi?pageNo=1139", "Onsemi")</f>
        <v>Onsemi</v>
      </c>
      <c r="C14620" s="6">
        <v>498870</v>
      </c>
      <c r="D14620" s="7">
        <v>2.93</v>
      </c>
      <c r="E14620" t="s">
        <v>82</v>
      </c>
    </row>
    <row r="14621" spans="1:5" x14ac:dyDescent="0.25">
      <c r="A14621" t="str">
        <f>HYPERLINK("https://www.773grp.com/globalSearch/MC10101P/page-1", "MC10101P")</f>
        <v>MC10101P</v>
      </c>
      <c r="B14621" s="3" t="str">
        <f>HYPERLINK("https://www.773grp.com/manufacturer/onsemi?pageNo=1140", "Onsemi")</f>
        <v>Onsemi</v>
      </c>
      <c r="C14621" s="6">
        <v>3146</v>
      </c>
      <c r="D14621" s="7">
        <v>2.93</v>
      </c>
      <c r="E14621" t="s">
        <v>27</v>
      </c>
    </row>
    <row r="14622" spans="1:5" x14ac:dyDescent="0.25">
      <c r="A14622" t="str">
        <f>HYPERLINK("https://www.773grp.com/globalSearch/MC10101PG/page-1", "MC10101PG")</f>
        <v>MC10101PG</v>
      </c>
      <c r="B14622" s="3" t="str">
        <f>HYPERLINK("https://www.773grp.com/manufacturer/onsemi?pageNo=1141", "Onsemi")</f>
        <v>Onsemi</v>
      </c>
      <c r="C14622" s="6">
        <v>612</v>
      </c>
      <c r="D14622" s="7">
        <v>2.93</v>
      </c>
    </row>
    <row r="14623" spans="1:5" x14ac:dyDescent="0.25">
      <c r="A14623" t="str">
        <f>HYPERLINK("https://www.773grp.com/globalSearch/MC10102P/page-1", "MC10102P")</f>
        <v>MC10102P</v>
      </c>
      <c r="B14623" s="3" t="str">
        <f>HYPERLINK("https://www.773grp.com/manufacturer/onsemi?pageNo=1142", "Onsemi")</f>
        <v>Onsemi</v>
      </c>
      <c r="C14623" s="6">
        <v>2675</v>
      </c>
      <c r="D14623" s="7">
        <v>2.93</v>
      </c>
      <c r="E14623" t="s">
        <v>27</v>
      </c>
    </row>
    <row r="14624" spans="1:5" x14ac:dyDescent="0.25">
      <c r="A14624" t="str">
        <f>HYPERLINK("https://www.773grp.com/globalSearch/MC10103P/page-1", "MC10103P")</f>
        <v>MC10103P</v>
      </c>
      <c r="B14624" s="3" t="str">
        <f>HYPERLINK("https://www.773grp.com/manufacturer/onsemi?pageNo=1143", "Onsemi")</f>
        <v>Onsemi</v>
      </c>
      <c r="C14624" s="6">
        <v>1723</v>
      </c>
      <c r="D14624" s="7">
        <v>2.93</v>
      </c>
      <c r="E14624" t="s">
        <v>27</v>
      </c>
    </row>
    <row r="14625" spans="1:5" x14ac:dyDescent="0.25">
      <c r="A14625" t="str">
        <f>HYPERLINK("https://www.773grp.com/globalSearch/MC10104P/page-1", "MC10104P")</f>
        <v>MC10104P</v>
      </c>
      <c r="B14625" s="3" t="str">
        <f>HYPERLINK("https://www.773grp.com/manufacturer/onsemi?pageNo=1144", "Onsemi")</f>
        <v>Onsemi</v>
      </c>
      <c r="C14625" s="6">
        <v>3238</v>
      </c>
      <c r="D14625" s="7">
        <v>2.93</v>
      </c>
      <c r="E14625" t="s">
        <v>27</v>
      </c>
    </row>
    <row r="14626" spans="1:5" x14ac:dyDescent="0.25">
      <c r="A14626" t="str">
        <f>HYPERLINK("https://www.773grp.com/globalSearch/MC10106P/page-1", "MC10106P")</f>
        <v>MC10106P</v>
      </c>
      <c r="B14626" s="3" t="str">
        <f>HYPERLINK("https://www.773grp.com/manufacturer/onsemi?pageNo=1145", "Onsemi")</f>
        <v>Onsemi</v>
      </c>
      <c r="C14626" s="6">
        <v>1172</v>
      </c>
      <c r="D14626" s="7">
        <v>2.93</v>
      </c>
      <c r="E14626" t="s">
        <v>27</v>
      </c>
    </row>
    <row r="14627" spans="1:5" x14ac:dyDescent="0.25">
      <c r="A14627" t="str">
        <f>HYPERLINK("https://www.773grp.com/globalSearch/MC10107P/page-1", "MC10107P")</f>
        <v>MC10107P</v>
      </c>
      <c r="B14627" s="3" t="str">
        <f>HYPERLINK("https://www.773grp.com/manufacturer/onsemi?pageNo=1146", "Onsemi")</f>
        <v>Onsemi</v>
      </c>
      <c r="C14627" s="6">
        <v>5449</v>
      </c>
      <c r="D14627" s="7">
        <v>2.93</v>
      </c>
      <c r="E14627" t="s">
        <v>27</v>
      </c>
    </row>
    <row r="14628" spans="1:5" x14ac:dyDescent="0.25">
      <c r="A14628" t="str">
        <f>HYPERLINK("https://www.773grp.com/globalSearch/MC10109P/page-1", "MC10109P")</f>
        <v>MC10109P</v>
      </c>
      <c r="B14628" s="3" t="str">
        <f>HYPERLINK("https://www.773grp.com/manufacturer/onsemi?pageNo=1147", "Onsemi")</f>
        <v>Onsemi</v>
      </c>
      <c r="C14628" s="6">
        <v>2060</v>
      </c>
      <c r="D14628" s="7">
        <v>2.93</v>
      </c>
      <c r="E14628" t="s">
        <v>27</v>
      </c>
    </row>
    <row r="14629" spans="1:5" x14ac:dyDescent="0.25">
      <c r="A14629" t="str">
        <f>HYPERLINK("https://www.773grp.com/globalSearch/MC10113P/page-1", "MC10113P")</f>
        <v>MC10113P</v>
      </c>
      <c r="B14629" s="3" t="str">
        <f>HYPERLINK("https://www.773grp.com/manufacturer/onsemi?pageNo=1148", "Onsemi")</f>
        <v>Onsemi</v>
      </c>
      <c r="C14629" s="6">
        <v>2510</v>
      </c>
      <c r="D14629" s="7">
        <v>2.93</v>
      </c>
      <c r="E14629" t="s">
        <v>27</v>
      </c>
    </row>
    <row r="14630" spans="1:5" x14ac:dyDescent="0.25">
      <c r="A14630" t="str">
        <f>HYPERLINK("https://www.773grp.com/globalSearch/MC10115P/page-1", "MC10115P")</f>
        <v>MC10115P</v>
      </c>
      <c r="B14630" s="3" t="str">
        <f>HYPERLINK("https://www.773grp.com/manufacturer/onsemi?pageNo=1149", "Onsemi")</f>
        <v>Onsemi</v>
      </c>
      <c r="C14630" s="6">
        <v>910</v>
      </c>
      <c r="D14630" s="7">
        <v>2.93</v>
      </c>
      <c r="E14630" t="s">
        <v>17</v>
      </c>
    </row>
    <row r="14631" spans="1:5" x14ac:dyDescent="0.25">
      <c r="A14631" t="str">
        <f>HYPERLINK("https://www.773grp.com/globalSearch/MC10117P/page-1", "MC10117P")</f>
        <v>MC10117P</v>
      </c>
      <c r="B14631" s="3" t="str">
        <f>HYPERLINK("https://www.773grp.com/manufacturer/onsemi?pageNo=1150", "Onsemi")</f>
        <v>Onsemi</v>
      </c>
      <c r="C14631" s="6">
        <v>1550</v>
      </c>
      <c r="D14631" s="7">
        <v>2.93</v>
      </c>
      <c r="E14631" t="s">
        <v>27</v>
      </c>
    </row>
    <row r="14632" spans="1:5" x14ac:dyDescent="0.25">
      <c r="A14632" t="str">
        <f>HYPERLINK("https://www.773grp.com/globalSearch/MC10123P/page-1", "MC10123P")</f>
        <v>MC10123P</v>
      </c>
      <c r="B14632" s="3" t="str">
        <f>HYPERLINK("https://www.773grp.com/manufacturer/onsemi?pageNo=1151", "Onsemi")</f>
        <v>Onsemi</v>
      </c>
      <c r="C14632" s="6">
        <v>11425</v>
      </c>
      <c r="D14632" s="7">
        <v>2.93</v>
      </c>
      <c r="E14632" t="s">
        <v>11</v>
      </c>
    </row>
    <row r="14633" spans="1:5" x14ac:dyDescent="0.25">
      <c r="A14633" t="str">
        <f>HYPERLINK("https://www.773grp.com/globalSearch/NCP1280DR2G/page-1", "NCP1280DR2G")</f>
        <v>NCP1280DR2G</v>
      </c>
      <c r="B14633" s="3" t="str">
        <f>HYPERLINK("https://www.773grp.com/manufacturer/onsemi?pageNo=1152", "Onsemi")</f>
        <v>Onsemi</v>
      </c>
      <c r="C14633" s="6">
        <v>58243</v>
      </c>
      <c r="D14633" s="7">
        <v>2.93</v>
      </c>
      <c r="E14633" t="s">
        <v>5</v>
      </c>
    </row>
    <row r="14634" spans="1:5" x14ac:dyDescent="0.25">
      <c r="A14634" t="str">
        <f>HYPERLINK("https://www.773grp.com/globalSearch/NCV51411PWR2G/page-1", "NCV51411PWR2G")</f>
        <v>NCV51411PWR2G</v>
      </c>
      <c r="B14634" s="3" t="str">
        <f>HYPERLINK("https://www.773grp.com/manufacturer/onsemi?pageNo=1153", "Onsemi")</f>
        <v>Onsemi</v>
      </c>
      <c r="C14634" s="6">
        <v>1000</v>
      </c>
      <c r="D14634" s="7">
        <v>2.93</v>
      </c>
      <c r="E14634" t="s">
        <v>5</v>
      </c>
    </row>
    <row r="14635" spans="1:5" x14ac:dyDescent="0.25">
      <c r="A14635" t="str">
        <f>HYPERLINK("https://www.773grp.com/globalSearch/NCV5171EDR2G/page-1", "NCV5171EDR2G")</f>
        <v>NCV5171EDR2G</v>
      </c>
      <c r="B14635" s="3" t="str">
        <f>HYPERLINK("https://www.773grp.com/manufacturer/onsemi?pageNo=1154", "Onsemi")</f>
        <v>Onsemi</v>
      </c>
      <c r="C14635" s="6">
        <v>6831</v>
      </c>
      <c r="D14635" s="7">
        <v>2.93</v>
      </c>
      <c r="E14635" t="s">
        <v>5</v>
      </c>
    </row>
    <row r="14636" spans="1:5" x14ac:dyDescent="0.25">
      <c r="A14636" t="str">
        <f>HYPERLINK("https://www.773grp.com/globalSearch/NCV59302DSADJR4G/page-1", "NCV59302DSADJR4G")</f>
        <v>NCV59302DSADJR4G</v>
      </c>
      <c r="B14636" s="3" t="str">
        <f>HYPERLINK("https://www.773grp.com/manufacturer/onsemi?pageNo=1155", "Onsemi")</f>
        <v>Onsemi</v>
      </c>
      <c r="C14636" s="6">
        <v>1600</v>
      </c>
      <c r="D14636" s="7">
        <v>2.93</v>
      </c>
    </row>
    <row r="14637" spans="1:5" x14ac:dyDescent="0.25">
      <c r="A14637" t="str">
        <f>HYPERLINK("https://www.773grp.com/globalSearch/NTP6412ANG/page-1", "NTP6412ANG")</f>
        <v>NTP6412ANG</v>
      </c>
      <c r="B14637" s="3" t="str">
        <f>HYPERLINK("https://www.773grp.com/manufacturer/onsemi?pageNo=1156", "Onsemi")</f>
        <v>Onsemi</v>
      </c>
      <c r="C14637" s="6">
        <v>500</v>
      </c>
      <c r="D14637" s="7">
        <v>2.93</v>
      </c>
    </row>
    <row r="14638" spans="1:5" x14ac:dyDescent="0.25">
      <c r="A14638" t="str">
        <f>HYPERLINK("https://www.773grp.com/globalSearch/CS5203A-2GDP3/page-1", "CS5203A-2GDP3")</f>
        <v>CS5203A-2GDP3</v>
      </c>
      <c r="B14638" s="3" t="str">
        <f>HYPERLINK("https://www.773grp.com/manufacturer/onsemi?pageNo=1157", "Onsemi")</f>
        <v>Onsemi</v>
      </c>
      <c r="C14638" s="6">
        <v>712</v>
      </c>
      <c r="D14638" s="7">
        <v>2.95</v>
      </c>
      <c r="E14638" t="s">
        <v>15</v>
      </c>
    </row>
    <row r="14639" spans="1:5" x14ac:dyDescent="0.25">
      <c r="A14639" t="str">
        <f>HYPERLINK("https://www.773grp.com/globalSearch/CS5203A-2GDPR3G/page-1", "CS5203A-2GDPR3G")</f>
        <v>CS5203A-2GDPR3G</v>
      </c>
      <c r="B14639" s="3" t="str">
        <f>HYPERLINK("https://www.773grp.com/manufacturer/onsemi?pageNo=1158", "Onsemi")</f>
        <v>Onsemi</v>
      </c>
      <c r="C14639" s="6">
        <v>1352</v>
      </c>
      <c r="D14639" s="7">
        <v>2.95</v>
      </c>
      <c r="E14639" t="s">
        <v>15</v>
      </c>
    </row>
    <row r="14640" spans="1:5" x14ac:dyDescent="0.25">
      <c r="A14640" t="str">
        <f>HYPERLINK("https://www.773grp.com/globalSearch/CS5205-2GDPR3/page-1", "CS5205-2GDPR3")</f>
        <v>CS5205-2GDPR3</v>
      </c>
      <c r="B14640" s="3" t="str">
        <f>HYPERLINK("https://www.773grp.com/manufacturer/onsemi?pageNo=1159", "Onsemi")</f>
        <v>Onsemi</v>
      </c>
      <c r="C14640" s="6">
        <v>750</v>
      </c>
      <c r="D14640" s="7">
        <v>2.95</v>
      </c>
      <c r="E14640" t="s">
        <v>15</v>
      </c>
    </row>
    <row r="14641" spans="1:5" x14ac:dyDescent="0.25">
      <c r="A14641" t="str">
        <f>HYPERLINK("https://www.773grp.com/globalSearch/CS8191XDWF20/page-1", "CS8191XDWF20")</f>
        <v>CS8191XDWF20</v>
      </c>
      <c r="B14641" s="3" t="str">
        <f>HYPERLINK("https://www.773grp.com/manufacturer/onsemi?pageNo=1160", "Onsemi")</f>
        <v>Onsemi</v>
      </c>
      <c r="C14641" s="6">
        <v>571</v>
      </c>
      <c r="D14641" s="7">
        <v>2.95</v>
      </c>
      <c r="E14641" t="s">
        <v>8</v>
      </c>
    </row>
    <row r="14642" spans="1:5" x14ac:dyDescent="0.25">
      <c r="A14642" t="str">
        <f>HYPERLINK("https://www.773grp.com/globalSearch/CS8191XDWFR20/page-1", "CS8191XDWFR20")</f>
        <v>CS8191XDWFR20</v>
      </c>
      <c r="B14642" s="3" t="str">
        <f>HYPERLINK("https://www.773grp.com/manufacturer/onsemi?pageNo=1161", "Onsemi")</f>
        <v>Onsemi</v>
      </c>
      <c r="C14642" s="6">
        <v>1005</v>
      </c>
      <c r="D14642" s="7">
        <v>2.95</v>
      </c>
      <c r="E14642" t="s">
        <v>8</v>
      </c>
    </row>
    <row r="14643" spans="1:5" x14ac:dyDescent="0.25">
      <c r="A14643" t="str">
        <f>HYPERLINK("https://www.773grp.com/globalSearch/MBR3045PTG/page-1", "MBR3045PTG")</f>
        <v>MBR3045PTG</v>
      </c>
      <c r="B14643" s="3" t="str">
        <f>HYPERLINK("https://www.773grp.com/manufacturer/onsemi?pageNo=1162", "Onsemi")</f>
        <v>Onsemi</v>
      </c>
      <c r="C14643" s="6">
        <v>13542</v>
      </c>
      <c r="D14643" s="7">
        <v>2.95</v>
      </c>
      <c r="E14643" t="s">
        <v>82</v>
      </c>
    </row>
    <row r="14644" spans="1:5" x14ac:dyDescent="0.25">
      <c r="A14644" t="str">
        <f>HYPERLINK("https://www.773grp.com/globalSearch/MBRB20100CT/page-1", "MBRB20100CT")</f>
        <v>MBRB20100CT</v>
      </c>
      <c r="B14644" s="3" t="str">
        <f>HYPERLINK("https://www.773grp.com/manufacturer/onsemi?pageNo=1163", "Onsemi")</f>
        <v>Onsemi</v>
      </c>
      <c r="C14644" s="6">
        <v>1939</v>
      </c>
      <c r="D14644" s="7">
        <v>2.95</v>
      </c>
    </row>
    <row r="14645" spans="1:5" x14ac:dyDescent="0.25">
      <c r="A14645" t="str">
        <f>HYPERLINK("https://www.773grp.com/globalSearch/MC100EL11D/page-1", "MC100EL11D")</f>
        <v>MC100EL11D</v>
      </c>
      <c r="B14645" s="3" t="str">
        <f>HYPERLINK("https://www.773grp.com/manufacturer/onsemi?pageNo=1164", "Onsemi")</f>
        <v>Onsemi</v>
      </c>
      <c r="C14645" s="6">
        <v>30560</v>
      </c>
      <c r="D14645" s="7">
        <v>2.95</v>
      </c>
      <c r="E14645" t="s">
        <v>30</v>
      </c>
    </row>
    <row r="14646" spans="1:5" x14ac:dyDescent="0.25">
      <c r="A14646" t="str">
        <f>HYPERLINK("https://www.773grp.com/globalSearch/MC100EL11DR2/page-1", "MC100EL11DR2")</f>
        <v>MC100EL11DR2</v>
      </c>
      <c r="B14646" s="3" t="str">
        <f>HYPERLINK("https://www.773grp.com/manufacturer/onsemi?pageNo=1165", "Onsemi")</f>
        <v>Onsemi</v>
      </c>
      <c r="C14646" s="6">
        <v>2500</v>
      </c>
      <c r="D14646" s="7">
        <v>2.95</v>
      </c>
      <c r="E14646" t="s">
        <v>30</v>
      </c>
    </row>
    <row r="14647" spans="1:5" x14ac:dyDescent="0.25">
      <c r="A14647" t="str">
        <f>HYPERLINK("https://www.773grp.com/globalSearch/MC100EL11DT/page-1", "MC100EL11DT")</f>
        <v>MC100EL11DT</v>
      </c>
      <c r="B14647" s="3" t="str">
        <f>HYPERLINK("https://www.773grp.com/manufacturer/onsemi?pageNo=1166", "Onsemi")</f>
        <v>Onsemi</v>
      </c>
      <c r="C14647" s="6">
        <v>21231</v>
      </c>
      <c r="D14647" s="7">
        <v>2.95</v>
      </c>
      <c r="E14647" t="s">
        <v>30</v>
      </c>
    </row>
    <row r="14648" spans="1:5" x14ac:dyDescent="0.25">
      <c r="A14648" t="str">
        <f>HYPERLINK("https://www.773grp.com/globalSearch/MC100EL12D/page-1", "MC100EL12D")</f>
        <v>MC100EL12D</v>
      </c>
      <c r="B14648" s="3" t="str">
        <f>HYPERLINK("https://www.773grp.com/manufacturer/onsemi?pageNo=1167", "Onsemi")</f>
        <v>Onsemi</v>
      </c>
      <c r="C14648" s="6">
        <v>11834</v>
      </c>
      <c r="D14648" s="7">
        <v>2.95</v>
      </c>
      <c r="E14648" t="s">
        <v>27</v>
      </c>
    </row>
    <row r="14649" spans="1:5" x14ac:dyDescent="0.25">
      <c r="A14649" t="str">
        <f>HYPERLINK("https://www.773grp.com/globalSearch/MC100LVEL11D/page-1", "MC100LVEL11D")</f>
        <v>MC100LVEL11D</v>
      </c>
      <c r="B14649" s="3" t="str">
        <f>HYPERLINK("https://www.773grp.com/manufacturer/onsemi?pageNo=1168", "Onsemi")</f>
        <v>Onsemi</v>
      </c>
      <c r="C14649" s="6">
        <v>26035</v>
      </c>
      <c r="D14649" s="7">
        <v>2.95</v>
      </c>
      <c r="E14649" t="s">
        <v>30</v>
      </c>
    </row>
    <row r="14650" spans="1:5" x14ac:dyDescent="0.25">
      <c r="A14650" t="str">
        <f>HYPERLINK("https://www.773grp.com/globalSearch/MC100LVEL11DT/page-1", "MC100LVEL11DT")</f>
        <v>MC100LVEL11DT</v>
      </c>
      <c r="B14650" s="3" t="str">
        <f>HYPERLINK("https://www.773grp.com/manufacturer/onsemi?pageNo=1169", "Onsemi")</f>
        <v>Onsemi</v>
      </c>
      <c r="C14650" s="6">
        <v>14869</v>
      </c>
      <c r="D14650" s="7">
        <v>2.95</v>
      </c>
      <c r="E14650" t="s">
        <v>30</v>
      </c>
    </row>
    <row r="14651" spans="1:5" x14ac:dyDescent="0.25">
      <c r="A14651" t="str">
        <f>HYPERLINK("https://www.773grp.com/globalSearch/MC100LVEL11DTR2/page-1", "MC100LVEL11DTR2")</f>
        <v>MC100LVEL11DTR2</v>
      </c>
      <c r="B14651" s="3" t="str">
        <f>HYPERLINK("https://www.773grp.com/manufacturer/onsemi?pageNo=1170", "Onsemi")</f>
        <v>Onsemi</v>
      </c>
      <c r="C14651" s="6">
        <v>2137</v>
      </c>
      <c r="D14651" s="7">
        <v>2.95</v>
      </c>
      <c r="E14651" t="s">
        <v>30</v>
      </c>
    </row>
    <row r="14652" spans="1:5" x14ac:dyDescent="0.25">
      <c r="A14652" t="str">
        <f>HYPERLINK("https://www.773grp.com/globalSearch/MC10EL11D/page-1", "MC10EL11D")</f>
        <v>MC10EL11D</v>
      </c>
      <c r="B14652" s="3" t="str">
        <f>HYPERLINK("https://www.773grp.com/manufacturer/onsemi?pageNo=1171", "Onsemi")</f>
        <v>Onsemi</v>
      </c>
      <c r="C14652" s="6">
        <v>8151</v>
      </c>
      <c r="D14652" s="7">
        <v>2.95</v>
      </c>
      <c r="E14652" t="s">
        <v>30</v>
      </c>
    </row>
    <row r="14653" spans="1:5" x14ac:dyDescent="0.25">
      <c r="A14653" t="str">
        <f>HYPERLINK("https://www.773grp.com/globalSearch/MC10EL11DR2/page-1", "MC10EL11DR2")</f>
        <v>MC10EL11DR2</v>
      </c>
      <c r="B14653" s="3" t="str">
        <f>HYPERLINK("https://www.773grp.com/manufacturer/onsemi?pageNo=1172", "Onsemi")</f>
        <v>Onsemi</v>
      </c>
      <c r="C14653" s="6">
        <v>127480</v>
      </c>
      <c r="D14653" s="7">
        <v>2.95</v>
      </c>
      <c r="E14653" t="s">
        <v>30</v>
      </c>
    </row>
    <row r="14654" spans="1:5" x14ac:dyDescent="0.25">
      <c r="A14654" t="str">
        <f>HYPERLINK("https://www.773grp.com/globalSearch/MC10EL11DT/page-1", "MC10EL11DT")</f>
        <v>MC10EL11DT</v>
      </c>
      <c r="B14654" s="3" t="str">
        <f>HYPERLINK("https://www.773grp.com/manufacturer/onsemi?pageNo=1173", "Onsemi")</f>
        <v>Onsemi</v>
      </c>
      <c r="C14654" s="6">
        <v>1903</v>
      </c>
      <c r="D14654" s="7">
        <v>2.95</v>
      </c>
      <c r="E14654" t="s">
        <v>30</v>
      </c>
    </row>
    <row r="14655" spans="1:5" x14ac:dyDescent="0.25">
      <c r="A14655" t="str">
        <f>HYPERLINK("https://www.773grp.com/globalSearch/MC34067DWG/page-1", "MC34067DWG")</f>
        <v>MC34067DWG</v>
      </c>
      <c r="B14655" s="3" t="str">
        <f>HYPERLINK("https://www.773grp.com/manufacturer/onsemi?pageNo=1174", "Onsemi")</f>
        <v>Onsemi</v>
      </c>
      <c r="C14655" s="6">
        <v>68</v>
      </c>
      <c r="D14655" s="7">
        <v>2.95</v>
      </c>
    </row>
    <row r="14656" spans="1:5" x14ac:dyDescent="0.25">
      <c r="A14656" t="str">
        <f>HYPERLINK("https://www.773grp.com/globalSearch/MC34067PG/page-1", "MC34067PG")</f>
        <v>MC34067PG</v>
      </c>
      <c r="B14656" s="3" t="str">
        <f>HYPERLINK("https://www.773grp.com/manufacturer/onsemi?pageNo=1175", "Onsemi")</f>
        <v>Onsemi</v>
      </c>
      <c r="C14656" s="6">
        <v>490</v>
      </c>
      <c r="D14656" s="7">
        <v>2.95</v>
      </c>
      <c r="E14656" t="s">
        <v>5</v>
      </c>
    </row>
    <row r="14657" spans="1:5" x14ac:dyDescent="0.25">
      <c r="A14657" t="str">
        <f>HYPERLINK("https://www.773grp.com/globalSearch/MC74F646DW/page-1", "MC74F646DW")</f>
        <v>MC74F646DW</v>
      </c>
      <c r="B14657" s="3" t="str">
        <f>HYPERLINK("https://www.773grp.com/manufacturer/onsemi?pageNo=1176", "Onsemi")</f>
        <v>Onsemi</v>
      </c>
      <c r="C14657" s="6">
        <v>4140</v>
      </c>
      <c r="D14657" s="7">
        <v>2.95</v>
      </c>
      <c r="E14657" t="s">
        <v>11</v>
      </c>
    </row>
    <row r="14658" spans="1:5" x14ac:dyDescent="0.25">
      <c r="A14658" t="str">
        <f>HYPERLINK("https://www.773grp.com/globalSearch/MC74F646DWR2/page-1", "MC74F646DWR2")</f>
        <v>MC74F646DWR2</v>
      </c>
      <c r="B14658" s="3" t="str">
        <f>HYPERLINK("https://www.773grp.com/manufacturer/onsemi?pageNo=1177", "Onsemi")</f>
        <v>Onsemi</v>
      </c>
      <c r="C14658" s="6">
        <v>4000</v>
      </c>
      <c r="D14658" s="7">
        <v>2.95</v>
      </c>
      <c r="E14658" t="s">
        <v>11</v>
      </c>
    </row>
    <row r="14659" spans="1:5" x14ac:dyDescent="0.25">
      <c r="A14659" t="str">
        <f>HYPERLINK("https://www.773grp.com/globalSearch/MC74F657ADW/page-1", "MC74F657ADW")</f>
        <v>MC74F657ADW</v>
      </c>
      <c r="B14659" s="3" t="str">
        <f>HYPERLINK("https://www.773grp.com/manufacturer/onsemi?pageNo=1178", "Onsemi")</f>
        <v>Onsemi</v>
      </c>
      <c r="C14659" s="6">
        <v>365</v>
      </c>
      <c r="D14659" s="7">
        <v>2.95</v>
      </c>
      <c r="E14659" t="s">
        <v>11</v>
      </c>
    </row>
    <row r="14660" spans="1:5" x14ac:dyDescent="0.25">
      <c r="A14660" t="str">
        <f>HYPERLINK("https://www.773grp.com/globalSearch/MC74F657ADWR2/page-1", "MC74F657ADWR2")</f>
        <v>MC74F657ADWR2</v>
      </c>
      <c r="B14660" s="3" t="str">
        <f>HYPERLINK("https://www.773grp.com/manufacturer/onsemi?pageNo=1179", "Onsemi")</f>
        <v>Onsemi</v>
      </c>
      <c r="C14660" s="6">
        <v>1000</v>
      </c>
      <c r="D14660" s="7">
        <v>2.95</v>
      </c>
      <c r="E14660" t="s">
        <v>11</v>
      </c>
    </row>
    <row r="14661" spans="1:5" x14ac:dyDescent="0.25">
      <c r="A14661" t="str">
        <f>HYPERLINK("https://www.773grp.com/globalSearch/MC74F657AN/page-1", "MC74F657AN")</f>
        <v>MC74F657AN</v>
      </c>
      <c r="B14661" s="3" t="str">
        <f>HYPERLINK("https://www.773grp.com/manufacturer/onsemi?pageNo=1180", "Onsemi")</f>
        <v>Onsemi</v>
      </c>
      <c r="C14661" s="6">
        <v>2450</v>
      </c>
      <c r="D14661" s="7">
        <v>2.95</v>
      </c>
      <c r="E14661" t="s">
        <v>11</v>
      </c>
    </row>
    <row r="14662" spans="1:5" x14ac:dyDescent="0.25">
      <c r="A14662" t="str">
        <f>HYPERLINK("https://www.773grp.com/globalSearch/MC74F657BDW/page-1", "MC74F657BDW")</f>
        <v>MC74F657BDW</v>
      </c>
      <c r="B14662" s="3" t="str">
        <f>HYPERLINK("https://www.773grp.com/manufacturer/onsemi?pageNo=1181", "Onsemi")</f>
        <v>Onsemi</v>
      </c>
      <c r="C14662" s="6">
        <v>840</v>
      </c>
      <c r="D14662" s="7">
        <v>2.95</v>
      </c>
      <c r="E14662" t="s">
        <v>11</v>
      </c>
    </row>
    <row r="14663" spans="1:5" x14ac:dyDescent="0.25">
      <c r="A14663" t="str">
        <f>HYPERLINK("https://www.773grp.com/globalSearch/MC74F657BDWR/page-1", "MC74F657BDWR")</f>
        <v>MC74F657BDWR</v>
      </c>
      <c r="B14663" s="3" t="str">
        <f>HYPERLINK("https://www.773grp.com/manufacturer/onsemi?pageNo=1182", "Onsemi")</f>
        <v>Onsemi</v>
      </c>
      <c r="C14663" s="6">
        <v>1000</v>
      </c>
      <c r="D14663" s="7">
        <v>2.95</v>
      </c>
    </row>
    <row r="14664" spans="1:5" x14ac:dyDescent="0.25">
      <c r="A14664" t="str">
        <f>HYPERLINK("https://www.773grp.com/globalSearch/MC74F657BDWR2/page-1", "MC74F657BDWR2")</f>
        <v>MC74F657BDWR2</v>
      </c>
      <c r="B14664" s="3" t="str">
        <f>HYPERLINK("https://www.773grp.com/manufacturer/onsemi?pageNo=1183", "Onsemi")</f>
        <v>Onsemi</v>
      </c>
      <c r="C14664" s="6">
        <v>1000</v>
      </c>
      <c r="D14664" s="7">
        <v>2.95</v>
      </c>
      <c r="E14664" t="s">
        <v>11</v>
      </c>
    </row>
    <row r="14665" spans="1:5" x14ac:dyDescent="0.25">
      <c r="A14665" t="str">
        <f>HYPERLINK("https://www.773grp.com/globalSearch/MPIC2112DW/page-1", "MPIC2112DW")</f>
        <v>MPIC2112DW</v>
      </c>
      <c r="B14665" s="3" t="str">
        <f>HYPERLINK("https://www.773grp.com/manufacturer/onsemi?pageNo=1184", "Onsemi")</f>
        <v>Onsemi</v>
      </c>
      <c r="C14665" s="6">
        <v>255</v>
      </c>
      <c r="D14665" s="7">
        <v>2.95</v>
      </c>
      <c r="E14665" t="s">
        <v>12</v>
      </c>
    </row>
    <row r="14666" spans="1:5" x14ac:dyDescent="0.25">
      <c r="A14666" t="str">
        <f>HYPERLINK("https://www.773grp.com/globalSearch/MTP50N06EL/page-1", "MTP50N06EL")</f>
        <v>MTP50N06EL</v>
      </c>
      <c r="B14666" s="3" t="str">
        <f>HYPERLINK("https://www.773grp.com/manufacturer/onsemi?pageNo=1185", "Onsemi")</f>
        <v>Onsemi</v>
      </c>
      <c r="C14666" s="6">
        <v>27</v>
      </c>
      <c r="D14666" s="7">
        <v>2.95</v>
      </c>
      <c r="E14666" t="s">
        <v>84</v>
      </c>
    </row>
    <row r="14667" spans="1:5" x14ac:dyDescent="0.25">
      <c r="A14667" t="str">
        <f>HYPERLINK("https://www.773grp.com/globalSearch/MUR3040/page-1", "MUR3040")</f>
        <v>MUR3040</v>
      </c>
      <c r="B14667" s="3" t="str">
        <f>HYPERLINK("https://www.773grp.com/manufacturer/onsemi?pageNo=1186", "Onsemi")</f>
        <v>Onsemi</v>
      </c>
      <c r="C14667" s="6">
        <v>1100</v>
      </c>
      <c r="D14667" s="7">
        <v>2.95</v>
      </c>
      <c r="E14667" t="s">
        <v>82</v>
      </c>
    </row>
    <row r="14668" spans="1:5" x14ac:dyDescent="0.25">
      <c r="A14668" t="str">
        <f>HYPERLINK("https://www.773grp.com/globalSearch/MUR3040/page-1", "MUR3040")</f>
        <v>MUR3040</v>
      </c>
      <c r="B14668" s="3" t="str">
        <f>HYPERLINK("https://www.773grp.com/manufacturer/onsemi?pageNo=1187", "Onsemi")</f>
        <v>Onsemi</v>
      </c>
      <c r="C14668" s="6">
        <v>1330</v>
      </c>
      <c r="D14668" s="7">
        <v>2.95</v>
      </c>
      <c r="E14668" t="s">
        <v>82</v>
      </c>
    </row>
    <row r="14669" spans="1:5" x14ac:dyDescent="0.25">
      <c r="A14669" t="str">
        <f>HYPERLINK("https://www.773grp.com/globalSearch/NCL30001DR2G/page-1", "NCL30001DR2G")</f>
        <v>NCL30001DR2G</v>
      </c>
      <c r="B14669" s="3" t="str">
        <f>HYPERLINK("https://www.773grp.com/manufacturer/onsemi?pageNo=1188", "Onsemi")</f>
        <v>Onsemi</v>
      </c>
      <c r="C14669" s="6">
        <v>9748</v>
      </c>
      <c r="D14669" s="7">
        <v>2.95</v>
      </c>
    </row>
    <row r="14670" spans="1:5" x14ac:dyDescent="0.25">
      <c r="A14670" t="str">
        <f>HYPERLINK("https://www.773grp.com/globalSearch/NCV8800HDW26R2/page-1", "NCV8800HDW26R2")</f>
        <v>NCV8800HDW26R2</v>
      </c>
      <c r="B14670" s="3" t="str">
        <f>HYPERLINK("https://www.773grp.com/manufacturer/onsemi?pageNo=1189", "Onsemi")</f>
        <v>Onsemi</v>
      </c>
      <c r="C14670" s="6">
        <v>1000</v>
      </c>
      <c r="D14670" s="7">
        <v>2.95</v>
      </c>
      <c r="E14670" t="s">
        <v>5</v>
      </c>
    </row>
    <row r="14671" spans="1:5" x14ac:dyDescent="0.25">
      <c r="A14671" t="str">
        <f>HYPERLINK("https://www.773grp.com/globalSearch/NCV8800HDW75/page-1", "NCV8800HDW75")</f>
        <v>NCV8800HDW75</v>
      </c>
      <c r="B14671" s="3" t="str">
        <f>HYPERLINK("https://www.773grp.com/manufacturer/onsemi?pageNo=1190", "Onsemi")</f>
        <v>Onsemi</v>
      </c>
      <c r="C14671" s="6">
        <v>1692</v>
      </c>
      <c r="D14671" s="7">
        <v>2.95</v>
      </c>
      <c r="E14671" t="s">
        <v>5</v>
      </c>
    </row>
    <row r="14672" spans="1:5" x14ac:dyDescent="0.25">
      <c r="A14672" t="str">
        <f>HYPERLINK("https://www.773grp.com/globalSearch/NCV8800HDW75R2/page-1", "NCV8800HDW75R2")</f>
        <v>NCV8800HDW75R2</v>
      </c>
      <c r="B14672" s="3" t="str">
        <f>HYPERLINK("https://www.773grp.com/manufacturer/onsemi?pageNo=1191", "Onsemi")</f>
        <v>Onsemi</v>
      </c>
      <c r="C14672" s="6">
        <v>752</v>
      </c>
      <c r="D14672" s="7">
        <v>2.95</v>
      </c>
      <c r="E14672" t="s">
        <v>5</v>
      </c>
    </row>
    <row r="14673" spans="1:5" x14ac:dyDescent="0.25">
      <c r="A14673" t="str">
        <f>HYPERLINK("https://www.773grp.com/globalSearch/NTP35N15G/page-1", "NTP35N15G")</f>
        <v>NTP35N15G</v>
      </c>
      <c r="B14673" s="3" t="str">
        <f>HYPERLINK("https://www.773grp.com/manufacturer/onsemi?pageNo=1192", "Onsemi")</f>
        <v>Onsemi</v>
      </c>
      <c r="C14673" s="6">
        <v>5395</v>
      </c>
      <c r="D14673" s="7">
        <v>2.95</v>
      </c>
      <c r="E14673" t="s">
        <v>84</v>
      </c>
    </row>
    <row r="14674" spans="1:5" x14ac:dyDescent="0.25">
      <c r="A14674" t="str">
        <f>HYPERLINK("https://www.773grp.com/globalSearch/2N6344G/page-1", "2N6344G")</f>
        <v>2N6344G</v>
      </c>
      <c r="B14674" s="3" t="str">
        <f>HYPERLINK("https://www.773grp.com/manufacturer/onsemi?pageNo=1193", "Onsemi")</f>
        <v>Onsemi</v>
      </c>
      <c r="C14674" s="6">
        <v>4000</v>
      </c>
      <c r="D14674" s="7">
        <v>3.28</v>
      </c>
      <c r="E14674" t="s">
        <v>81</v>
      </c>
    </row>
    <row r="14675" spans="1:5" x14ac:dyDescent="0.25">
      <c r="A14675" t="str">
        <f>HYPERLINK("https://www.773grp.com/globalSearch/2N6348AG/page-1", "2N6348AG")</f>
        <v>2N6348AG</v>
      </c>
      <c r="B14675" s="3" t="str">
        <f>HYPERLINK("https://www.773grp.com/manufacturer/onsemi?pageNo=1194", "Onsemi")</f>
        <v>Onsemi</v>
      </c>
      <c r="C14675" s="6">
        <v>15965</v>
      </c>
      <c r="D14675" s="7">
        <v>3.28</v>
      </c>
      <c r="E14675" t="s">
        <v>81</v>
      </c>
    </row>
    <row r="14676" spans="1:5" x14ac:dyDescent="0.25">
      <c r="A14676" t="str">
        <f>HYPERLINK("https://www.773grp.com/globalSearch/2N6349AG/page-1", "2N6349AG")</f>
        <v>2N6349AG</v>
      </c>
      <c r="B14676" s="3" t="str">
        <f>HYPERLINK("https://www.773grp.com/manufacturer/onsemi?pageNo=1195", "Onsemi")</f>
        <v>Onsemi</v>
      </c>
      <c r="C14676" s="6">
        <v>2953</v>
      </c>
      <c r="D14676" s="7">
        <v>3.28</v>
      </c>
      <c r="E14676" t="s">
        <v>81</v>
      </c>
    </row>
    <row r="14677" spans="1:5" x14ac:dyDescent="0.25">
      <c r="A14677" t="str">
        <f>HYPERLINK("https://www.773grp.com/globalSearch/CS3844BGDR8/page-1", "CS3844BGDR8")</f>
        <v>CS3844BGDR8</v>
      </c>
      <c r="B14677" s="3" t="str">
        <f>HYPERLINK("https://www.773grp.com/manufacturer/onsemi?pageNo=1196", "Onsemi")</f>
        <v>Onsemi</v>
      </c>
      <c r="C14677" s="6">
        <v>7500</v>
      </c>
      <c r="D14677" s="7">
        <v>3.28</v>
      </c>
      <c r="E14677" t="s">
        <v>5</v>
      </c>
    </row>
    <row r="14678" spans="1:5" x14ac:dyDescent="0.25">
      <c r="A14678" t="str">
        <f>HYPERLINK("https://www.773grp.com/globalSearch/CS3844GD8/page-1", "CS3844GD8")</f>
        <v>CS3844GD8</v>
      </c>
      <c r="B14678" s="3" t="str">
        <f>HYPERLINK("https://www.773grp.com/manufacturer/onsemi?pageNo=1197", "Onsemi")</f>
        <v>Onsemi</v>
      </c>
      <c r="C14678" s="6">
        <v>6961</v>
      </c>
      <c r="D14678" s="7">
        <v>3.28</v>
      </c>
      <c r="E14678" t="s">
        <v>5</v>
      </c>
    </row>
    <row r="14679" spans="1:5" x14ac:dyDescent="0.25">
      <c r="A14679" t="str">
        <f>HYPERLINK("https://www.773grp.com/globalSearch/CS3845GD8/page-1", "CS3845GD8")</f>
        <v>CS3845GD8</v>
      </c>
      <c r="B14679" s="3" t="str">
        <f>HYPERLINK("https://www.773grp.com/manufacturer/onsemi?pageNo=1198", "Onsemi")</f>
        <v>Onsemi</v>
      </c>
      <c r="C14679" s="6">
        <v>1217</v>
      </c>
      <c r="D14679" s="7">
        <v>3.28</v>
      </c>
      <c r="E14679" t="s">
        <v>5</v>
      </c>
    </row>
    <row r="14680" spans="1:5" x14ac:dyDescent="0.25">
      <c r="A14680" t="str">
        <f>HYPERLINK("https://www.773grp.com/globalSearch/LA6597FMC-AH/page-1", "LA6597FMC-AH")</f>
        <v>LA6597FMC-AH</v>
      </c>
      <c r="B14680" s="3" t="str">
        <f>HYPERLINK("https://www.773grp.com/manufacturer/onsemi?pageNo=1199", "Onsemi")</f>
        <v>Onsemi</v>
      </c>
      <c r="C14680" s="6">
        <v>207500</v>
      </c>
      <c r="D14680" s="7">
        <v>3.28</v>
      </c>
    </row>
    <row r="14681" spans="1:5" x14ac:dyDescent="0.25">
      <c r="A14681" t="str">
        <f>HYPERLINK("https://www.773grp.com/globalSearch/LV8281VR-TLM-H/page-1", "LV8281VR-TLM-H")</f>
        <v>LV8281VR-TLM-H</v>
      </c>
      <c r="B14681" s="3" t="str">
        <f>HYPERLINK("https://www.773grp.com/manufacturer/onsemi?pageNo=1200", "Onsemi")</f>
        <v>Onsemi</v>
      </c>
      <c r="C14681" s="6">
        <v>40000</v>
      </c>
      <c r="D14681" s="7">
        <v>3.28</v>
      </c>
    </row>
    <row r="14682" spans="1:5" x14ac:dyDescent="0.25">
      <c r="A14682" t="str">
        <f>HYPERLINK("https://www.773grp.com/globalSearch/MAC15A10G/page-1", "MAC15A10G")</f>
        <v>MAC15A10G</v>
      </c>
      <c r="B14682" s="3" t="str">
        <f>HYPERLINK("https://www.773grp.com/manufacturer/onsemi?pageNo=1201", "Onsemi")</f>
        <v>Onsemi</v>
      </c>
      <c r="C14682" s="6">
        <v>1375</v>
      </c>
      <c r="D14682" s="7">
        <v>3.28</v>
      </c>
    </row>
    <row r="14683" spans="1:5" x14ac:dyDescent="0.25">
      <c r="A14683" t="str">
        <f>HYPERLINK("https://www.773grp.com/globalSearch/MAC15A6G/page-1", "MAC15A6G")</f>
        <v>MAC15A6G</v>
      </c>
      <c r="B14683" s="3" t="str">
        <f>HYPERLINK("https://www.773grp.com/manufacturer/onsemi?pageNo=1202", "Onsemi")</f>
        <v>Onsemi</v>
      </c>
      <c r="C14683" s="6">
        <v>31400</v>
      </c>
      <c r="D14683" s="7">
        <v>3.28</v>
      </c>
      <c r="E14683" t="s">
        <v>81</v>
      </c>
    </row>
    <row r="14684" spans="1:5" x14ac:dyDescent="0.25">
      <c r="A14684" t="str">
        <f>HYPERLINK("https://www.773grp.com/globalSearch/MAC15A8G/page-1", "MAC15A8G")</f>
        <v>MAC15A8G</v>
      </c>
      <c r="B14684" s="3" t="str">
        <f>HYPERLINK("https://www.773grp.com/manufacturer/onsemi?pageNo=1203", "Onsemi")</f>
        <v>Onsemi</v>
      </c>
      <c r="C14684" s="6">
        <v>5686</v>
      </c>
      <c r="D14684" s="7">
        <v>3.28</v>
      </c>
      <c r="E14684" t="s">
        <v>81</v>
      </c>
    </row>
    <row r="14685" spans="1:5" x14ac:dyDescent="0.25">
      <c r="A14685" t="str">
        <f>HYPERLINK("https://www.773grp.com/globalSearch/MC10134P/page-1", "MC10134P")</f>
        <v>MC10134P</v>
      </c>
      <c r="B14685" s="3" t="str">
        <f>HYPERLINK("https://www.773grp.com/manufacturer/onsemi?pageNo=1204", "Onsemi")</f>
        <v>Onsemi</v>
      </c>
      <c r="C14685" s="6">
        <v>1950</v>
      </c>
      <c r="D14685" s="7">
        <v>3.28</v>
      </c>
      <c r="E14685" t="s">
        <v>31</v>
      </c>
    </row>
    <row r="14686" spans="1:5" x14ac:dyDescent="0.25">
      <c r="A14686" t="str">
        <f>HYPERLINK("https://www.773grp.com/globalSearch/MC14517BDWG/page-1", "MC14517BDWG")</f>
        <v>MC14517BDWG</v>
      </c>
      <c r="B14686" s="3" t="str">
        <f>HYPERLINK("https://www.773grp.com/manufacturer/onsemi?pageNo=1205", "Onsemi")</f>
        <v>Onsemi</v>
      </c>
      <c r="C14686" s="6">
        <v>822</v>
      </c>
      <c r="D14686" s="7">
        <v>3.28</v>
      </c>
    </row>
    <row r="14687" spans="1:5" x14ac:dyDescent="0.25">
      <c r="A14687" t="str">
        <f>HYPERLINK("https://www.773grp.com/globalSearch/MCR25DG/page-1", "MCR25DG")</f>
        <v>MCR25DG</v>
      </c>
      <c r="B14687" s="3" t="str">
        <f>HYPERLINK("https://www.773grp.com/manufacturer/onsemi?pageNo=1206", "Onsemi")</f>
        <v>Onsemi</v>
      </c>
      <c r="C14687" s="6">
        <v>14</v>
      </c>
      <c r="D14687" s="7">
        <v>3.28</v>
      </c>
      <c r="E14687" t="s">
        <v>76</v>
      </c>
    </row>
    <row r="14688" spans="1:5" x14ac:dyDescent="0.25">
      <c r="A14688" t="str">
        <f>HYPERLINK("https://www.773grp.com/globalSearch/MCR25MG/page-1", "MCR25MG")</f>
        <v>MCR25MG</v>
      </c>
      <c r="B14688" s="3" t="str">
        <f>HYPERLINK("https://www.773grp.com/manufacturer/onsemi?pageNo=1207", "Onsemi")</f>
        <v>Onsemi</v>
      </c>
      <c r="C14688" s="6">
        <v>54172</v>
      </c>
      <c r="D14688" s="7">
        <v>3.28</v>
      </c>
      <c r="E14688" t="s">
        <v>76</v>
      </c>
    </row>
    <row r="14689" spans="1:5" x14ac:dyDescent="0.25">
      <c r="A14689" t="str">
        <f>HYPERLINK("https://www.773grp.com/globalSearch/MCR25NG/page-1", "MCR25NG")</f>
        <v>MCR25NG</v>
      </c>
      <c r="B14689" s="3" t="str">
        <f>HYPERLINK("https://www.773grp.com/manufacturer/onsemi?pageNo=1208", "Onsemi")</f>
        <v>Onsemi</v>
      </c>
      <c r="C14689" s="6">
        <v>20</v>
      </c>
      <c r="D14689" s="7">
        <v>3.28</v>
      </c>
    </row>
    <row r="14690" spans="1:5" x14ac:dyDescent="0.25">
      <c r="A14690" t="str">
        <f>HYPERLINK("https://www.773grp.com/globalSearch/MTB15N06VT4/page-1", "MTB15N06VT4")</f>
        <v>MTB15N06VT4</v>
      </c>
      <c r="B14690" s="3" t="str">
        <f>HYPERLINK("https://www.773grp.com/manufacturer/onsemi?pageNo=1209", "Onsemi")</f>
        <v>Onsemi</v>
      </c>
      <c r="C14690" s="6">
        <v>10400</v>
      </c>
      <c r="D14690" s="7">
        <v>3.28</v>
      </c>
      <c r="E14690" t="s">
        <v>84</v>
      </c>
    </row>
    <row r="14691" spans="1:5" x14ac:dyDescent="0.25">
      <c r="A14691" t="str">
        <f>HYPERLINK("https://www.773grp.com/globalSearch/MTB15N06VT4/page-1", "MTB15N06VT4")</f>
        <v>MTB15N06VT4</v>
      </c>
      <c r="B14691" s="3" t="str">
        <f>HYPERLINK("https://www.773grp.com/manufacturer/onsemi?pageNo=1210", "Onsemi")</f>
        <v>Onsemi</v>
      </c>
      <c r="C14691" s="6">
        <v>800</v>
      </c>
      <c r="D14691" s="7">
        <v>3.28</v>
      </c>
      <c r="E14691" t="s">
        <v>84</v>
      </c>
    </row>
    <row r="14692" spans="1:5" x14ac:dyDescent="0.25">
      <c r="A14692" t="str">
        <f>HYPERLINK("https://www.773grp.com/globalSearch/MTB60N06HDT4/page-1", "MTB60N06HDT4")</f>
        <v>MTB60N06HDT4</v>
      </c>
      <c r="B14692" s="3" t="str">
        <f>HYPERLINK("https://www.773grp.com/manufacturer/onsemi?pageNo=1211", "Onsemi")</f>
        <v>Onsemi</v>
      </c>
      <c r="C14692" s="6">
        <v>220</v>
      </c>
      <c r="D14692" s="7">
        <v>3.28</v>
      </c>
      <c r="E14692" t="s">
        <v>84</v>
      </c>
    </row>
    <row r="14693" spans="1:5" x14ac:dyDescent="0.25">
      <c r="A14693" t="str">
        <f>HYPERLINK("https://www.773grp.com/globalSearch/NCP1000T/page-1", "NCP1000T")</f>
        <v>NCP1000T</v>
      </c>
      <c r="B14693" s="3" t="str">
        <f>HYPERLINK("https://www.773grp.com/manufacturer/onsemi?pageNo=1212", "Onsemi")</f>
        <v>Onsemi</v>
      </c>
      <c r="C14693" s="6">
        <v>5850</v>
      </c>
      <c r="D14693" s="7">
        <v>3.28</v>
      </c>
      <c r="E14693" t="s">
        <v>5</v>
      </c>
    </row>
    <row r="14694" spans="1:5" x14ac:dyDescent="0.25">
      <c r="A14694" t="str">
        <f>HYPERLINK("https://www.773grp.com/globalSearch/NCP1205DR2G/page-1", "NCP1205DR2G")</f>
        <v>NCP1205DR2G</v>
      </c>
      <c r="B14694" s="3" t="str">
        <f>HYPERLINK("https://www.773grp.com/manufacturer/onsemi?pageNo=1213", "Onsemi")</f>
        <v>Onsemi</v>
      </c>
      <c r="C14694" s="6">
        <v>12439</v>
      </c>
      <c r="D14694" s="7">
        <v>3.28</v>
      </c>
      <c r="E14694" t="s">
        <v>5</v>
      </c>
    </row>
    <row r="14695" spans="1:5" x14ac:dyDescent="0.25">
      <c r="A14695" t="str">
        <f>HYPERLINK("https://www.773grp.com/globalSearch/NCP1382DR2G/page-1", "NCP1382DR2G")</f>
        <v>NCP1382DR2G</v>
      </c>
      <c r="B14695" s="3" t="str">
        <f>HYPERLINK("https://www.773grp.com/manufacturer/onsemi?pageNo=1214", "Onsemi")</f>
        <v>Onsemi</v>
      </c>
      <c r="C14695" s="6">
        <v>439403</v>
      </c>
      <c r="D14695" s="7">
        <v>3.28</v>
      </c>
      <c r="E14695" t="s">
        <v>5</v>
      </c>
    </row>
    <row r="14696" spans="1:5" x14ac:dyDescent="0.25">
      <c r="A14696" t="str">
        <f>HYPERLINK("https://www.773grp.com/globalSearch/NCP4302ADR2G/page-1", "NCP4302ADR2G")</f>
        <v>NCP4302ADR2G</v>
      </c>
      <c r="B14696" s="3" t="str">
        <f>HYPERLINK("https://www.773grp.com/manufacturer/onsemi?pageNo=1215", "Onsemi")</f>
        <v>Onsemi</v>
      </c>
      <c r="C14696" s="6">
        <v>2117</v>
      </c>
      <c r="D14696" s="7">
        <v>3.28</v>
      </c>
      <c r="E14696" t="s">
        <v>5</v>
      </c>
    </row>
    <row r="14697" spans="1:5" x14ac:dyDescent="0.25">
      <c r="A14697" t="str">
        <f>HYPERLINK("https://www.773grp.com/globalSearch/NCP4302BDR2G/page-1", "NCP4302BDR2G")</f>
        <v>NCP4302BDR2G</v>
      </c>
      <c r="B14697" s="3" t="str">
        <f>HYPERLINK("https://www.773grp.com/manufacturer/onsemi?pageNo=1216", "Onsemi")</f>
        <v>Onsemi</v>
      </c>
      <c r="C14697" s="6">
        <v>18734</v>
      </c>
      <c r="D14697" s="7">
        <v>3.28</v>
      </c>
      <c r="E14697" t="s">
        <v>5</v>
      </c>
    </row>
    <row r="14698" spans="1:5" x14ac:dyDescent="0.25">
      <c r="A14698" t="str">
        <f>HYPERLINK("https://www.773grp.com/globalSearch/NCP4414P/page-1", "NCP4414P")</f>
        <v>NCP4414P</v>
      </c>
      <c r="B14698" s="3" t="str">
        <f>HYPERLINK("https://www.773grp.com/manufacturer/onsemi?pageNo=1217", "Onsemi")</f>
        <v>Onsemi</v>
      </c>
      <c r="C14698" s="6">
        <v>27494</v>
      </c>
      <c r="D14698" s="7">
        <v>3.28</v>
      </c>
      <c r="E14698" t="s">
        <v>12</v>
      </c>
    </row>
    <row r="14699" spans="1:5" x14ac:dyDescent="0.25">
      <c r="A14699" t="str">
        <f>HYPERLINK("https://www.773grp.com/globalSearch/NCP5399MNR2G/page-1", "NCP5399MNR2G")</f>
        <v>NCP5399MNR2G</v>
      </c>
      <c r="B14699" s="3" t="str">
        <f>HYPERLINK("https://www.773grp.com/manufacturer/onsemi?pageNo=1218", "Onsemi")</f>
        <v>Onsemi</v>
      </c>
      <c r="C14699" s="6">
        <v>252515</v>
      </c>
      <c r="D14699" s="7">
        <v>3.28</v>
      </c>
    </row>
    <row r="14700" spans="1:5" x14ac:dyDescent="0.25">
      <c r="A14700" t="str">
        <f>HYPERLINK("https://www.773grp.com/globalSearch/NCP59151DS18R4G/page-1", "NCP59151DS18R4G")</f>
        <v>NCP59151DS18R4G</v>
      </c>
      <c r="B14700" s="3" t="str">
        <f>HYPERLINK("https://www.773grp.com/manufacturer/onsemi?pageNo=1219", "Onsemi")</f>
        <v>Onsemi</v>
      </c>
      <c r="C14700" s="6">
        <v>1600</v>
      </c>
      <c r="D14700" s="7">
        <v>3.28</v>
      </c>
    </row>
    <row r="14701" spans="1:5" x14ac:dyDescent="0.25">
      <c r="A14701" t="str">
        <f>HYPERLINK("https://www.773grp.com/globalSearch/NCP59151DS25R4G/page-1", "NCP59151DS25R4G")</f>
        <v>NCP59151DS25R4G</v>
      </c>
      <c r="B14701" s="3" t="str">
        <f>HYPERLINK("https://www.773grp.com/manufacturer/onsemi?pageNo=1220", "Onsemi")</f>
        <v>Onsemi</v>
      </c>
      <c r="C14701" s="6">
        <v>800</v>
      </c>
      <c r="D14701" s="7">
        <v>3.28</v>
      </c>
    </row>
    <row r="14702" spans="1:5" x14ac:dyDescent="0.25">
      <c r="A14702" t="str">
        <f>HYPERLINK("https://www.773grp.com/globalSearch/NCP59151DS28R4G/page-1", "NCP59151DS28R4G")</f>
        <v>NCP59151DS28R4G</v>
      </c>
      <c r="B14702" s="3" t="str">
        <f>HYPERLINK("https://www.773grp.com/manufacturer/onsemi?pageNo=1221", "Onsemi")</f>
        <v>Onsemi</v>
      </c>
      <c r="C14702" s="6">
        <v>800</v>
      </c>
      <c r="D14702" s="7">
        <v>3.28</v>
      </c>
    </row>
    <row r="14703" spans="1:5" x14ac:dyDescent="0.25">
      <c r="A14703" t="str">
        <f>HYPERLINK("https://www.773grp.com/globalSearch/NCP59151DS30R4G/page-1", "NCP59151DS30R4G")</f>
        <v>NCP59151DS30R4G</v>
      </c>
      <c r="B14703" s="3" t="str">
        <f>HYPERLINK("https://www.773grp.com/manufacturer/onsemi?pageNo=1222", "Onsemi")</f>
        <v>Onsemi</v>
      </c>
      <c r="C14703" s="6">
        <v>800</v>
      </c>
      <c r="D14703" s="7">
        <v>3.28</v>
      </c>
    </row>
    <row r="14704" spans="1:5" x14ac:dyDescent="0.25">
      <c r="A14704" t="str">
        <f>HYPERLINK("https://www.773grp.com/globalSearch/NCP59151DS33R4G/page-1", "NCP59151DS33R4G")</f>
        <v>NCP59151DS33R4G</v>
      </c>
      <c r="B14704" s="3" t="str">
        <f>HYPERLINK("https://www.773grp.com/manufacturer/onsemi?pageNo=1223", "Onsemi")</f>
        <v>Onsemi</v>
      </c>
      <c r="C14704" s="6">
        <v>800</v>
      </c>
      <c r="D14704" s="7">
        <v>3.28</v>
      </c>
    </row>
    <row r="14705" spans="1:5" x14ac:dyDescent="0.25">
      <c r="A14705" t="str">
        <f>HYPERLINK("https://www.773grp.com/globalSearch/NCP59151DS50R4G/page-1", "NCP59151DS50R4G")</f>
        <v>NCP59151DS50R4G</v>
      </c>
      <c r="B14705" s="3" t="str">
        <f>HYPERLINK("https://www.773grp.com/manufacturer/onsemi?pageNo=1224", "Onsemi")</f>
        <v>Onsemi</v>
      </c>
      <c r="C14705" s="6">
        <v>730</v>
      </c>
      <c r="D14705" s="7">
        <v>3.28</v>
      </c>
    </row>
    <row r="14706" spans="1:5" x14ac:dyDescent="0.25">
      <c r="A14706" t="str">
        <f>HYPERLINK("https://www.773grp.com/globalSearch/NCP6151S52MNR2G/page-1", "NCP6151S52MNR2G")</f>
        <v>NCP6151S52MNR2G</v>
      </c>
      <c r="B14706" s="3" t="str">
        <f>HYPERLINK("https://www.773grp.com/manufacturer/onsemi?pageNo=1225", "Onsemi")</f>
        <v>Onsemi</v>
      </c>
      <c r="C14706" s="6">
        <v>1120</v>
      </c>
      <c r="D14706" s="7">
        <v>3.28</v>
      </c>
    </row>
    <row r="14707" spans="1:5" x14ac:dyDescent="0.25">
      <c r="A14707" t="str">
        <f>HYPERLINK("https://www.773grp.com/globalSearch/NCT22DR2/page-1", "NCT22DR2")</f>
        <v>NCT22DR2</v>
      </c>
      <c r="B14707" s="3" t="str">
        <f>HYPERLINK("https://www.773grp.com/manufacturer/onsemi?pageNo=1226", "Onsemi")</f>
        <v>Onsemi</v>
      </c>
      <c r="C14707" s="6">
        <v>26258</v>
      </c>
      <c r="D14707" s="7">
        <v>3.28</v>
      </c>
      <c r="E14707" t="s">
        <v>9</v>
      </c>
    </row>
    <row r="14708" spans="1:5" x14ac:dyDescent="0.25">
      <c r="A14708" t="str">
        <f>HYPERLINK("https://www.773grp.com/globalSearch/NCT24DR2/page-1", "NCT24DR2")</f>
        <v>NCT24DR2</v>
      </c>
      <c r="B14708" s="3" t="str">
        <f>HYPERLINK("https://www.773grp.com/manufacturer/onsemi?pageNo=1227", "Onsemi")</f>
        <v>Onsemi</v>
      </c>
      <c r="C14708" s="6">
        <v>27495</v>
      </c>
      <c r="D14708" s="7">
        <v>3.28</v>
      </c>
      <c r="E14708" t="s">
        <v>9</v>
      </c>
    </row>
    <row r="14709" spans="1:5" x14ac:dyDescent="0.25">
      <c r="A14709" t="str">
        <f>HYPERLINK("https://www.773grp.com/globalSearch/NCV4269APD50G/page-1", "NCV4269APD50G")</f>
        <v>NCV4269APD50G</v>
      </c>
      <c r="B14709" s="3" t="str">
        <f>HYPERLINK("https://www.773grp.com/manufacturer/onsemi?pageNo=1228", "Onsemi")</f>
        <v>Onsemi</v>
      </c>
      <c r="C14709" s="6">
        <v>1382</v>
      </c>
      <c r="D14709" s="7">
        <v>3.28</v>
      </c>
      <c r="E14709" t="s">
        <v>15</v>
      </c>
    </row>
    <row r="14710" spans="1:5" x14ac:dyDescent="0.25">
      <c r="A14710" t="str">
        <f>HYPERLINK("https://www.773grp.com/globalSearch/NCV4269APD50R2G/page-1", "NCV4269APD50R2G")</f>
        <v>NCV4269APD50R2G</v>
      </c>
      <c r="B14710" s="3" t="str">
        <f>HYPERLINK("https://www.773grp.com/manufacturer/onsemi?pageNo=1229", "Onsemi")</f>
        <v>Onsemi</v>
      </c>
      <c r="C14710" s="6">
        <v>5000</v>
      </c>
      <c r="D14710" s="7">
        <v>3.28</v>
      </c>
    </row>
    <row r="14711" spans="1:5" x14ac:dyDescent="0.25">
      <c r="A14711" t="str">
        <f>HYPERLINK("https://www.773grp.com/globalSearch/NCV4274DT33RKG/page-1", "NCV4274DT33RKG")</f>
        <v>NCV4274DT33RKG</v>
      </c>
      <c r="B14711" s="3" t="str">
        <f>HYPERLINK("https://www.773grp.com/manufacturer/onsemi?pageNo=1230", "Onsemi")</f>
        <v>Onsemi</v>
      </c>
      <c r="C14711" s="6">
        <v>139795</v>
      </c>
      <c r="D14711" s="7">
        <v>3.28</v>
      </c>
      <c r="E14711" t="s">
        <v>24</v>
      </c>
    </row>
    <row r="14712" spans="1:5" x14ac:dyDescent="0.25">
      <c r="A14712" t="str">
        <f>HYPERLINK("https://www.773grp.com/globalSearch/NCV8664DT33RKG/page-1", "NCV8664DT33RKG")</f>
        <v>NCV8664DT33RKG</v>
      </c>
      <c r="B14712" s="3" t="str">
        <f>HYPERLINK("https://www.773grp.com/manufacturer/onsemi?pageNo=1231", "Onsemi")</f>
        <v>Onsemi</v>
      </c>
      <c r="C14712" s="6">
        <v>8884</v>
      </c>
      <c r="D14712" s="7">
        <v>3.28</v>
      </c>
    </row>
    <row r="14713" spans="1:5" x14ac:dyDescent="0.25">
      <c r="A14713" t="str">
        <f>HYPERLINK("https://www.773grp.com/globalSearch/NCV8664DT50RKG/page-1", "NCV8664DT50RKG")</f>
        <v>NCV8664DT50RKG</v>
      </c>
      <c r="B14713" s="3" t="str">
        <f>HYPERLINK("https://www.773grp.com/manufacturer/onsemi?pageNo=1232", "Onsemi")</f>
        <v>Onsemi</v>
      </c>
      <c r="C14713" s="6">
        <v>10000</v>
      </c>
      <c r="D14713" s="7">
        <v>3.28</v>
      </c>
    </row>
    <row r="14714" spans="1:5" x14ac:dyDescent="0.25">
      <c r="A14714" t="str">
        <f>HYPERLINK("https://www.773grp.com/globalSearch/NLSX3012DMR2G/page-1", "NLSX3012DMR2G")</f>
        <v>NLSX3012DMR2G</v>
      </c>
      <c r="B14714" s="3" t="str">
        <f>HYPERLINK("https://www.773grp.com/manufacturer/onsemi?pageNo=1233", "Onsemi")</f>
        <v>Onsemi</v>
      </c>
      <c r="C14714" s="6">
        <v>4000</v>
      </c>
      <c r="D14714" s="7">
        <v>3.28</v>
      </c>
    </row>
    <row r="14715" spans="1:5" x14ac:dyDescent="0.25">
      <c r="A14715" t="str">
        <f>HYPERLINK("https://www.773grp.com/globalSearch/NLSX3012MUTAG/page-1", "NLSX3012MUTAG")</f>
        <v>NLSX3012MUTAG</v>
      </c>
      <c r="B14715" s="3" t="str">
        <f>HYPERLINK("https://www.773grp.com/manufacturer/onsemi?pageNo=1234", "Onsemi")</f>
        <v>Onsemi</v>
      </c>
      <c r="C14715" s="6">
        <v>4655</v>
      </c>
      <c r="D14715" s="7">
        <v>3.28</v>
      </c>
      <c r="E14715" t="s">
        <v>11</v>
      </c>
    </row>
    <row r="14716" spans="1:5" x14ac:dyDescent="0.25">
      <c r="A14716" t="str">
        <f>HYPERLINK("https://www.773grp.com/globalSearch/NLSX3018DWR2G/page-1", "NLSX3018DWR2G")</f>
        <v>NLSX3018DWR2G</v>
      </c>
      <c r="B14716" s="3" t="str">
        <f>HYPERLINK("https://www.773grp.com/manufacturer/onsemi?pageNo=1235", "Onsemi")</f>
        <v>Onsemi</v>
      </c>
      <c r="C14716" s="6">
        <v>3425</v>
      </c>
      <c r="D14716" s="7">
        <v>3.28</v>
      </c>
      <c r="E14716" t="s">
        <v>11</v>
      </c>
    </row>
    <row r="14717" spans="1:5" x14ac:dyDescent="0.25">
      <c r="A14717" t="str">
        <f>HYPERLINK("https://www.773grp.com/globalSearch/NLSX3018MUTAG/page-1", "NLSX3018MUTAG")</f>
        <v>NLSX3018MUTAG</v>
      </c>
      <c r="B14717" s="3" t="str">
        <f>HYPERLINK("https://www.773grp.com/manufacturer/onsemi?pageNo=1236", "Onsemi")</f>
        <v>Onsemi</v>
      </c>
      <c r="C14717" s="6">
        <v>74365</v>
      </c>
      <c r="D14717" s="7">
        <v>3.28</v>
      </c>
    </row>
    <row r="14718" spans="1:5" x14ac:dyDescent="0.25">
      <c r="A14718" t="str">
        <f>HYPERLINK("https://www.773grp.com/globalSearch/NTMS4935NR2G/page-1", "NTMS4935NR2G")</f>
        <v>NTMS4935NR2G</v>
      </c>
      <c r="B14718" s="3" t="str">
        <f>HYPERLINK("https://www.773grp.com/manufacturer/onsemi?pageNo=1237", "Onsemi")</f>
        <v>Onsemi</v>
      </c>
      <c r="C14718" s="6">
        <v>197500</v>
      </c>
      <c r="D14718" s="7">
        <v>3.28</v>
      </c>
      <c r="E14718" t="s">
        <v>85</v>
      </c>
    </row>
    <row r="14719" spans="1:5" x14ac:dyDescent="0.25">
      <c r="A14719" t="str">
        <f>HYPERLINK("https://www.773grp.com/globalSearch/ADP3190AJRUZ-RL/page-1", "ADP3190AJRUZ-RL")</f>
        <v>ADP3190AJRUZ-RL</v>
      </c>
      <c r="B14719" s="3" t="str">
        <f>HYPERLINK("https://www.773grp.com/manufacturer/onsemi?pageNo=1238", "Onsemi")</f>
        <v>Onsemi</v>
      </c>
      <c r="C14719" s="6">
        <v>120000</v>
      </c>
      <c r="D14719" s="7">
        <v>2.99</v>
      </c>
      <c r="E14719" t="s">
        <v>5</v>
      </c>
    </row>
    <row r="14720" spans="1:5" x14ac:dyDescent="0.25">
      <c r="A14720" t="str">
        <f>HYPERLINK("https://www.773grp.com/globalSearch/ADP3190AJRUZ-RL/page-1", "ADP3190AJRUZ-RL")</f>
        <v>ADP3190AJRUZ-RL</v>
      </c>
      <c r="B14720" s="3" t="str">
        <f>HYPERLINK("https://www.773grp.com/manufacturer/onsemi?pageNo=1239", "Onsemi")</f>
        <v>Onsemi</v>
      </c>
      <c r="C14720" s="6">
        <v>422500</v>
      </c>
      <c r="D14720" s="7">
        <v>2.99</v>
      </c>
      <c r="E14720" t="s">
        <v>5</v>
      </c>
    </row>
    <row r="14721" spans="1:5" x14ac:dyDescent="0.25">
      <c r="A14721" t="str">
        <f>HYPERLINK("https://www.773grp.com/globalSearch/MC74AC652N/page-1", "MC74AC652N")</f>
        <v>MC74AC652N</v>
      </c>
      <c r="B14721" s="3" t="str">
        <f>HYPERLINK("https://www.773grp.com/manufacturer/onsemi?pageNo=1240", "Onsemi")</f>
        <v>Onsemi</v>
      </c>
      <c r="C14721" s="6">
        <v>3609</v>
      </c>
      <c r="D14721" s="7">
        <v>2.99</v>
      </c>
      <c r="E14721" t="s">
        <v>11</v>
      </c>
    </row>
    <row r="14722" spans="1:5" x14ac:dyDescent="0.25">
      <c r="A14722" t="str">
        <f>HYPERLINK("https://www.773grp.com/globalSearch/NTB12N50T4/page-1", "NTB12N50T4")</f>
        <v>NTB12N50T4</v>
      </c>
      <c r="B14722" s="3" t="str">
        <f>HYPERLINK("https://www.773grp.com/manufacturer/onsemi?pageNo=1241", "Onsemi")</f>
        <v>Onsemi</v>
      </c>
      <c r="C14722" s="6">
        <v>3989</v>
      </c>
      <c r="D14722" s="7">
        <v>2.99</v>
      </c>
      <c r="E14722" t="s">
        <v>84</v>
      </c>
    </row>
    <row r="14723" spans="1:5" x14ac:dyDescent="0.25">
      <c r="A14723" t="str">
        <f>HYPERLINK("https://www.773grp.com/globalSearch/ADP3207CJCPZ-RL/page-1", "ADP3207CJCPZ-RL")</f>
        <v>ADP3207CJCPZ-RL</v>
      </c>
      <c r="B14723" s="3" t="str">
        <f>HYPERLINK("https://www.773grp.com/manufacturer/onsemi?pageNo=1242", "Onsemi")</f>
        <v>Onsemi</v>
      </c>
      <c r="C14723" s="6">
        <v>7480</v>
      </c>
      <c r="D14723" s="7">
        <v>3.33</v>
      </c>
      <c r="E14723" t="s">
        <v>5</v>
      </c>
    </row>
    <row r="14724" spans="1:5" x14ac:dyDescent="0.25">
      <c r="A14724" t="str">
        <f>HYPERLINK("https://www.773grp.com/globalSearch/BU323Z/page-1", "BU323Z")</f>
        <v>BU323Z</v>
      </c>
      <c r="B14724" s="3" t="str">
        <f>HYPERLINK("https://www.773grp.com/manufacturer/onsemi?pageNo=1243", "Onsemi")</f>
        <v>Onsemi</v>
      </c>
      <c r="C14724" s="6">
        <v>8662</v>
      </c>
      <c r="D14724" s="7">
        <v>3.33</v>
      </c>
      <c r="E14724" t="s">
        <v>47</v>
      </c>
    </row>
    <row r="14725" spans="1:5" x14ac:dyDescent="0.25">
      <c r="A14725" t="str">
        <f>HYPERLINK("https://www.773grp.com/globalSearch/CS8127YD8/page-1", "CS8127YD8")</f>
        <v>CS8127YD8</v>
      </c>
      <c r="B14725" s="3" t="str">
        <f>HYPERLINK("https://www.773grp.com/manufacturer/onsemi?pageNo=1244", "Onsemi")</f>
        <v>Onsemi</v>
      </c>
      <c r="C14725" s="6">
        <v>200</v>
      </c>
      <c r="D14725" s="7">
        <v>3.33</v>
      </c>
      <c r="E14725" t="s">
        <v>36</v>
      </c>
    </row>
    <row r="14726" spans="1:5" x14ac:dyDescent="0.25">
      <c r="A14726" t="str">
        <f>HYPERLINK("https://www.773grp.com/globalSearch/CS8182YDF8G/page-1", "CS8182YDF8G")</f>
        <v>CS8182YDF8G</v>
      </c>
      <c r="B14726" s="3" t="str">
        <f>HYPERLINK("https://www.773grp.com/manufacturer/onsemi?pageNo=1245", "Onsemi")</f>
        <v>Onsemi</v>
      </c>
      <c r="C14726" s="6">
        <v>3146</v>
      </c>
      <c r="D14726" s="7">
        <v>3.33</v>
      </c>
      <c r="E14726" t="s">
        <v>21</v>
      </c>
    </row>
    <row r="14727" spans="1:5" x14ac:dyDescent="0.25">
      <c r="A14727" t="str">
        <f>HYPERLINK("https://www.773grp.com/globalSearch/CS8182YDFR8G/page-1", "CS8182YDFR8G")</f>
        <v>CS8182YDFR8G</v>
      </c>
      <c r="B14727" s="3" t="str">
        <f>HYPERLINK("https://www.773grp.com/manufacturer/onsemi?pageNo=1246", "Onsemi")</f>
        <v>Onsemi</v>
      </c>
      <c r="C14727" s="6">
        <v>12987</v>
      </c>
      <c r="D14727" s="7">
        <v>3.33</v>
      </c>
      <c r="E14727" t="s">
        <v>21</v>
      </c>
    </row>
    <row r="14728" spans="1:5" x14ac:dyDescent="0.25">
      <c r="A14728" t="str">
        <f>HYPERLINK("https://www.773grp.com/globalSearch/CS8182YDPS5/page-1", "CS8182YDPS5")</f>
        <v>CS8182YDPS5</v>
      </c>
      <c r="B14728" s="3" t="str">
        <f>HYPERLINK("https://www.773grp.com/manufacturer/onsemi?pageNo=1247", "Onsemi")</f>
        <v>Onsemi</v>
      </c>
      <c r="C14728" s="6">
        <v>2750</v>
      </c>
      <c r="D14728" s="7">
        <v>3.33</v>
      </c>
      <c r="E14728" t="s">
        <v>21</v>
      </c>
    </row>
    <row r="14729" spans="1:5" x14ac:dyDescent="0.25">
      <c r="A14729" t="str">
        <f>HYPERLINK("https://www.773grp.com/globalSearch/DAC-08ED/page-1", "DAC-08ED")</f>
        <v>DAC-08ED</v>
      </c>
      <c r="B14729" s="3" t="str">
        <f>HYPERLINK("https://www.773grp.com/manufacturer/onsemi?pageNo=1248", "Onsemi")</f>
        <v>Onsemi</v>
      </c>
      <c r="C14729" s="6">
        <v>2296</v>
      </c>
      <c r="D14729" s="7">
        <v>3.33</v>
      </c>
      <c r="E14729" t="s">
        <v>29</v>
      </c>
    </row>
    <row r="14730" spans="1:5" x14ac:dyDescent="0.25">
      <c r="A14730" t="str">
        <f>HYPERLINK("https://www.773grp.com/globalSearch/DAC-08EDR2/page-1", "DAC-08EDR2")</f>
        <v>DAC-08EDR2</v>
      </c>
      <c r="B14730" s="3" t="str">
        <f>HYPERLINK("https://www.773grp.com/manufacturer/onsemi?pageNo=1249", "Onsemi")</f>
        <v>Onsemi</v>
      </c>
      <c r="C14730" s="6">
        <v>12500</v>
      </c>
      <c r="D14730" s="7">
        <v>3.33</v>
      </c>
      <c r="E14730" t="s">
        <v>29</v>
      </c>
    </row>
    <row r="14731" spans="1:5" x14ac:dyDescent="0.25">
      <c r="A14731" t="str">
        <f>HYPERLINK("https://www.773grp.com/globalSearch/DAC-08EN/page-1", "DAC-08EN")</f>
        <v>DAC-08EN</v>
      </c>
      <c r="B14731" s="3" t="str">
        <f>HYPERLINK("https://www.773grp.com/manufacturer/onsemi?pageNo=1250", "Onsemi")</f>
        <v>Onsemi</v>
      </c>
      <c r="C14731" s="6">
        <v>65</v>
      </c>
      <c r="D14731" s="7">
        <v>3.33</v>
      </c>
      <c r="E14731" t="s">
        <v>29</v>
      </c>
    </row>
    <row r="14732" spans="1:5" x14ac:dyDescent="0.25">
      <c r="A14732" t="str">
        <f>HYPERLINK("https://www.773grp.com/globalSearch/LMT358N/page-1", "LMT358N")</f>
        <v>LMT358N</v>
      </c>
      <c r="B14732" s="3" t="str">
        <f>HYPERLINK("https://www.773grp.com/manufacturer/onsemi?pageNo=1251", "Onsemi")</f>
        <v>Onsemi</v>
      </c>
      <c r="C14732" s="6">
        <v>17839</v>
      </c>
      <c r="D14732" s="7">
        <v>3.33</v>
      </c>
      <c r="E14732" t="s">
        <v>10</v>
      </c>
    </row>
    <row r="14733" spans="1:5" x14ac:dyDescent="0.25">
      <c r="A14733" t="str">
        <f>HYPERLINK("https://www.773grp.com/globalSearch/MBR2535CTG/page-1", "MBR2535CTG")</f>
        <v>MBR2535CTG</v>
      </c>
      <c r="B14733" s="3" t="str">
        <f>HYPERLINK("https://www.773grp.com/manufacturer/onsemi?pageNo=1252", "Onsemi")</f>
        <v>Onsemi</v>
      </c>
      <c r="C14733" s="6">
        <v>385</v>
      </c>
      <c r="D14733" s="7">
        <v>3.33</v>
      </c>
      <c r="E14733" t="s">
        <v>82</v>
      </c>
    </row>
    <row r="14734" spans="1:5" x14ac:dyDescent="0.25">
      <c r="A14734" t="str">
        <f>HYPERLINK("https://www.773grp.com/globalSearch/MBR3045WT/page-1", "MBR3045WT")</f>
        <v>MBR3045WT</v>
      </c>
      <c r="B14734" s="3" t="str">
        <f>HYPERLINK("https://www.773grp.com/manufacturer/onsemi?pageNo=1253", "Onsemi")</f>
        <v>Onsemi</v>
      </c>
      <c r="C14734" s="6">
        <v>8850</v>
      </c>
      <c r="D14734" s="7">
        <v>3.33</v>
      </c>
      <c r="E14734" t="s">
        <v>82</v>
      </c>
    </row>
    <row r="14735" spans="1:5" x14ac:dyDescent="0.25">
      <c r="A14735" t="str">
        <f>HYPERLINK("https://www.773grp.com/globalSearch/MBRB2515L/page-1", "MBRB2515L")</f>
        <v>MBRB2515L</v>
      </c>
      <c r="B14735" s="3" t="str">
        <f>HYPERLINK("https://www.773grp.com/manufacturer/onsemi?pageNo=1254", "Onsemi")</f>
        <v>Onsemi</v>
      </c>
      <c r="C14735" s="6">
        <v>861</v>
      </c>
      <c r="D14735" s="7">
        <v>3.33</v>
      </c>
      <c r="E14735" t="s">
        <v>82</v>
      </c>
    </row>
    <row r="14736" spans="1:5" x14ac:dyDescent="0.25">
      <c r="A14736" t="str">
        <f>HYPERLINK("https://www.773grp.com/globalSearch/MC74AC652DWR2/page-1", "MC74AC652DWR2")</f>
        <v>MC74AC652DWR2</v>
      </c>
      <c r="B14736" s="3" t="str">
        <f>HYPERLINK("https://www.773grp.com/manufacturer/onsemi?pageNo=1255", "Onsemi")</f>
        <v>Onsemi</v>
      </c>
      <c r="C14736" s="6">
        <v>330</v>
      </c>
      <c r="D14736" s="7">
        <v>3.33</v>
      </c>
      <c r="E14736" t="s">
        <v>11</v>
      </c>
    </row>
    <row r="14737" spans="1:5" x14ac:dyDescent="0.25">
      <c r="A14737" t="str">
        <f>HYPERLINK("https://www.773grp.com/globalSearch/MC74ACT652DW/page-1", "MC74ACT652DW")</f>
        <v>MC74ACT652DW</v>
      </c>
      <c r="B14737" s="3" t="str">
        <f>HYPERLINK("https://www.773grp.com/manufacturer/onsemi?pageNo=1256", "Onsemi")</f>
        <v>Onsemi</v>
      </c>
      <c r="C14737" s="6">
        <v>390</v>
      </c>
      <c r="D14737" s="7">
        <v>3.33</v>
      </c>
      <c r="E14737" t="s">
        <v>11</v>
      </c>
    </row>
    <row r="14738" spans="1:5" x14ac:dyDescent="0.25">
      <c r="A14738" t="str">
        <f>HYPERLINK("https://www.773grp.com/globalSearch/MC74ACT652N/page-1", "MC74ACT652N")</f>
        <v>MC74ACT652N</v>
      </c>
      <c r="B14738" s="3" t="str">
        <f>HYPERLINK("https://www.773grp.com/manufacturer/onsemi?pageNo=1257", "Onsemi")</f>
        <v>Onsemi</v>
      </c>
      <c r="C14738" s="6">
        <v>8925</v>
      </c>
      <c r="D14738" s="7">
        <v>3.33</v>
      </c>
      <c r="E14738" t="s">
        <v>11</v>
      </c>
    </row>
    <row r="14739" spans="1:5" x14ac:dyDescent="0.25">
      <c r="A14739" t="str">
        <f>HYPERLINK("https://www.773grp.com/globalSearch/MC74F543N/page-1", "MC74F543N")</f>
        <v>MC74F543N</v>
      </c>
      <c r="B14739" s="3" t="str">
        <f>HYPERLINK("https://www.773grp.com/manufacturer/onsemi?pageNo=1258", "Onsemi")</f>
        <v>Onsemi</v>
      </c>
      <c r="C14739" s="6">
        <v>2874</v>
      </c>
      <c r="D14739" s="7">
        <v>3.33</v>
      </c>
      <c r="E14739" t="s">
        <v>11</v>
      </c>
    </row>
    <row r="14740" spans="1:5" x14ac:dyDescent="0.25">
      <c r="A14740" t="str">
        <f>HYPERLINK("https://www.773grp.com/globalSearch/MC75172BDW/page-1", "MC75172BDW")</f>
        <v>MC75172BDW</v>
      </c>
      <c r="B14740" s="3" t="str">
        <f>HYPERLINK("https://www.773grp.com/manufacturer/onsemi?pageNo=1259", "Onsemi")</f>
        <v>Onsemi</v>
      </c>
      <c r="C14740" s="6">
        <v>365</v>
      </c>
      <c r="D14740" s="7">
        <v>3.33</v>
      </c>
      <c r="E14740" t="s">
        <v>17</v>
      </c>
    </row>
    <row r="14741" spans="1:5" x14ac:dyDescent="0.25">
      <c r="A14741" t="str">
        <f>HYPERLINK("https://www.773grp.com/globalSearch/MJW21191/page-1", "MJW21191")</f>
        <v>MJW21191</v>
      </c>
      <c r="B14741" s="3" t="str">
        <f>HYPERLINK("https://www.773grp.com/manufacturer/onsemi?pageNo=1260", "Onsemi")</f>
        <v>Onsemi</v>
      </c>
      <c r="C14741" s="6">
        <v>3090</v>
      </c>
      <c r="D14741" s="7">
        <v>3.33</v>
      </c>
      <c r="E14741" t="s">
        <v>47</v>
      </c>
    </row>
    <row r="14742" spans="1:5" x14ac:dyDescent="0.25">
      <c r="A14742" t="str">
        <f>HYPERLINK("https://www.773grp.com/globalSearch/MJW21191G/page-1", "MJW21191G")</f>
        <v>MJW21191G</v>
      </c>
      <c r="B14742" s="3" t="str">
        <f>HYPERLINK("https://www.773grp.com/manufacturer/onsemi?pageNo=1261", "Onsemi")</f>
        <v>Onsemi</v>
      </c>
      <c r="C14742" s="6">
        <v>3962</v>
      </c>
      <c r="D14742" s="7">
        <v>3.33</v>
      </c>
      <c r="E14742" t="s">
        <v>47</v>
      </c>
    </row>
    <row r="14743" spans="1:5" x14ac:dyDescent="0.25">
      <c r="A14743" t="str">
        <f>HYPERLINK("https://www.773grp.com/globalSearch/MJW21192/page-1", "MJW21192")</f>
        <v>MJW21192</v>
      </c>
      <c r="B14743" s="3" t="str">
        <f>HYPERLINK("https://www.773grp.com/manufacturer/onsemi?pageNo=1262", "Onsemi")</f>
        <v>Onsemi</v>
      </c>
      <c r="C14743" s="6">
        <v>4018</v>
      </c>
      <c r="D14743" s="7">
        <v>3.33</v>
      </c>
      <c r="E14743" t="s">
        <v>47</v>
      </c>
    </row>
    <row r="14744" spans="1:5" x14ac:dyDescent="0.25">
      <c r="A14744" t="str">
        <f>HYPERLINK("https://www.773grp.com/globalSearch/MTB55N06Z/page-1", "MTB55N06Z")</f>
        <v>MTB55N06Z</v>
      </c>
      <c r="B14744" s="3" t="str">
        <f>HYPERLINK("https://www.773grp.com/manufacturer/onsemi?pageNo=1263", "Onsemi")</f>
        <v>Onsemi</v>
      </c>
      <c r="C14744" s="6">
        <v>3606</v>
      </c>
      <c r="D14744" s="7">
        <v>3.33</v>
      </c>
      <c r="E14744" t="s">
        <v>84</v>
      </c>
    </row>
    <row r="14745" spans="1:5" x14ac:dyDescent="0.25">
      <c r="A14745" t="str">
        <f>HYPERLINK("https://www.773grp.com/globalSearch/MTB55N06ZT4/page-1", "MTB55N06ZT4")</f>
        <v>MTB55N06ZT4</v>
      </c>
      <c r="B14745" s="3" t="str">
        <f>HYPERLINK("https://www.773grp.com/manufacturer/onsemi?pageNo=1264", "Onsemi")</f>
        <v>Onsemi</v>
      </c>
      <c r="C14745" s="6">
        <v>24800</v>
      </c>
      <c r="D14745" s="7">
        <v>3.33</v>
      </c>
      <c r="E14745" t="s">
        <v>84</v>
      </c>
    </row>
    <row r="14746" spans="1:5" x14ac:dyDescent="0.25">
      <c r="A14746" t="str">
        <f>HYPERLINK("https://www.773grp.com/globalSearch/MTP23P06VG/page-1", "MTP23P06VG")</f>
        <v>MTP23P06VG</v>
      </c>
      <c r="B14746" s="3" t="str">
        <f>HYPERLINK("https://www.773grp.com/manufacturer/onsemi?pageNo=1265", "Onsemi")</f>
        <v>Onsemi</v>
      </c>
      <c r="C14746" s="6">
        <v>26261</v>
      </c>
      <c r="D14746" s="7">
        <v>3.33</v>
      </c>
      <c r="E14746" t="s">
        <v>84</v>
      </c>
    </row>
    <row r="14747" spans="1:5" x14ac:dyDescent="0.25">
      <c r="A14747" t="str">
        <f>HYPERLINK("https://www.773grp.com/globalSearch/MUR1540G/page-1", "MUR1540G")</f>
        <v>MUR1540G</v>
      </c>
      <c r="B14747" s="3" t="str">
        <f>HYPERLINK("https://www.773grp.com/manufacturer/onsemi?pageNo=1266", "Onsemi")</f>
        <v>Onsemi</v>
      </c>
      <c r="C14747" s="6">
        <v>3055</v>
      </c>
      <c r="D14747" s="7">
        <v>3.33</v>
      </c>
    </row>
    <row r="14748" spans="1:5" x14ac:dyDescent="0.25">
      <c r="A14748" t="str">
        <f>HYPERLINK("https://www.773grp.com/globalSearch/MUR1560G/page-1", "MUR1560G")</f>
        <v>MUR1560G</v>
      </c>
      <c r="B14748" s="3" t="str">
        <f>HYPERLINK("https://www.773grp.com/manufacturer/onsemi?pageNo=1267", "Onsemi")</f>
        <v>Onsemi</v>
      </c>
      <c r="C14748" s="6">
        <v>52578</v>
      </c>
      <c r="D14748" s="7">
        <v>3.33</v>
      </c>
      <c r="E14748" t="s">
        <v>82</v>
      </c>
    </row>
    <row r="14749" spans="1:5" x14ac:dyDescent="0.25">
      <c r="A14749" t="str">
        <f>HYPERLINK("https://www.773grp.com/globalSearch/MUR1560H/page-1", "MUR1560H")</f>
        <v>MUR1560H</v>
      </c>
      <c r="B14749" s="3" t="str">
        <f>HYPERLINK("https://www.773grp.com/manufacturer/onsemi?pageNo=1268", "Onsemi")</f>
        <v>Onsemi</v>
      </c>
      <c r="C14749" s="6">
        <v>4300</v>
      </c>
      <c r="D14749" s="7">
        <v>3.33</v>
      </c>
    </row>
    <row r="14750" spans="1:5" x14ac:dyDescent="0.25">
      <c r="A14750" t="str">
        <f>HYPERLINK("https://www.773grp.com/globalSearch/NC4413P/page-1", "NC4413P")</f>
        <v>NC4413P</v>
      </c>
      <c r="B14750" s="3" t="str">
        <f>HYPERLINK("https://www.773grp.com/manufacturer/onsemi?pageNo=1269", "Onsemi")</f>
        <v>Onsemi</v>
      </c>
      <c r="C14750" s="6">
        <v>24000</v>
      </c>
      <c r="D14750" s="7">
        <v>3.33</v>
      </c>
    </row>
    <row r="14751" spans="1:5" x14ac:dyDescent="0.25">
      <c r="A14751" t="str">
        <f>HYPERLINK("https://www.773grp.com/globalSearch/NCP1601APG/page-1", "NCP1601APG")</f>
        <v>NCP1601APG</v>
      </c>
      <c r="B14751" s="3" t="str">
        <f>HYPERLINK("https://www.773grp.com/manufacturer/onsemi?pageNo=1270", "Onsemi")</f>
        <v>Onsemi</v>
      </c>
      <c r="C14751" s="6">
        <v>1877</v>
      </c>
      <c r="D14751" s="7">
        <v>3.33</v>
      </c>
      <c r="E14751" t="s">
        <v>5</v>
      </c>
    </row>
    <row r="14752" spans="1:5" x14ac:dyDescent="0.25">
      <c r="A14752" t="str">
        <f>HYPERLINK("https://www.773grp.com/globalSearch/NCP1601BPG/page-1", "NCP1601BPG")</f>
        <v>NCP1601BPG</v>
      </c>
      <c r="B14752" s="3" t="str">
        <f>HYPERLINK("https://www.773grp.com/manufacturer/onsemi?pageNo=1271", "Onsemi")</f>
        <v>Onsemi</v>
      </c>
      <c r="C14752" s="6">
        <v>4224</v>
      </c>
      <c r="D14752" s="7">
        <v>3.33</v>
      </c>
      <c r="E14752" t="s">
        <v>5</v>
      </c>
    </row>
    <row r="14753" spans="1:5" x14ac:dyDescent="0.25">
      <c r="A14753" t="str">
        <f>HYPERLINK("https://www.773grp.com/globalSearch/NCP6133MNTWG/page-1", "NCP6133MNTWG")</f>
        <v>NCP6133MNTWG</v>
      </c>
      <c r="B14753" s="3" t="str">
        <f>HYPERLINK("https://www.773grp.com/manufacturer/onsemi?pageNo=1272", "Onsemi")</f>
        <v>Onsemi</v>
      </c>
      <c r="C14753" s="6">
        <v>5000</v>
      </c>
      <c r="D14753" s="7">
        <v>3.33</v>
      </c>
    </row>
    <row r="14754" spans="1:5" x14ac:dyDescent="0.25">
      <c r="A14754" t="str">
        <f>HYPERLINK("https://www.773grp.com/globalSearch/NCV4279D2G/page-1", "NCV4279D2G")</f>
        <v>NCV4279D2G</v>
      </c>
      <c r="B14754" s="3" t="str">
        <f>HYPERLINK("https://www.773grp.com/manufacturer/onsemi?pageNo=1273", "Onsemi")</f>
        <v>Onsemi</v>
      </c>
      <c r="C14754" s="6">
        <v>20</v>
      </c>
      <c r="D14754" s="7">
        <v>3.33</v>
      </c>
      <c r="E14754" t="s">
        <v>15</v>
      </c>
    </row>
    <row r="14755" spans="1:5" x14ac:dyDescent="0.25">
      <c r="A14755" t="str">
        <f>HYPERLINK("https://www.773grp.com/globalSearch/NCV7425DW0R2G/page-1", "NCV7425DW0R2G")</f>
        <v>NCV7425DW0R2G</v>
      </c>
      <c r="B14755" s="3" t="str">
        <f>HYPERLINK("https://www.773grp.com/manufacturer/onsemi?pageNo=1274", "Onsemi")</f>
        <v>Onsemi</v>
      </c>
      <c r="C14755" s="6">
        <v>1500</v>
      </c>
      <c r="D14755" s="7">
        <v>3.33</v>
      </c>
    </row>
    <row r="14756" spans="1:5" x14ac:dyDescent="0.25">
      <c r="A14756" t="str">
        <f>HYPERLINK("https://www.773grp.com/globalSearch/NTB75N03L09T4/page-1", "NTB75N03L09T4")</f>
        <v>NTB75N03L09T4</v>
      </c>
      <c r="B14756" s="3" t="str">
        <f>HYPERLINK("https://www.773grp.com/manufacturer/onsemi?pageNo=1275", "Onsemi")</f>
        <v>Onsemi</v>
      </c>
      <c r="C14756" s="6">
        <v>807</v>
      </c>
      <c r="D14756" s="7">
        <v>3.33</v>
      </c>
      <c r="E14756" t="s">
        <v>84</v>
      </c>
    </row>
    <row r="14757" spans="1:5" x14ac:dyDescent="0.25">
      <c r="A14757" t="str">
        <f>HYPERLINK("https://www.773grp.com/globalSearch/SN74LS323N/page-1", "SN74LS323N")</f>
        <v>SN74LS323N</v>
      </c>
      <c r="B14757" s="3" t="str">
        <f>HYPERLINK("https://www.773grp.com/manufacturer/onsemi?pageNo=1276", "Onsemi")</f>
        <v>Onsemi</v>
      </c>
      <c r="C14757" s="6">
        <v>172</v>
      </c>
      <c r="D14757" s="7">
        <v>3.33</v>
      </c>
      <c r="E14757" t="s">
        <v>28</v>
      </c>
    </row>
    <row r="14758" spans="1:5" x14ac:dyDescent="0.25">
      <c r="A14758" t="str">
        <f>HYPERLINK("https://www.773grp.com/globalSearch/TIP2955G/page-1", "TIP2955G")</f>
        <v>TIP2955G</v>
      </c>
      <c r="B14758" s="3" t="str">
        <f>HYPERLINK("https://www.773grp.com/manufacturer/onsemi?pageNo=1277", "Onsemi")</f>
        <v>Onsemi</v>
      </c>
      <c r="C14758" s="6">
        <v>120</v>
      </c>
      <c r="D14758" s="7">
        <v>3.33</v>
      </c>
      <c r="E14758" t="s">
        <v>47</v>
      </c>
    </row>
    <row r="14759" spans="1:5" x14ac:dyDescent="0.25">
      <c r="A14759" t="str">
        <f>HYPERLINK("https://www.773grp.com/globalSearch/CS8126-2GTHA5/page-1", "CS8126-2GTHA5")</f>
        <v>CS8126-2GTHA5</v>
      </c>
      <c r="B14759" s="3" t="str">
        <f>HYPERLINK("https://www.773grp.com/manufacturer/onsemi?pageNo=1278", "Onsemi")</f>
        <v>Onsemi</v>
      </c>
      <c r="C14759" s="6">
        <v>1019</v>
      </c>
      <c r="D14759" s="7">
        <v>3</v>
      </c>
      <c r="E14759" t="s">
        <v>15</v>
      </c>
    </row>
    <row r="14760" spans="1:5" x14ac:dyDescent="0.25">
      <c r="A14760" t="str">
        <f>HYPERLINK("https://www.773grp.com/globalSearch/LV5217GP-TE-L-E/page-1", "LV5217GP-TE-L-E")</f>
        <v>LV5217GP-TE-L-E</v>
      </c>
      <c r="B14760" s="3" t="str">
        <f>HYPERLINK("https://www.773grp.com/manufacturer/onsemi?pageNo=1279", "Onsemi")</f>
        <v>Onsemi</v>
      </c>
      <c r="C14760" s="6">
        <v>70000</v>
      </c>
      <c r="D14760" s="7">
        <v>3</v>
      </c>
    </row>
    <row r="14761" spans="1:5" x14ac:dyDescent="0.25">
      <c r="A14761" t="str">
        <f>HYPERLINK("https://www.773grp.com/globalSearch/LV5725JA-AH/page-1", "LV5725JA-AH")</f>
        <v>LV5725JA-AH</v>
      </c>
      <c r="B14761" s="3" t="str">
        <f>HYPERLINK("https://www.773grp.com/manufacturer/onsemi?pageNo=1280", "Onsemi")</f>
        <v>Onsemi</v>
      </c>
      <c r="C14761" s="6">
        <v>4000</v>
      </c>
      <c r="D14761" s="7">
        <v>3</v>
      </c>
    </row>
    <row r="14762" spans="1:5" x14ac:dyDescent="0.25">
      <c r="A14762" t="str">
        <f>HYPERLINK("https://www.773grp.com/globalSearch/LV8760T-MPB-E/page-1", "LV8760T-MPB-E")</f>
        <v>LV8760T-MPB-E</v>
      </c>
      <c r="B14762" s="3" t="str">
        <f>HYPERLINK("https://www.773grp.com/manufacturer/onsemi?pageNo=1281", "Onsemi")</f>
        <v>Onsemi</v>
      </c>
      <c r="C14762" s="6">
        <v>420</v>
      </c>
      <c r="D14762" s="7">
        <v>3</v>
      </c>
    </row>
    <row r="14763" spans="1:5" x14ac:dyDescent="0.25">
      <c r="A14763" t="str">
        <f>HYPERLINK("https://www.773grp.com/globalSearch/LV8771VH-TLM-H/page-1", "LV8771VH-TLM-H")</f>
        <v>LV8771VH-TLM-H</v>
      </c>
      <c r="B14763" s="3" t="str">
        <f>HYPERLINK("https://www.773grp.com/manufacturer/onsemi?pageNo=1282", "Onsemi")</f>
        <v>Onsemi</v>
      </c>
      <c r="C14763" s="6">
        <v>16100</v>
      </c>
      <c r="D14763" s="7">
        <v>3</v>
      </c>
    </row>
    <row r="14764" spans="1:5" x14ac:dyDescent="0.25">
      <c r="A14764" t="str">
        <f>HYPERLINK("https://www.773grp.com/globalSearch/N64S818HAT21I/page-1", "N64S818HAT21I")</f>
        <v>N64S818HAT21I</v>
      </c>
      <c r="B14764" s="3" t="str">
        <f>HYPERLINK("https://www.773grp.com/manufacturer/onsemi?pageNo=1283", "Onsemi")</f>
        <v>Onsemi</v>
      </c>
      <c r="C14764" s="6">
        <v>10100</v>
      </c>
      <c r="D14764" s="7">
        <v>3</v>
      </c>
    </row>
    <row r="14765" spans="1:5" x14ac:dyDescent="0.25">
      <c r="A14765" t="str">
        <f>HYPERLINK("https://www.773grp.com/globalSearch/N64S830HAS22I/page-1", "N64S830HAS22I")</f>
        <v>N64S830HAS22I</v>
      </c>
      <c r="B14765" s="3" t="str">
        <f>HYPERLINK("https://www.773grp.com/manufacturer/onsemi?pageNo=1284", "Onsemi")</f>
        <v>Onsemi</v>
      </c>
      <c r="C14765" s="6">
        <v>13076</v>
      </c>
      <c r="D14765" s="7">
        <v>3</v>
      </c>
      <c r="E14765" t="s">
        <v>63</v>
      </c>
    </row>
    <row r="14766" spans="1:5" x14ac:dyDescent="0.25">
      <c r="A14766" t="str">
        <f>HYPERLINK("https://www.773grp.com/globalSearch/CS51022ED16/page-1", "CS51022ED16")</f>
        <v>CS51022ED16</v>
      </c>
      <c r="B14766" s="3" t="str">
        <f>HYPERLINK("https://www.773grp.com/manufacturer/onsemi?pageNo=1285", "Onsemi")</f>
        <v>Onsemi</v>
      </c>
      <c r="C14766" s="6">
        <v>25</v>
      </c>
      <c r="D14766" s="7">
        <v>3.04</v>
      </c>
      <c r="E14766" t="s">
        <v>5</v>
      </c>
    </row>
    <row r="14767" spans="1:5" x14ac:dyDescent="0.25">
      <c r="A14767" t="str">
        <f>HYPERLINK("https://www.773grp.com/globalSearch/CS51022EDR16/page-1", "CS51022EDR16")</f>
        <v>CS51022EDR16</v>
      </c>
      <c r="B14767" s="3" t="str">
        <f>HYPERLINK("https://www.773grp.com/manufacturer/onsemi?pageNo=1286", "Onsemi")</f>
        <v>Onsemi</v>
      </c>
      <c r="C14767" s="6">
        <v>110739</v>
      </c>
      <c r="D14767" s="7">
        <v>3.04</v>
      </c>
      <c r="E14767" t="s">
        <v>5</v>
      </c>
    </row>
    <row r="14768" spans="1:5" x14ac:dyDescent="0.25">
      <c r="A14768" t="str">
        <f>HYPERLINK("https://www.773grp.com/globalSearch/CS51023ED16/page-1", "CS51023ED16")</f>
        <v>CS51023ED16</v>
      </c>
      <c r="B14768" s="3" t="str">
        <f>HYPERLINK("https://www.773grp.com/manufacturer/onsemi?pageNo=1287", "Onsemi")</f>
        <v>Onsemi</v>
      </c>
      <c r="C14768" s="6">
        <v>915</v>
      </c>
      <c r="D14768" s="7">
        <v>3.04</v>
      </c>
      <c r="E14768" t="s">
        <v>5</v>
      </c>
    </row>
    <row r="14769" spans="1:5" x14ac:dyDescent="0.25">
      <c r="A14769" t="str">
        <f>HYPERLINK("https://www.773grp.com/globalSearch/CS51024ED16/page-1", "CS51024ED16")</f>
        <v>CS51024ED16</v>
      </c>
      <c r="B14769" s="3" t="str">
        <f>HYPERLINK("https://www.773grp.com/manufacturer/onsemi?pageNo=1288", "Onsemi")</f>
        <v>Onsemi</v>
      </c>
      <c r="C14769" s="6">
        <v>46</v>
      </c>
      <c r="D14769" s="7">
        <v>3.04</v>
      </c>
      <c r="E14769" t="s">
        <v>5</v>
      </c>
    </row>
    <row r="14770" spans="1:5" x14ac:dyDescent="0.25">
      <c r="A14770" t="str">
        <f>HYPERLINK("https://www.773grp.com/globalSearch/CS5165HGDWR16/page-1", "CS5165HGDWR16")</f>
        <v>CS5165HGDWR16</v>
      </c>
      <c r="B14770" s="3" t="str">
        <f>HYPERLINK("https://www.773grp.com/manufacturer/onsemi?pageNo=1289", "Onsemi")</f>
        <v>Onsemi</v>
      </c>
      <c r="C14770" s="6">
        <v>52768</v>
      </c>
      <c r="D14770" s="7">
        <v>3.04</v>
      </c>
      <c r="E14770" t="s">
        <v>5</v>
      </c>
    </row>
    <row r="14771" spans="1:5" x14ac:dyDescent="0.25">
      <c r="A14771" t="str">
        <f>HYPERLINK("https://www.773grp.com/globalSearch/CS5166HGDW16/page-1", "CS5166HGDW16")</f>
        <v>CS5166HGDW16</v>
      </c>
      <c r="B14771" s="3" t="str">
        <f>HYPERLINK("https://www.773grp.com/manufacturer/onsemi?pageNo=1290", "Onsemi")</f>
        <v>Onsemi</v>
      </c>
      <c r="C14771" s="6">
        <v>1</v>
      </c>
      <c r="D14771" s="7">
        <v>3.04</v>
      </c>
      <c r="E14771" t="s">
        <v>5</v>
      </c>
    </row>
    <row r="14772" spans="1:5" x14ac:dyDescent="0.25">
      <c r="A14772" t="str">
        <f>HYPERLINK("https://www.773grp.com/globalSearch/CS8151CGN8G/page-1", "CS8151CGN8G")</f>
        <v>CS8151CGN8G</v>
      </c>
      <c r="B14772" s="3" t="str">
        <f>HYPERLINK("https://www.773grp.com/manufacturer/onsemi?pageNo=1291", "Onsemi")</f>
        <v>Onsemi</v>
      </c>
      <c r="C14772" s="6">
        <v>550</v>
      </c>
      <c r="D14772" s="7">
        <v>3.04</v>
      </c>
      <c r="E14772" t="s">
        <v>15</v>
      </c>
    </row>
    <row r="14773" spans="1:5" x14ac:dyDescent="0.25">
      <c r="A14773" t="str">
        <f>HYPERLINK("https://www.773grp.com/globalSearch/CS8151YDWF16G/page-1", "CS8151YDWF16G")</f>
        <v>CS8151YDWF16G</v>
      </c>
      <c r="B14773" s="3" t="str">
        <f>HYPERLINK("https://www.773grp.com/manufacturer/onsemi?pageNo=1292", "Onsemi")</f>
        <v>Onsemi</v>
      </c>
      <c r="C14773" s="6">
        <v>467</v>
      </c>
      <c r="D14773" s="7">
        <v>3.04</v>
      </c>
      <c r="E14773" t="s">
        <v>15</v>
      </c>
    </row>
    <row r="14774" spans="1:5" x14ac:dyDescent="0.25">
      <c r="A14774" t="str">
        <f>HYPERLINK("https://www.773grp.com/globalSearch/NCS6416DWR2G/page-1", "NCS6416DWR2G")</f>
        <v>NCS6416DWR2G</v>
      </c>
      <c r="B14774" s="3" t="str">
        <f>HYPERLINK("https://www.773grp.com/manufacturer/onsemi?pageNo=1293", "Onsemi")</f>
        <v>Onsemi</v>
      </c>
      <c r="C14774" s="6">
        <v>1000</v>
      </c>
      <c r="D14774" s="7">
        <v>3.04</v>
      </c>
      <c r="E14774" t="s">
        <v>46</v>
      </c>
    </row>
    <row r="14775" spans="1:5" x14ac:dyDescent="0.25">
      <c r="A14775" t="str">
        <f>HYPERLINK("https://www.773grp.com/globalSearch/NGTB15N120LWG/page-1", "NGTB15N120LWG")</f>
        <v>NGTB15N120LWG</v>
      </c>
      <c r="B14775" s="3" t="str">
        <f>HYPERLINK("https://www.773grp.com/manufacturer/onsemi?pageNo=1294", "Onsemi")</f>
        <v>Onsemi</v>
      </c>
      <c r="C14775" s="6">
        <v>275</v>
      </c>
      <c r="D14775" s="7">
        <v>3.04</v>
      </c>
    </row>
    <row r="14776" spans="1:5" x14ac:dyDescent="0.25">
      <c r="A14776" t="str">
        <f>HYPERLINK("https://www.773grp.com/globalSearch/ADP3293JCPZ-RL/page-1", "ADP3293JCPZ-RL")</f>
        <v>ADP3293JCPZ-RL</v>
      </c>
      <c r="B14776" s="3" t="str">
        <f>HYPERLINK("https://www.773grp.com/manufacturer/onsemi?pageNo=1295", "Onsemi")</f>
        <v>Onsemi</v>
      </c>
      <c r="C14776" s="6">
        <v>2500</v>
      </c>
      <c r="D14776" s="7">
        <v>3.38</v>
      </c>
    </row>
    <row r="14777" spans="1:5" x14ac:dyDescent="0.25">
      <c r="A14777" t="str">
        <f>HYPERLINK("https://www.773grp.com/globalSearch/BTB16H-600BW3G/page-1", "BTB16H-600BW3G")</f>
        <v>BTB16H-600BW3G</v>
      </c>
      <c r="B14777" s="3" t="str">
        <f>HYPERLINK("https://www.773grp.com/manufacturer/onsemi?pageNo=1296", "Onsemi")</f>
        <v>Onsemi</v>
      </c>
      <c r="C14777" s="6">
        <v>25850</v>
      </c>
      <c r="D14777" s="7">
        <v>3.38</v>
      </c>
    </row>
    <row r="14778" spans="1:5" x14ac:dyDescent="0.25">
      <c r="A14778" t="str">
        <f>HYPERLINK("https://www.773grp.com/globalSearch/CS5257A-1GDP5/page-1", "CS5257A-1GDP5")</f>
        <v>CS5257A-1GDP5</v>
      </c>
      <c r="B14778" s="3" t="str">
        <f>HYPERLINK("https://www.773grp.com/manufacturer/onsemi?pageNo=1297", "Onsemi")</f>
        <v>Onsemi</v>
      </c>
      <c r="C14778" s="6">
        <v>4800</v>
      </c>
      <c r="D14778" s="7">
        <v>3.38</v>
      </c>
      <c r="E14778" t="s">
        <v>21</v>
      </c>
    </row>
    <row r="14779" spans="1:5" x14ac:dyDescent="0.25">
      <c r="A14779" t="str">
        <f>HYPERLINK("https://www.773grp.com/globalSearch/CS8101YD8G/page-1", "CS8101YD8G")</f>
        <v>CS8101YD8G</v>
      </c>
      <c r="B14779" s="3" t="str">
        <f>HYPERLINK("https://www.773grp.com/manufacturer/onsemi?pageNo=1298", "Onsemi")</f>
        <v>Onsemi</v>
      </c>
      <c r="C14779" s="6">
        <v>953</v>
      </c>
      <c r="D14779" s="7">
        <v>3.38</v>
      </c>
      <c r="E14779" t="s">
        <v>15</v>
      </c>
    </row>
    <row r="14780" spans="1:5" x14ac:dyDescent="0.25">
      <c r="A14780" t="str">
        <f>HYPERLINK("https://www.773grp.com/globalSearch/CS8101YDR8G/page-1", "CS8101YDR8G")</f>
        <v>CS8101YDR8G</v>
      </c>
      <c r="B14780" s="3" t="str">
        <f>HYPERLINK("https://www.773grp.com/manufacturer/onsemi?pageNo=1299", "Onsemi")</f>
        <v>Onsemi</v>
      </c>
      <c r="C14780" s="6">
        <v>29405</v>
      </c>
      <c r="D14780" s="7">
        <v>3.38</v>
      </c>
      <c r="E14780" t="s">
        <v>15</v>
      </c>
    </row>
    <row r="14781" spans="1:5" x14ac:dyDescent="0.25">
      <c r="A14781" t="str">
        <f>HYPERLINK("https://www.773grp.com/globalSearch/MC10H113ML1/page-1", "MC10H113ML1")</f>
        <v>MC10H113ML1</v>
      </c>
      <c r="B14781" s="3" t="str">
        <f>HYPERLINK("https://www.773grp.com/manufacturer/onsemi?pageNo=1300", "Onsemi")</f>
        <v>Onsemi</v>
      </c>
      <c r="C14781" s="6">
        <v>1000</v>
      </c>
      <c r="D14781" s="7">
        <v>3.38</v>
      </c>
    </row>
    <row r="14782" spans="1:5" x14ac:dyDescent="0.25">
      <c r="A14782" t="str">
        <f>HYPERLINK("https://www.773grp.com/globalSearch/MC33260DG/page-1", "MC33260DG")</f>
        <v>MC33260DG</v>
      </c>
      <c r="B14782" s="3" t="str">
        <f>HYPERLINK("https://www.773grp.com/manufacturer/onsemi?pageNo=1301", "Onsemi")</f>
        <v>Onsemi</v>
      </c>
      <c r="C14782" s="6">
        <v>88</v>
      </c>
      <c r="D14782" s="7">
        <v>3.38</v>
      </c>
    </row>
    <row r="14783" spans="1:5" x14ac:dyDescent="0.25">
      <c r="A14783" t="str">
        <f>HYPERLINK("https://www.773grp.com/globalSearch/MC34182M/page-1", "MC34182M")</f>
        <v>MC34182M</v>
      </c>
      <c r="B14783" s="3" t="str">
        <f>HYPERLINK("https://www.773grp.com/manufacturer/onsemi?pageNo=1302", "Onsemi")</f>
        <v>Onsemi</v>
      </c>
      <c r="C14783" s="6">
        <v>15</v>
      </c>
      <c r="D14783" s="7">
        <v>3.38</v>
      </c>
    </row>
    <row r="14784" spans="1:5" x14ac:dyDescent="0.25">
      <c r="A14784" t="str">
        <f>HYPERLINK("https://www.773grp.com/globalSearch/MC44604/page-1", "MC44604")</f>
        <v>MC44604</v>
      </c>
      <c r="B14784" s="3" t="str">
        <f>HYPERLINK("https://www.773grp.com/manufacturer/onsemi?pageNo=1303", "Onsemi")</f>
        <v>Onsemi</v>
      </c>
      <c r="C14784" s="6">
        <v>2475</v>
      </c>
      <c r="D14784" s="7">
        <v>3.38</v>
      </c>
    </row>
    <row r="14785" spans="1:5" x14ac:dyDescent="0.25">
      <c r="A14785" t="str">
        <f>HYPERLINK("https://www.773grp.com/globalSearch/MC54HC251J/page-1", "MC54HC251J")</f>
        <v>MC54HC251J</v>
      </c>
      <c r="B14785" s="3" t="str">
        <f>HYPERLINK("https://www.773grp.com/manufacturer/onsemi?pageNo=1304", "Onsemi")</f>
        <v>Onsemi</v>
      </c>
      <c r="C14785" s="6">
        <v>1555</v>
      </c>
      <c r="D14785" s="7">
        <v>3.38</v>
      </c>
      <c r="E14785" t="s">
        <v>16</v>
      </c>
    </row>
    <row r="14786" spans="1:5" x14ac:dyDescent="0.25">
      <c r="A14786" t="str">
        <f>HYPERLINK("https://www.773grp.com/globalSearch/NCP6132AMNR2G/page-1", "NCP6132AMNR2G")</f>
        <v>NCP6132AMNR2G</v>
      </c>
      <c r="B14786" s="3" t="str">
        <f>HYPERLINK("https://www.773grp.com/manufacturer/onsemi?pageNo=1305", "Onsemi")</f>
        <v>Onsemi</v>
      </c>
      <c r="C14786" s="6">
        <v>8700</v>
      </c>
      <c r="D14786" s="7">
        <v>3.38</v>
      </c>
    </row>
    <row r="14787" spans="1:5" x14ac:dyDescent="0.25">
      <c r="A14787" t="str">
        <f>HYPERLINK("https://www.773grp.com/globalSearch/NCV4949DG/page-1", "NCV4949DG")</f>
        <v>NCV4949DG</v>
      </c>
      <c r="B14787" s="3" t="str">
        <f>HYPERLINK("https://www.773grp.com/manufacturer/onsemi?pageNo=1306", "Onsemi")</f>
        <v>Onsemi</v>
      </c>
      <c r="C14787" s="6">
        <v>181</v>
      </c>
      <c r="D14787" s="7">
        <v>3.38</v>
      </c>
      <c r="E14787" t="s">
        <v>15</v>
      </c>
    </row>
    <row r="14788" spans="1:5" x14ac:dyDescent="0.25">
      <c r="A14788" t="str">
        <f>HYPERLINK("https://www.773grp.com/globalSearch/NCV4949DR2G/page-1", "NCV4949DR2G")</f>
        <v>NCV4949DR2G</v>
      </c>
      <c r="B14788" s="3" t="str">
        <f>HYPERLINK("https://www.773grp.com/manufacturer/onsemi?pageNo=1307", "Onsemi")</f>
        <v>Onsemi</v>
      </c>
      <c r="C14788" s="6">
        <v>16630</v>
      </c>
      <c r="D14788" s="7">
        <v>3.38</v>
      </c>
      <c r="E14788" t="s">
        <v>15</v>
      </c>
    </row>
    <row r="14789" spans="1:5" x14ac:dyDescent="0.25">
      <c r="A14789" t="str">
        <f>HYPERLINK("https://www.773grp.com/globalSearch/NCV8664D50R2G/page-1", "NCV8664D50R2G")</f>
        <v>NCV8664D50R2G</v>
      </c>
      <c r="B14789" s="3" t="str">
        <f>HYPERLINK("https://www.773grp.com/manufacturer/onsemi?pageNo=1308", "Onsemi")</f>
        <v>Onsemi</v>
      </c>
      <c r="C14789" s="6">
        <v>14850</v>
      </c>
      <c r="D14789" s="7">
        <v>3.38</v>
      </c>
      <c r="E14789" t="s">
        <v>15</v>
      </c>
    </row>
    <row r="14790" spans="1:5" x14ac:dyDescent="0.25">
      <c r="A14790" t="str">
        <f>HYPERLINK("https://www.773grp.com/globalSearch/NLV14504BDTR2G/page-1", "NLV14504BDTR2G")</f>
        <v>NLV14504BDTR2G</v>
      </c>
      <c r="B14790" s="3" t="str">
        <f>HYPERLINK("https://www.773grp.com/manufacturer/onsemi?pageNo=1309", "Onsemi")</f>
        <v>Onsemi</v>
      </c>
      <c r="C14790" s="6">
        <v>5000</v>
      </c>
      <c r="D14790" s="7">
        <v>3.38</v>
      </c>
    </row>
    <row r="14791" spans="1:5" x14ac:dyDescent="0.25">
      <c r="A14791" t="str">
        <f>HYPERLINK("https://www.773grp.com/globalSearch/NVD5890NT4G/page-1", "NVD5890NT4G")</f>
        <v>NVD5890NT4G</v>
      </c>
      <c r="B14791" s="3" t="str">
        <f>HYPERLINK("https://www.773grp.com/manufacturer/onsemi?pageNo=1310", "Onsemi")</f>
        <v>Onsemi</v>
      </c>
      <c r="C14791" s="6">
        <v>2500</v>
      </c>
      <c r="D14791" s="7">
        <v>3.38</v>
      </c>
    </row>
    <row r="14792" spans="1:5" x14ac:dyDescent="0.25">
      <c r="A14792" t="str">
        <f>HYPERLINK("https://www.773grp.com/globalSearch/TIP3055G/page-1", "TIP3055G")</f>
        <v>TIP3055G</v>
      </c>
      <c r="B14792" s="3" t="str">
        <f>HYPERLINK("https://www.773grp.com/manufacturer/onsemi?pageNo=1311", "Onsemi")</f>
        <v>Onsemi</v>
      </c>
      <c r="C14792" s="6">
        <v>185</v>
      </c>
      <c r="D14792" s="7">
        <v>3.38</v>
      </c>
    </row>
    <row r="14793" spans="1:5" x14ac:dyDescent="0.25">
      <c r="A14793" t="str">
        <f>HYPERLINK("https://www.773grp.com/globalSearch/TIP33CG/page-1", "TIP33CG")</f>
        <v>TIP33CG</v>
      </c>
      <c r="B14793" s="3" t="str">
        <f>HYPERLINK("https://www.773grp.com/manufacturer/onsemi?pageNo=1312", "Onsemi")</f>
        <v>Onsemi</v>
      </c>
      <c r="C14793" s="6">
        <v>13780</v>
      </c>
      <c r="D14793" s="7">
        <v>3.38</v>
      </c>
      <c r="E14793" t="s">
        <v>47</v>
      </c>
    </row>
    <row r="14794" spans="1:5" x14ac:dyDescent="0.25">
      <c r="A14794" t="str">
        <f>HYPERLINK("https://www.773grp.com/globalSearch/CS8151YTHA7G/page-1", "CS8151YTHA7G")</f>
        <v>CS8151YTHA7G</v>
      </c>
      <c r="B14794" s="3" t="str">
        <f>HYPERLINK("https://www.773grp.com/manufacturer/onsemi?pageNo=1313", "Onsemi")</f>
        <v>Onsemi</v>
      </c>
      <c r="C14794" s="6">
        <v>1250</v>
      </c>
      <c r="D14794" s="7">
        <v>3.08</v>
      </c>
      <c r="E14794" t="s">
        <v>15</v>
      </c>
    </row>
    <row r="14795" spans="1:5" x14ac:dyDescent="0.25">
      <c r="A14795" t="str">
        <f>HYPERLINK("https://www.773grp.com/globalSearch/CS8151YTVA7/page-1", "CS8151YTVA7")</f>
        <v>CS8151YTVA7</v>
      </c>
      <c r="B14795" s="3" t="str">
        <f>HYPERLINK("https://www.773grp.com/manufacturer/onsemi?pageNo=1314", "Onsemi")</f>
        <v>Onsemi</v>
      </c>
      <c r="C14795" s="6">
        <v>4800</v>
      </c>
      <c r="D14795" s="7">
        <v>3.08</v>
      </c>
      <c r="E14795" t="s">
        <v>15</v>
      </c>
    </row>
    <row r="14796" spans="1:5" x14ac:dyDescent="0.25">
      <c r="A14796" t="str">
        <f>HYPERLINK("https://www.773grp.com/globalSearch/MBR4045WT/page-1", "MBR4045WT")</f>
        <v>MBR4045WT</v>
      </c>
      <c r="B14796" s="3" t="str">
        <f>HYPERLINK("https://www.773grp.com/manufacturer/onsemi?pageNo=1315", "Onsemi")</f>
        <v>Onsemi</v>
      </c>
      <c r="C14796" s="6">
        <v>26</v>
      </c>
      <c r="D14796" s="7">
        <v>3.08</v>
      </c>
      <c r="E14796" t="s">
        <v>82</v>
      </c>
    </row>
    <row r="14797" spans="1:5" x14ac:dyDescent="0.25">
      <c r="A14797" t="str">
        <f>HYPERLINK("https://www.773grp.com/globalSearch/NCP4423P/page-1", "NCP4423P")</f>
        <v>NCP4423P</v>
      </c>
      <c r="B14797" s="3" t="str">
        <f>HYPERLINK("https://www.773grp.com/manufacturer/onsemi?pageNo=1316", "Onsemi")</f>
        <v>Onsemi</v>
      </c>
      <c r="C14797" s="6">
        <v>19000</v>
      </c>
      <c r="D14797" s="7">
        <v>3.08</v>
      </c>
      <c r="E14797" t="s">
        <v>12</v>
      </c>
    </row>
    <row r="14798" spans="1:5" x14ac:dyDescent="0.25">
      <c r="A14798" t="str">
        <f>HYPERLINK("https://www.773grp.com/globalSearch/NCP4424P/page-1", "NCP4424P")</f>
        <v>NCP4424P</v>
      </c>
      <c r="B14798" s="3" t="str">
        <f>HYPERLINK("https://www.773grp.com/manufacturer/onsemi?pageNo=1317", "Onsemi")</f>
        <v>Onsemi</v>
      </c>
      <c r="C14798" s="6">
        <v>26663</v>
      </c>
      <c r="D14798" s="7">
        <v>3.08</v>
      </c>
      <c r="E14798" t="s">
        <v>12</v>
      </c>
    </row>
    <row r="14799" spans="1:5" x14ac:dyDescent="0.25">
      <c r="A14799" t="str">
        <f>HYPERLINK("https://www.773grp.com/globalSearch/NCP4425P/page-1", "NCP4425P")</f>
        <v>NCP4425P</v>
      </c>
      <c r="B14799" s="3" t="str">
        <f>HYPERLINK("https://www.773grp.com/manufacturer/onsemi?pageNo=1318", "Onsemi")</f>
        <v>Onsemi</v>
      </c>
      <c r="C14799" s="6">
        <v>20140</v>
      </c>
      <c r="D14799" s="7">
        <v>3.08</v>
      </c>
      <c r="E14799" t="s">
        <v>12</v>
      </c>
    </row>
    <row r="14800" spans="1:5" x14ac:dyDescent="0.25">
      <c r="A14800" t="str">
        <f>HYPERLINK("https://www.773grp.com/globalSearch/2N5885/page-1", "2N5885")</f>
        <v>2N5885</v>
      </c>
      <c r="B14800" s="3" t="str">
        <f>HYPERLINK("https://www.773grp.com/manufacturer/onsemi?pageNo=1319", "Onsemi")</f>
        <v>Onsemi</v>
      </c>
      <c r="C14800" s="6">
        <v>405</v>
      </c>
      <c r="D14800" s="7">
        <v>3.43</v>
      </c>
      <c r="E14800" t="s">
        <v>47</v>
      </c>
    </row>
    <row r="14801" spans="1:5" x14ac:dyDescent="0.25">
      <c r="A14801" t="str">
        <f>HYPERLINK("https://www.773grp.com/globalSearch/ADP3208CJCPZ-RL/page-1", "ADP3208CJCPZ-RL")</f>
        <v>ADP3208CJCPZ-RL</v>
      </c>
      <c r="B14801" s="3" t="str">
        <f>HYPERLINK("https://www.773grp.com/manufacturer/onsemi?pageNo=1320", "Onsemi")</f>
        <v>Onsemi</v>
      </c>
      <c r="C14801" s="6">
        <v>27165</v>
      </c>
      <c r="D14801" s="7">
        <v>3.43</v>
      </c>
    </row>
    <row r="14802" spans="1:5" x14ac:dyDescent="0.25">
      <c r="A14802" t="str">
        <f>HYPERLINK("https://www.773grp.com/globalSearch/ADP3208DJCPZ-RL/page-1", "ADP3208DJCPZ-RL")</f>
        <v>ADP3208DJCPZ-RL</v>
      </c>
      <c r="B14802" s="3" t="str">
        <f>HYPERLINK("https://www.773grp.com/manufacturer/onsemi?pageNo=1321", "Onsemi")</f>
        <v>Onsemi</v>
      </c>
      <c r="C14802" s="6">
        <v>2500</v>
      </c>
      <c r="D14802" s="7">
        <v>3.43</v>
      </c>
      <c r="E14802" t="s">
        <v>5</v>
      </c>
    </row>
    <row r="14803" spans="1:5" x14ac:dyDescent="0.25">
      <c r="A14803" t="str">
        <f>HYPERLINK("https://www.773grp.com/globalSearch/ADP3209CJCPZ-RL/page-1", "ADP3209CJCPZ-RL")</f>
        <v>ADP3209CJCPZ-RL</v>
      </c>
      <c r="B14803" s="3" t="str">
        <f>HYPERLINK("https://www.773grp.com/manufacturer/onsemi?pageNo=1322", "Onsemi")</f>
        <v>Onsemi</v>
      </c>
      <c r="C14803" s="6">
        <v>10000</v>
      </c>
      <c r="D14803" s="7">
        <v>3.43</v>
      </c>
    </row>
    <row r="14804" spans="1:5" x14ac:dyDescent="0.25">
      <c r="A14804" t="str">
        <f>HYPERLINK("https://www.773grp.com/globalSearch/ADP3209DJCPZ-RL/page-1", "ADP3209DJCPZ-RL")</f>
        <v>ADP3209DJCPZ-RL</v>
      </c>
      <c r="B14804" s="3" t="str">
        <f>HYPERLINK("https://www.773grp.com/manufacturer/onsemi?pageNo=1323", "Onsemi")</f>
        <v>Onsemi</v>
      </c>
      <c r="C14804" s="6">
        <v>93706</v>
      </c>
      <c r="D14804" s="7">
        <v>3.43</v>
      </c>
      <c r="E14804" t="s">
        <v>5</v>
      </c>
    </row>
    <row r="14805" spans="1:5" x14ac:dyDescent="0.25">
      <c r="A14805" t="str">
        <f>HYPERLINK("https://www.773grp.com/globalSearch/CAT1021WI-25-G/page-1", "CAT1021WI-25-G")</f>
        <v>CAT1021WI-25-G</v>
      </c>
      <c r="B14805" s="3" t="str">
        <f>HYPERLINK("https://www.773grp.com/manufacturer/onsemi?pageNo=1324", "Onsemi")</f>
        <v>Onsemi</v>
      </c>
      <c r="C14805" s="6">
        <v>4100</v>
      </c>
      <c r="D14805" s="7">
        <v>3.43</v>
      </c>
    </row>
    <row r="14806" spans="1:5" x14ac:dyDescent="0.25">
      <c r="A14806" t="str">
        <f>HYPERLINK("https://www.773grp.com/globalSearch/CAT1021WI-30-G/page-1", "CAT1021WI-30-G")</f>
        <v>CAT1021WI-30-G</v>
      </c>
      <c r="B14806" s="3" t="str">
        <f>HYPERLINK("https://www.773grp.com/manufacturer/onsemi?pageNo=1325", "Onsemi")</f>
        <v>Onsemi</v>
      </c>
      <c r="C14806" s="6">
        <v>10000</v>
      </c>
      <c r="D14806" s="7">
        <v>3.43</v>
      </c>
    </row>
    <row r="14807" spans="1:5" x14ac:dyDescent="0.25">
      <c r="A14807" t="str">
        <f>HYPERLINK("https://www.773grp.com/globalSearch/CAT1021WI-42-G/page-1", "CAT1021WI-42-G")</f>
        <v>CAT1021WI-42-G</v>
      </c>
      <c r="B14807" s="3" t="str">
        <f>HYPERLINK("https://www.773grp.com/manufacturer/onsemi?pageNo=1326", "Onsemi")</f>
        <v>Onsemi</v>
      </c>
      <c r="C14807" s="6">
        <v>3100</v>
      </c>
      <c r="D14807" s="7">
        <v>3.43</v>
      </c>
    </row>
    <row r="14808" spans="1:5" x14ac:dyDescent="0.25">
      <c r="A14808" t="str">
        <f>HYPERLINK("https://www.773grp.com/globalSearch/CAT1021WI-45-G/page-1", "CAT1021WI-45-G")</f>
        <v>CAT1021WI-45-G</v>
      </c>
      <c r="B14808" s="3" t="str">
        <f>HYPERLINK("https://www.773grp.com/manufacturer/onsemi?pageNo=1327", "Onsemi")</f>
        <v>Onsemi</v>
      </c>
      <c r="C14808" s="6">
        <v>700</v>
      </c>
      <c r="D14808" s="7">
        <v>3.43</v>
      </c>
    </row>
    <row r="14809" spans="1:5" x14ac:dyDescent="0.25">
      <c r="A14809" t="str">
        <f>HYPERLINK("https://www.773grp.com/globalSearch/CAT1023WI-28-G/page-1", "CAT1023WI-28-G")</f>
        <v>CAT1023WI-28-G</v>
      </c>
      <c r="B14809" s="3" t="str">
        <f>HYPERLINK("https://www.773grp.com/manufacturer/onsemi?pageNo=1328", "Onsemi")</f>
        <v>Onsemi</v>
      </c>
      <c r="C14809" s="6">
        <v>2100</v>
      </c>
      <c r="D14809" s="7">
        <v>3.43</v>
      </c>
    </row>
    <row r="14810" spans="1:5" x14ac:dyDescent="0.25">
      <c r="A14810" t="str">
        <f>HYPERLINK("https://www.773grp.com/globalSearch/CAT1023WI-42-G/page-1", "CAT1023WI-42-G")</f>
        <v>CAT1023WI-42-G</v>
      </c>
      <c r="B14810" s="3" t="str">
        <f>HYPERLINK("https://www.773grp.com/manufacturer/onsemi?pageNo=1329", "Onsemi")</f>
        <v>Onsemi</v>
      </c>
      <c r="C14810" s="6">
        <v>3000</v>
      </c>
      <c r="D14810" s="7">
        <v>3.43</v>
      </c>
    </row>
    <row r="14811" spans="1:5" x14ac:dyDescent="0.25">
      <c r="A14811" t="str">
        <f>HYPERLINK("https://www.773grp.com/globalSearch/CAT1023WI-45-G/page-1", "CAT1023WI-45-G")</f>
        <v>CAT1023WI-45-G</v>
      </c>
      <c r="B14811" s="3" t="str">
        <f>HYPERLINK("https://www.773grp.com/manufacturer/onsemi?pageNo=1330", "Onsemi")</f>
        <v>Onsemi</v>
      </c>
      <c r="C14811" s="6">
        <v>2500</v>
      </c>
      <c r="D14811" s="7">
        <v>3.43</v>
      </c>
    </row>
    <row r="14812" spans="1:5" x14ac:dyDescent="0.25">
      <c r="A14812" t="str">
        <f>HYPERLINK("https://www.773grp.com/globalSearch/CAT1025WI-28-G/page-1", "CAT1025WI-28-G")</f>
        <v>CAT1025WI-28-G</v>
      </c>
      <c r="B14812" s="3" t="str">
        <f>HYPERLINK("https://www.773grp.com/manufacturer/onsemi?pageNo=1331", "Onsemi")</f>
        <v>Onsemi</v>
      </c>
      <c r="C14812" s="6">
        <v>700</v>
      </c>
      <c r="D14812" s="7">
        <v>3.43</v>
      </c>
      <c r="E14812" t="s">
        <v>26</v>
      </c>
    </row>
    <row r="14813" spans="1:5" x14ac:dyDescent="0.25">
      <c r="A14813" t="str">
        <f>HYPERLINK("https://www.773grp.com/globalSearch/CAT1025WI-30-G/page-1", "CAT1025WI-30-G")</f>
        <v>CAT1025WI-30-G</v>
      </c>
      <c r="B14813" s="3" t="str">
        <f>HYPERLINK("https://www.773grp.com/manufacturer/onsemi?pageNo=1332", "Onsemi")</f>
        <v>Onsemi</v>
      </c>
      <c r="C14813" s="6">
        <v>2800</v>
      </c>
      <c r="D14813" s="7">
        <v>3.43</v>
      </c>
      <c r="E14813" t="s">
        <v>26</v>
      </c>
    </row>
    <row r="14814" spans="1:5" x14ac:dyDescent="0.25">
      <c r="A14814" t="str">
        <f>HYPERLINK("https://www.773grp.com/globalSearch/CAT1026WI-42-GT3/page-1", "CAT1026WI-42-GT3")</f>
        <v>CAT1026WI-42-GT3</v>
      </c>
      <c r="B14814" s="3" t="str">
        <f>HYPERLINK("https://www.773grp.com/manufacturer/onsemi?pageNo=1333", "Onsemi")</f>
        <v>Onsemi</v>
      </c>
      <c r="C14814" s="6">
        <v>3000</v>
      </c>
      <c r="D14814" s="7">
        <v>3.43</v>
      </c>
    </row>
    <row r="14815" spans="1:5" x14ac:dyDescent="0.25">
      <c r="A14815" t="str">
        <f>HYPERLINK("https://www.773grp.com/globalSearch/CAT1027WI-45-G/page-1", "CAT1027WI-45-G")</f>
        <v>CAT1027WI-45-G</v>
      </c>
      <c r="B14815" s="3" t="str">
        <f>HYPERLINK("https://www.773grp.com/manufacturer/onsemi?pageNo=1334", "Onsemi")</f>
        <v>Onsemi</v>
      </c>
      <c r="C14815" s="6">
        <v>2500</v>
      </c>
      <c r="D14815" s="7">
        <v>3.43</v>
      </c>
    </row>
    <row r="14816" spans="1:5" x14ac:dyDescent="0.25">
      <c r="A14816" t="str">
        <f>HYPERLINK("https://www.773grp.com/globalSearch/CAT3661HV3-GT2/page-1", "CAT3661HV3-GT2")</f>
        <v>CAT3661HV3-GT2</v>
      </c>
      <c r="B14816" s="3" t="str">
        <f>HYPERLINK("https://www.773grp.com/manufacturer/onsemi?pageNo=1335", "Onsemi")</f>
        <v>Onsemi</v>
      </c>
      <c r="C14816" s="6">
        <v>150</v>
      </c>
      <c r="D14816" s="7">
        <v>3.43</v>
      </c>
    </row>
    <row r="14817" spans="1:5" x14ac:dyDescent="0.25">
      <c r="A14817" t="str">
        <f>HYPERLINK("https://www.773grp.com/globalSearch/CAT4134HV2-GT2/page-1", "CAT4134HV2-GT2")</f>
        <v>CAT4134HV2-GT2</v>
      </c>
      <c r="B14817" s="3" t="str">
        <f>HYPERLINK("https://www.773grp.com/manufacturer/onsemi?pageNo=1336", "Onsemi")</f>
        <v>Onsemi</v>
      </c>
      <c r="C14817" s="6">
        <v>2000</v>
      </c>
      <c r="D14817" s="7">
        <v>3.43</v>
      </c>
    </row>
    <row r="14818" spans="1:5" x14ac:dyDescent="0.25">
      <c r="A14818" t="str">
        <f>HYPERLINK("https://www.773grp.com/globalSearch/CAT5136SDI-50GT3/page-1", "CAT5136SDI-50GT3")</f>
        <v>CAT5136SDI-50GT3</v>
      </c>
      <c r="B14818" s="3" t="str">
        <f>HYPERLINK("https://www.773grp.com/manufacturer/onsemi?pageNo=1337", "Onsemi")</f>
        <v>Onsemi</v>
      </c>
      <c r="C14818" s="6">
        <v>3000</v>
      </c>
      <c r="D14818" s="7">
        <v>3.43</v>
      </c>
    </row>
    <row r="14819" spans="1:5" x14ac:dyDescent="0.25">
      <c r="A14819" t="str">
        <f>HYPERLINK("https://www.773grp.com/globalSearch/CAT5137SDI-00GT3/page-1", "CAT5137SDI-00GT3")</f>
        <v>CAT5137SDI-00GT3</v>
      </c>
      <c r="B14819" s="3" t="str">
        <f>HYPERLINK("https://www.773grp.com/manufacturer/onsemi?pageNo=1338", "Onsemi")</f>
        <v>Onsemi</v>
      </c>
      <c r="C14819" s="6">
        <v>3000</v>
      </c>
      <c r="D14819" s="7">
        <v>3.43</v>
      </c>
    </row>
    <row r="14820" spans="1:5" x14ac:dyDescent="0.25">
      <c r="A14820" t="str">
        <f>HYPERLINK("https://www.773grp.com/globalSearch/CS3842AGD8/page-1", "CS3842AGD8")</f>
        <v>CS3842AGD8</v>
      </c>
      <c r="B14820" s="3" t="str">
        <f>HYPERLINK("https://www.773grp.com/manufacturer/onsemi?pageNo=1339", "Onsemi")</f>
        <v>Onsemi</v>
      </c>
      <c r="C14820" s="6">
        <v>8119</v>
      </c>
      <c r="D14820" s="7">
        <v>3.43</v>
      </c>
      <c r="E14820" t="s">
        <v>5</v>
      </c>
    </row>
    <row r="14821" spans="1:5" x14ac:dyDescent="0.25">
      <c r="A14821" t="str">
        <f>HYPERLINK("https://www.773grp.com/globalSearch/CS51021AEDR16/page-1", "CS51021AEDR16")</f>
        <v>CS51021AEDR16</v>
      </c>
      <c r="B14821" s="3" t="str">
        <f>HYPERLINK("https://www.773grp.com/manufacturer/onsemi?pageNo=1340", "Onsemi")</f>
        <v>Onsemi</v>
      </c>
      <c r="C14821" s="6">
        <v>1681</v>
      </c>
      <c r="D14821" s="7">
        <v>3.43</v>
      </c>
      <c r="E14821" t="s">
        <v>5</v>
      </c>
    </row>
    <row r="14822" spans="1:5" x14ac:dyDescent="0.25">
      <c r="A14822" t="str">
        <f>HYPERLINK("https://www.773grp.com/globalSearch/LB1838M-TRM-E/page-1", "LB1838M-TRM-E")</f>
        <v>LB1838M-TRM-E</v>
      </c>
      <c r="B14822" s="3" t="str">
        <f>HYPERLINK("https://www.773grp.com/manufacturer/onsemi?pageNo=1341", "Onsemi")</f>
        <v>Onsemi</v>
      </c>
      <c r="C14822" s="6">
        <v>3739</v>
      </c>
      <c r="D14822" s="7">
        <v>3.43</v>
      </c>
    </row>
    <row r="14823" spans="1:5" x14ac:dyDescent="0.25">
      <c r="A14823" t="str">
        <f>HYPERLINK("https://www.773grp.com/globalSearch/LB1948MC-AH/page-1", "LB1948MC-AH")</f>
        <v>LB1948MC-AH</v>
      </c>
      <c r="B14823" s="3" t="str">
        <f>HYPERLINK("https://www.773grp.com/manufacturer/onsemi?pageNo=1342", "Onsemi")</f>
        <v>Onsemi</v>
      </c>
      <c r="C14823" s="6">
        <v>14000</v>
      </c>
      <c r="D14823" s="7">
        <v>3.43</v>
      </c>
    </row>
    <row r="14824" spans="1:5" x14ac:dyDescent="0.25">
      <c r="A14824" t="str">
        <f>HYPERLINK("https://www.773grp.com/globalSearch/LB1948MC-ZH/page-1", "LB1948MC-ZH")</f>
        <v>LB1948MC-ZH</v>
      </c>
      <c r="B14824" s="3" t="str">
        <f>HYPERLINK("https://www.773grp.com/manufacturer/onsemi?pageNo=1343", "Onsemi")</f>
        <v>Onsemi</v>
      </c>
      <c r="C14824" s="6">
        <v>1100</v>
      </c>
      <c r="D14824" s="7">
        <v>3.43</v>
      </c>
    </row>
    <row r="14825" spans="1:5" x14ac:dyDescent="0.25">
      <c r="A14825" t="str">
        <f>HYPERLINK("https://www.773grp.com/globalSearch/MAX1617DBR2/page-1", "MAX1617DBR2")</f>
        <v>MAX1617DBR2</v>
      </c>
      <c r="B14825" s="3" t="str">
        <f>HYPERLINK("https://www.773grp.com/manufacturer/onsemi?pageNo=1344", "Onsemi")</f>
        <v>Onsemi</v>
      </c>
      <c r="C14825" s="6">
        <v>59800</v>
      </c>
      <c r="D14825" s="7">
        <v>3.43</v>
      </c>
      <c r="E14825" t="s">
        <v>9</v>
      </c>
    </row>
    <row r="14826" spans="1:5" x14ac:dyDescent="0.25">
      <c r="A14826" t="str">
        <f>HYPERLINK("https://www.773grp.com/globalSearch/MBR16100CTG/page-1", "MBR16100CTG")</f>
        <v>MBR16100CTG</v>
      </c>
      <c r="B14826" s="3" t="str">
        <f>HYPERLINK("https://www.773grp.com/manufacturer/onsemi?pageNo=1345", "Onsemi")</f>
        <v>Onsemi</v>
      </c>
      <c r="C14826" s="6">
        <v>109200</v>
      </c>
      <c r="D14826" s="7">
        <v>3.43</v>
      </c>
      <c r="E14826" t="s">
        <v>82</v>
      </c>
    </row>
    <row r="14827" spans="1:5" x14ac:dyDescent="0.25">
      <c r="A14827" t="str">
        <f>HYPERLINK("https://www.773grp.com/globalSearch/MBR60L45CTG/page-1", "MBR60L45CTG")</f>
        <v>MBR60L45CTG</v>
      </c>
      <c r="B14827" s="3" t="str">
        <f>HYPERLINK("https://www.773grp.com/manufacturer/onsemi?pageNo=1346", "Onsemi")</f>
        <v>Onsemi</v>
      </c>
      <c r="C14827" s="6">
        <v>56287</v>
      </c>
      <c r="D14827" s="7">
        <v>3.43</v>
      </c>
      <c r="E14827" t="s">
        <v>82</v>
      </c>
    </row>
    <row r="14828" spans="1:5" x14ac:dyDescent="0.25">
      <c r="A14828" t="str">
        <f>HYPERLINK("https://www.773grp.com/globalSearch/MBRB40250TG/page-1", "MBRB40250TG")</f>
        <v>MBRB40250TG</v>
      </c>
      <c r="B14828" s="3" t="str">
        <f>HYPERLINK("https://www.773grp.com/manufacturer/onsemi?pageNo=1347", "Onsemi")</f>
        <v>Onsemi</v>
      </c>
      <c r="C14828" s="6">
        <v>7145</v>
      </c>
      <c r="D14828" s="7">
        <v>3.43</v>
      </c>
    </row>
    <row r="14829" spans="1:5" x14ac:dyDescent="0.25">
      <c r="A14829" t="str">
        <f>HYPERLINK("https://www.773grp.com/globalSearch/MC14067BCPG/page-1", "MC14067BCPG")</f>
        <v>MC14067BCPG</v>
      </c>
      <c r="B14829" s="3" t="str">
        <f>HYPERLINK("https://www.773grp.com/manufacturer/onsemi?pageNo=1348", "Onsemi")</f>
        <v>Onsemi</v>
      </c>
      <c r="C14829" s="6">
        <v>1</v>
      </c>
      <c r="D14829" s="7">
        <v>3.43</v>
      </c>
      <c r="E14829" t="s">
        <v>46</v>
      </c>
    </row>
    <row r="14830" spans="1:5" x14ac:dyDescent="0.25">
      <c r="A14830" t="str">
        <f>HYPERLINK("https://www.773grp.com/globalSearch/MC14517BCPG/page-1", "MC14517BCPG")</f>
        <v>MC14517BCPG</v>
      </c>
      <c r="B14830" s="3" t="str">
        <f>HYPERLINK("https://www.773grp.com/manufacturer/onsemi?pageNo=1", "Onsemi")</f>
        <v>Onsemi</v>
      </c>
      <c r="C14830" s="6">
        <v>3364</v>
      </c>
      <c r="D14830" s="7">
        <v>3.43</v>
      </c>
      <c r="E14830" t="s">
        <v>28</v>
      </c>
    </row>
    <row r="14831" spans="1:5" x14ac:dyDescent="0.25">
      <c r="A14831" t="str">
        <f>HYPERLINK("https://www.773grp.com/globalSearch/MC33153DG/page-1", "MC33153DG")</f>
        <v>MC33153DG</v>
      </c>
      <c r="B14831" s="3" t="str">
        <f>HYPERLINK("https://www.773grp.com/manufacturer/onsemi?pageNo=2", "Onsemi")</f>
        <v>Onsemi</v>
      </c>
      <c r="C14831" s="6">
        <v>1002</v>
      </c>
      <c r="D14831" s="7">
        <v>3.43</v>
      </c>
    </row>
    <row r="14832" spans="1:5" x14ac:dyDescent="0.25">
      <c r="A14832" t="str">
        <f>HYPERLINK("https://www.773grp.com/globalSearch/MC33153DR2G/page-1", "MC33153DR2G")</f>
        <v>MC33153DR2G</v>
      </c>
      <c r="B14832" s="3" t="str">
        <f>HYPERLINK("https://www.773grp.com/manufacturer/onsemi?pageNo=3", "Onsemi")</f>
        <v>Onsemi</v>
      </c>
      <c r="C14832" s="6">
        <v>17548</v>
      </c>
      <c r="D14832" s="7">
        <v>3.43</v>
      </c>
      <c r="E14832" t="s">
        <v>8</v>
      </c>
    </row>
    <row r="14833" spans="1:5" x14ac:dyDescent="0.25">
      <c r="A14833" t="str">
        <f>HYPERLINK("https://www.773grp.com/globalSearch/MC33153PG/page-1", "MC33153PG")</f>
        <v>MC33153PG</v>
      </c>
      <c r="B14833" s="3" t="str">
        <f>HYPERLINK("https://www.773grp.com/manufacturer/onsemi?pageNo=4", "Onsemi")</f>
        <v>Onsemi</v>
      </c>
      <c r="C14833" s="6">
        <v>37918</v>
      </c>
      <c r="D14833" s="7">
        <v>3.43</v>
      </c>
      <c r="E14833" t="s">
        <v>8</v>
      </c>
    </row>
    <row r="14834" spans="1:5" x14ac:dyDescent="0.25">
      <c r="A14834" t="str">
        <f>HYPERLINK("https://www.773grp.com/globalSearch/MC33170DTB/page-1", "MC33170DTB")</f>
        <v>MC33170DTB</v>
      </c>
      <c r="B14834" s="3" t="str">
        <f>HYPERLINK("https://www.773grp.com/manufacturer/onsemi?pageNo=5", "Onsemi")</f>
        <v>Onsemi</v>
      </c>
      <c r="C14834" s="6">
        <v>14254</v>
      </c>
      <c r="D14834" s="7">
        <v>3.43</v>
      </c>
      <c r="E14834" t="s">
        <v>55</v>
      </c>
    </row>
    <row r="14835" spans="1:5" x14ac:dyDescent="0.25">
      <c r="A14835" t="str">
        <f>HYPERLINK("https://www.773grp.com/globalSearch/MC33170DTBR2/page-1", "MC33170DTBR2")</f>
        <v>MC33170DTBR2</v>
      </c>
      <c r="B14835" s="3" t="str">
        <f>HYPERLINK("https://www.773grp.com/manufacturer/onsemi?pageNo=6", "Onsemi")</f>
        <v>Onsemi</v>
      </c>
      <c r="C14835" s="6">
        <v>2500</v>
      </c>
      <c r="D14835" s="7">
        <v>3.43</v>
      </c>
      <c r="E14835" t="s">
        <v>55</v>
      </c>
    </row>
    <row r="14836" spans="1:5" x14ac:dyDescent="0.25">
      <c r="A14836" t="str">
        <f>HYPERLINK("https://www.773grp.com/globalSearch/MC33502DG/page-1", "MC33502DG")</f>
        <v>MC33502DG</v>
      </c>
      <c r="B14836" s="3" t="str">
        <f>HYPERLINK("https://www.773grp.com/manufacturer/onsemi?pageNo=7", "Onsemi")</f>
        <v>Onsemi</v>
      </c>
      <c r="C14836" s="6">
        <v>80</v>
      </c>
      <c r="D14836" s="7">
        <v>3.43</v>
      </c>
      <c r="E14836" t="s">
        <v>10</v>
      </c>
    </row>
    <row r="14837" spans="1:5" x14ac:dyDescent="0.25">
      <c r="A14837" t="str">
        <f>HYPERLINK("https://www.773grp.com/globalSearch/MC33502DR2G/page-1", "MC33502DR2G")</f>
        <v>MC33502DR2G</v>
      </c>
      <c r="B14837" s="3" t="str">
        <f>HYPERLINK("https://www.773grp.com/manufacturer/onsemi?pageNo=8", "Onsemi")</f>
        <v>Onsemi</v>
      </c>
      <c r="C14837" s="6">
        <v>2500</v>
      </c>
      <c r="D14837" s="7">
        <v>3.43</v>
      </c>
      <c r="E14837" t="s">
        <v>10</v>
      </c>
    </row>
    <row r="14838" spans="1:5" x14ac:dyDescent="0.25">
      <c r="A14838" t="str">
        <f>HYPERLINK("https://www.773grp.com/globalSearch/MC33502PG/page-1", "MC33502PG")</f>
        <v>MC33502PG</v>
      </c>
      <c r="B14838" s="3" t="str">
        <f>HYPERLINK("https://www.773grp.com/manufacturer/onsemi?pageNo=9", "Onsemi")</f>
        <v>Onsemi</v>
      </c>
      <c r="C14838" s="6">
        <v>9781</v>
      </c>
      <c r="D14838" s="7">
        <v>3.43</v>
      </c>
      <c r="E14838" t="s">
        <v>10</v>
      </c>
    </row>
    <row r="14839" spans="1:5" x14ac:dyDescent="0.25">
      <c r="A14839" t="str">
        <f>HYPERLINK("https://www.773grp.com/globalSearch/MC74A5-50T/page-1", "MC74A5-50T")</f>
        <v>MC74A5-50T</v>
      </c>
      <c r="B14839" s="3" t="str">
        <f>HYPERLINK("https://www.773grp.com/manufacturer/onsemi?pageNo=10", "Onsemi")</f>
        <v>Onsemi</v>
      </c>
      <c r="C14839" s="6">
        <v>24000</v>
      </c>
      <c r="D14839" s="7">
        <v>3.43</v>
      </c>
      <c r="E14839" t="s">
        <v>9</v>
      </c>
    </row>
    <row r="14840" spans="1:5" x14ac:dyDescent="0.25">
      <c r="A14840" t="str">
        <f>HYPERLINK("https://www.773grp.com/globalSearch/MC74AC4040NG/page-1", "MC74AC4040NG")</f>
        <v>MC74AC4040NG</v>
      </c>
      <c r="B14840" s="3" t="str">
        <f>HYPERLINK("https://www.773grp.com/manufacturer/onsemi?pageNo=11", "Onsemi")</f>
        <v>Onsemi</v>
      </c>
      <c r="C14840" s="6">
        <v>946</v>
      </c>
      <c r="D14840" s="7">
        <v>3.43</v>
      </c>
      <c r="E14840" t="s">
        <v>22</v>
      </c>
    </row>
    <row r="14841" spans="1:5" x14ac:dyDescent="0.25">
      <c r="A14841" t="str">
        <f>HYPERLINK("https://www.773grp.com/globalSearch/MC74LVX4245DTG/page-1", "MC74LVX4245DTG")</f>
        <v>MC74LVX4245DTG</v>
      </c>
      <c r="B14841" s="3" t="str">
        <f>HYPERLINK("https://www.773grp.com/manufacturer/onsemi?pageNo=12", "Onsemi")</f>
        <v>Onsemi</v>
      </c>
      <c r="C14841" s="6">
        <v>12593</v>
      </c>
      <c r="D14841" s="7">
        <v>3.43</v>
      </c>
      <c r="E14841" t="s">
        <v>11</v>
      </c>
    </row>
    <row r="14842" spans="1:5" x14ac:dyDescent="0.25">
      <c r="A14842" t="str">
        <f>HYPERLINK("https://www.773grp.com/globalSearch/MC74LVX4245DTR2G/page-1", "MC74LVX4245DTR2G")</f>
        <v>MC74LVX4245DTR2G</v>
      </c>
      <c r="B14842" s="3" t="str">
        <f>HYPERLINK("https://www.773grp.com/manufacturer/onsemi?pageNo=13", "Onsemi")</f>
        <v>Onsemi</v>
      </c>
      <c r="C14842" s="6">
        <v>11998</v>
      </c>
      <c r="D14842" s="7">
        <v>3.43</v>
      </c>
      <c r="E14842" t="s">
        <v>11</v>
      </c>
    </row>
    <row r="14843" spans="1:5" x14ac:dyDescent="0.25">
      <c r="A14843" t="str">
        <f>HYPERLINK("https://www.773grp.com/globalSearch/MC74LVX4245DWG/page-1", "MC74LVX4245DWG")</f>
        <v>MC74LVX4245DWG</v>
      </c>
      <c r="B14843" s="3" t="str">
        <f>HYPERLINK("https://www.773grp.com/manufacturer/onsemi?pageNo=14", "Onsemi")</f>
        <v>Onsemi</v>
      </c>
      <c r="C14843" s="6">
        <v>210</v>
      </c>
      <c r="D14843" s="7">
        <v>3.43</v>
      </c>
      <c r="E14843" t="s">
        <v>11</v>
      </c>
    </row>
    <row r="14844" spans="1:5" x14ac:dyDescent="0.25">
      <c r="A14844" t="str">
        <f>HYPERLINK("https://www.773grp.com/globalSearch/MC74LVX4245DWR2G/page-1", "MC74LVX4245DWR2G")</f>
        <v>MC74LVX4245DWR2G</v>
      </c>
      <c r="B14844" s="3" t="str">
        <f>HYPERLINK("https://www.773grp.com/manufacturer/onsemi?pageNo=15", "Onsemi")</f>
        <v>Onsemi</v>
      </c>
      <c r="C14844" s="6">
        <v>237</v>
      </c>
      <c r="D14844" s="7">
        <v>3.43</v>
      </c>
      <c r="E14844" t="s">
        <v>11</v>
      </c>
    </row>
    <row r="14845" spans="1:5" x14ac:dyDescent="0.25">
      <c r="A14845" t="str">
        <f>HYPERLINK("https://www.773grp.com/globalSearch/MC74LVXC3245DTG/page-1", "MC74LVXC3245DTG")</f>
        <v>MC74LVXC3245DTG</v>
      </c>
      <c r="B14845" s="3" t="str">
        <f>HYPERLINK("https://www.773grp.com/manufacturer/onsemi?pageNo=16", "Onsemi")</f>
        <v>Onsemi</v>
      </c>
      <c r="C14845" s="6">
        <v>18011</v>
      </c>
      <c r="D14845" s="7">
        <v>3.43</v>
      </c>
      <c r="E14845" t="s">
        <v>11</v>
      </c>
    </row>
    <row r="14846" spans="1:5" x14ac:dyDescent="0.25">
      <c r="A14846" t="str">
        <f>HYPERLINK("https://www.773grp.com/globalSearch/MC74LVXC3245DTRG/page-1", "MC74LVXC3245DTRG")</f>
        <v>MC74LVXC3245DTRG</v>
      </c>
      <c r="B14846" s="3" t="str">
        <f>HYPERLINK("https://www.773grp.com/manufacturer/onsemi?pageNo=17", "Onsemi")</f>
        <v>Onsemi</v>
      </c>
      <c r="C14846" s="6">
        <v>5131</v>
      </c>
      <c r="D14846" s="7">
        <v>3.43</v>
      </c>
      <c r="E14846" t="s">
        <v>11</v>
      </c>
    </row>
    <row r="14847" spans="1:5" x14ac:dyDescent="0.25">
      <c r="A14847" t="str">
        <f>HYPERLINK("https://www.773grp.com/globalSearch/MTB60N05HDL/page-1", "MTB60N05HDL")</f>
        <v>MTB60N05HDL</v>
      </c>
      <c r="B14847" s="3" t="str">
        <f>HYPERLINK("https://www.773grp.com/manufacturer/onsemi?pageNo=18", "Onsemi")</f>
        <v>Onsemi</v>
      </c>
      <c r="C14847" s="6">
        <v>40</v>
      </c>
      <c r="D14847" s="7">
        <v>3.43</v>
      </c>
      <c r="E14847" t="s">
        <v>84</v>
      </c>
    </row>
    <row r="14848" spans="1:5" x14ac:dyDescent="0.25">
      <c r="A14848" t="str">
        <f>HYPERLINK("https://www.773grp.com/globalSearch/MTB60N05HDLT4/page-1", "MTB60N05HDLT4")</f>
        <v>MTB60N05HDLT4</v>
      </c>
      <c r="B14848" s="3" t="str">
        <f>HYPERLINK("https://www.773grp.com/manufacturer/onsemi?pageNo=19", "Onsemi")</f>
        <v>Onsemi</v>
      </c>
      <c r="C14848" s="6">
        <v>23850</v>
      </c>
      <c r="D14848" s="7">
        <v>3.43</v>
      </c>
      <c r="E14848" t="s">
        <v>84</v>
      </c>
    </row>
    <row r="14849" spans="1:5" x14ac:dyDescent="0.25">
      <c r="A14849" t="str">
        <f>HYPERLINK("https://www.773grp.com/globalSearch/NB3L553DG/page-1", "NB3L553DG")</f>
        <v>NB3L553DG</v>
      </c>
      <c r="B14849" s="3" t="str">
        <f>HYPERLINK("https://www.773grp.com/manufacturer/onsemi?pageNo=20", "Onsemi")</f>
        <v>Onsemi</v>
      </c>
      <c r="C14849" s="6">
        <v>9201</v>
      </c>
      <c r="D14849" s="7">
        <v>3.43</v>
      </c>
    </row>
    <row r="14850" spans="1:5" x14ac:dyDescent="0.25">
      <c r="A14850" t="str">
        <f>HYPERLINK("https://www.773grp.com/globalSearch/NB3L553DR2G/page-1", "NB3L553DR2G")</f>
        <v>NB3L553DR2G</v>
      </c>
      <c r="B14850" s="3" t="str">
        <f>HYPERLINK("https://www.773grp.com/manufacturer/onsemi?pageNo=21", "Onsemi")</f>
        <v>Onsemi</v>
      </c>
      <c r="C14850" s="6">
        <v>5000</v>
      </c>
      <c r="D14850" s="7">
        <v>3.43</v>
      </c>
      <c r="E14850" t="s">
        <v>30</v>
      </c>
    </row>
    <row r="14851" spans="1:5" x14ac:dyDescent="0.25">
      <c r="A14851" t="str">
        <f>HYPERLINK("https://www.773grp.com/globalSearch/NB3N2304NZDTR2G/page-1", "NB3N2304NZDTR2G")</f>
        <v>NB3N2304NZDTR2G</v>
      </c>
      <c r="B14851" s="3" t="str">
        <f>HYPERLINK("https://www.773grp.com/manufacturer/onsemi?pageNo=22", "Onsemi")</f>
        <v>Onsemi</v>
      </c>
      <c r="C14851" s="6">
        <v>1147</v>
      </c>
      <c r="D14851" s="7">
        <v>3.43</v>
      </c>
    </row>
    <row r="14852" spans="1:5" x14ac:dyDescent="0.25">
      <c r="A14852" t="str">
        <f>HYPERLINK("https://www.773grp.com/globalSearch/NCN4555MNG/page-1", "NCN4555MNG")</f>
        <v>NCN4555MNG</v>
      </c>
      <c r="B14852" s="3" t="str">
        <f>HYPERLINK("https://www.773grp.com/manufacturer/onsemi?pageNo=23", "Onsemi")</f>
        <v>Onsemi</v>
      </c>
      <c r="C14852" s="6">
        <v>4379</v>
      </c>
      <c r="D14852" s="7">
        <v>3.43</v>
      </c>
      <c r="E14852" t="s">
        <v>26</v>
      </c>
    </row>
    <row r="14853" spans="1:5" x14ac:dyDescent="0.25">
      <c r="A14853" t="str">
        <f>HYPERLINK("https://www.773grp.com/globalSearch/NCP1395APG/page-1", "NCP1395APG")</f>
        <v>NCP1395APG</v>
      </c>
      <c r="B14853" s="3" t="str">
        <f>HYPERLINK("https://www.773grp.com/manufacturer/onsemi?pageNo=24", "Onsemi")</f>
        <v>Onsemi</v>
      </c>
      <c r="C14853" s="6">
        <v>13622</v>
      </c>
      <c r="D14853" s="7">
        <v>3.43</v>
      </c>
      <c r="E14853" t="s">
        <v>5</v>
      </c>
    </row>
    <row r="14854" spans="1:5" x14ac:dyDescent="0.25">
      <c r="A14854" t="str">
        <f>HYPERLINK("https://www.773grp.com/globalSearch/NCP1395BPG/page-1", "NCP1395BPG")</f>
        <v>NCP1395BPG</v>
      </c>
      <c r="B14854" s="3" t="str">
        <f>HYPERLINK("https://www.773grp.com/manufacturer/onsemi?pageNo=25", "Onsemi")</f>
        <v>Onsemi</v>
      </c>
      <c r="C14854" s="6">
        <v>2480</v>
      </c>
      <c r="D14854" s="7">
        <v>3.43</v>
      </c>
      <c r="E14854" t="s">
        <v>5</v>
      </c>
    </row>
    <row r="14855" spans="1:5" x14ac:dyDescent="0.25">
      <c r="A14855" t="str">
        <f>HYPERLINK("https://www.773grp.com/globalSearch/NCP51198PDR2G/page-1", "NCP51198PDR2G")</f>
        <v>NCP51198PDR2G</v>
      </c>
      <c r="B14855" s="3" t="str">
        <f>HYPERLINK("https://www.773grp.com/manufacturer/onsemi?pageNo=26", "Onsemi")</f>
        <v>Onsemi</v>
      </c>
      <c r="C14855" s="6">
        <v>2500</v>
      </c>
      <c r="D14855" s="7">
        <v>3.43</v>
      </c>
    </row>
    <row r="14856" spans="1:5" x14ac:dyDescent="0.25">
      <c r="A14856" t="str">
        <f>HYPERLINK("https://www.773grp.com/globalSearch/NCP5395MNR2G/page-1", "NCP5395MNR2G")</f>
        <v>NCP5395MNR2G</v>
      </c>
      <c r="B14856" s="3" t="str">
        <f>HYPERLINK("https://www.773grp.com/manufacturer/onsemi?pageNo=27", "Onsemi")</f>
        <v>Onsemi</v>
      </c>
      <c r="C14856" s="6">
        <v>40922</v>
      </c>
      <c r="D14856" s="7">
        <v>3.43</v>
      </c>
      <c r="E14856" t="s">
        <v>5</v>
      </c>
    </row>
    <row r="14857" spans="1:5" x14ac:dyDescent="0.25">
      <c r="A14857" t="str">
        <f>HYPERLINK("https://www.773grp.com/globalSearch/NCP5395TMNR2G/page-1", "NCP5395TMNR2G")</f>
        <v>NCP5395TMNR2G</v>
      </c>
      <c r="B14857" s="3" t="str">
        <f>HYPERLINK("https://www.773grp.com/manufacturer/onsemi?pageNo=28", "Onsemi")</f>
        <v>Onsemi</v>
      </c>
      <c r="C14857" s="6">
        <v>196443</v>
      </c>
      <c r="D14857" s="7">
        <v>3.43</v>
      </c>
      <c r="E14857" t="s">
        <v>5</v>
      </c>
    </row>
    <row r="14858" spans="1:5" x14ac:dyDescent="0.25">
      <c r="A14858" t="str">
        <f>HYPERLINK("https://www.773grp.com/globalSearch/NCP59151MN18TYG/page-1", "NCP59151MN18TYG")</f>
        <v>NCP59151MN18TYG</v>
      </c>
      <c r="B14858" s="3" t="str">
        <f>HYPERLINK("https://www.773grp.com/manufacturer/onsemi?pageNo=29", "Onsemi")</f>
        <v>Onsemi</v>
      </c>
      <c r="C14858" s="6">
        <v>4000</v>
      </c>
      <c r="D14858" s="7">
        <v>3.43</v>
      </c>
    </row>
    <row r="14859" spans="1:5" x14ac:dyDescent="0.25">
      <c r="A14859" t="str">
        <f>HYPERLINK("https://www.773grp.com/globalSearch/NCP59151MN25TYG/page-1", "NCP59151MN25TYG")</f>
        <v>NCP59151MN25TYG</v>
      </c>
      <c r="B14859" s="3" t="str">
        <f>HYPERLINK("https://www.773grp.com/manufacturer/onsemi?pageNo=30", "Onsemi")</f>
        <v>Onsemi</v>
      </c>
      <c r="C14859" s="6">
        <v>4000</v>
      </c>
      <c r="D14859" s="7">
        <v>3.43</v>
      </c>
    </row>
    <row r="14860" spans="1:5" x14ac:dyDescent="0.25">
      <c r="A14860" t="str">
        <f>HYPERLINK("https://www.773grp.com/globalSearch/NCP59151MN28TYG/page-1", "NCP59151MN28TYG")</f>
        <v>NCP59151MN28TYG</v>
      </c>
      <c r="B14860" s="3" t="str">
        <f>HYPERLINK("https://www.773grp.com/manufacturer/onsemi?pageNo=31", "Onsemi")</f>
        <v>Onsemi</v>
      </c>
      <c r="C14860" s="6">
        <v>4000</v>
      </c>
      <c r="D14860" s="7">
        <v>3.43</v>
      </c>
    </row>
    <row r="14861" spans="1:5" x14ac:dyDescent="0.25">
      <c r="A14861" t="str">
        <f>HYPERLINK("https://www.773grp.com/globalSearch/NCP59151MN30TYG/page-1", "NCP59151MN30TYG")</f>
        <v>NCP59151MN30TYG</v>
      </c>
      <c r="B14861" s="3" t="str">
        <f>HYPERLINK("https://www.773grp.com/manufacturer/onsemi?pageNo=32", "Onsemi")</f>
        <v>Onsemi</v>
      </c>
      <c r="C14861" s="6">
        <v>4000</v>
      </c>
      <c r="D14861" s="7">
        <v>3.43</v>
      </c>
    </row>
    <row r="14862" spans="1:5" x14ac:dyDescent="0.25">
      <c r="A14862" t="str">
        <f>HYPERLINK("https://www.773grp.com/globalSearch/NCP59151MN33TYG/page-1", "NCP59151MN33TYG")</f>
        <v>NCP59151MN33TYG</v>
      </c>
      <c r="B14862" s="3" t="str">
        <f>HYPERLINK("https://www.773grp.com/manufacturer/onsemi?pageNo=33", "Onsemi")</f>
        <v>Onsemi</v>
      </c>
      <c r="C14862" s="6">
        <v>11959</v>
      </c>
      <c r="D14862" s="7">
        <v>3.43</v>
      </c>
    </row>
    <row r="14863" spans="1:5" x14ac:dyDescent="0.25">
      <c r="A14863" t="str">
        <f>HYPERLINK("https://www.773grp.com/globalSearch/NCP59151MN50TYG/page-1", "NCP59151MN50TYG")</f>
        <v>NCP59151MN50TYG</v>
      </c>
      <c r="B14863" s="3" t="str">
        <f>HYPERLINK("https://www.773grp.com/manufacturer/onsemi?pageNo=34", "Onsemi")</f>
        <v>Onsemi</v>
      </c>
      <c r="C14863" s="6">
        <v>4000</v>
      </c>
      <c r="D14863" s="7">
        <v>3.43</v>
      </c>
    </row>
    <row r="14864" spans="1:5" x14ac:dyDescent="0.25">
      <c r="A14864" t="str">
        <f>HYPERLINK("https://www.773grp.com/globalSearch/NCP59152MNADJTYG/page-1", "NCP59152MNADJTYG")</f>
        <v>NCP59152MNADJTYG</v>
      </c>
      <c r="B14864" s="3" t="str">
        <f>HYPERLINK("https://www.773grp.com/manufacturer/onsemi?pageNo=35", "Onsemi")</f>
        <v>Onsemi</v>
      </c>
      <c r="C14864" s="6">
        <v>4000</v>
      </c>
      <c r="D14864" s="7">
        <v>3.43</v>
      </c>
    </row>
    <row r="14865" spans="1:5" x14ac:dyDescent="0.25">
      <c r="A14865" t="str">
        <f>HYPERLINK("https://www.773grp.com/globalSearch/NCV7341D21G/page-1", "NCV7341D21G")</f>
        <v>NCV7341D21G</v>
      </c>
      <c r="B14865" s="3" t="str">
        <f>HYPERLINK("https://www.773grp.com/manufacturer/onsemi?pageNo=36", "Onsemi")</f>
        <v>Onsemi</v>
      </c>
      <c r="C14865" s="6">
        <v>110</v>
      </c>
      <c r="D14865" s="7">
        <v>3.43</v>
      </c>
      <c r="E14865" t="s">
        <v>45</v>
      </c>
    </row>
    <row r="14866" spans="1:5" x14ac:dyDescent="0.25">
      <c r="A14866" t="str">
        <f>HYPERLINK("https://www.773grp.com/globalSearch/NGD15N41CLT4G/page-1", "NGD15N41CLT4G")</f>
        <v>NGD15N41CLT4G</v>
      </c>
      <c r="B14866" s="3" t="str">
        <f>HYPERLINK("https://www.773grp.com/manufacturer/onsemi?pageNo=37", "Onsemi")</f>
        <v>Onsemi</v>
      </c>
      <c r="C14866" s="6">
        <v>7745</v>
      </c>
      <c r="D14866" s="7">
        <v>3.43</v>
      </c>
      <c r="E14866" t="s">
        <v>94</v>
      </c>
    </row>
    <row r="14867" spans="1:5" x14ac:dyDescent="0.25">
      <c r="A14867" t="str">
        <f>HYPERLINK("https://www.773grp.com/globalSearch/NLVLVX4245DTR2G/page-1", "NLVLVX4245DTR2G")</f>
        <v>NLVLVX4245DTR2G</v>
      </c>
      <c r="B14867" s="3" t="str">
        <f>HYPERLINK("https://www.773grp.com/manufacturer/onsemi?pageNo=38", "Onsemi")</f>
        <v>Onsemi</v>
      </c>
      <c r="C14867" s="6">
        <v>7500</v>
      </c>
      <c r="D14867" s="7">
        <v>3.43</v>
      </c>
    </row>
    <row r="14868" spans="1:5" x14ac:dyDescent="0.25">
      <c r="A14868" t="str">
        <f>HYPERLINK("https://www.773grp.com/globalSearch/SE5230DG/page-1", "SE5230DG")</f>
        <v>SE5230DG</v>
      </c>
      <c r="B14868" s="3" t="str">
        <f>HYPERLINK("https://www.773grp.com/manufacturer/onsemi?pageNo=39", "Onsemi")</f>
        <v>Onsemi</v>
      </c>
      <c r="C14868" s="6">
        <v>2380</v>
      </c>
      <c r="D14868" s="7">
        <v>3.43</v>
      </c>
    </row>
    <row r="14869" spans="1:5" x14ac:dyDescent="0.25">
      <c r="A14869" t="str">
        <f>HYPERLINK("https://www.773grp.com/globalSearch/SE5230DR2G/page-1", "SE5230DR2G")</f>
        <v>SE5230DR2G</v>
      </c>
      <c r="B14869" s="3" t="str">
        <f>HYPERLINK("https://www.773grp.com/manufacturer/onsemi?pageNo=40", "Onsemi")</f>
        <v>Onsemi</v>
      </c>
      <c r="C14869" s="6">
        <v>1500</v>
      </c>
      <c r="D14869" s="7">
        <v>3.43</v>
      </c>
    </row>
    <row r="14870" spans="1:5" x14ac:dyDescent="0.25">
      <c r="A14870" t="str">
        <f>HYPERLINK("https://www.773grp.com/globalSearch/BTA30H-600CW3G/page-1", "BTA30H-600CW3G")</f>
        <v>BTA30H-600CW3G</v>
      </c>
      <c r="B14870" s="3" t="str">
        <f>HYPERLINK("https://www.773grp.com/manufacturer/onsemi?pageNo=41", "Onsemi")</f>
        <v>Onsemi</v>
      </c>
      <c r="C14870" s="6">
        <v>3100</v>
      </c>
      <c r="D14870" s="7">
        <v>3.09</v>
      </c>
    </row>
    <row r="14871" spans="1:5" x14ac:dyDescent="0.25">
      <c r="A14871" t="str">
        <f>HYPERLINK("https://www.773grp.com/globalSearch/CS5253B-8GDPR5/page-1", "CS5253B-8GDPR5")</f>
        <v>CS5253B-8GDPR5</v>
      </c>
      <c r="B14871" s="3" t="str">
        <f>HYPERLINK("https://www.773grp.com/manufacturer/onsemi?pageNo=42", "Onsemi")</f>
        <v>Onsemi</v>
      </c>
      <c r="C14871" s="6">
        <v>40500</v>
      </c>
      <c r="D14871" s="7">
        <v>3.09</v>
      </c>
      <c r="E14871" t="s">
        <v>15</v>
      </c>
    </row>
    <row r="14872" spans="1:5" x14ac:dyDescent="0.25">
      <c r="A14872" t="str">
        <f>HYPERLINK("https://www.773grp.com/globalSearch/CS5421GD16/page-1", "CS5421GD16")</f>
        <v>CS5421GD16</v>
      </c>
      <c r="B14872" s="3" t="str">
        <f>HYPERLINK("https://www.773grp.com/manufacturer/onsemi?pageNo=43", "Onsemi")</f>
        <v>Onsemi</v>
      </c>
      <c r="C14872" s="6">
        <v>672</v>
      </c>
      <c r="D14872" s="7">
        <v>3.09</v>
      </c>
      <c r="E14872" t="s">
        <v>5</v>
      </c>
    </row>
    <row r="14873" spans="1:5" x14ac:dyDescent="0.25">
      <c r="A14873" t="str">
        <f>HYPERLINK("https://www.773grp.com/globalSearch/CS8129YTVA5/page-1", "CS8129YTVA5")</f>
        <v>CS8129YTVA5</v>
      </c>
      <c r="B14873" s="3" t="str">
        <f>HYPERLINK("https://www.773grp.com/manufacturer/onsemi?pageNo=44", "Onsemi")</f>
        <v>Onsemi</v>
      </c>
      <c r="C14873" s="6">
        <v>2936</v>
      </c>
      <c r="D14873" s="7">
        <v>3.09</v>
      </c>
      <c r="E14873" t="s">
        <v>15</v>
      </c>
    </row>
    <row r="14874" spans="1:5" x14ac:dyDescent="0.25">
      <c r="A14874" t="str">
        <f>HYPERLINK("https://www.773grp.com/globalSearch/CS8129YTVA5G/page-1", "CS8129YTVA5G")</f>
        <v>CS8129YTVA5G</v>
      </c>
      <c r="B14874" s="3" t="str">
        <f>HYPERLINK("https://www.773grp.com/manufacturer/onsemi?pageNo=45", "Onsemi")</f>
        <v>Onsemi</v>
      </c>
      <c r="C14874" s="6">
        <v>59</v>
      </c>
      <c r="D14874" s="7">
        <v>3.09</v>
      </c>
      <c r="E14874" t="s">
        <v>15</v>
      </c>
    </row>
    <row r="14875" spans="1:5" x14ac:dyDescent="0.25">
      <c r="A14875" t="str">
        <f>HYPERLINK("https://www.773grp.com/globalSearch/CS8311YDR8/page-1", "CS8311YDR8")</f>
        <v>CS8311YDR8</v>
      </c>
      <c r="B14875" s="3" t="str">
        <f>HYPERLINK("https://www.773grp.com/manufacturer/onsemi?pageNo=46", "Onsemi")</f>
        <v>Onsemi</v>
      </c>
      <c r="C14875" s="6">
        <v>5000</v>
      </c>
      <c r="D14875" s="7">
        <v>3.09</v>
      </c>
      <c r="E14875" t="s">
        <v>15</v>
      </c>
    </row>
    <row r="14876" spans="1:5" x14ac:dyDescent="0.25">
      <c r="A14876" t="str">
        <f>HYPERLINK("https://www.773grp.com/globalSearch/LB11683V-TLM-E/page-1", "LB11683V-TLM-E")</f>
        <v>LB11683V-TLM-E</v>
      </c>
      <c r="B14876" s="3" t="str">
        <f>HYPERLINK("https://www.773grp.com/manufacturer/onsemi?pageNo=47", "Onsemi")</f>
        <v>Onsemi</v>
      </c>
      <c r="C14876" s="6">
        <v>34000</v>
      </c>
      <c r="D14876" s="7">
        <v>3.09</v>
      </c>
    </row>
    <row r="14877" spans="1:5" x14ac:dyDescent="0.25">
      <c r="A14877" t="str">
        <f>HYPERLINK("https://www.773grp.com/globalSearch/MBR60L45WTG/page-1", "MBR60L45WTG")</f>
        <v>MBR60L45WTG</v>
      </c>
      <c r="B14877" s="3" t="str">
        <f>HYPERLINK("https://www.773grp.com/manufacturer/onsemi?pageNo=48", "Onsemi")</f>
        <v>Onsemi</v>
      </c>
      <c r="C14877" s="6">
        <v>3056</v>
      </c>
      <c r="D14877" s="7">
        <v>3.09</v>
      </c>
      <c r="E14877" t="s">
        <v>82</v>
      </c>
    </row>
    <row r="14878" spans="1:5" x14ac:dyDescent="0.25">
      <c r="A14878" t="str">
        <f>HYPERLINK("https://www.773grp.com/globalSearch/MC14569BDWG/page-1", "MC14569BDWG")</f>
        <v>MC14569BDWG</v>
      </c>
      <c r="B14878" s="3" t="str">
        <f>HYPERLINK("https://www.773grp.com/manufacturer/onsemi?pageNo=49", "Onsemi")</f>
        <v>Onsemi</v>
      </c>
      <c r="C14878" s="6">
        <v>123</v>
      </c>
      <c r="D14878" s="7">
        <v>3.09</v>
      </c>
      <c r="E14878" t="s">
        <v>22</v>
      </c>
    </row>
    <row r="14879" spans="1:5" x14ac:dyDescent="0.25">
      <c r="A14879" t="str">
        <f>HYPERLINK("https://www.773grp.com/globalSearch/MC14569BDWR2G/page-1", "MC14569BDWR2G")</f>
        <v>MC14569BDWR2G</v>
      </c>
      <c r="B14879" s="3" t="str">
        <f>HYPERLINK("https://www.773grp.com/manufacturer/onsemi?pageNo=50", "Onsemi")</f>
        <v>Onsemi</v>
      </c>
      <c r="C14879" s="6">
        <v>4054</v>
      </c>
      <c r="D14879" s="7">
        <v>3.09</v>
      </c>
      <c r="E14879" t="s">
        <v>22</v>
      </c>
    </row>
    <row r="14880" spans="1:5" x14ac:dyDescent="0.25">
      <c r="A14880" t="str">
        <f>HYPERLINK("https://www.773grp.com/globalSearch/MTP2P50EG/page-1", "MTP2P50EG")</f>
        <v>MTP2P50EG</v>
      </c>
      <c r="B14880" s="3" t="str">
        <f>HYPERLINK("https://www.773grp.com/manufacturer/onsemi?pageNo=51", "Onsemi")</f>
        <v>Onsemi</v>
      </c>
      <c r="C14880" s="6">
        <v>1230</v>
      </c>
      <c r="D14880" s="7">
        <v>3.09</v>
      </c>
      <c r="E14880" t="s">
        <v>84</v>
      </c>
    </row>
    <row r="14881" spans="1:5" x14ac:dyDescent="0.25">
      <c r="A14881" t="str">
        <f>HYPERLINK("https://www.773grp.com/globalSearch/NCV51411MNR2G/page-1", "NCV51411MNR2G")</f>
        <v>NCV51411MNR2G</v>
      </c>
      <c r="B14881" s="3" t="str">
        <f>HYPERLINK("https://www.773grp.com/manufacturer/onsemi?pageNo=52", "Onsemi")</f>
        <v>Onsemi</v>
      </c>
      <c r="C14881" s="6">
        <v>7485</v>
      </c>
      <c r="D14881" s="7">
        <v>3.09</v>
      </c>
      <c r="E14881" t="s">
        <v>5</v>
      </c>
    </row>
    <row r="14882" spans="1:5" x14ac:dyDescent="0.25">
      <c r="A14882" t="str">
        <f>HYPERLINK("https://www.773grp.com/globalSearch/NGTB25N120IHLWG/page-1", "NGTB25N120IHLWG")</f>
        <v>NGTB25N120IHLWG</v>
      </c>
      <c r="B14882" s="3" t="str">
        <f>HYPERLINK("https://www.773grp.com/manufacturer/onsemi?pageNo=53", "Onsemi")</f>
        <v>Onsemi</v>
      </c>
      <c r="C14882" s="6">
        <v>550</v>
      </c>
      <c r="D14882" s="7">
        <v>3.09</v>
      </c>
    </row>
    <row r="14883" spans="1:5" x14ac:dyDescent="0.25">
      <c r="A14883" t="str">
        <f>HYPERLINK("https://www.773grp.com/globalSearch/NLMD5820MUTAG/page-1", "NLMD5820MUTAG")</f>
        <v>NLMD5820MUTAG</v>
      </c>
      <c r="B14883" s="3" t="str">
        <f>HYPERLINK("https://www.773grp.com/manufacturer/onsemi?pageNo=54", "Onsemi")</f>
        <v>Onsemi</v>
      </c>
      <c r="C14883" s="6">
        <v>6000</v>
      </c>
      <c r="D14883" s="7">
        <v>3.09</v>
      </c>
      <c r="E14883" t="s">
        <v>14</v>
      </c>
    </row>
    <row r="14884" spans="1:5" x14ac:dyDescent="0.25">
      <c r="A14884" t="str">
        <f>HYPERLINK("https://www.773grp.com/globalSearch/NLV14551BDR2G/page-1", "NLV14551BDR2G")</f>
        <v>NLV14551BDR2G</v>
      </c>
      <c r="B14884" s="3" t="str">
        <f>HYPERLINK("https://www.773grp.com/manufacturer/onsemi?pageNo=55", "Onsemi")</f>
        <v>Onsemi</v>
      </c>
      <c r="C14884" s="6">
        <v>1248</v>
      </c>
      <c r="D14884" s="7">
        <v>3.09</v>
      </c>
    </row>
    <row r="14885" spans="1:5" x14ac:dyDescent="0.25">
      <c r="A14885" t="str">
        <f>HYPERLINK("https://www.773grp.com/globalSearch/NTP52N10G/page-1", "NTP52N10G")</f>
        <v>NTP52N10G</v>
      </c>
      <c r="B14885" s="3" t="str">
        <f>HYPERLINK("https://www.773grp.com/manufacturer/onsemi?pageNo=56", "Onsemi")</f>
        <v>Onsemi</v>
      </c>
      <c r="C14885" s="6">
        <v>2150</v>
      </c>
      <c r="D14885" s="7">
        <v>3.09</v>
      </c>
      <c r="E14885" t="s">
        <v>84</v>
      </c>
    </row>
    <row r="14886" spans="1:5" x14ac:dyDescent="0.25">
      <c r="A14886" t="str">
        <f>HYPERLINK("https://www.773grp.com/globalSearch/NTP5426NG/page-1", "NTP5426NG")</f>
        <v>NTP5426NG</v>
      </c>
      <c r="B14886" s="3" t="str">
        <f>HYPERLINK("https://www.773grp.com/manufacturer/onsemi?pageNo=57", "Onsemi")</f>
        <v>Onsemi</v>
      </c>
      <c r="C14886" s="6">
        <v>38862</v>
      </c>
      <c r="D14886" s="7">
        <v>3.09</v>
      </c>
    </row>
    <row r="14887" spans="1:5" x14ac:dyDescent="0.25">
      <c r="A14887" t="str">
        <f>HYPERLINK("https://www.773grp.com/globalSearch/SA572D/page-1", "SA572D")</f>
        <v>SA572D</v>
      </c>
      <c r="B14887" s="3" t="str">
        <f>HYPERLINK("https://www.773grp.com/manufacturer/onsemi?pageNo=58", "Onsemi")</f>
        <v>Onsemi</v>
      </c>
      <c r="C14887" s="6">
        <v>8736</v>
      </c>
      <c r="D14887" s="7">
        <v>3.09</v>
      </c>
      <c r="E14887" t="s">
        <v>97</v>
      </c>
    </row>
    <row r="14888" spans="1:5" x14ac:dyDescent="0.25">
      <c r="A14888" t="str">
        <f>HYPERLINK("https://www.773grp.com/globalSearch/SA572DR2/page-1", "SA572DR2")</f>
        <v>SA572DR2</v>
      </c>
      <c r="B14888" s="3" t="str">
        <f>HYPERLINK("https://www.773grp.com/manufacturer/onsemi?pageNo=59", "Onsemi")</f>
        <v>Onsemi</v>
      </c>
      <c r="C14888" s="6">
        <v>72000</v>
      </c>
      <c r="D14888" s="7">
        <v>3.09</v>
      </c>
      <c r="E14888" t="s">
        <v>97</v>
      </c>
    </row>
    <row r="14889" spans="1:5" x14ac:dyDescent="0.25">
      <c r="A14889" t="str">
        <f>HYPERLINK("https://www.773grp.com/globalSearch/STB4N80ET4/page-1", "STB4N80ET4")</f>
        <v>STB4N80ET4</v>
      </c>
      <c r="B14889" s="3" t="str">
        <f>HYPERLINK("https://www.773grp.com/manufacturer/onsemi?pageNo=60", "Onsemi")</f>
        <v>Onsemi</v>
      </c>
      <c r="C14889" s="6">
        <v>38400</v>
      </c>
      <c r="D14889" s="7">
        <v>3.09</v>
      </c>
    </row>
    <row r="14890" spans="1:5" x14ac:dyDescent="0.25">
      <c r="A14890" t="str">
        <f>HYPERLINK("https://www.773grp.com/globalSearch/CS5422GDWFR24/page-1", "CS5422GDWFR24")</f>
        <v>CS5422GDWFR24</v>
      </c>
      <c r="B14890" s="3" t="str">
        <f>HYPERLINK("https://www.773grp.com/manufacturer/onsemi?pageNo=61", "Onsemi")</f>
        <v>Onsemi</v>
      </c>
      <c r="C14890" s="6">
        <v>1000</v>
      </c>
      <c r="D14890" s="7">
        <v>3.13</v>
      </c>
      <c r="E14890" t="s">
        <v>5</v>
      </c>
    </row>
    <row r="14891" spans="1:5" x14ac:dyDescent="0.25">
      <c r="A14891" t="str">
        <f>HYPERLINK("https://www.773grp.com/globalSearch/MC10101FN/page-1", "MC10101FN")</f>
        <v>MC10101FN</v>
      </c>
      <c r="B14891" s="3" t="str">
        <f>HYPERLINK("https://www.773grp.com/manufacturer/onsemi?pageNo=62", "Onsemi")</f>
        <v>Onsemi</v>
      </c>
      <c r="C14891" s="6">
        <v>273</v>
      </c>
      <c r="D14891" s="7">
        <v>3.13</v>
      </c>
      <c r="E14891" t="s">
        <v>27</v>
      </c>
    </row>
    <row r="14892" spans="1:5" x14ac:dyDescent="0.25">
      <c r="A14892" t="str">
        <f>HYPERLINK("https://www.773grp.com/globalSearch/MC10101FNR2/page-1", "MC10101FNR2")</f>
        <v>MC10101FNR2</v>
      </c>
      <c r="B14892" s="3" t="str">
        <f>HYPERLINK("https://www.773grp.com/manufacturer/onsemi?pageNo=63", "Onsemi")</f>
        <v>Onsemi</v>
      </c>
      <c r="C14892" s="6">
        <v>18500</v>
      </c>
      <c r="D14892" s="7">
        <v>3.13</v>
      </c>
      <c r="E14892" t="s">
        <v>27</v>
      </c>
    </row>
    <row r="14893" spans="1:5" x14ac:dyDescent="0.25">
      <c r="A14893" t="str">
        <f>HYPERLINK("https://www.773grp.com/globalSearch/MC10102FN/page-1", "MC10102FN")</f>
        <v>MC10102FN</v>
      </c>
      <c r="B14893" s="3" t="str">
        <f>HYPERLINK("https://www.773grp.com/manufacturer/onsemi?pageNo=64", "Onsemi")</f>
        <v>Onsemi</v>
      </c>
      <c r="C14893" s="6">
        <v>31</v>
      </c>
      <c r="D14893" s="7">
        <v>3.13</v>
      </c>
      <c r="E14893" t="s">
        <v>27</v>
      </c>
    </row>
    <row r="14894" spans="1:5" x14ac:dyDescent="0.25">
      <c r="A14894" t="str">
        <f>HYPERLINK("https://www.773grp.com/globalSearch/MC10102FNR2/page-1", "MC10102FNR2")</f>
        <v>MC10102FNR2</v>
      </c>
      <c r="B14894" s="3" t="str">
        <f>HYPERLINK("https://www.773grp.com/manufacturer/onsemi?pageNo=65", "Onsemi")</f>
        <v>Onsemi</v>
      </c>
      <c r="C14894" s="6">
        <v>500</v>
      </c>
      <c r="D14894" s="7">
        <v>3.13</v>
      </c>
      <c r="E14894" t="s">
        <v>27</v>
      </c>
    </row>
    <row r="14895" spans="1:5" x14ac:dyDescent="0.25">
      <c r="A14895" t="str">
        <f>HYPERLINK("https://www.773grp.com/globalSearch/MC10103FN/page-1", "MC10103FN")</f>
        <v>MC10103FN</v>
      </c>
      <c r="B14895" s="3" t="str">
        <f>HYPERLINK("https://www.773grp.com/manufacturer/onsemi?pageNo=66", "Onsemi")</f>
        <v>Onsemi</v>
      </c>
      <c r="C14895" s="6">
        <v>2693</v>
      </c>
      <c r="D14895" s="7">
        <v>3.13</v>
      </c>
      <c r="E14895" t="s">
        <v>27</v>
      </c>
    </row>
    <row r="14896" spans="1:5" x14ac:dyDescent="0.25">
      <c r="A14896" t="str">
        <f>HYPERLINK("https://www.773grp.com/globalSearch/MC10104FN/page-1", "MC10104FN")</f>
        <v>MC10104FN</v>
      </c>
      <c r="B14896" s="3" t="str">
        <f>HYPERLINK("https://www.773grp.com/manufacturer/onsemi?pageNo=67", "Onsemi")</f>
        <v>Onsemi</v>
      </c>
      <c r="C14896" s="6">
        <v>1030</v>
      </c>
      <c r="D14896" s="7">
        <v>3.13</v>
      </c>
      <c r="E14896" t="s">
        <v>27</v>
      </c>
    </row>
    <row r="14897" spans="1:5" x14ac:dyDescent="0.25">
      <c r="A14897" t="str">
        <f>HYPERLINK("https://www.773grp.com/globalSearch/MC10104FNR2/page-1", "MC10104FNR2")</f>
        <v>MC10104FNR2</v>
      </c>
      <c r="B14897" s="3" t="str">
        <f>HYPERLINK("https://www.773grp.com/manufacturer/onsemi?pageNo=68", "Onsemi")</f>
        <v>Onsemi</v>
      </c>
      <c r="C14897" s="6">
        <v>5000</v>
      </c>
      <c r="D14897" s="7">
        <v>3.13</v>
      </c>
      <c r="E14897" t="s">
        <v>27</v>
      </c>
    </row>
    <row r="14898" spans="1:5" x14ac:dyDescent="0.25">
      <c r="A14898" t="str">
        <f>HYPERLINK("https://www.773grp.com/globalSearch/MC10105FN/page-1", "MC10105FN")</f>
        <v>MC10105FN</v>
      </c>
      <c r="B14898" s="3" t="str">
        <f>HYPERLINK("https://www.773grp.com/manufacturer/onsemi?pageNo=69", "Onsemi")</f>
        <v>Onsemi</v>
      </c>
      <c r="C14898" s="6">
        <v>6670</v>
      </c>
      <c r="D14898" s="7">
        <v>3.13</v>
      </c>
      <c r="E14898" t="s">
        <v>27</v>
      </c>
    </row>
    <row r="14899" spans="1:5" x14ac:dyDescent="0.25">
      <c r="A14899" t="str">
        <f>HYPERLINK("https://www.773grp.com/globalSearch/MC10105FNR2/page-1", "MC10105FNR2")</f>
        <v>MC10105FNR2</v>
      </c>
      <c r="B14899" s="3" t="str">
        <f>HYPERLINK("https://www.773grp.com/manufacturer/onsemi?pageNo=70", "Onsemi")</f>
        <v>Onsemi</v>
      </c>
      <c r="C14899" s="6">
        <v>8500</v>
      </c>
      <c r="D14899" s="7">
        <v>3.13</v>
      </c>
      <c r="E14899" t="s">
        <v>27</v>
      </c>
    </row>
    <row r="14900" spans="1:5" x14ac:dyDescent="0.25">
      <c r="A14900" t="str">
        <f>HYPERLINK("https://www.773grp.com/globalSearch/MC10107FN/page-1", "MC10107FN")</f>
        <v>MC10107FN</v>
      </c>
      <c r="B14900" s="3" t="str">
        <f>HYPERLINK("https://www.773grp.com/manufacturer/onsemi?pageNo=71", "Onsemi")</f>
        <v>Onsemi</v>
      </c>
      <c r="C14900" s="6">
        <v>3393</v>
      </c>
      <c r="D14900" s="7">
        <v>3.13</v>
      </c>
      <c r="E14900" t="s">
        <v>27</v>
      </c>
    </row>
    <row r="14901" spans="1:5" x14ac:dyDescent="0.25">
      <c r="A14901" t="str">
        <f>HYPERLINK("https://www.773grp.com/globalSearch/MC10113FN/page-1", "MC10113FN")</f>
        <v>MC10113FN</v>
      </c>
      <c r="B14901" s="3" t="str">
        <f>HYPERLINK("https://www.773grp.com/manufacturer/onsemi?pageNo=72", "Onsemi")</f>
        <v>Onsemi</v>
      </c>
      <c r="C14901" s="6">
        <v>3128</v>
      </c>
      <c r="D14901" s="7">
        <v>3.13</v>
      </c>
      <c r="E14901" t="s">
        <v>27</v>
      </c>
    </row>
    <row r="14902" spans="1:5" x14ac:dyDescent="0.25">
      <c r="A14902" t="str">
        <f>HYPERLINK("https://www.773grp.com/globalSearch/MC10113FNR2/page-1", "MC10113FNR2")</f>
        <v>MC10113FNR2</v>
      </c>
      <c r="B14902" s="3" t="str">
        <f>HYPERLINK("https://www.773grp.com/manufacturer/onsemi?pageNo=73", "Onsemi")</f>
        <v>Onsemi</v>
      </c>
      <c r="C14902" s="6">
        <v>2500</v>
      </c>
      <c r="D14902" s="7">
        <v>3.13</v>
      </c>
      <c r="E14902" t="s">
        <v>27</v>
      </c>
    </row>
    <row r="14903" spans="1:5" x14ac:dyDescent="0.25">
      <c r="A14903" t="str">
        <f>HYPERLINK("https://www.773grp.com/globalSearch/MC10115FN/page-1", "MC10115FN")</f>
        <v>MC10115FN</v>
      </c>
      <c r="B14903" s="3" t="str">
        <f>HYPERLINK("https://www.773grp.com/manufacturer/onsemi?pageNo=74", "Onsemi")</f>
        <v>Onsemi</v>
      </c>
      <c r="C14903" s="6">
        <v>72</v>
      </c>
      <c r="D14903" s="7">
        <v>3.13</v>
      </c>
      <c r="E14903" t="s">
        <v>17</v>
      </c>
    </row>
    <row r="14904" spans="1:5" x14ac:dyDescent="0.25">
      <c r="A14904" t="str">
        <f>HYPERLINK("https://www.773grp.com/globalSearch/MC10115FNR2/page-1", "MC10115FNR2")</f>
        <v>MC10115FNR2</v>
      </c>
      <c r="B14904" s="3" t="str">
        <f>HYPERLINK("https://www.773grp.com/manufacturer/onsemi?pageNo=75", "Onsemi")</f>
        <v>Onsemi</v>
      </c>
      <c r="C14904" s="6">
        <v>61700</v>
      </c>
      <c r="D14904" s="7">
        <v>3.13</v>
      </c>
      <c r="E14904" t="s">
        <v>17</v>
      </c>
    </row>
    <row r="14905" spans="1:5" x14ac:dyDescent="0.25">
      <c r="A14905" t="str">
        <f>HYPERLINK("https://www.773grp.com/globalSearch/MC34167THG/page-1", "MC34167THG")</f>
        <v>MC34167THG</v>
      </c>
      <c r="B14905" s="3" t="str">
        <f>HYPERLINK("https://www.773grp.com/manufacturer/onsemi?pageNo=76", "Onsemi")</f>
        <v>Onsemi</v>
      </c>
      <c r="C14905" s="6">
        <v>514</v>
      </c>
      <c r="D14905" s="7">
        <v>3.13</v>
      </c>
      <c r="E14905" t="s">
        <v>5</v>
      </c>
    </row>
    <row r="14906" spans="1:5" x14ac:dyDescent="0.25">
      <c r="A14906" t="str">
        <f>HYPERLINK("https://www.773grp.com/globalSearch/N01L83W2AT25IT/page-1", "N01L83W2AT25IT")</f>
        <v>N01L83W2AT25IT</v>
      </c>
      <c r="B14906" s="3" t="str">
        <f>HYPERLINK("https://www.773grp.com/manufacturer/onsemi?pageNo=77", "Onsemi")</f>
        <v>Onsemi</v>
      </c>
      <c r="C14906" s="6">
        <v>27000</v>
      </c>
      <c r="D14906" s="7">
        <v>3.13</v>
      </c>
      <c r="E14906" t="s">
        <v>63</v>
      </c>
    </row>
    <row r="14907" spans="1:5" x14ac:dyDescent="0.25">
      <c r="A14907" t="str">
        <f>HYPERLINK("https://www.773grp.com/globalSearch/N01L83W2AT25IT/page-1", "N01L83W2AT25IT")</f>
        <v>N01L83W2AT25IT</v>
      </c>
      <c r="B14907" s="3" t="str">
        <f>HYPERLINK("https://www.773grp.com/manufacturer/onsemi?pageNo=78", "Onsemi")</f>
        <v>Onsemi</v>
      </c>
      <c r="C14907" s="6">
        <v>17000</v>
      </c>
      <c r="D14907" s="7">
        <v>3.13</v>
      </c>
      <c r="E14907" t="s">
        <v>63</v>
      </c>
    </row>
    <row r="14908" spans="1:5" x14ac:dyDescent="0.25">
      <c r="A14908" t="str">
        <f>HYPERLINK("https://www.773grp.com/globalSearch/NCP81005MNTWG/page-1", "NCP81005MNTWG")</f>
        <v>NCP81005MNTWG</v>
      </c>
      <c r="B14908" s="3" t="str">
        <f>HYPERLINK("https://www.773grp.com/manufacturer/onsemi?pageNo=79", "Onsemi")</f>
        <v>Onsemi</v>
      </c>
      <c r="C14908" s="6">
        <v>12500</v>
      </c>
      <c r="D14908" s="7">
        <v>3.13</v>
      </c>
    </row>
    <row r="14909" spans="1:5" x14ac:dyDescent="0.25">
      <c r="A14909" t="str">
        <f>HYPERLINK("https://www.773grp.com/globalSearch/CAT25128XE/page-1", "CAT25128XE")</f>
        <v>CAT25128XE</v>
      </c>
      <c r="B14909" s="3" t="str">
        <f>HYPERLINK("https://www.773grp.com/manufacturer/onsemi?pageNo=80", "Onsemi")</f>
        <v>Onsemi</v>
      </c>
      <c r="C14909" s="6">
        <v>6608</v>
      </c>
      <c r="D14909" s="7">
        <v>3.48</v>
      </c>
    </row>
    <row r="14910" spans="1:5" x14ac:dyDescent="0.25">
      <c r="A14910" t="str">
        <f>HYPERLINK("https://www.773grp.com/globalSearch/IRF830/page-1", "IRF830")</f>
        <v>IRF830</v>
      </c>
      <c r="B14910" s="3" t="str">
        <f>HYPERLINK("https://www.773grp.com/manufacturer/onsemi?pageNo=81", "Onsemi")</f>
        <v>Onsemi</v>
      </c>
      <c r="C14910" s="6">
        <v>523</v>
      </c>
      <c r="D14910" s="7">
        <v>3.48</v>
      </c>
      <c r="E14910" t="s">
        <v>84</v>
      </c>
    </row>
    <row r="14911" spans="1:5" x14ac:dyDescent="0.25">
      <c r="A14911" t="str">
        <f>HYPERLINK("https://www.773grp.com/globalSearch/LB1936V-TLM-E/page-1", "LB1936V-TLM-E")</f>
        <v>LB1936V-TLM-E</v>
      </c>
      <c r="B14911" s="3" t="str">
        <f>HYPERLINK("https://www.773grp.com/manufacturer/onsemi?pageNo=82", "Onsemi")</f>
        <v>Onsemi</v>
      </c>
      <c r="C14911" s="6">
        <v>2000</v>
      </c>
      <c r="D14911" s="7">
        <v>3.48</v>
      </c>
    </row>
    <row r="14912" spans="1:5" x14ac:dyDescent="0.25">
      <c r="A14912" t="str">
        <f>HYPERLINK("https://www.773grp.com/globalSearch/LC89057W-VF4AD-E/page-1", "LC89057W-VF4AD-E")</f>
        <v>LC89057W-VF4AD-E</v>
      </c>
      <c r="B14912" s="3" t="str">
        <f>HYPERLINK("https://www.773grp.com/manufacturer/onsemi?pageNo=83", "Onsemi")</f>
        <v>Onsemi</v>
      </c>
      <c r="C14912" s="6">
        <v>7000</v>
      </c>
      <c r="D14912" s="7">
        <v>3.48</v>
      </c>
    </row>
    <row r="14913" spans="1:5" x14ac:dyDescent="0.25">
      <c r="A14913" t="str">
        <f>HYPERLINK("https://www.773grp.com/globalSearch/LM2575T-005/page-1", "LM2575T-005")</f>
        <v>LM2575T-005</v>
      </c>
      <c r="B14913" s="3" t="str">
        <f>HYPERLINK("https://www.773grp.com/manufacturer/onsemi?pageNo=84", "Onsemi")</f>
        <v>Onsemi</v>
      </c>
      <c r="C14913" s="6">
        <v>4505</v>
      </c>
      <c r="D14913" s="7">
        <v>3.48</v>
      </c>
      <c r="E14913" t="s">
        <v>5</v>
      </c>
    </row>
    <row r="14914" spans="1:5" x14ac:dyDescent="0.25">
      <c r="A14914" t="str">
        <f>HYPERLINK("https://www.773grp.com/globalSearch/LM2575T-ADJ/page-1", "LM2575T-ADJ")</f>
        <v>LM2575T-ADJ</v>
      </c>
      <c r="B14914" s="3" t="str">
        <f>HYPERLINK("https://www.773grp.com/manufacturer/onsemi?pageNo=85", "Onsemi")</f>
        <v>Onsemi</v>
      </c>
      <c r="C14914" s="6">
        <v>161010</v>
      </c>
      <c r="D14914" s="7">
        <v>3.48</v>
      </c>
      <c r="E14914" t="s">
        <v>5</v>
      </c>
    </row>
    <row r="14915" spans="1:5" x14ac:dyDescent="0.25">
      <c r="A14915" t="str">
        <f>HYPERLINK("https://www.773grp.com/globalSearch/LM2575TV-ADJ/page-1", "LM2575TV-ADJ")</f>
        <v>LM2575TV-ADJ</v>
      </c>
      <c r="B14915" s="3" t="str">
        <f>HYPERLINK("https://www.773grp.com/manufacturer/onsemi?pageNo=86", "Onsemi")</f>
        <v>Onsemi</v>
      </c>
      <c r="C14915" s="6">
        <v>10</v>
      </c>
      <c r="D14915" s="7">
        <v>3.48</v>
      </c>
      <c r="E14915" t="s">
        <v>5</v>
      </c>
    </row>
    <row r="14916" spans="1:5" x14ac:dyDescent="0.25">
      <c r="A14916" t="str">
        <f>HYPERLINK("https://www.773grp.com/globalSearch/LM2576T-15G/page-1", "LM2576T-15G")</f>
        <v>LM2576T-15G</v>
      </c>
      <c r="B14916" s="3" t="str">
        <f>HYPERLINK("https://www.773grp.com/manufacturer/onsemi?pageNo=87", "Onsemi")</f>
        <v>Onsemi</v>
      </c>
      <c r="C14916" s="6">
        <v>800</v>
      </c>
      <c r="D14916" s="7">
        <v>3.48</v>
      </c>
      <c r="E14916" t="s">
        <v>5</v>
      </c>
    </row>
    <row r="14917" spans="1:5" x14ac:dyDescent="0.25">
      <c r="A14917" t="str">
        <f>HYPERLINK("https://www.773grp.com/globalSearch/LM2576TV-015G/page-1", "LM2576TV-015G")</f>
        <v>LM2576TV-015G</v>
      </c>
      <c r="B14917" s="3" t="str">
        <f>HYPERLINK("https://www.773grp.com/manufacturer/onsemi?pageNo=88", "Onsemi")</f>
        <v>Onsemi</v>
      </c>
      <c r="C14917" s="6">
        <v>19100</v>
      </c>
      <c r="D14917" s="7">
        <v>3.48</v>
      </c>
      <c r="E14917" t="s">
        <v>5</v>
      </c>
    </row>
    <row r="14918" spans="1:5" x14ac:dyDescent="0.25">
      <c r="A14918" t="str">
        <f>HYPERLINK("https://www.773grp.com/globalSearch/LV58061MX-TLM-H/page-1", "LV58061MX-TLM-H")</f>
        <v>LV58061MX-TLM-H</v>
      </c>
      <c r="B14918" s="3" t="str">
        <f>HYPERLINK("https://www.773grp.com/manufacturer/onsemi?pageNo=89", "Onsemi")</f>
        <v>Onsemi</v>
      </c>
      <c r="C14918" s="6">
        <v>1000</v>
      </c>
      <c r="D14918" s="7">
        <v>3.48</v>
      </c>
    </row>
    <row r="14919" spans="1:5" x14ac:dyDescent="0.25">
      <c r="A14919" t="str">
        <f>HYPERLINK("https://www.773grp.com/globalSearch/MBR41H100CTG/page-1", "MBR41H100CTG")</f>
        <v>MBR41H100CTG</v>
      </c>
      <c r="B14919" s="3" t="str">
        <f>HYPERLINK("https://www.773grp.com/manufacturer/onsemi?pageNo=90", "Onsemi")</f>
        <v>Onsemi</v>
      </c>
      <c r="C14919" s="6">
        <v>389692</v>
      </c>
      <c r="D14919" s="7">
        <v>3.48</v>
      </c>
      <c r="E14919" t="s">
        <v>82</v>
      </c>
    </row>
    <row r="14920" spans="1:5" x14ac:dyDescent="0.25">
      <c r="A14920" t="str">
        <f>HYPERLINK("https://www.773grp.com/globalSearch/MBR41H100CTH/page-1", "MBR41H100CTH")</f>
        <v>MBR41H100CTH</v>
      </c>
      <c r="B14920" s="3" t="str">
        <f>HYPERLINK("https://www.773grp.com/manufacturer/onsemi?pageNo=91", "Onsemi")</f>
        <v>Onsemi</v>
      </c>
      <c r="C14920" s="6">
        <v>2800</v>
      </c>
      <c r="D14920" s="7">
        <v>3.48</v>
      </c>
    </row>
    <row r="14921" spans="1:5" x14ac:dyDescent="0.25">
      <c r="A14921" t="str">
        <f>HYPERLINK("https://www.773grp.com/globalSearch/MBRB20H100CTT4G/page-1", "MBRB20H100CTT4G")</f>
        <v>MBRB20H100CTT4G</v>
      </c>
      <c r="B14921" s="3" t="str">
        <f>HYPERLINK("https://www.773grp.com/manufacturer/onsemi?pageNo=92", "Onsemi")</f>
        <v>Onsemi</v>
      </c>
      <c r="C14921" s="6">
        <v>1425</v>
      </c>
      <c r="D14921" s="7">
        <v>3.48</v>
      </c>
      <c r="E14921" t="s">
        <v>82</v>
      </c>
    </row>
    <row r="14922" spans="1:5" x14ac:dyDescent="0.25">
      <c r="A14922" t="str">
        <f>HYPERLINK("https://www.773grp.com/globalSearch/MC10111L/page-1", "MC10111L")</f>
        <v>MC10111L</v>
      </c>
      <c r="B14922" s="3" t="str">
        <f>HYPERLINK("https://www.773grp.com/manufacturer/onsemi?pageNo=93", "Onsemi")</f>
        <v>Onsemi</v>
      </c>
      <c r="C14922" s="6">
        <v>489</v>
      </c>
      <c r="D14922" s="7">
        <v>3.48</v>
      </c>
      <c r="E14922" t="s">
        <v>27</v>
      </c>
    </row>
    <row r="14923" spans="1:5" x14ac:dyDescent="0.25">
      <c r="A14923" t="str">
        <f>HYPERLINK("https://www.773grp.com/globalSearch/MJW3281A/page-1", "MJW3281A")</f>
        <v>MJW3281A</v>
      </c>
      <c r="B14923" s="3" t="str">
        <f>HYPERLINK("https://www.773grp.com/manufacturer/onsemi?pageNo=94", "Onsemi")</f>
        <v>Onsemi</v>
      </c>
      <c r="C14923" s="6">
        <v>219</v>
      </c>
      <c r="D14923" s="7">
        <v>3.48</v>
      </c>
      <c r="E14923" t="s">
        <v>47</v>
      </c>
    </row>
    <row r="14924" spans="1:5" x14ac:dyDescent="0.25">
      <c r="A14924" t="str">
        <f>HYPERLINK("https://www.773grp.com/globalSearch/NCP1653P/page-1", "NCP1653P")</f>
        <v>NCP1653P</v>
      </c>
      <c r="B14924" s="3" t="str">
        <f>HYPERLINK("https://www.773grp.com/manufacturer/onsemi?pageNo=95", "Onsemi")</f>
        <v>Onsemi</v>
      </c>
      <c r="C14924" s="6">
        <v>27</v>
      </c>
      <c r="D14924" s="7">
        <v>3.48</v>
      </c>
      <c r="E14924" t="s">
        <v>5</v>
      </c>
    </row>
    <row r="14925" spans="1:5" x14ac:dyDescent="0.25">
      <c r="A14925" t="str">
        <f>HYPERLINK("https://www.773grp.com/globalSearch/NCP5425DBG/page-1", "NCP5425DBG")</f>
        <v>NCP5425DBG</v>
      </c>
      <c r="B14925" s="3" t="str">
        <f>HYPERLINK("https://www.773grp.com/manufacturer/onsemi?pageNo=96", "Onsemi")</f>
        <v>Onsemi</v>
      </c>
      <c r="C14925" s="6">
        <v>38</v>
      </c>
      <c r="D14925" s="7">
        <v>3.48</v>
      </c>
    </row>
    <row r="14926" spans="1:5" x14ac:dyDescent="0.25">
      <c r="A14926" t="str">
        <f>HYPERLINK("https://www.773grp.com/globalSearch/NCV4275DTRKG/page-1", "NCV4275DTRKG")</f>
        <v>NCV4275DTRKG</v>
      </c>
      <c r="B14926" s="3" t="str">
        <f>HYPERLINK("https://www.773grp.com/manufacturer/onsemi?pageNo=97", "Onsemi")</f>
        <v>Onsemi</v>
      </c>
      <c r="C14926" s="6">
        <v>2500</v>
      </c>
      <c r="D14926" s="7">
        <v>3.48</v>
      </c>
      <c r="E14926" t="s">
        <v>15</v>
      </c>
    </row>
    <row r="14927" spans="1:5" x14ac:dyDescent="0.25">
      <c r="A14927" t="str">
        <f>HYPERLINK("https://www.773grp.com/globalSearch/NCV4949DWR2G/page-1", "NCV4949DWR2G")</f>
        <v>NCV4949DWR2G</v>
      </c>
      <c r="B14927" s="3" t="str">
        <f>HYPERLINK("https://www.773grp.com/manufacturer/onsemi?pageNo=98", "Onsemi")</f>
        <v>Onsemi</v>
      </c>
      <c r="C14927" s="6">
        <v>5880</v>
      </c>
      <c r="D14927" s="7">
        <v>3.48</v>
      </c>
      <c r="E14927" t="s">
        <v>15</v>
      </c>
    </row>
    <row r="14928" spans="1:5" x14ac:dyDescent="0.25">
      <c r="A14928" t="str">
        <f>HYPERLINK("https://www.773grp.com/globalSearch/CS8121YTVA5/page-1", "CS8121YTVA5")</f>
        <v>CS8121YTVA5</v>
      </c>
      <c r="B14928" s="3" t="str">
        <f>HYPERLINK("https://www.773grp.com/manufacturer/onsemi?pageNo=99", "Onsemi")</f>
        <v>Onsemi</v>
      </c>
      <c r="C14928" s="6">
        <v>2550</v>
      </c>
      <c r="D14928" s="7">
        <v>3.15</v>
      </c>
      <c r="E14928" t="s">
        <v>15</v>
      </c>
    </row>
    <row r="14929" spans="1:5" x14ac:dyDescent="0.25">
      <c r="A14929" t="str">
        <f>HYPERLINK("https://www.773grp.com/globalSearch/CS8361YDWF16G/page-1", "CS8361YDWF16G")</f>
        <v>CS8361YDWF16G</v>
      </c>
      <c r="B14929" s="3" t="str">
        <f>HYPERLINK("https://www.773grp.com/manufacturer/onsemi?pageNo=100", "Onsemi")</f>
        <v>Onsemi</v>
      </c>
      <c r="C14929" s="6">
        <v>2522</v>
      </c>
      <c r="D14929" s="7">
        <v>3.15</v>
      </c>
      <c r="E14929" t="s">
        <v>39</v>
      </c>
    </row>
    <row r="14930" spans="1:5" x14ac:dyDescent="0.25">
      <c r="A14930" t="str">
        <f>HYPERLINK("https://www.773grp.com/globalSearch/LC75857E-E/page-1", "LC75857E-E")</f>
        <v>LC75857E-E</v>
      </c>
      <c r="B14930" s="3" t="str">
        <f>HYPERLINK("https://www.773grp.com/manufacturer/onsemi?pageNo=101", "Onsemi")</f>
        <v>Onsemi</v>
      </c>
      <c r="C14930" s="6">
        <v>5220</v>
      </c>
      <c r="D14930" s="7">
        <v>3.15</v>
      </c>
    </row>
    <row r="14931" spans="1:5" x14ac:dyDescent="0.25">
      <c r="A14931" t="str">
        <f>HYPERLINK("https://www.773grp.com/globalSearch/LV5068V-MPB-H/page-1", "LV5068V-MPB-H")</f>
        <v>LV5068V-MPB-H</v>
      </c>
      <c r="B14931" s="3" t="str">
        <f>HYPERLINK("https://www.773grp.com/manufacturer/onsemi?pageNo=102", "Onsemi")</f>
        <v>Onsemi</v>
      </c>
      <c r="C14931" s="6">
        <v>90</v>
      </c>
      <c r="D14931" s="7">
        <v>3.15</v>
      </c>
    </row>
    <row r="14932" spans="1:5" x14ac:dyDescent="0.25">
      <c r="A14932" t="str">
        <f>HYPERLINK("https://www.773grp.com/globalSearch/MAX811REUS-T/page-1", "MAX811REUS-T")</f>
        <v>MAX811REUS-T</v>
      </c>
      <c r="B14932" s="3" t="str">
        <f>HYPERLINK("https://www.773grp.com/manufacturer/onsemi?pageNo=103", "Onsemi")</f>
        <v>Onsemi</v>
      </c>
      <c r="C14932" s="6">
        <v>142615</v>
      </c>
      <c r="D14932" s="7">
        <v>3.15</v>
      </c>
      <c r="E14932" t="s">
        <v>26</v>
      </c>
    </row>
    <row r="14933" spans="1:5" x14ac:dyDescent="0.25">
      <c r="A14933" t="str">
        <f>HYPERLINK("https://www.773grp.com/globalSearch/MC10165P/page-1", "MC10165P")</f>
        <v>MC10165P</v>
      </c>
      <c r="B14933" s="3" t="str">
        <f>HYPERLINK("https://www.773grp.com/manufacturer/onsemi?pageNo=104", "Onsemi")</f>
        <v>Onsemi</v>
      </c>
      <c r="C14933" s="6">
        <v>175</v>
      </c>
      <c r="D14933" s="7">
        <v>3.15</v>
      </c>
      <c r="E14933" t="s">
        <v>38</v>
      </c>
    </row>
    <row r="14934" spans="1:5" x14ac:dyDescent="0.25">
      <c r="A14934" t="str">
        <f>HYPERLINK("https://www.773grp.com/globalSearch/MC10166P/page-1", "MC10166P")</f>
        <v>MC10166P</v>
      </c>
      <c r="B14934" s="3" t="str">
        <f>HYPERLINK("https://www.773grp.com/manufacturer/onsemi?pageNo=105", "Onsemi")</f>
        <v>Onsemi</v>
      </c>
      <c r="C14934" s="6">
        <v>1545</v>
      </c>
      <c r="D14934" s="7">
        <v>3.15</v>
      </c>
      <c r="E14934" t="s">
        <v>38</v>
      </c>
    </row>
    <row r="14935" spans="1:5" x14ac:dyDescent="0.25">
      <c r="A14935" t="str">
        <f>HYPERLINK("https://www.773grp.com/globalSearch/MC10H100P/page-1", "MC10H100P")</f>
        <v>MC10H100P</v>
      </c>
      <c r="B14935" s="3" t="str">
        <f>HYPERLINK("https://www.773grp.com/manufacturer/onsemi?pageNo=106", "Onsemi")</f>
        <v>Onsemi</v>
      </c>
      <c r="C14935" s="6">
        <v>1075</v>
      </c>
      <c r="D14935" s="7">
        <v>3.15</v>
      </c>
      <c r="E14935" t="s">
        <v>27</v>
      </c>
    </row>
    <row r="14936" spans="1:5" x14ac:dyDescent="0.25">
      <c r="A14936" t="str">
        <f>HYPERLINK("https://www.773grp.com/globalSearch/MC54HC4053J/page-1", "MC54HC4053J")</f>
        <v>MC54HC4053J</v>
      </c>
      <c r="B14936" s="3" t="str">
        <f>HYPERLINK("https://www.773grp.com/manufacturer/onsemi?pageNo=107", "Onsemi")</f>
        <v>Onsemi</v>
      </c>
      <c r="C14936" s="6">
        <v>957</v>
      </c>
      <c r="D14936" s="7">
        <v>3.15</v>
      </c>
      <c r="E14936" t="s">
        <v>46</v>
      </c>
    </row>
    <row r="14937" spans="1:5" x14ac:dyDescent="0.25">
      <c r="A14937" t="str">
        <f>HYPERLINK("https://www.773grp.com/globalSearch/MC74AC640N/page-1", "MC74AC640N")</f>
        <v>MC74AC640N</v>
      </c>
      <c r="B14937" s="3" t="str">
        <f>HYPERLINK("https://www.773grp.com/manufacturer/onsemi?pageNo=108", "Onsemi")</f>
        <v>Onsemi</v>
      </c>
      <c r="C14937" s="6">
        <v>1484</v>
      </c>
      <c r="D14937" s="7">
        <v>3.15</v>
      </c>
      <c r="E14937" t="s">
        <v>11</v>
      </c>
    </row>
    <row r="14938" spans="1:5" x14ac:dyDescent="0.25">
      <c r="A14938" t="str">
        <f>HYPERLINK("https://www.773grp.com/globalSearch/MPQ6600A1/page-1", "MPQ6600A1")</f>
        <v>MPQ6600A1</v>
      </c>
      <c r="B14938" s="3" t="str">
        <f>HYPERLINK("https://www.773grp.com/manufacturer/onsemi?pageNo=109", "Onsemi")</f>
        <v>Onsemi</v>
      </c>
      <c r="C14938" s="6">
        <v>4890</v>
      </c>
      <c r="D14938" s="7">
        <v>3.15</v>
      </c>
      <c r="E14938" t="s">
        <v>57</v>
      </c>
    </row>
    <row r="14939" spans="1:5" x14ac:dyDescent="0.25">
      <c r="A14939" t="str">
        <f>HYPERLINK("https://www.773grp.com/globalSearch/NCV7361ADG/page-1", "NCV7361ADG")</f>
        <v>NCV7361ADG</v>
      </c>
      <c r="B14939" s="3" t="str">
        <f>HYPERLINK("https://www.773grp.com/manufacturer/onsemi?pageNo=110", "Onsemi")</f>
        <v>Onsemi</v>
      </c>
      <c r="C14939" s="6">
        <v>3867</v>
      </c>
      <c r="D14939" s="7">
        <v>3.15</v>
      </c>
      <c r="E14939" t="s">
        <v>17</v>
      </c>
    </row>
    <row r="14940" spans="1:5" x14ac:dyDescent="0.25">
      <c r="A14940" t="str">
        <f>HYPERLINK("https://www.773grp.com/globalSearch/NCV8505D2T25G/page-1", "NCV8505D2T25G")</f>
        <v>NCV8505D2T25G</v>
      </c>
      <c r="B14940" s="3" t="str">
        <f>HYPERLINK("https://www.773grp.com/manufacturer/onsemi?pageNo=111", "Onsemi")</f>
        <v>Onsemi</v>
      </c>
      <c r="C14940" s="6">
        <v>1150</v>
      </c>
      <c r="D14940" s="7">
        <v>3.15</v>
      </c>
      <c r="E14940" t="s">
        <v>15</v>
      </c>
    </row>
    <row r="14941" spans="1:5" x14ac:dyDescent="0.25">
      <c r="A14941" t="str">
        <f>HYPERLINK("https://www.773grp.com/globalSearch/NCV8505D2T25R4G/page-1", "NCV8505D2T25R4G")</f>
        <v>NCV8505D2T25R4G</v>
      </c>
      <c r="B14941" s="3" t="str">
        <f>HYPERLINK("https://www.773grp.com/manufacturer/onsemi?pageNo=112", "Onsemi")</f>
        <v>Onsemi</v>
      </c>
      <c r="C14941" s="6">
        <v>3295</v>
      </c>
      <c r="D14941" s="7">
        <v>3.15</v>
      </c>
      <c r="E14941" t="s">
        <v>15</v>
      </c>
    </row>
    <row r="14942" spans="1:5" x14ac:dyDescent="0.25">
      <c r="A14942" t="str">
        <f>HYPERLINK("https://www.773grp.com/globalSearch/NCV8505D2T33R4G/page-1", "NCV8505D2T33R4G")</f>
        <v>NCV8505D2T33R4G</v>
      </c>
      <c r="B14942" s="3" t="str">
        <f>HYPERLINK("https://www.773grp.com/manufacturer/onsemi?pageNo=113", "Onsemi")</f>
        <v>Onsemi</v>
      </c>
      <c r="C14942" s="6">
        <v>12000</v>
      </c>
      <c r="D14942" s="7">
        <v>3.15</v>
      </c>
    </row>
    <row r="14943" spans="1:5" x14ac:dyDescent="0.25">
      <c r="A14943" t="str">
        <f>HYPERLINK("https://www.773grp.com/globalSearch/NCV8505D2T50R4G/page-1", "NCV8505D2T50R4G")</f>
        <v>NCV8505D2T50R4G</v>
      </c>
      <c r="B14943" s="3" t="str">
        <f>HYPERLINK("https://www.773grp.com/manufacturer/onsemi?pageNo=114", "Onsemi")</f>
        <v>Onsemi</v>
      </c>
      <c r="C14943" s="6">
        <v>1170</v>
      </c>
      <c r="D14943" s="7">
        <v>3.15</v>
      </c>
      <c r="E14943" t="s">
        <v>15</v>
      </c>
    </row>
    <row r="14944" spans="1:5" x14ac:dyDescent="0.25">
      <c r="A14944" t="str">
        <f>HYPERLINK("https://www.773grp.com/globalSearch/NCV8505D2TADJG/page-1", "NCV8505D2TADJG")</f>
        <v>NCV8505D2TADJG</v>
      </c>
      <c r="B14944" s="3" t="str">
        <f>HYPERLINK("https://www.773grp.com/manufacturer/onsemi?pageNo=115", "Onsemi")</f>
        <v>Onsemi</v>
      </c>
      <c r="C14944" s="6">
        <v>526</v>
      </c>
      <c r="D14944" s="7">
        <v>3.15</v>
      </c>
      <c r="E14944" t="s">
        <v>21</v>
      </c>
    </row>
    <row r="14945" spans="1:5" x14ac:dyDescent="0.25">
      <c r="A14945" t="str">
        <f>HYPERLINK("https://www.773grp.com/globalSearch/NCV8505D2TADJR4/page-1", "NCV8505D2TADJR4")</f>
        <v>NCV8505D2TADJR4</v>
      </c>
      <c r="B14945" s="3" t="str">
        <f>HYPERLINK("https://www.773grp.com/manufacturer/onsemi?pageNo=116", "Onsemi")</f>
        <v>Onsemi</v>
      </c>
      <c r="C14945" s="6">
        <v>546</v>
      </c>
      <c r="D14945" s="7">
        <v>3.15</v>
      </c>
      <c r="E14945" t="s">
        <v>21</v>
      </c>
    </row>
    <row r="14946" spans="1:5" x14ac:dyDescent="0.25">
      <c r="A14946" t="str">
        <f>HYPERLINK("https://www.773grp.com/globalSearch/NCV8505D2TADJR4G/page-1", "NCV8505D2TADJR4G")</f>
        <v>NCV8505D2TADJR4G</v>
      </c>
      <c r="B14946" s="3" t="str">
        <f>HYPERLINK("https://www.773grp.com/manufacturer/onsemi?pageNo=117", "Onsemi")</f>
        <v>Onsemi</v>
      </c>
      <c r="C14946" s="6">
        <v>3003</v>
      </c>
      <c r="D14946" s="7">
        <v>3.15</v>
      </c>
      <c r="E14946" t="s">
        <v>21</v>
      </c>
    </row>
    <row r="14947" spans="1:5" x14ac:dyDescent="0.25">
      <c r="A14947" t="str">
        <f>HYPERLINK("https://www.773grp.com/globalSearch/CAT24M01WI-G/page-1", "CAT24M01WI-G")</f>
        <v>CAT24M01WI-G</v>
      </c>
      <c r="B14947" s="3" t="str">
        <f>HYPERLINK("https://www.773grp.com/manufacturer/onsemi?pageNo=118", "Onsemi")</f>
        <v>Onsemi</v>
      </c>
      <c r="C14947" s="6">
        <v>8200</v>
      </c>
      <c r="D14947" s="7">
        <v>3.18</v>
      </c>
    </row>
    <row r="14948" spans="1:5" x14ac:dyDescent="0.25">
      <c r="A14948" t="str">
        <f>HYPERLINK("https://www.773grp.com/globalSearch/CS8120YTHA5/page-1", "CS8120YTHA5")</f>
        <v>CS8120YTHA5</v>
      </c>
      <c r="B14948" s="3" t="str">
        <f>HYPERLINK("https://www.773grp.com/manufacturer/onsemi?pageNo=119", "Onsemi")</f>
        <v>Onsemi</v>
      </c>
      <c r="C14948" s="6">
        <v>350</v>
      </c>
      <c r="D14948" s="7">
        <v>3.18</v>
      </c>
      <c r="E14948" t="s">
        <v>15</v>
      </c>
    </row>
    <row r="14949" spans="1:5" x14ac:dyDescent="0.25">
      <c r="A14949" t="str">
        <f>HYPERLINK("https://www.773grp.com/globalSearch/CS8156YTHA5/page-1", "CS8156YTHA5")</f>
        <v>CS8156YTHA5</v>
      </c>
      <c r="B14949" s="3" t="str">
        <f>HYPERLINK("https://www.773grp.com/manufacturer/onsemi?pageNo=120", "Onsemi")</f>
        <v>Onsemi</v>
      </c>
      <c r="C14949" s="6">
        <v>1455</v>
      </c>
      <c r="D14949" s="7">
        <v>3.18</v>
      </c>
      <c r="E14949" t="s">
        <v>39</v>
      </c>
    </row>
    <row r="14950" spans="1:5" x14ac:dyDescent="0.25">
      <c r="A14950" t="str">
        <f>HYPERLINK("https://www.773grp.com/globalSearch/CS8156YTHA5G/page-1", "CS8156YTHA5G")</f>
        <v>CS8156YTHA5G</v>
      </c>
      <c r="B14950" s="3" t="str">
        <f>HYPERLINK("https://www.773grp.com/manufacturer/onsemi?pageNo=121", "Onsemi")</f>
        <v>Onsemi</v>
      </c>
      <c r="C14950" s="6">
        <v>2834</v>
      </c>
      <c r="D14950" s="7">
        <v>3.18</v>
      </c>
      <c r="E14950" t="s">
        <v>39</v>
      </c>
    </row>
    <row r="14951" spans="1:5" x14ac:dyDescent="0.25">
      <c r="A14951" t="str">
        <f>HYPERLINK("https://www.773grp.com/globalSearch/CS8156YTVA5G/page-1", "CS8156YTVA5G")</f>
        <v>CS8156YTVA5G</v>
      </c>
      <c r="B14951" s="3" t="str">
        <f>HYPERLINK("https://www.773grp.com/manufacturer/onsemi?pageNo=122", "Onsemi")</f>
        <v>Onsemi</v>
      </c>
      <c r="C14951" s="6">
        <v>1995</v>
      </c>
      <c r="D14951" s="7">
        <v>3.18</v>
      </c>
      <c r="E14951" t="s">
        <v>39</v>
      </c>
    </row>
    <row r="14952" spans="1:5" x14ac:dyDescent="0.25">
      <c r="A14952" t="str">
        <f>HYPERLINK("https://www.773grp.com/globalSearch/MC33167THG/page-1", "MC33167THG")</f>
        <v>MC33167THG</v>
      </c>
      <c r="B14952" s="3" t="str">
        <f>HYPERLINK("https://www.773grp.com/manufacturer/onsemi?pageNo=123", "Onsemi")</f>
        <v>Onsemi</v>
      </c>
      <c r="C14952" s="6">
        <v>42350</v>
      </c>
      <c r="D14952" s="7">
        <v>3.18</v>
      </c>
      <c r="E14952" t="s">
        <v>5</v>
      </c>
    </row>
    <row r="14953" spans="1:5" x14ac:dyDescent="0.25">
      <c r="A14953" t="str">
        <f>HYPERLINK("https://www.773grp.com/globalSearch/MC33167TV/page-1", "MC33167TV")</f>
        <v>MC33167TV</v>
      </c>
      <c r="B14953" s="3" t="str">
        <f>HYPERLINK("https://www.773grp.com/manufacturer/onsemi?pageNo=124", "Onsemi")</f>
        <v>Onsemi</v>
      </c>
      <c r="C14953" s="6">
        <v>662</v>
      </c>
      <c r="D14953" s="7">
        <v>3.18</v>
      </c>
      <c r="E14953" t="s">
        <v>5</v>
      </c>
    </row>
    <row r="14954" spans="1:5" x14ac:dyDescent="0.25">
      <c r="A14954" t="str">
        <f>HYPERLINK("https://www.773grp.com/globalSearch/MC33167TVG/page-1", "MC33167TVG")</f>
        <v>MC33167TVG</v>
      </c>
      <c r="B14954" s="3" t="str">
        <f>HYPERLINK("https://www.773grp.com/manufacturer/onsemi?pageNo=125", "Onsemi")</f>
        <v>Onsemi</v>
      </c>
      <c r="C14954" s="6">
        <v>226900</v>
      </c>
      <c r="D14954" s="7">
        <v>3.18</v>
      </c>
      <c r="E14954" t="s">
        <v>5</v>
      </c>
    </row>
    <row r="14955" spans="1:5" x14ac:dyDescent="0.25">
      <c r="A14955" t="str">
        <f>HYPERLINK("https://www.773grp.com/globalSearch/MC33363APG/page-1", "MC33363APG")</f>
        <v>MC33363APG</v>
      </c>
      <c r="B14955" s="3" t="str">
        <f>HYPERLINK("https://www.773grp.com/manufacturer/onsemi?pageNo=126", "Onsemi")</f>
        <v>Onsemi</v>
      </c>
      <c r="C14955" s="6">
        <v>4477</v>
      </c>
      <c r="D14955" s="7">
        <v>3.18</v>
      </c>
      <c r="E14955" t="s">
        <v>5</v>
      </c>
    </row>
    <row r="14956" spans="1:5" x14ac:dyDescent="0.25">
      <c r="A14956" t="str">
        <f>HYPERLINK("https://www.773grp.com/globalSearch/MC74AC640DT/page-1", "MC74AC640DT")</f>
        <v>MC74AC640DT</v>
      </c>
      <c r="B14956" s="3" t="str">
        <f>HYPERLINK("https://www.773grp.com/manufacturer/onsemi?pageNo=127", "Onsemi")</f>
        <v>Onsemi</v>
      </c>
      <c r="C14956" s="6">
        <v>1587</v>
      </c>
      <c r="D14956" s="7">
        <v>3.18</v>
      </c>
    </row>
    <row r="14957" spans="1:5" x14ac:dyDescent="0.25">
      <c r="A14957" t="str">
        <f>HYPERLINK("https://www.773grp.com/globalSearch/MC74AC640DTEL/page-1", "MC74AC640DTEL")</f>
        <v>MC74AC640DTEL</v>
      </c>
      <c r="B14957" s="3" t="str">
        <f>HYPERLINK("https://www.773grp.com/manufacturer/onsemi?pageNo=128", "Onsemi")</f>
        <v>Onsemi</v>
      </c>
      <c r="C14957" s="6">
        <v>2000</v>
      </c>
      <c r="D14957" s="7">
        <v>3.18</v>
      </c>
    </row>
    <row r="14958" spans="1:5" x14ac:dyDescent="0.25">
      <c r="A14958" t="str">
        <f>HYPERLINK("https://www.773grp.com/globalSearch/NCP5382MNR2G/page-1", "NCP5382MNR2G")</f>
        <v>NCP5382MNR2G</v>
      </c>
      <c r="B14958" s="3" t="str">
        <f>HYPERLINK("https://www.773grp.com/manufacturer/onsemi?pageNo=129", "Onsemi")</f>
        <v>Onsemi</v>
      </c>
      <c r="C14958" s="6">
        <v>20000</v>
      </c>
      <c r="D14958" s="7">
        <v>3.18</v>
      </c>
      <c r="E14958" t="s">
        <v>5</v>
      </c>
    </row>
    <row r="14959" spans="1:5" x14ac:dyDescent="0.25">
      <c r="A14959" t="str">
        <f>HYPERLINK("https://www.773grp.com/globalSearch/NCS2511SNT1G/page-1", "NCS2511SNT1G")</f>
        <v>NCS2511SNT1G</v>
      </c>
      <c r="B14959" s="3" t="str">
        <f>HYPERLINK("https://www.773grp.com/manufacturer/onsemi?pageNo=130", "Onsemi")</f>
        <v>Onsemi</v>
      </c>
      <c r="C14959" s="6">
        <v>8975</v>
      </c>
      <c r="D14959" s="7">
        <v>3.18</v>
      </c>
      <c r="E14959" t="s">
        <v>14</v>
      </c>
    </row>
    <row r="14960" spans="1:5" x14ac:dyDescent="0.25">
      <c r="A14960" t="str">
        <f>HYPERLINK("https://www.773grp.com/globalSearch/NCS2551SNT1G/page-1", "NCS2551SNT1G")</f>
        <v>NCS2551SNT1G</v>
      </c>
      <c r="B14960" s="3" t="str">
        <f>HYPERLINK("https://www.773grp.com/manufacturer/onsemi?pageNo=131", "Onsemi")</f>
        <v>Onsemi</v>
      </c>
      <c r="C14960" s="6">
        <v>8975</v>
      </c>
      <c r="D14960" s="7">
        <v>3.18</v>
      </c>
      <c r="E14960" t="s">
        <v>14</v>
      </c>
    </row>
    <row r="14961" spans="1:5" x14ac:dyDescent="0.25">
      <c r="A14961" t="str">
        <f>HYPERLINK("https://www.773grp.com/globalSearch/NCV890100PDR2G/page-1", "NCV890100PDR2G")</f>
        <v>NCV890100PDR2G</v>
      </c>
      <c r="B14961" s="3" t="str">
        <f>HYPERLINK("https://www.773grp.com/manufacturer/onsemi?pageNo=132", "Onsemi")</f>
        <v>Onsemi</v>
      </c>
      <c r="C14961" s="6">
        <v>2500</v>
      </c>
      <c r="D14961" s="7">
        <v>3.18</v>
      </c>
    </row>
    <row r="14962" spans="1:5" x14ac:dyDescent="0.25">
      <c r="A14962" t="str">
        <f>HYPERLINK("https://www.773grp.com/globalSearch/NTP5404NRG/page-1", "NTP5404NRG")</f>
        <v>NTP5404NRG</v>
      </c>
      <c r="B14962" s="3" t="str">
        <f>HYPERLINK("https://www.773grp.com/manufacturer/onsemi?pageNo=133", "Onsemi")</f>
        <v>Onsemi</v>
      </c>
      <c r="C14962" s="6">
        <v>1300</v>
      </c>
      <c r="D14962" s="7">
        <v>3.18</v>
      </c>
      <c r="E14962" t="s">
        <v>84</v>
      </c>
    </row>
    <row r="14963" spans="1:5" x14ac:dyDescent="0.25">
      <c r="A14963" t="str">
        <f>HYPERLINK("https://www.773grp.com/globalSearch/CAT310W-T1/page-1", "CAT310W-T1")</f>
        <v>CAT310W-T1</v>
      </c>
      <c r="B14963" s="3" t="str">
        <f>HYPERLINK("https://www.773grp.com/manufacturer/onsemi?pageNo=134", "Onsemi")</f>
        <v>Onsemi</v>
      </c>
      <c r="C14963" s="6">
        <v>2000</v>
      </c>
      <c r="D14963" s="7">
        <v>3.53</v>
      </c>
    </row>
    <row r="14964" spans="1:5" x14ac:dyDescent="0.25">
      <c r="A14964" t="str">
        <f>HYPERLINK("https://www.773grp.com/globalSearch/MAC210A8G/page-1", "MAC210A8G")</f>
        <v>MAC210A8G</v>
      </c>
      <c r="B14964" s="3" t="str">
        <f>HYPERLINK("https://www.773grp.com/manufacturer/onsemi?pageNo=135", "Onsemi")</f>
        <v>Onsemi</v>
      </c>
      <c r="C14964" s="6">
        <v>1448</v>
      </c>
      <c r="D14964" s="7">
        <v>3.53</v>
      </c>
      <c r="E14964" t="s">
        <v>81</v>
      </c>
    </row>
    <row r="14965" spans="1:5" x14ac:dyDescent="0.25">
      <c r="A14965" t="str">
        <f>HYPERLINK("https://www.773grp.com/globalSearch/MAC212A8G/page-1", "MAC212A8G")</f>
        <v>MAC212A8G</v>
      </c>
      <c r="B14965" s="3" t="str">
        <f>HYPERLINK("https://www.773grp.com/manufacturer/onsemi?pageNo=136", "Onsemi")</f>
        <v>Onsemi</v>
      </c>
      <c r="C14965" s="6">
        <v>1000</v>
      </c>
      <c r="D14965" s="7">
        <v>3.53</v>
      </c>
      <c r="E14965" t="s">
        <v>81</v>
      </c>
    </row>
    <row r="14966" spans="1:5" x14ac:dyDescent="0.25">
      <c r="A14966" t="str">
        <f>HYPERLINK("https://www.773grp.com/globalSearch/MBRD360-001/page-1", "MBRD360-001")</f>
        <v>MBRD360-001</v>
      </c>
      <c r="B14966" s="3" t="str">
        <f>HYPERLINK("https://www.773grp.com/manufacturer/onsemi?pageNo=137", "Onsemi")</f>
        <v>Onsemi</v>
      </c>
      <c r="C14966" s="6">
        <v>22425</v>
      </c>
      <c r="D14966" s="7">
        <v>3.53</v>
      </c>
    </row>
    <row r="14967" spans="1:5" x14ac:dyDescent="0.25">
      <c r="A14967" t="str">
        <f>HYPERLINK("https://www.773grp.com/globalSearch/MC34067DW/page-1", "MC34067DW")</f>
        <v>MC34067DW</v>
      </c>
      <c r="B14967" s="3" t="str">
        <f>HYPERLINK("https://www.773grp.com/manufacturer/onsemi?pageNo=138", "Onsemi")</f>
        <v>Onsemi</v>
      </c>
      <c r="C14967" s="6">
        <v>1709</v>
      </c>
      <c r="D14967" s="7">
        <v>3.53</v>
      </c>
      <c r="E14967" t="s">
        <v>5</v>
      </c>
    </row>
    <row r="14968" spans="1:5" x14ac:dyDescent="0.25">
      <c r="A14968" t="str">
        <f>HYPERLINK("https://www.773grp.com/globalSearch/MGP11N60ED/page-1", "MGP11N60ED")</f>
        <v>MGP11N60ED</v>
      </c>
      <c r="B14968" s="3" t="str">
        <f>HYPERLINK("https://www.773grp.com/manufacturer/onsemi?pageNo=139", "Onsemi")</f>
        <v>Onsemi</v>
      </c>
      <c r="C14968" s="6">
        <v>178</v>
      </c>
      <c r="D14968" s="7">
        <v>3.53</v>
      </c>
      <c r="E14968" t="s">
        <v>94</v>
      </c>
    </row>
    <row r="14969" spans="1:5" x14ac:dyDescent="0.25">
      <c r="A14969" t="str">
        <f>HYPERLINK("https://www.773grp.com/globalSearch/MJE18006G/page-1", "MJE18006G")</f>
        <v>MJE18006G</v>
      </c>
      <c r="B14969" s="3" t="str">
        <f>HYPERLINK("https://www.773grp.com/manufacturer/onsemi?pageNo=140", "Onsemi")</f>
        <v>Onsemi</v>
      </c>
      <c r="C14969" s="6">
        <v>20474</v>
      </c>
      <c r="D14969" s="7">
        <v>3.53</v>
      </c>
      <c r="E14969" t="s">
        <v>47</v>
      </c>
    </row>
    <row r="14970" spans="1:5" x14ac:dyDescent="0.25">
      <c r="A14970" t="str">
        <f>HYPERLINK("https://www.773grp.com/globalSearch/MPQ7091/page-1", "MPQ7091")</f>
        <v>MPQ7091</v>
      </c>
      <c r="B14970" s="3" t="str">
        <f>HYPERLINK("https://www.773grp.com/manufacturer/onsemi?pageNo=141", "Onsemi")</f>
        <v>Onsemi</v>
      </c>
      <c r="C14970" s="6">
        <v>2781</v>
      </c>
      <c r="D14970" s="7">
        <v>3.53</v>
      </c>
      <c r="E14970" t="s">
        <v>47</v>
      </c>
    </row>
    <row r="14971" spans="1:5" x14ac:dyDescent="0.25">
      <c r="A14971" t="str">
        <f>HYPERLINK("https://www.773grp.com/globalSearch/NCV33163P/page-1", "NCV33163P")</f>
        <v>NCV33163P</v>
      </c>
      <c r="B14971" s="3" t="str">
        <f>HYPERLINK("https://www.773grp.com/manufacturer/onsemi?pageNo=142", "Onsemi")</f>
        <v>Onsemi</v>
      </c>
      <c r="C14971" s="6">
        <v>2410</v>
      </c>
      <c r="D14971" s="7">
        <v>3.53</v>
      </c>
      <c r="E14971" t="s">
        <v>5</v>
      </c>
    </row>
    <row r="14972" spans="1:5" x14ac:dyDescent="0.25">
      <c r="A14972" t="str">
        <f>HYPERLINK("https://www.773grp.com/globalSearch/NCV33274ADG/page-1", "NCV33274ADG")</f>
        <v>NCV33274ADG</v>
      </c>
      <c r="B14972" s="3" t="str">
        <f>HYPERLINK("https://www.773grp.com/manufacturer/onsemi?pageNo=143", "Onsemi")</f>
        <v>Onsemi</v>
      </c>
      <c r="C14972" s="6">
        <v>1643</v>
      </c>
      <c r="D14972" s="7">
        <v>3.53</v>
      </c>
      <c r="E14972" t="s">
        <v>10</v>
      </c>
    </row>
    <row r="14973" spans="1:5" x14ac:dyDescent="0.25">
      <c r="A14973" t="str">
        <f>HYPERLINK("https://www.773grp.com/globalSearch/NCV4275ADS33G/page-1", "NCV4275ADS33G")</f>
        <v>NCV4275ADS33G</v>
      </c>
      <c r="B14973" s="3" t="str">
        <f>HYPERLINK("https://www.773grp.com/manufacturer/onsemi?pageNo=144", "Onsemi")</f>
        <v>Onsemi</v>
      </c>
      <c r="C14973" s="6">
        <v>1800</v>
      </c>
      <c r="D14973" s="7">
        <v>3.53</v>
      </c>
    </row>
    <row r="14974" spans="1:5" x14ac:dyDescent="0.25">
      <c r="A14974" t="str">
        <f>HYPERLINK("https://www.773grp.com/globalSearch/NCV4276BDS50R4G/page-1", "NCV4276BDS50R4G")</f>
        <v>NCV4276BDS50R4G</v>
      </c>
      <c r="B14974" s="3" t="str">
        <f>HYPERLINK("https://www.773grp.com/manufacturer/onsemi?pageNo=145", "Onsemi")</f>
        <v>Onsemi</v>
      </c>
      <c r="C14974" s="6">
        <v>2400</v>
      </c>
      <c r="D14974" s="7">
        <v>3.53</v>
      </c>
    </row>
    <row r="14975" spans="1:5" x14ac:dyDescent="0.25">
      <c r="A14975" t="str">
        <f>HYPERLINK("https://www.773grp.com/globalSearch/NCV4276DS33R4G/page-1", "NCV4276DS33R4G")</f>
        <v>NCV4276DS33R4G</v>
      </c>
      <c r="B14975" s="3" t="str">
        <f>HYPERLINK("https://www.773grp.com/manufacturer/onsemi?pageNo=146", "Onsemi")</f>
        <v>Onsemi</v>
      </c>
      <c r="C14975" s="6">
        <v>625</v>
      </c>
      <c r="D14975" s="7">
        <v>3.53</v>
      </c>
      <c r="E14975" t="s">
        <v>15</v>
      </c>
    </row>
    <row r="14976" spans="1:5" x14ac:dyDescent="0.25">
      <c r="A14976" t="str">
        <f>HYPERLINK("https://www.773grp.com/globalSearch/NCV8184DTRKG/page-1", "NCV8184DTRKG")</f>
        <v>NCV8184DTRKG</v>
      </c>
      <c r="B14976" s="3" t="str">
        <f>HYPERLINK("https://www.773grp.com/manufacturer/onsemi?pageNo=147", "Onsemi")</f>
        <v>Onsemi</v>
      </c>
      <c r="C14976" s="6">
        <v>1678</v>
      </c>
      <c r="D14976" s="7">
        <v>3.53</v>
      </c>
      <c r="E14976" t="s">
        <v>21</v>
      </c>
    </row>
    <row r="14977" spans="1:5" x14ac:dyDescent="0.25">
      <c r="A14977" t="str">
        <f>HYPERLINK("https://www.773grp.com/globalSearch/NE5517DG/page-1", "NE5517DG")</f>
        <v>NE5517DG</v>
      </c>
      <c r="B14977" s="3" t="str">
        <f>HYPERLINK("https://www.773grp.com/manufacturer/onsemi?pageNo=148", "Onsemi")</f>
        <v>Onsemi</v>
      </c>
      <c r="C14977" s="6">
        <v>480</v>
      </c>
      <c r="D14977" s="7">
        <v>3.53</v>
      </c>
      <c r="E14977" t="s">
        <v>10</v>
      </c>
    </row>
    <row r="14978" spans="1:5" x14ac:dyDescent="0.25">
      <c r="A14978" t="str">
        <f>HYPERLINK("https://www.773grp.com/globalSearch/NE5517DR2G/page-1", "NE5517DR2G")</f>
        <v>NE5517DR2G</v>
      </c>
      <c r="B14978" s="3" t="str">
        <f>HYPERLINK("https://www.773grp.com/manufacturer/onsemi?pageNo=149", "Onsemi")</f>
        <v>Onsemi</v>
      </c>
      <c r="C14978" s="6">
        <v>50293</v>
      </c>
      <c r="D14978" s="7">
        <v>3.53</v>
      </c>
      <c r="E14978" t="s">
        <v>10</v>
      </c>
    </row>
    <row r="14979" spans="1:5" x14ac:dyDescent="0.25">
      <c r="A14979" t="str">
        <f>HYPERLINK("https://www.773grp.com/globalSearch/NE5517NG/page-1", "NE5517NG")</f>
        <v>NE5517NG</v>
      </c>
      <c r="B14979" s="3" t="str">
        <f>HYPERLINK("https://www.773grp.com/manufacturer/onsemi?pageNo=150", "Onsemi")</f>
        <v>Onsemi</v>
      </c>
      <c r="C14979" s="6">
        <v>4725</v>
      </c>
      <c r="D14979" s="7">
        <v>3.53</v>
      </c>
      <c r="E14979" t="s">
        <v>10</v>
      </c>
    </row>
    <row r="14980" spans="1:5" x14ac:dyDescent="0.25">
      <c r="A14980" t="str">
        <f>HYPERLINK("https://www.773grp.com/globalSearch/NGB15N41CLT4G/page-1", "NGB15N41CLT4G")</f>
        <v>NGB15N41CLT4G</v>
      </c>
      <c r="B14980" s="3" t="str">
        <f>HYPERLINK("https://www.773grp.com/manufacturer/onsemi?pageNo=151", "Onsemi")</f>
        <v>Onsemi</v>
      </c>
      <c r="C14980" s="6">
        <v>138600</v>
      </c>
      <c r="D14980" s="7">
        <v>3.53</v>
      </c>
      <c r="E14980" t="s">
        <v>94</v>
      </c>
    </row>
    <row r="14981" spans="1:5" x14ac:dyDescent="0.25">
      <c r="A14981" t="str">
        <f>HYPERLINK("https://www.773grp.com/globalSearch/T2500DG/page-1", "T2500DG")</f>
        <v>T2500DG</v>
      </c>
      <c r="B14981" s="3" t="str">
        <f>HYPERLINK("https://www.773grp.com/manufacturer/onsemi?pageNo=152", "Onsemi")</f>
        <v>Onsemi</v>
      </c>
      <c r="C14981" s="6">
        <v>500</v>
      </c>
      <c r="D14981" s="7">
        <v>3.53</v>
      </c>
    </row>
    <row r="14982" spans="1:5" x14ac:dyDescent="0.25">
      <c r="A14982" t="str">
        <f>HYPERLINK("https://www.773grp.com/globalSearch/T2800D/page-1", "T2800D")</f>
        <v>T2800D</v>
      </c>
      <c r="B14982" s="3" t="str">
        <f>HYPERLINK("https://www.773grp.com/manufacturer/onsemi?pageNo=153", "Onsemi")</f>
        <v>Onsemi</v>
      </c>
      <c r="C14982" s="6">
        <v>500</v>
      </c>
      <c r="D14982" s="7">
        <v>3.53</v>
      </c>
      <c r="E14982" t="s">
        <v>81</v>
      </c>
    </row>
    <row r="14983" spans="1:5" x14ac:dyDescent="0.25">
      <c r="A14983" t="str">
        <f>HYPERLINK("https://www.773grp.com/globalSearch/T2800DG/page-1", "T2800DG")</f>
        <v>T2800DG</v>
      </c>
      <c r="B14983" s="3" t="str">
        <f>HYPERLINK("https://www.773grp.com/manufacturer/onsemi?pageNo=154", "Onsemi")</f>
        <v>Onsemi</v>
      </c>
      <c r="C14983" s="6">
        <v>4000</v>
      </c>
      <c r="D14983" s="7">
        <v>3.53</v>
      </c>
    </row>
    <row r="14984" spans="1:5" x14ac:dyDescent="0.25">
      <c r="A14984" t="str">
        <f>HYPERLINK("https://www.773grp.com/globalSearch/CS8120YT5/page-1", "CS8120YT5")</f>
        <v>CS8120YT5</v>
      </c>
      <c r="B14984" s="3" t="str">
        <f>HYPERLINK("https://www.773grp.com/manufacturer/onsemi?pageNo=155", "Onsemi")</f>
        <v>Onsemi</v>
      </c>
      <c r="C14984" s="6">
        <v>12609</v>
      </c>
      <c r="D14984" s="7">
        <v>3.21</v>
      </c>
      <c r="E14984" t="s">
        <v>15</v>
      </c>
    </row>
    <row r="14985" spans="1:5" x14ac:dyDescent="0.25">
      <c r="A14985" t="str">
        <f>HYPERLINK("https://www.773grp.com/globalSearch/CS8141YTHA7/page-1", "CS8141YTHA7")</f>
        <v>CS8141YTHA7</v>
      </c>
      <c r="B14985" s="3" t="str">
        <f>HYPERLINK("https://www.773grp.com/manufacturer/onsemi?pageNo=156", "Onsemi")</f>
        <v>Onsemi</v>
      </c>
      <c r="C14985" s="6">
        <v>606</v>
      </c>
      <c r="D14985" s="7">
        <v>3.24</v>
      </c>
      <c r="E14985" t="s">
        <v>15</v>
      </c>
    </row>
    <row r="14986" spans="1:5" x14ac:dyDescent="0.25">
      <c r="A14986" t="str">
        <f>HYPERLINK("https://www.773grp.com/globalSearch/LC75844M-TLM-E/page-1", "LC75844M-TLM-E")</f>
        <v>LC75844M-TLM-E</v>
      </c>
      <c r="B14986" s="3" t="str">
        <f>HYPERLINK("https://www.773grp.com/manufacturer/onsemi?pageNo=157", "Onsemi")</f>
        <v>Onsemi</v>
      </c>
      <c r="C14986" s="6">
        <v>4000</v>
      </c>
      <c r="D14986" s="7">
        <v>3.24</v>
      </c>
    </row>
    <row r="14987" spans="1:5" x14ac:dyDescent="0.25">
      <c r="A14987" t="str">
        <f>HYPERLINK("https://www.773grp.com/globalSearch/LM2575T-12G/page-1", "LM2575T-12G")</f>
        <v>LM2575T-12G</v>
      </c>
      <c r="B14987" s="3" t="str">
        <f>HYPERLINK("https://www.773grp.com/manufacturer/onsemi?pageNo=158", "Onsemi")</f>
        <v>Onsemi</v>
      </c>
      <c r="C14987" s="6">
        <v>15300</v>
      </c>
      <c r="D14987" s="7">
        <v>3.24</v>
      </c>
      <c r="E14987" t="s">
        <v>5</v>
      </c>
    </row>
    <row r="14988" spans="1:5" x14ac:dyDescent="0.25">
      <c r="A14988" t="str">
        <f>HYPERLINK("https://www.773grp.com/globalSearch/LM2575T-5G/page-1", "LM2575T-5G")</f>
        <v>LM2575T-5G</v>
      </c>
      <c r="B14988" s="3" t="str">
        <f>HYPERLINK("https://www.773grp.com/manufacturer/onsemi?pageNo=159", "Onsemi")</f>
        <v>Onsemi</v>
      </c>
      <c r="C14988" s="6">
        <v>25146</v>
      </c>
      <c r="D14988" s="7">
        <v>3.24</v>
      </c>
      <c r="E14988" t="s">
        <v>5</v>
      </c>
    </row>
    <row r="14989" spans="1:5" x14ac:dyDescent="0.25">
      <c r="A14989" t="str">
        <f>HYPERLINK("https://www.773grp.com/globalSearch/LM2575T-ADJG/page-1", "LM2575T-ADJG")</f>
        <v>LM2575T-ADJG</v>
      </c>
      <c r="B14989" s="3" t="str">
        <f>HYPERLINK("https://www.773grp.com/manufacturer/onsemi?pageNo=160", "Onsemi")</f>
        <v>Onsemi</v>
      </c>
      <c r="C14989" s="6">
        <v>1000</v>
      </c>
      <c r="D14989" s="7">
        <v>3.24</v>
      </c>
      <c r="E14989" t="s">
        <v>5</v>
      </c>
    </row>
    <row r="14990" spans="1:5" x14ac:dyDescent="0.25">
      <c r="A14990" t="str">
        <f>HYPERLINK("https://www.773grp.com/globalSearch/LM2575TV-15G/page-1", "LM2575TV-15G")</f>
        <v>LM2575TV-15G</v>
      </c>
      <c r="B14990" s="3" t="str">
        <f>HYPERLINK("https://www.773grp.com/manufacturer/onsemi?pageNo=161", "Onsemi")</f>
        <v>Onsemi</v>
      </c>
      <c r="C14990" s="6">
        <v>2597</v>
      </c>
      <c r="D14990" s="7">
        <v>3.24</v>
      </c>
      <c r="E14990" t="s">
        <v>5</v>
      </c>
    </row>
    <row r="14991" spans="1:5" x14ac:dyDescent="0.25">
      <c r="A14991" t="str">
        <f>HYPERLINK("https://www.773grp.com/globalSearch/LM2575TV-5G/page-1", "LM2575TV-5G")</f>
        <v>LM2575TV-5G</v>
      </c>
      <c r="B14991" s="3" t="str">
        <f>HYPERLINK("https://www.773grp.com/manufacturer/onsemi?pageNo=162", "Onsemi")</f>
        <v>Onsemi</v>
      </c>
      <c r="C14991" s="6">
        <v>6490</v>
      </c>
      <c r="D14991" s="7">
        <v>3.24</v>
      </c>
      <c r="E14991" t="s">
        <v>5</v>
      </c>
    </row>
    <row r="14992" spans="1:5" x14ac:dyDescent="0.25">
      <c r="A14992" t="str">
        <f>HYPERLINK("https://www.773grp.com/globalSearch/LV8139JA-AH/page-1", "LV8139JA-AH")</f>
        <v>LV8139JA-AH</v>
      </c>
      <c r="B14992" s="3" t="str">
        <f>HYPERLINK("https://www.773grp.com/manufacturer/onsemi?pageNo=163", "Onsemi")</f>
        <v>Onsemi</v>
      </c>
      <c r="C14992" s="6">
        <v>15000</v>
      </c>
      <c r="D14992" s="7">
        <v>3.24</v>
      </c>
    </row>
    <row r="14993" spans="1:5" x14ac:dyDescent="0.25">
      <c r="A14993" t="str">
        <f>HYPERLINK("https://www.773grp.com/globalSearch/MBR2515LG/page-1", "MBR2515LG")</f>
        <v>MBR2515LG</v>
      </c>
      <c r="B14993" s="3" t="str">
        <f>HYPERLINK("https://www.773grp.com/manufacturer/onsemi?pageNo=164", "Onsemi")</f>
        <v>Onsemi</v>
      </c>
      <c r="C14993" s="6">
        <v>560</v>
      </c>
      <c r="D14993" s="7">
        <v>3.24</v>
      </c>
      <c r="E14993" t="s">
        <v>82</v>
      </c>
    </row>
    <row r="14994" spans="1:5" x14ac:dyDescent="0.25">
      <c r="A14994" t="str">
        <f>HYPERLINK("https://www.773grp.com/globalSearch/MBRB20200CT/page-1", "MBRB20200CT")</f>
        <v>MBRB20200CT</v>
      </c>
      <c r="B14994" s="3" t="str">
        <f>HYPERLINK("https://www.773grp.com/manufacturer/onsemi?pageNo=165", "Onsemi")</f>
        <v>Onsemi</v>
      </c>
      <c r="C14994" s="6">
        <v>2650</v>
      </c>
      <c r="D14994" s="7">
        <v>3.24</v>
      </c>
    </row>
    <row r="14995" spans="1:5" x14ac:dyDescent="0.25">
      <c r="A14995" t="str">
        <f>HYPERLINK("https://www.773grp.com/globalSearch/MGP15N60U/page-1", "MGP15N60U")</f>
        <v>MGP15N60U</v>
      </c>
      <c r="B14995" s="3" t="str">
        <f>HYPERLINK("https://www.773grp.com/manufacturer/onsemi?pageNo=166", "Onsemi")</f>
        <v>Onsemi</v>
      </c>
      <c r="C14995" s="6">
        <v>9484</v>
      </c>
      <c r="D14995" s="7">
        <v>3.24</v>
      </c>
      <c r="E14995" t="s">
        <v>94</v>
      </c>
    </row>
    <row r="14996" spans="1:5" x14ac:dyDescent="0.25">
      <c r="A14996" t="str">
        <f>HYPERLINK("https://www.773grp.com/globalSearch/2N5884/page-1", "2N5884")</f>
        <v>2N5884</v>
      </c>
      <c r="B14996" s="3" t="str">
        <f>HYPERLINK("https://www.773grp.com/manufacturer/onsemi?pageNo=167", "Onsemi")</f>
        <v>Onsemi</v>
      </c>
      <c r="C14996" s="6">
        <v>9832</v>
      </c>
      <c r="D14996" s="7">
        <v>3.6</v>
      </c>
      <c r="E14996" t="s">
        <v>47</v>
      </c>
    </row>
    <row r="14997" spans="1:5" x14ac:dyDescent="0.25">
      <c r="A14997" t="str">
        <f>HYPERLINK("https://www.773grp.com/globalSearch/BUB323ZT4/page-1", "BUB323ZT4")</f>
        <v>BUB323ZT4</v>
      </c>
      <c r="B14997" s="3" t="str">
        <f>HYPERLINK("https://www.773grp.com/manufacturer/onsemi?pageNo=168", "Onsemi")</f>
        <v>Onsemi</v>
      </c>
      <c r="C14997" s="6">
        <v>1860</v>
      </c>
      <c r="D14997" s="7">
        <v>3.6</v>
      </c>
      <c r="E14997" t="s">
        <v>47</v>
      </c>
    </row>
    <row r="14998" spans="1:5" x14ac:dyDescent="0.25">
      <c r="A14998" t="str">
        <f>HYPERLINK("https://www.773grp.com/globalSearch/CAT1023ZI25/page-1", "CAT1023ZI25")</f>
        <v>CAT1023ZI25</v>
      </c>
      <c r="B14998" s="3" t="str">
        <f>HYPERLINK("https://www.773grp.com/manufacturer/onsemi?pageNo=169", "Onsemi")</f>
        <v>Onsemi</v>
      </c>
      <c r="C14998" s="6">
        <v>687</v>
      </c>
      <c r="D14998" s="7">
        <v>3.6</v>
      </c>
      <c r="E14998" t="s">
        <v>26</v>
      </c>
    </row>
    <row r="14999" spans="1:5" x14ac:dyDescent="0.25">
      <c r="A14999" t="str">
        <f>HYPERLINK("https://www.773grp.com/globalSearch/CAT24C512ZI-T3/page-1", "CAT24C512ZI-T3")</f>
        <v>CAT24C512ZI-T3</v>
      </c>
      <c r="B14999" s="3" t="str">
        <f>HYPERLINK("https://www.773grp.com/manufacturer/onsemi?pageNo=170", "Onsemi")</f>
        <v>Onsemi</v>
      </c>
      <c r="C14999" s="6">
        <v>2950</v>
      </c>
      <c r="D14999" s="7">
        <v>3.6</v>
      </c>
    </row>
    <row r="15000" spans="1:5" x14ac:dyDescent="0.25">
      <c r="A15000" t="str">
        <f>HYPERLINK("https://www.773grp.com/globalSearch/CS8151YDPS7/page-1", "CS8151YDPS7")</f>
        <v>CS8151YDPS7</v>
      </c>
      <c r="B15000" s="3" t="str">
        <f>HYPERLINK("https://www.773grp.com/manufacturer/onsemi?pageNo=171", "Onsemi")</f>
        <v>Onsemi</v>
      </c>
      <c r="C15000" s="6">
        <v>1500</v>
      </c>
      <c r="D15000" s="7">
        <v>3.6</v>
      </c>
      <c r="E15000" t="s">
        <v>15</v>
      </c>
    </row>
    <row r="15001" spans="1:5" x14ac:dyDescent="0.25">
      <c r="A15001" t="str">
        <f>HYPERLINK("https://www.773grp.com/globalSearch/CS951254DR8G/page-1", "CS951254DR8G")</f>
        <v>CS951254DR8G</v>
      </c>
      <c r="B15001" s="3" t="str">
        <f>HYPERLINK("https://www.773grp.com/manufacturer/onsemi?pageNo=172", "Onsemi")</f>
        <v>Onsemi</v>
      </c>
      <c r="C15001" s="6">
        <v>654</v>
      </c>
      <c r="D15001" s="7">
        <v>3.6</v>
      </c>
    </row>
    <row r="15002" spans="1:5" x14ac:dyDescent="0.25">
      <c r="A15002" t="str">
        <f>HYPERLINK("https://www.773grp.com/globalSearch/LB1860M-TLM-E/page-1", "LB1860M-TLM-E")</f>
        <v>LB1860M-TLM-E</v>
      </c>
      <c r="B15002" s="3" t="str">
        <f>HYPERLINK("https://www.773grp.com/manufacturer/onsemi?pageNo=173", "Onsemi")</f>
        <v>Onsemi</v>
      </c>
      <c r="C15002" s="6">
        <v>30000</v>
      </c>
      <c r="D15002" s="7">
        <v>3.6</v>
      </c>
    </row>
    <row r="15003" spans="1:5" x14ac:dyDescent="0.25">
      <c r="A15003" t="str">
        <f>HYPERLINK("https://www.773grp.com/globalSearch/LB1860M-TLM-H/page-1", "LB1860M-TLM-H")</f>
        <v>LB1860M-TLM-H</v>
      </c>
      <c r="B15003" s="3" t="str">
        <f>HYPERLINK("https://www.773grp.com/manufacturer/onsemi?pageNo=174", "Onsemi")</f>
        <v>Onsemi</v>
      </c>
      <c r="C15003" s="6">
        <v>30000</v>
      </c>
      <c r="D15003" s="7">
        <v>3.6</v>
      </c>
    </row>
    <row r="15004" spans="1:5" x14ac:dyDescent="0.25">
      <c r="A15004" t="str">
        <f>HYPERLINK("https://www.773grp.com/globalSearch/LM2595DSADJR4G/page-1", "LM2595DSADJR4G")</f>
        <v>LM2595DSADJR4G</v>
      </c>
      <c r="B15004" s="3" t="str">
        <f>HYPERLINK("https://www.773grp.com/manufacturer/onsemi?pageNo=175", "Onsemi")</f>
        <v>Onsemi</v>
      </c>
      <c r="C15004" s="6">
        <v>1600</v>
      </c>
      <c r="D15004" s="7">
        <v>3.6</v>
      </c>
      <c r="E15004" t="s">
        <v>5</v>
      </c>
    </row>
    <row r="15005" spans="1:5" x14ac:dyDescent="0.25">
      <c r="A15005" t="str">
        <f>HYPERLINK("https://www.773grp.com/globalSearch/LM2595TADJG/page-1", "LM2595TADJG")</f>
        <v>LM2595TADJG</v>
      </c>
      <c r="B15005" s="3" t="str">
        <f>HYPERLINK("https://www.773grp.com/manufacturer/onsemi?pageNo=176", "Onsemi")</f>
        <v>Onsemi</v>
      </c>
      <c r="C15005" s="6">
        <v>11800</v>
      </c>
      <c r="D15005" s="7">
        <v>3.6</v>
      </c>
      <c r="E15005" t="s">
        <v>5</v>
      </c>
    </row>
    <row r="15006" spans="1:5" x14ac:dyDescent="0.25">
      <c r="A15006" t="str">
        <f>HYPERLINK("https://www.773grp.com/globalSearch/MC33067DW/page-1", "MC33067DW")</f>
        <v>MC33067DW</v>
      </c>
      <c r="B15006" s="3" t="str">
        <f>HYPERLINK("https://www.773grp.com/manufacturer/onsemi?pageNo=177", "Onsemi")</f>
        <v>Onsemi</v>
      </c>
      <c r="C15006" s="6">
        <v>842</v>
      </c>
      <c r="D15006" s="7">
        <v>3.6</v>
      </c>
      <c r="E15006" t="s">
        <v>5</v>
      </c>
    </row>
    <row r="15007" spans="1:5" x14ac:dyDescent="0.25">
      <c r="A15007" t="str">
        <f>HYPERLINK("https://www.773grp.com/globalSearch/MC33067DWR2/page-1", "MC33067DWR2")</f>
        <v>MC33067DWR2</v>
      </c>
      <c r="B15007" s="3" t="str">
        <f>HYPERLINK("https://www.773grp.com/manufacturer/onsemi?pageNo=178", "Onsemi")</f>
        <v>Onsemi</v>
      </c>
      <c r="C15007" s="6">
        <v>26</v>
      </c>
      <c r="D15007" s="7">
        <v>3.6</v>
      </c>
      <c r="E15007" t="s">
        <v>5</v>
      </c>
    </row>
    <row r="15008" spans="1:5" x14ac:dyDescent="0.25">
      <c r="A15008" t="str">
        <f>HYPERLINK("https://www.773grp.com/globalSearch/MGP7N60E/page-1", "MGP7N60E")</f>
        <v>MGP7N60E</v>
      </c>
      <c r="B15008" s="3" t="str">
        <f>HYPERLINK("https://www.773grp.com/manufacturer/onsemi?pageNo=179", "Onsemi")</f>
        <v>Onsemi</v>
      </c>
      <c r="C15008" s="6">
        <v>6760</v>
      </c>
      <c r="D15008" s="7">
        <v>3.6</v>
      </c>
      <c r="E15008" t="s">
        <v>94</v>
      </c>
    </row>
    <row r="15009" spans="1:5" x14ac:dyDescent="0.25">
      <c r="A15009" t="str">
        <f>HYPERLINK("https://www.773grp.com/globalSearch/MTB30P06VT4/page-1", "MTB30P06VT4")</f>
        <v>MTB30P06VT4</v>
      </c>
      <c r="B15009" s="3" t="str">
        <f>HYPERLINK("https://www.773grp.com/manufacturer/onsemi?pageNo=180", "Onsemi")</f>
        <v>Onsemi</v>
      </c>
      <c r="C15009" s="6">
        <v>399</v>
      </c>
      <c r="D15009" s="7">
        <v>3.6</v>
      </c>
      <c r="E15009" t="s">
        <v>84</v>
      </c>
    </row>
    <row r="15010" spans="1:5" x14ac:dyDescent="0.25">
      <c r="A15010" t="str">
        <f>HYPERLINK("https://www.773grp.com/globalSearch/MURF1620CTG/page-1", "MURF1620CTG")</f>
        <v>MURF1620CTG</v>
      </c>
      <c r="B15010" s="3" t="str">
        <f>HYPERLINK("https://www.773grp.com/manufacturer/onsemi?pageNo=181", "Onsemi")</f>
        <v>Onsemi</v>
      </c>
      <c r="C15010" s="6">
        <v>2550</v>
      </c>
      <c r="D15010" s="7">
        <v>3.6</v>
      </c>
      <c r="E15010" t="s">
        <v>82</v>
      </c>
    </row>
    <row r="15011" spans="1:5" x14ac:dyDescent="0.25">
      <c r="A15011" t="str">
        <f>HYPERLINK("https://www.773grp.com/globalSearch/NCP1205PG/page-1", "NCP1205PG")</f>
        <v>NCP1205PG</v>
      </c>
      <c r="B15011" s="3" t="str">
        <f>HYPERLINK("https://www.773grp.com/manufacturer/onsemi?pageNo=182", "Onsemi")</f>
        <v>Onsemi</v>
      </c>
      <c r="C15011" s="6">
        <v>245</v>
      </c>
      <c r="D15011" s="7">
        <v>3.6</v>
      </c>
      <c r="E15011" t="s">
        <v>5</v>
      </c>
    </row>
    <row r="15012" spans="1:5" x14ac:dyDescent="0.25">
      <c r="A15012" t="str">
        <f>HYPERLINK("https://www.773grp.com/globalSearch/NCP4413DR2/page-1", "NCP4413DR2")</f>
        <v>NCP4413DR2</v>
      </c>
      <c r="B15012" s="3" t="str">
        <f>HYPERLINK("https://www.773grp.com/manufacturer/onsemi?pageNo=183", "Onsemi")</f>
        <v>Onsemi</v>
      </c>
      <c r="C15012" s="6">
        <v>53256</v>
      </c>
      <c r="D15012" s="7">
        <v>3.6</v>
      </c>
      <c r="E15012" t="s">
        <v>12</v>
      </c>
    </row>
    <row r="15013" spans="1:5" x14ac:dyDescent="0.25">
      <c r="A15013" t="str">
        <f>HYPERLINK("https://www.773grp.com/globalSearch/NCP4413P/page-1", "NCP4413P")</f>
        <v>NCP4413P</v>
      </c>
      <c r="B15013" s="3" t="str">
        <f>HYPERLINK("https://www.773grp.com/manufacturer/onsemi?pageNo=184", "Onsemi")</f>
        <v>Onsemi</v>
      </c>
      <c r="C15013" s="6">
        <v>3512</v>
      </c>
      <c r="D15013" s="7">
        <v>3.6</v>
      </c>
      <c r="E15013" t="s">
        <v>12</v>
      </c>
    </row>
    <row r="15014" spans="1:5" x14ac:dyDescent="0.25">
      <c r="A15014" t="str">
        <f>HYPERLINK("https://www.773grp.com/globalSearch/NCP5218MNR2G/page-1", "NCP5218MNR2G")</f>
        <v>NCP5218MNR2G</v>
      </c>
      <c r="B15014" s="3" t="str">
        <f>HYPERLINK("https://www.773grp.com/manufacturer/onsemi?pageNo=185", "Onsemi")</f>
        <v>Onsemi</v>
      </c>
      <c r="C15014" s="6">
        <v>4402</v>
      </c>
      <c r="D15014" s="7">
        <v>3.6</v>
      </c>
      <c r="E15014" t="s">
        <v>5</v>
      </c>
    </row>
    <row r="15015" spans="1:5" x14ac:dyDescent="0.25">
      <c r="A15015" t="str">
        <f>HYPERLINK("https://www.773grp.com/globalSearch/NCP81018AMNR2G/page-1", "NCP81018AMNR2G")</f>
        <v>NCP81018AMNR2G</v>
      </c>
      <c r="B15015" s="3" t="str">
        <f>HYPERLINK("https://www.773grp.com/manufacturer/onsemi?pageNo=186", "Onsemi")</f>
        <v>Onsemi</v>
      </c>
      <c r="C15015" s="6">
        <v>70000</v>
      </c>
      <c r="D15015" s="7">
        <v>3.6</v>
      </c>
    </row>
    <row r="15016" spans="1:5" x14ac:dyDescent="0.25">
      <c r="A15016" t="str">
        <f>HYPERLINK("https://www.773grp.com/globalSearch/NCP81018BMNR2G/page-1", "NCP81018BMNR2G")</f>
        <v>NCP81018BMNR2G</v>
      </c>
      <c r="B15016" s="3" t="str">
        <f>HYPERLINK("https://www.773grp.com/manufacturer/onsemi?pageNo=187", "Onsemi")</f>
        <v>Onsemi</v>
      </c>
      <c r="C15016" s="6">
        <v>15000</v>
      </c>
      <c r="D15016" s="7">
        <v>3.6</v>
      </c>
    </row>
    <row r="15017" spans="1:5" x14ac:dyDescent="0.25">
      <c r="A15017" t="str">
        <f>HYPERLINK("https://www.773grp.com/globalSearch/NCS2502DG/page-1", "NCS2502DG")</f>
        <v>NCS2502DG</v>
      </c>
      <c r="B15017" s="3" t="str">
        <f>HYPERLINK("https://www.773grp.com/manufacturer/onsemi?pageNo=188", "Onsemi")</f>
        <v>Onsemi</v>
      </c>
      <c r="C15017" s="6">
        <v>882</v>
      </c>
      <c r="D15017" s="7">
        <v>3.6</v>
      </c>
      <c r="E15017" t="s">
        <v>14</v>
      </c>
    </row>
    <row r="15018" spans="1:5" x14ac:dyDescent="0.25">
      <c r="A15018" t="str">
        <f>HYPERLINK("https://www.773grp.com/globalSearch/NTB5412NT4G/page-1", "NTB5412NT4G")</f>
        <v>NTB5412NT4G</v>
      </c>
      <c r="B15018" s="3" t="str">
        <f>HYPERLINK("https://www.773grp.com/manufacturer/onsemi?pageNo=189", "Onsemi")</f>
        <v>Onsemi</v>
      </c>
      <c r="C15018" s="6">
        <v>23200</v>
      </c>
      <c r="D15018" s="7">
        <v>3.6</v>
      </c>
      <c r="E15018" t="s">
        <v>84</v>
      </c>
    </row>
    <row r="15019" spans="1:5" x14ac:dyDescent="0.25">
      <c r="A15019" t="str">
        <f>HYPERLINK("https://www.773grp.com/globalSearch/NTP5412NG/page-1", "NTP5412NG")</f>
        <v>NTP5412NG</v>
      </c>
      <c r="B15019" s="3" t="str">
        <f>HYPERLINK("https://www.773grp.com/manufacturer/onsemi?pageNo=190", "Onsemi")</f>
        <v>Onsemi</v>
      </c>
      <c r="C15019" s="6">
        <v>32060</v>
      </c>
      <c r="D15019" s="7">
        <v>3.6</v>
      </c>
      <c r="E15019" t="s">
        <v>84</v>
      </c>
    </row>
    <row r="15020" spans="1:5" x14ac:dyDescent="0.25">
      <c r="A15020" t="str">
        <f>HYPERLINK("https://www.773grp.com/globalSearch/CS2516KDR8/page-1", "CS2516KDR8")</f>
        <v>CS2516KDR8</v>
      </c>
      <c r="B15020" s="3" t="str">
        <f>HYPERLINK("https://www.773grp.com/manufacturer/onsemi?pageNo=191", "Onsemi")</f>
        <v>Onsemi</v>
      </c>
      <c r="C15020" s="6">
        <v>2500</v>
      </c>
      <c r="D15020" s="7">
        <v>3.26</v>
      </c>
      <c r="E15020" t="s">
        <v>26</v>
      </c>
    </row>
    <row r="15021" spans="1:5" x14ac:dyDescent="0.25">
      <c r="A15021" t="str">
        <f>HYPERLINK("https://www.773grp.com/globalSearch/CS8140YDW24/page-1", "CS8140YDW24")</f>
        <v>CS8140YDW24</v>
      </c>
      <c r="B15021" s="3" t="str">
        <f>HYPERLINK("https://www.773grp.com/manufacturer/onsemi?pageNo=192", "Onsemi")</f>
        <v>Onsemi</v>
      </c>
      <c r="C15021" s="6">
        <v>780</v>
      </c>
      <c r="D15021" s="7">
        <v>3.26</v>
      </c>
      <c r="E15021" t="s">
        <v>15</v>
      </c>
    </row>
    <row r="15022" spans="1:5" x14ac:dyDescent="0.25">
      <c r="A15022" t="str">
        <f>HYPERLINK("https://www.773grp.com/globalSearch/CS8140YDWR24/page-1", "CS8140YDWR24")</f>
        <v>CS8140YDWR24</v>
      </c>
      <c r="B15022" s="3" t="str">
        <f>HYPERLINK("https://www.773grp.com/manufacturer/onsemi?pageNo=193", "Onsemi")</f>
        <v>Onsemi</v>
      </c>
      <c r="C15022" s="6">
        <v>1000</v>
      </c>
      <c r="D15022" s="7">
        <v>3.26</v>
      </c>
      <c r="E15022" t="s">
        <v>15</v>
      </c>
    </row>
    <row r="15023" spans="1:5" x14ac:dyDescent="0.25">
      <c r="A15023" t="str">
        <f>HYPERLINK("https://www.773grp.com/globalSearch/LV8080LP-E/page-1", "LV8080LP-E")</f>
        <v>LV8080LP-E</v>
      </c>
      <c r="B15023" s="3" t="str">
        <f>HYPERLINK("https://www.773grp.com/manufacturer/onsemi?pageNo=194", "Onsemi")</f>
        <v>Onsemi</v>
      </c>
      <c r="C15023" s="6">
        <v>200</v>
      </c>
      <c r="D15023" s="7">
        <v>3.26</v>
      </c>
    </row>
    <row r="15024" spans="1:5" x14ac:dyDescent="0.25">
      <c r="A15024" t="str">
        <f>HYPERLINK("https://www.773grp.com/globalSearch/LV8080LP-TE-L-E/page-1", "LV8080LP-TE-L-E")</f>
        <v>LV8080LP-TE-L-E</v>
      </c>
      <c r="B15024" s="3" t="str">
        <f>HYPERLINK("https://www.773grp.com/manufacturer/onsemi?pageNo=195", "Onsemi")</f>
        <v>Onsemi</v>
      </c>
      <c r="C15024" s="6">
        <v>90</v>
      </c>
      <c r="D15024" s="7">
        <v>3.26</v>
      </c>
    </row>
    <row r="15025" spans="1:5" x14ac:dyDescent="0.25">
      <c r="A15025" t="str">
        <f>HYPERLINK("https://www.773grp.com/globalSearch/LV8400V-MPB-E/page-1", "LV8400V-MPB-E")</f>
        <v>LV8400V-MPB-E</v>
      </c>
      <c r="B15025" s="3" t="str">
        <f>HYPERLINK("https://www.773grp.com/manufacturer/onsemi?pageNo=196", "Onsemi")</f>
        <v>Onsemi</v>
      </c>
      <c r="C15025" s="6">
        <v>1530</v>
      </c>
      <c r="D15025" s="7">
        <v>3.26</v>
      </c>
    </row>
    <row r="15026" spans="1:5" x14ac:dyDescent="0.25">
      <c r="A15026" t="str">
        <f>HYPERLINK("https://www.773grp.com/globalSearch/LV8400V-TLM-E/page-1", "LV8400V-TLM-E")</f>
        <v>LV8400V-TLM-E</v>
      </c>
      <c r="B15026" s="3" t="str">
        <f>HYPERLINK("https://www.773grp.com/manufacturer/onsemi?pageNo=197", "Onsemi")</f>
        <v>Onsemi</v>
      </c>
      <c r="C15026" s="6">
        <v>100</v>
      </c>
      <c r="D15026" s="7">
        <v>3.26</v>
      </c>
    </row>
    <row r="15027" spans="1:5" x14ac:dyDescent="0.25">
      <c r="A15027" t="str">
        <f>HYPERLINK("https://www.773grp.com/globalSearch/MC10H123L/page-1", "MC10H123L")</f>
        <v>MC10H123L</v>
      </c>
      <c r="B15027" s="3" t="str">
        <f>HYPERLINK("https://www.773grp.com/manufacturer/onsemi?pageNo=198", "Onsemi")</f>
        <v>Onsemi</v>
      </c>
      <c r="C15027" s="6">
        <v>275</v>
      </c>
      <c r="D15027" s="7">
        <v>3.26</v>
      </c>
      <c r="E15027" t="s">
        <v>11</v>
      </c>
    </row>
    <row r="15028" spans="1:5" x14ac:dyDescent="0.25">
      <c r="A15028" t="str">
        <f>HYPERLINK("https://www.773grp.com/globalSearch/NCP1561DR2/page-1", "NCP1561DR2")</f>
        <v>NCP1561DR2</v>
      </c>
      <c r="B15028" s="3" t="str">
        <f>HYPERLINK("https://www.773grp.com/manufacturer/onsemi?pageNo=199", "Onsemi")</f>
        <v>Onsemi</v>
      </c>
      <c r="C15028" s="6">
        <v>17500</v>
      </c>
      <c r="D15028" s="7">
        <v>3.26</v>
      </c>
      <c r="E15028" t="s">
        <v>5</v>
      </c>
    </row>
    <row r="15029" spans="1:5" x14ac:dyDescent="0.25">
      <c r="A15029" t="str">
        <f>HYPERLINK("https://www.773grp.com/globalSearch/NCP1561DR2G/page-1", "NCP1561DR2G")</f>
        <v>NCP1561DR2G</v>
      </c>
      <c r="B15029" s="3" t="str">
        <f>HYPERLINK("https://www.773grp.com/manufacturer/onsemi?pageNo=200", "Onsemi")</f>
        <v>Onsemi</v>
      </c>
      <c r="C15029" s="6">
        <v>2500</v>
      </c>
      <c r="D15029" s="7">
        <v>3.26</v>
      </c>
      <c r="E15029" t="s">
        <v>5</v>
      </c>
    </row>
    <row r="15030" spans="1:5" x14ac:dyDescent="0.25">
      <c r="A15030" t="str">
        <f>HYPERLINK("https://www.773grp.com/globalSearch/CAT24M01XI/page-1", "CAT24M01XI")</f>
        <v>CAT24M01XI</v>
      </c>
      <c r="B15030" s="3" t="str">
        <f>HYPERLINK("https://www.773grp.com/manufacturer/onsemi?pageNo=201", "Onsemi")</f>
        <v>Onsemi</v>
      </c>
      <c r="C15030" s="6">
        <v>2726</v>
      </c>
      <c r="D15030" s="7">
        <v>3.29</v>
      </c>
    </row>
    <row r="15031" spans="1:5" x14ac:dyDescent="0.25">
      <c r="A15031" t="str">
        <f>HYPERLINK("https://www.773grp.com/globalSearch/CAT5111VI-00-GT3/page-1", "CAT5111VI-00-GT3")</f>
        <v>CAT5111VI-00-GT3</v>
      </c>
      <c r="B15031" s="3" t="str">
        <f>HYPERLINK("https://www.773grp.com/manufacturer/onsemi?pageNo=202", "Onsemi")</f>
        <v>Onsemi</v>
      </c>
      <c r="C15031" s="6">
        <v>3000</v>
      </c>
      <c r="D15031" s="7">
        <v>3.29</v>
      </c>
      <c r="E15031" t="s">
        <v>78</v>
      </c>
    </row>
    <row r="15032" spans="1:5" x14ac:dyDescent="0.25">
      <c r="A15032" t="str">
        <f>HYPERLINK("https://www.773grp.com/globalSearch/CAT5111VI-50-GT3/page-1", "CAT5111VI-50-GT3")</f>
        <v>CAT5111VI-50-GT3</v>
      </c>
      <c r="B15032" s="3" t="str">
        <f>HYPERLINK("https://www.773grp.com/manufacturer/onsemi?pageNo=203", "Onsemi")</f>
        <v>Onsemi</v>
      </c>
      <c r="C15032" s="6">
        <v>9000</v>
      </c>
      <c r="D15032" s="7">
        <v>3.29</v>
      </c>
      <c r="E15032" t="s">
        <v>78</v>
      </c>
    </row>
    <row r="15033" spans="1:5" x14ac:dyDescent="0.25">
      <c r="A15033" t="str">
        <f>HYPERLINK("https://www.773grp.com/globalSearch/CAT5111YI-10-G/page-1", "CAT5111YI-10-G")</f>
        <v>CAT5111YI-10-G</v>
      </c>
      <c r="B15033" s="3" t="str">
        <f>HYPERLINK("https://www.773grp.com/manufacturer/onsemi?pageNo=204", "Onsemi")</f>
        <v>Onsemi</v>
      </c>
      <c r="C15033" s="6">
        <v>540</v>
      </c>
      <c r="D15033" s="7">
        <v>3.29</v>
      </c>
      <c r="E15033" t="s">
        <v>78</v>
      </c>
    </row>
    <row r="15034" spans="1:5" x14ac:dyDescent="0.25">
      <c r="A15034" t="str">
        <f>HYPERLINK("https://www.773grp.com/globalSearch/CAT5111YI-50-G/page-1", "CAT5111YI-50-G")</f>
        <v>CAT5111YI-50-G</v>
      </c>
      <c r="B15034" s="3" t="str">
        <f>HYPERLINK("https://www.773grp.com/manufacturer/onsemi?pageNo=205", "Onsemi")</f>
        <v>Onsemi</v>
      </c>
      <c r="C15034" s="6">
        <v>500</v>
      </c>
      <c r="D15034" s="7">
        <v>3.29</v>
      </c>
      <c r="E15034" t="s">
        <v>78</v>
      </c>
    </row>
    <row r="15035" spans="1:5" x14ac:dyDescent="0.25">
      <c r="A15035" t="str">
        <f>HYPERLINK("https://www.773grp.com/globalSearch/CS5124XDR8G/page-1", "CS5124XDR8G")</f>
        <v>CS5124XDR8G</v>
      </c>
      <c r="B15035" s="3" t="str">
        <f>HYPERLINK("https://www.773grp.com/manufacturer/onsemi?pageNo=206", "Onsemi")</f>
        <v>Onsemi</v>
      </c>
      <c r="C15035" s="6">
        <v>2500</v>
      </c>
      <c r="D15035" s="7">
        <v>3.29</v>
      </c>
    </row>
    <row r="15036" spans="1:5" x14ac:dyDescent="0.25">
      <c r="A15036" t="str">
        <f>HYPERLINK("https://www.773grp.com/globalSearch/LM4040AIZ-10.0-NOPB/page-1", "LM4040AIZ-10.0-NOPB")</f>
        <v>LM4040AIZ-10.0-NOPB</v>
      </c>
      <c r="B15036" s="3" t="str">
        <f>HYPERLINK("https://www.773grp.com/manufacturer/onsemi?pageNo=207", "Onsemi")</f>
        <v>Onsemi</v>
      </c>
      <c r="C15036" s="6">
        <v>1256</v>
      </c>
      <c r="D15036" s="7">
        <v>3.65</v>
      </c>
      <c r="E15036" t="s">
        <v>13</v>
      </c>
    </row>
    <row r="15037" spans="1:5" x14ac:dyDescent="0.25">
      <c r="A15037" t="str">
        <f>HYPERLINK("https://www.773grp.com/globalSearch/BDV64BG/page-1", "BDV64BG")</f>
        <v>BDV64BG</v>
      </c>
      <c r="B15037" s="3" t="str">
        <f>HYPERLINK("https://www.773grp.com/manufacturer/onsemi?pageNo=208", "Onsemi")</f>
        <v>Onsemi</v>
      </c>
      <c r="C15037" s="6">
        <v>300</v>
      </c>
      <c r="D15037" s="7">
        <v>3.65</v>
      </c>
    </row>
    <row r="15038" spans="1:5" x14ac:dyDescent="0.25">
      <c r="A15038" t="str">
        <f>HYPERLINK("https://www.773grp.com/globalSearch/BUH150G/page-1", "BUH150G")</f>
        <v>BUH150G</v>
      </c>
      <c r="B15038" s="3" t="str">
        <f>HYPERLINK("https://www.773grp.com/manufacturer/onsemi?pageNo=209", "Onsemi")</f>
        <v>Onsemi</v>
      </c>
      <c r="C15038" s="6">
        <v>2182</v>
      </c>
      <c r="D15038" s="7">
        <v>3.65</v>
      </c>
      <c r="E15038" t="s">
        <v>47</v>
      </c>
    </row>
    <row r="15039" spans="1:5" x14ac:dyDescent="0.25">
      <c r="A15039" t="str">
        <f>HYPERLINK("https://www.773grp.com/globalSearch/MGP20N14CL/page-1", "MGP20N14CL")</f>
        <v>MGP20N14CL</v>
      </c>
      <c r="B15039" s="3" t="str">
        <f>HYPERLINK("https://www.773grp.com/manufacturer/onsemi?pageNo=210", "Onsemi")</f>
        <v>Onsemi</v>
      </c>
      <c r="C15039" s="6">
        <v>6610</v>
      </c>
      <c r="D15039" s="7">
        <v>3.65</v>
      </c>
      <c r="E15039" t="s">
        <v>94</v>
      </c>
    </row>
    <row r="15040" spans="1:5" x14ac:dyDescent="0.25">
      <c r="A15040" t="str">
        <f>HYPERLINK("https://www.773grp.com/globalSearch/MGP20N36CL/page-1", "MGP20N36CL")</f>
        <v>MGP20N36CL</v>
      </c>
      <c r="B15040" s="3" t="str">
        <f>HYPERLINK("https://www.773grp.com/manufacturer/onsemi?pageNo=211", "Onsemi")</f>
        <v>Onsemi</v>
      </c>
      <c r="C15040" s="6">
        <v>82920</v>
      </c>
      <c r="D15040" s="7">
        <v>3.65</v>
      </c>
    </row>
    <row r="15041" spans="1:5" x14ac:dyDescent="0.25">
      <c r="A15041" t="str">
        <f>HYPERLINK("https://www.773grp.com/globalSearch/MTP10N40E/page-1", "MTP10N40E")</f>
        <v>MTP10N40E</v>
      </c>
      <c r="B15041" s="3" t="str">
        <f>HYPERLINK("https://www.773grp.com/manufacturer/onsemi?pageNo=212", "Onsemi")</f>
        <v>Onsemi</v>
      </c>
      <c r="C15041" s="6">
        <v>3826</v>
      </c>
      <c r="D15041" s="7">
        <v>3.65</v>
      </c>
      <c r="E15041" t="s">
        <v>84</v>
      </c>
    </row>
    <row r="15042" spans="1:5" x14ac:dyDescent="0.25">
      <c r="A15042" t="str">
        <f>HYPERLINK("https://www.773grp.com/globalSearch/NCP1546DR2G/page-1", "NCP1546DR2G")</f>
        <v>NCP1546DR2G</v>
      </c>
      <c r="B15042" s="3" t="str">
        <f>HYPERLINK("https://www.773grp.com/manufacturer/onsemi?pageNo=213", "Onsemi")</f>
        <v>Onsemi</v>
      </c>
      <c r="C15042" s="6">
        <v>2500</v>
      </c>
      <c r="D15042" s="7">
        <v>3.65</v>
      </c>
      <c r="E15042" t="s">
        <v>5</v>
      </c>
    </row>
    <row r="15043" spans="1:5" x14ac:dyDescent="0.25">
      <c r="A15043" t="str">
        <f>HYPERLINK("https://www.773grp.com/globalSearch/NCP81081MNR2G/page-1", "NCP81081MNR2G")</f>
        <v>NCP81081MNR2G</v>
      </c>
      <c r="B15043" s="3" t="str">
        <f>HYPERLINK("https://www.773grp.com/manufacturer/onsemi?pageNo=214", "Onsemi")</f>
        <v>Onsemi</v>
      </c>
      <c r="C15043" s="6">
        <v>2500</v>
      </c>
      <c r="D15043" s="7">
        <v>3.65</v>
      </c>
    </row>
    <row r="15044" spans="1:5" x14ac:dyDescent="0.25">
      <c r="A15044" t="str">
        <f>HYPERLINK("https://www.773grp.com/globalSearch/NCV4269ADW50G/page-1", "NCV4269ADW50G")</f>
        <v>NCV4269ADW50G</v>
      </c>
      <c r="B15044" s="3" t="str">
        <f>HYPERLINK("https://www.773grp.com/manufacturer/onsemi?pageNo=215", "Onsemi")</f>
        <v>Onsemi</v>
      </c>
      <c r="C15044" s="6">
        <v>1482</v>
      </c>
      <c r="D15044" s="7">
        <v>3.65</v>
      </c>
      <c r="E15044" t="s">
        <v>15</v>
      </c>
    </row>
    <row r="15045" spans="1:5" x14ac:dyDescent="0.25">
      <c r="A15045" t="str">
        <f>HYPERLINK("https://www.773grp.com/globalSearch/NCV86601D50R2G/page-1", "NCV86601D50R2G")</f>
        <v>NCV86601D50R2G</v>
      </c>
      <c r="B15045" s="3" t="str">
        <f>HYPERLINK("https://www.773grp.com/manufacturer/onsemi?pageNo=216", "Onsemi")</f>
        <v>Onsemi</v>
      </c>
      <c r="C15045" s="6">
        <v>2450</v>
      </c>
      <c r="D15045" s="7">
        <v>3.65</v>
      </c>
      <c r="E15045" t="s">
        <v>15</v>
      </c>
    </row>
    <row r="15046" spans="1:5" x14ac:dyDescent="0.25">
      <c r="A15046" t="str">
        <f>HYPERLINK("https://www.773grp.com/globalSearch/NCV86602BD33R2G/page-1", "NCV86602BD33R2G")</f>
        <v>NCV86602BD33R2G</v>
      </c>
      <c r="B15046" s="3" t="str">
        <f>HYPERLINK("https://www.773grp.com/manufacturer/onsemi?pageNo=217", "Onsemi")</f>
        <v>Onsemi</v>
      </c>
      <c r="C15046" s="6">
        <v>5000</v>
      </c>
      <c r="D15046" s="7">
        <v>3.65</v>
      </c>
    </row>
    <row r="15047" spans="1:5" x14ac:dyDescent="0.25">
      <c r="A15047" t="str">
        <f>HYPERLINK("https://www.773grp.com/globalSearch/NCV86603BD33R2G/page-1", "NCV86603BD33R2G")</f>
        <v>NCV86603BD33R2G</v>
      </c>
      <c r="B15047" s="3" t="str">
        <f>HYPERLINK("https://www.773grp.com/manufacturer/onsemi?pageNo=218", "Onsemi")</f>
        <v>Onsemi</v>
      </c>
      <c r="C15047" s="6">
        <v>4113</v>
      </c>
      <c r="D15047" s="7">
        <v>3.65</v>
      </c>
    </row>
    <row r="15048" spans="1:5" x14ac:dyDescent="0.25">
      <c r="A15048" t="str">
        <f>HYPERLINK("https://www.773grp.com/globalSearch/NCV86603BD50R2G/page-1", "NCV86603BD50R2G")</f>
        <v>NCV86603BD50R2G</v>
      </c>
      <c r="B15048" s="3" t="str">
        <f>HYPERLINK("https://www.773grp.com/manufacturer/onsemi?pageNo=219", "Onsemi")</f>
        <v>Onsemi</v>
      </c>
      <c r="C15048" s="6">
        <v>7500</v>
      </c>
      <c r="D15048" s="7">
        <v>3.65</v>
      </c>
      <c r="E15048" t="s">
        <v>15</v>
      </c>
    </row>
    <row r="15049" spans="1:5" x14ac:dyDescent="0.25">
      <c r="A15049" t="str">
        <f>HYPERLINK("https://www.773grp.com/globalSearch/NCV86604BD33R2G/page-1", "NCV86604BD33R2G")</f>
        <v>NCV86604BD33R2G</v>
      </c>
      <c r="B15049" s="3" t="str">
        <f>HYPERLINK("https://www.773grp.com/manufacturer/onsemi?pageNo=220", "Onsemi")</f>
        <v>Onsemi</v>
      </c>
      <c r="C15049" s="6">
        <v>2500</v>
      </c>
      <c r="D15049" s="7">
        <v>3.65</v>
      </c>
    </row>
    <row r="15050" spans="1:5" x14ac:dyDescent="0.25">
      <c r="A15050" t="str">
        <f>HYPERLINK("https://www.773grp.com/globalSearch/STD1028T4/page-1", "STD1028T4")</f>
        <v>STD1028T4</v>
      </c>
      <c r="B15050" s="3" t="str">
        <f>HYPERLINK("https://www.773grp.com/manufacturer/onsemi?pageNo=221", "Onsemi")</f>
        <v>Onsemi</v>
      </c>
      <c r="C15050" s="6">
        <v>75000</v>
      </c>
      <c r="D15050" s="7">
        <v>3.65</v>
      </c>
    </row>
    <row r="15051" spans="1:5" x14ac:dyDescent="0.25">
      <c r="A15051" t="str">
        <f>HYPERLINK("https://www.773grp.com/globalSearch/STD1047T4/page-1", "STD1047T4")</f>
        <v>STD1047T4</v>
      </c>
      <c r="B15051" s="3" t="str">
        <f>HYPERLINK("https://www.773grp.com/manufacturer/onsemi?pageNo=222", "Onsemi")</f>
        <v>Onsemi</v>
      </c>
      <c r="C15051" s="6">
        <v>12500</v>
      </c>
      <c r="D15051" s="7">
        <v>3.65</v>
      </c>
    </row>
    <row r="15052" spans="1:5" x14ac:dyDescent="0.25">
      <c r="A15052" t="str">
        <f>HYPERLINK("https://www.773grp.com/globalSearch/STD1057T4/page-1", "STD1057T4")</f>
        <v>STD1057T4</v>
      </c>
      <c r="B15052" s="3" t="str">
        <f>HYPERLINK("https://www.773grp.com/manufacturer/onsemi?pageNo=223", "Onsemi")</f>
        <v>Onsemi</v>
      </c>
      <c r="C15052" s="6">
        <v>2500</v>
      </c>
      <c r="D15052" s="7">
        <v>3.65</v>
      </c>
    </row>
    <row r="15053" spans="1:5" x14ac:dyDescent="0.25">
      <c r="A15053" t="str">
        <f>HYPERLINK("https://www.773grp.com/globalSearch/CS2001YDWFR20/page-1", "CS2001YDWFR20")</f>
        <v>CS2001YDWFR20</v>
      </c>
      <c r="B15053" s="3" t="str">
        <f>HYPERLINK("https://www.773grp.com/manufacturer/onsemi?pageNo=224", "Onsemi")</f>
        <v>Onsemi</v>
      </c>
      <c r="C15053" s="6">
        <v>1000</v>
      </c>
      <c r="D15053" s="7">
        <v>3.33</v>
      </c>
      <c r="E15053" t="s">
        <v>5</v>
      </c>
    </row>
    <row r="15054" spans="1:5" x14ac:dyDescent="0.25">
      <c r="A15054" t="str">
        <f>HYPERLINK("https://www.773grp.com/globalSearch/CS5120KDR16/page-1", "CS5120KDR16")</f>
        <v>CS5120KDR16</v>
      </c>
      <c r="B15054" s="3" t="str">
        <f>HYPERLINK("https://www.773grp.com/manufacturer/onsemi?pageNo=225", "Onsemi")</f>
        <v>Onsemi</v>
      </c>
      <c r="C15054" s="6">
        <v>2500</v>
      </c>
      <c r="D15054" s="7">
        <v>3.33</v>
      </c>
    </row>
    <row r="15055" spans="1:5" x14ac:dyDescent="0.25">
      <c r="A15055" t="str">
        <f>HYPERLINK("https://www.773grp.com/globalSearch/CS5121KD16/page-1", "CS5121KD16")</f>
        <v>CS5121KD16</v>
      </c>
      <c r="B15055" s="3" t="str">
        <f>HYPERLINK("https://www.773grp.com/manufacturer/onsemi?pageNo=226", "Onsemi")</f>
        <v>Onsemi</v>
      </c>
      <c r="C15055" s="6">
        <v>4473</v>
      </c>
      <c r="D15055" s="7">
        <v>3.33</v>
      </c>
    </row>
    <row r="15056" spans="1:5" x14ac:dyDescent="0.25">
      <c r="A15056" t="str">
        <f>HYPERLINK("https://www.773grp.com/globalSearch/CS59201GD8/page-1", "CS59201GD8")</f>
        <v>CS59201GD8</v>
      </c>
      <c r="B15056" s="3" t="str">
        <f>HYPERLINK("https://www.773grp.com/manufacturer/onsemi?pageNo=227", "Onsemi")</f>
        <v>Onsemi</v>
      </c>
      <c r="C15056" s="6">
        <v>1078</v>
      </c>
      <c r="D15056" s="7">
        <v>3.33</v>
      </c>
      <c r="E15056" t="s">
        <v>14</v>
      </c>
    </row>
    <row r="15057" spans="1:5" x14ac:dyDescent="0.25">
      <c r="A15057" t="str">
        <f>HYPERLINK("https://www.773grp.com/globalSearch/CS59201GDR8/page-1", "CS59201GDR8")</f>
        <v>CS59201GDR8</v>
      </c>
      <c r="B15057" s="3" t="str">
        <f>HYPERLINK("https://www.773grp.com/manufacturer/onsemi?pageNo=228", "Onsemi")</f>
        <v>Onsemi</v>
      </c>
      <c r="C15057" s="6">
        <v>25000</v>
      </c>
      <c r="D15057" s="7">
        <v>3.33</v>
      </c>
      <c r="E15057" t="s">
        <v>14</v>
      </c>
    </row>
    <row r="15058" spans="1:5" x14ac:dyDescent="0.25">
      <c r="A15058" t="str">
        <f>HYPERLINK("https://www.773grp.com/globalSearch/LV8402GP-H/page-1", "LV8402GP-H")</f>
        <v>LV8402GP-H</v>
      </c>
      <c r="B15058" s="3" t="str">
        <f>HYPERLINK("https://www.773grp.com/manufacturer/onsemi?pageNo=229", "Onsemi")</f>
        <v>Onsemi</v>
      </c>
      <c r="C15058" s="6">
        <v>200</v>
      </c>
      <c r="D15058" s="7">
        <v>3.33</v>
      </c>
    </row>
    <row r="15059" spans="1:5" x14ac:dyDescent="0.25">
      <c r="A15059" t="str">
        <f>HYPERLINK("https://www.773grp.com/globalSearch/LV8402GP-TE-L-H/page-1", "LV8402GP-TE-L-H")</f>
        <v>LV8402GP-TE-L-H</v>
      </c>
      <c r="B15059" s="3" t="str">
        <f>HYPERLINK("https://www.773grp.com/manufacturer/onsemi?pageNo=230", "Onsemi")</f>
        <v>Onsemi</v>
      </c>
      <c r="C15059" s="6">
        <v>2000</v>
      </c>
      <c r="D15059" s="7">
        <v>3.33</v>
      </c>
    </row>
    <row r="15060" spans="1:5" x14ac:dyDescent="0.25">
      <c r="A15060" t="str">
        <f>HYPERLINK("https://www.773grp.com/globalSearch/NCV8504PW25G/page-1", "NCV8504PW25G")</f>
        <v>NCV8504PW25G</v>
      </c>
      <c r="B15060" s="3" t="str">
        <f>HYPERLINK("https://www.773grp.com/manufacturer/onsemi?pageNo=231", "Onsemi")</f>
        <v>Onsemi</v>
      </c>
      <c r="C15060" s="6">
        <v>1645</v>
      </c>
      <c r="D15060" s="7">
        <v>3.33</v>
      </c>
      <c r="E15060" t="s">
        <v>15</v>
      </c>
    </row>
    <row r="15061" spans="1:5" x14ac:dyDescent="0.25">
      <c r="A15061" t="str">
        <f>HYPERLINK("https://www.773grp.com/globalSearch/NCV8504PW25R2G/page-1", "NCV8504PW25R2G")</f>
        <v>NCV8504PW25R2G</v>
      </c>
      <c r="B15061" s="3" t="str">
        <f>HYPERLINK("https://www.773grp.com/manufacturer/onsemi?pageNo=232", "Onsemi")</f>
        <v>Onsemi</v>
      </c>
      <c r="C15061" s="6">
        <v>2000</v>
      </c>
      <c r="D15061" s="7">
        <v>3.33</v>
      </c>
      <c r="E15061" t="s">
        <v>15</v>
      </c>
    </row>
    <row r="15062" spans="1:5" x14ac:dyDescent="0.25">
      <c r="A15062" t="str">
        <f>HYPERLINK("https://www.773grp.com/globalSearch/NCV8504PW33G/page-1", "NCV8504PW33G")</f>
        <v>NCV8504PW33G</v>
      </c>
      <c r="B15062" s="3" t="str">
        <f>HYPERLINK("https://www.773grp.com/manufacturer/onsemi?pageNo=233", "Onsemi")</f>
        <v>Onsemi</v>
      </c>
      <c r="C15062" s="6">
        <v>787</v>
      </c>
      <c r="D15062" s="7">
        <v>3.33</v>
      </c>
      <c r="E15062" t="s">
        <v>15</v>
      </c>
    </row>
    <row r="15063" spans="1:5" x14ac:dyDescent="0.25">
      <c r="A15063" t="str">
        <f>HYPERLINK("https://www.773grp.com/globalSearch/NCV8504PW33R2G/page-1", "NCV8504PW33R2G")</f>
        <v>NCV8504PW33R2G</v>
      </c>
      <c r="B15063" s="3" t="str">
        <f>HYPERLINK("https://www.773grp.com/manufacturer/onsemi?pageNo=234", "Onsemi")</f>
        <v>Onsemi</v>
      </c>
      <c r="C15063" s="6">
        <v>2980</v>
      </c>
      <c r="D15063" s="7">
        <v>3.33</v>
      </c>
      <c r="E15063" t="s">
        <v>15</v>
      </c>
    </row>
    <row r="15064" spans="1:5" x14ac:dyDescent="0.25">
      <c r="A15064" t="str">
        <f>HYPERLINK("https://www.773grp.com/globalSearch/NCV8504PW50G/page-1", "NCV8504PW50G")</f>
        <v>NCV8504PW50G</v>
      </c>
      <c r="B15064" s="3" t="str">
        <f>HYPERLINK("https://www.773grp.com/manufacturer/onsemi?pageNo=235", "Onsemi")</f>
        <v>Onsemi</v>
      </c>
      <c r="C15064" s="6">
        <v>887</v>
      </c>
      <c r="D15064" s="7">
        <v>3.33</v>
      </c>
      <c r="E15064" t="s">
        <v>15</v>
      </c>
    </row>
    <row r="15065" spans="1:5" x14ac:dyDescent="0.25">
      <c r="A15065" t="str">
        <f>HYPERLINK("https://www.773grp.com/globalSearch/NCV8504PW50R2G/page-1", "NCV8504PW50R2G")</f>
        <v>NCV8504PW50R2G</v>
      </c>
      <c r="B15065" s="3" t="str">
        <f>HYPERLINK("https://www.773grp.com/manufacturer/onsemi?pageNo=236", "Onsemi")</f>
        <v>Onsemi</v>
      </c>
      <c r="C15065" s="6">
        <v>4779</v>
      </c>
      <c r="D15065" s="7">
        <v>3.33</v>
      </c>
      <c r="E15065" t="s">
        <v>15</v>
      </c>
    </row>
    <row r="15066" spans="1:5" x14ac:dyDescent="0.25">
      <c r="A15066" t="str">
        <f>HYPERLINK("https://www.773grp.com/globalSearch/NCV8504PWADJG/page-1", "NCV8504PWADJG")</f>
        <v>NCV8504PWADJG</v>
      </c>
      <c r="B15066" s="3" t="str">
        <f>HYPERLINK("https://www.773grp.com/manufacturer/onsemi?pageNo=237", "Onsemi")</f>
        <v>Onsemi</v>
      </c>
      <c r="C15066" s="6">
        <v>5264</v>
      </c>
      <c r="D15066" s="7">
        <v>3.33</v>
      </c>
      <c r="E15066" t="s">
        <v>21</v>
      </c>
    </row>
    <row r="15067" spans="1:5" x14ac:dyDescent="0.25">
      <c r="A15067" t="str">
        <f>HYPERLINK("https://www.773grp.com/globalSearch/NCV8504PWADJR2G/page-1", "NCV8504PWADJR2G")</f>
        <v>NCV8504PWADJR2G</v>
      </c>
      <c r="B15067" s="3" t="str">
        <f>HYPERLINK("https://www.773grp.com/manufacturer/onsemi?pageNo=238", "Onsemi")</f>
        <v>Onsemi</v>
      </c>
      <c r="C15067" s="6">
        <v>2000</v>
      </c>
      <c r="D15067" s="7">
        <v>3.33</v>
      </c>
      <c r="E15067" t="s">
        <v>21</v>
      </c>
    </row>
    <row r="15068" spans="1:5" x14ac:dyDescent="0.25">
      <c r="A15068" t="str">
        <f>HYPERLINK("https://www.773grp.com/globalSearch/ADP3208JCPZ-RL/page-1", "ADP3208JCPZ-RL")</f>
        <v>ADP3208JCPZ-RL</v>
      </c>
      <c r="B15068" s="3" t="str">
        <f>HYPERLINK("https://www.773grp.com/manufacturer/onsemi?pageNo=239", "Onsemi")</f>
        <v>Onsemi</v>
      </c>
      <c r="C15068" s="6">
        <v>62252</v>
      </c>
      <c r="D15068" s="7">
        <v>3.7</v>
      </c>
      <c r="E15068" t="s">
        <v>5</v>
      </c>
    </row>
    <row r="15069" spans="1:5" x14ac:dyDescent="0.25">
      <c r="A15069" t="str">
        <f>HYPERLINK("https://www.773grp.com/globalSearch/CAT1161WI-28-G/page-1", "CAT1161WI-28-G")</f>
        <v>CAT1161WI-28-G</v>
      </c>
      <c r="B15069" s="3" t="str">
        <f>HYPERLINK("https://www.773grp.com/manufacturer/onsemi?pageNo=240", "Onsemi")</f>
        <v>Onsemi</v>
      </c>
      <c r="C15069" s="6">
        <v>10600</v>
      </c>
      <c r="D15069" s="7">
        <v>3.7</v>
      </c>
    </row>
    <row r="15070" spans="1:5" x14ac:dyDescent="0.25">
      <c r="A15070" t="str">
        <f>HYPERLINK("https://www.773grp.com/globalSearch/CAT1161WI-30-G/page-1", "CAT1161WI-30-G")</f>
        <v>CAT1161WI-30-G</v>
      </c>
      <c r="B15070" s="3" t="str">
        <f>HYPERLINK("https://www.773grp.com/manufacturer/onsemi?pageNo=241", "Onsemi")</f>
        <v>Onsemi</v>
      </c>
      <c r="C15070" s="6">
        <v>2100</v>
      </c>
      <c r="D15070" s="7">
        <v>3.7</v>
      </c>
    </row>
    <row r="15071" spans="1:5" x14ac:dyDescent="0.25">
      <c r="A15071" t="str">
        <f>HYPERLINK("https://www.773grp.com/globalSearch/CAT1161WI-42-G/page-1", "CAT1161WI-42-G")</f>
        <v>CAT1161WI-42-G</v>
      </c>
      <c r="B15071" s="3" t="str">
        <f>HYPERLINK("https://www.773grp.com/manufacturer/onsemi?pageNo=242", "Onsemi")</f>
        <v>Onsemi</v>
      </c>
      <c r="C15071" s="6">
        <v>9193</v>
      </c>
      <c r="D15071" s="7">
        <v>3.7</v>
      </c>
    </row>
    <row r="15072" spans="1:5" x14ac:dyDescent="0.25">
      <c r="A15072" t="str">
        <f>HYPERLINK("https://www.773grp.com/globalSearch/CAT1161WI-45-G/page-1", "CAT1161WI-45-G")</f>
        <v>CAT1161WI-45-G</v>
      </c>
      <c r="B15072" s="3" t="str">
        <f>HYPERLINK("https://www.773grp.com/manufacturer/onsemi?pageNo=243", "Onsemi")</f>
        <v>Onsemi</v>
      </c>
      <c r="C15072" s="6">
        <v>425</v>
      </c>
      <c r="D15072" s="7">
        <v>3.7</v>
      </c>
    </row>
    <row r="15073" spans="1:5" x14ac:dyDescent="0.25">
      <c r="A15073" t="str">
        <f>HYPERLINK("https://www.773grp.com/globalSearch/CAT1163WI-28-G/page-1", "CAT1163WI-28-G")</f>
        <v>CAT1163WI-28-G</v>
      </c>
      <c r="B15073" s="3" t="str">
        <f>HYPERLINK("https://www.773grp.com/manufacturer/onsemi?pageNo=244", "Onsemi")</f>
        <v>Onsemi</v>
      </c>
      <c r="C15073" s="6">
        <v>400</v>
      </c>
      <c r="D15073" s="7">
        <v>3.7</v>
      </c>
    </row>
    <row r="15074" spans="1:5" x14ac:dyDescent="0.25">
      <c r="A15074" t="str">
        <f>HYPERLINK("https://www.773grp.com/globalSearch/CAT1163WI-30-G/page-1", "CAT1163WI-30-G")</f>
        <v>CAT1163WI-30-G</v>
      </c>
      <c r="B15074" s="3" t="str">
        <f>HYPERLINK("https://www.773grp.com/manufacturer/onsemi?pageNo=245", "Onsemi")</f>
        <v>Onsemi</v>
      </c>
      <c r="C15074" s="6">
        <v>700</v>
      </c>
      <c r="D15074" s="7">
        <v>3.7</v>
      </c>
    </row>
    <row r="15075" spans="1:5" x14ac:dyDescent="0.25">
      <c r="A15075" t="str">
        <f>HYPERLINK("https://www.773grp.com/globalSearch/CAT1163WI-45-G/page-1", "CAT1163WI-45-G")</f>
        <v>CAT1163WI-45-G</v>
      </c>
      <c r="B15075" s="3" t="str">
        <f>HYPERLINK("https://www.773grp.com/manufacturer/onsemi?pageNo=246", "Onsemi")</f>
        <v>Onsemi</v>
      </c>
      <c r="C15075" s="6">
        <v>4695</v>
      </c>
      <c r="D15075" s="7">
        <v>3.7</v>
      </c>
    </row>
    <row r="15076" spans="1:5" x14ac:dyDescent="0.25">
      <c r="A15076" t="str">
        <f>HYPERLINK("https://www.773grp.com/globalSearch/CS5171GD8G/page-1", "CS5171GD8G")</f>
        <v>CS5171GD8G</v>
      </c>
      <c r="B15076" s="3" t="str">
        <f>HYPERLINK("https://www.773grp.com/manufacturer/onsemi?pageNo=247", "Onsemi")</f>
        <v>Onsemi</v>
      </c>
      <c r="C15076" s="6">
        <v>2318</v>
      </c>
      <c r="D15076" s="7">
        <v>3.7</v>
      </c>
      <c r="E15076" t="s">
        <v>5</v>
      </c>
    </row>
    <row r="15077" spans="1:5" x14ac:dyDescent="0.25">
      <c r="A15077" t="str">
        <f>HYPERLINK("https://www.773grp.com/globalSearch/CS5171GDR8G/page-1", "CS5171GDR8G")</f>
        <v>CS5171GDR8G</v>
      </c>
      <c r="B15077" s="3" t="str">
        <f>HYPERLINK("https://www.773grp.com/manufacturer/onsemi?pageNo=248", "Onsemi")</f>
        <v>Onsemi</v>
      </c>
      <c r="C15077" s="6">
        <v>7668</v>
      </c>
      <c r="D15077" s="7">
        <v>3.7</v>
      </c>
      <c r="E15077" t="s">
        <v>5</v>
      </c>
    </row>
    <row r="15078" spans="1:5" x14ac:dyDescent="0.25">
      <c r="A15078" t="str">
        <f>HYPERLINK("https://www.773grp.com/globalSearch/CS5172GD8G/page-1", "CS5172GD8G")</f>
        <v>CS5172GD8G</v>
      </c>
      <c r="B15078" s="3" t="str">
        <f>HYPERLINK("https://www.773grp.com/manufacturer/onsemi?pageNo=249", "Onsemi")</f>
        <v>Onsemi</v>
      </c>
      <c r="C15078" s="6">
        <v>6138</v>
      </c>
      <c r="D15078" s="7">
        <v>3.7</v>
      </c>
      <c r="E15078" t="s">
        <v>5</v>
      </c>
    </row>
    <row r="15079" spans="1:5" x14ac:dyDescent="0.25">
      <c r="A15079" t="str">
        <f>HYPERLINK("https://www.773grp.com/globalSearch/CS5172GDR8G/page-1", "CS5172GDR8G")</f>
        <v>CS5172GDR8G</v>
      </c>
      <c r="B15079" s="3" t="str">
        <f>HYPERLINK("https://www.773grp.com/manufacturer/onsemi?pageNo=250", "Onsemi")</f>
        <v>Onsemi</v>
      </c>
      <c r="C15079" s="6">
        <v>14935</v>
      </c>
      <c r="D15079" s="7">
        <v>3.7</v>
      </c>
      <c r="E15079" t="s">
        <v>5</v>
      </c>
    </row>
    <row r="15080" spans="1:5" x14ac:dyDescent="0.25">
      <c r="A15080" t="str">
        <f>HYPERLINK("https://www.773grp.com/globalSearch/CS5173GD8G/page-1", "CS5173GD8G")</f>
        <v>CS5173GD8G</v>
      </c>
      <c r="B15080" s="3" t="str">
        <f>HYPERLINK("https://www.773grp.com/manufacturer/onsemi?pageNo=251", "Onsemi")</f>
        <v>Onsemi</v>
      </c>
      <c r="C15080" s="6">
        <v>979</v>
      </c>
      <c r="D15080" s="7">
        <v>3.7</v>
      </c>
      <c r="E15080" t="s">
        <v>5</v>
      </c>
    </row>
    <row r="15081" spans="1:5" x14ac:dyDescent="0.25">
      <c r="A15081" t="str">
        <f>HYPERLINK("https://www.773grp.com/globalSearch/CS5173GDR8G/page-1", "CS5173GDR8G")</f>
        <v>CS5173GDR8G</v>
      </c>
      <c r="B15081" s="3" t="str">
        <f>HYPERLINK("https://www.773grp.com/manufacturer/onsemi?pageNo=252", "Onsemi")</f>
        <v>Onsemi</v>
      </c>
      <c r="C15081" s="6">
        <v>55332</v>
      </c>
      <c r="D15081" s="7">
        <v>3.7</v>
      </c>
    </row>
    <row r="15082" spans="1:5" x14ac:dyDescent="0.25">
      <c r="A15082" t="str">
        <f>HYPERLINK("https://www.773grp.com/globalSearch/CS5174GD8G/page-1", "CS5174GD8G")</f>
        <v>CS5174GD8G</v>
      </c>
      <c r="B15082" s="3" t="str">
        <f>HYPERLINK("https://www.773grp.com/manufacturer/onsemi?pageNo=253", "Onsemi")</f>
        <v>Onsemi</v>
      </c>
      <c r="C15082" s="6">
        <v>1525</v>
      </c>
      <c r="D15082" s="7">
        <v>3.7</v>
      </c>
      <c r="E15082" t="s">
        <v>5</v>
      </c>
    </row>
    <row r="15083" spans="1:5" x14ac:dyDescent="0.25">
      <c r="A15083" t="str">
        <f>HYPERLINK("https://www.773grp.com/globalSearch/CS5174GDR8G/page-1", "CS5174GDR8G")</f>
        <v>CS5174GDR8G</v>
      </c>
      <c r="B15083" s="3" t="str">
        <f>HYPERLINK("https://www.773grp.com/manufacturer/onsemi?pageNo=254", "Onsemi")</f>
        <v>Onsemi</v>
      </c>
      <c r="C15083" s="6">
        <v>5777</v>
      </c>
      <c r="D15083" s="7">
        <v>3.7</v>
      </c>
      <c r="E15083" t="s">
        <v>5</v>
      </c>
    </row>
    <row r="15084" spans="1:5" x14ac:dyDescent="0.25">
      <c r="A15084" t="str">
        <f>HYPERLINK("https://www.773grp.com/globalSearch/LB11685AV-TLM-H/page-1", "LB11685AV-TLM-H")</f>
        <v>LB11685AV-TLM-H</v>
      </c>
      <c r="B15084" s="3" t="str">
        <f>HYPERLINK("https://www.773grp.com/manufacturer/onsemi?pageNo=255", "Onsemi")</f>
        <v>Onsemi</v>
      </c>
      <c r="C15084" s="6">
        <v>1000</v>
      </c>
      <c r="D15084" s="7">
        <v>3.7</v>
      </c>
    </row>
    <row r="15085" spans="1:5" x14ac:dyDescent="0.25">
      <c r="A15085" t="str">
        <f>HYPERLINK("https://www.773grp.com/globalSearch/LB1848M-TRM-H/page-1", "LB1848M-TRM-H")</f>
        <v>LB1848M-TRM-H</v>
      </c>
      <c r="B15085" s="3" t="str">
        <f>HYPERLINK("https://www.773grp.com/manufacturer/onsemi?pageNo=256", "Onsemi")</f>
        <v>Onsemi</v>
      </c>
      <c r="C15085" s="6">
        <v>1513</v>
      </c>
      <c r="D15085" s="7">
        <v>3.7</v>
      </c>
    </row>
    <row r="15086" spans="1:5" x14ac:dyDescent="0.25">
      <c r="A15086" t="str">
        <f>HYPERLINK("https://www.773grp.com/globalSearch/LV8762T-MPB-H/page-1", "LV8762T-MPB-H")</f>
        <v>LV8762T-MPB-H</v>
      </c>
      <c r="B15086" s="3" t="str">
        <f>HYPERLINK("https://www.773grp.com/manufacturer/onsemi?pageNo=257", "Onsemi")</f>
        <v>Onsemi</v>
      </c>
      <c r="C15086" s="6">
        <v>70</v>
      </c>
      <c r="D15086" s="7">
        <v>3.7</v>
      </c>
    </row>
    <row r="15087" spans="1:5" x14ac:dyDescent="0.25">
      <c r="A15087" t="str">
        <f>HYPERLINK("https://www.773grp.com/globalSearch/LV8762T-TLM-H/page-1", "LV8762T-TLM-H")</f>
        <v>LV8762T-TLM-H</v>
      </c>
      <c r="B15087" s="3" t="str">
        <f>HYPERLINK("https://www.773grp.com/manufacturer/onsemi?pageNo=258", "Onsemi")</f>
        <v>Onsemi</v>
      </c>
      <c r="C15087" s="6">
        <v>100</v>
      </c>
      <c r="D15087" s="7">
        <v>3.7</v>
      </c>
    </row>
    <row r="15088" spans="1:5" x14ac:dyDescent="0.25">
      <c r="A15088" t="str">
        <f>HYPERLINK("https://www.773grp.com/globalSearch/MBR20100CT/page-1", "MBR20100CT")</f>
        <v>MBR20100CT</v>
      </c>
      <c r="B15088" s="3" t="str">
        <f>HYPERLINK("https://www.773grp.com/manufacturer/onsemi?pageNo=259", "Onsemi")</f>
        <v>Onsemi</v>
      </c>
      <c r="C15088" s="6">
        <v>63</v>
      </c>
      <c r="D15088" s="7">
        <v>3.7</v>
      </c>
      <c r="E15088" t="s">
        <v>82</v>
      </c>
    </row>
    <row r="15089" spans="1:5" x14ac:dyDescent="0.25">
      <c r="A15089" t="str">
        <f>HYPERLINK("https://www.773grp.com/globalSearch/MBR4015CTLG/page-1", "MBR4015CTLG")</f>
        <v>MBR4015CTLG</v>
      </c>
      <c r="B15089" s="3" t="str">
        <f>HYPERLINK("https://www.773grp.com/manufacturer/onsemi?pageNo=260", "Onsemi")</f>
        <v>Onsemi</v>
      </c>
      <c r="C15089" s="6">
        <v>500</v>
      </c>
      <c r="D15089" s="7">
        <v>3.7</v>
      </c>
      <c r="E15089" t="s">
        <v>82</v>
      </c>
    </row>
    <row r="15090" spans="1:5" x14ac:dyDescent="0.25">
      <c r="A15090" t="str">
        <f>HYPERLINK("https://www.773grp.com/globalSearch/MBRF20200CTG/page-1", "MBRF20200CTG")</f>
        <v>MBRF20200CTG</v>
      </c>
      <c r="B15090" s="3" t="str">
        <f>HYPERLINK("https://www.773grp.com/manufacturer/onsemi?pageNo=261", "Onsemi")</f>
        <v>Onsemi</v>
      </c>
      <c r="C15090" s="6">
        <v>38440</v>
      </c>
      <c r="D15090" s="7">
        <v>3.7</v>
      </c>
      <c r="E15090" t="s">
        <v>82</v>
      </c>
    </row>
    <row r="15091" spans="1:5" x14ac:dyDescent="0.25">
      <c r="A15091" t="str">
        <f>HYPERLINK("https://www.773grp.com/globalSearch/MC74ACT64ONG/page-1", "MC74ACT64ONG")</f>
        <v>MC74ACT64ONG</v>
      </c>
      <c r="B15091" s="3" t="str">
        <f>HYPERLINK("https://www.773grp.com/manufacturer/onsemi?pageNo=262", "Onsemi")</f>
        <v>Onsemi</v>
      </c>
      <c r="C15091" s="6">
        <v>26</v>
      </c>
      <c r="D15091" s="7">
        <v>3.7</v>
      </c>
    </row>
    <row r="15092" spans="1:5" x14ac:dyDescent="0.25">
      <c r="A15092" t="str">
        <f>HYPERLINK("https://www.773grp.com/globalSearch/MC74F569DW/page-1", "MC74F569DW")</f>
        <v>MC74F569DW</v>
      </c>
      <c r="B15092" s="3" t="str">
        <f>HYPERLINK("https://www.773grp.com/manufacturer/onsemi?pageNo=263", "Onsemi")</f>
        <v>Onsemi</v>
      </c>
      <c r="C15092" s="6">
        <v>5808</v>
      </c>
      <c r="D15092" s="7">
        <v>3.7</v>
      </c>
      <c r="E15092" t="s">
        <v>22</v>
      </c>
    </row>
    <row r="15093" spans="1:5" x14ac:dyDescent="0.25">
      <c r="A15093" t="str">
        <f>HYPERLINK("https://www.773grp.com/globalSearch/MC74F569N/page-1", "MC74F569N")</f>
        <v>MC74F569N</v>
      </c>
      <c r="B15093" s="3" t="str">
        <f>HYPERLINK("https://www.773grp.com/manufacturer/onsemi?pageNo=264", "Onsemi")</f>
        <v>Onsemi</v>
      </c>
      <c r="C15093" s="6">
        <v>2398</v>
      </c>
      <c r="D15093" s="7">
        <v>3.7</v>
      </c>
      <c r="E15093" t="s">
        <v>22</v>
      </c>
    </row>
    <row r="15094" spans="1:5" x14ac:dyDescent="0.25">
      <c r="A15094" t="str">
        <f>HYPERLINK("https://www.773grp.com/globalSearch/MGP14N60E/page-1", "MGP14N60E")</f>
        <v>MGP14N60E</v>
      </c>
      <c r="B15094" s="3" t="str">
        <f>HYPERLINK("https://www.773grp.com/manufacturer/onsemi?pageNo=265", "Onsemi")</f>
        <v>Onsemi</v>
      </c>
      <c r="C15094" s="6">
        <v>5908</v>
      </c>
      <c r="D15094" s="7">
        <v>3.7</v>
      </c>
      <c r="E15094" t="s">
        <v>94</v>
      </c>
    </row>
    <row r="15095" spans="1:5" x14ac:dyDescent="0.25">
      <c r="A15095" t="str">
        <f>HYPERLINK("https://www.773grp.com/globalSearch/MGP19N35CL/page-1", "MGP19N35CL")</f>
        <v>MGP19N35CL</v>
      </c>
      <c r="B15095" s="3" t="str">
        <f>HYPERLINK("https://www.773grp.com/manufacturer/onsemi?pageNo=266", "Onsemi")</f>
        <v>Onsemi</v>
      </c>
      <c r="C15095" s="6">
        <v>17050</v>
      </c>
      <c r="D15095" s="7">
        <v>3.7</v>
      </c>
      <c r="E15095" t="s">
        <v>94</v>
      </c>
    </row>
    <row r="15096" spans="1:5" x14ac:dyDescent="0.25">
      <c r="A15096" t="str">
        <f>HYPERLINK("https://www.773grp.com/globalSearch/MJ15012G/page-1", "MJ15012G")</f>
        <v>MJ15012G</v>
      </c>
      <c r="B15096" s="3" t="str">
        <f>HYPERLINK("https://www.773grp.com/manufacturer/onsemi?pageNo=267", "Onsemi")</f>
        <v>Onsemi</v>
      </c>
      <c r="C15096" s="6">
        <v>60</v>
      </c>
      <c r="D15096" s="7">
        <v>3.7</v>
      </c>
      <c r="E15096" t="s">
        <v>47</v>
      </c>
    </row>
    <row r="15097" spans="1:5" x14ac:dyDescent="0.25">
      <c r="A15097" t="str">
        <f>HYPERLINK("https://www.773grp.com/globalSearch/MJ21196/page-1", "MJ21196")</f>
        <v>MJ21196</v>
      </c>
      <c r="B15097" s="3" t="str">
        <f>HYPERLINK("https://www.773grp.com/manufacturer/onsemi?pageNo=268", "Onsemi")</f>
        <v>Onsemi</v>
      </c>
      <c r="C15097" s="6">
        <v>625</v>
      </c>
      <c r="D15097" s="7">
        <v>3.7</v>
      </c>
      <c r="E15097" t="s">
        <v>47</v>
      </c>
    </row>
    <row r="15098" spans="1:5" x14ac:dyDescent="0.25">
      <c r="A15098" t="str">
        <f>HYPERLINK("https://www.773grp.com/globalSearch/MJE4343/page-1", "MJE4343")</f>
        <v>MJE4343</v>
      </c>
      <c r="B15098" s="3" t="str">
        <f>HYPERLINK("https://www.773grp.com/manufacturer/onsemi?pageNo=269", "Onsemi")</f>
        <v>Onsemi</v>
      </c>
      <c r="C15098" s="6">
        <v>27</v>
      </c>
      <c r="D15098" s="7">
        <v>3.7</v>
      </c>
      <c r="E15098" t="s">
        <v>47</v>
      </c>
    </row>
    <row r="15099" spans="1:5" x14ac:dyDescent="0.25">
      <c r="A15099" t="str">
        <f>HYPERLINK("https://www.773grp.com/globalSearch/MTB4N40ET4/page-1", "MTB4N40ET4")</f>
        <v>MTB4N40ET4</v>
      </c>
      <c r="B15099" s="3" t="str">
        <f>HYPERLINK("https://www.773grp.com/manufacturer/onsemi?pageNo=270", "Onsemi")</f>
        <v>Onsemi</v>
      </c>
      <c r="C15099" s="6">
        <v>147200</v>
      </c>
      <c r="D15099" s="7">
        <v>3.7</v>
      </c>
    </row>
    <row r="15100" spans="1:5" x14ac:dyDescent="0.25">
      <c r="A15100" t="str">
        <f>HYPERLINK("https://www.773grp.com/globalSearch/MTP12P10G/page-1", "MTP12P10G")</f>
        <v>MTP12P10G</v>
      </c>
      <c r="B15100" s="3" t="str">
        <f>HYPERLINK("https://www.773grp.com/manufacturer/onsemi?pageNo=271", "Onsemi")</f>
        <v>Onsemi</v>
      </c>
      <c r="C15100" s="6">
        <v>2802</v>
      </c>
      <c r="D15100" s="7">
        <v>3.7</v>
      </c>
      <c r="E15100" t="s">
        <v>84</v>
      </c>
    </row>
    <row r="15101" spans="1:5" x14ac:dyDescent="0.25">
      <c r="A15101" t="str">
        <f>HYPERLINK("https://www.773grp.com/globalSearch/MUR8100E/page-1", "MUR8100E")</f>
        <v>MUR8100E</v>
      </c>
      <c r="B15101" s="3" t="str">
        <f>HYPERLINK("https://www.773grp.com/manufacturer/onsemi?pageNo=272", "Onsemi")</f>
        <v>Onsemi</v>
      </c>
      <c r="C15101" s="6">
        <v>3</v>
      </c>
      <c r="D15101" s="7">
        <v>3.7</v>
      </c>
      <c r="E15101" t="s">
        <v>82</v>
      </c>
    </row>
    <row r="15102" spans="1:5" x14ac:dyDescent="0.25">
      <c r="A15102" t="str">
        <f>HYPERLINK("https://www.773grp.com/globalSearch/NCP1294EDBR2G/page-1", "NCP1294EDBR2G")</f>
        <v>NCP1294EDBR2G</v>
      </c>
      <c r="B15102" s="3" t="str">
        <f>HYPERLINK("https://www.773grp.com/manufacturer/onsemi?pageNo=273", "Onsemi")</f>
        <v>Onsemi</v>
      </c>
      <c r="C15102" s="6">
        <v>1059</v>
      </c>
      <c r="D15102" s="7">
        <v>3.7</v>
      </c>
    </row>
    <row r="15103" spans="1:5" x14ac:dyDescent="0.25">
      <c r="A15103" t="str">
        <f>HYPERLINK("https://www.773grp.com/globalSearch/NCP5181DR2G/page-1", "NCP5181DR2G")</f>
        <v>NCP5181DR2G</v>
      </c>
      <c r="B15103" s="3" t="str">
        <f>HYPERLINK("https://www.773grp.com/manufacturer/onsemi?pageNo=274", "Onsemi")</f>
        <v>Onsemi</v>
      </c>
      <c r="C15103" s="6">
        <v>507971</v>
      </c>
      <c r="D15103" s="7">
        <v>3.7</v>
      </c>
      <c r="E15103" t="s">
        <v>17</v>
      </c>
    </row>
    <row r="15104" spans="1:5" x14ac:dyDescent="0.25">
      <c r="A15104" t="str">
        <f>HYPERLINK("https://www.773grp.com/globalSearch/NCV2931D2T5.0R4G/page-1", "NCV2931D2T5.0R4G")</f>
        <v>NCV2931D2T5.0R4G</v>
      </c>
      <c r="B15104" s="3" t="str">
        <f>HYPERLINK("https://www.773grp.com/manufacturer/onsemi?pageNo=275", "Onsemi")</f>
        <v>Onsemi</v>
      </c>
      <c r="C15104" s="6">
        <v>4679</v>
      </c>
      <c r="D15104" s="7">
        <v>3.7</v>
      </c>
      <c r="E15104" t="s">
        <v>15</v>
      </c>
    </row>
    <row r="15105" spans="1:5" x14ac:dyDescent="0.25">
      <c r="A15105" t="str">
        <f>HYPERLINK("https://www.773grp.com/globalSearch/NCV4949APDR2G/page-1", "NCV4949APDR2G")</f>
        <v>NCV4949APDR2G</v>
      </c>
      <c r="B15105" s="3" t="str">
        <f>HYPERLINK("https://www.773grp.com/manufacturer/onsemi?pageNo=276", "Onsemi")</f>
        <v>Onsemi</v>
      </c>
      <c r="C15105" s="6">
        <v>2500</v>
      </c>
      <c r="D15105" s="7">
        <v>3.7</v>
      </c>
    </row>
    <row r="15106" spans="1:5" x14ac:dyDescent="0.25">
      <c r="A15106" t="str">
        <f>HYPERLINK("https://www.773grp.com/globalSearch/NCV4949PDG/page-1", "NCV4949PDG")</f>
        <v>NCV4949PDG</v>
      </c>
      <c r="B15106" s="3" t="str">
        <f>HYPERLINK("https://www.773grp.com/manufacturer/onsemi?pageNo=277", "Onsemi")</f>
        <v>Onsemi</v>
      </c>
      <c r="C15106" s="6">
        <v>9408</v>
      </c>
      <c r="D15106" s="7">
        <v>3.7</v>
      </c>
    </row>
    <row r="15107" spans="1:5" x14ac:dyDescent="0.25">
      <c r="A15107" t="str">
        <f>HYPERLINK("https://www.773grp.com/globalSearch/NCV5663DSADJR4G/page-1", "NCV5663DSADJR4G")</f>
        <v>NCV5663DSADJR4G</v>
      </c>
      <c r="B15107" s="3" t="str">
        <f>HYPERLINK("https://www.773grp.com/manufacturer/onsemi?pageNo=278", "Onsemi")</f>
        <v>Onsemi</v>
      </c>
      <c r="C15107" s="6">
        <v>69</v>
      </c>
      <c r="D15107" s="7">
        <v>3.7</v>
      </c>
    </row>
    <row r="15108" spans="1:5" x14ac:dyDescent="0.25">
      <c r="A15108" t="str">
        <f>HYPERLINK("https://www.773grp.com/globalSearch/NGD8205NT4/page-1", "NGD8205NT4")</f>
        <v>NGD8205NT4</v>
      </c>
      <c r="B15108" s="3" t="str">
        <f>HYPERLINK("https://www.773grp.com/manufacturer/onsemi?pageNo=279", "Onsemi")</f>
        <v>Onsemi</v>
      </c>
      <c r="C15108" s="6">
        <v>2480</v>
      </c>
      <c r="D15108" s="7">
        <v>3.7</v>
      </c>
      <c r="E15108" t="s">
        <v>94</v>
      </c>
    </row>
    <row r="15109" spans="1:5" x14ac:dyDescent="0.25">
      <c r="A15109" t="str">
        <f>HYPERLINK("https://www.773grp.com/globalSearch/NGD8205NT4G/page-1", "NGD8205NT4G")</f>
        <v>NGD8205NT4G</v>
      </c>
      <c r="B15109" s="3" t="str">
        <f>HYPERLINK("https://www.773grp.com/manufacturer/onsemi?pageNo=280", "Onsemi")</f>
        <v>Onsemi</v>
      </c>
      <c r="C15109" s="6">
        <v>2500</v>
      </c>
      <c r="D15109" s="7">
        <v>3.7</v>
      </c>
    </row>
    <row r="15110" spans="1:5" x14ac:dyDescent="0.25">
      <c r="A15110" t="str">
        <f>HYPERLINK("https://www.773grp.com/globalSearch/NID5001NT4G/page-1", "NID5001NT4G")</f>
        <v>NID5001NT4G</v>
      </c>
      <c r="B15110" s="3" t="str">
        <f>HYPERLINK("https://www.773grp.com/manufacturer/onsemi?pageNo=281", "Onsemi")</f>
        <v>Onsemi</v>
      </c>
      <c r="C15110" s="6">
        <v>22500</v>
      </c>
      <c r="D15110" s="7">
        <v>3.7</v>
      </c>
      <c r="E15110" t="s">
        <v>84</v>
      </c>
    </row>
    <row r="15111" spans="1:5" x14ac:dyDescent="0.25">
      <c r="A15111" t="str">
        <f>HYPERLINK("https://www.773grp.com/globalSearch/NILMS4501NR2/page-1", "NILMS4501NR2")</f>
        <v>NILMS4501NR2</v>
      </c>
      <c r="B15111" s="3" t="str">
        <f>HYPERLINK("https://www.773grp.com/manufacturer/onsemi?pageNo=282", "Onsemi")</f>
        <v>Onsemi</v>
      </c>
      <c r="C15111" s="6">
        <v>4943</v>
      </c>
      <c r="D15111" s="7">
        <v>3.7</v>
      </c>
      <c r="E15111" t="s">
        <v>84</v>
      </c>
    </row>
    <row r="15112" spans="1:5" x14ac:dyDescent="0.25">
      <c r="A15112" t="str">
        <f>HYPERLINK("https://www.773grp.com/globalSearch/NJW0302G/page-1", "NJW0302G")</f>
        <v>NJW0302G</v>
      </c>
      <c r="B15112" s="3" t="str">
        <f>HYPERLINK("https://www.773grp.com/manufacturer/onsemi?pageNo=283", "Onsemi")</f>
        <v>Onsemi</v>
      </c>
      <c r="C15112" s="6">
        <v>43948</v>
      </c>
      <c r="D15112" s="7">
        <v>3.7</v>
      </c>
      <c r="E15112" t="s">
        <v>47</v>
      </c>
    </row>
    <row r="15113" spans="1:5" x14ac:dyDescent="0.25">
      <c r="A15113" t="str">
        <f>HYPERLINK("https://www.773grp.com/globalSearch/NLAS3799BMUR2G/page-1", "NLAS3799BMUR2G")</f>
        <v>NLAS3799BMUR2G</v>
      </c>
      <c r="B15113" s="3" t="str">
        <f>HYPERLINK("https://www.773grp.com/manufacturer/onsemi?pageNo=284", "Onsemi")</f>
        <v>Onsemi</v>
      </c>
      <c r="C15113" s="6">
        <v>11654</v>
      </c>
      <c r="D15113" s="7">
        <v>3.7</v>
      </c>
      <c r="E15113" t="s">
        <v>46</v>
      </c>
    </row>
    <row r="15114" spans="1:5" x14ac:dyDescent="0.25">
      <c r="A15114" t="str">
        <f>HYPERLINK("https://www.773grp.com/globalSearch/NLAS4684MR2/page-1", "NLAS4684MR2")</f>
        <v>NLAS4684MR2</v>
      </c>
      <c r="B15114" s="3" t="str">
        <f>HYPERLINK("https://www.773grp.com/manufacturer/onsemi?pageNo=285", "Onsemi")</f>
        <v>Onsemi</v>
      </c>
      <c r="C15114" s="6">
        <v>3355</v>
      </c>
      <c r="D15114" s="7">
        <v>3.7</v>
      </c>
      <c r="E15114" t="s">
        <v>46</v>
      </c>
    </row>
    <row r="15115" spans="1:5" x14ac:dyDescent="0.25">
      <c r="A15115" t="str">
        <f>HYPERLINK("https://www.773grp.com/globalSearch/PCA9535EDWR2G/page-1", "PCA9535EDWR2G")</f>
        <v>PCA9535EDWR2G</v>
      </c>
      <c r="B15115" s="3" t="str">
        <f>HYPERLINK("https://www.773grp.com/manufacturer/onsemi?pageNo=286", "Onsemi")</f>
        <v>Onsemi</v>
      </c>
      <c r="C15115" s="6">
        <v>3000</v>
      </c>
      <c r="D15115" s="7">
        <v>3.7</v>
      </c>
    </row>
    <row r="15116" spans="1:5" x14ac:dyDescent="0.25">
      <c r="A15116" t="str">
        <f>HYPERLINK("https://www.773grp.com/globalSearch/PCA9655EDTR2G/page-1", "PCA9655EDTR2G")</f>
        <v>PCA9655EDTR2G</v>
      </c>
      <c r="B15116" s="3" t="str">
        <f>HYPERLINK("https://www.773grp.com/manufacturer/onsemi?pageNo=287", "Onsemi")</f>
        <v>Onsemi</v>
      </c>
      <c r="C15116" s="6">
        <v>2500</v>
      </c>
      <c r="D15116" s="7">
        <v>3.7</v>
      </c>
    </row>
    <row r="15117" spans="1:5" x14ac:dyDescent="0.25">
      <c r="A15117" t="str">
        <f>HYPERLINK("https://www.773grp.com/globalSearch/PCA9655EDWR2G/page-1", "PCA9655EDWR2G")</f>
        <v>PCA9655EDWR2G</v>
      </c>
      <c r="B15117" s="3" t="str">
        <f>HYPERLINK("https://www.773grp.com/manufacturer/onsemi?pageNo=288", "Onsemi")</f>
        <v>Onsemi</v>
      </c>
      <c r="C15117" s="6">
        <v>2500</v>
      </c>
      <c r="D15117" s="7">
        <v>3.7</v>
      </c>
    </row>
    <row r="15118" spans="1:5" x14ac:dyDescent="0.25">
      <c r="A15118" t="str">
        <f>HYPERLINK("https://www.773grp.com/globalSearch/SA14551BDR2/page-1", "SA14551BDR2")</f>
        <v>SA14551BDR2</v>
      </c>
      <c r="B15118" s="3" t="str">
        <f>HYPERLINK("https://www.773grp.com/manufacturer/onsemi?pageNo=289", "Onsemi")</f>
        <v>Onsemi</v>
      </c>
      <c r="C15118" s="6">
        <v>15000</v>
      </c>
      <c r="D15118" s="7">
        <v>3.7</v>
      </c>
    </row>
    <row r="15119" spans="1:5" x14ac:dyDescent="0.25">
      <c r="A15119" t="str">
        <f>HYPERLINK("https://www.773grp.com/globalSearch/SCY99009PWPR2/page-1", "SCY99009PWPR2")</f>
        <v>SCY99009PWPR2</v>
      </c>
      <c r="B15119" s="3" t="str">
        <f>HYPERLINK("https://www.773grp.com/manufacturer/onsemi?pageNo=290", "Onsemi")</f>
        <v>Onsemi</v>
      </c>
      <c r="C15119" s="6">
        <v>183000</v>
      </c>
      <c r="D15119" s="7">
        <v>3.7</v>
      </c>
    </row>
    <row r="15120" spans="1:5" x14ac:dyDescent="0.25">
      <c r="A15120" t="str">
        <f>HYPERLINK("https://www.773grp.com/globalSearch/SJC1194L/page-1", "SJC1194L")</f>
        <v>SJC1194L</v>
      </c>
      <c r="B15120" s="3" t="str">
        <f>HYPERLINK("https://www.773grp.com/manufacturer/onsemi?pageNo=291", "Onsemi")</f>
        <v>Onsemi</v>
      </c>
      <c r="C15120" s="6">
        <v>1080</v>
      </c>
      <c r="D15120" s="7">
        <v>3.7</v>
      </c>
    </row>
    <row r="15121" spans="1:5" x14ac:dyDescent="0.25">
      <c r="A15121" t="str">
        <f>HYPERLINK("https://www.773grp.com/globalSearch/SR4491/page-1", "SR4491")</f>
        <v>SR4491</v>
      </c>
      <c r="B15121" s="3" t="str">
        <f>HYPERLINK("https://www.773grp.com/manufacturer/onsemi?pageNo=292", "Onsemi")</f>
        <v>Onsemi</v>
      </c>
      <c r="C15121" s="6">
        <v>20852</v>
      </c>
      <c r="D15121" s="7">
        <v>3.7</v>
      </c>
    </row>
    <row r="15122" spans="1:5" x14ac:dyDescent="0.25">
      <c r="A15122" t="str">
        <f>HYPERLINK("https://www.773grp.com/globalSearch/TIP141/page-1", "TIP141")</f>
        <v>TIP141</v>
      </c>
      <c r="B15122" s="3" t="str">
        <f>HYPERLINK("https://www.773grp.com/manufacturer/onsemi?pageNo=293", "Onsemi")</f>
        <v>Onsemi</v>
      </c>
      <c r="C15122" s="6">
        <v>1140</v>
      </c>
      <c r="D15122" s="7">
        <v>3.7</v>
      </c>
      <c r="E15122" t="s">
        <v>47</v>
      </c>
    </row>
    <row r="15123" spans="1:5" x14ac:dyDescent="0.25">
      <c r="A15123" t="str">
        <f>HYPERLINK("https://www.773grp.com/globalSearch/ADP3168JRUZ-REEL/page-1", "ADP3168JRUZ-REEL")</f>
        <v>ADP3168JRUZ-REEL</v>
      </c>
      <c r="B15123" s="3" t="str">
        <f>HYPERLINK("https://www.773grp.com/manufacturer/onsemi?pageNo=294", "Onsemi")</f>
        <v>Onsemi</v>
      </c>
      <c r="C15123" s="6">
        <v>7500</v>
      </c>
      <c r="D15123" s="7">
        <v>3.34</v>
      </c>
      <c r="E15123" t="s">
        <v>5</v>
      </c>
    </row>
    <row r="15124" spans="1:5" x14ac:dyDescent="0.25">
      <c r="A15124" t="str">
        <f>HYPERLINK("https://www.773grp.com/globalSearch/CS8481YDP5/page-1", "CS8481YDP5")</f>
        <v>CS8481YDP5</v>
      </c>
      <c r="B15124" s="3" t="str">
        <f>HYPERLINK("https://www.773grp.com/manufacturer/onsemi?pageNo=295", "Onsemi")</f>
        <v>Onsemi</v>
      </c>
      <c r="C15124" s="6">
        <v>1965</v>
      </c>
      <c r="D15124" s="7">
        <v>3.34</v>
      </c>
      <c r="E15124" t="s">
        <v>39</v>
      </c>
    </row>
    <row r="15125" spans="1:5" x14ac:dyDescent="0.25">
      <c r="A15125" t="str">
        <f>HYPERLINK("https://www.773grp.com/globalSearch/CS8481YDPR5/page-1", "CS8481YDPR5")</f>
        <v>CS8481YDPR5</v>
      </c>
      <c r="B15125" s="3" t="str">
        <f>HYPERLINK("https://www.773grp.com/manufacturer/onsemi?pageNo=296", "Onsemi")</f>
        <v>Onsemi</v>
      </c>
      <c r="C15125" s="6">
        <v>750</v>
      </c>
      <c r="D15125" s="7">
        <v>3.34</v>
      </c>
      <c r="E15125" t="s">
        <v>39</v>
      </c>
    </row>
    <row r="15126" spans="1:5" x14ac:dyDescent="0.25">
      <c r="A15126" t="str">
        <f>HYPERLINK("https://www.773grp.com/globalSearch/LV8019V-TLM-E/page-1", "LV8019V-TLM-E")</f>
        <v>LV8019V-TLM-E</v>
      </c>
      <c r="B15126" s="3" t="str">
        <f>HYPERLINK("https://www.773grp.com/manufacturer/onsemi?pageNo=297", "Onsemi")</f>
        <v>Onsemi</v>
      </c>
      <c r="C15126" s="6">
        <v>26000</v>
      </c>
      <c r="D15126" s="7">
        <v>3.34</v>
      </c>
    </row>
    <row r="15127" spans="1:5" x14ac:dyDescent="0.25">
      <c r="A15127" t="str">
        <f>HYPERLINK("https://www.773grp.com/globalSearch/ADP3208AJCPZ-RL/page-1", "ADP3208AJCPZ-RL")</f>
        <v>ADP3208AJCPZ-RL</v>
      </c>
      <c r="B15127" s="3" t="str">
        <f>HYPERLINK("https://www.773grp.com/manufacturer/onsemi?pageNo=298", "Onsemi")</f>
        <v>Onsemi</v>
      </c>
      <c r="C15127" s="6">
        <v>40000</v>
      </c>
      <c r="D15127" s="7">
        <v>3.38</v>
      </c>
    </row>
    <row r="15128" spans="1:5" x14ac:dyDescent="0.25">
      <c r="A15128" t="str">
        <f>HYPERLINK("https://www.773grp.com/globalSearch/ADP3208AJCPZ-RL/page-1", "ADP3208AJCPZ-RL")</f>
        <v>ADP3208AJCPZ-RL</v>
      </c>
      <c r="B15128" s="3" t="str">
        <f>HYPERLINK("https://www.773grp.com/manufacturer/onsemi?pageNo=299", "Onsemi")</f>
        <v>Onsemi</v>
      </c>
      <c r="C15128" s="6">
        <v>62500</v>
      </c>
      <c r="D15128" s="7">
        <v>3.38</v>
      </c>
    </row>
    <row r="15129" spans="1:5" x14ac:dyDescent="0.25">
      <c r="A15129" t="str">
        <f>HYPERLINK("https://www.773grp.com/globalSearch/ASM3P2853AG-08SR/page-1", "ASM3P2853AG-08SR")</f>
        <v>ASM3P2853AG-08SR</v>
      </c>
      <c r="B15129" s="3" t="str">
        <f>HYPERLINK("https://www.773grp.com/manufacturer/onsemi?pageNo=300", "Onsemi")</f>
        <v>Onsemi</v>
      </c>
      <c r="C15129" s="6">
        <v>2150</v>
      </c>
      <c r="D15129" s="7">
        <v>3.38</v>
      </c>
      <c r="E15129" t="s">
        <v>65</v>
      </c>
    </row>
    <row r="15130" spans="1:5" x14ac:dyDescent="0.25">
      <c r="A15130" t="str">
        <f>HYPERLINK("https://www.773grp.com/globalSearch/CAT5111ZI00/page-1", "CAT5111ZI00")</f>
        <v>CAT5111ZI00</v>
      </c>
      <c r="B15130" s="3" t="str">
        <f>HYPERLINK("https://www.773grp.com/manufacturer/onsemi?pageNo=301", "Onsemi")</f>
        <v>Onsemi</v>
      </c>
      <c r="C15130" s="6">
        <v>2780</v>
      </c>
      <c r="D15130" s="7">
        <v>3.38</v>
      </c>
      <c r="E15130" t="s">
        <v>78</v>
      </c>
    </row>
    <row r="15131" spans="1:5" x14ac:dyDescent="0.25">
      <c r="A15131" t="str">
        <f>HYPERLINK("https://www.773grp.com/globalSearch/CAT5271ZI-50-GT3/page-1", "CAT5271ZI-50-GT3")</f>
        <v>CAT5271ZI-50-GT3</v>
      </c>
      <c r="B15131" s="3" t="str">
        <f>HYPERLINK("https://www.773grp.com/manufacturer/onsemi?pageNo=302", "Onsemi")</f>
        <v>Onsemi</v>
      </c>
      <c r="C15131" s="6">
        <v>3000</v>
      </c>
      <c r="D15131" s="7">
        <v>3.38</v>
      </c>
      <c r="E15131" t="s">
        <v>78</v>
      </c>
    </row>
    <row r="15132" spans="1:5" x14ac:dyDescent="0.25">
      <c r="A15132" t="str">
        <f>HYPERLINK("https://www.773grp.com/globalSearch/CS5112YDWF24/page-1", "CS5112YDWF24")</f>
        <v>CS5112YDWF24</v>
      </c>
      <c r="B15132" s="3" t="str">
        <f>HYPERLINK("https://www.773grp.com/manufacturer/onsemi?pageNo=303", "Onsemi")</f>
        <v>Onsemi</v>
      </c>
      <c r="C15132" s="6">
        <v>1110</v>
      </c>
      <c r="D15132" s="7">
        <v>3.38</v>
      </c>
      <c r="E15132" t="s">
        <v>5</v>
      </c>
    </row>
    <row r="15133" spans="1:5" x14ac:dyDescent="0.25">
      <c r="A15133" t="str">
        <f>HYPERLINK("https://www.773grp.com/globalSearch/CS5112YDWFR24/page-1", "CS5112YDWFR24")</f>
        <v>CS5112YDWFR24</v>
      </c>
      <c r="B15133" s="3" t="str">
        <f>HYPERLINK("https://www.773grp.com/manufacturer/onsemi?pageNo=304", "Onsemi")</f>
        <v>Onsemi</v>
      </c>
      <c r="C15133" s="6">
        <v>1000</v>
      </c>
      <c r="D15133" s="7">
        <v>3.38</v>
      </c>
      <c r="E15133" t="s">
        <v>5</v>
      </c>
    </row>
    <row r="15134" spans="1:5" x14ac:dyDescent="0.25">
      <c r="A15134" t="str">
        <f>HYPERLINK("https://www.773grp.com/globalSearch/CS5165HGDW16/page-1", "CS5165HGDW16")</f>
        <v>CS5165HGDW16</v>
      </c>
      <c r="B15134" s="3" t="str">
        <f>HYPERLINK("https://www.773grp.com/manufacturer/onsemi?pageNo=305", "Onsemi")</f>
        <v>Onsemi</v>
      </c>
      <c r="C15134" s="6">
        <v>2350</v>
      </c>
      <c r="D15134" s="7">
        <v>3.38</v>
      </c>
      <c r="E15134" t="s">
        <v>5</v>
      </c>
    </row>
    <row r="15135" spans="1:5" x14ac:dyDescent="0.25">
      <c r="A15135" t="str">
        <f>HYPERLINK("https://www.773grp.com/globalSearch/CS8151YNF16G/page-1", "CS8151YNF16G")</f>
        <v>CS8151YNF16G</v>
      </c>
      <c r="B15135" s="3" t="str">
        <f>HYPERLINK("https://www.773grp.com/manufacturer/onsemi?pageNo=306", "Onsemi")</f>
        <v>Onsemi</v>
      </c>
      <c r="C15135" s="6">
        <v>2000</v>
      </c>
      <c r="D15135" s="7">
        <v>3.38</v>
      </c>
      <c r="E15135" t="s">
        <v>15</v>
      </c>
    </row>
    <row r="15136" spans="1:5" x14ac:dyDescent="0.25">
      <c r="A15136" t="str">
        <f>HYPERLINK("https://www.773grp.com/globalSearch/LA4425PV-MPB-H/page-1", "LA4425PV-MPB-H")</f>
        <v>LA4425PV-MPB-H</v>
      </c>
      <c r="B15136" s="3" t="str">
        <f>HYPERLINK("https://www.773grp.com/manufacturer/onsemi?pageNo=307", "Onsemi")</f>
        <v>Onsemi</v>
      </c>
      <c r="C15136" s="6">
        <v>240</v>
      </c>
      <c r="D15136" s="7">
        <v>3.38</v>
      </c>
    </row>
    <row r="15137" spans="1:5" x14ac:dyDescent="0.25">
      <c r="A15137" t="str">
        <f>HYPERLINK("https://www.773grp.com/globalSearch/MBRB3030CTG/page-1", "MBRB3030CTG")</f>
        <v>MBRB3030CTG</v>
      </c>
      <c r="B15137" s="3" t="str">
        <f>HYPERLINK("https://www.773grp.com/manufacturer/onsemi?pageNo=308", "Onsemi")</f>
        <v>Onsemi</v>
      </c>
      <c r="C15137" s="6">
        <v>250</v>
      </c>
      <c r="D15137" s="7">
        <v>3.38</v>
      </c>
    </row>
    <row r="15138" spans="1:5" x14ac:dyDescent="0.25">
      <c r="A15138" t="str">
        <f>HYPERLINK("https://www.773grp.com/globalSearch/MBRB3030CTLG/page-1", "MBRB3030CTLG")</f>
        <v>MBRB3030CTLG</v>
      </c>
      <c r="B15138" s="3" t="str">
        <f>HYPERLINK("https://www.773grp.com/manufacturer/onsemi?pageNo=309", "Onsemi")</f>
        <v>Onsemi</v>
      </c>
      <c r="C15138" s="6">
        <v>350</v>
      </c>
      <c r="D15138" s="7">
        <v>3.38</v>
      </c>
    </row>
    <row r="15139" spans="1:5" x14ac:dyDescent="0.25">
      <c r="A15139" t="str">
        <f>HYPERLINK("https://www.773grp.com/globalSearch/MBRB3030CTT4G/page-1", "MBRB3030CTT4G")</f>
        <v>MBRB3030CTT4G</v>
      </c>
      <c r="B15139" s="3" t="str">
        <f>HYPERLINK("https://www.773grp.com/manufacturer/onsemi?pageNo=310", "Onsemi")</f>
        <v>Onsemi</v>
      </c>
      <c r="C15139" s="6">
        <v>3890</v>
      </c>
      <c r="D15139" s="7">
        <v>3.38</v>
      </c>
      <c r="E15139" t="s">
        <v>82</v>
      </c>
    </row>
    <row r="15140" spans="1:5" x14ac:dyDescent="0.25">
      <c r="A15140" t="str">
        <f>HYPERLINK("https://www.773grp.com/globalSearch/MC100EL15D/page-1", "MC100EL15D")</f>
        <v>MC100EL15D</v>
      </c>
      <c r="B15140" s="3" t="str">
        <f>HYPERLINK("https://www.773grp.com/manufacturer/onsemi?pageNo=311", "Onsemi")</f>
        <v>Onsemi</v>
      </c>
      <c r="C15140" s="6">
        <v>13660</v>
      </c>
      <c r="D15140" s="7">
        <v>3.38</v>
      </c>
      <c r="E15140" t="s">
        <v>30</v>
      </c>
    </row>
    <row r="15141" spans="1:5" x14ac:dyDescent="0.25">
      <c r="A15141" t="str">
        <f>HYPERLINK("https://www.773grp.com/globalSearch/MC100LVELT22DR2G/page-1", "MC100LVELT22DR2G")</f>
        <v>MC100LVELT22DR2G</v>
      </c>
      <c r="B15141" s="3" t="str">
        <f>HYPERLINK("https://www.773grp.com/manufacturer/onsemi?pageNo=312", "Onsemi")</f>
        <v>Onsemi</v>
      </c>
      <c r="C15141" s="6">
        <v>7654</v>
      </c>
      <c r="D15141" s="7">
        <v>3.38</v>
      </c>
      <c r="E15141" t="s">
        <v>61</v>
      </c>
    </row>
    <row r="15142" spans="1:5" x14ac:dyDescent="0.25">
      <c r="A15142" t="str">
        <f>HYPERLINK("https://www.773grp.com/globalSearch/MC10EL15D/page-1", "MC10EL15D")</f>
        <v>MC10EL15D</v>
      </c>
      <c r="B15142" s="3" t="str">
        <f>HYPERLINK("https://www.773grp.com/manufacturer/onsemi?pageNo=313", "Onsemi")</f>
        <v>Onsemi</v>
      </c>
      <c r="C15142" s="6">
        <v>8058</v>
      </c>
      <c r="D15142" s="7">
        <v>3.38</v>
      </c>
      <c r="E15142" t="s">
        <v>30</v>
      </c>
    </row>
    <row r="15143" spans="1:5" x14ac:dyDescent="0.25">
      <c r="A15143" t="str">
        <f>HYPERLINK("https://www.773grp.com/globalSearch/MC33363BDWG/page-1", "MC33363BDWG")</f>
        <v>MC33363BDWG</v>
      </c>
      <c r="B15143" s="3" t="str">
        <f>HYPERLINK("https://www.773grp.com/manufacturer/onsemi?pageNo=314", "Onsemi")</f>
        <v>Onsemi</v>
      </c>
      <c r="C15143" s="6">
        <v>38</v>
      </c>
      <c r="D15143" s="7">
        <v>3.38</v>
      </c>
      <c r="E15143" t="s">
        <v>5</v>
      </c>
    </row>
    <row r="15144" spans="1:5" x14ac:dyDescent="0.25">
      <c r="A15144" t="str">
        <f>HYPERLINK("https://www.773grp.com/globalSearch/MC33363BDWR2G/page-1", "MC33363BDWR2G")</f>
        <v>MC33363BDWR2G</v>
      </c>
      <c r="B15144" s="3" t="str">
        <f>HYPERLINK("https://www.773grp.com/manufacturer/onsemi?pageNo=315", "Onsemi")</f>
        <v>Onsemi</v>
      </c>
      <c r="C15144" s="6">
        <v>4995</v>
      </c>
      <c r="D15144" s="7">
        <v>3.38</v>
      </c>
      <c r="E15144" t="s">
        <v>5</v>
      </c>
    </row>
    <row r="15145" spans="1:5" x14ac:dyDescent="0.25">
      <c r="A15145" t="str">
        <f>HYPERLINK("https://www.773grp.com/globalSearch/MC34163DWG/page-1", "MC34163DWG")</f>
        <v>MC34163DWG</v>
      </c>
      <c r="B15145" s="3" t="str">
        <f>HYPERLINK("https://www.773grp.com/manufacturer/onsemi?pageNo=316", "Onsemi")</f>
        <v>Onsemi</v>
      </c>
      <c r="C15145" s="6">
        <v>2389</v>
      </c>
      <c r="D15145" s="7">
        <v>3.38</v>
      </c>
      <c r="E15145" t="s">
        <v>5</v>
      </c>
    </row>
    <row r="15146" spans="1:5" x14ac:dyDescent="0.25">
      <c r="A15146" t="str">
        <f>HYPERLINK("https://www.773grp.com/globalSearch/MC34163P/page-1", "MC34163P")</f>
        <v>MC34163P</v>
      </c>
      <c r="B15146" s="3" t="str">
        <f>HYPERLINK("https://www.773grp.com/manufacturer/onsemi?pageNo=317", "Onsemi")</f>
        <v>Onsemi</v>
      </c>
      <c r="C15146" s="6">
        <v>25</v>
      </c>
      <c r="D15146" s="7">
        <v>3.38</v>
      </c>
      <c r="E15146" t="s">
        <v>5</v>
      </c>
    </row>
    <row r="15147" spans="1:5" x14ac:dyDescent="0.25">
      <c r="A15147" t="str">
        <f>HYPERLINK("https://www.773grp.com/globalSearch/MC34163PG/page-1", "MC34163PG")</f>
        <v>MC34163PG</v>
      </c>
      <c r="B15147" s="3" t="str">
        <f>HYPERLINK("https://www.773grp.com/manufacturer/onsemi?pageNo=318", "Onsemi")</f>
        <v>Onsemi</v>
      </c>
      <c r="C15147" s="6">
        <v>225</v>
      </c>
      <c r="D15147" s="7">
        <v>3.38</v>
      </c>
    </row>
    <row r="15148" spans="1:5" x14ac:dyDescent="0.25">
      <c r="A15148" t="str">
        <f>HYPERLINK("https://www.773grp.com/globalSearch/MCCS142237DT/page-1", "MCCS142237DT")</f>
        <v>MCCS142237DT</v>
      </c>
      <c r="B15148" s="3" t="str">
        <f>HYPERLINK("https://www.773grp.com/manufacturer/onsemi?pageNo=319", "Onsemi")</f>
        <v>Onsemi</v>
      </c>
      <c r="C15148" s="6">
        <v>8476</v>
      </c>
      <c r="D15148" s="7">
        <v>3.38</v>
      </c>
      <c r="E15148" t="s">
        <v>20</v>
      </c>
    </row>
    <row r="15149" spans="1:5" x14ac:dyDescent="0.25">
      <c r="A15149" t="str">
        <f>HYPERLINK("https://www.773grp.com/globalSearch/MCCS142237DTR2/page-1", "MCCS142237DTR2")</f>
        <v>MCCS142237DTR2</v>
      </c>
      <c r="B15149" s="3" t="str">
        <f>HYPERLINK("https://www.773grp.com/manufacturer/onsemi?pageNo=320", "Onsemi")</f>
        <v>Onsemi</v>
      </c>
      <c r="C15149" s="6">
        <v>2250</v>
      </c>
      <c r="D15149" s="7">
        <v>3.38</v>
      </c>
      <c r="E15149" t="s">
        <v>20</v>
      </c>
    </row>
    <row r="15150" spans="1:5" x14ac:dyDescent="0.25">
      <c r="A15150" t="str">
        <f>HYPERLINK("https://www.773grp.com/globalSearch/NB3H83905CDG/page-1", "NB3H83905CDG")</f>
        <v>NB3H83905CDG</v>
      </c>
      <c r="B15150" s="3" t="str">
        <f>HYPERLINK("https://www.773grp.com/manufacturer/onsemi?pageNo=321", "Onsemi")</f>
        <v>Onsemi</v>
      </c>
      <c r="C15150" s="6">
        <v>155</v>
      </c>
      <c r="D15150" s="7">
        <v>3.38</v>
      </c>
    </row>
    <row r="15151" spans="1:5" x14ac:dyDescent="0.25">
      <c r="A15151" t="str">
        <f>HYPERLINK("https://www.773grp.com/globalSearch/NB3H83905CDTG/page-1", "NB3H83905CDTG")</f>
        <v>NB3H83905CDTG</v>
      </c>
      <c r="B15151" s="3" t="str">
        <f>HYPERLINK("https://www.773grp.com/manufacturer/onsemi?pageNo=322", "Onsemi")</f>
        <v>Onsemi</v>
      </c>
      <c r="C15151" s="6">
        <v>96</v>
      </c>
      <c r="D15151" s="7">
        <v>3.38</v>
      </c>
    </row>
    <row r="15152" spans="1:5" x14ac:dyDescent="0.25">
      <c r="A15152" t="str">
        <f>HYPERLINK("https://www.773grp.com/globalSearch/NB3N3010BDG/page-1", "NB3N3010BDG")</f>
        <v>NB3N3010BDG</v>
      </c>
      <c r="B15152" s="3" t="str">
        <f>HYPERLINK("https://www.773grp.com/manufacturer/onsemi?pageNo=323", "Onsemi")</f>
        <v>Onsemi</v>
      </c>
      <c r="C15152" s="6">
        <v>1568</v>
      </c>
      <c r="D15152" s="7">
        <v>3.38</v>
      </c>
    </row>
    <row r="15153" spans="1:5" x14ac:dyDescent="0.25">
      <c r="A15153" t="str">
        <f>HYPERLINK("https://www.773grp.com/globalSearch/NB3N5573DTR2G/page-1", "NB3N5573DTR2G")</f>
        <v>NB3N5573DTR2G</v>
      </c>
      <c r="B15153" s="3" t="str">
        <f>HYPERLINK("https://www.773grp.com/manufacturer/onsemi?pageNo=324", "Onsemi")</f>
        <v>Onsemi</v>
      </c>
      <c r="C15153" s="6">
        <v>2300</v>
      </c>
      <c r="D15153" s="7">
        <v>3.38</v>
      </c>
    </row>
    <row r="15154" spans="1:5" x14ac:dyDescent="0.25">
      <c r="A15154" t="str">
        <f>HYPERLINK("https://www.773grp.com/globalSearch/NCP3163MNR2G/page-1", "NCP3163MNR2G")</f>
        <v>NCP3163MNR2G</v>
      </c>
      <c r="B15154" s="3" t="str">
        <f>HYPERLINK("https://www.773grp.com/manufacturer/onsemi?pageNo=325", "Onsemi")</f>
        <v>Onsemi</v>
      </c>
      <c r="C15154" s="6">
        <v>7500</v>
      </c>
      <c r="D15154" s="7">
        <v>3.38</v>
      </c>
      <c r="E15154" t="s">
        <v>5</v>
      </c>
    </row>
    <row r="15155" spans="1:5" x14ac:dyDescent="0.25">
      <c r="A15155" t="str">
        <f>HYPERLINK("https://www.773grp.com/globalSearch/NCP3163PWG/page-1", "NCP3163PWG")</f>
        <v>NCP3163PWG</v>
      </c>
      <c r="B15155" s="3" t="str">
        <f>HYPERLINK("https://www.773grp.com/manufacturer/onsemi?pageNo=326", "Onsemi")</f>
        <v>Onsemi</v>
      </c>
      <c r="C15155" s="6">
        <v>2295</v>
      </c>
      <c r="D15155" s="7">
        <v>3.38</v>
      </c>
      <c r="E15155" t="s">
        <v>5</v>
      </c>
    </row>
    <row r="15156" spans="1:5" x14ac:dyDescent="0.25">
      <c r="A15156" t="str">
        <f>HYPERLINK("https://www.773grp.com/globalSearch/NCP3163PWR2G/page-1", "NCP3163PWR2G")</f>
        <v>NCP3163PWR2G</v>
      </c>
      <c r="B15156" s="3" t="str">
        <f>HYPERLINK("https://www.773grp.com/manufacturer/onsemi?pageNo=327", "Onsemi")</f>
        <v>Onsemi</v>
      </c>
      <c r="C15156" s="6">
        <v>27950</v>
      </c>
      <c r="D15156" s="7">
        <v>3.38</v>
      </c>
      <c r="E15156" t="s">
        <v>5</v>
      </c>
    </row>
    <row r="15157" spans="1:5" x14ac:dyDescent="0.25">
      <c r="A15157" t="str">
        <f>HYPERLINK("https://www.773grp.com/globalSearch/NCS6416DWG/page-1", "NCS6416DWG")</f>
        <v>NCS6416DWG</v>
      </c>
      <c r="B15157" s="3" t="str">
        <f>HYPERLINK("https://www.773grp.com/manufacturer/onsemi?pageNo=328", "Onsemi")</f>
        <v>Onsemi</v>
      </c>
      <c r="C15157" s="6">
        <v>760</v>
      </c>
      <c r="D15157" s="7">
        <v>3.38</v>
      </c>
      <c r="E15157" t="s">
        <v>46</v>
      </c>
    </row>
    <row r="15158" spans="1:5" x14ac:dyDescent="0.25">
      <c r="A15158" t="str">
        <f>HYPERLINK("https://www.773grp.com/globalSearch/NCV8503PW25G/page-1", "NCV8503PW25G")</f>
        <v>NCV8503PW25G</v>
      </c>
      <c r="B15158" s="3" t="str">
        <f>HYPERLINK("https://www.773grp.com/manufacturer/onsemi?pageNo=329", "Onsemi")</f>
        <v>Onsemi</v>
      </c>
      <c r="C15158" s="6">
        <v>3760</v>
      </c>
      <c r="D15158" s="7">
        <v>3.38</v>
      </c>
      <c r="E15158" t="s">
        <v>15</v>
      </c>
    </row>
    <row r="15159" spans="1:5" x14ac:dyDescent="0.25">
      <c r="A15159" t="str">
        <f>HYPERLINK("https://www.773grp.com/globalSearch/NCV8503PW25R2G/page-1", "NCV8503PW25R2G")</f>
        <v>NCV8503PW25R2G</v>
      </c>
      <c r="B15159" s="3" t="str">
        <f>HYPERLINK("https://www.773grp.com/manufacturer/onsemi?pageNo=330", "Onsemi")</f>
        <v>Onsemi</v>
      </c>
      <c r="C15159" s="6">
        <v>3000</v>
      </c>
      <c r="D15159" s="7">
        <v>3.38</v>
      </c>
      <c r="E15159" t="s">
        <v>15</v>
      </c>
    </row>
    <row r="15160" spans="1:5" x14ac:dyDescent="0.25">
      <c r="A15160" t="str">
        <f>HYPERLINK("https://www.773grp.com/globalSearch/NCV8503PW33G/page-1", "NCV8503PW33G")</f>
        <v>NCV8503PW33G</v>
      </c>
      <c r="B15160" s="3" t="str">
        <f>HYPERLINK("https://www.773grp.com/manufacturer/onsemi?pageNo=331", "Onsemi")</f>
        <v>Onsemi</v>
      </c>
      <c r="C15160" s="6">
        <v>235</v>
      </c>
      <c r="D15160" s="7">
        <v>3.38</v>
      </c>
      <c r="E15160" t="s">
        <v>15</v>
      </c>
    </row>
    <row r="15161" spans="1:5" x14ac:dyDescent="0.25">
      <c r="A15161" t="str">
        <f>HYPERLINK("https://www.773grp.com/globalSearch/NCV8503PW33R2G/page-1", "NCV8503PW33R2G")</f>
        <v>NCV8503PW33R2G</v>
      </c>
      <c r="B15161" s="3" t="str">
        <f>HYPERLINK("https://www.773grp.com/manufacturer/onsemi?pageNo=332", "Onsemi")</f>
        <v>Onsemi</v>
      </c>
      <c r="C15161" s="6">
        <v>4795</v>
      </c>
      <c r="D15161" s="7">
        <v>3.38</v>
      </c>
      <c r="E15161" t="s">
        <v>15</v>
      </c>
    </row>
    <row r="15162" spans="1:5" x14ac:dyDescent="0.25">
      <c r="A15162" t="str">
        <f>HYPERLINK("https://www.773grp.com/globalSearch/NCV8503PW50R2G/page-1", "NCV8503PW50R2G")</f>
        <v>NCV8503PW50R2G</v>
      </c>
      <c r="B15162" s="3" t="str">
        <f>HYPERLINK("https://www.773grp.com/manufacturer/onsemi?pageNo=333", "Onsemi")</f>
        <v>Onsemi</v>
      </c>
      <c r="C15162" s="6">
        <v>602</v>
      </c>
      <c r="D15162" s="7">
        <v>3.38</v>
      </c>
      <c r="E15162" t="s">
        <v>15</v>
      </c>
    </row>
    <row r="15163" spans="1:5" x14ac:dyDescent="0.25">
      <c r="A15163" t="str">
        <f>HYPERLINK("https://www.773grp.com/globalSearch/NCV8503PWADJG/page-1", "NCV8503PWADJG")</f>
        <v>NCV8503PWADJG</v>
      </c>
      <c r="B15163" s="3" t="str">
        <f>HYPERLINK("https://www.773grp.com/manufacturer/onsemi?pageNo=334", "Onsemi")</f>
        <v>Onsemi</v>
      </c>
      <c r="C15163" s="6">
        <v>470</v>
      </c>
      <c r="D15163" s="7">
        <v>3.38</v>
      </c>
      <c r="E15163" t="s">
        <v>21</v>
      </c>
    </row>
    <row r="15164" spans="1:5" x14ac:dyDescent="0.25">
      <c r="A15164" t="str">
        <f>HYPERLINK("https://www.773grp.com/globalSearch/NCV8503PWADJR2G/page-1", "NCV8503PWADJR2G")</f>
        <v>NCV8503PWADJR2G</v>
      </c>
      <c r="B15164" s="3" t="str">
        <f>HYPERLINK("https://www.773grp.com/manufacturer/onsemi?pageNo=335", "Onsemi")</f>
        <v>Onsemi</v>
      </c>
      <c r="C15164" s="6">
        <v>2990</v>
      </c>
      <c r="D15164" s="7">
        <v>3.38</v>
      </c>
      <c r="E15164" t="s">
        <v>21</v>
      </c>
    </row>
    <row r="15165" spans="1:5" x14ac:dyDescent="0.25">
      <c r="A15165" t="str">
        <f>HYPERLINK("https://www.773grp.com/globalSearch/NCV890101MWTXG/page-1", "NCV890101MWTXG")</f>
        <v>NCV890101MWTXG</v>
      </c>
      <c r="B15165" s="3" t="str">
        <f>HYPERLINK("https://www.773grp.com/manufacturer/onsemi?pageNo=336", "Onsemi")</f>
        <v>Onsemi</v>
      </c>
      <c r="C15165" s="6">
        <v>3000</v>
      </c>
      <c r="D15165" s="7">
        <v>3.38</v>
      </c>
    </row>
    <row r="15166" spans="1:5" x14ac:dyDescent="0.25">
      <c r="A15166" t="str">
        <f>HYPERLINK("https://www.773grp.com/globalSearch/NCV890131MWTXG/page-1", "NCV890131MWTXG")</f>
        <v>NCV890131MWTXG</v>
      </c>
      <c r="B15166" s="3" t="str">
        <f>HYPERLINK("https://www.773grp.com/manufacturer/onsemi?pageNo=337", "Onsemi")</f>
        <v>Onsemi</v>
      </c>
      <c r="C15166" s="6">
        <v>3000</v>
      </c>
      <c r="D15166" s="7">
        <v>3.38</v>
      </c>
    </row>
    <row r="15167" spans="1:5" x14ac:dyDescent="0.25">
      <c r="A15167" t="str">
        <f>HYPERLINK("https://www.773grp.com/globalSearch/NGTB20N120LWG/page-1", "NGTB20N120LWG")</f>
        <v>NGTB20N120LWG</v>
      </c>
      <c r="B15167" s="3" t="str">
        <f>HYPERLINK("https://www.773grp.com/manufacturer/onsemi?pageNo=338", "Onsemi")</f>
        <v>Onsemi</v>
      </c>
      <c r="C15167" s="6">
        <v>266</v>
      </c>
      <c r="D15167" s="7">
        <v>3.38</v>
      </c>
    </row>
    <row r="15168" spans="1:5" x14ac:dyDescent="0.25">
      <c r="A15168" t="str">
        <f>HYPERLINK("https://www.773grp.com/globalSearch/NTB6411ANG/page-1", "NTB6411ANG")</f>
        <v>NTB6411ANG</v>
      </c>
      <c r="B15168" s="3" t="str">
        <f>HYPERLINK("https://www.773grp.com/manufacturer/onsemi?pageNo=339", "Onsemi")</f>
        <v>Onsemi</v>
      </c>
      <c r="C15168" s="6">
        <v>1124</v>
      </c>
      <c r="D15168" s="7">
        <v>3.38</v>
      </c>
      <c r="E15168" t="s">
        <v>84</v>
      </c>
    </row>
    <row r="15169" spans="1:5" x14ac:dyDescent="0.25">
      <c r="A15169" t="str">
        <f>HYPERLINK("https://www.773grp.com/globalSearch/NTB6411ANT4G/page-1", "NTB6411ANT4G")</f>
        <v>NTB6411ANT4G</v>
      </c>
      <c r="B15169" s="3" t="str">
        <f>HYPERLINK("https://www.773grp.com/manufacturer/onsemi?pageNo=340", "Onsemi")</f>
        <v>Onsemi</v>
      </c>
      <c r="C15169" s="6">
        <v>743</v>
      </c>
      <c r="D15169" s="7">
        <v>3.38</v>
      </c>
    </row>
    <row r="15170" spans="1:5" x14ac:dyDescent="0.25">
      <c r="A15170" t="str">
        <f>HYPERLINK("https://www.773grp.com/globalSearch/NTP75N06G/page-1", "NTP75N06G")</f>
        <v>NTP75N06G</v>
      </c>
      <c r="B15170" s="3" t="str">
        <f>HYPERLINK("https://www.773grp.com/manufacturer/onsemi?pageNo=341", "Onsemi")</f>
        <v>Onsemi</v>
      </c>
      <c r="C15170" s="6">
        <v>73</v>
      </c>
      <c r="D15170" s="7">
        <v>3.38</v>
      </c>
      <c r="E15170" t="s">
        <v>84</v>
      </c>
    </row>
    <row r="15171" spans="1:5" x14ac:dyDescent="0.25">
      <c r="A15171" t="str">
        <f>HYPERLINK("https://www.773grp.com/globalSearch/STB8N50ET4/page-1", "STB8N50ET4")</f>
        <v>STB8N50ET4</v>
      </c>
      <c r="B15171" s="3" t="str">
        <f>HYPERLINK("https://www.773grp.com/manufacturer/onsemi?pageNo=342", "Onsemi")</f>
        <v>Onsemi</v>
      </c>
      <c r="C15171" s="6">
        <v>1200</v>
      </c>
      <c r="D15171" s="7">
        <v>3.38</v>
      </c>
    </row>
    <row r="15172" spans="1:5" x14ac:dyDescent="0.25">
      <c r="A15172" t="str">
        <f>HYPERLINK("https://www.773grp.com/globalSearch/CS51411GD8G/page-1", "CS51411GD8G")</f>
        <v>CS51411GD8G</v>
      </c>
      <c r="B15172" s="3" t="str">
        <f>HYPERLINK("https://www.773grp.com/manufacturer/onsemi?pageNo=343", "Onsemi")</f>
        <v>Onsemi</v>
      </c>
      <c r="C15172" s="6">
        <v>5292</v>
      </c>
      <c r="D15172" s="7">
        <v>3.75</v>
      </c>
    </row>
    <row r="15173" spans="1:5" x14ac:dyDescent="0.25">
      <c r="A15173" t="str">
        <f>HYPERLINK("https://www.773grp.com/globalSearch/CS51411GDR8G/page-1", "CS51411GDR8G")</f>
        <v>CS51411GDR8G</v>
      </c>
      <c r="B15173" s="3" t="str">
        <f>HYPERLINK("https://www.773grp.com/manufacturer/onsemi?pageNo=344", "Onsemi")</f>
        <v>Onsemi</v>
      </c>
      <c r="C15173" s="6">
        <v>110000</v>
      </c>
      <c r="D15173" s="7">
        <v>3.75</v>
      </c>
      <c r="E15173" t="s">
        <v>5</v>
      </c>
    </row>
    <row r="15174" spans="1:5" x14ac:dyDescent="0.25">
      <c r="A15174" t="str">
        <f>HYPERLINK("https://www.773grp.com/globalSearch/CS51414GD8G/page-1", "CS51414GD8G")</f>
        <v>CS51414GD8G</v>
      </c>
      <c r="B15174" s="3" t="str">
        <f>HYPERLINK("https://www.773grp.com/manufacturer/onsemi?pageNo=345", "Onsemi")</f>
        <v>Onsemi</v>
      </c>
      <c r="C15174" s="6">
        <v>635</v>
      </c>
      <c r="D15174" s="7">
        <v>3.75</v>
      </c>
      <c r="E15174" t="s">
        <v>5</v>
      </c>
    </row>
    <row r="15175" spans="1:5" x14ac:dyDescent="0.25">
      <c r="A15175" t="str">
        <f>HYPERLINK("https://www.773grp.com/globalSearch/CS5204-2GT3/page-1", "CS5204-2GT3")</f>
        <v>CS5204-2GT3</v>
      </c>
      <c r="B15175" s="3" t="str">
        <f>HYPERLINK("https://www.773grp.com/manufacturer/onsemi?pageNo=346", "Onsemi")</f>
        <v>Onsemi</v>
      </c>
      <c r="C15175" s="6">
        <v>900</v>
      </c>
      <c r="D15175" s="7">
        <v>3.75</v>
      </c>
      <c r="E15175" t="s">
        <v>15</v>
      </c>
    </row>
    <row r="15176" spans="1:5" x14ac:dyDescent="0.25">
      <c r="A15176" t="str">
        <f>HYPERLINK("https://www.773grp.com/globalSearch/CS5204-3GT3/page-1", "CS5204-3GT3")</f>
        <v>CS5204-3GT3</v>
      </c>
      <c r="B15176" s="3" t="str">
        <f>HYPERLINK("https://www.773grp.com/manufacturer/onsemi?pageNo=347", "Onsemi")</f>
        <v>Onsemi</v>
      </c>
      <c r="C15176" s="6">
        <v>1350</v>
      </c>
      <c r="D15176" s="7">
        <v>3.75</v>
      </c>
      <c r="E15176" t="s">
        <v>15</v>
      </c>
    </row>
    <row r="15177" spans="1:5" x14ac:dyDescent="0.25">
      <c r="A15177" t="str">
        <f>HYPERLINK("https://www.773grp.com/globalSearch/CS5204-5GT3/page-1", "CS5204-5GT3")</f>
        <v>CS5204-5GT3</v>
      </c>
      <c r="B15177" s="3" t="str">
        <f>HYPERLINK("https://www.773grp.com/manufacturer/onsemi?pageNo=348", "Onsemi")</f>
        <v>Onsemi</v>
      </c>
      <c r="C15177" s="6">
        <v>21650</v>
      </c>
      <c r="D15177" s="7">
        <v>3.75</v>
      </c>
      <c r="E15177" t="s">
        <v>15</v>
      </c>
    </row>
    <row r="15178" spans="1:5" x14ac:dyDescent="0.25">
      <c r="A15178" t="str">
        <f>HYPERLINK("https://www.773grp.com/globalSearch/CS5253B-8GDP5/page-1", "CS5253B-8GDP5")</f>
        <v>CS5253B-8GDP5</v>
      </c>
      <c r="B15178" s="3" t="str">
        <f>HYPERLINK("https://www.773grp.com/manufacturer/onsemi?pageNo=349", "Onsemi")</f>
        <v>Onsemi</v>
      </c>
      <c r="C15178" s="6">
        <v>300</v>
      </c>
      <c r="D15178" s="7">
        <v>3.75</v>
      </c>
      <c r="E15178" t="s">
        <v>15</v>
      </c>
    </row>
    <row r="15179" spans="1:5" x14ac:dyDescent="0.25">
      <c r="A15179" t="str">
        <f>HYPERLINK("https://www.773grp.com/globalSearch/CS5253B-8GDP5G/page-1", "CS5253B-8GDP5G")</f>
        <v>CS5253B-8GDP5G</v>
      </c>
      <c r="B15179" s="3" t="str">
        <f>HYPERLINK("https://www.773grp.com/manufacturer/onsemi?pageNo=350", "Onsemi")</f>
        <v>Onsemi</v>
      </c>
      <c r="C15179" s="6">
        <v>1527</v>
      </c>
      <c r="D15179" s="7">
        <v>3.75</v>
      </c>
      <c r="E15179" t="s">
        <v>15</v>
      </c>
    </row>
    <row r="15180" spans="1:5" x14ac:dyDescent="0.25">
      <c r="A15180" t="str">
        <f>HYPERLINK("https://www.773grp.com/globalSearch/CS8312YN8/page-1", "CS8312YN8")</f>
        <v>CS8312YN8</v>
      </c>
      <c r="B15180" s="3" t="str">
        <f>HYPERLINK("https://www.773grp.com/manufacturer/onsemi?pageNo=351", "Onsemi")</f>
        <v>Onsemi</v>
      </c>
      <c r="C15180" s="6">
        <v>3012</v>
      </c>
      <c r="D15180" s="7">
        <v>3.75</v>
      </c>
      <c r="E15180" t="s">
        <v>8</v>
      </c>
    </row>
    <row r="15181" spans="1:5" x14ac:dyDescent="0.25">
      <c r="A15181" t="str">
        <f>HYPERLINK("https://www.773grp.com/globalSearch/CS8371ET7G/page-1", "CS8371ET7G")</f>
        <v>CS8371ET7G</v>
      </c>
      <c r="B15181" s="3" t="str">
        <f>HYPERLINK("https://www.773grp.com/manufacturer/onsemi?pageNo=352", "Onsemi")</f>
        <v>Onsemi</v>
      </c>
      <c r="C15181" s="6">
        <v>1700</v>
      </c>
      <c r="D15181" s="7">
        <v>3.75</v>
      </c>
      <c r="E15181" t="s">
        <v>96</v>
      </c>
    </row>
    <row r="15182" spans="1:5" x14ac:dyDescent="0.25">
      <c r="A15182" t="str">
        <f>HYPERLINK("https://www.773grp.com/globalSearch/LB11620T-TLM-H/page-1", "LB11620T-TLM-H")</f>
        <v>LB11620T-TLM-H</v>
      </c>
      <c r="B15182" s="3" t="str">
        <f>HYPERLINK("https://www.773grp.com/manufacturer/onsemi?pageNo=353", "Onsemi")</f>
        <v>Onsemi</v>
      </c>
      <c r="C15182" s="6">
        <v>10000</v>
      </c>
      <c r="D15182" s="7">
        <v>3.75</v>
      </c>
    </row>
    <row r="15183" spans="1:5" x14ac:dyDescent="0.25">
      <c r="A15183" t="str">
        <f>HYPERLINK("https://www.773grp.com/globalSearch/MC34166T/page-1", "MC34166T")</f>
        <v>MC34166T</v>
      </c>
      <c r="B15183" s="3" t="str">
        <f>HYPERLINK("https://www.773grp.com/manufacturer/onsemi?pageNo=354", "Onsemi")</f>
        <v>Onsemi</v>
      </c>
      <c r="C15183" s="6">
        <v>33</v>
      </c>
      <c r="D15183" s="7">
        <v>3.75</v>
      </c>
      <c r="E15183" t="s">
        <v>5</v>
      </c>
    </row>
    <row r="15184" spans="1:5" x14ac:dyDescent="0.25">
      <c r="A15184" t="str">
        <f>HYPERLINK("https://www.773grp.com/globalSearch/MC54HC174AJ/page-1", "MC54HC174AJ")</f>
        <v>MC54HC174AJ</v>
      </c>
      <c r="B15184" s="3" t="str">
        <f>HYPERLINK("https://www.773grp.com/manufacturer/onsemi?pageNo=355", "Onsemi")</f>
        <v>Onsemi</v>
      </c>
      <c r="C15184" s="6">
        <v>42</v>
      </c>
      <c r="D15184" s="7">
        <v>3.75</v>
      </c>
      <c r="E15184" t="s">
        <v>31</v>
      </c>
    </row>
    <row r="15185" spans="1:5" x14ac:dyDescent="0.25">
      <c r="A15185" t="str">
        <f>HYPERLINK("https://www.773grp.com/globalSearch/MTA15N06/page-1", "MTA15N06")</f>
        <v>MTA15N06</v>
      </c>
      <c r="B15185" s="3" t="str">
        <f>HYPERLINK("https://www.773grp.com/manufacturer/onsemi?pageNo=356", "Onsemi")</f>
        <v>Onsemi</v>
      </c>
      <c r="C15185" s="6">
        <v>33266</v>
      </c>
      <c r="D15185" s="7">
        <v>3.75</v>
      </c>
      <c r="E15185" t="s">
        <v>84</v>
      </c>
    </row>
    <row r="15186" spans="1:5" x14ac:dyDescent="0.25">
      <c r="A15186" t="str">
        <f>HYPERLINK("https://www.773grp.com/globalSearch/MTB30P06VT4G/page-1", "MTB30P06VT4G")</f>
        <v>MTB30P06VT4G</v>
      </c>
      <c r="B15186" s="3" t="str">
        <f>HYPERLINK("https://www.773grp.com/manufacturer/onsemi?pageNo=357", "Onsemi")</f>
        <v>Onsemi</v>
      </c>
      <c r="C15186" s="6">
        <v>2826</v>
      </c>
      <c r="D15186" s="7">
        <v>3.75</v>
      </c>
    </row>
    <row r="15187" spans="1:5" x14ac:dyDescent="0.25">
      <c r="A15187" t="str">
        <f>HYPERLINK("https://www.773grp.com/globalSearch/MTP1306/page-1", "MTP1306")</f>
        <v>MTP1306</v>
      </c>
      <c r="B15187" s="3" t="str">
        <f>HYPERLINK("https://www.773grp.com/manufacturer/onsemi?pageNo=358", "Onsemi")</f>
        <v>Onsemi</v>
      </c>
      <c r="C15187" s="6">
        <v>73900</v>
      </c>
      <c r="D15187" s="7">
        <v>3.75</v>
      </c>
      <c r="E15187" t="s">
        <v>84</v>
      </c>
    </row>
    <row r="15188" spans="1:5" x14ac:dyDescent="0.25">
      <c r="A15188" t="str">
        <f>HYPERLINK("https://www.773grp.com/globalSearch/NCP1294EDR2G/page-1", "NCP1294EDR2G")</f>
        <v>NCP1294EDR2G</v>
      </c>
      <c r="B15188" s="3" t="str">
        <f>HYPERLINK("https://www.773grp.com/manufacturer/onsemi?pageNo=359", "Onsemi")</f>
        <v>Onsemi</v>
      </c>
      <c r="C15188" s="6">
        <v>5044</v>
      </c>
      <c r="D15188" s="7">
        <v>3.75</v>
      </c>
      <c r="E15188" t="s">
        <v>5</v>
      </c>
    </row>
    <row r="15189" spans="1:5" x14ac:dyDescent="0.25">
      <c r="A15189" t="str">
        <f>HYPERLINK("https://www.773grp.com/globalSearch/NCP1442FR4/page-1", "NCP1442FR4")</f>
        <v>NCP1442FR4</v>
      </c>
      <c r="B15189" s="3" t="str">
        <f>HYPERLINK("https://www.773grp.com/manufacturer/onsemi?pageNo=360", "Onsemi")</f>
        <v>Onsemi</v>
      </c>
      <c r="C15189" s="6">
        <v>44000</v>
      </c>
      <c r="D15189" s="7">
        <v>3.75</v>
      </c>
      <c r="E15189" t="s">
        <v>5</v>
      </c>
    </row>
    <row r="15190" spans="1:5" x14ac:dyDescent="0.25">
      <c r="A15190" t="str">
        <f>HYPERLINK("https://www.773grp.com/globalSearch/NCP1443FR4/page-1", "NCP1443FR4")</f>
        <v>NCP1443FR4</v>
      </c>
      <c r="B15190" s="3" t="str">
        <f>HYPERLINK("https://www.773grp.com/manufacturer/onsemi?pageNo=361", "Onsemi")</f>
        <v>Onsemi</v>
      </c>
      <c r="C15190" s="6">
        <v>3523</v>
      </c>
      <c r="D15190" s="7">
        <v>3.75</v>
      </c>
      <c r="E15190" t="s">
        <v>5</v>
      </c>
    </row>
    <row r="15191" spans="1:5" x14ac:dyDescent="0.25">
      <c r="A15191" t="str">
        <f>HYPERLINK("https://www.773grp.com/globalSearch/NCP1444FR4/page-1", "NCP1444FR4")</f>
        <v>NCP1444FR4</v>
      </c>
      <c r="B15191" s="3" t="str">
        <f>HYPERLINK("https://www.773grp.com/manufacturer/onsemi?pageNo=362", "Onsemi")</f>
        <v>Onsemi</v>
      </c>
      <c r="C15191" s="6">
        <v>8000</v>
      </c>
      <c r="D15191" s="7">
        <v>3.75</v>
      </c>
      <c r="E15191" t="s">
        <v>5</v>
      </c>
    </row>
    <row r="15192" spans="1:5" x14ac:dyDescent="0.25">
      <c r="A15192" t="str">
        <f>HYPERLINK("https://www.773grp.com/globalSearch/NCP1445FR4/page-1", "NCP1445FR4")</f>
        <v>NCP1445FR4</v>
      </c>
      <c r="B15192" s="3" t="str">
        <f>HYPERLINK("https://www.773grp.com/manufacturer/onsemi?pageNo=363", "Onsemi")</f>
        <v>Onsemi</v>
      </c>
      <c r="C15192" s="6">
        <v>2000</v>
      </c>
      <c r="D15192" s="7">
        <v>3.75</v>
      </c>
      <c r="E15192" t="s">
        <v>5</v>
      </c>
    </row>
    <row r="15193" spans="1:5" x14ac:dyDescent="0.25">
      <c r="A15193" t="str">
        <f>HYPERLINK("https://www.773grp.com/globalSearch/NCP4429DR2/page-1", "NCP4429DR2")</f>
        <v>NCP4429DR2</v>
      </c>
      <c r="B15193" s="3" t="str">
        <f>HYPERLINK("https://www.773grp.com/manufacturer/onsemi?pageNo=364", "Onsemi")</f>
        <v>Onsemi</v>
      </c>
      <c r="C15193" s="6">
        <v>28121</v>
      </c>
      <c r="D15193" s="7">
        <v>3.75</v>
      </c>
      <c r="E15193" t="s">
        <v>12</v>
      </c>
    </row>
    <row r="15194" spans="1:5" x14ac:dyDescent="0.25">
      <c r="A15194" t="str">
        <f>HYPERLINK("https://www.773grp.com/globalSearch/NCV8675DT33RKG/page-1", "NCV8675DT33RKG")</f>
        <v>NCV8675DT33RKG</v>
      </c>
      <c r="B15194" s="3" t="str">
        <f>HYPERLINK("https://www.773grp.com/manufacturer/onsemi?pageNo=365", "Onsemi")</f>
        <v>Onsemi</v>
      </c>
      <c r="C15194" s="6">
        <v>35000</v>
      </c>
      <c r="D15194" s="7">
        <v>3.75</v>
      </c>
    </row>
    <row r="15195" spans="1:5" x14ac:dyDescent="0.25">
      <c r="A15195" t="str">
        <f>HYPERLINK("https://www.773grp.com/globalSearch/NTP6411ANG/page-1", "NTP6411ANG")</f>
        <v>NTP6411ANG</v>
      </c>
      <c r="B15195" s="3" t="str">
        <f>HYPERLINK("https://www.773grp.com/manufacturer/onsemi?pageNo=366", "Onsemi")</f>
        <v>Onsemi</v>
      </c>
      <c r="C15195" s="6">
        <v>95</v>
      </c>
      <c r="D15195" s="7">
        <v>3.75</v>
      </c>
    </row>
    <row r="15196" spans="1:5" x14ac:dyDescent="0.25">
      <c r="A15196" t="str">
        <f>HYPERLINK("https://www.773grp.com/globalSearch/2SK4043LS/page-1", "2SK4043LS")</f>
        <v>2SK4043LS</v>
      </c>
      <c r="B15196" s="3" t="str">
        <f>HYPERLINK("https://www.773grp.com/manufacturer/onsemi?pageNo=367", "Onsemi")</f>
        <v>Onsemi</v>
      </c>
      <c r="C15196" s="6">
        <v>100</v>
      </c>
      <c r="D15196" s="7">
        <v>3.41</v>
      </c>
    </row>
    <row r="15197" spans="1:5" x14ac:dyDescent="0.25">
      <c r="A15197" t="str">
        <f>HYPERLINK("https://www.773grp.com/globalSearch/CM74F299DWR2/page-1", "CM74F299DWR2")</f>
        <v>CM74F299DWR2</v>
      </c>
      <c r="B15197" s="3" t="str">
        <f>HYPERLINK("https://www.773grp.com/manufacturer/onsemi?pageNo=368", "Onsemi")</f>
        <v>Onsemi</v>
      </c>
      <c r="C15197" s="6">
        <v>1000</v>
      </c>
      <c r="D15197" s="7">
        <v>3.41</v>
      </c>
    </row>
    <row r="15198" spans="1:5" x14ac:dyDescent="0.25">
      <c r="A15198" t="str">
        <f>HYPERLINK("https://www.773grp.com/globalSearch/MBR5025L/page-1", "MBR5025L")</f>
        <v>MBR5025L</v>
      </c>
      <c r="B15198" s="3" t="str">
        <f>HYPERLINK("https://www.773grp.com/manufacturer/onsemi?pageNo=369", "Onsemi")</f>
        <v>Onsemi</v>
      </c>
      <c r="C15198" s="6">
        <v>265</v>
      </c>
      <c r="D15198" s="7">
        <v>3.41</v>
      </c>
      <c r="E15198" t="s">
        <v>82</v>
      </c>
    </row>
    <row r="15199" spans="1:5" x14ac:dyDescent="0.25">
      <c r="A15199" t="str">
        <f>HYPERLINK("https://www.773grp.com/globalSearch/BDV64B/page-1", "BDV64B")</f>
        <v>BDV64B</v>
      </c>
      <c r="B15199" s="3" t="str">
        <f>HYPERLINK("https://www.773grp.com/manufacturer/onsemi?pageNo=370", "Onsemi")</f>
        <v>Onsemi</v>
      </c>
      <c r="C15199" s="6">
        <v>877</v>
      </c>
      <c r="D15199" s="7">
        <v>3.8</v>
      </c>
      <c r="E15199" t="s">
        <v>47</v>
      </c>
    </row>
    <row r="15200" spans="1:5" x14ac:dyDescent="0.25">
      <c r="A15200" t="str">
        <f>HYPERLINK("https://www.773grp.com/globalSearch/CAT5171TBI-50GT3/page-1", "CAT5171TBI-50GT3")</f>
        <v>CAT5171TBI-50GT3</v>
      </c>
      <c r="B15200" s="3" t="str">
        <f>HYPERLINK("https://www.773grp.com/manufacturer/onsemi?pageNo=371", "Onsemi")</f>
        <v>Onsemi</v>
      </c>
      <c r="C15200" s="6">
        <v>6000</v>
      </c>
      <c r="D15200" s="7">
        <v>3.8</v>
      </c>
      <c r="E15200" t="s">
        <v>78</v>
      </c>
    </row>
    <row r="15201" spans="1:5" x14ac:dyDescent="0.25">
      <c r="A15201" t="str">
        <f>HYPERLINK("https://www.773grp.com/globalSearch/CAT5172TBI-00GT3/page-1", "CAT5172TBI-00GT3")</f>
        <v>CAT5172TBI-00GT3</v>
      </c>
      <c r="B15201" s="3" t="str">
        <f>HYPERLINK("https://www.773grp.com/manufacturer/onsemi?pageNo=372", "Onsemi")</f>
        <v>Onsemi</v>
      </c>
      <c r="C15201" s="6">
        <v>3000</v>
      </c>
      <c r="D15201" s="7">
        <v>3.8</v>
      </c>
      <c r="E15201" t="s">
        <v>78</v>
      </c>
    </row>
    <row r="15202" spans="1:5" x14ac:dyDescent="0.25">
      <c r="A15202" t="str">
        <f>HYPERLINK("https://www.773grp.com/globalSearch/CS5171ED8G/page-1", "CS5171ED8G")</f>
        <v>CS5171ED8G</v>
      </c>
      <c r="B15202" s="3" t="str">
        <f>HYPERLINK("https://www.773grp.com/manufacturer/onsemi?pageNo=373", "Onsemi")</f>
        <v>Onsemi</v>
      </c>
      <c r="C15202" s="6">
        <v>1312</v>
      </c>
      <c r="D15202" s="7">
        <v>3.8</v>
      </c>
      <c r="E15202" t="s">
        <v>5</v>
      </c>
    </row>
    <row r="15203" spans="1:5" x14ac:dyDescent="0.25">
      <c r="A15203" t="str">
        <f>HYPERLINK("https://www.773grp.com/globalSearch/CS5171EDR8G/page-1", "CS5171EDR8G")</f>
        <v>CS5171EDR8G</v>
      </c>
      <c r="B15203" s="3" t="str">
        <f>HYPERLINK("https://www.773grp.com/manufacturer/onsemi?pageNo=374", "Onsemi")</f>
        <v>Onsemi</v>
      </c>
      <c r="C15203" s="6">
        <v>131783</v>
      </c>
      <c r="D15203" s="7">
        <v>3.8</v>
      </c>
      <c r="E15203" t="s">
        <v>5</v>
      </c>
    </row>
    <row r="15204" spans="1:5" x14ac:dyDescent="0.25">
      <c r="A15204" t="str">
        <f>HYPERLINK("https://www.773grp.com/globalSearch/CS5172ED8G/page-1", "CS5172ED8G")</f>
        <v>CS5172ED8G</v>
      </c>
      <c r="B15204" s="3" t="str">
        <f>HYPERLINK("https://www.773grp.com/manufacturer/onsemi?pageNo=375", "Onsemi")</f>
        <v>Onsemi</v>
      </c>
      <c r="C15204" s="6">
        <v>600</v>
      </c>
      <c r="D15204" s="7">
        <v>3.8</v>
      </c>
    </row>
    <row r="15205" spans="1:5" x14ac:dyDescent="0.25">
      <c r="A15205" t="str">
        <f>HYPERLINK("https://www.773grp.com/globalSearch/CS5173ED8G/page-1", "CS5173ED8G")</f>
        <v>CS5173ED8G</v>
      </c>
      <c r="B15205" s="3" t="str">
        <f>HYPERLINK("https://www.773grp.com/manufacturer/onsemi?pageNo=376", "Onsemi")</f>
        <v>Onsemi</v>
      </c>
      <c r="C15205" s="6">
        <v>2350</v>
      </c>
      <c r="D15205" s="7">
        <v>3.8</v>
      </c>
      <c r="E15205" t="s">
        <v>5</v>
      </c>
    </row>
    <row r="15206" spans="1:5" x14ac:dyDescent="0.25">
      <c r="A15206" t="str">
        <f>HYPERLINK("https://www.773grp.com/globalSearch/CS5174EDR8G/page-1", "CS5174EDR8G")</f>
        <v>CS5174EDR8G</v>
      </c>
      <c r="B15206" s="3" t="str">
        <f>HYPERLINK("https://www.773grp.com/manufacturer/onsemi?pageNo=377", "Onsemi")</f>
        <v>Onsemi</v>
      </c>
      <c r="C15206" s="6">
        <v>5000</v>
      </c>
      <c r="D15206" s="7">
        <v>3.8</v>
      </c>
      <c r="E15206" t="s">
        <v>5</v>
      </c>
    </row>
    <row r="15207" spans="1:5" x14ac:dyDescent="0.25">
      <c r="A15207" t="str">
        <f>HYPERLINK("https://www.773grp.com/globalSearch/CS5204-1GDP3/page-1", "CS5204-1GDP3")</f>
        <v>CS5204-1GDP3</v>
      </c>
      <c r="B15207" s="3" t="str">
        <f>HYPERLINK("https://www.773grp.com/manufacturer/onsemi?pageNo=378", "Onsemi")</f>
        <v>Onsemi</v>
      </c>
      <c r="C15207" s="6">
        <v>250</v>
      </c>
      <c r="D15207" s="7">
        <v>3.8</v>
      </c>
      <c r="E15207" t="s">
        <v>21</v>
      </c>
    </row>
    <row r="15208" spans="1:5" x14ac:dyDescent="0.25">
      <c r="A15208" t="str">
        <f>HYPERLINK("https://www.773grp.com/globalSearch/CS5204-1GDPR3/page-1", "CS5204-1GDPR3")</f>
        <v>CS5204-1GDPR3</v>
      </c>
      <c r="B15208" s="3" t="str">
        <f>HYPERLINK("https://www.773grp.com/manufacturer/onsemi?pageNo=379", "Onsemi")</f>
        <v>Onsemi</v>
      </c>
      <c r="C15208" s="6">
        <v>744</v>
      </c>
      <c r="D15208" s="7">
        <v>3.8</v>
      </c>
      <c r="E15208" t="s">
        <v>21</v>
      </c>
    </row>
    <row r="15209" spans="1:5" x14ac:dyDescent="0.25">
      <c r="A15209" t="str">
        <f>HYPERLINK("https://www.773grp.com/globalSearch/CS5204-2GDP3/page-1", "CS5204-2GDP3")</f>
        <v>CS5204-2GDP3</v>
      </c>
      <c r="B15209" s="3" t="str">
        <f>HYPERLINK("https://www.773grp.com/manufacturer/onsemi?pageNo=380", "Onsemi")</f>
        <v>Onsemi</v>
      </c>
      <c r="C15209" s="6">
        <v>3593</v>
      </c>
      <c r="D15209" s="7">
        <v>3.8</v>
      </c>
      <c r="E15209" t="s">
        <v>15</v>
      </c>
    </row>
    <row r="15210" spans="1:5" x14ac:dyDescent="0.25">
      <c r="A15210" t="str">
        <f>HYPERLINK("https://www.773grp.com/globalSearch/CS5204-2GDPR3/page-1", "CS5204-2GDPR3")</f>
        <v>CS5204-2GDPR3</v>
      </c>
      <c r="B15210" s="3" t="str">
        <f>HYPERLINK("https://www.773grp.com/manufacturer/onsemi?pageNo=381", "Onsemi")</f>
        <v>Onsemi</v>
      </c>
      <c r="C15210" s="6">
        <v>750</v>
      </c>
      <c r="D15210" s="7">
        <v>3.8</v>
      </c>
      <c r="E15210" t="s">
        <v>15</v>
      </c>
    </row>
    <row r="15211" spans="1:5" x14ac:dyDescent="0.25">
      <c r="A15211" t="str">
        <f>HYPERLINK("https://www.773grp.com/globalSearch/CS5204-3GDP3/page-1", "CS5204-3GDP3")</f>
        <v>CS5204-3GDP3</v>
      </c>
      <c r="B15211" s="3" t="str">
        <f>HYPERLINK("https://www.773grp.com/manufacturer/onsemi?pageNo=382", "Onsemi")</f>
        <v>Onsemi</v>
      </c>
      <c r="C15211" s="6">
        <v>400</v>
      </c>
      <c r="D15211" s="7">
        <v>3.8</v>
      </c>
      <c r="E15211" t="s">
        <v>15</v>
      </c>
    </row>
    <row r="15212" spans="1:5" x14ac:dyDescent="0.25">
      <c r="A15212" t="str">
        <f>HYPERLINK("https://www.773grp.com/globalSearch/CS5204-3GDPR3/page-1", "CS5204-3GDPR3")</f>
        <v>CS5204-3GDPR3</v>
      </c>
      <c r="B15212" s="3" t="str">
        <f>HYPERLINK("https://www.773grp.com/manufacturer/onsemi?pageNo=383", "Onsemi")</f>
        <v>Onsemi</v>
      </c>
      <c r="C15212" s="6">
        <v>17250</v>
      </c>
      <c r="D15212" s="7">
        <v>3.8</v>
      </c>
      <c r="E15212" t="s">
        <v>15</v>
      </c>
    </row>
    <row r="15213" spans="1:5" x14ac:dyDescent="0.25">
      <c r="A15213" t="str">
        <f>HYPERLINK("https://www.773grp.com/globalSearch/CS5205-2GT3/page-1", "CS5205-2GT3")</f>
        <v>CS5205-2GT3</v>
      </c>
      <c r="B15213" s="3" t="str">
        <f>HYPERLINK("https://www.773grp.com/manufacturer/onsemi?pageNo=384", "Onsemi")</f>
        <v>Onsemi</v>
      </c>
      <c r="C15213" s="6">
        <v>850</v>
      </c>
      <c r="D15213" s="7">
        <v>3.8</v>
      </c>
      <c r="E15213" t="s">
        <v>15</v>
      </c>
    </row>
    <row r="15214" spans="1:5" x14ac:dyDescent="0.25">
      <c r="A15214" t="str">
        <f>HYPERLINK("https://www.773grp.com/globalSearch/CS5205-3GT3/page-1", "CS5205-3GT3")</f>
        <v>CS5205-3GT3</v>
      </c>
      <c r="B15214" s="3" t="str">
        <f>HYPERLINK("https://www.773grp.com/manufacturer/onsemi?pageNo=385", "Onsemi")</f>
        <v>Onsemi</v>
      </c>
      <c r="C15214" s="6">
        <v>350</v>
      </c>
      <c r="D15214" s="7">
        <v>3.8</v>
      </c>
      <c r="E15214" t="s">
        <v>15</v>
      </c>
    </row>
    <row r="15215" spans="1:5" x14ac:dyDescent="0.25">
      <c r="A15215" t="str">
        <f>HYPERLINK("https://www.773grp.com/globalSearch/CS5205-5GT3/page-1", "CS5205-5GT3")</f>
        <v>CS5205-5GT3</v>
      </c>
      <c r="B15215" s="3" t="str">
        <f>HYPERLINK("https://www.773grp.com/manufacturer/onsemi?pageNo=386", "Onsemi")</f>
        <v>Onsemi</v>
      </c>
      <c r="C15215" s="6">
        <v>8750</v>
      </c>
      <c r="D15215" s="7">
        <v>3.8</v>
      </c>
      <c r="E15215" t="s">
        <v>15</v>
      </c>
    </row>
    <row r="15216" spans="1:5" x14ac:dyDescent="0.25">
      <c r="A15216" t="str">
        <f>HYPERLINK("https://www.773grp.com/globalSearch/CS5205A-1GT3/page-1", "CS5205A-1GT3")</f>
        <v>CS5205A-1GT3</v>
      </c>
      <c r="B15216" s="3" t="str">
        <f>HYPERLINK("https://www.773grp.com/manufacturer/onsemi?pageNo=387", "Onsemi")</f>
        <v>Onsemi</v>
      </c>
      <c r="C15216" s="6">
        <v>2600</v>
      </c>
      <c r="D15216" s="7">
        <v>3.8</v>
      </c>
      <c r="E15216" t="s">
        <v>21</v>
      </c>
    </row>
    <row r="15217" spans="1:5" x14ac:dyDescent="0.25">
      <c r="A15217" t="str">
        <f>HYPERLINK("https://www.773grp.com/globalSearch/CS5206-1GT3/page-1", "CS5206-1GT3")</f>
        <v>CS5206-1GT3</v>
      </c>
      <c r="B15217" s="3" t="str">
        <f>HYPERLINK("https://www.773grp.com/manufacturer/onsemi?pageNo=388", "Onsemi")</f>
        <v>Onsemi</v>
      </c>
      <c r="C15217" s="6">
        <v>1600</v>
      </c>
      <c r="D15217" s="7">
        <v>3.8</v>
      </c>
      <c r="E15217" t="s">
        <v>21</v>
      </c>
    </row>
    <row r="15218" spans="1:5" x14ac:dyDescent="0.25">
      <c r="A15218" t="str">
        <f>HYPERLINK("https://www.773grp.com/globalSearch/CS5206-3GT3/page-1", "CS5206-3GT3")</f>
        <v>CS5206-3GT3</v>
      </c>
      <c r="B15218" s="3" t="str">
        <f>HYPERLINK("https://www.773grp.com/manufacturer/onsemi?pageNo=389", "Onsemi")</f>
        <v>Onsemi</v>
      </c>
      <c r="C15218" s="6">
        <v>50</v>
      </c>
      <c r="D15218" s="7">
        <v>3.8</v>
      </c>
      <c r="E15218" t="s">
        <v>15</v>
      </c>
    </row>
    <row r="15219" spans="1:5" x14ac:dyDescent="0.25">
      <c r="A15219" t="str">
        <f>HYPERLINK("https://www.773grp.com/globalSearch/CS5206-5GT3/page-1", "CS5206-5GT3")</f>
        <v>CS5206-5GT3</v>
      </c>
      <c r="B15219" s="3" t="str">
        <f>HYPERLINK("https://www.773grp.com/manufacturer/onsemi?pageNo=390", "Onsemi")</f>
        <v>Onsemi</v>
      </c>
      <c r="C15219" s="6">
        <v>3750</v>
      </c>
      <c r="D15219" s="7">
        <v>3.8</v>
      </c>
      <c r="E15219" t="s">
        <v>15</v>
      </c>
    </row>
    <row r="15220" spans="1:5" x14ac:dyDescent="0.25">
      <c r="A15220" t="str">
        <f>HYPERLINK("https://www.773grp.com/globalSearch/CS8101YDWF20G/page-1", "CS8101YDWF20G")</f>
        <v>CS8101YDWF20G</v>
      </c>
      <c r="B15220" s="3" t="str">
        <f>HYPERLINK("https://www.773grp.com/manufacturer/onsemi?pageNo=391", "Onsemi")</f>
        <v>Onsemi</v>
      </c>
      <c r="C15220" s="6">
        <v>1254</v>
      </c>
      <c r="D15220" s="7">
        <v>3.8</v>
      </c>
      <c r="E15220" t="s">
        <v>15</v>
      </c>
    </row>
    <row r="15221" spans="1:5" x14ac:dyDescent="0.25">
      <c r="A15221" t="str">
        <f>HYPERLINK("https://www.773grp.com/globalSearch/CS8101YDWFR20G/page-1", "CS8101YDWFR20G")</f>
        <v>CS8101YDWFR20G</v>
      </c>
      <c r="B15221" s="3" t="str">
        <f>HYPERLINK("https://www.773grp.com/manufacturer/onsemi?pageNo=392", "Onsemi")</f>
        <v>Onsemi</v>
      </c>
      <c r="C15221" s="6">
        <v>4157</v>
      </c>
      <c r="D15221" s="7">
        <v>3.8</v>
      </c>
      <c r="E15221" t="s">
        <v>15</v>
      </c>
    </row>
    <row r="15222" spans="1:5" x14ac:dyDescent="0.25">
      <c r="A15222" t="str">
        <f>HYPERLINK("https://www.773grp.com/globalSearch/LB1909M-TE-L-E/page-1", "LB1909M-TE-L-E")</f>
        <v>LB1909M-TE-L-E</v>
      </c>
      <c r="B15222" s="3" t="str">
        <f>HYPERLINK("https://www.773grp.com/manufacturer/onsemi?pageNo=393", "Onsemi")</f>
        <v>Onsemi</v>
      </c>
      <c r="C15222" s="6">
        <v>54</v>
      </c>
      <c r="D15222" s="7">
        <v>3.8</v>
      </c>
    </row>
    <row r="15223" spans="1:5" x14ac:dyDescent="0.25">
      <c r="A15223" t="str">
        <f>HYPERLINK("https://www.773grp.com/globalSearch/LV5011MD-AH/page-1", "LV5011MD-AH")</f>
        <v>LV5011MD-AH</v>
      </c>
      <c r="B15223" s="3" t="str">
        <f>HYPERLINK("https://www.773grp.com/manufacturer/onsemi?pageNo=394", "Onsemi")</f>
        <v>Onsemi</v>
      </c>
      <c r="C15223" s="6">
        <v>27500</v>
      </c>
      <c r="D15223" s="7">
        <v>3.8</v>
      </c>
    </row>
    <row r="15224" spans="1:5" x14ac:dyDescent="0.25">
      <c r="A15224" t="str">
        <f>HYPERLINK("https://www.773grp.com/globalSearch/LV5026MC-AH/page-1", "LV5026MC-AH")</f>
        <v>LV5026MC-AH</v>
      </c>
      <c r="B15224" s="3" t="str">
        <f>HYPERLINK("https://www.773grp.com/manufacturer/onsemi?pageNo=395", "Onsemi")</f>
        <v>Onsemi</v>
      </c>
      <c r="C15224" s="6">
        <v>94590</v>
      </c>
      <c r="D15224" s="7">
        <v>3.8</v>
      </c>
    </row>
    <row r="15225" spans="1:5" x14ac:dyDescent="0.25">
      <c r="A15225" t="str">
        <f>HYPERLINK("https://www.773grp.com/globalSearch/MAC228A4G/page-1", "MAC228A4G")</f>
        <v>MAC228A4G</v>
      </c>
      <c r="B15225" s="3" t="str">
        <f>HYPERLINK("https://www.773grp.com/manufacturer/onsemi?pageNo=396", "Onsemi")</f>
        <v>Onsemi</v>
      </c>
      <c r="C15225" s="6">
        <v>7000</v>
      </c>
      <c r="D15225" s="7">
        <v>3.8</v>
      </c>
      <c r="E15225" t="s">
        <v>81</v>
      </c>
    </row>
    <row r="15226" spans="1:5" x14ac:dyDescent="0.25">
      <c r="A15226" t="str">
        <f>HYPERLINK("https://www.773grp.com/globalSearch/MAC228A6G/page-1", "MAC228A6G")</f>
        <v>MAC228A6G</v>
      </c>
      <c r="B15226" s="3" t="str">
        <f>HYPERLINK("https://www.773grp.com/manufacturer/onsemi?pageNo=397", "Onsemi")</f>
        <v>Onsemi</v>
      </c>
      <c r="C15226" s="6">
        <v>18500</v>
      </c>
      <c r="D15226" s="7">
        <v>3.8</v>
      </c>
    </row>
    <row r="15227" spans="1:5" x14ac:dyDescent="0.25">
      <c r="A15227" t="str">
        <f>HYPERLINK("https://www.773grp.com/globalSearch/MAC228A8G/page-1", "MAC228A8G")</f>
        <v>MAC228A8G</v>
      </c>
      <c r="B15227" s="3" t="str">
        <f>HYPERLINK("https://www.773grp.com/manufacturer/onsemi?pageNo=398", "Onsemi")</f>
        <v>Onsemi</v>
      </c>
      <c r="C15227" s="6">
        <v>266</v>
      </c>
      <c r="D15227" s="7">
        <v>3.8</v>
      </c>
      <c r="E15227" t="s">
        <v>81</v>
      </c>
    </row>
    <row r="15228" spans="1:5" x14ac:dyDescent="0.25">
      <c r="A15228" t="str">
        <f>HYPERLINK("https://www.773grp.com/globalSearch/MAC228A8TG/page-1", "MAC228A8TG")</f>
        <v>MAC228A8TG</v>
      </c>
      <c r="B15228" s="3" t="str">
        <f>HYPERLINK("https://www.773grp.com/manufacturer/onsemi?pageNo=399", "Onsemi")</f>
        <v>Onsemi</v>
      </c>
      <c r="C15228" s="6">
        <v>1000</v>
      </c>
      <c r="D15228" s="7">
        <v>3.8</v>
      </c>
    </row>
    <row r="15229" spans="1:5" x14ac:dyDescent="0.25">
      <c r="A15229" t="str">
        <f>HYPERLINK("https://www.773grp.com/globalSearch/MBR735/page-1", "MBR735")</f>
        <v>MBR735</v>
      </c>
      <c r="B15229" s="3" t="str">
        <f>HYPERLINK("https://www.773grp.com/manufacturer/onsemi?pageNo=400", "Onsemi")</f>
        <v>Onsemi</v>
      </c>
      <c r="C15229" s="6">
        <v>6696</v>
      </c>
      <c r="D15229" s="7">
        <v>3.8</v>
      </c>
      <c r="E15229" t="s">
        <v>82</v>
      </c>
    </row>
    <row r="15230" spans="1:5" x14ac:dyDescent="0.25">
      <c r="A15230" t="str">
        <f>HYPERLINK("https://www.773grp.com/globalSearch/MBRB41H100CTT4G/page-1", "MBRB41H100CTT4G")</f>
        <v>MBRB41H100CTT4G</v>
      </c>
      <c r="B15230" s="3" t="str">
        <f>HYPERLINK("https://www.773grp.com/manufacturer/onsemi?pageNo=401", "Onsemi")</f>
        <v>Onsemi</v>
      </c>
      <c r="C15230" s="6">
        <v>8000</v>
      </c>
      <c r="D15230" s="7">
        <v>3.8</v>
      </c>
    </row>
    <row r="15231" spans="1:5" x14ac:dyDescent="0.25">
      <c r="A15231" t="str">
        <f>HYPERLINK("https://www.773grp.com/globalSearch/MC10H118P/page-1", "MC10H118P")</f>
        <v>MC10H118P</v>
      </c>
      <c r="B15231" s="3" t="str">
        <f>HYPERLINK("https://www.773grp.com/manufacturer/onsemi?pageNo=402", "Onsemi")</f>
        <v>Onsemi</v>
      </c>
      <c r="C15231" s="6">
        <v>5255</v>
      </c>
      <c r="D15231" s="7">
        <v>3.8</v>
      </c>
      <c r="E15231" t="s">
        <v>27</v>
      </c>
    </row>
    <row r="15232" spans="1:5" x14ac:dyDescent="0.25">
      <c r="A15232" t="str">
        <f>HYPERLINK("https://www.773grp.com/globalSearch/MC14557BCPG/page-1", "MC14557BCPG")</f>
        <v>MC14557BCPG</v>
      </c>
      <c r="B15232" s="3" t="str">
        <f>HYPERLINK("https://www.773grp.com/manufacturer/onsemi?pageNo=403", "Onsemi")</f>
        <v>Onsemi</v>
      </c>
      <c r="C15232" s="6">
        <v>1744</v>
      </c>
      <c r="D15232" s="7">
        <v>3.8</v>
      </c>
      <c r="E15232" t="s">
        <v>28</v>
      </c>
    </row>
    <row r="15233" spans="1:5" x14ac:dyDescent="0.25">
      <c r="A15233" t="str">
        <f>HYPERLINK("https://www.773grp.com/globalSearch/MC14557BDWG/page-1", "MC14557BDWG")</f>
        <v>MC14557BDWG</v>
      </c>
      <c r="B15233" s="3" t="str">
        <f>HYPERLINK("https://www.773grp.com/manufacturer/onsemi?pageNo=404", "Onsemi")</f>
        <v>Onsemi</v>
      </c>
      <c r="C15233" s="6">
        <v>3108</v>
      </c>
      <c r="D15233" s="7">
        <v>3.8</v>
      </c>
      <c r="E15233" t="s">
        <v>28</v>
      </c>
    </row>
    <row r="15234" spans="1:5" x14ac:dyDescent="0.25">
      <c r="A15234" t="str">
        <f>HYPERLINK("https://www.773grp.com/globalSearch/MC34160DWG/page-1", "MC34160DWG")</f>
        <v>MC34160DWG</v>
      </c>
      <c r="B15234" s="3" t="str">
        <f>HYPERLINK("https://www.773grp.com/manufacturer/onsemi?pageNo=405", "Onsemi")</f>
        <v>Onsemi</v>
      </c>
      <c r="C15234" s="6">
        <v>893</v>
      </c>
      <c r="D15234" s="7">
        <v>3.8</v>
      </c>
      <c r="E15234" t="s">
        <v>24</v>
      </c>
    </row>
    <row r="15235" spans="1:5" x14ac:dyDescent="0.25">
      <c r="A15235" t="str">
        <f>HYPERLINK("https://www.773grp.com/globalSearch/MC34160DWR2G/page-1", "MC34160DWR2G")</f>
        <v>MC34160DWR2G</v>
      </c>
      <c r="B15235" s="3" t="str">
        <f>HYPERLINK("https://www.773grp.com/manufacturer/onsemi?pageNo=406", "Onsemi")</f>
        <v>Onsemi</v>
      </c>
      <c r="C15235" s="6">
        <v>2250</v>
      </c>
      <c r="D15235" s="7">
        <v>3.8</v>
      </c>
      <c r="E15235" t="s">
        <v>24</v>
      </c>
    </row>
    <row r="15236" spans="1:5" x14ac:dyDescent="0.25">
      <c r="A15236" t="str">
        <f>HYPERLINK("https://www.773grp.com/globalSearch/MC34184DTB/page-1", "MC34184DTB")</f>
        <v>MC34184DTB</v>
      </c>
      <c r="B15236" s="3" t="str">
        <f>HYPERLINK("https://www.773grp.com/manufacturer/onsemi?pageNo=407", "Onsemi")</f>
        <v>Onsemi</v>
      </c>
      <c r="C15236" s="6">
        <v>975</v>
      </c>
      <c r="D15236" s="7">
        <v>3.8</v>
      </c>
      <c r="E15236" t="s">
        <v>10</v>
      </c>
    </row>
    <row r="15237" spans="1:5" x14ac:dyDescent="0.25">
      <c r="A15237" t="str">
        <f>HYPERLINK("https://www.773grp.com/globalSearch/MC34184M/page-1", "MC34184M")</f>
        <v>MC34184M</v>
      </c>
      <c r="B15237" s="3" t="str">
        <f>HYPERLINK("https://www.773grp.com/manufacturer/onsemi?pageNo=408", "Onsemi")</f>
        <v>Onsemi</v>
      </c>
      <c r="C15237" s="6">
        <v>1655</v>
      </c>
      <c r="D15237" s="7">
        <v>3.8</v>
      </c>
    </row>
    <row r="15238" spans="1:5" x14ac:dyDescent="0.25">
      <c r="A15238" t="str">
        <f>HYPERLINK("https://www.773grp.com/globalSearch/MC44603APG/page-1", "MC44603APG")</f>
        <v>MC44603APG</v>
      </c>
      <c r="B15238" s="3" t="str">
        <f>HYPERLINK("https://www.773grp.com/manufacturer/onsemi?pageNo=409", "Onsemi")</f>
        <v>Onsemi</v>
      </c>
      <c r="C15238" s="6">
        <v>2425</v>
      </c>
      <c r="D15238" s="7">
        <v>3.8</v>
      </c>
      <c r="E15238" t="s">
        <v>5</v>
      </c>
    </row>
    <row r="15239" spans="1:5" x14ac:dyDescent="0.25">
      <c r="A15239" t="str">
        <f>HYPERLINK("https://www.773grp.com/globalSearch/MJ15002G/page-1", "MJ15002G")</f>
        <v>MJ15002G</v>
      </c>
      <c r="B15239" s="3" t="str">
        <f>HYPERLINK("https://www.773grp.com/manufacturer/onsemi?pageNo=410", "Onsemi")</f>
        <v>Onsemi</v>
      </c>
      <c r="C15239" s="6">
        <v>617</v>
      </c>
      <c r="D15239" s="7">
        <v>3.8</v>
      </c>
      <c r="E15239" t="s">
        <v>47</v>
      </c>
    </row>
    <row r="15240" spans="1:5" x14ac:dyDescent="0.25">
      <c r="A15240" t="str">
        <f>HYPERLINK("https://www.773grp.com/globalSearch/MJE5740G/page-1", "MJE5740G")</f>
        <v>MJE5740G</v>
      </c>
      <c r="B15240" s="3" t="str">
        <f>HYPERLINK("https://www.773grp.com/manufacturer/onsemi?pageNo=411", "Onsemi")</f>
        <v>Onsemi</v>
      </c>
      <c r="C15240" s="6">
        <v>1009</v>
      </c>
      <c r="D15240" s="7">
        <v>3.8</v>
      </c>
      <c r="E15240" t="s">
        <v>47</v>
      </c>
    </row>
    <row r="15241" spans="1:5" x14ac:dyDescent="0.25">
      <c r="A15241" t="str">
        <f>HYPERLINK("https://www.773grp.com/globalSearch/MTB3N60E/page-1", "MTB3N60E")</f>
        <v>MTB3N60E</v>
      </c>
      <c r="B15241" s="3" t="str">
        <f>HYPERLINK("https://www.773grp.com/manufacturer/onsemi?pageNo=412", "Onsemi")</f>
        <v>Onsemi</v>
      </c>
      <c r="C15241" s="6">
        <v>550</v>
      </c>
      <c r="D15241" s="7">
        <v>3.8</v>
      </c>
      <c r="E15241" t="s">
        <v>84</v>
      </c>
    </row>
    <row r="15242" spans="1:5" x14ac:dyDescent="0.25">
      <c r="A15242" t="str">
        <f>HYPERLINK("https://www.773grp.com/globalSearch/MTB3N60ET4/page-1", "MTB3N60ET4")</f>
        <v>MTB3N60ET4</v>
      </c>
      <c r="B15242" s="3" t="str">
        <f>HYPERLINK("https://www.773grp.com/manufacturer/onsemi?pageNo=413", "Onsemi")</f>
        <v>Onsemi</v>
      </c>
      <c r="C15242" s="6">
        <v>700</v>
      </c>
      <c r="D15242" s="7">
        <v>3.8</v>
      </c>
    </row>
    <row r="15243" spans="1:5" x14ac:dyDescent="0.25">
      <c r="A15243" t="str">
        <f>HYPERLINK("https://www.773grp.com/globalSearch/NCP4420DR2/page-1", "NCP4420DR2")</f>
        <v>NCP4420DR2</v>
      </c>
      <c r="B15243" s="3" t="str">
        <f>HYPERLINK("https://www.773grp.com/manufacturer/onsemi?pageNo=414", "Onsemi")</f>
        <v>Onsemi</v>
      </c>
      <c r="C15243" s="6">
        <v>22406</v>
      </c>
      <c r="D15243" s="7">
        <v>3.8</v>
      </c>
      <c r="E15243" t="s">
        <v>12</v>
      </c>
    </row>
    <row r="15244" spans="1:5" x14ac:dyDescent="0.25">
      <c r="A15244" t="str">
        <f>HYPERLINK("https://www.773grp.com/globalSearch/NCP5422ADR2G/page-1", "NCP5422ADR2G")</f>
        <v>NCP5422ADR2G</v>
      </c>
      <c r="B15244" s="3" t="str">
        <f>HYPERLINK("https://www.773grp.com/manufacturer/onsemi?pageNo=415", "Onsemi")</f>
        <v>Onsemi</v>
      </c>
      <c r="C15244" s="6">
        <v>25000</v>
      </c>
      <c r="D15244" s="7">
        <v>3.8</v>
      </c>
      <c r="E15244" t="s">
        <v>5</v>
      </c>
    </row>
    <row r="15245" spans="1:5" x14ac:dyDescent="0.25">
      <c r="A15245" t="str">
        <f>HYPERLINK("https://www.773grp.com/globalSearch/NCP5608MTR2G/page-1", "NCP5608MTR2G")</f>
        <v>NCP5608MTR2G</v>
      </c>
      <c r="B15245" s="3" t="str">
        <f>HYPERLINK("https://www.773grp.com/manufacturer/onsemi?pageNo=416", "Onsemi")</f>
        <v>Onsemi</v>
      </c>
      <c r="C15245" s="6">
        <v>15447</v>
      </c>
      <c r="D15245" s="7">
        <v>3.8</v>
      </c>
      <c r="E15245" t="s">
        <v>7</v>
      </c>
    </row>
    <row r="15246" spans="1:5" x14ac:dyDescent="0.25">
      <c r="A15246" t="str">
        <f>HYPERLINK("https://www.773grp.com/globalSearch/NCV4274ADS33R4G/page-1", "NCV4274ADS33R4G")</f>
        <v>NCV4274ADS33R4G</v>
      </c>
      <c r="B15246" s="3" t="str">
        <f>HYPERLINK("https://www.773grp.com/manufacturer/onsemi?pageNo=417", "Onsemi")</f>
        <v>Onsemi</v>
      </c>
      <c r="C15246" s="6">
        <v>674</v>
      </c>
      <c r="D15246" s="7">
        <v>3.8</v>
      </c>
    </row>
    <row r="15247" spans="1:5" x14ac:dyDescent="0.25">
      <c r="A15247" t="str">
        <f>HYPERLINK("https://www.773grp.com/globalSearch/NCV4274ADS50G/page-1", "NCV4274ADS50G")</f>
        <v>NCV4274ADS50G</v>
      </c>
      <c r="B15247" s="3" t="str">
        <f>HYPERLINK("https://www.773grp.com/manufacturer/onsemi?pageNo=418", "Onsemi")</f>
        <v>Onsemi</v>
      </c>
      <c r="C15247" s="6">
        <v>45</v>
      </c>
      <c r="D15247" s="7">
        <v>3.8</v>
      </c>
      <c r="E15247" t="s">
        <v>24</v>
      </c>
    </row>
    <row r="15248" spans="1:5" x14ac:dyDescent="0.25">
      <c r="A15248" t="str">
        <f>HYPERLINK("https://www.773grp.com/globalSearch/NCV4274ADS50R4G/page-1", "NCV4274ADS50R4G")</f>
        <v>NCV4274ADS50R4G</v>
      </c>
      <c r="B15248" s="3" t="str">
        <f>HYPERLINK("https://www.773grp.com/manufacturer/onsemi?pageNo=419", "Onsemi")</f>
        <v>Onsemi</v>
      </c>
      <c r="C15248" s="6">
        <v>27</v>
      </c>
      <c r="D15248" s="7">
        <v>3.8</v>
      </c>
      <c r="E15248" t="s">
        <v>24</v>
      </c>
    </row>
    <row r="15249" spans="1:5" x14ac:dyDescent="0.25">
      <c r="A15249" t="str">
        <f>HYPERLINK("https://www.773grp.com/globalSearch/NCV4274ADS85R4G/page-1", "NCV4274ADS85R4G")</f>
        <v>NCV4274ADS85R4G</v>
      </c>
      <c r="B15249" s="3" t="str">
        <f>HYPERLINK("https://www.773grp.com/manufacturer/onsemi?pageNo=420", "Onsemi")</f>
        <v>Onsemi</v>
      </c>
      <c r="C15249" s="6">
        <v>2400</v>
      </c>
      <c r="D15249" s="7">
        <v>3.8</v>
      </c>
    </row>
    <row r="15250" spans="1:5" x14ac:dyDescent="0.25">
      <c r="A15250" t="str">
        <f>HYPERLINK("https://www.773grp.com/globalSearch/NCV4274DS50R4G/page-1", "NCV4274DS50R4G")</f>
        <v>NCV4274DS50R4G</v>
      </c>
      <c r="B15250" s="3" t="str">
        <f>HYPERLINK("https://www.773grp.com/manufacturer/onsemi?pageNo=421", "Onsemi")</f>
        <v>Onsemi</v>
      </c>
      <c r="C15250" s="6">
        <v>820</v>
      </c>
      <c r="D15250" s="7">
        <v>3.8</v>
      </c>
      <c r="E15250" t="s">
        <v>24</v>
      </c>
    </row>
    <row r="15251" spans="1:5" x14ac:dyDescent="0.25">
      <c r="A15251" t="str">
        <f>HYPERLINK("https://www.773grp.com/globalSearch/NCV7382DG/page-1", "NCV7382DG")</f>
        <v>NCV7382DG</v>
      </c>
      <c r="B15251" s="3" t="str">
        <f>HYPERLINK("https://www.773grp.com/manufacturer/onsemi?pageNo=422", "Onsemi")</f>
        <v>Onsemi</v>
      </c>
      <c r="C15251" s="6">
        <v>13034</v>
      </c>
      <c r="D15251" s="7">
        <v>3.8</v>
      </c>
      <c r="E15251" t="s">
        <v>17</v>
      </c>
    </row>
    <row r="15252" spans="1:5" x14ac:dyDescent="0.25">
      <c r="A15252" t="str">
        <f>HYPERLINK("https://www.773grp.com/globalSearch/NCV8509PDW18R2/page-1", "NCV8509PDW18R2")</f>
        <v>NCV8509PDW18R2</v>
      </c>
      <c r="B15252" s="3" t="str">
        <f>HYPERLINK("https://www.773grp.com/manufacturer/onsemi?pageNo=423", "Onsemi")</f>
        <v>Onsemi</v>
      </c>
      <c r="C15252" s="6">
        <v>3000</v>
      </c>
      <c r="D15252" s="7">
        <v>3.8</v>
      </c>
      <c r="E15252" t="s">
        <v>96</v>
      </c>
    </row>
    <row r="15253" spans="1:5" x14ac:dyDescent="0.25">
      <c r="A15253" t="str">
        <f>HYPERLINK("https://www.773grp.com/globalSearch/NIMD6302R2/page-1", "NIMD6302R2")</f>
        <v>NIMD6302R2</v>
      </c>
      <c r="B15253" s="3" t="str">
        <f>HYPERLINK("https://www.773grp.com/manufacturer/onsemi?pageNo=424", "Onsemi")</f>
        <v>Onsemi</v>
      </c>
      <c r="C15253" s="6">
        <v>7385</v>
      </c>
      <c r="D15253" s="7">
        <v>3.8</v>
      </c>
      <c r="E15253" t="s">
        <v>85</v>
      </c>
    </row>
    <row r="15254" spans="1:5" x14ac:dyDescent="0.25">
      <c r="A15254" t="str">
        <f>HYPERLINK("https://www.773grp.com/globalSearch/NVD5117PLT4G/page-1", "NVD5117PLT4G")</f>
        <v>NVD5117PLT4G</v>
      </c>
      <c r="B15254" s="3" t="str">
        <f>HYPERLINK("https://www.773grp.com/manufacturer/onsemi?pageNo=425", "Onsemi")</f>
        <v>Onsemi</v>
      </c>
      <c r="C15254" s="6">
        <v>2500</v>
      </c>
      <c r="D15254" s="7">
        <v>3.8</v>
      </c>
    </row>
    <row r="15255" spans="1:5" x14ac:dyDescent="0.25">
      <c r="A15255" t="str">
        <f>HYPERLINK("https://www.773grp.com/globalSearch/CAT5112VI00/page-1", "CAT5112VI00")</f>
        <v>CAT5112VI00</v>
      </c>
      <c r="B15255" s="3" t="str">
        <f>HYPERLINK("https://www.773grp.com/manufacturer/onsemi?pageNo=426", "Onsemi")</f>
        <v>Onsemi</v>
      </c>
      <c r="C15255" s="6">
        <v>10200</v>
      </c>
      <c r="D15255" s="7">
        <v>3.43</v>
      </c>
      <c r="E15255" t="s">
        <v>78</v>
      </c>
    </row>
    <row r="15256" spans="1:5" x14ac:dyDescent="0.25">
      <c r="A15256" t="str">
        <f>HYPERLINK("https://www.773grp.com/globalSearch/CAT5112VI-00-G/page-1", "CAT5112VI-00-G")</f>
        <v>CAT5112VI-00-G</v>
      </c>
      <c r="B15256" s="3" t="str">
        <f>HYPERLINK("https://www.773grp.com/manufacturer/onsemi?pageNo=427", "Onsemi")</f>
        <v>Onsemi</v>
      </c>
      <c r="C15256" s="6">
        <v>1800</v>
      </c>
      <c r="D15256" s="7">
        <v>3.43</v>
      </c>
      <c r="E15256" t="s">
        <v>78</v>
      </c>
    </row>
    <row r="15257" spans="1:5" x14ac:dyDescent="0.25">
      <c r="A15257" t="str">
        <f>HYPERLINK("https://www.773grp.com/globalSearch/CAT5112VI10/page-1", "CAT5112VI10")</f>
        <v>CAT5112VI10</v>
      </c>
      <c r="B15257" s="3" t="str">
        <f>HYPERLINK("https://www.773grp.com/manufacturer/onsemi?pageNo=428", "Onsemi")</f>
        <v>Onsemi</v>
      </c>
      <c r="C15257" s="6">
        <v>6500</v>
      </c>
      <c r="D15257" s="7">
        <v>3.43</v>
      </c>
      <c r="E15257" t="s">
        <v>78</v>
      </c>
    </row>
    <row r="15258" spans="1:5" x14ac:dyDescent="0.25">
      <c r="A15258" t="str">
        <f>HYPERLINK("https://www.773grp.com/globalSearch/CAT5112VI-10-G/page-1", "CAT5112VI-10-G")</f>
        <v>CAT5112VI-10-G</v>
      </c>
      <c r="B15258" s="3" t="str">
        <f>HYPERLINK("https://www.773grp.com/manufacturer/onsemi?pageNo=429", "Onsemi")</f>
        <v>Onsemi</v>
      </c>
      <c r="C15258" s="6">
        <v>4600</v>
      </c>
      <c r="D15258" s="7">
        <v>3.43</v>
      </c>
      <c r="E15258" t="s">
        <v>78</v>
      </c>
    </row>
    <row r="15259" spans="1:5" x14ac:dyDescent="0.25">
      <c r="A15259" t="str">
        <f>HYPERLINK("https://www.773grp.com/globalSearch/CAT5112VI-10-T3/page-1", "CAT5112VI-10-T3")</f>
        <v>CAT5112VI-10-T3</v>
      </c>
      <c r="B15259" s="3" t="str">
        <f>HYPERLINK("https://www.773grp.com/manufacturer/onsemi?pageNo=430", "Onsemi")</f>
        <v>Onsemi</v>
      </c>
      <c r="C15259" s="6">
        <v>2500</v>
      </c>
      <c r="D15259" s="7">
        <v>3.43</v>
      </c>
      <c r="E15259" t="s">
        <v>78</v>
      </c>
    </row>
    <row r="15260" spans="1:5" x14ac:dyDescent="0.25">
      <c r="A15260" t="str">
        <f>HYPERLINK("https://www.773grp.com/globalSearch/CAT5112VI-50-G/page-1", "CAT5112VI-50-G")</f>
        <v>CAT5112VI-50-G</v>
      </c>
      <c r="B15260" s="3" t="str">
        <f>HYPERLINK("https://www.773grp.com/manufacturer/onsemi?pageNo=431", "Onsemi")</f>
        <v>Onsemi</v>
      </c>
      <c r="C15260" s="6">
        <v>3800</v>
      </c>
      <c r="D15260" s="7">
        <v>3.43</v>
      </c>
      <c r="E15260" t="s">
        <v>78</v>
      </c>
    </row>
    <row r="15261" spans="1:5" x14ac:dyDescent="0.25">
      <c r="A15261" t="str">
        <f>HYPERLINK("https://www.773grp.com/globalSearch/CAT5112YI-10-G/page-1", "CAT5112YI-10-G")</f>
        <v>CAT5112YI-10-G</v>
      </c>
      <c r="B15261" s="3" t="str">
        <f>HYPERLINK("https://www.773grp.com/manufacturer/onsemi?pageNo=432", "Onsemi")</f>
        <v>Onsemi</v>
      </c>
      <c r="C15261" s="6">
        <v>700</v>
      </c>
      <c r="D15261" s="7">
        <v>3.43</v>
      </c>
      <c r="E15261" t="s">
        <v>78</v>
      </c>
    </row>
    <row r="15262" spans="1:5" x14ac:dyDescent="0.25">
      <c r="A15262" t="str">
        <f>HYPERLINK("https://www.773grp.com/globalSearch/CS8151YDPS7G/page-1", "CS8151YDPS7G")</f>
        <v>CS8151YDPS7G</v>
      </c>
      <c r="B15262" s="3" t="str">
        <f>HYPERLINK("https://www.773grp.com/manufacturer/onsemi?pageNo=433", "Onsemi")</f>
        <v>Onsemi</v>
      </c>
      <c r="C15262" s="6">
        <v>350</v>
      </c>
      <c r="D15262" s="7">
        <v>3.43</v>
      </c>
      <c r="E15262" t="s">
        <v>15</v>
      </c>
    </row>
    <row r="15263" spans="1:5" x14ac:dyDescent="0.25">
      <c r="A15263" t="str">
        <f>HYPERLINK("https://www.773grp.com/globalSearch/CS8151YDPSR7/page-1", "CS8151YDPSR7")</f>
        <v>CS8151YDPSR7</v>
      </c>
      <c r="B15263" s="3" t="str">
        <f>HYPERLINK("https://www.773grp.com/manufacturer/onsemi?pageNo=434", "Onsemi")</f>
        <v>Onsemi</v>
      </c>
      <c r="C15263" s="6">
        <v>1500</v>
      </c>
      <c r="D15263" s="7">
        <v>3.43</v>
      </c>
      <c r="E15263" t="s">
        <v>15</v>
      </c>
    </row>
    <row r="15264" spans="1:5" x14ac:dyDescent="0.25">
      <c r="A15264" t="str">
        <f>HYPERLINK("https://www.773grp.com/globalSearch/CS8151YDPSR7G/page-1", "CS8151YDPSR7G")</f>
        <v>CS8151YDPSR7G</v>
      </c>
      <c r="B15264" s="3" t="str">
        <f>HYPERLINK("https://www.773grp.com/manufacturer/onsemi?pageNo=435", "Onsemi")</f>
        <v>Onsemi</v>
      </c>
      <c r="C15264" s="6">
        <v>18694</v>
      </c>
      <c r="D15264" s="7">
        <v>3.43</v>
      </c>
      <c r="E15264" t="s">
        <v>15</v>
      </c>
    </row>
    <row r="15265" spans="1:5" x14ac:dyDescent="0.25">
      <c r="A15265" t="str">
        <f>HYPERLINK("https://www.773grp.com/globalSearch/MC10114P/page-1", "MC10114P")</f>
        <v>MC10114P</v>
      </c>
      <c r="B15265" s="3" t="str">
        <f>HYPERLINK("https://www.773grp.com/manufacturer/onsemi?pageNo=436", "Onsemi")</f>
        <v>Onsemi</v>
      </c>
      <c r="C15265" s="6">
        <v>2958</v>
      </c>
      <c r="D15265" s="7">
        <v>3.43</v>
      </c>
      <c r="E15265" t="s">
        <v>17</v>
      </c>
    </row>
    <row r="15266" spans="1:5" x14ac:dyDescent="0.25">
      <c r="A15266" t="str">
        <f>HYPERLINK("https://www.773grp.com/globalSearch/MC33163DWG/page-1", "MC33163DWG")</f>
        <v>MC33163DWG</v>
      </c>
      <c r="B15266" s="3" t="str">
        <f>HYPERLINK("https://www.773grp.com/manufacturer/onsemi?pageNo=437", "Onsemi")</f>
        <v>Onsemi</v>
      </c>
      <c r="C15266" s="6">
        <v>30</v>
      </c>
      <c r="D15266" s="7">
        <v>3.43</v>
      </c>
    </row>
    <row r="15267" spans="1:5" x14ac:dyDescent="0.25">
      <c r="A15267" t="str">
        <f>HYPERLINK("https://www.773grp.com/globalSearch/MC33163DWR2G/page-1", "MC33163DWR2G")</f>
        <v>MC33163DWR2G</v>
      </c>
      <c r="B15267" s="3" t="str">
        <f>HYPERLINK("https://www.773grp.com/manufacturer/onsemi?pageNo=438", "Onsemi")</f>
        <v>Onsemi</v>
      </c>
      <c r="C15267" s="6">
        <v>37</v>
      </c>
      <c r="D15267" s="7">
        <v>3.43</v>
      </c>
      <c r="E15267" t="s">
        <v>5</v>
      </c>
    </row>
    <row r="15268" spans="1:5" x14ac:dyDescent="0.25">
      <c r="A15268" t="str">
        <f>HYPERLINK("https://www.773grp.com/globalSearch/MC33163PG/page-1", "MC33163PG")</f>
        <v>MC33163PG</v>
      </c>
      <c r="B15268" s="3" t="str">
        <f>HYPERLINK("https://www.773grp.com/manufacturer/onsemi?pageNo=439", "Onsemi")</f>
        <v>Onsemi</v>
      </c>
      <c r="C15268" s="6">
        <v>1381</v>
      </c>
      <c r="D15268" s="7">
        <v>3.43</v>
      </c>
      <c r="E15268" t="s">
        <v>5</v>
      </c>
    </row>
    <row r="15269" spans="1:5" x14ac:dyDescent="0.25">
      <c r="A15269" t="str">
        <f>HYPERLINK("https://www.773grp.com/globalSearch/MR2835SKG/page-1", "MR2835SKG")</f>
        <v>MR2835SKG</v>
      </c>
      <c r="B15269" s="3" t="str">
        <f>HYPERLINK("https://www.773grp.com/manufacturer/onsemi?pageNo=440", "Onsemi")</f>
        <v>Onsemi</v>
      </c>
      <c r="C15269" s="6">
        <v>10500</v>
      </c>
      <c r="D15269" s="7">
        <v>3.43</v>
      </c>
    </row>
    <row r="15270" spans="1:5" x14ac:dyDescent="0.25">
      <c r="A15270" t="str">
        <f>HYPERLINK("https://www.773grp.com/globalSearch/CS8281YDPR5/page-1", "CS8281YDPR5")</f>
        <v>CS8281YDPR5</v>
      </c>
      <c r="B15270" s="3" t="str">
        <f>HYPERLINK("https://www.773grp.com/manufacturer/onsemi?pageNo=441", "Onsemi")</f>
        <v>Onsemi</v>
      </c>
      <c r="C15270" s="6">
        <v>7500</v>
      </c>
      <c r="D15270" s="7">
        <v>3.46</v>
      </c>
      <c r="E15270" t="s">
        <v>39</v>
      </c>
    </row>
    <row r="15271" spans="1:5" x14ac:dyDescent="0.25">
      <c r="A15271" t="str">
        <f>HYPERLINK("https://www.773grp.com/globalSearch/LC87F2H08AVU-QFP-E/page-1", "LC87F2H08AVU-QFP-E")</f>
        <v>LC87F2H08AVU-QFP-E</v>
      </c>
      <c r="B15271" s="3" t="str">
        <f>HYPERLINK("https://www.773grp.com/manufacturer/onsemi?pageNo=442", "Onsemi")</f>
        <v>Onsemi</v>
      </c>
      <c r="C15271" s="6">
        <v>11405</v>
      </c>
      <c r="D15271" s="7">
        <v>3.46</v>
      </c>
    </row>
    <row r="15272" spans="1:5" x14ac:dyDescent="0.25">
      <c r="A15272" t="str">
        <f>HYPERLINK("https://www.773grp.com/globalSearch/MBR2060CT/page-1", "MBR2060CT")</f>
        <v>MBR2060CT</v>
      </c>
      <c r="B15272" s="3" t="str">
        <f>HYPERLINK("https://www.773grp.com/manufacturer/onsemi?pageNo=443", "Onsemi")</f>
        <v>Onsemi</v>
      </c>
      <c r="C15272" s="6">
        <v>12069</v>
      </c>
      <c r="D15272" s="7">
        <v>3.46</v>
      </c>
      <c r="E15272" t="s">
        <v>82</v>
      </c>
    </row>
    <row r="15273" spans="1:5" x14ac:dyDescent="0.25">
      <c r="A15273" t="str">
        <f>HYPERLINK("https://www.773grp.com/globalSearch/MTB29N15ET4/page-1", "MTB29N15ET4")</f>
        <v>MTB29N15ET4</v>
      </c>
      <c r="B15273" s="3" t="str">
        <f>HYPERLINK("https://www.773grp.com/manufacturer/onsemi?pageNo=444", "Onsemi")</f>
        <v>Onsemi</v>
      </c>
      <c r="C15273" s="6">
        <v>47200</v>
      </c>
      <c r="D15273" s="7">
        <v>3.46</v>
      </c>
      <c r="E15273" t="s">
        <v>84</v>
      </c>
    </row>
    <row r="15274" spans="1:5" x14ac:dyDescent="0.25">
      <c r="A15274" t="str">
        <f>HYPERLINK("https://www.773grp.com/globalSearch/N01L63W3AT25I/page-1", "N01L63W3AT25I")</f>
        <v>N01L63W3AT25I</v>
      </c>
      <c r="B15274" s="3" t="str">
        <f>HYPERLINK("https://www.773grp.com/manufacturer/onsemi?pageNo=445", "Onsemi")</f>
        <v>Onsemi</v>
      </c>
      <c r="C15274" s="6">
        <v>528810</v>
      </c>
      <c r="D15274" s="7">
        <v>3.46</v>
      </c>
      <c r="E15274" t="s">
        <v>63</v>
      </c>
    </row>
    <row r="15275" spans="1:5" x14ac:dyDescent="0.25">
      <c r="A15275" t="str">
        <f>HYPERLINK("https://www.773grp.com/globalSearch/2N6052/page-1", "2N6052")</f>
        <v>2N6052</v>
      </c>
      <c r="B15275" s="3" t="str">
        <f>HYPERLINK("https://www.773grp.com/manufacturer/onsemi?pageNo=446", "Onsemi")</f>
        <v>Onsemi</v>
      </c>
      <c r="C15275" s="6">
        <v>33</v>
      </c>
      <c r="D15275" s="7">
        <v>3.85</v>
      </c>
      <c r="E15275" t="s">
        <v>47</v>
      </c>
    </row>
    <row r="15276" spans="1:5" x14ac:dyDescent="0.25">
      <c r="A15276" t="str">
        <f>HYPERLINK("https://www.773grp.com/globalSearch/LB8503V-MPB-E/page-1", "LB8503V-MPB-E")</f>
        <v>LB8503V-MPB-E</v>
      </c>
      <c r="B15276" s="3" t="str">
        <f>HYPERLINK("https://www.773grp.com/manufacturer/onsemi?pageNo=447", "Onsemi")</f>
        <v>Onsemi</v>
      </c>
      <c r="C15276" s="6">
        <v>2385</v>
      </c>
      <c r="D15276" s="7">
        <v>3.85</v>
      </c>
    </row>
    <row r="15277" spans="1:5" x14ac:dyDescent="0.25">
      <c r="A15277" t="str">
        <f>HYPERLINK("https://www.773grp.com/globalSearch/LM2575D2T-005/page-1", "LM2575D2T-005")</f>
        <v>LM2575D2T-005</v>
      </c>
      <c r="B15277" s="3" t="str">
        <f>HYPERLINK("https://www.773grp.com/manufacturer/onsemi?pageNo=448", "Onsemi")</f>
        <v>Onsemi</v>
      </c>
      <c r="C15277" s="6">
        <v>575</v>
      </c>
      <c r="D15277" s="7">
        <v>3.85</v>
      </c>
      <c r="E15277" t="s">
        <v>5</v>
      </c>
    </row>
    <row r="15278" spans="1:5" x14ac:dyDescent="0.25">
      <c r="A15278" t="str">
        <f>HYPERLINK("https://www.773grp.com/globalSearch/MBRB41H100CT-1G/page-1", "MBRB41H100CT-1G")</f>
        <v>MBRB41H100CT-1G</v>
      </c>
      <c r="B15278" s="3" t="str">
        <f>HYPERLINK("https://www.773grp.com/manufacturer/onsemi?pageNo=449", "Onsemi")</f>
        <v>Onsemi</v>
      </c>
      <c r="C15278" s="6">
        <v>46400</v>
      </c>
      <c r="D15278" s="7">
        <v>3.85</v>
      </c>
      <c r="E15278" t="s">
        <v>82</v>
      </c>
    </row>
    <row r="15279" spans="1:5" x14ac:dyDescent="0.25">
      <c r="A15279" t="str">
        <f>HYPERLINK("https://www.773grp.com/globalSearch/NCV2575D2T-ADJ/page-1", "NCV2575D2T-ADJ")</f>
        <v>NCV2575D2T-ADJ</v>
      </c>
      <c r="B15279" s="3" t="str">
        <f>HYPERLINK("https://www.773grp.com/manufacturer/onsemi?pageNo=450", "Onsemi")</f>
        <v>Onsemi</v>
      </c>
      <c r="C15279" s="6">
        <v>8000</v>
      </c>
      <c r="D15279" s="7">
        <v>3.85</v>
      </c>
    </row>
    <row r="15280" spans="1:5" x14ac:dyDescent="0.25">
      <c r="A15280" t="str">
        <f>HYPERLINK("https://www.773grp.com/globalSearch/NCV8665D50R2G/page-1", "NCV8665D50R2G")</f>
        <v>NCV8665D50R2G</v>
      </c>
      <c r="B15280" s="3" t="str">
        <f>HYPERLINK("https://www.773grp.com/manufacturer/onsemi?pageNo=451", "Onsemi")</f>
        <v>Onsemi</v>
      </c>
      <c r="C15280" s="6">
        <v>7500</v>
      </c>
      <c r="D15280" s="7">
        <v>3.85</v>
      </c>
      <c r="E15280" t="s">
        <v>15</v>
      </c>
    </row>
    <row r="15281" spans="1:5" x14ac:dyDescent="0.25">
      <c r="A15281" t="str">
        <f>HYPERLINK("https://www.773grp.com/globalSearch/NCV866710D150R2G/page-1", "NCV866710D150R2G")</f>
        <v>NCV866710D150R2G</v>
      </c>
      <c r="B15281" s="3" t="str">
        <f>HYPERLINK("https://www.773grp.com/manufacturer/onsemi?pageNo=452", "Onsemi")</f>
        <v>Onsemi</v>
      </c>
      <c r="C15281" s="6">
        <v>2500</v>
      </c>
      <c r="D15281" s="7">
        <v>3.85</v>
      </c>
    </row>
    <row r="15282" spans="1:5" x14ac:dyDescent="0.25">
      <c r="A15282" t="str">
        <f>HYPERLINK("https://www.773grp.com/globalSearch/NTB6413ANG/page-1", "NTB6413ANG")</f>
        <v>NTB6413ANG</v>
      </c>
      <c r="B15282" s="3" t="str">
        <f>HYPERLINK("https://www.773grp.com/manufacturer/onsemi?pageNo=453", "Onsemi")</f>
        <v>Onsemi</v>
      </c>
      <c r="C15282" s="6">
        <v>450</v>
      </c>
      <c r="D15282" s="7">
        <v>3.85</v>
      </c>
    </row>
    <row r="15283" spans="1:5" x14ac:dyDescent="0.25">
      <c r="A15283" t="str">
        <f>HYPERLINK("https://www.773grp.com/globalSearch/NTB6413ANT4G/page-1", "NTB6413ANT4G")</f>
        <v>NTB6413ANT4G</v>
      </c>
      <c r="B15283" s="3" t="str">
        <f>HYPERLINK("https://www.773grp.com/manufacturer/onsemi?pageNo=454", "Onsemi")</f>
        <v>Onsemi</v>
      </c>
      <c r="C15283" s="6">
        <v>2400</v>
      </c>
      <c r="D15283" s="7">
        <v>3.85</v>
      </c>
    </row>
    <row r="15284" spans="1:5" x14ac:dyDescent="0.25">
      <c r="A15284" t="str">
        <f>HYPERLINK("https://www.773grp.com/globalSearch/N25S830HAS22IT/page-1", "N25S830HAS22IT")</f>
        <v>N25S830HAS22IT</v>
      </c>
      <c r="B15284" s="3" t="str">
        <f>HYPERLINK("https://www.773grp.com/manufacturer/onsemi?pageNo=455", "Onsemi")</f>
        <v>Onsemi</v>
      </c>
      <c r="C15284" s="6">
        <v>1346950</v>
      </c>
      <c r="D15284" s="7">
        <v>3.49</v>
      </c>
      <c r="E15284" t="s">
        <v>63</v>
      </c>
    </row>
    <row r="15285" spans="1:5" x14ac:dyDescent="0.25">
      <c r="A15285" t="str">
        <f>HYPERLINK("https://www.773grp.com/globalSearch/ADP4000JCPZ-REEL/page-1", "ADP4000JCPZ-REEL")</f>
        <v>ADP4000JCPZ-REEL</v>
      </c>
      <c r="B15285" s="3" t="str">
        <f>HYPERLINK("https://www.773grp.com/manufacturer/onsemi?pageNo=456", "Onsemi")</f>
        <v>Onsemi</v>
      </c>
      <c r="C15285" s="6">
        <v>29500</v>
      </c>
      <c r="D15285" s="7">
        <v>3.51</v>
      </c>
      <c r="E15285" t="s">
        <v>5</v>
      </c>
    </row>
    <row r="15286" spans="1:5" x14ac:dyDescent="0.25">
      <c r="A15286" t="str">
        <f>HYPERLINK("https://www.773grp.com/globalSearch/CS51022ADBG/page-1", "CS51022ADBG")</f>
        <v>CS51022ADBG</v>
      </c>
      <c r="B15286" s="3" t="str">
        <f>HYPERLINK("https://www.773grp.com/manufacturer/onsemi?pageNo=457", "Onsemi")</f>
        <v>Onsemi</v>
      </c>
      <c r="C15286" s="6">
        <v>9747</v>
      </c>
      <c r="D15286" s="7">
        <v>3.51</v>
      </c>
      <c r="E15286" t="s">
        <v>5</v>
      </c>
    </row>
    <row r="15287" spans="1:5" x14ac:dyDescent="0.25">
      <c r="A15287" t="str">
        <f>HYPERLINK("https://www.773grp.com/globalSearch/CS51022ADBR2G/page-1", "CS51022ADBR2G")</f>
        <v>CS51022ADBR2G</v>
      </c>
      <c r="B15287" s="3" t="str">
        <f>HYPERLINK("https://www.773grp.com/manufacturer/onsemi?pageNo=458", "Onsemi")</f>
        <v>Onsemi</v>
      </c>
      <c r="C15287" s="6">
        <v>2075</v>
      </c>
      <c r="D15287" s="7">
        <v>3.51</v>
      </c>
    </row>
    <row r="15288" spans="1:5" x14ac:dyDescent="0.25">
      <c r="A15288" t="str">
        <f>HYPERLINK("https://www.773grp.com/globalSearch/CS5165AGDW16G/page-1", "CS5165AGDW16G")</f>
        <v>CS5165AGDW16G</v>
      </c>
      <c r="B15288" s="3" t="str">
        <f>HYPERLINK("https://www.773grp.com/manufacturer/onsemi?pageNo=459", "Onsemi")</f>
        <v>Onsemi</v>
      </c>
      <c r="C15288" s="6">
        <v>6</v>
      </c>
      <c r="D15288" s="7">
        <v>3.51</v>
      </c>
      <c r="E15288" t="s">
        <v>5</v>
      </c>
    </row>
    <row r="15289" spans="1:5" x14ac:dyDescent="0.25">
      <c r="A15289" t="str">
        <f>HYPERLINK("https://www.773grp.com/globalSearch/CS5165AGDWR16G/page-1", "CS5165AGDWR16G")</f>
        <v>CS5165AGDWR16G</v>
      </c>
      <c r="B15289" s="3" t="str">
        <f>HYPERLINK("https://www.773grp.com/manufacturer/onsemi?pageNo=460", "Onsemi")</f>
        <v>Onsemi</v>
      </c>
      <c r="C15289" s="6">
        <v>1060</v>
      </c>
      <c r="D15289" s="7">
        <v>3.51</v>
      </c>
      <c r="E15289" t="s">
        <v>5</v>
      </c>
    </row>
    <row r="15290" spans="1:5" x14ac:dyDescent="0.25">
      <c r="A15290" t="str">
        <f>HYPERLINK("https://www.773grp.com/globalSearch/CS8120YTV85/page-1", "CS8120YTV85")</f>
        <v>CS8120YTV85</v>
      </c>
      <c r="B15290" s="3" t="str">
        <f>HYPERLINK("https://www.773grp.com/manufacturer/onsemi?pageNo=461", "Onsemi")</f>
        <v>Onsemi</v>
      </c>
      <c r="C15290" s="6">
        <v>50</v>
      </c>
      <c r="D15290" s="7">
        <v>3.51</v>
      </c>
    </row>
    <row r="15291" spans="1:5" x14ac:dyDescent="0.25">
      <c r="A15291" t="str">
        <f>HYPERLINK("https://www.773grp.com/globalSearch/CS8120YTVA5/page-1", "CS8120YTVA5")</f>
        <v>CS8120YTVA5</v>
      </c>
      <c r="B15291" s="3" t="str">
        <f>HYPERLINK("https://www.773grp.com/manufacturer/onsemi?pageNo=462", "Onsemi")</f>
        <v>Onsemi</v>
      </c>
      <c r="C15291" s="6">
        <v>5050</v>
      </c>
      <c r="D15291" s="7">
        <v>3.51</v>
      </c>
      <c r="E15291" t="s">
        <v>15</v>
      </c>
    </row>
    <row r="15292" spans="1:5" x14ac:dyDescent="0.25">
      <c r="A15292" t="str">
        <f>HYPERLINK("https://www.773grp.com/globalSearch/CS8240YTQ5/page-1", "CS8240YTQ5")</f>
        <v>CS8240YTQ5</v>
      </c>
      <c r="B15292" s="3" t="str">
        <f>HYPERLINK("https://www.773grp.com/manufacturer/onsemi?pageNo=463", "Onsemi")</f>
        <v>Onsemi</v>
      </c>
      <c r="C15292" s="6">
        <v>3450</v>
      </c>
      <c r="D15292" s="7">
        <v>3.51</v>
      </c>
      <c r="E15292" t="s">
        <v>8</v>
      </c>
    </row>
    <row r="15293" spans="1:5" x14ac:dyDescent="0.25">
      <c r="A15293" t="str">
        <f>HYPERLINK("https://www.773grp.com/globalSearch/CS8361YDPSR7G/page-1", "CS8361YDPSR7G")</f>
        <v>CS8361YDPSR7G</v>
      </c>
      <c r="B15293" s="3" t="str">
        <f>HYPERLINK("https://www.773grp.com/manufacturer/onsemi?pageNo=464", "Onsemi")</f>
        <v>Onsemi</v>
      </c>
      <c r="C15293" s="6">
        <v>9933</v>
      </c>
      <c r="D15293" s="7">
        <v>3.51</v>
      </c>
    </row>
    <row r="15294" spans="1:5" x14ac:dyDescent="0.25">
      <c r="A15294" t="str">
        <f>HYPERLINK("https://www.773grp.com/globalSearch/MBR4015LWT/page-1", "MBR4015LWT")</f>
        <v>MBR4015LWT</v>
      </c>
      <c r="B15294" s="3" t="str">
        <f>HYPERLINK("https://www.773grp.com/manufacturer/onsemi?pageNo=465", "Onsemi")</f>
        <v>Onsemi</v>
      </c>
      <c r="C15294" s="6">
        <v>30</v>
      </c>
      <c r="D15294" s="7">
        <v>3.51</v>
      </c>
      <c r="E15294" t="s">
        <v>82</v>
      </c>
    </row>
    <row r="15295" spans="1:5" x14ac:dyDescent="0.25">
      <c r="A15295" t="str">
        <f>HYPERLINK("https://www.773grp.com/globalSearch/MC100EL01D/page-1", "MC100EL01D")</f>
        <v>MC100EL01D</v>
      </c>
      <c r="B15295" s="3" t="str">
        <f>HYPERLINK("https://www.773grp.com/manufacturer/onsemi?pageNo=466", "Onsemi")</f>
        <v>Onsemi</v>
      </c>
      <c r="C15295" s="6">
        <v>30599</v>
      </c>
      <c r="D15295" s="7">
        <v>3.51</v>
      </c>
      <c r="E15295" t="s">
        <v>27</v>
      </c>
    </row>
    <row r="15296" spans="1:5" x14ac:dyDescent="0.25">
      <c r="A15296" t="str">
        <f>HYPERLINK("https://www.773grp.com/globalSearch/MC100EL01DR2/page-1", "MC100EL01DR2")</f>
        <v>MC100EL01DR2</v>
      </c>
      <c r="B15296" s="3" t="str">
        <f>HYPERLINK("https://www.773grp.com/manufacturer/onsemi?pageNo=467", "Onsemi")</f>
        <v>Onsemi</v>
      </c>
      <c r="C15296" s="6">
        <v>6815</v>
      </c>
      <c r="D15296" s="7">
        <v>3.51</v>
      </c>
      <c r="E15296" t="s">
        <v>27</v>
      </c>
    </row>
    <row r="15297" spans="1:5" x14ac:dyDescent="0.25">
      <c r="A15297" t="str">
        <f>HYPERLINK("https://www.773grp.com/globalSearch/MC100EL01DT/page-1", "MC100EL01DT")</f>
        <v>MC100EL01DT</v>
      </c>
      <c r="B15297" s="3" t="str">
        <f>HYPERLINK("https://www.773grp.com/manufacturer/onsemi?pageNo=468", "Onsemi")</f>
        <v>Onsemi</v>
      </c>
      <c r="C15297" s="6">
        <v>5078</v>
      </c>
      <c r="D15297" s="7">
        <v>3.51</v>
      </c>
      <c r="E15297" t="s">
        <v>27</v>
      </c>
    </row>
    <row r="15298" spans="1:5" x14ac:dyDescent="0.25">
      <c r="A15298" t="str">
        <f>HYPERLINK("https://www.773grp.com/globalSearch/MC100EL04D/page-1", "MC100EL04D")</f>
        <v>MC100EL04D</v>
      </c>
      <c r="B15298" s="3" t="str">
        <f>HYPERLINK("https://www.773grp.com/manufacturer/onsemi?pageNo=469", "Onsemi")</f>
        <v>Onsemi</v>
      </c>
      <c r="C15298" s="6">
        <v>5566</v>
      </c>
      <c r="D15298" s="7">
        <v>3.51</v>
      </c>
      <c r="E15298" t="s">
        <v>27</v>
      </c>
    </row>
    <row r="15299" spans="1:5" x14ac:dyDescent="0.25">
      <c r="A15299" t="str">
        <f>HYPERLINK("https://www.773grp.com/globalSearch/MC100EL04DR2/page-1", "MC100EL04DR2")</f>
        <v>MC100EL04DR2</v>
      </c>
      <c r="B15299" s="3" t="str">
        <f>HYPERLINK("https://www.773grp.com/manufacturer/onsemi?pageNo=470", "Onsemi")</f>
        <v>Onsemi</v>
      </c>
      <c r="C15299" s="6">
        <v>2500</v>
      </c>
      <c r="D15299" s="7">
        <v>3.51</v>
      </c>
      <c r="E15299" t="s">
        <v>27</v>
      </c>
    </row>
    <row r="15300" spans="1:5" x14ac:dyDescent="0.25">
      <c r="A15300" t="str">
        <f>HYPERLINK("https://www.773grp.com/globalSearch/MC100EL04DR2G/page-1", "MC100EL04DR2G")</f>
        <v>MC100EL04DR2G</v>
      </c>
      <c r="B15300" s="3" t="str">
        <f>HYPERLINK("https://www.773grp.com/manufacturer/onsemi?pageNo=471", "Onsemi")</f>
        <v>Onsemi</v>
      </c>
      <c r="C15300" s="6">
        <v>7500</v>
      </c>
      <c r="D15300" s="7">
        <v>3.51</v>
      </c>
      <c r="E15300" t="s">
        <v>27</v>
      </c>
    </row>
    <row r="15301" spans="1:5" x14ac:dyDescent="0.25">
      <c r="A15301" t="str">
        <f>HYPERLINK("https://www.773grp.com/globalSearch/MC100EL04DT/page-1", "MC100EL04DT")</f>
        <v>MC100EL04DT</v>
      </c>
      <c r="B15301" s="3" t="str">
        <f>HYPERLINK("https://www.773grp.com/manufacturer/onsemi?pageNo=472", "Onsemi")</f>
        <v>Onsemi</v>
      </c>
      <c r="C15301" s="6">
        <v>2670</v>
      </c>
      <c r="D15301" s="7">
        <v>3.51</v>
      </c>
      <c r="E15301" t="s">
        <v>27</v>
      </c>
    </row>
    <row r="15302" spans="1:5" x14ac:dyDescent="0.25">
      <c r="A15302" t="str">
        <f>HYPERLINK("https://www.773grp.com/globalSearch/MC100EL05D/page-1", "MC100EL05D")</f>
        <v>MC100EL05D</v>
      </c>
      <c r="B15302" s="3" t="str">
        <f>HYPERLINK("https://www.773grp.com/manufacturer/onsemi?pageNo=473", "Onsemi")</f>
        <v>Onsemi</v>
      </c>
      <c r="C15302" s="6">
        <v>27727</v>
      </c>
      <c r="D15302" s="7">
        <v>3.51</v>
      </c>
      <c r="E15302" t="s">
        <v>27</v>
      </c>
    </row>
    <row r="15303" spans="1:5" x14ac:dyDescent="0.25">
      <c r="A15303" t="str">
        <f>HYPERLINK("https://www.773grp.com/globalSearch/MC100EL05DR2/page-1", "MC100EL05DR2")</f>
        <v>MC100EL05DR2</v>
      </c>
      <c r="B15303" s="3" t="str">
        <f>HYPERLINK("https://www.773grp.com/manufacturer/onsemi?pageNo=474", "Onsemi")</f>
        <v>Onsemi</v>
      </c>
      <c r="C15303" s="6">
        <v>9360</v>
      </c>
      <c r="D15303" s="7">
        <v>3.51</v>
      </c>
      <c r="E15303" t="s">
        <v>27</v>
      </c>
    </row>
    <row r="15304" spans="1:5" x14ac:dyDescent="0.25">
      <c r="A15304" t="str">
        <f>HYPERLINK("https://www.773grp.com/globalSearch/MC100EL05DT/page-1", "MC100EL05DT")</f>
        <v>MC100EL05DT</v>
      </c>
      <c r="B15304" s="3" t="str">
        <f>HYPERLINK("https://www.773grp.com/manufacturer/onsemi?pageNo=475", "Onsemi")</f>
        <v>Onsemi</v>
      </c>
      <c r="C15304" s="6">
        <v>4995</v>
      </c>
      <c r="D15304" s="7">
        <v>3.51</v>
      </c>
      <c r="E15304" t="s">
        <v>27</v>
      </c>
    </row>
    <row r="15305" spans="1:5" x14ac:dyDescent="0.25">
      <c r="A15305" t="str">
        <f>HYPERLINK("https://www.773grp.com/globalSearch/MC100EL07D/page-1", "MC100EL07D")</f>
        <v>MC100EL07D</v>
      </c>
      <c r="B15305" s="3" t="str">
        <f>HYPERLINK("https://www.773grp.com/manufacturer/onsemi?pageNo=476", "Onsemi")</f>
        <v>Onsemi</v>
      </c>
      <c r="C15305" s="6">
        <v>36805</v>
      </c>
      <c r="D15305" s="7">
        <v>3.51</v>
      </c>
      <c r="E15305" t="s">
        <v>27</v>
      </c>
    </row>
    <row r="15306" spans="1:5" x14ac:dyDescent="0.25">
      <c r="A15306" t="str">
        <f>HYPERLINK("https://www.773grp.com/globalSearch/MC100EL07DG/page-1", "MC100EL07DG")</f>
        <v>MC100EL07DG</v>
      </c>
      <c r="B15306" s="3" t="str">
        <f>HYPERLINK("https://www.773grp.com/manufacturer/onsemi?pageNo=477", "Onsemi")</f>
        <v>Onsemi</v>
      </c>
      <c r="C15306" s="6">
        <v>7610</v>
      </c>
      <c r="D15306" s="7">
        <v>3.51</v>
      </c>
      <c r="E15306" t="s">
        <v>27</v>
      </c>
    </row>
    <row r="15307" spans="1:5" x14ac:dyDescent="0.25">
      <c r="A15307" t="str">
        <f>HYPERLINK("https://www.773grp.com/globalSearch/MC100EL07DR2/page-1", "MC100EL07DR2")</f>
        <v>MC100EL07DR2</v>
      </c>
      <c r="B15307" s="3" t="str">
        <f>HYPERLINK("https://www.773grp.com/manufacturer/onsemi?pageNo=478", "Onsemi")</f>
        <v>Onsemi</v>
      </c>
      <c r="C15307" s="6">
        <v>10000</v>
      </c>
      <c r="D15307" s="7">
        <v>3.51</v>
      </c>
      <c r="E15307" t="s">
        <v>27</v>
      </c>
    </row>
    <row r="15308" spans="1:5" x14ac:dyDescent="0.25">
      <c r="A15308" t="str">
        <f>HYPERLINK("https://www.773grp.com/globalSearch/MC100EL07DT/page-1", "MC100EL07DT")</f>
        <v>MC100EL07DT</v>
      </c>
      <c r="B15308" s="3" t="str">
        <f>HYPERLINK("https://www.773grp.com/manufacturer/onsemi?pageNo=479", "Onsemi")</f>
        <v>Onsemi</v>
      </c>
      <c r="C15308" s="6">
        <v>1548</v>
      </c>
      <c r="D15308" s="7">
        <v>3.51</v>
      </c>
      <c r="E15308" t="s">
        <v>27</v>
      </c>
    </row>
    <row r="15309" spans="1:5" x14ac:dyDescent="0.25">
      <c r="A15309" t="str">
        <f>HYPERLINK("https://www.773grp.com/globalSearch/MC100EL12DT/page-1", "MC100EL12DT")</f>
        <v>MC100EL12DT</v>
      </c>
      <c r="B15309" s="3" t="str">
        <f>HYPERLINK("https://www.773grp.com/manufacturer/onsemi?pageNo=480", "Onsemi")</f>
        <v>Onsemi</v>
      </c>
      <c r="C15309" s="6">
        <v>5098</v>
      </c>
      <c r="D15309" s="7">
        <v>3.51</v>
      </c>
      <c r="E15309" t="s">
        <v>27</v>
      </c>
    </row>
    <row r="15310" spans="1:5" x14ac:dyDescent="0.25">
      <c r="A15310" t="str">
        <f>HYPERLINK("https://www.773grp.com/globalSearch/MC100EL32D/page-1", "MC100EL32D")</f>
        <v>MC100EL32D</v>
      </c>
      <c r="B15310" s="3" t="str">
        <f>HYPERLINK("https://www.773grp.com/manufacturer/onsemi?pageNo=481", "Onsemi")</f>
        <v>Onsemi</v>
      </c>
      <c r="C15310" s="6">
        <v>11609</v>
      </c>
      <c r="D15310" s="7">
        <v>3.51</v>
      </c>
      <c r="E15310" t="s">
        <v>44</v>
      </c>
    </row>
    <row r="15311" spans="1:5" x14ac:dyDescent="0.25">
      <c r="A15311" t="str">
        <f>HYPERLINK("https://www.773grp.com/globalSearch/MC100EL32DR2/page-1", "MC100EL32DR2")</f>
        <v>MC100EL32DR2</v>
      </c>
      <c r="B15311" s="3" t="str">
        <f>HYPERLINK("https://www.773grp.com/manufacturer/onsemi?pageNo=482", "Onsemi")</f>
        <v>Onsemi</v>
      </c>
      <c r="C15311" s="6">
        <v>22500</v>
      </c>
      <c r="D15311" s="7">
        <v>3.51</v>
      </c>
      <c r="E15311" t="s">
        <v>44</v>
      </c>
    </row>
    <row r="15312" spans="1:5" x14ac:dyDescent="0.25">
      <c r="A15312" t="str">
        <f>HYPERLINK("https://www.773grp.com/globalSearch/MC100EL32DT/page-1", "MC100EL32DT")</f>
        <v>MC100EL32DT</v>
      </c>
      <c r="B15312" s="3" t="str">
        <f>HYPERLINK("https://www.773grp.com/manufacturer/onsemi?pageNo=483", "Onsemi")</f>
        <v>Onsemi</v>
      </c>
      <c r="C15312" s="6">
        <v>17116</v>
      </c>
      <c r="D15312" s="7">
        <v>3.51</v>
      </c>
      <c r="E15312" t="s">
        <v>44</v>
      </c>
    </row>
    <row r="15313" spans="1:5" x14ac:dyDescent="0.25">
      <c r="A15313" t="str">
        <f>HYPERLINK("https://www.773grp.com/globalSearch/MC100EL33D/page-1", "MC100EL33D")</f>
        <v>MC100EL33D</v>
      </c>
      <c r="B15313" s="3" t="str">
        <f>HYPERLINK("https://www.773grp.com/manufacturer/onsemi?pageNo=484", "Onsemi")</f>
        <v>Onsemi</v>
      </c>
      <c r="C15313" s="6">
        <v>12332</v>
      </c>
      <c r="D15313" s="7">
        <v>3.51</v>
      </c>
      <c r="E15313" t="s">
        <v>44</v>
      </c>
    </row>
    <row r="15314" spans="1:5" x14ac:dyDescent="0.25">
      <c r="A15314" t="str">
        <f>HYPERLINK("https://www.773grp.com/globalSearch/MC100EL33DT/page-1", "MC100EL33DT")</f>
        <v>MC100EL33DT</v>
      </c>
      <c r="B15314" s="3" t="str">
        <f>HYPERLINK("https://www.773grp.com/manufacturer/onsemi?pageNo=485", "Onsemi")</f>
        <v>Onsemi</v>
      </c>
      <c r="C15314" s="6">
        <v>25959</v>
      </c>
      <c r="D15314" s="7">
        <v>3.51</v>
      </c>
      <c r="E15314" t="s">
        <v>44</v>
      </c>
    </row>
    <row r="15315" spans="1:5" x14ac:dyDescent="0.25">
      <c r="A15315" t="str">
        <f>HYPERLINK("https://www.773grp.com/globalSearch/MC100EL33DTR2/page-1", "MC100EL33DTR2")</f>
        <v>MC100EL33DTR2</v>
      </c>
      <c r="B15315" s="3" t="str">
        <f>HYPERLINK("https://www.773grp.com/manufacturer/onsemi?pageNo=486", "Onsemi")</f>
        <v>Onsemi</v>
      </c>
      <c r="C15315" s="6">
        <v>2500</v>
      </c>
      <c r="D15315" s="7">
        <v>3.51</v>
      </c>
      <c r="E15315" t="s">
        <v>44</v>
      </c>
    </row>
    <row r="15316" spans="1:5" x14ac:dyDescent="0.25">
      <c r="A15316" t="str">
        <f>HYPERLINK("https://www.773grp.com/globalSearch/MC100EL35D/page-1", "MC100EL35D")</f>
        <v>MC100EL35D</v>
      </c>
      <c r="B15316" s="3" t="str">
        <f>HYPERLINK("https://www.773grp.com/manufacturer/onsemi?pageNo=487", "Onsemi")</f>
        <v>Onsemi</v>
      </c>
      <c r="C15316" s="6">
        <v>2544</v>
      </c>
      <c r="D15316" s="7">
        <v>3.51</v>
      </c>
      <c r="E15316" t="s">
        <v>31</v>
      </c>
    </row>
    <row r="15317" spans="1:5" x14ac:dyDescent="0.25">
      <c r="A15317" t="str">
        <f>HYPERLINK("https://www.773grp.com/globalSearch/MC100EL35DT/page-1", "MC100EL35DT")</f>
        <v>MC100EL35DT</v>
      </c>
      <c r="B15317" s="3" t="str">
        <f>HYPERLINK("https://www.773grp.com/manufacturer/onsemi?pageNo=488", "Onsemi")</f>
        <v>Onsemi</v>
      </c>
      <c r="C15317" s="6">
        <v>6200</v>
      </c>
      <c r="D15317" s="7">
        <v>3.51</v>
      </c>
      <c r="E15317" t="s">
        <v>31</v>
      </c>
    </row>
    <row r="15318" spans="1:5" x14ac:dyDescent="0.25">
      <c r="A15318" t="str">
        <f>HYPERLINK("https://www.773grp.com/globalSearch/MC100EL51D/page-1", "MC100EL51D")</f>
        <v>MC100EL51D</v>
      </c>
      <c r="B15318" s="3" t="str">
        <f>HYPERLINK("https://www.773grp.com/manufacturer/onsemi?pageNo=489", "Onsemi")</f>
        <v>Onsemi</v>
      </c>
      <c r="C15318" s="6">
        <v>3390</v>
      </c>
      <c r="D15318" s="7">
        <v>3.51</v>
      </c>
      <c r="E15318" t="s">
        <v>31</v>
      </c>
    </row>
    <row r="15319" spans="1:5" x14ac:dyDescent="0.25">
      <c r="A15319" t="str">
        <f>HYPERLINK("https://www.773grp.com/globalSearch/MC100EL52D/page-1", "MC100EL52D")</f>
        <v>MC100EL52D</v>
      </c>
      <c r="B15319" s="3" t="str">
        <f>HYPERLINK("https://www.773grp.com/manufacturer/onsemi?pageNo=490", "Onsemi")</f>
        <v>Onsemi</v>
      </c>
      <c r="C15319" s="6">
        <v>8161</v>
      </c>
      <c r="D15319" s="7">
        <v>3.51</v>
      </c>
      <c r="E15319" t="s">
        <v>31</v>
      </c>
    </row>
    <row r="15320" spans="1:5" x14ac:dyDescent="0.25">
      <c r="A15320" t="str">
        <f>HYPERLINK("https://www.773grp.com/globalSearch/MC100EL52DT/page-1", "MC100EL52DT")</f>
        <v>MC100EL52DT</v>
      </c>
      <c r="B15320" s="3" t="str">
        <f>HYPERLINK("https://www.773grp.com/manufacturer/onsemi?pageNo=491", "Onsemi")</f>
        <v>Onsemi</v>
      </c>
      <c r="C15320" s="6">
        <v>2791</v>
      </c>
      <c r="D15320" s="7">
        <v>3.51</v>
      </c>
      <c r="E15320" t="s">
        <v>31</v>
      </c>
    </row>
    <row r="15321" spans="1:5" x14ac:dyDescent="0.25">
      <c r="A15321" t="str">
        <f>HYPERLINK("https://www.773grp.com/globalSearch/MC100LVEL32D/page-1", "MC100LVEL32D")</f>
        <v>MC100LVEL32D</v>
      </c>
      <c r="B15321" s="3" t="str">
        <f>HYPERLINK("https://www.773grp.com/manufacturer/onsemi?pageNo=492", "Onsemi")</f>
        <v>Onsemi</v>
      </c>
      <c r="C15321" s="6">
        <v>13276</v>
      </c>
      <c r="D15321" s="7">
        <v>3.51</v>
      </c>
      <c r="E15321" t="s">
        <v>44</v>
      </c>
    </row>
    <row r="15322" spans="1:5" x14ac:dyDescent="0.25">
      <c r="A15322" t="str">
        <f>HYPERLINK("https://www.773grp.com/globalSearch/MC100LVEL32DR2/page-1", "MC100LVEL32DR2")</f>
        <v>MC100LVEL32DR2</v>
      </c>
      <c r="B15322" s="3" t="str">
        <f>HYPERLINK("https://www.773grp.com/manufacturer/onsemi?pageNo=493", "Onsemi")</f>
        <v>Onsemi</v>
      </c>
      <c r="C15322" s="6">
        <v>12500</v>
      </c>
      <c r="D15322" s="7">
        <v>3.51</v>
      </c>
      <c r="E15322" t="s">
        <v>44</v>
      </c>
    </row>
    <row r="15323" spans="1:5" x14ac:dyDescent="0.25">
      <c r="A15323" t="str">
        <f>HYPERLINK("https://www.773grp.com/globalSearch/MC100LVEL32DT/page-1", "MC100LVEL32DT")</f>
        <v>MC100LVEL32DT</v>
      </c>
      <c r="B15323" s="3" t="str">
        <f>HYPERLINK("https://www.773grp.com/manufacturer/onsemi?pageNo=494", "Onsemi")</f>
        <v>Onsemi</v>
      </c>
      <c r="C15323" s="6">
        <v>5663</v>
      </c>
      <c r="D15323" s="7">
        <v>3.51</v>
      </c>
      <c r="E15323" t="s">
        <v>44</v>
      </c>
    </row>
    <row r="15324" spans="1:5" x14ac:dyDescent="0.25">
      <c r="A15324" t="str">
        <f>HYPERLINK("https://www.773grp.com/globalSearch/MC100LVEL33DT/page-1", "MC100LVEL33DT")</f>
        <v>MC100LVEL33DT</v>
      </c>
      <c r="B15324" s="3" t="str">
        <f>HYPERLINK("https://www.773grp.com/manufacturer/onsemi?pageNo=495", "Onsemi")</f>
        <v>Onsemi</v>
      </c>
      <c r="C15324" s="6">
        <v>10325</v>
      </c>
      <c r="D15324" s="7">
        <v>3.51</v>
      </c>
      <c r="E15324" t="s">
        <v>44</v>
      </c>
    </row>
    <row r="15325" spans="1:5" x14ac:dyDescent="0.25">
      <c r="A15325" t="str">
        <f>HYPERLINK("https://www.773grp.com/globalSearch/MC10101L/page-1", "MC10101L")</f>
        <v>MC10101L</v>
      </c>
      <c r="B15325" s="3" t="str">
        <f>HYPERLINK("https://www.773grp.com/manufacturer/onsemi?pageNo=496", "Onsemi")</f>
        <v>Onsemi</v>
      </c>
      <c r="C15325" s="6">
        <v>647</v>
      </c>
      <c r="D15325" s="7">
        <v>3.51</v>
      </c>
      <c r="E15325" t="s">
        <v>27</v>
      </c>
    </row>
    <row r="15326" spans="1:5" x14ac:dyDescent="0.25">
      <c r="A15326" t="str">
        <f>HYPERLINK("https://www.773grp.com/globalSearch/MC10102L/page-1", "MC10102L")</f>
        <v>MC10102L</v>
      </c>
      <c r="B15326" s="3" t="str">
        <f>HYPERLINK("https://www.773grp.com/manufacturer/onsemi?pageNo=497", "Onsemi")</f>
        <v>Onsemi</v>
      </c>
      <c r="C15326" s="6">
        <v>901</v>
      </c>
      <c r="D15326" s="7">
        <v>3.51</v>
      </c>
      <c r="E15326" t="s">
        <v>27</v>
      </c>
    </row>
    <row r="15327" spans="1:5" x14ac:dyDescent="0.25">
      <c r="A15327" t="str">
        <f>HYPERLINK("https://www.773grp.com/globalSearch/MC10103L/page-1", "MC10103L")</f>
        <v>MC10103L</v>
      </c>
      <c r="B15327" s="3" t="str">
        <f>HYPERLINK("https://www.773grp.com/manufacturer/onsemi?pageNo=498", "Onsemi")</f>
        <v>Onsemi</v>
      </c>
      <c r="C15327" s="6">
        <v>1558</v>
      </c>
      <c r="D15327" s="7">
        <v>3.51</v>
      </c>
      <c r="E15327" t="s">
        <v>27</v>
      </c>
    </row>
    <row r="15328" spans="1:5" x14ac:dyDescent="0.25">
      <c r="A15328" t="str">
        <f>HYPERLINK("https://www.773grp.com/globalSearch/MC10104L/page-1", "MC10104L")</f>
        <v>MC10104L</v>
      </c>
      <c r="B15328" s="3" t="str">
        <f>HYPERLINK("https://www.773grp.com/manufacturer/onsemi?pageNo=499", "Onsemi")</f>
        <v>Onsemi</v>
      </c>
      <c r="C15328" s="6">
        <v>3419</v>
      </c>
      <c r="D15328" s="7">
        <v>3.51</v>
      </c>
      <c r="E15328" t="s">
        <v>27</v>
      </c>
    </row>
    <row r="15329" spans="1:5" x14ac:dyDescent="0.25">
      <c r="A15329" t="str">
        <f>HYPERLINK("https://www.773grp.com/globalSearch/MC10105L/page-1", "MC10105L")</f>
        <v>MC10105L</v>
      </c>
      <c r="B15329" s="3" t="str">
        <f>HYPERLINK("https://www.773grp.com/manufacturer/onsemi?pageNo=500", "Onsemi")</f>
        <v>Onsemi</v>
      </c>
      <c r="C15329" s="6">
        <v>26</v>
      </c>
      <c r="D15329" s="7">
        <v>3.51</v>
      </c>
      <c r="E15329" t="s">
        <v>27</v>
      </c>
    </row>
    <row r="15330" spans="1:5" x14ac:dyDescent="0.25">
      <c r="A15330" t="str">
        <f>HYPERLINK("https://www.773grp.com/globalSearch/MC10106L/page-1", "MC10106L")</f>
        <v>MC10106L</v>
      </c>
      <c r="B15330" s="3" t="str">
        <f>HYPERLINK("https://www.773grp.com/manufacturer/onsemi?pageNo=501", "Onsemi")</f>
        <v>Onsemi</v>
      </c>
      <c r="C15330" s="6">
        <v>61</v>
      </c>
      <c r="D15330" s="7">
        <v>3.51</v>
      </c>
      <c r="E15330" t="s">
        <v>27</v>
      </c>
    </row>
    <row r="15331" spans="1:5" x14ac:dyDescent="0.25">
      <c r="A15331" t="str">
        <f>HYPERLINK("https://www.773grp.com/globalSearch/MC10107L/page-1", "MC10107L")</f>
        <v>MC10107L</v>
      </c>
      <c r="B15331" s="3" t="str">
        <f>HYPERLINK("https://www.773grp.com/manufacturer/onsemi?pageNo=502", "Onsemi")</f>
        <v>Onsemi</v>
      </c>
      <c r="C15331" s="6">
        <v>4542</v>
      </c>
      <c r="D15331" s="7">
        <v>3.51</v>
      </c>
      <c r="E15331" t="s">
        <v>27</v>
      </c>
    </row>
    <row r="15332" spans="1:5" x14ac:dyDescent="0.25">
      <c r="A15332" t="str">
        <f>HYPERLINK("https://www.773grp.com/globalSearch/MC10109L/page-1", "MC10109L")</f>
        <v>MC10109L</v>
      </c>
      <c r="B15332" s="3" t="str">
        <f>HYPERLINK("https://www.773grp.com/manufacturer/onsemi?pageNo=503", "Onsemi")</f>
        <v>Onsemi</v>
      </c>
      <c r="C15332" s="6">
        <v>3628</v>
      </c>
      <c r="D15332" s="7">
        <v>3.51</v>
      </c>
      <c r="E15332" t="s">
        <v>27</v>
      </c>
    </row>
    <row r="15333" spans="1:5" x14ac:dyDescent="0.25">
      <c r="A15333" t="str">
        <f>HYPERLINK("https://www.773grp.com/globalSearch/MC10113L/page-1", "MC10113L")</f>
        <v>MC10113L</v>
      </c>
      <c r="B15333" s="3" t="str">
        <f>HYPERLINK("https://www.773grp.com/manufacturer/onsemi?pageNo=504", "Onsemi")</f>
        <v>Onsemi</v>
      </c>
      <c r="C15333" s="6">
        <v>75</v>
      </c>
      <c r="D15333" s="7">
        <v>3.51</v>
      </c>
      <c r="E15333" t="s">
        <v>27</v>
      </c>
    </row>
    <row r="15334" spans="1:5" x14ac:dyDescent="0.25">
      <c r="A15334" t="str">
        <f>HYPERLINK("https://www.773grp.com/globalSearch/MC10117L/page-1", "MC10117L")</f>
        <v>MC10117L</v>
      </c>
      <c r="B15334" s="3" t="str">
        <f>HYPERLINK("https://www.773grp.com/manufacturer/onsemi?pageNo=505", "Onsemi")</f>
        <v>Onsemi</v>
      </c>
      <c r="C15334" s="6">
        <v>448</v>
      </c>
      <c r="D15334" s="7">
        <v>3.51</v>
      </c>
      <c r="E15334" t="s">
        <v>27</v>
      </c>
    </row>
    <row r="15335" spans="1:5" x14ac:dyDescent="0.25">
      <c r="A15335" t="str">
        <f>HYPERLINK("https://www.773grp.com/globalSearch/MC10123L/page-1", "MC10123L")</f>
        <v>MC10123L</v>
      </c>
      <c r="B15335" s="3" t="str">
        <f>HYPERLINK("https://www.773grp.com/manufacturer/onsemi?pageNo=506", "Onsemi")</f>
        <v>Onsemi</v>
      </c>
      <c r="C15335" s="6">
        <v>3175</v>
      </c>
      <c r="D15335" s="7">
        <v>3.51</v>
      </c>
      <c r="E15335" t="s">
        <v>11</v>
      </c>
    </row>
    <row r="15336" spans="1:5" x14ac:dyDescent="0.25">
      <c r="A15336" t="str">
        <f>HYPERLINK("https://www.773grp.com/globalSearch/MC10165L/page-1", "MC10165L")</f>
        <v>MC10165L</v>
      </c>
      <c r="B15336" s="3" t="str">
        <f>HYPERLINK("https://www.773grp.com/manufacturer/onsemi?pageNo=507", "Onsemi")</f>
        <v>Onsemi</v>
      </c>
      <c r="C15336" s="6">
        <v>222</v>
      </c>
      <c r="D15336" s="7">
        <v>3.51</v>
      </c>
      <c r="E15336" t="s">
        <v>38</v>
      </c>
    </row>
    <row r="15337" spans="1:5" x14ac:dyDescent="0.25">
      <c r="A15337" t="str">
        <f>HYPERLINK("https://www.773grp.com/globalSearch/MC10EL01D/page-1", "MC10EL01D")</f>
        <v>MC10EL01D</v>
      </c>
      <c r="B15337" s="3" t="str">
        <f>HYPERLINK("https://www.773grp.com/manufacturer/onsemi?pageNo=508", "Onsemi")</f>
        <v>Onsemi</v>
      </c>
      <c r="C15337" s="6">
        <v>21302</v>
      </c>
      <c r="D15337" s="7">
        <v>3.51</v>
      </c>
      <c r="E15337" t="s">
        <v>27</v>
      </c>
    </row>
    <row r="15338" spans="1:5" x14ac:dyDescent="0.25">
      <c r="A15338" t="str">
        <f>HYPERLINK("https://www.773grp.com/globalSearch/MC10EL01DT/page-1", "MC10EL01DT")</f>
        <v>MC10EL01DT</v>
      </c>
      <c r="B15338" s="3" t="str">
        <f>HYPERLINK("https://www.773grp.com/manufacturer/onsemi?pageNo=509", "Onsemi")</f>
        <v>Onsemi</v>
      </c>
      <c r="C15338" s="6">
        <v>11770</v>
      </c>
      <c r="D15338" s="7">
        <v>3.51</v>
      </c>
      <c r="E15338" t="s">
        <v>27</v>
      </c>
    </row>
    <row r="15339" spans="1:5" x14ac:dyDescent="0.25">
      <c r="A15339" t="str">
        <f>HYPERLINK("https://www.773grp.com/globalSearch/MC10EL04D/page-1", "MC10EL04D")</f>
        <v>MC10EL04D</v>
      </c>
      <c r="B15339" s="3" t="str">
        <f>HYPERLINK("https://www.773grp.com/manufacturer/onsemi?pageNo=510", "Onsemi")</f>
        <v>Onsemi</v>
      </c>
      <c r="C15339" s="6">
        <v>1705</v>
      </c>
      <c r="D15339" s="7">
        <v>3.51</v>
      </c>
      <c r="E15339" t="s">
        <v>27</v>
      </c>
    </row>
    <row r="15340" spans="1:5" x14ac:dyDescent="0.25">
      <c r="A15340" t="str">
        <f>HYPERLINK("https://www.773grp.com/globalSearch/MC10EL04DT/page-1", "MC10EL04DT")</f>
        <v>MC10EL04DT</v>
      </c>
      <c r="B15340" s="3" t="str">
        <f>HYPERLINK("https://www.773grp.com/manufacturer/onsemi?pageNo=511", "Onsemi")</f>
        <v>Onsemi</v>
      </c>
      <c r="C15340" s="6">
        <v>2887</v>
      </c>
      <c r="D15340" s="7">
        <v>3.51</v>
      </c>
      <c r="E15340" t="s">
        <v>27</v>
      </c>
    </row>
    <row r="15341" spans="1:5" x14ac:dyDescent="0.25">
      <c r="A15341" t="str">
        <f>HYPERLINK("https://www.773grp.com/globalSearch/MC10EL05D/page-1", "MC10EL05D")</f>
        <v>MC10EL05D</v>
      </c>
      <c r="B15341" s="3" t="str">
        <f>HYPERLINK("https://www.773grp.com/manufacturer/onsemi?pageNo=512", "Onsemi")</f>
        <v>Onsemi</v>
      </c>
      <c r="C15341" s="6">
        <v>9381</v>
      </c>
      <c r="D15341" s="7">
        <v>3.51</v>
      </c>
      <c r="E15341" t="s">
        <v>27</v>
      </c>
    </row>
    <row r="15342" spans="1:5" x14ac:dyDescent="0.25">
      <c r="A15342" t="str">
        <f>HYPERLINK("https://www.773grp.com/globalSearch/MC10EL05DT/page-1", "MC10EL05DT")</f>
        <v>MC10EL05DT</v>
      </c>
      <c r="B15342" s="3" t="str">
        <f>HYPERLINK("https://www.773grp.com/manufacturer/onsemi?pageNo=513", "Onsemi")</f>
        <v>Onsemi</v>
      </c>
      <c r="C15342" s="6">
        <v>5458</v>
      </c>
      <c r="D15342" s="7">
        <v>3.51</v>
      </c>
      <c r="E15342" t="s">
        <v>27</v>
      </c>
    </row>
    <row r="15343" spans="1:5" x14ac:dyDescent="0.25">
      <c r="A15343" t="str">
        <f>HYPERLINK("https://www.773grp.com/globalSearch/MC10EL07D/page-1", "MC10EL07D")</f>
        <v>MC10EL07D</v>
      </c>
      <c r="B15343" s="3" t="str">
        <f>HYPERLINK("https://www.773grp.com/manufacturer/onsemi?pageNo=514", "Onsemi")</f>
        <v>Onsemi</v>
      </c>
      <c r="C15343" s="6">
        <v>45733</v>
      </c>
      <c r="D15343" s="7">
        <v>3.51</v>
      </c>
      <c r="E15343" t="s">
        <v>27</v>
      </c>
    </row>
    <row r="15344" spans="1:5" x14ac:dyDescent="0.25">
      <c r="A15344" t="str">
        <f>HYPERLINK("https://www.773grp.com/globalSearch/MC10EL07DT/page-1", "MC10EL07DT")</f>
        <v>MC10EL07DT</v>
      </c>
      <c r="B15344" s="3" t="str">
        <f>HYPERLINK("https://www.773grp.com/manufacturer/onsemi?pageNo=515", "Onsemi")</f>
        <v>Onsemi</v>
      </c>
      <c r="C15344" s="6">
        <v>14458</v>
      </c>
      <c r="D15344" s="7">
        <v>3.51</v>
      </c>
      <c r="E15344" t="s">
        <v>27</v>
      </c>
    </row>
    <row r="15345" spans="1:5" x14ac:dyDescent="0.25">
      <c r="A15345" t="str">
        <f>HYPERLINK("https://www.773grp.com/globalSearch/MC10EL12D/page-1", "MC10EL12D")</f>
        <v>MC10EL12D</v>
      </c>
      <c r="B15345" s="3" t="str">
        <f>HYPERLINK("https://www.773grp.com/manufacturer/onsemi?pageNo=516", "Onsemi")</f>
        <v>Onsemi</v>
      </c>
      <c r="C15345" s="6">
        <v>21635</v>
      </c>
      <c r="D15345" s="7">
        <v>3.51</v>
      </c>
      <c r="E15345" t="s">
        <v>27</v>
      </c>
    </row>
    <row r="15346" spans="1:5" x14ac:dyDescent="0.25">
      <c r="A15346" t="str">
        <f>HYPERLINK("https://www.773grp.com/globalSearch/MC10EL12DT/page-1", "MC10EL12DT")</f>
        <v>MC10EL12DT</v>
      </c>
      <c r="B15346" s="3" t="str">
        <f>HYPERLINK("https://www.773grp.com/manufacturer/onsemi?pageNo=517", "Onsemi")</f>
        <v>Onsemi</v>
      </c>
      <c r="C15346" s="6">
        <v>12875</v>
      </c>
      <c r="D15346" s="7">
        <v>3.51</v>
      </c>
      <c r="E15346" t="s">
        <v>27</v>
      </c>
    </row>
    <row r="15347" spans="1:5" x14ac:dyDescent="0.25">
      <c r="A15347" t="str">
        <f>HYPERLINK("https://www.773grp.com/globalSearch/MC10EL32D/page-1", "MC10EL32D")</f>
        <v>MC10EL32D</v>
      </c>
      <c r="B15347" s="3" t="str">
        <f>HYPERLINK("https://www.773grp.com/manufacturer/onsemi?pageNo=518", "Onsemi")</f>
        <v>Onsemi</v>
      </c>
      <c r="C15347" s="6">
        <v>8016</v>
      </c>
      <c r="D15347" s="7">
        <v>3.51</v>
      </c>
      <c r="E15347" t="s">
        <v>44</v>
      </c>
    </row>
    <row r="15348" spans="1:5" x14ac:dyDescent="0.25">
      <c r="A15348" t="str">
        <f>HYPERLINK("https://www.773grp.com/globalSearch/MC10EL32DT/page-1", "MC10EL32DT")</f>
        <v>MC10EL32DT</v>
      </c>
      <c r="B15348" s="3" t="str">
        <f>HYPERLINK("https://www.773grp.com/manufacturer/onsemi?pageNo=519", "Onsemi")</f>
        <v>Onsemi</v>
      </c>
      <c r="C15348" s="6">
        <v>3051</v>
      </c>
      <c r="D15348" s="7">
        <v>3.51</v>
      </c>
      <c r="E15348" t="s">
        <v>44</v>
      </c>
    </row>
    <row r="15349" spans="1:5" x14ac:dyDescent="0.25">
      <c r="A15349" t="str">
        <f>HYPERLINK("https://www.773grp.com/globalSearch/MC10EL32DTR2/page-1", "MC10EL32DTR2")</f>
        <v>MC10EL32DTR2</v>
      </c>
      <c r="B15349" s="3" t="str">
        <f>HYPERLINK("https://www.773grp.com/manufacturer/onsemi?pageNo=520", "Onsemi")</f>
        <v>Onsemi</v>
      </c>
      <c r="C15349" s="6">
        <v>20000</v>
      </c>
      <c r="D15349" s="7">
        <v>3.51</v>
      </c>
      <c r="E15349" t="s">
        <v>44</v>
      </c>
    </row>
    <row r="15350" spans="1:5" x14ac:dyDescent="0.25">
      <c r="A15350" t="str">
        <f>HYPERLINK("https://www.773grp.com/globalSearch/MC10EL33D/page-1", "MC10EL33D")</f>
        <v>MC10EL33D</v>
      </c>
      <c r="B15350" s="3" t="str">
        <f>HYPERLINK("https://www.773grp.com/manufacturer/onsemi?pageNo=521", "Onsemi")</f>
        <v>Onsemi</v>
      </c>
      <c r="C15350" s="6">
        <v>35230</v>
      </c>
      <c r="D15350" s="7">
        <v>3.51</v>
      </c>
      <c r="E15350" t="s">
        <v>44</v>
      </c>
    </row>
    <row r="15351" spans="1:5" x14ac:dyDescent="0.25">
      <c r="A15351" t="str">
        <f>HYPERLINK("https://www.773grp.com/globalSearch/MC10EL33DT/page-1", "MC10EL33DT")</f>
        <v>MC10EL33DT</v>
      </c>
      <c r="B15351" s="3" t="str">
        <f>HYPERLINK("https://www.773grp.com/manufacturer/onsemi?pageNo=522", "Onsemi")</f>
        <v>Onsemi</v>
      </c>
      <c r="C15351" s="6">
        <v>4625</v>
      </c>
      <c r="D15351" s="7">
        <v>3.51</v>
      </c>
      <c r="E15351" t="s">
        <v>44</v>
      </c>
    </row>
    <row r="15352" spans="1:5" x14ac:dyDescent="0.25">
      <c r="A15352" t="str">
        <f>HYPERLINK("https://www.773grp.com/globalSearch/MC10EL33DTR2/page-1", "MC10EL33DTR2")</f>
        <v>MC10EL33DTR2</v>
      </c>
      <c r="B15352" s="3" t="str">
        <f>HYPERLINK("https://www.773grp.com/manufacturer/onsemi?pageNo=523", "Onsemi")</f>
        <v>Onsemi</v>
      </c>
      <c r="C15352" s="6">
        <v>10000</v>
      </c>
      <c r="D15352" s="7">
        <v>3.51</v>
      </c>
      <c r="E15352" t="s">
        <v>44</v>
      </c>
    </row>
    <row r="15353" spans="1:5" x14ac:dyDescent="0.25">
      <c r="A15353" t="str">
        <f>HYPERLINK("https://www.773grp.com/globalSearch/MC10EL35D/page-1", "MC10EL35D")</f>
        <v>MC10EL35D</v>
      </c>
      <c r="B15353" s="3" t="str">
        <f>HYPERLINK("https://www.773grp.com/manufacturer/onsemi?pageNo=524", "Onsemi")</f>
        <v>Onsemi</v>
      </c>
      <c r="C15353" s="6">
        <v>17206</v>
      </c>
      <c r="D15353" s="7">
        <v>3.51</v>
      </c>
      <c r="E15353" t="s">
        <v>31</v>
      </c>
    </row>
    <row r="15354" spans="1:5" x14ac:dyDescent="0.25">
      <c r="A15354" t="str">
        <f>HYPERLINK("https://www.773grp.com/globalSearch/MC10EL35DR2/page-1", "MC10EL35DR2")</f>
        <v>MC10EL35DR2</v>
      </c>
      <c r="B15354" s="3" t="str">
        <f>HYPERLINK("https://www.773grp.com/manufacturer/onsemi?pageNo=525", "Onsemi")</f>
        <v>Onsemi</v>
      </c>
      <c r="C15354" s="6">
        <v>15000</v>
      </c>
      <c r="D15354" s="7">
        <v>3.51</v>
      </c>
      <c r="E15354" t="s">
        <v>31</v>
      </c>
    </row>
    <row r="15355" spans="1:5" x14ac:dyDescent="0.25">
      <c r="A15355" t="str">
        <f>HYPERLINK("https://www.773grp.com/globalSearch/MC10EL35DT/page-1", "MC10EL35DT")</f>
        <v>MC10EL35DT</v>
      </c>
      <c r="B15355" s="3" t="str">
        <f>HYPERLINK("https://www.773grp.com/manufacturer/onsemi?pageNo=526", "Onsemi")</f>
        <v>Onsemi</v>
      </c>
      <c r="C15355" s="6">
        <v>1265</v>
      </c>
      <c r="D15355" s="7">
        <v>3.51</v>
      </c>
      <c r="E15355" t="s">
        <v>31</v>
      </c>
    </row>
    <row r="15356" spans="1:5" x14ac:dyDescent="0.25">
      <c r="A15356" t="str">
        <f>HYPERLINK("https://www.773grp.com/globalSearch/MC10EL51D/page-1", "MC10EL51D")</f>
        <v>MC10EL51D</v>
      </c>
      <c r="B15356" s="3" t="str">
        <f>HYPERLINK("https://www.773grp.com/manufacturer/onsemi?pageNo=527", "Onsemi")</f>
        <v>Onsemi</v>
      </c>
      <c r="C15356" s="6">
        <v>11130</v>
      </c>
      <c r="D15356" s="7">
        <v>3.51</v>
      </c>
      <c r="E15356" t="s">
        <v>31</v>
      </c>
    </row>
    <row r="15357" spans="1:5" x14ac:dyDescent="0.25">
      <c r="A15357" t="str">
        <f>HYPERLINK("https://www.773grp.com/globalSearch/MC10EL51DT/page-1", "MC10EL51DT")</f>
        <v>MC10EL51DT</v>
      </c>
      <c r="B15357" s="3" t="str">
        <f>HYPERLINK("https://www.773grp.com/manufacturer/onsemi?pageNo=528", "Onsemi")</f>
        <v>Onsemi</v>
      </c>
      <c r="C15357" s="6">
        <v>4814</v>
      </c>
      <c r="D15357" s="7">
        <v>3.51</v>
      </c>
      <c r="E15357" t="s">
        <v>31</v>
      </c>
    </row>
    <row r="15358" spans="1:5" x14ac:dyDescent="0.25">
      <c r="A15358" t="str">
        <f>HYPERLINK("https://www.773grp.com/globalSearch/MC10EL52D/page-1", "MC10EL52D")</f>
        <v>MC10EL52D</v>
      </c>
      <c r="B15358" s="3" t="str">
        <f>HYPERLINK("https://www.773grp.com/manufacturer/onsemi?pageNo=529", "Onsemi")</f>
        <v>Onsemi</v>
      </c>
      <c r="C15358" s="6">
        <v>13801</v>
      </c>
      <c r="D15358" s="7">
        <v>3.51</v>
      </c>
      <c r="E15358" t="s">
        <v>31</v>
      </c>
    </row>
    <row r="15359" spans="1:5" x14ac:dyDescent="0.25">
      <c r="A15359" t="str">
        <f>HYPERLINK("https://www.773grp.com/globalSearch/MC10EL52DT/page-1", "MC10EL52DT")</f>
        <v>MC10EL52DT</v>
      </c>
      <c r="B15359" s="3" t="str">
        <f>HYPERLINK("https://www.773grp.com/manufacturer/onsemi?pageNo=530", "Onsemi")</f>
        <v>Onsemi</v>
      </c>
      <c r="C15359" s="6">
        <v>2695</v>
      </c>
      <c r="D15359" s="7">
        <v>3.51</v>
      </c>
      <c r="E15359" t="s">
        <v>31</v>
      </c>
    </row>
    <row r="15360" spans="1:5" x14ac:dyDescent="0.25">
      <c r="A15360" t="str">
        <f>HYPERLINK("https://www.773grp.com/globalSearch/MC33560DWR2/page-1", "MC33560DWR2")</f>
        <v>MC33560DWR2</v>
      </c>
      <c r="B15360" s="3" t="str">
        <f>HYPERLINK("https://www.773grp.com/manufacturer/onsemi?pageNo=531", "Onsemi")</f>
        <v>Onsemi</v>
      </c>
      <c r="C15360" s="6">
        <v>145750</v>
      </c>
      <c r="D15360" s="7">
        <v>3.51</v>
      </c>
      <c r="E15360" t="s">
        <v>36</v>
      </c>
    </row>
    <row r="15361" spans="1:5" x14ac:dyDescent="0.25">
      <c r="A15361" t="str">
        <f>HYPERLINK("https://www.773grp.com/globalSearch/MC74ACT652DWG/page-1", "MC74ACT652DWG")</f>
        <v>MC74ACT652DWG</v>
      </c>
      <c r="B15361" s="3" t="str">
        <f>HYPERLINK("https://www.773grp.com/manufacturer/onsemi?pageNo=532", "Onsemi")</f>
        <v>Onsemi</v>
      </c>
      <c r="C15361" s="6">
        <v>4680</v>
      </c>
      <c r="D15361" s="7">
        <v>3.51</v>
      </c>
      <c r="E15361" t="s">
        <v>11</v>
      </c>
    </row>
    <row r="15362" spans="1:5" x14ac:dyDescent="0.25">
      <c r="A15362" t="str">
        <f>HYPERLINK("https://www.773grp.com/globalSearch/MC74ACT652DWR2G/page-1", "MC74ACT652DWR2G")</f>
        <v>MC74ACT652DWR2G</v>
      </c>
      <c r="B15362" s="3" t="str">
        <f>HYPERLINK("https://www.773grp.com/manufacturer/onsemi?pageNo=533", "Onsemi")</f>
        <v>Onsemi</v>
      </c>
      <c r="C15362" s="6">
        <v>12630</v>
      </c>
      <c r="D15362" s="7">
        <v>3.51</v>
      </c>
      <c r="E15362" t="s">
        <v>11</v>
      </c>
    </row>
    <row r="15363" spans="1:5" x14ac:dyDescent="0.25">
      <c r="A15363" t="str">
        <f>HYPERLINK("https://www.773grp.com/globalSearch/MC74ACT652NG/page-1", "MC74ACT652NG")</f>
        <v>MC74ACT652NG</v>
      </c>
      <c r="B15363" s="3" t="str">
        <f>HYPERLINK("https://www.773grp.com/manufacturer/onsemi?pageNo=534", "Onsemi")</f>
        <v>Onsemi</v>
      </c>
      <c r="C15363" s="6">
        <v>15830</v>
      </c>
      <c r="D15363" s="7">
        <v>3.51</v>
      </c>
      <c r="E15363" t="s">
        <v>11</v>
      </c>
    </row>
    <row r="15364" spans="1:5" x14ac:dyDescent="0.25">
      <c r="A15364" t="str">
        <f>HYPERLINK("https://www.773grp.com/globalSearch/MC75172BDWG/page-1", "MC75172BDWG")</f>
        <v>MC75172BDWG</v>
      </c>
      <c r="B15364" s="3" t="str">
        <f>HYPERLINK("https://www.773grp.com/manufacturer/onsemi?pageNo=535", "Onsemi")</f>
        <v>Onsemi</v>
      </c>
      <c r="C15364" s="6">
        <v>399</v>
      </c>
      <c r="D15364" s="7">
        <v>3.51</v>
      </c>
      <c r="E15364" t="s">
        <v>17</v>
      </c>
    </row>
    <row r="15365" spans="1:5" x14ac:dyDescent="0.25">
      <c r="A15365" t="str">
        <f>HYPERLINK("https://www.773grp.com/globalSearch/MC75172BDWR2G/page-1", "MC75172BDWR2G")</f>
        <v>MC75172BDWR2G</v>
      </c>
      <c r="B15365" s="3" t="str">
        <f>HYPERLINK("https://www.773grp.com/manufacturer/onsemi?pageNo=536", "Onsemi")</f>
        <v>Onsemi</v>
      </c>
      <c r="C15365" s="6">
        <v>5427</v>
      </c>
      <c r="D15365" s="7">
        <v>3.51</v>
      </c>
      <c r="E15365" t="s">
        <v>17</v>
      </c>
    </row>
    <row r="15366" spans="1:5" x14ac:dyDescent="0.25">
      <c r="A15366" t="str">
        <f>HYPERLINK("https://www.773grp.com/globalSearch/MC75174BDWG/page-1", "MC75174BDWG")</f>
        <v>MC75174BDWG</v>
      </c>
      <c r="B15366" s="3" t="str">
        <f>HYPERLINK("https://www.773grp.com/manufacturer/onsemi?pageNo=537", "Onsemi")</f>
        <v>Onsemi</v>
      </c>
      <c r="C15366" s="6">
        <v>54</v>
      </c>
      <c r="D15366" s="7">
        <v>3.51</v>
      </c>
      <c r="E15366" t="s">
        <v>17</v>
      </c>
    </row>
    <row r="15367" spans="1:5" x14ac:dyDescent="0.25">
      <c r="A15367" t="str">
        <f>HYPERLINK("https://www.773grp.com/globalSearch/MC75174BP/page-1", "MC75174BP")</f>
        <v>MC75174BP</v>
      </c>
      <c r="B15367" s="3" t="str">
        <f>HYPERLINK("https://www.773grp.com/manufacturer/onsemi?pageNo=538", "Onsemi")</f>
        <v>Onsemi</v>
      </c>
      <c r="C15367" s="6">
        <v>535</v>
      </c>
      <c r="D15367" s="7">
        <v>3.51</v>
      </c>
      <c r="E15367" t="s">
        <v>17</v>
      </c>
    </row>
    <row r="15368" spans="1:5" x14ac:dyDescent="0.25">
      <c r="A15368" t="str">
        <f>HYPERLINK("https://www.773grp.com/globalSearch/MC75174BPG/page-1", "MC75174BPG")</f>
        <v>MC75174BPG</v>
      </c>
      <c r="B15368" s="3" t="str">
        <f>HYPERLINK("https://www.773grp.com/manufacturer/onsemi?pageNo=539", "Onsemi")</f>
        <v>Onsemi</v>
      </c>
      <c r="C15368" s="6">
        <v>1899</v>
      </c>
      <c r="D15368" s="7">
        <v>3.51</v>
      </c>
      <c r="E15368" t="s">
        <v>17</v>
      </c>
    </row>
    <row r="15369" spans="1:5" x14ac:dyDescent="0.25">
      <c r="A15369" t="str">
        <f>HYPERLINK("https://www.773grp.com/globalSearch/MJL4281A/page-1", "MJL4281A")</f>
        <v>MJL4281A</v>
      </c>
      <c r="B15369" s="3" t="str">
        <f>HYPERLINK("https://www.773grp.com/manufacturer/onsemi?pageNo=540", "Onsemi")</f>
        <v>Onsemi</v>
      </c>
      <c r="C15369" s="6">
        <v>75</v>
      </c>
      <c r="D15369" s="7">
        <v>3.51</v>
      </c>
      <c r="E15369" t="s">
        <v>47</v>
      </c>
    </row>
    <row r="15370" spans="1:5" x14ac:dyDescent="0.25">
      <c r="A15370" t="str">
        <f>HYPERLINK("https://www.773grp.com/globalSearch/MJW21192G/page-1", "MJW21192G")</f>
        <v>MJW21192G</v>
      </c>
      <c r="B15370" s="3" t="str">
        <f>HYPERLINK("https://www.773grp.com/manufacturer/onsemi?pageNo=541", "Onsemi")</f>
        <v>Onsemi</v>
      </c>
      <c r="C15370" s="6">
        <v>245</v>
      </c>
      <c r="D15370" s="7">
        <v>3.51</v>
      </c>
      <c r="E15370" t="s">
        <v>47</v>
      </c>
    </row>
    <row r="15371" spans="1:5" x14ac:dyDescent="0.25">
      <c r="A15371" t="str">
        <f>HYPERLINK("https://www.773grp.com/globalSearch/NB3N502DG/page-1", "NB3N502DG")</f>
        <v>NB3N502DG</v>
      </c>
      <c r="B15371" s="3" t="str">
        <f>HYPERLINK("https://www.773grp.com/manufacturer/onsemi?pageNo=542", "Onsemi")</f>
        <v>Onsemi</v>
      </c>
      <c r="C15371" s="6">
        <v>5559</v>
      </c>
      <c r="D15371" s="7">
        <v>3.51</v>
      </c>
      <c r="E15371" t="s">
        <v>65</v>
      </c>
    </row>
    <row r="15372" spans="1:5" x14ac:dyDescent="0.25">
      <c r="A15372" t="str">
        <f>HYPERLINK("https://www.773grp.com/globalSearch/NCL30051DR2G/page-1", "NCL30051DR2G")</f>
        <v>NCL30051DR2G</v>
      </c>
      <c r="B15372" s="3" t="str">
        <f>HYPERLINK("https://www.773grp.com/manufacturer/onsemi?pageNo=543", "Onsemi")</f>
        <v>Onsemi</v>
      </c>
      <c r="C15372" s="6">
        <v>2500</v>
      </c>
      <c r="D15372" s="7">
        <v>3.51</v>
      </c>
    </row>
    <row r="15373" spans="1:5" x14ac:dyDescent="0.25">
      <c r="A15373" t="str">
        <f>HYPERLINK("https://www.773grp.com/globalSearch/NCP5314FTR2/page-1", "NCP5314FTR2")</f>
        <v>NCP5314FTR2</v>
      </c>
      <c r="B15373" s="3" t="str">
        <f>HYPERLINK("https://www.773grp.com/manufacturer/onsemi?pageNo=544", "Onsemi")</f>
        <v>Onsemi</v>
      </c>
      <c r="C15373" s="6">
        <v>192000</v>
      </c>
      <c r="D15373" s="7">
        <v>3.51</v>
      </c>
      <c r="E15373" t="s">
        <v>5</v>
      </c>
    </row>
    <row r="15374" spans="1:5" x14ac:dyDescent="0.25">
      <c r="A15374" t="str">
        <f>HYPERLINK("https://www.773grp.com/globalSearch/NCP5314FTR2G/page-1", "NCP5314FTR2G")</f>
        <v>NCP5314FTR2G</v>
      </c>
      <c r="B15374" s="3" t="str">
        <f>HYPERLINK("https://www.773grp.com/manufacturer/onsemi?pageNo=545", "Onsemi")</f>
        <v>Onsemi</v>
      </c>
      <c r="C15374" s="6">
        <v>11048</v>
      </c>
      <c r="D15374" s="7">
        <v>3.51</v>
      </c>
      <c r="E15374" t="s">
        <v>5</v>
      </c>
    </row>
    <row r="15375" spans="1:5" x14ac:dyDescent="0.25">
      <c r="A15375" t="str">
        <f>HYPERLINK("https://www.773grp.com/globalSearch/NCV3163PWG/page-1", "NCV3163PWG")</f>
        <v>NCV3163PWG</v>
      </c>
      <c r="B15375" s="3" t="str">
        <f>HYPERLINK("https://www.773grp.com/manufacturer/onsemi?pageNo=546", "Onsemi")</f>
        <v>Onsemi</v>
      </c>
      <c r="C15375" s="6">
        <v>1504</v>
      </c>
      <c r="D15375" s="7">
        <v>3.51</v>
      </c>
    </row>
    <row r="15376" spans="1:5" x14ac:dyDescent="0.25">
      <c r="A15376" t="str">
        <f>HYPERLINK("https://www.773grp.com/globalSearch/NCV3163PWR2G/page-1", "NCV3163PWR2G")</f>
        <v>NCV3163PWR2G</v>
      </c>
      <c r="B15376" s="3" t="str">
        <f>HYPERLINK("https://www.773grp.com/manufacturer/onsemi?pageNo=547", "Onsemi")</f>
        <v>Onsemi</v>
      </c>
      <c r="C15376" s="6">
        <v>2000</v>
      </c>
      <c r="D15376" s="7">
        <v>3.51</v>
      </c>
      <c r="E15376" t="s">
        <v>5</v>
      </c>
    </row>
    <row r="15377" spans="1:5" x14ac:dyDescent="0.25">
      <c r="A15377" t="str">
        <f>HYPERLINK("https://www.773grp.com/globalSearch/NTL4502NT1/page-1", "NTL4502NT1")</f>
        <v>NTL4502NT1</v>
      </c>
      <c r="B15377" s="3" t="str">
        <f>HYPERLINK("https://www.773grp.com/manufacturer/onsemi?pageNo=548", "Onsemi")</f>
        <v>Onsemi</v>
      </c>
      <c r="C15377" s="6">
        <v>912</v>
      </c>
      <c r="D15377" s="7">
        <v>3.51</v>
      </c>
      <c r="E15377" t="s">
        <v>84</v>
      </c>
    </row>
    <row r="15378" spans="1:5" x14ac:dyDescent="0.25">
      <c r="A15378" t="str">
        <f>HYPERLINK("https://www.773grp.com/globalSearch/P2042AF-08TR/page-1", "P2042AF-08TR")</f>
        <v>P2042AF-08TR</v>
      </c>
      <c r="B15378" s="3" t="str">
        <f>HYPERLINK("https://www.773grp.com/manufacturer/onsemi?pageNo=549", "Onsemi")</f>
        <v>Onsemi</v>
      </c>
      <c r="C15378" s="6">
        <v>5000</v>
      </c>
      <c r="D15378" s="7">
        <v>3.51</v>
      </c>
    </row>
    <row r="15379" spans="1:5" x14ac:dyDescent="0.25">
      <c r="A15379" t="str">
        <f>HYPERLINK("https://www.773grp.com/globalSearch/74VCX162240DT/page-1", "74VCX162240DT")</f>
        <v>74VCX162240DT</v>
      </c>
      <c r="B15379" s="3" t="str">
        <f>HYPERLINK("https://www.773grp.com/manufacturer/onsemi?pageNo=550", "Onsemi")</f>
        <v>Onsemi</v>
      </c>
      <c r="C15379" s="6">
        <v>16926</v>
      </c>
      <c r="D15379" s="7">
        <v>3.9</v>
      </c>
      <c r="E15379" t="s">
        <v>11</v>
      </c>
    </row>
    <row r="15380" spans="1:5" x14ac:dyDescent="0.25">
      <c r="A15380" t="str">
        <f>HYPERLINK("https://www.773grp.com/globalSearch/CS51413ED8G/page-1", "CS51413ED8G")</f>
        <v>CS51413ED8G</v>
      </c>
      <c r="B15380" s="3" t="str">
        <f>HYPERLINK("https://www.773grp.com/manufacturer/onsemi?pageNo=551", "Onsemi")</f>
        <v>Onsemi</v>
      </c>
      <c r="C15380" s="6">
        <v>547</v>
      </c>
      <c r="D15380" s="7">
        <v>3.9</v>
      </c>
    </row>
    <row r="15381" spans="1:5" x14ac:dyDescent="0.25">
      <c r="A15381" t="str">
        <f>HYPERLINK("https://www.773grp.com/globalSearch/CS5203A-2GDPR3/page-1", "CS5203A-2GDPR3")</f>
        <v>CS5203A-2GDPR3</v>
      </c>
      <c r="B15381" s="3" t="str">
        <f>HYPERLINK("https://www.773grp.com/manufacturer/onsemi?pageNo=552", "Onsemi")</f>
        <v>Onsemi</v>
      </c>
      <c r="C15381" s="6">
        <v>5250</v>
      </c>
      <c r="D15381" s="7">
        <v>3.9</v>
      </c>
      <c r="E15381" t="s">
        <v>15</v>
      </c>
    </row>
    <row r="15382" spans="1:5" x14ac:dyDescent="0.25">
      <c r="A15382" t="str">
        <f>HYPERLINK("https://www.773grp.com/globalSearch/CS5205-1GDP3/page-1", "CS5205-1GDP3")</f>
        <v>CS5205-1GDP3</v>
      </c>
      <c r="B15382" s="3" t="str">
        <f>HYPERLINK("https://www.773grp.com/manufacturer/onsemi?pageNo=553", "Onsemi")</f>
        <v>Onsemi</v>
      </c>
      <c r="C15382" s="6">
        <v>550</v>
      </c>
      <c r="D15382" s="7">
        <v>3.9</v>
      </c>
      <c r="E15382" t="s">
        <v>21</v>
      </c>
    </row>
    <row r="15383" spans="1:5" x14ac:dyDescent="0.25">
      <c r="A15383" t="str">
        <f>HYPERLINK("https://www.773grp.com/globalSearch/CS5205-2GDP3/page-1", "CS5205-2GDP3")</f>
        <v>CS5205-2GDP3</v>
      </c>
      <c r="B15383" s="3" t="str">
        <f>HYPERLINK("https://www.773grp.com/manufacturer/onsemi?pageNo=554", "Onsemi")</f>
        <v>Onsemi</v>
      </c>
      <c r="C15383" s="6">
        <v>2950</v>
      </c>
      <c r="D15383" s="7">
        <v>3.9</v>
      </c>
      <c r="E15383" t="s">
        <v>15</v>
      </c>
    </row>
    <row r="15384" spans="1:5" x14ac:dyDescent="0.25">
      <c r="A15384" t="str">
        <f>HYPERLINK("https://www.773grp.com/globalSearch/CS5205A-1GDP3/page-1", "CS5205A-1GDP3")</f>
        <v>CS5205A-1GDP3</v>
      </c>
      <c r="B15384" s="3" t="str">
        <f>HYPERLINK("https://www.773grp.com/manufacturer/onsemi?pageNo=555", "Onsemi")</f>
        <v>Onsemi</v>
      </c>
      <c r="C15384" s="6">
        <v>1100</v>
      </c>
      <c r="D15384" s="7">
        <v>3.9</v>
      </c>
      <c r="E15384" t="s">
        <v>21</v>
      </c>
    </row>
    <row r="15385" spans="1:5" x14ac:dyDescent="0.25">
      <c r="A15385" t="str">
        <f>HYPERLINK("https://www.773grp.com/globalSearch/CS5206-3GDP3/page-1", "CS5206-3GDP3")</f>
        <v>CS5206-3GDP3</v>
      </c>
      <c r="B15385" s="3" t="str">
        <f>HYPERLINK("https://www.773grp.com/manufacturer/onsemi?pageNo=556", "Onsemi")</f>
        <v>Onsemi</v>
      </c>
      <c r="C15385" s="6">
        <v>918</v>
      </c>
      <c r="D15385" s="7">
        <v>3.9</v>
      </c>
      <c r="E15385" t="s">
        <v>15</v>
      </c>
    </row>
    <row r="15386" spans="1:5" x14ac:dyDescent="0.25">
      <c r="A15386" t="str">
        <f>HYPERLINK("https://www.773grp.com/globalSearch/CS5207-2GT3/page-1", "CS5207-2GT3")</f>
        <v>CS5207-2GT3</v>
      </c>
      <c r="B15386" s="3" t="str">
        <f>HYPERLINK("https://www.773grp.com/manufacturer/onsemi?pageNo=557", "Onsemi")</f>
        <v>Onsemi</v>
      </c>
      <c r="C15386" s="6">
        <v>900</v>
      </c>
      <c r="D15386" s="7">
        <v>3.9</v>
      </c>
      <c r="E15386" t="s">
        <v>15</v>
      </c>
    </row>
    <row r="15387" spans="1:5" x14ac:dyDescent="0.25">
      <c r="A15387" t="str">
        <f>HYPERLINK("https://www.773grp.com/globalSearch/CS5207-3GT3/page-1", "CS5207-3GT3")</f>
        <v>CS5207-3GT3</v>
      </c>
      <c r="B15387" s="3" t="str">
        <f>HYPERLINK("https://www.773grp.com/manufacturer/onsemi?pageNo=558", "Onsemi")</f>
        <v>Onsemi</v>
      </c>
      <c r="C15387" s="6">
        <v>1350</v>
      </c>
      <c r="D15387" s="7">
        <v>3.9</v>
      </c>
      <c r="E15387" t="s">
        <v>15</v>
      </c>
    </row>
    <row r="15388" spans="1:5" x14ac:dyDescent="0.25">
      <c r="A15388" t="str">
        <f>HYPERLINK("https://www.773grp.com/globalSearch/CS8121YDPS7/page-1", "CS8121YDPS7")</f>
        <v>CS8121YDPS7</v>
      </c>
      <c r="B15388" s="3" t="str">
        <f>HYPERLINK("https://www.773grp.com/manufacturer/onsemi?pageNo=559", "Onsemi")</f>
        <v>Onsemi</v>
      </c>
      <c r="C15388" s="6">
        <v>550</v>
      </c>
      <c r="D15388" s="7">
        <v>3.9</v>
      </c>
      <c r="E15388" t="s">
        <v>15</v>
      </c>
    </row>
    <row r="15389" spans="1:5" x14ac:dyDescent="0.25">
      <c r="A15389" t="str">
        <f>HYPERLINK("https://www.773grp.com/globalSearch/LA5779-E/page-1", "LA5779-E")</f>
        <v>LA5779-E</v>
      </c>
      <c r="B15389" s="3" t="str">
        <f>HYPERLINK("https://www.773grp.com/manufacturer/onsemi?pageNo=560", "Onsemi")</f>
        <v>Onsemi</v>
      </c>
      <c r="C15389" s="6">
        <v>330</v>
      </c>
      <c r="D15389" s="7">
        <v>3.9</v>
      </c>
    </row>
    <row r="15390" spans="1:5" x14ac:dyDescent="0.25">
      <c r="A15390" t="str">
        <f>HYPERLINK("https://www.773grp.com/globalSearch/LB1861M-TLM-H/page-1", "LB1861M-TLM-H")</f>
        <v>LB1861M-TLM-H</v>
      </c>
      <c r="B15390" s="3" t="str">
        <f>HYPERLINK("https://www.773grp.com/manufacturer/onsemi?pageNo=561", "Onsemi")</f>
        <v>Onsemi</v>
      </c>
      <c r="C15390" s="6">
        <v>3000</v>
      </c>
      <c r="D15390" s="7">
        <v>3.9</v>
      </c>
    </row>
    <row r="15391" spans="1:5" x14ac:dyDescent="0.25">
      <c r="A15391" t="str">
        <f>HYPERLINK("https://www.773grp.com/globalSearch/LC717A00AJ-AH/page-1", "LC717A00AJ-AH")</f>
        <v>LC717A00AJ-AH</v>
      </c>
      <c r="B15391" s="3" t="str">
        <f>HYPERLINK("https://www.773grp.com/manufacturer/onsemi?pageNo=562", "Onsemi")</f>
        <v>Onsemi</v>
      </c>
      <c r="C15391" s="6">
        <v>1000</v>
      </c>
      <c r="D15391" s="7">
        <v>3.9</v>
      </c>
    </row>
    <row r="15392" spans="1:5" x14ac:dyDescent="0.25">
      <c r="A15392" t="str">
        <f>HYPERLINK("https://www.773grp.com/globalSearch/LM2575T-15G/page-1", "LM2575T-15G")</f>
        <v>LM2575T-15G</v>
      </c>
      <c r="B15392" s="3" t="str">
        <f>HYPERLINK("https://www.773grp.com/manufacturer/onsemi?pageNo=563", "Onsemi")</f>
        <v>Onsemi</v>
      </c>
      <c r="C15392" s="6">
        <v>3800</v>
      </c>
      <c r="D15392" s="7">
        <v>3.9</v>
      </c>
      <c r="E15392" t="s">
        <v>5</v>
      </c>
    </row>
    <row r="15393" spans="1:5" x14ac:dyDescent="0.25">
      <c r="A15393" t="str">
        <f>HYPERLINK("https://www.773grp.com/globalSearch/LM2575T-3.3G/page-1", "LM2575T-3.3G")</f>
        <v>LM2575T-3.3G</v>
      </c>
      <c r="B15393" s="3" t="str">
        <f>HYPERLINK("https://www.773grp.com/manufacturer/onsemi?pageNo=564", "Onsemi")</f>
        <v>Onsemi</v>
      </c>
      <c r="C15393" s="6">
        <v>11200</v>
      </c>
      <c r="D15393" s="7">
        <v>3.9</v>
      </c>
      <c r="E15393" t="s">
        <v>5</v>
      </c>
    </row>
    <row r="15394" spans="1:5" x14ac:dyDescent="0.25">
      <c r="A15394" t="str">
        <f>HYPERLINK("https://www.773grp.com/globalSearch/LM2575TV-3.3G/page-1", "LM2575TV-3.3G")</f>
        <v>LM2575TV-3.3G</v>
      </c>
      <c r="B15394" s="3" t="str">
        <f>HYPERLINK("https://www.773grp.com/manufacturer/onsemi?pageNo=565", "Onsemi")</f>
        <v>Onsemi</v>
      </c>
      <c r="C15394" s="6">
        <v>4560</v>
      </c>
      <c r="D15394" s="7">
        <v>3.9</v>
      </c>
      <c r="E15394" t="s">
        <v>5</v>
      </c>
    </row>
    <row r="15395" spans="1:5" x14ac:dyDescent="0.25">
      <c r="A15395" t="str">
        <f>HYPERLINK("https://www.773grp.com/globalSearch/LV8548M-TLM-H/page-1", "LV8548M-TLM-H")</f>
        <v>LV8548M-TLM-H</v>
      </c>
      <c r="B15395" s="3" t="str">
        <f>HYPERLINK("https://www.773grp.com/manufacturer/onsemi?pageNo=566", "Onsemi")</f>
        <v>Onsemi</v>
      </c>
      <c r="C15395" s="6">
        <v>980</v>
      </c>
      <c r="D15395" s="7">
        <v>3.9</v>
      </c>
    </row>
    <row r="15396" spans="1:5" x14ac:dyDescent="0.25">
      <c r="A15396" t="str">
        <f>HYPERLINK("https://www.773grp.com/globalSearch/LV8549M-TLM-H/page-1", "LV8549M-TLM-H")</f>
        <v>LV8549M-TLM-H</v>
      </c>
      <c r="B15396" s="3" t="str">
        <f>HYPERLINK("https://www.773grp.com/manufacturer/onsemi?pageNo=567", "Onsemi")</f>
        <v>Onsemi</v>
      </c>
      <c r="C15396" s="6">
        <v>1000</v>
      </c>
      <c r="D15396" s="7">
        <v>3.9</v>
      </c>
    </row>
    <row r="15397" spans="1:5" x14ac:dyDescent="0.25">
      <c r="A15397" t="str">
        <f>HYPERLINK("https://www.773grp.com/globalSearch/LV8549M-TLM-H/page-1", "LV8549M-TLM-H")</f>
        <v>LV8549M-TLM-H</v>
      </c>
      <c r="B15397" s="3" t="str">
        <f>HYPERLINK("https://www.773grp.com/manufacturer/onsemi?pageNo=568", "Onsemi")</f>
        <v>Onsemi</v>
      </c>
      <c r="C15397" s="6">
        <v>879</v>
      </c>
      <c r="D15397" s="7">
        <v>3.9</v>
      </c>
    </row>
    <row r="15398" spans="1:5" x14ac:dyDescent="0.25">
      <c r="A15398" t="str">
        <f>HYPERLINK("https://www.773grp.com/globalSearch/MC10110L/page-1", "MC10110L")</f>
        <v>MC10110L</v>
      </c>
      <c r="B15398" s="3" t="str">
        <f>HYPERLINK("https://www.773grp.com/manufacturer/onsemi?pageNo=569", "Onsemi")</f>
        <v>Onsemi</v>
      </c>
      <c r="C15398" s="6">
        <v>463</v>
      </c>
      <c r="D15398" s="7">
        <v>3.9</v>
      </c>
      <c r="E15398" t="s">
        <v>27</v>
      </c>
    </row>
    <row r="15399" spans="1:5" x14ac:dyDescent="0.25">
      <c r="A15399" t="str">
        <f>HYPERLINK("https://www.773grp.com/globalSearch/MC10H101P/page-1", "MC10H101P")</f>
        <v>MC10H101P</v>
      </c>
      <c r="B15399" s="3" t="str">
        <f>HYPERLINK("https://www.773grp.com/manufacturer/onsemi?pageNo=570", "Onsemi")</f>
        <v>Onsemi</v>
      </c>
      <c r="C15399" s="6">
        <v>16215</v>
      </c>
      <c r="D15399" s="7">
        <v>3.9</v>
      </c>
      <c r="E15399" t="s">
        <v>27</v>
      </c>
    </row>
    <row r="15400" spans="1:5" x14ac:dyDescent="0.25">
      <c r="A15400" t="str">
        <f>HYPERLINK("https://www.773grp.com/globalSearch/MC10H102P/page-1", "MC10H102P")</f>
        <v>MC10H102P</v>
      </c>
      <c r="B15400" s="3" t="str">
        <f>HYPERLINK("https://www.773grp.com/manufacturer/onsemi?pageNo=571", "Onsemi")</f>
        <v>Onsemi</v>
      </c>
      <c r="C15400" s="6">
        <v>9589</v>
      </c>
      <c r="D15400" s="7">
        <v>3.9</v>
      </c>
      <c r="E15400" t="s">
        <v>27</v>
      </c>
    </row>
    <row r="15401" spans="1:5" x14ac:dyDescent="0.25">
      <c r="A15401" t="str">
        <f>HYPERLINK("https://www.773grp.com/globalSearch/MC10H103P/page-1", "MC10H103P")</f>
        <v>MC10H103P</v>
      </c>
      <c r="B15401" s="3" t="str">
        <f>HYPERLINK("https://www.773grp.com/manufacturer/onsemi?pageNo=572", "Onsemi")</f>
        <v>Onsemi</v>
      </c>
      <c r="C15401" s="6">
        <v>10327</v>
      </c>
      <c r="D15401" s="7">
        <v>3.9</v>
      </c>
      <c r="E15401" t="s">
        <v>27</v>
      </c>
    </row>
    <row r="15402" spans="1:5" x14ac:dyDescent="0.25">
      <c r="A15402" t="str">
        <f>HYPERLINK("https://www.773grp.com/globalSearch/MC10H104P/page-1", "MC10H104P")</f>
        <v>MC10H104P</v>
      </c>
      <c r="B15402" s="3" t="str">
        <f>HYPERLINK("https://www.773grp.com/manufacturer/onsemi?pageNo=573", "Onsemi")</f>
        <v>Onsemi</v>
      </c>
      <c r="C15402" s="6">
        <v>4824</v>
      </c>
      <c r="D15402" s="7">
        <v>3.9</v>
      </c>
      <c r="E15402" t="s">
        <v>27</v>
      </c>
    </row>
    <row r="15403" spans="1:5" x14ac:dyDescent="0.25">
      <c r="A15403" t="str">
        <f>HYPERLINK("https://www.773grp.com/globalSearch/MC10H105P/page-1", "MC10H105P")</f>
        <v>MC10H105P</v>
      </c>
      <c r="B15403" s="3" t="str">
        <f>HYPERLINK("https://www.773grp.com/manufacturer/onsemi?pageNo=574", "Onsemi")</f>
        <v>Onsemi</v>
      </c>
      <c r="C15403" s="6">
        <v>11190</v>
      </c>
      <c r="D15403" s="7">
        <v>3.9</v>
      </c>
      <c r="E15403" t="s">
        <v>27</v>
      </c>
    </row>
    <row r="15404" spans="1:5" x14ac:dyDescent="0.25">
      <c r="A15404" t="str">
        <f>HYPERLINK("https://www.773grp.com/globalSearch/MC10H106P/page-1", "MC10H106P")</f>
        <v>MC10H106P</v>
      </c>
      <c r="B15404" s="3" t="str">
        <f>HYPERLINK("https://www.773grp.com/manufacturer/onsemi?pageNo=575", "Onsemi")</f>
        <v>Onsemi</v>
      </c>
      <c r="C15404" s="6">
        <v>6665</v>
      </c>
      <c r="D15404" s="7">
        <v>3.9</v>
      </c>
      <c r="E15404" t="s">
        <v>27</v>
      </c>
    </row>
    <row r="15405" spans="1:5" x14ac:dyDescent="0.25">
      <c r="A15405" t="str">
        <f>HYPERLINK("https://www.773grp.com/globalSearch/MC10H106PG/page-1", "MC10H106PG")</f>
        <v>MC10H106PG</v>
      </c>
      <c r="B15405" s="3" t="str">
        <f>HYPERLINK("https://www.773grp.com/manufacturer/onsemi?pageNo=576", "Onsemi")</f>
        <v>Onsemi</v>
      </c>
      <c r="C15405" s="6">
        <v>10515</v>
      </c>
      <c r="D15405" s="7">
        <v>3.9</v>
      </c>
      <c r="E15405" t="s">
        <v>27</v>
      </c>
    </row>
    <row r="15406" spans="1:5" x14ac:dyDescent="0.25">
      <c r="A15406" t="str">
        <f>HYPERLINK("https://www.773grp.com/globalSearch/MC10H113P/page-1", "MC10H113P")</f>
        <v>MC10H113P</v>
      </c>
      <c r="B15406" s="3" t="str">
        <f>HYPERLINK("https://www.773grp.com/manufacturer/onsemi?pageNo=577", "Onsemi")</f>
        <v>Onsemi</v>
      </c>
      <c r="C15406" s="6">
        <v>1651</v>
      </c>
      <c r="D15406" s="7">
        <v>3.9</v>
      </c>
      <c r="E15406" t="s">
        <v>27</v>
      </c>
    </row>
    <row r="15407" spans="1:5" x14ac:dyDescent="0.25">
      <c r="A15407" t="str">
        <f>HYPERLINK("https://www.773grp.com/globalSearch/MC10H115P/page-1", "MC10H115P")</f>
        <v>MC10H115P</v>
      </c>
      <c r="B15407" s="3" t="str">
        <f>HYPERLINK("https://www.773grp.com/manufacturer/onsemi?pageNo=578", "Onsemi")</f>
        <v>Onsemi</v>
      </c>
      <c r="C15407" s="6">
        <v>2850</v>
      </c>
      <c r="D15407" s="7">
        <v>3.9</v>
      </c>
      <c r="E15407" t="s">
        <v>17</v>
      </c>
    </row>
    <row r="15408" spans="1:5" x14ac:dyDescent="0.25">
      <c r="A15408" t="str">
        <f>HYPERLINK("https://www.773grp.com/globalSearch/MC10H116P/page-1", "MC10H116P")</f>
        <v>MC10H116P</v>
      </c>
      <c r="B15408" s="3" t="str">
        <f>HYPERLINK("https://www.773grp.com/manufacturer/onsemi?pageNo=579", "Onsemi")</f>
        <v>Onsemi</v>
      </c>
      <c r="C15408" s="6">
        <v>785</v>
      </c>
      <c r="D15408" s="7">
        <v>3.9</v>
      </c>
      <c r="E15408" t="s">
        <v>17</v>
      </c>
    </row>
    <row r="15409" spans="1:5" x14ac:dyDescent="0.25">
      <c r="A15409" t="str">
        <f>HYPERLINK("https://www.773grp.com/globalSearch/MC10H117P/page-1", "MC10H117P")</f>
        <v>MC10H117P</v>
      </c>
      <c r="B15409" s="3" t="str">
        <f>HYPERLINK("https://www.773grp.com/manufacturer/onsemi?pageNo=580", "Onsemi")</f>
        <v>Onsemi</v>
      </c>
      <c r="C15409" s="6">
        <v>2333</v>
      </c>
      <c r="D15409" s="7">
        <v>3.9</v>
      </c>
      <c r="E15409" t="s">
        <v>27</v>
      </c>
    </row>
    <row r="15410" spans="1:5" x14ac:dyDescent="0.25">
      <c r="A15410" t="str">
        <f>HYPERLINK("https://www.773grp.com/globalSearch/MC10H121P/page-1", "MC10H121P")</f>
        <v>MC10H121P</v>
      </c>
      <c r="B15410" s="3" t="str">
        <f>HYPERLINK("https://www.773grp.com/manufacturer/onsemi?pageNo=581", "Onsemi")</f>
        <v>Onsemi</v>
      </c>
      <c r="C15410" s="6">
        <v>3965</v>
      </c>
      <c r="D15410" s="7">
        <v>3.9</v>
      </c>
      <c r="E15410" t="s">
        <v>27</v>
      </c>
    </row>
    <row r="15411" spans="1:5" x14ac:dyDescent="0.25">
      <c r="A15411" t="str">
        <f>HYPERLINK("https://www.773grp.com/globalSearch/MC33160DWR2G/page-1", "MC33160DWR2G")</f>
        <v>MC33160DWR2G</v>
      </c>
      <c r="B15411" s="3" t="str">
        <f>HYPERLINK("https://www.773grp.com/manufacturer/onsemi?pageNo=582", "Onsemi")</f>
        <v>Onsemi</v>
      </c>
      <c r="C15411" s="6">
        <v>536</v>
      </c>
      <c r="D15411" s="7">
        <v>3.9</v>
      </c>
    </row>
    <row r="15412" spans="1:5" x14ac:dyDescent="0.25">
      <c r="A15412" t="str">
        <f>HYPERLINK("https://www.773grp.com/globalSearch/MC33160PG/page-1", "MC33160PG")</f>
        <v>MC33160PG</v>
      </c>
      <c r="B15412" s="3" t="str">
        <f>HYPERLINK("https://www.773grp.com/manufacturer/onsemi?pageNo=583", "Onsemi")</f>
        <v>Onsemi</v>
      </c>
      <c r="C15412" s="6">
        <v>275</v>
      </c>
      <c r="D15412" s="7">
        <v>3.9</v>
      </c>
      <c r="E15412" t="s">
        <v>24</v>
      </c>
    </row>
    <row r="15413" spans="1:5" x14ac:dyDescent="0.25">
      <c r="A15413" t="str">
        <f>HYPERLINK("https://www.773grp.com/globalSearch/MC44605P/page-1", "MC44605P")</f>
        <v>MC44605P</v>
      </c>
      <c r="B15413" s="3" t="str">
        <f>HYPERLINK("https://www.773grp.com/manufacturer/onsemi?pageNo=584", "Onsemi")</f>
        <v>Onsemi</v>
      </c>
      <c r="C15413" s="6">
        <v>2949</v>
      </c>
      <c r="D15413" s="7">
        <v>3.9</v>
      </c>
      <c r="E15413" t="s">
        <v>5</v>
      </c>
    </row>
    <row r="15414" spans="1:5" x14ac:dyDescent="0.25">
      <c r="A15414" t="str">
        <f>HYPERLINK("https://www.773grp.com/globalSearch/MC623DR2/page-1", "MC623DR2")</f>
        <v>MC623DR2</v>
      </c>
      <c r="B15414" s="3" t="str">
        <f>HYPERLINK("https://www.773grp.com/manufacturer/onsemi?pageNo=585", "Onsemi")</f>
        <v>Onsemi</v>
      </c>
      <c r="C15414" s="6">
        <v>2488</v>
      </c>
      <c r="D15414" s="7">
        <v>3.9</v>
      </c>
      <c r="E15414" t="s">
        <v>9</v>
      </c>
    </row>
    <row r="15415" spans="1:5" x14ac:dyDescent="0.25">
      <c r="A15415" t="str">
        <f>HYPERLINK("https://www.773grp.com/globalSearch/MC642DR2/page-1", "MC642DR2")</f>
        <v>MC642DR2</v>
      </c>
      <c r="B15415" s="3" t="str">
        <f>HYPERLINK("https://www.773grp.com/manufacturer/onsemi?pageNo=586", "Onsemi")</f>
        <v>Onsemi</v>
      </c>
      <c r="C15415" s="6">
        <v>34900</v>
      </c>
      <c r="D15415" s="7">
        <v>3.9</v>
      </c>
      <c r="E15415" t="s">
        <v>50</v>
      </c>
    </row>
    <row r="15416" spans="1:5" x14ac:dyDescent="0.25">
      <c r="A15416" t="str">
        <f>HYPERLINK("https://www.773grp.com/globalSearch/MTB9N25ET4/page-1", "MTB9N25ET4")</f>
        <v>MTB9N25ET4</v>
      </c>
      <c r="B15416" s="3" t="str">
        <f>HYPERLINK("https://www.773grp.com/manufacturer/onsemi?pageNo=587", "Onsemi")</f>
        <v>Onsemi</v>
      </c>
      <c r="C15416" s="6">
        <v>13312</v>
      </c>
      <c r="D15416" s="7">
        <v>3.9</v>
      </c>
      <c r="E15416" t="s">
        <v>84</v>
      </c>
    </row>
    <row r="15417" spans="1:5" x14ac:dyDescent="0.25">
      <c r="A15417" t="str">
        <f>HYPERLINK("https://www.773grp.com/globalSearch/MURF1660CTG/page-1", "MURF1660CTG")</f>
        <v>MURF1660CTG</v>
      </c>
      <c r="B15417" s="3" t="str">
        <f>HYPERLINK("https://www.773grp.com/manufacturer/onsemi?pageNo=588", "Onsemi")</f>
        <v>Onsemi</v>
      </c>
      <c r="C15417" s="6">
        <v>3210</v>
      </c>
      <c r="D15417" s="7">
        <v>3.9</v>
      </c>
    </row>
    <row r="15418" spans="1:5" x14ac:dyDescent="0.25">
      <c r="A15418" t="str">
        <f>HYPERLINK("https://www.773grp.com/globalSearch/NCP1031MNTXG/page-1", "NCP1031MNTXG")</f>
        <v>NCP1031MNTXG</v>
      </c>
      <c r="B15418" s="3" t="str">
        <f>HYPERLINK("https://www.773grp.com/manufacturer/onsemi?pageNo=589", "Onsemi")</f>
        <v>Onsemi</v>
      </c>
      <c r="C15418" s="6">
        <v>13683</v>
      </c>
      <c r="D15418" s="7">
        <v>3.9</v>
      </c>
    </row>
    <row r="15419" spans="1:5" x14ac:dyDescent="0.25">
      <c r="A15419" t="str">
        <f>HYPERLINK("https://www.773grp.com/globalSearch/NCP5424DR2/page-1", "NCP5424DR2")</f>
        <v>NCP5424DR2</v>
      </c>
      <c r="B15419" s="3" t="str">
        <f>HYPERLINK("https://www.773grp.com/manufacturer/onsemi?pageNo=590", "Onsemi")</f>
        <v>Onsemi</v>
      </c>
      <c r="C15419" s="6">
        <v>5000</v>
      </c>
      <c r="D15419" s="7">
        <v>3.9</v>
      </c>
      <c r="E15419" t="s">
        <v>5</v>
      </c>
    </row>
    <row r="15420" spans="1:5" x14ac:dyDescent="0.25">
      <c r="A15420" t="str">
        <f>HYPERLINK("https://www.773grp.com/globalSearch/NCP5424DR2G/page-1", "NCP5424DR2G")</f>
        <v>NCP5424DR2G</v>
      </c>
      <c r="B15420" s="3" t="str">
        <f>HYPERLINK("https://www.773grp.com/manufacturer/onsemi?pageNo=591", "Onsemi")</f>
        <v>Onsemi</v>
      </c>
      <c r="C15420" s="6">
        <v>105755</v>
      </c>
      <c r="D15420" s="7">
        <v>3.9</v>
      </c>
      <c r="E15420" t="s">
        <v>5</v>
      </c>
    </row>
    <row r="15421" spans="1:5" x14ac:dyDescent="0.25">
      <c r="A15421" t="str">
        <f>HYPERLINK("https://www.773grp.com/globalSearch/NCV4269PDG/page-1", "NCV4269PDG")</f>
        <v>NCV4269PDG</v>
      </c>
      <c r="B15421" s="3" t="str">
        <f>HYPERLINK("https://www.773grp.com/manufacturer/onsemi?pageNo=592", "Onsemi")</f>
        <v>Onsemi</v>
      </c>
      <c r="C15421" s="6">
        <v>2156</v>
      </c>
      <c r="D15421" s="7">
        <v>3.9</v>
      </c>
    </row>
    <row r="15422" spans="1:5" x14ac:dyDescent="0.25">
      <c r="A15422" t="str">
        <f>HYPERLINK("https://www.773grp.com/globalSearch/NCV4269PDR2G/page-1", "NCV4269PDR2G")</f>
        <v>NCV4269PDR2G</v>
      </c>
      <c r="B15422" s="3" t="str">
        <f>HYPERLINK("https://www.773grp.com/manufacturer/onsemi?pageNo=593", "Onsemi")</f>
        <v>Onsemi</v>
      </c>
      <c r="C15422" s="6">
        <v>6229</v>
      </c>
      <c r="D15422" s="7">
        <v>3.9</v>
      </c>
      <c r="E15422" t="s">
        <v>15</v>
      </c>
    </row>
    <row r="15423" spans="1:5" x14ac:dyDescent="0.25">
      <c r="A15423" t="str">
        <f>HYPERLINK("https://www.773grp.com/globalSearch/NTP5863NG/page-1", "NTP5863NG")</f>
        <v>NTP5863NG</v>
      </c>
      <c r="B15423" s="3" t="str">
        <f>HYPERLINK("https://www.773grp.com/manufacturer/onsemi?pageNo=594", "Onsemi")</f>
        <v>Onsemi</v>
      </c>
      <c r="C15423" s="6">
        <v>500</v>
      </c>
      <c r="D15423" s="7">
        <v>3.9</v>
      </c>
      <c r="E15423" t="s">
        <v>84</v>
      </c>
    </row>
    <row r="15424" spans="1:5" x14ac:dyDescent="0.25">
      <c r="A15424" t="str">
        <f>HYPERLINK("https://www.773grp.com/globalSearch/MC74F579N/page-1", "MC74F579N")</f>
        <v>MC74F579N</v>
      </c>
      <c r="B15424" s="3" t="str">
        <f>HYPERLINK("https://www.773grp.com/manufacturer/onsemi?pageNo=595", "Onsemi")</f>
        <v>Onsemi</v>
      </c>
      <c r="C15424" s="6">
        <v>5</v>
      </c>
      <c r="D15424" s="7">
        <v>3.55</v>
      </c>
      <c r="E15424" t="s">
        <v>22</v>
      </c>
    </row>
    <row r="15425" spans="1:5" x14ac:dyDescent="0.25">
      <c r="A15425" t="str">
        <f>HYPERLINK("https://www.773grp.com/globalSearch/NCS2510SNT1G/page-1", "NCS2510SNT1G")</f>
        <v>NCS2510SNT1G</v>
      </c>
      <c r="B15425" s="3" t="str">
        <f>HYPERLINK("https://www.773grp.com/manufacturer/onsemi?pageNo=596", "Onsemi")</f>
        <v>Onsemi</v>
      </c>
      <c r="C15425" s="6">
        <v>8965</v>
      </c>
      <c r="D15425" s="7">
        <v>3.55</v>
      </c>
      <c r="E15425" t="s">
        <v>14</v>
      </c>
    </row>
    <row r="15426" spans="1:5" x14ac:dyDescent="0.25">
      <c r="A15426" t="str">
        <f>HYPERLINK("https://www.773grp.com/globalSearch/BUV48A/page-1", "BUV48A")</f>
        <v>BUV48A</v>
      </c>
      <c r="B15426" s="3" t="str">
        <f>HYPERLINK("https://www.773grp.com/manufacturer/onsemi?pageNo=597", "Onsemi")</f>
        <v>Onsemi</v>
      </c>
      <c r="C15426" s="6">
        <v>138</v>
      </c>
      <c r="D15426" s="7">
        <v>3.58</v>
      </c>
      <c r="E15426" t="s">
        <v>47</v>
      </c>
    </row>
    <row r="15427" spans="1:5" x14ac:dyDescent="0.25">
      <c r="A15427" t="str">
        <f>HYPERLINK("https://www.773grp.com/globalSearch/CS2082EDWR20/page-1", "CS2082EDWR20")</f>
        <v>CS2082EDWR20</v>
      </c>
      <c r="B15427" s="3" t="str">
        <f>HYPERLINK("https://www.773grp.com/manufacturer/onsemi?pageNo=598", "Onsemi")</f>
        <v>Onsemi</v>
      </c>
      <c r="C15427" s="6">
        <v>1000</v>
      </c>
      <c r="D15427" s="7">
        <v>3.58</v>
      </c>
      <c r="E15427" t="s">
        <v>19</v>
      </c>
    </row>
    <row r="15428" spans="1:5" x14ac:dyDescent="0.25">
      <c r="A15428" t="str">
        <f>HYPERLINK("https://www.773grp.com/globalSearch/CS41088T5/page-1", "CS41088T5")</f>
        <v>CS41088T5</v>
      </c>
      <c r="B15428" s="3" t="str">
        <f>HYPERLINK("https://www.773grp.com/manufacturer/onsemi?pageNo=599", "Onsemi")</f>
        <v>Onsemi</v>
      </c>
      <c r="C15428" s="6">
        <v>1150</v>
      </c>
      <c r="D15428" s="7">
        <v>3.58</v>
      </c>
    </row>
    <row r="15429" spans="1:5" x14ac:dyDescent="0.25">
      <c r="A15429" t="str">
        <f>HYPERLINK("https://www.773grp.com/globalSearch/LV8741V-MPB-E/page-1", "LV8741V-MPB-E")</f>
        <v>LV8741V-MPB-E</v>
      </c>
      <c r="B15429" s="3" t="str">
        <f>HYPERLINK("https://www.773grp.com/manufacturer/onsemi?pageNo=600", "Onsemi")</f>
        <v>Onsemi</v>
      </c>
      <c r="C15429" s="6">
        <v>60</v>
      </c>
      <c r="D15429" s="7">
        <v>3.58</v>
      </c>
    </row>
    <row r="15430" spans="1:5" x14ac:dyDescent="0.25">
      <c r="A15430" t="str">
        <f>HYPERLINK("https://www.773grp.com/globalSearch/LV8741V-TLM-E/page-1", "LV8741V-TLM-E")</f>
        <v>LV8741V-TLM-E</v>
      </c>
      <c r="B15430" s="3" t="str">
        <f>HYPERLINK("https://www.773grp.com/manufacturer/onsemi?pageNo=601", "Onsemi")</f>
        <v>Onsemi</v>
      </c>
      <c r="C15430" s="6">
        <v>100</v>
      </c>
      <c r="D15430" s="7">
        <v>3.58</v>
      </c>
    </row>
    <row r="15431" spans="1:5" x14ac:dyDescent="0.25">
      <c r="A15431" t="str">
        <f>HYPERLINK("https://www.773grp.com/globalSearch/MC10H162P/page-1", "MC10H162P")</f>
        <v>MC10H162P</v>
      </c>
      <c r="B15431" s="3" t="str">
        <f>HYPERLINK("https://www.773grp.com/manufacturer/onsemi?pageNo=602", "Onsemi")</f>
        <v>Onsemi</v>
      </c>
      <c r="C15431" s="6">
        <v>2925</v>
      </c>
      <c r="D15431" s="7">
        <v>3.58</v>
      </c>
      <c r="E15431" t="s">
        <v>32</v>
      </c>
    </row>
    <row r="15432" spans="1:5" x14ac:dyDescent="0.25">
      <c r="A15432" t="str">
        <f>HYPERLINK("https://www.773grp.com/globalSearch/MC10H164P/page-1", "MC10H164P")</f>
        <v>MC10H164P</v>
      </c>
      <c r="B15432" s="3" t="str">
        <f>HYPERLINK("https://www.773grp.com/manufacturer/onsemi?pageNo=603", "Onsemi")</f>
        <v>Onsemi</v>
      </c>
      <c r="C15432" s="6">
        <v>3425</v>
      </c>
      <c r="D15432" s="7">
        <v>3.58</v>
      </c>
      <c r="E15432" t="s">
        <v>16</v>
      </c>
    </row>
    <row r="15433" spans="1:5" x14ac:dyDescent="0.25">
      <c r="A15433" t="str">
        <f>HYPERLINK("https://www.773grp.com/globalSearch/MC10H174P/page-1", "MC10H174P")</f>
        <v>MC10H174P</v>
      </c>
      <c r="B15433" s="3" t="str">
        <f>HYPERLINK("https://www.773grp.com/manufacturer/onsemi?pageNo=604", "Onsemi")</f>
        <v>Onsemi</v>
      </c>
      <c r="C15433" s="6">
        <v>4262</v>
      </c>
      <c r="D15433" s="7">
        <v>3.58</v>
      </c>
      <c r="E15433" t="s">
        <v>16</v>
      </c>
    </row>
    <row r="15434" spans="1:5" x14ac:dyDescent="0.25">
      <c r="A15434" t="str">
        <f>HYPERLINK("https://www.773grp.com/globalSearch/CS8371ETVA7G/page-1", "CS8371ETVA7G")</f>
        <v>CS8371ETVA7G</v>
      </c>
      <c r="B15434" s="3" t="str">
        <f>HYPERLINK("https://www.773grp.com/manufacturer/onsemi?pageNo=605", "Onsemi")</f>
        <v>Onsemi</v>
      </c>
      <c r="C15434" s="6">
        <v>3445</v>
      </c>
      <c r="D15434" s="7">
        <v>3.95</v>
      </c>
      <c r="E15434" t="s">
        <v>96</v>
      </c>
    </row>
    <row r="15435" spans="1:5" x14ac:dyDescent="0.25">
      <c r="A15435" t="str">
        <f>HYPERLINK("https://www.773grp.com/globalSearch/LM2576TV-3.3G/page-1", "LM2576TV-3.3G")</f>
        <v>LM2576TV-3.3G</v>
      </c>
      <c r="B15435" s="3" t="str">
        <f>HYPERLINK("https://www.773grp.com/manufacturer/onsemi?pageNo=606", "Onsemi")</f>
        <v>Onsemi</v>
      </c>
      <c r="C15435" s="6">
        <v>3450</v>
      </c>
      <c r="D15435" s="7">
        <v>3.95</v>
      </c>
      <c r="E15435" t="s">
        <v>5</v>
      </c>
    </row>
    <row r="15436" spans="1:5" x14ac:dyDescent="0.25">
      <c r="A15436" t="str">
        <f>HYPERLINK("https://www.773grp.com/globalSearch/LV8075LP-E/page-1", "LV8075LP-E")</f>
        <v>LV8075LP-E</v>
      </c>
      <c r="B15436" s="3" t="str">
        <f>HYPERLINK("https://www.773grp.com/manufacturer/onsemi?pageNo=607", "Onsemi")</f>
        <v>Onsemi</v>
      </c>
      <c r="C15436" s="6">
        <v>100</v>
      </c>
      <c r="D15436" s="7">
        <v>3.95</v>
      </c>
    </row>
    <row r="15437" spans="1:5" x14ac:dyDescent="0.25">
      <c r="A15437" t="str">
        <f>HYPERLINK("https://www.773grp.com/globalSearch/LV8075LP-TE-L-E/page-1", "LV8075LP-TE-L-E")</f>
        <v>LV8075LP-TE-L-E</v>
      </c>
      <c r="B15437" s="3" t="str">
        <f>HYPERLINK("https://www.773grp.com/manufacturer/onsemi?pageNo=608", "Onsemi")</f>
        <v>Onsemi</v>
      </c>
      <c r="C15437" s="6">
        <v>67</v>
      </c>
      <c r="D15437" s="7">
        <v>3.95</v>
      </c>
    </row>
    <row r="15438" spans="1:5" x14ac:dyDescent="0.25">
      <c r="A15438" t="str">
        <f>HYPERLINK("https://www.773grp.com/globalSearch/MBR40250TG/page-1", "MBR40250TG")</f>
        <v>MBR40250TG</v>
      </c>
      <c r="B15438" s="3" t="str">
        <f>HYPERLINK("https://www.773grp.com/manufacturer/onsemi?pageNo=609", "Onsemi")</f>
        <v>Onsemi</v>
      </c>
      <c r="C15438" s="6">
        <v>11841</v>
      </c>
      <c r="D15438" s="7">
        <v>3.95</v>
      </c>
      <c r="E15438" t="s">
        <v>82</v>
      </c>
    </row>
    <row r="15439" spans="1:5" x14ac:dyDescent="0.25">
      <c r="A15439" t="str">
        <f>HYPERLINK("https://www.773grp.com/globalSearch/MBR4045PT/page-1", "MBR4045PT")</f>
        <v>MBR4045PT</v>
      </c>
      <c r="B15439" s="3" t="str">
        <f>HYPERLINK("https://www.773grp.com/manufacturer/onsemi?pageNo=610", "Onsemi")</f>
        <v>Onsemi</v>
      </c>
      <c r="C15439" s="6">
        <v>3934</v>
      </c>
      <c r="D15439" s="7">
        <v>3.95</v>
      </c>
      <c r="E15439" t="s">
        <v>82</v>
      </c>
    </row>
    <row r="15440" spans="1:5" x14ac:dyDescent="0.25">
      <c r="A15440" t="str">
        <f>HYPERLINK("https://www.773grp.com/globalSearch/MBRF20100CT/page-1", "MBRF20100CT")</f>
        <v>MBRF20100CT</v>
      </c>
      <c r="B15440" s="3" t="str">
        <f>HYPERLINK("https://www.773grp.com/manufacturer/onsemi?pageNo=611", "Onsemi")</f>
        <v>Onsemi</v>
      </c>
      <c r="C15440" s="6">
        <v>286946</v>
      </c>
      <c r="D15440" s="7">
        <v>3.95</v>
      </c>
      <c r="E15440" t="s">
        <v>82</v>
      </c>
    </row>
    <row r="15441" spans="1:5" x14ac:dyDescent="0.25">
      <c r="A15441" t="str">
        <f>HYPERLINK("https://www.773grp.com/globalSearch/MBRF2060CT/page-1", "MBRF2060CT")</f>
        <v>MBRF2060CT</v>
      </c>
      <c r="B15441" s="3" t="str">
        <f>HYPERLINK("https://www.773grp.com/manufacturer/onsemi?pageNo=612", "Onsemi")</f>
        <v>Onsemi</v>
      </c>
      <c r="C15441" s="6">
        <v>3248</v>
      </c>
      <c r="D15441" s="7">
        <v>3.95</v>
      </c>
      <c r="E15441" t="s">
        <v>82</v>
      </c>
    </row>
    <row r="15442" spans="1:5" x14ac:dyDescent="0.25">
      <c r="A15442" t="str">
        <f>HYPERLINK("https://www.773grp.com/globalSearch/MC10H109P/page-1", "MC10H109P")</f>
        <v>MC10H109P</v>
      </c>
      <c r="B15442" s="3" t="str">
        <f>HYPERLINK("https://www.773grp.com/manufacturer/onsemi?pageNo=613", "Onsemi")</f>
        <v>Onsemi</v>
      </c>
      <c r="C15442" s="6">
        <v>4130</v>
      </c>
      <c r="D15442" s="7">
        <v>3.95</v>
      </c>
      <c r="E15442" t="s">
        <v>27</v>
      </c>
    </row>
    <row r="15443" spans="1:5" x14ac:dyDescent="0.25">
      <c r="A15443" t="str">
        <f>HYPERLINK("https://www.773grp.com/globalSearch/MC14067BDWG/page-1", "MC14067BDWG")</f>
        <v>MC14067BDWG</v>
      </c>
      <c r="B15443" s="3" t="str">
        <f>HYPERLINK("https://www.773grp.com/manufacturer/onsemi?pageNo=614", "Onsemi")</f>
        <v>Onsemi</v>
      </c>
      <c r="C15443" s="6">
        <v>480</v>
      </c>
      <c r="D15443" s="7">
        <v>3.95</v>
      </c>
      <c r="E15443" t="s">
        <v>46</v>
      </c>
    </row>
    <row r="15444" spans="1:5" x14ac:dyDescent="0.25">
      <c r="A15444" t="str">
        <f>HYPERLINK("https://www.773grp.com/globalSearch/MC14067BDWR2/page-1", "MC14067BDWR2")</f>
        <v>MC14067BDWR2</v>
      </c>
      <c r="B15444" s="3" t="str">
        <f>HYPERLINK("https://www.773grp.com/manufacturer/onsemi?pageNo=615", "Onsemi")</f>
        <v>Onsemi</v>
      </c>
      <c r="C15444" s="6">
        <v>2000</v>
      </c>
      <c r="D15444" s="7">
        <v>3.95</v>
      </c>
      <c r="E15444" t="s">
        <v>46</v>
      </c>
    </row>
    <row r="15445" spans="1:5" x14ac:dyDescent="0.25">
      <c r="A15445" t="str">
        <f>HYPERLINK("https://www.773grp.com/globalSearch/MC14067BDWR2G/page-1", "MC14067BDWR2G")</f>
        <v>MC14067BDWR2G</v>
      </c>
      <c r="B15445" s="3" t="str">
        <f>HYPERLINK("https://www.773grp.com/manufacturer/onsemi?pageNo=616", "Onsemi")</f>
        <v>Onsemi</v>
      </c>
      <c r="C15445" s="6">
        <v>6000</v>
      </c>
      <c r="D15445" s="7">
        <v>3.95</v>
      </c>
      <c r="E15445" t="s">
        <v>46</v>
      </c>
    </row>
    <row r="15446" spans="1:5" x14ac:dyDescent="0.25">
      <c r="A15446" t="str">
        <f>HYPERLINK("https://www.773grp.com/globalSearch/MC642P/page-1", "MC642P")</f>
        <v>MC642P</v>
      </c>
      <c r="B15446" s="3" t="str">
        <f>HYPERLINK("https://www.773grp.com/manufacturer/onsemi?pageNo=617", "Onsemi")</f>
        <v>Onsemi</v>
      </c>
      <c r="C15446" s="6">
        <v>2250</v>
      </c>
      <c r="D15446" s="7">
        <v>3.95</v>
      </c>
      <c r="E15446" t="s">
        <v>50</v>
      </c>
    </row>
    <row r="15447" spans="1:5" x14ac:dyDescent="0.25">
      <c r="A15447" t="str">
        <f>HYPERLINK("https://www.773grp.com/globalSearch/MC642P/page-1", "MC642P")</f>
        <v>MC642P</v>
      </c>
      <c r="B15447" s="3" t="str">
        <f>HYPERLINK("https://www.773grp.com/manufacturer/onsemi?pageNo=618", "Onsemi")</f>
        <v>Onsemi</v>
      </c>
      <c r="C15447" s="6">
        <v>27800</v>
      </c>
      <c r="D15447" s="7">
        <v>3.95</v>
      </c>
      <c r="E15447" t="s">
        <v>50</v>
      </c>
    </row>
    <row r="15448" spans="1:5" x14ac:dyDescent="0.25">
      <c r="A15448" t="str">
        <f>HYPERLINK("https://www.773grp.com/globalSearch/MC74ACT646NG/page-1", "MC74ACT646NG")</f>
        <v>MC74ACT646NG</v>
      </c>
      <c r="B15448" s="3" t="str">
        <f>HYPERLINK("https://www.773grp.com/manufacturer/onsemi?pageNo=619", "Onsemi")</f>
        <v>Onsemi</v>
      </c>
      <c r="C15448" s="6">
        <v>6440</v>
      </c>
      <c r="D15448" s="7">
        <v>3.95</v>
      </c>
      <c r="E15448" t="s">
        <v>11</v>
      </c>
    </row>
    <row r="15449" spans="1:5" x14ac:dyDescent="0.25">
      <c r="A15449" t="str">
        <f>HYPERLINK("https://www.773grp.com/globalSearch/MJ15011/page-1", "MJ15011")</f>
        <v>MJ15011</v>
      </c>
      <c r="B15449" s="3" t="str">
        <f>HYPERLINK("https://www.773grp.com/manufacturer/onsemi?pageNo=620", "Onsemi")</f>
        <v>Onsemi</v>
      </c>
      <c r="C15449" s="6">
        <v>266</v>
      </c>
      <c r="D15449" s="7">
        <v>3.95</v>
      </c>
      <c r="E15449" t="s">
        <v>47</v>
      </c>
    </row>
    <row r="15450" spans="1:5" x14ac:dyDescent="0.25">
      <c r="A15450" t="str">
        <f>HYPERLINK("https://www.773grp.com/globalSearch/MJ15011G/page-1", "MJ15011G")</f>
        <v>MJ15011G</v>
      </c>
      <c r="B15450" s="3" t="str">
        <f>HYPERLINK("https://www.773grp.com/manufacturer/onsemi?pageNo=621", "Onsemi")</f>
        <v>Onsemi</v>
      </c>
      <c r="C15450" s="6">
        <v>1335</v>
      </c>
      <c r="D15450" s="7">
        <v>3.95</v>
      </c>
      <c r="E15450" t="s">
        <v>47</v>
      </c>
    </row>
    <row r="15451" spans="1:5" x14ac:dyDescent="0.25">
      <c r="A15451" t="str">
        <f>HYPERLINK("https://www.773grp.com/globalSearch/MJE5850/page-1", "MJE5850")</f>
        <v>MJE5850</v>
      </c>
      <c r="B15451" s="3" t="str">
        <f>HYPERLINK("https://www.773grp.com/manufacturer/onsemi?pageNo=622", "Onsemi")</f>
        <v>Onsemi</v>
      </c>
      <c r="C15451" s="6">
        <v>486</v>
      </c>
      <c r="D15451" s="7">
        <v>3.95</v>
      </c>
      <c r="E15451" t="s">
        <v>47</v>
      </c>
    </row>
    <row r="15452" spans="1:5" x14ac:dyDescent="0.25">
      <c r="A15452" t="str">
        <f>HYPERLINK("https://www.773grp.com/globalSearch/MJE5851/page-1", "MJE5851")</f>
        <v>MJE5851</v>
      </c>
      <c r="B15452" s="3" t="str">
        <f>HYPERLINK("https://www.773grp.com/manufacturer/onsemi?pageNo=623", "Onsemi")</f>
        <v>Onsemi</v>
      </c>
      <c r="C15452" s="6">
        <v>50</v>
      </c>
      <c r="D15452" s="7">
        <v>3.95</v>
      </c>
      <c r="E15452" t="s">
        <v>47</v>
      </c>
    </row>
    <row r="15453" spans="1:5" x14ac:dyDescent="0.25">
      <c r="A15453" t="str">
        <f>HYPERLINK("https://www.773grp.com/globalSearch/MJW21195/page-1", "MJW21195")</f>
        <v>MJW21195</v>
      </c>
      <c r="B15453" s="3" t="str">
        <f>HYPERLINK("https://www.773grp.com/manufacturer/onsemi?pageNo=624", "Onsemi")</f>
        <v>Onsemi</v>
      </c>
      <c r="C15453" s="6">
        <v>683</v>
      </c>
      <c r="D15453" s="7">
        <v>3.95</v>
      </c>
      <c r="E15453" t="s">
        <v>47</v>
      </c>
    </row>
    <row r="15454" spans="1:5" x14ac:dyDescent="0.25">
      <c r="A15454" t="str">
        <f>HYPERLINK("https://www.773grp.com/globalSearch/MURB1620CTRG/page-1", "MURB1620CTRG")</f>
        <v>MURB1620CTRG</v>
      </c>
      <c r="B15454" s="3" t="str">
        <f>HYPERLINK("https://www.773grp.com/manufacturer/onsemi?pageNo=625", "Onsemi")</f>
        <v>Onsemi</v>
      </c>
      <c r="C15454" s="6">
        <v>730</v>
      </c>
      <c r="D15454" s="7">
        <v>3.95</v>
      </c>
      <c r="E15454" t="s">
        <v>82</v>
      </c>
    </row>
    <row r="15455" spans="1:5" x14ac:dyDescent="0.25">
      <c r="A15455" t="str">
        <f>HYPERLINK("https://www.773grp.com/globalSearch/MURB1620CTT4/page-1", "MURB1620CTT4")</f>
        <v>MURB1620CTT4</v>
      </c>
      <c r="B15455" s="3" t="str">
        <f>HYPERLINK("https://www.773grp.com/manufacturer/onsemi?pageNo=626", "Onsemi")</f>
        <v>Onsemi</v>
      </c>
      <c r="C15455" s="6">
        <v>2400</v>
      </c>
      <c r="D15455" s="7">
        <v>3.95</v>
      </c>
    </row>
    <row r="15456" spans="1:5" x14ac:dyDescent="0.25">
      <c r="A15456" t="str">
        <f>HYPERLINK("https://www.773grp.com/globalSearch/MURB1620CTT4G/page-1", "MURB1620CTT4G")</f>
        <v>MURB1620CTT4G</v>
      </c>
      <c r="B15456" s="3" t="str">
        <f>HYPERLINK("https://www.773grp.com/manufacturer/onsemi?pageNo=627", "Onsemi")</f>
        <v>Onsemi</v>
      </c>
      <c r="C15456" s="6">
        <v>4727</v>
      </c>
      <c r="D15456" s="7">
        <v>3.95</v>
      </c>
      <c r="E15456" t="s">
        <v>82</v>
      </c>
    </row>
    <row r="15457" spans="1:5" x14ac:dyDescent="0.25">
      <c r="A15457" t="str">
        <f>HYPERLINK("https://www.773grp.com/globalSearch/MURHB860CTG/page-1", "MURHB860CTG")</f>
        <v>MURHB860CTG</v>
      </c>
      <c r="B15457" s="3" t="str">
        <f>HYPERLINK("https://www.773grp.com/manufacturer/onsemi?pageNo=628", "Onsemi")</f>
        <v>Onsemi</v>
      </c>
      <c r="C15457" s="6">
        <v>350</v>
      </c>
      <c r="D15457" s="7">
        <v>3.95</v>
      </c>
      <c r="E15457" t="s">
        <v>82</v>
      </c>
    </row>
    <row r="15458" spans="1:5" x14ac:dyDescent="0.25">
      <c r="A15458" t="str">
        <f>HYPERLINK("https://www.773grp.com/globalSearch/NCP1205P2G/page-1", "NCP1205P2G")</f>
        <v>NCP1205P2G</v>
      </c>
      <c r="B15458" s="3" t="str">
        <f>HYPERLINK("https://www.773grp.com/manufacturer/onsemi?pageNo=629", "Onsemi")</f>
        <v>Onsemi</v>
      </c>
      <c r="C15458" s="6">
        <v>470</v>
      </c>
      <c r="D15458" s="7">
        <v>3.95</v>
      </c>
      <c r="E15458" t="s">
        <v>5</v>
      </c>
    </row>
    <row r="15459" spans="1:5" x14ac:dyDescent="0.25">
      <c r="A15459" t="str">
        <f>HYPERLINK("https://www.773grp.com/globalSearch/NCP1560HDR2G/page-1", "NCP1560HDR2G")</f>
        <v>NCP1560HDR2G</v>
      </c>
      <c r="B15459" s="3" t="str">
        <f>HYPERLINK("https://www.773grp.com/manufacturer/onsemi?pageNo=630", "Onsemi")</f>
        <v>Onsemi</v>
      </c>
      <c r="C15459" s="6">
        <v>17500</v>
      </c>
      <c r="D15459" s="7">
        <v>3.95</v>
      </c>
      <c r="E15459" t="s">
        <v>5</v>
      </c>
    </row>
    <row r="15460" spans="1:5" x14ac:dyDescent="0.25">
      <c r="A15460" t="str">
        <f>HYPERLINK("https://www.773grp.com/globalSearch/NCP1652ADR2G/page-1", "NCP1652ADR2G")</f>
        <v>NCP1652ADR2G</v>
      </c>
      <c r="B15460" s="3" t="str">
        <f>HYPERLINK("https://www.773grp.com/manufacturer/onsemi?pageNo=631", "Onsemi")</f>
        <v>Onsemi</v>
      </c>
      <c r="C15460" s="6">
        <v>22000</v>
      </c>
      <c r="D15460" s="7">
        <v>3.95</v>
      </c>
      <c r="E15460" t="s">
        <v>5</v>
      </c>
    </row>
    <row r="15461" spans="1:5" x14ac:dyDescent="0.25">
      <c r="A15461" t="str">
        <f>HYPERLINK("https://www.773grp.com/globalSearch/NCP1652DR2G/page-1", "NCP1652DR2G")</f>
        <v>NCP1652DR2G</v>
      </c>
      <c r="B15461" s="3" t="str">
        <f>HYPERLINK("https://www.773grp.com/manufacturer/onsemi?pageNo=632", "Onsemi")</f>
        <v>Onsemi</v>
      </c>
      <c r="C15461" s="6">
        <v>62118</v>
      </c>
      <c r="D15461" s="7">
        <v>3.95</v>
      </c>
      <c r="E15461" t="s">
        <v>5</v>
      </c>
    </row>
    <row r="15462" spans="1:5" x14ac:dyDescent="0.25">
      <c r="A15462" t="str">
        <f>HYPERLINK("https://www.773grp.com/globalSearch/NCP1910A65DWR2G/page-1", "NCP1910A65DWR2G")</f>
        <v>NCP1910A65DWR2G</v>
      </c>
      <c r="B15462" s="3" t="str">
        <f>HYPERLINK("https://www.773grp.com/manufacturer/onsemi?pageNo=633", "Onsemi")</f>
        <v>Onsemi</v>
      </c>
      <c r="C15462" s="6">
        <v>1000</v>
      </c>
      <c r="D15462" s="7">
        <v>3.95</v>
      </c>
    </row>
    <row r="15463" spans="1:5" x14ac:dyDescent="0.25">
      <c r="A15463" t="str">
        <f>HYPERLINK("https://www.773grp.com/globalSearch/NCP4632BDT08T5G/page-1", "NCP4632BDT08T5G")</f>
        <v>NCP4632BDT08T5G</v>
      </c>
      <c r="B15463" s="3" t="str">
        <f>HYPERLINK("https://www.773grp.com/manufacturer/onsemi?pageNo=634", "Onsemi")</f>
        <v>Onsemi</v>
      </c>
      <c r="C15463" s="6">
        <v>6000</v>
      </c>
      <c r="D15463" s="7">
        <v>3.95</v>
      </c>
    </row>
    <row r="15464" spans="1:5" x14ac:dyDescent="0.25">
      <c r="A15464" t="str">
        <f>HYPERLINK("https://www.773grp.com/globalSearch/NCP4632DDT08T5G/page-1", "NCP4632DDT08T5G")</f>
        <v>NCP4632DDT08T5G</v>
      </c>
      <c r="B15464" s="3" t="str">
        <f>HYPERLINK("https://www.773grp.com/manufacturer/onsemi?pageNo=635", "Onsemi")</f>
        <v>Onsemi</v>
      </c>
      <c r="C15464" s="6">
        <v>3000</v>
      </c>
      <c r="D15464" s="7">
        <v>3.95</v>
      </c>
    </row>
    <row r="15465" spans="1:5" x14ac:dyDescent="0.25">
      <c r="A15465" t="str">
        <f>HYPERLINK("https://www.773grp.com/globalSearch/NCP4632DDT15T5G/page-1", "NCP4632DDT15T5G")</f>
        <v>NCP4632DDT15T5G</v>
      </c>
      <c r="B15465" s="3" t="str">
        <f>HYPERLINK("https://www.773grp.com/manufacturer/onsemi?pageNo=636", "Onsemi")</f>
        <v>Onsemi</v>
      </c>
      <c r="C15465" s="6">
        <v>5999</v>
      </c>
      <c r="D15465" s="7">
        <v>3.95</v>
      </c>
    </row>
    <row r="15466" spans="1:5" x14ac:dyDescent="0.25">
      <c r="A15466" t="str">
        <f>HYPERLINK("https://www.773grp.com/globalSearch/NCP4632DDT28T5G/page-1", "NCP4632DDT28T5G")</f>
        <v>NCP4632DDT28T5G</v>
      </c>
      <c r="B15466" s="3" t="str">
        <f>HYPERLINK("https://www.773grp.com/manufacturer/onsemi?pageNo=637", "Onsemi")</f>
        <v>Onsemi</v>
      </c>
      <c r="C15466" s="6">
        <v>3000</v>
      </c>
      <c r="D15466" s="7">
        <v>3.95</v>
      </c>
    </row>
    <row r="15467" spans="1:5" x14ac:dyDescent="0.25">
      <c r="A15467" t="str">
        <f>HYPERLINK("https://www.773grp.com/globalSearch/NCP4632DDT33T5G/page-1", "NCP4632DDT33T5G")</f>
        <v>NCP4632DDT33T5G</v>
      </c>
      <c r="B15467" s="3" t="str">
        <f>HYPERLINK("https://www.773grp.com/manufacturer/onsemi?pageNo=638", "Onsemi")</f>
        <v>Onsemi</v>
      </c>
      <c r="C15467" s="6">
        <v>5995</v>
      </c>
      <c r="D15467" s="7">
        <v>3.95</v>
      </c>
    </row>
    <row r="15468" spans="1:5" x14ac:dyDescent="0.25">
      <c r="A15468" t="str">
        <f>HYPERLINK("https://www.773grp.com/globalSearch/NCP5318FTR2G/page-1", "NCP5318FTR2G")</f>
        <v>NCP5318FTR2G</v>
      </c>
      <c r="B15468" s="3" t="str">
        <f>HYPERLINK("https://www.773grp.com/manufacturer/onsemi?pageNo=639", "Onsemi")</f>
        <v>Onsemi</v>
      </c>
      <c r="C15468" s="6">
        <v>32000</v>
      </c>
      <c r="D15468" s="7">
        <v>3.95</v>
      </c>
      <c r="E15468" t="s">
        <v>5</v>
      </c>
    </row>
    <row r="15469" spans="1:5" x14ac:dyDescent="0.25">
      <c r="A15469" t="str">
        <f>HYPERLINK("https://www.773grp.com/globalSearch/NCP5391MNR2G/page-1", "NCP5391MNR2G")</f>
        <v>NCP5391MNR2G</v>
      </c>
      <c r="B15469" s="3" t="str">
        <f>HYPERLINK("https://www.773grp.com/manufacturer/onsemi?pageNo=640", "Onsemi")</f>
        <v>Onsemi</v>
      </c>
      <c r="C15469" s="6">
        <v>32559</v>
      </c>
      <c r="D15469" s="7">
        <v>3.95</v>
      </c>
    </row>
    <row r="15470" spans="1:5" x14ac:dyDescent="0.25">
      <c r="A15470" t="str">
        <f>HYPERLINK("https://www.773grp.com/globalSearch/NCS2502DR2G/page-1", "NCS2502DR2G")</f>
        <v>NCS2502DR2G</v>
      </c>
      <c r="B15470" s="3" t="str">
        <f>HYPERLINK("https://www.773grp.com/manufacturer/onsemi?pageNo=641", "Onsemi")</f>
        <v>Onsemi</v>
      </c>
      <c r="C15470" s="6">
        <v>4962</v>
      </c>
      <c r="D15470" s="7">
        <v>3.95</v>
      </c>
      <c r="E15470" t="s">
        <v>14</v>
      </c>
    </row>
    <row r="15471" spans="1:5" x14ac:dyDescent="0.25">
      <c r="A15471" t="str">
        <f>HYPERLINK("https://www.773grp.com/globalSearch/NCS2502SNT1G/page-1", "NCS2502SNT1G")</f>
        <v>NCS2502SNT1G</v>
      </c>
      <c r="B15471" s="3" t="str">
        <f>HYPERLINK("https://www.773grp.com/manufacturer/onsemi?pageNo=642", "Onsemi")</f>
        <v>Onsemi</v>
      </c>
      <c r="C15471" s="6">
        <v>5965</v>
      </c>
      <c r="D15471" s="7">
        <v>3.95</v>
      </c>
      <c r="E15471" t="s">
        <v>14</v>
      </c>
    </row>
    <row r="15472" spans="1:5" x14ac:dyDescent="0.25">
      <c r="A15472" t="str">
        <f>HYPERLINK("https://www.773grp.com/globalSearch/NCV4275DSG/page-1", "NCV4275DSG")</f>
        <v>NCV4275DSG</v>
      </c>
      <c r="B15472" s="3" t="str">
        <f>HYPERLINK("https://www.773grp.com/manufacturer/onsemi?pageNo=643", "Onsemi")</f>
        <v>Onsemi</v>
      </c>
      <c r="C15472" s="6">
        <v>3000</v>
      </c>
      <c r="D15472" s="7">
        <v>3.95</v>
      </c>
    </row>
    <row r="15473" spans="1:5" x14ac:dyDescent="0.25">
      <c r="A15473" t="str">
        <f>HYPERLINK("https://www.773grp.com/globalSearch/NCV59151DS18R4G/page-1", "NCV59151DS18R4G")</f>
        <v>NCV59151DS18R4G</v>
      </c>
      <c r="B15473" s="3" t="str">
        <f>HYPERLINK("https://www.773grp.com/manufacturer/onsemi?pageNo=644", "Onsemi")</f>
        <v>Onsemi</v>
      </c>
      <c r="C15473" s="6">
        <v>800</v>
      </c>
      <c r="D15473" s="7">
        <v>3.95</v>
      </c>
    </row>
    <row r="15474" spans="1:5" x14ac:dyDescent="0.25">
      <c r="A15474" t="str">
        <f>HYPERLINK("https://www.773grp.com/globalSearch/NCV59151DS25R4G/page-1", "NCV59151DS25R4G")</f>
        <v>NCV59151DS25R4G</v>
      </c>
      <c r="B15474" s="3" t="str">
        <f>HYPERLINK("https://www.773grp.com/manufacturer/onsemi?pageNo=645", "Onsemi")</f>
        <v>Onsemi</v>
      </c>
      <c r="C15474" s="6">
        <v>800</v>
      </c>
      <c r="D15474" s="7">
        <v>3.95</v>
      </c>
    </row>
    <row r="15475" spans="1:5" x14ac:dyDescent="0.25">
      <c r="A15475" t="str">
        <f>HYPERLINK("https://www.773grp.com/globalSearch/NCV59151DS28R4G/page-1", "NCV59151DS28R4G")</f>
        <v>NCV59151DS28R4G</v>
      </c>
      <c r="B15475" s="3" t="str">
        <f>HYPERLINK("https://www.773grp.com/manufacturer/onsemi?pageNo=646", "Onsemi")</f>
        <v>Onsemi</v>
      </c>
      <c r="C15475" s="6">
        <v>800</v>
      </c>
      <c r="D15475" s="7">
        <v>3.95</v>
      </c>
    </row>
    <row r="15476" spans="1:5" x14ac:dyDescent="0.25">
      <c r="A15476" t="str">
        <f>HYPERLINK("https://www.773grp.com/globalSearch/NCV59151DS30R4G/page-1", "NCV59151DS30R4G")</f>
        <v>NCV59151DS30R4G</v>
      </c>
      <c r="B15476" s="3" t="str">
        <f>HYPERLINK("https://www.773grp.com/manufacturer/onsemi?pageNo=647", "Onsemi")</f>
        <v>Onsemi</v>
      </c>
      <c r="C15476" s="6">
        <v>800</v>
      </c>
      <c r="D15476" s="7">
        <v>3.95</v>
      </c>
    </row>
    <row r="15477" spans="1:5" x14ac:dyDescent="0.25">
      <c r="A15477" t="str">
        <f>HYPERLINK("https://www.773grp.com/globalSearch/NCV59151DS33R4G/page-1", "NCV59151DS33R4G")</f>
        <v>NCV59151DS33R4G</v>
      </c>
      <c r="B15477" s="3" t="str">
        <f>HYPERLINK("https://www.773grp.com/manufacturer/onsemi?pageNo=648", "Onsemi")</f>
        <v>Onsemi</v>
      </c>
      <c r="C15477" s="6">
        <v>800</v>
      </c>
      <c r="D15477" s="7">
        <v>3.95</v>
      </c>
    </row>
    <row r="15478" spans="1:5" x14ac:dyDescent="0.25">
      <c r="A15478" t="str">
        <f>HYPERLINK("https://www.773grp.com/globalSearch/NCV59152DSADJR4G/page-1", "NCV59152DSADJR4G")</f>
        <v>NCV59152DSADJR4G</v>
      </c>
      <c r="B15478" s="3" t="str">
        <f>HYPERLINK("https://www.773grp.com/manufacturer/onsemi?pageNo=649", "Onsemi")</f>
        <v>Onsemi</v>
      </c>
      <c r="C15478" s="6">
        <v>1600</v>
      </c>
      <c r="D15478" s="7">
        <v>3.95</v>
      </c>
    </row>
    <row r="15479" spans="1:5" x14ac:dyDescent="0.25">
      <c r="A15479" t="str">
        <f>HYPERLINK("https://www.773grp.com/globalSearch/NCV8518BPDR2G/page-1", "NCV8518BPDR2G")</f>
        <v>NCV8518BPDR2G</v>
      </c>
      <c r="B15479" s="3" t="str">
        <f>HYPERLINK("https://www.773grp.com/manufacturer/onsemi?pageNo=650", "Onsemi")</f>
        <v>Onsemi</v>
      </c>
      <c r="C15479" s="6">
        <v>6877</v>
      </c>
      <c r="D15479" s="7">
        <v>3.95</v>
      </c>
    </row>
    <row r="15480" spans="1:5" x14ac:dyDescent="0.25">
      <c r="A15480" t="str">
        <f>HYPERLINK("https://www.773grp.com/globalSearch/NGB8202ANT4G/page-1", "NGB8202ANT4G")</f>
        <v>NGB8202ANT4G</v>
      </c>
      <c r="B15480" s="3" t="str">
        <f>HYPERLINK("https://www.773grp.com/manufacturer/onsemi?pageNo=651", "Onsemi")</f>
        <v>Onsemi</v>
      </c>
      <c r="C15480" s="6">
        <v>96800</v>
      </c>
      <c r="D15480" s="7">
        <v>3.95</v>
      </c>
    </row>
    <row r="15481" spans="1:5" x14ac:dyDescent="0.25">
      <c r="A15481" t="str">
        <f>HYPERLINK("https://www.773grp.com/globalSearch/NLAS3799BLMNR2G/page-1", "NLAS3799BLMNR2G")</f>
        <v>NLAS3799BLMNR2G</v>
      </c>
      <c r="B15481" s="3" t="str">
        <f>HYPERLINK("https://www.773grp.com/manufacturer/onsemi?pageNo=652", "Onsemi")</f>
        <v>Onsemi</v>
      </c>
      <c r="C15481" s="6">
        <v>12695</v>
      </c>
      <c r="D15481" s="7">
        <v>3.95</v>
      </c>
      <c r="E15481" t="s">
        <v>46</v>
      </c>
    </row>
    <row r="15482" spans="1:5" x14ac:dyDescent="0.25">
      <c r="A15482" t="str">
        <f>HYPERLINK("https://www.773grp.com/globalSearch/NLAS3799BMNR2G/page-1", "NLAS3799BMNR2G")</f>
        <v>NLAS3799BMNR2G</v>
      </c>
      <c r="B15482" s="3" t="str">
        <f>HYPERLINK("https://www.773grp.com/manufacturer/onsemi?pageNo=653", "Onsemi")</f>
        <v>Onsemi</v>
      </c>
      <c r="C15482" s="6">
        <v>24058</v>
      </c>
      <c r="D15482" s="7">
        <v>3.95</v>
      </c>
      <c r="E15482" t="s">
        <v>46</v>
      </c>
    </row>
    <row r="15483" spans="1:5" x14ac:dyDescent="0.25">
      <c r="A15483" t="str">
        <f>HYPERLINK("https://www.773grp.com/globalSearch/NLAS3799LMNR2G/page-1", "NLAS3799LMNR2G")</f>
        <v>NLAS3799LMNR2G</v>
      </c>
      <c r="B15483" s="3" t="str">
        <f>HYPERLINK("https://www.773grp.com/manufacturer/onsemi?pageNo=654", "Onsemi")</f>
        <v>Onsemi</v>
      </c>
      <c r="C15483" s="6">
        <v>227131</v>
      </c>
      <c r="D15483" s="7">
        <v>3.95</v>
      </c>
      <c r="E15483" t="s">
        <v>46</v>
      </c>
    </row>
    <row r="15484" spans="1:5" x14ac:dyDescent="0.25">
      <c r="A15484" t="str">
        <f>HYPERLINK("https://www.773grp.com/globalSearch/NLAS3799MNR2G/page-1", "NLAS3799MNR2G")</f>
        <v>NLAS3799MNR2G</v>
      </c>
      <c r="B15484" s="3" t="str">
        <f>HYPERLINK("https://www.773grp.com/manufacturer/onsemi?pageNo=655", "Onsemi")</f>
        <v>Onsemi</v>
      </c>
      <c r="C15484" s="6">
        <v>253866</v>
      </c>
      <c r="D15484" s="7">
        <v>3.95</v>
      </c>
      <c r="E15484" t="s">
        <v>46</v>
      </c>
    </row>
    <row r="15485" spans="1:5" x14ac:dyDescent="0.25">
      <c r="A15485" t="str">
        <f>HYPERLINK("https://www.773grp.com/globalSearch/NLSX3014MUTAG/page-1", "NLSX3014MUTAG")</f>
        <v>NLSX3014MUTAG</v>
      </c>
      <c r="B15485" s="3" t="str">
        <f>HYPERLINK("https://www.773grp.com/manufacturer/onsemi?pageNo=656", "Onsemi")</f>
        <v>Onsemi</v>
      </c>
      <c r="C15485" s="6">
        <v>83080</v>
      </c>
      <c r="D15485" s="7">
        <v>3.95</v>
      </c>
      <c r="E15485" t="s">
        <v>11</v>
      </c>
    </row>
    <row r="15486" spans="1:5" x14ac:dyDescent="0.25">
      <c r="A15486" t="str">
        <f>HYPERLINK("https://www.773grp.com/globalSearch/NUP4106DR2G/page-1", "NUP4106DR2G")</f>
        <v>NUP4106DR2G</v>
      </c>
      <c r="B15486" s="3" t="str">
        <f>HYPERLINK("https://www.773grp.com/manufacturer/onsemi?pageNo=657", "Onsemi")</f>
        <v>Onsemi</v>
      </c>
      <c r="C15486" s="6">
        <v>25000</v>
      </c>
      <c r="D15486" s="7">
        <v>3.95</v>
      </c>
      <c r="E15486" t="s">
        <v>75</v>
      </c>
    </row>
    <row r="15487" spans="1:5" x14ac:dyDescent="0.25">
      <c r="A15487" t="str">
        <f>HYPERLINK("https://www.773grp.com/globalSearch/TCM2574VOE/page-1", "TCM2574VOE")</f>
        <v>TCM2574VOE</v>
      </c>
      <c r="B15487" s="3" t="str">
        <f>HYPERLINK("https://www.773grp.com/manufacturer/onsemi?pageNo=658", "Onsemi")</f>
        <v>Onsemi</v>
      </c>
      <c r="C15487" s="6">
        <v>19000</v>
      </c>
      <c r="D15487" s="7">
        <v>3.95</v>
      </c>
    </row>
    <row r="15488" spans="1:5" x14ac:dyDescent="0.25">
      <c r="A15488" t="str">
        <f>HYPERLINK("https://www.773grp.com/globalSearch/TCM2574VPA/page-1", "TCM2574VPA")</f>
        <v>TCM2574VPA</v>
      </c>
      <c r="B15488" s="3" t="str">
        <f>HYPERLINK("https://www.773grp.com/manufacturer/onsemi?pageNo=659", "Onsemi")</f>
        <v>Onsemi</v>
      </c>
      <c r="C15488" s="6">
        <v>5953</v>
      </c>
      <c r="D15488" s="7">
        <v>3.95</v>
      </c>
    </row>
    <row r="15489" spans="1:5" x14ac:dyDescent="0.25">
      <c r="A15489" t="str">
        <f>HYPERLINK("https://www.773grp.com/globalSearch/TE02549/page-1", "TE02549")</f>
        <v>TE02549</v>
      </c>
      <c r="B15489" s="3" t="str">
        <f>HYPERLINK("https://www.773grp.com/manufacturer/onsemi?pageNo=660", "Onsemi")</f>
        <v>Onsemi</v>
      </c>
      <c r="C15489" s="6">
        <v>12020</v>
      </c>
      <c r="D15489" s="7">
        <v>3.95</v>
      </c>
    </row>
    <row r="15490" spans="1:5" x14ac:dyDescent="0.25">
      <c r="A15490" t="str">
        <f>HYPERLINK("https://www.773grp.com/globalSearch/MBRB4030T4G/page-1", "MBRB4030T4G")</f>
        <v>MBRB4030T4G</v>
      </c>
      <c r="B15490" s="3" t="str">
        <f>HYPERLINK("https://www.773grp.com/manufacturer/onsemi?pageNo=661", "Onsemi")</f>
        <v>Onsemi</v>
      </c>
      <c r="C15490" s="6">
        <v>12832</v>
      </c>
      <c r="D15490" s="7">
        <v>3.6</v>
      </c>
      <c r="E15490" t="s">
        <v>82</v>
      </c>
    </row>
    <row r="15491" spans="1:5" x14ac:dyDescent="0.25">
      <c r="A15491" t="str">
        <f>HYPERLINK("https://www.773grp.com/globalSearch/SJ81200/page-1", "SJ81200")</f>
        <v>SJ81200</v>
      </c>
      <c r="B15491" s="3" t="str">
        <f>HYPERLINK("https://www.773grp.com/manufacturer/onsemi?pageNo=662", "Onsemi")</f>
        <v>Onsemi</v>
      </c>
      <c r="C15491" s="6">
        <v>8217</v>
      </c>
      <c r="D15491" s="7">
        <v>3.6</v>
      </c>
    </row>
    <row r="15492" spans="1:5" x14ac:dyDescent="0.25">
      <c r="A15492" t="str">
        <f>HYPERLINK("https://www.773grp.com/globalSearch/CAT5132ZI-10-GT3/page-1", "CAT5132ZI-10-GT3")</f>
        <v>CAT5132ZI-10-GT3</v>
      </c>
      <c r="B15492" s="3" t="str">
        <f>HYPERLINK("https://www.773grp.com/manufacturer/onsemi?pageNo=663", "Onsemi")</f>
        <v>Onsemi</v>
      </c>
      <c r="C15492" s="6">
        <v>2514</v>
      </c>
      <c r="D15492" s="7">
        <v>3.63</v>
      </c>
    </row>
    <row r="15493" spans="1:5" x14ac:dyDescent="0.25">
      <c r="A15493" t="str">
        <f>HYPERLINK("https://www.773grp.com/globalSearch/LM2575D2T-012G/page-1", "LM2575D2T-012G")</f>
        <v>LM2575D2T-012G</v>
      </c>
      <c r="B15493" s="3" t="str">
        <f>HYPERLINK("https://www.773grp.com/manufacturer/onsemi?pageNo=664", "Onsemi")</f>
        <v>Onsemi</v>
      </c>
      <c r="C15493" s="6">
        <v>10663</v>
      </c>
      <c r="D15493" s="7">
        <v>3.63</v>
      </c>
      <c r="E15493" t="s">
        <v>5</v>
      </c>
    </row>
    <row r="15494" spans="1:5" x14ac:dyDescent="0.25">
      <c r="A15494" t="str">
        <f>HYPERLINK("https://www.773grp.com/globalSearch/LM2575D2T-015G/page-1", "LM2575D2T-015G")</f>
        <v>LM2575D2T-015G</v>
      </c>
      <c r="B15494" s="3" t="str">
        <f>HYPERLINK("https://www.773grp.com/manufacturer/onsemi?pageNo=665", "Onsemi")</f>
        <v>Onsemi</v>
      </c>
      <c r="C15494" s="6">
        <v>1800</v>
      </c>
      <c r="D15494" s="7">
        <v>3.63</v>
      </c>
      <c r="E15494" t="s">
        <v>5</v>
      </c>
    </row>
    <row r="15495" spans="1:5" x14ac:dyDescent="0.25">
      <c r="A15495" t="str">
        <f>HYPERLINK("https://www.773grp.com/globalSearch/LM2575D2T-12R4/page-1", "LM2575D2T-12R4")</f>
        <v>LM2575D2T-12R4</v>
      </c>
      <c r="B15495" s="3" t="str">
        <f>HYPERLINK("https://www.773grp.com/manufacturer/onsemi?pageNo=666", "Onsemi")</f>
        <v>Onsemi</v>
      </c>
      <c r="C15495" s="6">
        <v>800</v>
      </c>
      <c r="D15495" s="7">
        <v>3.63</v>
      </c>
      <c r="E15495" t="s">
        <v>5</v>
      </c>
    </row>
    <row r="15496" spans="1:5" x14ac:dyDescent="0.25">
      <c r="A15496" t="str">
        <f>HYPERLINK("https://www.773grp.com/globalSearch/LM2575D2T-12R4G/page-1", "LM2575D2T-12R4G")</f>
        <v>LM2575D2T-12R4G</v>
      </c>
      <c r="B15496" s="3" t="str">
        <f>HYPERLINK("https://www.773grp.com/manufacturer/onsemi?pageNo=667", "Onsemi")</f>
        <v>Onsemi</v>
      </c>
      <c r="C15496" s="6">
        <v>2400</v>
      </c>
      <c r="D15496" s="7">
        <v>3.63</v>
      </c>
      <c r="E15496" t="s">
        <v>5</v>
      </c>
    </row>
    <row r="15497" spans="1:5" x14ac:dyDescent="0.25">
      <c r="A15497" t="str">
        <f>HYPERLINK("https://www.773grp.com/globalSearch/LM2575D2T-3.3G/page-1", "LM2575D2T-3.3G")</f>
        <v>LM2575D2T-3.3G</v>
      </c>
      <c r="B15497" s="3" t="str">
        <f>HYPERLINK("https://www.773grp.com/manufacturer/onsemi?pageNo=668", "Onsemi")</f>
        <v>Onsemi</v>
      </c>
      <c r="C15497" s="6">
        <v>320</v>
      </c>
      <c r="D15497" s="7">
        <v>3.63</v>
      </c>
    </row>
    <row r="15498" spans="1:5" x14ac:dyDescent="0.25">
      <c r="A15498" t="str">
        <f>HYPERLINK("https://www.773grp.com/globalSearch/LM2575D2T-3.3R4G/page-1", "LM2575D2T-3.3R4G")</f>
        <v>LM2575D2T-3.3R4G</v>
      </c>
      <c r="B15498" s="3" t="str">
        <f>HYPERLINK("https://www.773grp.com/manufacturer/onsemi?pageNo=669", "Onsemi")</f>
        <v>Onsemi</v>
      </c>
      <c r="C15498" s="6">
        <v>8626</v>
      </c>
      <c r="D15498" s="7">
        <v>3.63</v>
      </c>
      <c r="E15498" t="s">
        <v>5</v>
      </c>
    </row>
    <row r="15499" spans="1:5" x14ac:dyDescent="0.25">
      <c r="A15499" t="str">
        <f>HYPERLINK("https://www.773grp.com/globalSearch/LM2575D2T-5G/page-1", "LM2575D2T-5G")</f>
        <v>LM2575D2T-5G</v>
      </c>
      <c r="B15499" s="3" t="str">
        <f>HYPERLINK("https://www.773grp.com/manufacturer/onsemi?pageNo=670", "Onsemi")</f>
        <v>Onsemi</v>
      </c>
      <c r="C15499" s="6">
        <v>6000</v>
      </c>
      <c r="D15499" s="7">
        <v>3.63</v>
      </c>
      <c r="E15499" t="s">
        <v>5</v>
      </c>
    </row>
    <row r="15500" spans="1:5" x14ac:dyDescent="0.25">
      <c r="A15500" t="str">
        <f>HYPERLINK("https://www.773grp.com/globalSearch/LM2575D2T-5R4G/page-1", "LM2575D2T-5R4G")</f>
        <v>LM2575D2T-5R4G</v>
      </c>
      <c r="B15500" s="3" t="str">
        <f>HYPERLINK("https://www.773grp.com/manufacturer/onsemi?pageNo=671", "Onsemi")</f>
        <v>Onsemi</v>
      </c>
      <c r="C15500" s="6">
        <v>7051</v>
      </c>
      <c r="D15500" s="7">
        <v>3.63</v>
      </c>
    </row>
    <row r="15501" spans="1:5" x14ac:dyDescent="0.25">
      <c r="A15501" t="str">
        <f>HYPERLINK("https://www.773grp.com/globalSearch/LM2575D2T-ADJG/page-1", "LM2575D2T-ADJG")</f>
        <v>LM2575D2T-ADJG</v>
      </c>
      <c r="B15501" s="3" t="str">
        <f>HYPERLINK("https://www.773grp.com/manufacturer/onsemi?pageNo=672", "Onsemi")</f>
        <v>Onsemi</v>
      </c>
      <c r="C15501" s="6">
        <v>14050</v>
      </c>
      <c r="D15501" s="7">
        <v>3.63</v>
      </c>
      <c r="E15501" t="s">
        <v>5</v>
      </c>
    </row>
    <row r="15502" spans="1:5" x14ac:dyDescent="0.25">
      <c r="A15502" t="str">
        <f>HYPERLINK("https://www.773grp.com/globalSearch/LM2575D2T-ADJR4G/page-1", "LM2575D2T-ADJR4G")</f>
        <v>LM2575D2T-ADJR4G</v>
      </c>
      <c r="B15502" s="3" t="str">
        <f>HYPERLINK("https://www.773grp.com/manufacturer/onsemi?pageNo=673", "Onsemi")</f>
        <v>Onsemi</v>
      </c>
      <c r="C15502" s="6">
        <v>86341</v>
      </c>
      <c r="D15502" s="7">
        <v>3.63</v>
      </c>
      <c r="E15502" t="s">
        <v>5</v>
      </c>
    </row>
    <row r="15503" spans="1:5" x14ac:dyDescent="0.25">
      <c r="A15503" t="str">
        <f>HYPERLINK("https://www.773grp.com/globalSearch/NCN6000DTBR2G/page-1", "NCN6000DTBR2G")</f>
        <v>NCN6000DTBR2G</v>
      </c>
      <c r="B15503" s="3" t="str">
        <f>HYPERLINK("https://www.773grp.com/manufacturer/onsemi?pageNo=674", "Onsemi")</f>
        <v>Onsemi</v>
      </c>
      <c r="C15503" s="6">
        <v>9087</v>
      </c>
      <c r="D15503" s="7">
        <v>3.63</v>
      </c>
      <c r="E15503" t="s">
        <v>19</v>
      </c>
    </row>
    <row r="15504" spans="1:5" x14ac:dyDescent="0.25">
      <c r="A15504" t="str">
        <f>HYPERLINK("https://www.773grp.com/globalSearch/NTB35N15T4G/page-1", "NTB35N15T4G")</f>
        <v>NTB35N15T4G</v>
      </c>
      <c r="B15504" s="3" t="str">
        <f>HYPERLINK("https://www.773grp.com/manufacturer/onsemi?pageNo=675", "Onsemi")</f>
        <v>Onsemi</v>
      </c>
      <c r="C15504" s="6">
        <v>4101</v>
      </c>
      <c r="D15504" s="7">
        <v>3.63</v>
      </c>
      <c r="E15504" t="s">
        <v>84</v>
      </c>
    </row>
    <row r="15505" spans="1:5" x14ac:dyDescent="0.25">
      <c r="A15505" t="str">
        <f>HYPERLINK("https://www.773grp.com/globalSearch/2N3055G/page-1", "2N3055G")</f>
        <v>2N3055G</v>
      </c>
      <c r="B15505" s="3" t="str">
        <f>HYPERLINK("https://www.773grp.com/manufacturer/onsemi?pageNo=676", "Onsemi")</f>
        <v>Onsemi</v>
      </c>
      <c r="C15505" s="6">
        <v>36</v>
      </c>
      <c r="D15505" s="7">
        <v>4.01</v>
      </c>
    </row>
    <row r="15506" spans="1:5" x14ac:dyDescent="0.25">
      <c r="A15506" t="str">
        <f>HYPERLINK("https://www.773grp.com/globalSearch/BDV65BG/page-1", "BDV65BG")</f>
        <v>BDV65BG</v>
      </c>
      <c r="B15506" s="3" t="str">
        <f>HYPERLINK("https://www.773grp.com/manufacturer/onsemi?pageNo=677", "Onsemi")</f>
        <v>Onsemi</v>
      </c>
      <c r="C15506" s="6">
        <v>487</v>
      </c>
      <c r="D15506" s="7">
        <v>4.01</v>
      </c>
      <c r="E15506" t="s">
        <v>47</v>
      </c>
    </row>
    <row r="15507" spans="1:5" x14ac:dyDescent="0.25">
      <c r="A15507" t="str">
        <f>HYPERLINK("https://www.773grp.com/globalSearch/CS5207-3GDP3/page-1", "CS5207-3GDP3")</f>
        <v>CS5207-3GDP3</v>
      </c>
      <c r="B15507" s="3" t="str">
        <f>HYPERLINK("https://www.773grp.com/manufacturer/onsemi?pageNo=678", "Onsemi")</f>
        <v>Onsemi</v>
      </c>
      <c r="C15507" s="6">
        <v>700</v>
      </c>
      <c r="D15507" s="7">
        <v>4.01</v>
      </c>
      <c r="E15507" t="s">
        <v>15</v>
      </c>
    </row>
    <row r="15508" spans="1:5" x14ac:dyDescent="0.25">
      <c r="A15508" t="str">
        <f>HYPERLINK("https://www.773grp.com/globalSearch/CS5207-3GDPR3/page-1", "CS5207-3GDPR3")</f>
        <v>CS5207-3GDPR3</v>
      </c>
      <c r="B15508" s="3" t="str">
        <f>HYPERLINK("https://www.773grp.com/manufacturer/onsemi?pageNo=679", "Onsemi")</f>
        <v>Onsemi</v>
      </c>
      <c r="C15508" s="6">
        <v>746</v>
      </c>
      <c r="D15508" s="7">
        <v>4.01</v>
      </c>
      <c r="E15508" t="s">
        <v>15</v>
      </c>
    </row>
    <row r="15509" spans="1:5" x14ac:dyDescent="0.25">
      <c r="A15509" t="str">
        <f>HYPERLINK("https://www.773grp.com/globalSearch/CS5207A-1GT3/page-1", "CS5207A-1GT3")</f>
        <v>CS5207A-1GT3</v>
      </c>
      <c r="B15509" s="3" t="str">
        <f>HYPERLINK("https://www.773grp.com/manufacturer/onsemi?pageNo=680", "Onsemi")</f>
        <v>Onsemi</v>
      </c>
      <c r="C15509" s="6">
        <v>50</v>
      </c>
      <c r="D15509" s="7">
        <v>4.01</v>
      </c>
      <c r="E15509" t="s">
        <v>21</v>
      </c>
    </row>
    <row r="15510" spans="1:5" x14ac:dyDescent="0.25">
      <c r="A15510" t="str">
        <f>HYPERLINK("https://www.773grp.com/globalSearch/CS5208-1GT3/page-1", "CS5208-1GT3")</f>
        <v>CS5208-1GT3</v>
      </c>
      <c r="B15510" s="3" t="str">
        <f>HYPERLINK("https://www.773grp.com/manufacturer/onsemi?pageNo=681", "Onsemi")</f>
        <v>Onsemi</v>
      </c>
      <c r="C15510" s="6">
        <v>900</v>
      </c>
      <c r="D15510" s="7">
        <v>4.01</v>
      </c>
      <c r="E15510" t="s">
        <v>21</v>
      </c>
    </row>
    <row r="15511" spans="1:5" x14ac:dyDescent="0.25">
      <c r="A15511" t="str">
        <f>HYPERLINK("https://www.773grp.com/globalSearch/CS8311YD8/page-1", "CS8311YD8")</f>
        <v>CS8311YD8</v>
      </c>
      <c r="B15511" s="3" t="str">
        <f>HYPERLINK("https://www.773grp.com/manufacturer/onsemi?pageNo=682", "Onsemi")</f>
        <v>Onsemi</v>
      </c>
      <c r="C15511" s="6">
        <v>6762</v>
      </c>
      <c r="D15511" s="7">
        <v>4.01</v>
      </c>
      <c r="E15511" t="s">
        <v>15</v>
      </c>
    </row>
    <row r="15512" spans="1:5" x14ac:dyDescent="0.25">
      <c r="A15512" t="str">
        <f>HYPERLINK("https://www.773grp.com/globalSearch/LA42105-E/page-1", "LA42105-E")</f>
        <v>LA42105-E</v>
      </c>
      <c r="B15512" s="3" t="str">
        <f>HYPERLINK("https://www.773grp.com/manufacturer/onsemi?pageNo=683", "Onsemi")</f>
        <v>Onsemi</v>
      </c>
      <c r="C15512" s="6">
        <v>2860</v>
      </c>
      <c r="D15512" s="7">
        <v>4.01</v>
      </c>
    </row>
    <row r="15513" spans="1:5" x14ac:dyDescent="0.25">
      <c r="A15513" t="str">
        <f>HYPERLINK("https://www.773grp.com/globalSearch/MC44603ADWG/page-1", "MC44603ADWG")</f>
        <v>MC44603ADWG</v>
      </c>
      <c r="B15513" s="3" t="str">
        <f>HYPERLINK("https://www.773grp.com/manufacturer/onsemi?pageNo=684", "Onsemi")</f>
        <v>Onsemi</v>
      </c>
      <c r="C15513" s="6">
        <v>799</v>
      </c>
      <c r="D15513" s="7">
        <v>4.01</v>
      </c>
      <c r="E15513" t="s">
        <v>5</v>
      </c>
    </row>
    <row r="15514" spans="1:5" x14ac:dyDescent="0.25">
      <c r="A15514" t="str">
        <f>HYPERLINK("https://www.773grp.com/globalSearch/NCP2821FCT1G/page-1", "NCP2821FCT1G")</f>
        <v>NCP2821FCT1G</v>
      </c>
      <c r="B15514" s="3" t="str">
        <f>HYPERLINK("https://www.773grp.com/manufacturer/onsemi?pageNo=685", "Onsemi")</f>
        <v>Onsemi</v>
      </c>
      <c r="C15514" s="6">
        <v>98970</v>
      </c>
      <c r="D15514" s="7">
        <v>4.01</v>
      </c>
      <c r="E15514" t="s">
        <v>14</v>
      </c>
    </row>
    <row r="15515" spans="1:5" x14ac:dyDescent="0.25">
      <c r="A15515" t="str">
        <f>HYPERLINK("https://www.773grp.com/globalSearch/NTB60N06LT4G/page-1", "NTB60N06LT4G")</f>
        <v>NTB60N06LT4G</v>
      </c>
      <c r="B15515" s="3" t="str">
        <f>HYPERLINK("https://www.773grp.com/manufacturer/onsemi?pageNo=686", "Onsemi")</f>
        <v>Onsemi</v>
      </c>
      <c r="C15515" s="6">
        <v>800</v>
      </c>
      <c r="D15515" s="7">
        <v>4.01</v>
      </c>
    </row>
    <row r="15516" spans="1:5" x14ac:dyDescent="0.25">
      <c r="A15516" t="str">
        <f>HYPERLINK("https://www.773grp.com/globalSearch/TIP140G/page-1", "TIP140G")</f>
        <v>TIP140G</v>
      </c>
      <c r="B15516" s="3" t="str">
        <f>HYPERLINK("https://www.773grp.com/manufacturer/onsemi?pageNo=687", "Onsemi")</f>
        <v>Onsemi</v>
      </c>
      <c r="C15516" s="6">
        <v>334</v>
      </c>
      <c r="D15516" s="7">
        <v>4.01</v>
      </c>
      <c r="E15516" t="s">
        <v>47</v>
      </c>
    </row>
    <row r="15517" spans="1:5" x14ac:dyDescent="0.25">
      <c r="A15517" t="str">
        <f>HYPERLINK("https://www.773grp.com/globalSearch/TIP141G/page-1", "TIP141G")</f>
        <v>TIP141G</v>
      </c>
      <c r="B15517" s="3" t="str">
        <f>HYPERLINK("https://www.773grp.com/manufacturer/onsemi?pageNo=688", "Onsemi")</f>
        <v>Onsemi</v>
      </c>
      <c r="C15517" s="6">
        <v>1991</v>
      </c>
      <c r="D15517" s="7">
        <v>4.01</v>
      </c>
      <c r="E15517" t="s">
        <v>47</v>
      </c>
    </row>
    <row r="15518" spans="1:5" x14ac:dyDescent="0.25">
      <c r="A15518" t="str">
        <f>HYPERLINK("https://www.773grp.com/globalSearch/TIP142G/page-1", "TIP142G")</f>
        <v>TIP142G</v>
      </c>
      <c r="B15518" s="3" t="str">
        <f>HYPERLINK("https://www.773grp.com/manufacturer/onsemi?pageNo=689", "Onsemi")</f>
        <v>Onsemi</v>
      </c>
      <c r="C15518" s="6">
        <v>5398</v>
      </c>
      <c r="D15518" s="7">
        <v>4.01</v>
      </c>
      <c r="E15518" t="s">
        <v>47</v>
      </c>
    </row>
    <row r="15519" spans="1:5" x14ac:dyDescent="0.25">
      <c r="A15519" t="str">
        <f>HYPERLINK("https://www.773grp.com/globalSearch/TND017MP-AZ/page-1", "TND017MP-AZ")</f>
        <v>TND017MP-AZ</v>
      </c>
      <c r="B15519" s="3" t="str">
        <f>HYPERLINK("https://www.773grp.com/manufacturer/onsemi?pageNo=690", "Onsemi")</f>
        <v>Onsemi</v>
      </c>
      <c r="C15519" s="6">
        <v>1000</v>
      </c>
      <c r="D15519" s="7">
        <v>4.01</v>
      </c>
    </row>
    <row r="15520" spans="1:5" x14ac:dyDescent="0.25">
      <c r="A15520" t="str">
        <f>HYPERLINK("https://www.773grp.com/globalSearch/2N5886/page-1", "2N5886")</f>
        <v>2N5886</v>
      </c>
      <c r="B15520" s="3" t="str">
        <f>HYPERLINK("https://www.773grp.com/manufacturer/onsemi?pageNo=691", "Onsemi")</f>
        <v>Onsemi</v>
      </c>
      <c r="C15520" s="6">
        <v>167</v>
      </c>
      <c r="D15520" s="7">
        <v>3.66</v>
      </c>
      <c r="E15520" t="s">
        <v>47</v>
      </c>
    </row>
    <row r="15521" spans="1:5" x14ac:dyDescent="0.25">
      <c r="A15521" t="str">
        <f>HYPERLINK("https://www.773grp.com/globalSearch/ADP3207JCPZ-RL/page-1", "ADP3207JCPZ-RL")</f>
        <v>ADP3207JCPZ-RL</v>
      </c>
      <c r="B15521" s="3" t="str">
        <f>HYPERLINK("https://www.773grp.com/manufacturer/onsemi?pageNo=692", "Onsemi")</f>
        <v>Onsemi</v>
      </c>
      <c r="C15521" s="6">
        <v>22000</v>
      </c>
      <c r="D15521" s="7">
        <v>3.66</v>
      </c>
    </row>
    <row r="15522" spans="1:5" x14ac:dyDescent="0.25">
      <c r="A15522" t="str">
        <f>HYPERLINK("https://www.773grp.com/globalSearch/ADP4000JCPZ-RL7/page-1", "ADP4000JCPZ-RL7")</f>
        <v>ADP4000JCPZ-RL7</v>
      </c>
      <c r="B15522" s="3" t="str">
        <f>HYPERLINK("https://www.773grp.com/manufacturer/onsemi?pageNo=693", "Onsemi")</f>
        <v>Onsemi</v>
      </c>
      <c r="C15522" s="6">
        <v>3750</v>
      </c>
      <c r="D15522" s="7">
        <v>3.66</v>
      </c>
    </row>
    <row r="15523" spans="1:5" x14ac:dyDescent="0.25">
      <c r="A15523" t="str">
        <f>HYPERLINK("https://www.773grp.com/globalSearch/ASM3P2180AF-08SR/page-1", "ASM3P2180AF-08SR")</f>
        <v>ASM3P2180AF-08SR</v>
      </c>
      <c r="B15523" s="3" t="str">
        <f>HYPERLINK("https://www.773grp.com/manufacturer/onsemi?pageNo=694", "Onsemi")</f>
        <v>Onsemi</v>
      </c>
      <c r="C15523" s="6">
        <v>163</v>
      </c>
      <c r="D15523" s="7">
        <v>3.66</v>
      </c>
      <c r="E15523" t="s">
        <v>65</v>
      </c>
    </row>
    <row r="15524" spans="1:5" x14ac:dyDescent="0.25">
      <c r="A15524" t="str">
        <f>HYPERLINK("https://www.773grp.com/globalSearch/I2811BF-08ST/page-1", "I2811BF-08ST")</f>
        <v>I2811BF-08ST</v>
      </c>
      <c r="B15524" s="3" t="str">
        <f>HYPERLINK("https://www.773grp.com/manufacturer/onsemi?pageNo=695", "Onsemi")</f>
        <v>Onsemi</v>
      </c>
      <c r="C15524" s="6">
        <v>705</v>
      </c>
      <c r="D15524" s="7">
        <v>3.66</v>
      </c>
    </row>
    <row r="15525" spans="1:5" x14ac:dyDescent="0.25">
      <c r="A15525" t="str">
        <f>HYPERLINK("https://www.773grp.com/globalSearch/LC87F5N62BVU-QIP-E/page-1", "LC87F5N62BVU-QIP-E")</f>
        <v>LC87F5N62BVU-QIP-E</v>
      </c>
      <c r="B15525" s="3" t="str">
        <f>HYPERLINK("https://www.773grp.com/manufacturer/onsemi?pageNo=696", "Onsemi")</f>
        <v>Onsemi</v>
      </c>
      <c r="C15525" s="6">
        <v>11400</v>
      </c>
      <c r="D15525" s="7">
        <v>3.66</v>
      </c>
    </row>
    <row r="15526" spans="1:5" x14ac:dyDescent="0.25">
      <c r="A15526" t="str">
        <f>HYPERLINK("https://www.773grp.com/globalSearch/LM2596TADJG/page-1", "LM2596TADJG")</f>
        <v>LM2596TADJG</v>
      </c>
      <c r="B15526" s="3" t="str">
        <f>HYPERLINK("https://www.773grp.com/manufacturer/onsemi?pageNo=697", "Onsemi")</f>
        <v>Onsemi</v>
      </c>
      <c r="C15526" s="6">
        <v>20521</v>
      </c>
      <c r="D15526" s="7">
        <v>3.66</v>
      </c>
      <c r="E15526" t="s">
        <v>5</v>
      </c>
    </row>
    <row r="15527" spans="1:5" x14ac:dyDescent="0.25">
      <c r="A15527" t="str">
        <f>HYPERLINK("https://www.773grp.com/globalSearch/LV8044LP-TLM-E/page-1", "LV8044LP-TLM-E")</f>
        <v>LV8044LP-TLM-E</v>
      </c>
      <c r="B15527" s="3" t="str">
        <f>HYPERLINK("https://www.773grp.com/manufacturer/onsemi?pageNo=698", "Onsemi")</f>
        <v>Onsemi</v>
      </c>
      <c r="C15527" s="6">
        <v>2000</v>
      </c>
      <c r="D15527" s="7">
        <v>3.66</v>
      </c>
    </row>
    <row r="15528" spans="1:5" x14ac:dyDescent="0.25">
      <c r="A15528" t="str">
        <f>HYPERLINK("https://www.773grp.com/globalSearch/MC14490F/page-1", "MC14490F")</f>
        <v>MC14490F</v>
      </c>
      <c r="B15528" s="3" t="str">
        <f>HYPERLINK("https://www.773grp.com/manufacturer/onsemi?pageNo=699", "Onsemi")</f>
        <v>Onsemi</v>
      </c>
      <c r="C15528" s="6">
        <v>2556</v>
      </c>
      <c r="D15528" s="7">
        <v>3.66</v>
      </c>
      <c r="E15528" t="s">
        <v>28</v>
      </c>
    </row>
    <row r="15529" spans="1:5" x14ac:dyDescent="0.25">
      <c r="A15529" t="str">
        <f>HYPERLINK("https://www.773grp.com/globalSearch/MCCS142238DWR2/page-1", "MCCS142238DWR2")</f>
        <v>MCCS142238DWR2</v>
      </c>
      <c r="B15529" s="3" t="str">
        <f>HYPERLINK("https://www.773grp.com/manufacturer/onsemi?pageNo=700", "Onsemi")</f>
        <v>Onsemi</v>
      </c>
      <c r="C15529" s="6">
        <v>1000</v>
      </c>
      <c r="D15529" s="7">
        <v>3.66</v>
      </c>
      <c r="E15529" t="s">
        <v>20</v>
      </c>
    </row>
    <row r="15530" spans="1:5" x14ac:dyDescent="0.25">
      <c r="A15530" t="str">
        <f>HYPERLINK("https://www.773grp.com/globalSearch/MJ802/page-1", "MJ802")</f>
        <v>MJ802</v>
      </c>
      <c r="B15530" s="3" t="str">
        <f>HYPERLINK("https://www.773grp.com/manufacturer/onsemi?pageNo=701", "Onsemi")</f>
        <v>Onsemi</v>
      </c>
      <c r="C15530" s="6">
        <v>11</v>
      </c>
      <c r="D15530" s="7">
        <v>3.66</v>
      </c>
      <c r="E15530" t="s">
        <v>47</v>
      </c>
    </row>
    <row r="15531" spans="1:5" x14ac:dyDescent="0.25">
      <c r="A15531" t="str">
        <f>HYPERLINK("https://www.773grp.com/globalSearch/MTB50P03HDL/page-1", "MTB50P03HDL")</f>
        <v>MTB50P03HDL</v>
      </c>
      <c r="B15531" s="3" t="str">
        <f>HYPERLINK("https://www.773grp.com/manufacturer/onsemi?pageNo=702", "Onsemi")</f>
        <v>Onsemi</v>
      </c>
      <c r="C15531" s="6">
        <v>1000</v>
      </c>
      <c r="D15531" s="7">
        <v>3.66</v>
      </c>
    </row>
    <row r="15532" spans="1:5" x14ac:dyDescent="0.25">
      <c r="A15532" t="str">
        <f>HYPERLINK("https://www.773grp.com/globalSearch/MTB50P03HDLG/page-1", "MTB50P03HDLG")</f>
        <v>MTB50P03HDLG</v>
      </c>
      <c r="B15532" s="3" t="str">
        <f>HYPERLINK("https://www.773grp.com/manufacturer/onsemi?pageNo=703", "Onsemi")</f>
        <v>Onsemi</v>
      </c>
      <c r="C15532" s="6">
        <v>1550</v>
      </c>
      <c r="D15532" s="7">
        <v>3.66</v>
      </c>
    </row>
    <row r="15533" spans="1:5" x14ac:dyDescent="0.25">
      <c r="A15533" t="str">
        <f>HYPERLINK("https://www.773grp.com/globalSearch/MTB50P03HDLT4/page-1", "MTB50P03HDLT4")</f>
        <v>MTB50P03HDLT4</v>
      </c>
      <c r="B15533" s="3" t="str">
        <f>HYPERLINK("https://www.773grp.com/manufacturer/onsemi?pageNo=704", "Onsemi")</f>
        <v>Onsemi</v>
      </c>
      <c r="C15533" s="6">
        <v>1509</v>
      </c>
      <c r="D15533" s="7">
        <v>3.66</v>
      </c>
      <c r="E15533" t="s">
        <v>84</v>
      </c>
    </row>
    <row r="15534" spans="1:5" x14ac:dyDescent="0.25">
      <c r="A15534" t="str">
        <f>HYPERLINK("https://www.773grp.com/globalSearch/MTB50P03HDLT4G/page-1", "MTB50P03HDLT4G")</f>
        <v>MTB50P03HDLT4G</v>
      </c>
      <c r="B15534" s="3" t="str">
        <f>HYPERLINK("https://www.773grp.com/manufacturer/onsemi?pageNo=705", "Onsemi")</f>
        <v>Onsemi</v>
      </c>
      <c r="C15534" s="6">
        <v>617</v>
      </c>
      <c r="D15534" s="7">
        <v>3.66</v>
      </c>
    </row>
    <row r="15535" spans="1:5" x14ac:dyDescent="0.25">
      <c r="A15535" t="str">
        <f>HYPERLINK("https://www.773grp.com/globalSearch/NCS6415DWG/page-1", "NCS6415DWG")</f>
        <v>NCS6415DWG</v>
      </c>
      <c r="B15535" s="3" t="str">
        <f>HYPERLINK("https://www.773grp.com/manufacturer/onsemi?pageNo=706", "Onsemi")</f>
        <v>Onsemi</v>
      </c>
      <c r="C15535" s="6">
        <v>51300</v>
      </c>
      <c r="D15535" s="7">
        <v>3.66</v>
      </c>
      <c r="E15535" t="s">
        <v>46</v>
      </c>
    </row>
    <row r="15536" spans="1:5" x14ac:dyDescent="0.25">
      <c r="A15536" t="str">
        <f>HYPERLINK("https://www.773grp.com/globalSearch/NCS6415DWR2G/page-1", "NCS6415DWR2G")</f>
        <v>NCS6415DWR2G</v>
      </c>
      <c r="B15536" s="3" t="str">
        <f>HYPERLINK("https://www.773grp.com/manufacturer/onsemi?pageNo=707", "Onsemi")</f>
        <v>Onsemi</v>
      </c>
      <c r="C15536" s="6">
        <v>103000</v>
      </c>
      <c r="D15536" s="7">
        <v>3.66</v>
      </c>
      <c r="E15536" t="s">
        <v>46</v>
      </c>
    </row>
    <row r="15537" spans="1:5" x14ac:dyDescent="0.25">
      <c r="A15537" t="str">
        <f>HYPERLINK("https://www.773grp.com/globalSearch/NCS8353MNTXG/page-1", "NCS8353MNTXG")</f>
        <v>NCS8353MNTXG</v>
      </c>
      <c r="B15537" s="3" t="str">
        <f>HYPERLINK("https://www.773grp.com/manufacturer/onsemi?pageNo=708", "Onsemi")</f>
        <v>Onsemi</v>
      </c>
      <c r="C15537" s="6">
        <v>127500</v>
      </c>
      <c r="D15537" s="7">
        <v>3.66</v>
      </c>
    </row>
    <row r="15538" spans="1:5" x14ac:dyDescent="0.25">
      <c r="A15538" t="str">
        <f>HYPERLINK("https://www.773grp.com/globalSearch/P2784AF-08SR/page-1", "P2784AF-08SR")</f>
        <v>P2784AF-08SR</v>
      </c>
      <c r="B15538" s="3" t="str">
        <f>HYPERLINK("https://www.773grp.com/manufacturer/onsemi?pageNo=709", "Onsemi")</f>
        <v>Onsemi</v>
      </c>
      <c r="C15538" s="6">
        <v>2500</v>
      </c>
      <c r="D15538" s="7">
        <v>3.66</v>
      </c>
      <c r="E15538" t="s">
        <v>65</v>
      </c>
    </row>
    <row r="15539" spans="1:5" x14ac:dyDescent="0.25">
      <c r="A15539" t="str">
        <f>HYPERLINK("https://www.773grp.com/globalSearch/ATP104-TL-H/page-1", "ATP104-TL-H")</f>
        <v>ATP104-TL-H</v>
      </c>
      <c r="B15539" s="3" t="str">
        <f>HYPERLINK("https://www.773grp.com/manufacturer/onsemi?pageNo=710", "Onsemi")</f>
        <v>Onsemi</v>
      </c>
      <c r="C15539" s="6">
        <v>3000</v>
      </c>
      <c r="D15539" s="7">
        <v>4.0599999999999996</v>
      </c>
    </row>
    <row r="15540" spans="1:5" x14ac:dyDescent="0.25">
      <c r="A15540" t="str">
        <f>HYPERLINK("https://www.773grp.com/globalSearch/CS51311GD14/page-1", "CS51311GD14")</f>
        <v>CS51311GD14</v>
      </c>
      <c r="B15540" s="3" t="str">
        <f>HYPERLINK("https://www.773grp.com/manufacturer/onsemi?pageNo=711", "Onsemi")</f>
        <v>Onsemi</v>
      </c>
      <c r="C15540" s="6">
        <v>1540</v>
      </c>
      <c r="D15540" s="7">
        <v>4.0599999999999996</v>
      </c>
      <c r="E15540" t="s">
        <v>5</v>
      </c>
    </row>
    <row r="15541" spans="1:5" x14ac:dyDescent="0.25">
      <c r="A15541" t="str">
        <f>HYPERLINK("https://www.773grp.com/globalSearch/CS5203A-1GT3/page-1", "CS5203A-1GT3")</f>
        <v>CS5203A-1GT3</v>
      </c>
      <c r="B15541" s="3" t="str">
        <f>HYPERLINK("https://www.773grp.com/manufacturer/onsemi?pageNo=712", "Onsemi")</f>
        <v>Onsemi</v>
      </c>
      <c r="C15541" s="6">
        <v>46092</v>
      </c>
      <c r="D15541" s="7">
        <v>4.0599999999999996</v>
      </c>
      <c r="E15541" t="s">
        <v>21</v>
      </c>
    </row>
    <row r="15542" spans="1:5" x14ac:dyDescent="0.25">
      <c r="A15542" t="str">
        <f>HYPERLINK("https://www.773grp.com/globalSearch/CS5203A-2GT3/page-1", "CS5203A-2GT3")</f>
        <v>CS5203A-2GT3</v>
      </c>
      <c r="B15542" s="3" t="str">
        <f>HYPERLINK("https://www.773grp.com/manufacturer/onsemi?pageNo=713", "Onsemi")</f>
        <v>Onsemi</v>
      </c>
      <c r="C15542" s="6">
        <v>164</v>
      </c>
      <c r="D15542" s="7">
        <v>4.0599999999999996</v>
      </c>
      <c r="E15542" t="s">
        <v>15</v>
      </c>
    </row>
    <row r="15543" spans="1:5" x14ac:dyDescent="0.25">
      <c r="A15543" t="str">
        <f>HYPERLINK("https://www.773grp.com/globalSearch/CS5203A-5GT3/page-1", "CS5203A-5GT3")</f>
        <v>CS5203A-5GT3</v>
      </c>
      <c r="B15543" s="3" t="str">
        <f>HYPERLINK("https://www.773grp.com/manufacturer/onsemi?pageNo=714", "Onsemi")</f>
        <v>Onsemi</v>
      </c>
      <c r="C15543" s="6">
        <v>8850</v>
      </c>
      <c r="D15543" s="7">
        <v>4.0599999999999996</v>
      </c>
      <c r="E15543" t="s">
        <v>15</v>
      </c>
    </row>
    <row r="15544" spans="1:5" x14ac:dyDescent="0.25">
      <c r="A15544" t="str">
        <f>HYPERLINK("https://www.773grp.com/globalSearch/JDX5010/page-1", "JDX5010")</f>
        <v>JDX5010</v>
      </c>
      <c r="B15544" s="3" t="str">
        <f>HYPERLINK("https://www.773grp.com/manufacturer/onsemi?pageNo=715", "Onsemi")</f>
        <v>Onsemi</v>
      </c>
      <c r="C15544" s="6">
        <v>27481</v>
      </c>
      <c r="D15544" s="7">
        <v>4.0599999999999996</v>
      </c>
    </row>
    <row r="15545" spans="1:5" x14ac:dyDescent="0.25">
      <c r="A15545" t="str">
        <f>HYPERLINK("https://www.773grp.com/globalSearch/JDX5010MLF/page-1", "JDX5010MLF")</f>
        <v>JDX5010MLF</v>
      </c>
      <c r="B15545" s="3" t="str">
        <f>HYPERLINK("https://www.773grp.com/manufacturer/onsemi?pageNo=716", "Onsemi")</f>
        <v>Onsemi</v>
      </c>
      <c r="C15545" s="6">
        <v>59</v>
      </c>
      <c r="D15545" s="7">
        <v>4.0599999999999996</v>
      </c>
    </row>
    <row r="15546" spans="1:5" x14ac:dyDescent="0.25">
      <c r="A15546" t="str">
        <f>HYPERLINK("https://www.773grp.com/globalSearch/MC33351ADTB-001/page-1", "MC33351ADTB-001")</f>
        <v>MC33351ADTB-001</v>
      </c>
      <c r="B15546" s="3" t="str">
        <f>HYPERLINK("https://www.773grp.com/manufacturer/onsemi?pageNo=717", "Onsemi")</f>
        <v>Onsemi</v>
      </c>
      <c r="C15546" s="6">
        <v>1200</v>
      </c>
      <c r="D15546" s="7">
        <v>4.0599999999999996</v>
      </c>
    </row>
    <row r="15547" spans="1:5" x14ac:dyDescent="0.25">
      <c r="A15547" t="str">
        <f>HYPERLINK("https://www.773grp.com/globalSearch/MC74ACT521N/page-1", "MC74ACT521N")</f>
        <v>MC74ACT521N</v>
      </c>
      <c r="B15547" s="3" t="str">
        <f>HYPERLINK("https://www.773grp.com/manufacturer/onsemi?pageNo=718", "Onsemi")</f>
        <v>Onsemi</v>
      </c>
      <c r="C15547" s="6">
        <v>2451</v>
      </c>
      <c r="D15547" s="7">
        <v>4.0599999999999996</v>
      </c>
      <c r="E15547" t="s">
        <v>38</v>
      </c>
    </row>
    <row r="15548" spans="1:5" x14ac:dyDescent="0.25">
      <c r="A15548" t="str">
        <f>HYPERLINK("https://www.773grp.com/globalSearch/NB3N200SDG/page-1", "NB3N200SDG")</f>
        <v>NB3N200SDG</v>
      </c>
      <c r="B15548" s="3" t="str">
        <f>HYPERLINK("https://www.773grp.com/manufacturer/onsemi?pageNo=719", "Onsemi")</f>
        <v>Onsemi</v>
      </c>
      <c r="C15548" s="6">
        <v>98</v>
      </c>
      <c r="D15548" s="7">
        <v>4.0599999999999996</v>
      </c>
    </row>
    <row r="15549" spans="1:5" x14ac:dyDescent="0.25">
      <c r="A15549" t="str">
        <f>HYPERLINK("https://www.773grp.com/globalSearch/NB3N201SDG/page-1", "NB3N201SDG")</f>
        <v>NB3N201SDG</v>
      </c>
      <c r="B15549" s="3" t="str">
        <f>HYPERLINK("https://www.773grp.com/manufacturer/onsemi?pageNo=720", "Onsemi")</f>
        <v>Onsemi</v>
      </c>
      <c r="C15549" s="6">
        <v>98</v>
      </c>
      <c r="D15549" s="7">
        <v>4.0599999999999996</v>
      </c>
    </row>
    <row r="15550" spans="1:5" x14ac:dyDescent="0.25">
      <c r="A15550" t="str">
        <f>HYPERLINK("https://www.773grp.com/globalSearch/NB3N2304NZMNR4G/page-1", "NB3N2304NZMNR4G")</f>
        <v>NB3N2304NZMNR4G</v>
      </c>
      <c r="B15550" s="3" t="str">
        <f>HYPERLINK("https://www.773grp.com/manufacturer/onsemi?pageNo=721", "Onsemi")</f>
        <v>Onsemi</v>
      </c>
      <c r="C15550" s="6">
        <v>10000</v>
      </c>
      <c r="D15550" s="7">
        <v>4.0599999999999996</v>
      </c>
      <c r="E15550" t="s">
        <v>30</v>
      </c>
    </row>
    <row r="15551" spans="1:5" x14ac:dyDescent="0.25">
      <c r="A15551" t="str">
        <f>HYPERLINK("https://www.773grp.com/globalSearch/NCP5104PG/page-1", "NCP5104PG")</f>
        <v>NCP5104PG</v>
      </c>
      <c r="B15551" s="3" t="str">
        <f>HYPERLINK("https://www.773grp.com/manufacturer/onsemi?pageNo=722", "Onsemi")</f>
        <v>Onsemi</v>
      </c>
      <c r="C15551" s="6">
        <v>3470</v>
      </c>
      <c r="D15551" s="7">
        <v>4.0599999999999996</v>
      </c>
      <c r="E15551" t="s">
        <v>8</v>
      </c>
    </row>
    <row r="15552" spans="1:5" x14ac:dyDescent="0.25">
      <c r="A15552" t="str">
        <f>HYPERLINK("https://www.773grp.com/globalSearch/NCP5106APG/page-1", "NCP5106APG")</f>
        <v>NCP5106APG</v>
      </c>
      <c r="B15552" s="3" t="str">
        <f>HYPERLINK("https://www.773grp.com/manufacturer/onsemi?pageNo=723", "Onsemi")</f>
        <v>Onsemi</v>
      </c>
      <c r="C15552" s="6">
        <v>8727</v>
      </c>
      <c r="D15552" s="7">
        <v>4.0599999999999996</v>
      </c>
      <c r="E15552" t="s">
        <v>8</v>
      </c>
    </row>
    <row r="15553" spans="1:5" x14ac:dyDescent="0.25">
      <c r="A15553" t="str">
        <f>HYPERLINK("https://www.773grp.com/globalSearch/NCP5106BPG/page-1", "NCP5106BPG")</f>
        <v>NCP5106BPG</v>
      </c>
      <c r="B15553" s="3" t="str">
        <f>HYPERLINK("https://www.773grp.com/manufacturer/onsemi?pageNo=724", "Onsemi")</f>
        <v>Onsemi</v>
      </c>
      <c r="C15553" s="6">
        <v>1566</v>
      </c>
      <c r="D15553" s="7">
        <v>4.0599999999999996</v>
      </c>
      <c r="E15553" t="s">
        <v>8</v>
      </c>
    </row>
    <row r="15554" spans="1:5" x14ac:dyDescent="0.25">
      <c r="A15554" t="str">
        <f>HYPERLINK("https://www.773grp.com/globalSearch/NCP5111PG/page-1", "NCP5111PG")</f>
        <v>NCP5111PG</v>
      </c>
      <c r="B15554" s="3" t="str">
        <f>HYPERLINK("https://www.773grp.com/manufacturer/onsemi?pageNo=725", "Onsemi")</f>
        <v>Onsemi</v>
      </c>
      <c r="C15554" s="6">
        <v>10316</v>
      </c>
      <c r="D15554" s="7">
        <v>4.0599999999999996</v>
      </c>
      <c r="E15554" t="s">
        <v>8</v>
      </c>
    </row>
    <row r="15555" spans="1:5" x14ac:dyDescent="0.25">
      <c r="A15555" t="str">
        <f>HYPERLINK("https://www.773grp.com/globalSearch/NCP5304PG/page-1", "NCP5304PG")</f>
        <v>NCP5304PG</v>
      </c>
      <c r="B15555" s="3" t="str">
        <f>HYPERLINK("https://www.773grp.com/manufacturer/onsemi?pageNo=726", "Onsemi")</f>
        <v>Onsemi</v>
      </c>
      <c r="C15555" s="6">
        <v>3302</v>
      </c>
      <c r="D15555" s="7">
        <v>4.0599999999999996</v>
      </c>
      <c r="E15555" t="s">
        <v>8</v>
      </c>
    </row>
    <row r="15556" spans="1:5" x14ac:dyDescent="0.25">
      <c r="A15556" t="str">
        <f>HYPERLINK("https://www.773grp.com/globalSearch/NCV1124DG/page-1", "NCV1124DG")</f>
        <v>NCV1124DG</v>
      </c>
      <c r="B15556" s="3" t="str">
        <f>HYPERLINK("https://www.773grp.com/manufacturer/onsemi?pageNo=727", "Onsemi")</f>
        <v>Onsemi</v>
      </c>
      <c r="C15556" s="6">
        <v>980</v>
      </c>
      <c r="D15556" s="7">
        <v>4.0599999999999996</v>
      </c>
    </row>
    <row r="15557" spans="1:5" x14ac:dyDescent="0.25">
      <c r="A15557" t="str">
        <f>HYPERLINK("https://www.773grp.com/globalSearch/NCV1124DR2G/page-1", "NCV1124DR2G")</f>
        <v>NCV1124DR2G</v>
      </c>
      <c r="B15557" s="3" t="str">
        <f>HYPERLINK("https://www.773grp.com/manufacturer/onsemi?pageNo=728", "Onsemi")</f>
        <v>Onsemi</v>
      </c>
      <c r="C15557" s="6">
        <v>92500</v>
      </c>
      <c r="D15557" s="7">
        <v>4.0599999999999996</v>
      </c>
    </row>
    <row r="15558" spans="1:5" x14ac:dyDescent="0.25">
      <c r="A15558" t="str">
        <f>HYPERLINK("https://www.773grp.com/globalSearch/LM2575TV-012/page-1", "LM2575TV-012")</f>
        <v>LM2575TV-012</v>
      </c>
      <c r="B15558" s="3" t="str">
        <f>HYPERLINK("https://www.773grp.com/manufacturer/onsemi?pageNo=729", "Onsemi")</f>
        <v>Onsemi</v>
      </c>
      <c r="C15558" s="6">
        <v>50</v>
      </c>
      <c r="D15558" s="7">
        <v>3.68</v>
      </c>
      <c r="E15558" t="s">
        <v>5</v>
      </c>
    </row>
    <row r="15559" spans="1:5" x14ac:dyDescent="0.25">
      <c r="A15559" t="str">
        <f>HYPERLINK("https://www.773grp.com/globalSearch/MJW1302AG/page-1", "MJW1302AG")</f>
        <v>MJW1302AG</v>
      </c>
      <c r="B15559" s="3" t="str">
        <f>HYPERLINK("https://www.773grp.com/manufacturer/onsemi?pageNo=730", "Onsemi")</f>
        <v>Onsemi</v>
      </c>
      <c r="C15559" s="6">
        <v>2338</v>
      </c>
      <c r="D15559" s="7">
        <v>3.68</v>
      </c>
      <c r="E15559" t="s">
        <v>47</v>
      </c>
    </row>
    <row r="15560" spans="1:5" x14ac:dyDescent="0.25">
      <c r="A15560" t="str">
        <f>HYPERLINK("https://www.773grp.com/globalSearch/MJW3281AG/page-1", "MJW3281AG")</f>
        <v>MJW3281AG</v>
      </c>
      <c r="B15560" s="3" t="str">
        <f>HYPERLINK("https://www.773grp.com/manufacturer/onsemi?pageNo=731", "Onsemi")</f>
        <v>Onsemi</v>
      </c>
      <c r="C15560" s="6">
        <v>8420</v>
      </c>
      <c r="D15560" s="7">
        <v>3.68</v>
      </c>
      <c r="E15560" t="s">
        <v>47</v>
      </c>
    </row>
    <row r="15561" spans="1:5" x14ac:dyDescent="0.25">
      <c r="A15561" t="str">
        <f>HYPERLINK("https://www.773grp.com/globalSearch/NCV87725D7S50R4G/page-1", "NCV87725D7S50R4G")</f>
        <v>NCV87725D7S50R4G</v>
      </c>
      <c r="B15561" s="3" t="str">
        <f>HYPERLINK("https://www.773grp.com/manufacturer/onsemi?pageNo=732", "Onsemi")</f>
        <v>Onsemi</v>
      </c>
      <c r="C15561" s="6">
        <v>750</v>
      </c>
      <c r="D15561" s="7">
        <v>3.68</v>
      </c>
    </row>
    <row r="15562" spans="1:5" x14ac:dyDescent="0.25">
      <c r="A15562" t="str">
        <f>HYPERLINK("https://www.773grp.com/globalSearch/CS8183YDWFR20/page-1", "CS8183YDWFR20")</f>
        <v>CS8183YDWFR20</v>
      </c>
      <c r="B15562" s="3" t="str">
        <f>HYPERLINK("https://www.773grp.com/manufacturer/onsemi?pageNo=733", "Onsemi")</f>
        <v>Onsemi</v>
      </c>
      <c r="C15562" s="6">
        <v>1982</v>
      </c>
      <c r="D15562" s="7">
        <v>3.71</v>
      </c>
      <c r="E15562" t="s">
        <v>95</v>
      </c>
    </row>
    <row r="15563" spans="1:5" x14ac:dyDescent="0.25">
      <c r="A15563" t="str">
        <f>HYPERLINK("https://www.773grp.com/globalSearch/LV8743V-TLM-E/page-1", "LV8743V-TLM-E")</f>
        <v>LV8743V-TLM-E</v>
      </c>
      <c r="B15563" s="3" t="str">
        <f>HYPERLINK("https://www.773grp.com/manufacturer/onsemi?pageNo=734", "Onsemi")</f>
        <v>Onsemi</v>
      </c>
      <c r="C15563" s="6">
        <v>2000</v>
      </c>
      <c r="D15563" s="7">
        <v>3.71</v>
      </c>
    </row>
    <row r="15564" spans="1:5" x14ac:dyDescent="0.25">
      <c r="A15564" t="str">
        <f>HYPERLINK("https://www.773grp.com/globalSearch/NCP5322ADWR2/page-1", "NCP5322ADWR2")</f>
        <v>NCP5322ADWR2</v>
      </c>
      <c r="B15564" s="3" t="str">
        <f>HYPERLINK("https://www.773grp.com/manufacturer/onsemi?pageNo=735", "Onsemi")</f>
        <v>Onsemi</v>
      </c>
      <c r="C15564" s="6">
        <v>2000</v>
      </c>
      <c r="D15564" s="7">
        <v>3.71</v>
      </c>
      <c r="E15564" t="s">
        <v>5</v>
      </c>
    </row>
    <row r="15565" spans="1:5" x14ac:dyDescent="0.25">
      <c r="A15565" t="str">
        <f>HYPERLINK("https://www.773grp.com/globalSearch/NGTB25N120LWG/page-1", "NGTB25N120LWG")</f>
        <v>NGTB25N120LWG</v>
      </c>
      <c r="B15565" s="3" t="str">
        <f>HYPERLINK("https://www.773grp.com/manufacturer/onsemi?pageNo=736", "Onsemi")</f>
        <v>Onsemi</v>
      </c>
      <c r="C15565" s="6">
        <v>840</v>
      </c>
      <c r="D15565" s="7">
        <v>3.71</v>
      </c>
    </row>
    <row r="15566" spans="1:5" x14ac:dyDescent="0.25">
      <c r="A15566" t="str">
        <f>HYPERLINK("https://www.773grp.com/globalSearch/CAT3604AHV4-T2/page-1", "CAT3604AHV4-T2")</f>
        <v>CAT3604AHV4-T2</v>
      </c>
      <c r="B15566" s="3" t="str">
        <f>HYPERLINK("https://www.773grp.com/manufacturer/onsemi?pageNo=737", "Onsemi")</f>
        <v>Onsemi</v>
      </c>
      <c r="C15566" s="6">
        <v>2091</v>
      </c>
      <c r="D15566" s="7">
        <v>4.1100000000000003</v>
      </c>
    </row>
    <row r="15567" spans="1:5" x14ac:dyDescent="0.25">
      <c r="A15567" t="str">
        <f>HYPERLINK("https://www.773grp.com/globalSearch/CS52843EDR14/page-1", "CS52843EDR14")</f>
        <v>CS52843EDR14</v>
      </c>
      <c r="B15567" s="3" t="str">
        <f>HYPERLINK("https://www.773grp.com/manufacturer/onsemi?pageNo=738", "Onsemi")</f>
        <v>Onsemi</v>
      </c>
      <c r="C15567" s="6">
        <v>5000</v>
      </c>
      <c r="D15567" s="7">
        <v>4.1100000000000003</v>
      </c>
      <c r="E15567" t="s">
        <v>5</v>
      </c>
    </row>
    <row r="15568" spans="1:5" x14ac:dyDescent="0.25">
      <c r="A15568" t="str">
        <f>HYPERLINK("https://www.773grp.com/globalSearch/LA6565VR-TLM-E/page-1", "LA6565VR-TLM-E")</f>
        <v>LA6565VR-TLM-E</v>
      </c>
      <c r="B15568" s="3" t="str">
        <f>HYPERLINK("https://www.773grp.com/manufacturer/onsemi?pageNo=739", "Onsemi")</f>
        <v>Onsemi</v>
      </c>
      <c r="C15568" s="6">
        <v>8000</v>
      </c>
      <c r="D15568" s="7">
        <v>4.1100000000000003</v>
      </c>
    </row>
    <row r="15569" spans="1:5" x14ac:dyDescent="0.25">
      <c r="A15569" t="str">
        <f>HYPERLINK("https://www.773grp.com/globalSearch/MBR20H150CTG/page-1", "MBR20H150CTG")</f>
        <v>MBR20H150CTG</v>
      </c>
      <c r="B15569" s="3" t="str">
        <f>HYPERLINK("https://www.773grp.com/manufacturer/onsemi?pageNo=740", "Onsemi")</f>
        <v>Onsemi</v>
      </c>
      <c r="C15569" s="6">
        <v>29195</v>
      </c>
      <c r="D15569" s="7">
        <v>4.1100000000000003</v>
      </c>
      <c r="E15569" t="s">
        <v>82</v>
      </c>
    </row>
    <row r="15570" spans="1:5" x14ac:dyDescent="0.25">
      <c r="A15570" t="str">
        <f>HYPERLINK("https://www.773grp.com/globalSearch/MBR20H150CTH/page-1", "MBR20H150CTH")</f>
        <v>MBR20H150CTH</v>
      </c>
      <c r="B15570" s="3" t="str">
        <f>HYPERLINK("https://www.773grp.com/manufacturer/onsemi?pageNo=741", "Onsemi")</f>
        <v>Onsemi</v>
      </c>
      <c r="C15570" s="6">
        <v>77000</v>
      </c>
      <c r="D15570" s="7">
        <v>4.1100000000000003</v>
      </c>
    </row>
    <row r="15571" spans="1:5" x14ac:dyDescent="0.25">
      <c r="A15571" t="str">
        <f>HYPERLINK("https://www.773grp.com/globalSearch/MBRF2545CTG/page-1", "MBRF2545CTG")</f>
        <v>MBRF2545CTG</v>
      </c>
      <c r="B15571" s="3" t="str">
        <f>HYPERLINK("https://www.773grp.com/manufacturer/onsemi?pageNo=742", "Onsemi")</f>
        <v>Onsemi</v>
      </c>
      <c r="C15571" s="6">
        <v>183250</v>
      </c>
      <c r="D15571" s="7">
        <v>4.1100000000000003</v>
      </c>
      <c r="E15571" t="s">
        <v>82</v>
      </c>
    </row>
    <row r="15572" spans="1:5" x14ac:dyDescent="0.25">
      <c r="A15572" t="str">
        <f>HYPERLINK("https://www.773grp.com/globalSearch/MC33232DG/page-1", "MC33232DG")</f>
        <v>MC33232DG</v>
      </c>
      <c r="B15572" s="3" t="str">
        <f>HYPERLINK("https://www.773grp.com/manufacturer/onsemi?pageNo=743", "Onsemi")</f>
        <v>Onsemi</v>
      </c>
      <c r="C15572" s="6">
        <v>14449</v>
      </c>
      <c r="D15572" s="7">
        <v>4.1100000000000003</v>
      </c>
      <c r="E15572" t="s">
        <v>5</v>
      </c>
    </row>
    <row r="15573" spans="1:5" x14ac:dyDescent="0.25">
      <c r="A15573" t="str">
        <f>HYPERLINK("https://www.773grp.com/globalSearch/MC33232DR2G/page-1", "MC33232DR2G")</f>
        <v>MC33232DR2G</v>
      </c>
      <c r="B15573" s="3" t="str">
        <f>HYPERLINK("https://www.773grp.com/manufacturer/onsemi?pageNo=744", "Onsemi")</f>
        <v>Onsemi</v>
      </c>
      <c r="C15573" s="6">
        <v>12787</v>
      </c>
      <c r="D15573" s="7">
        <v>4.1100000000000003</v>
      </c>
      <c r="E15573" t="s">
        <v>5</v>
      </c>
    </row>
    <row r="15574" spans="1:5" x14ac:dyDescent="0.25">
      <c r="A15574" t="str">
        <f>HYPERLINK("https://www.773grp.com/globalSearch/MC33232PG/page-1", "MC33232PG")</f>
        <v>MC33232PG</v>
      </c>
      <c r="B15574" s="3" t="str">
        <f>HYPERLINK("https://www.773grp.com/manufacturer/onsemi?pageNo=745", "Onsemi")</f>
        <v>Onsemi</v>
      </c>
      <c r="C15574" s="6">
        <v>5727</v>
      </c>
      <c r="D15574" s="7">
        <v>4.1100000000000003</v>
      </c>
      <c r="E15574" t="s">
        <v>5</v>
      </c>
    </row>
    <row r="15575" spans="1:5" x14ac:dyDescent="0.25">
      <c r="A15575" t="str">
        <f>HYPERLINK("https://www.773grp.com/globalSearch/MC33260PG/page-1", "MC33260PG")</f>
        <v>MC33260PG</v>
      </c>
      <c r="B15575" s="3" t="str">
        <f>HYPERLINK("https://www.773grp.com/manufacturer/onsemi?pageNo=746", "Onsemi")</f>
        <v>Onsemi</v>
      </c>
      <c r="C15575" s="6">
        <v>751</v>
      </c>
      <c r="D15575" s="7">
        <v>4.1100000000000003</v>
      </c>
      <c r="E15575" t="s">
        <v>5</v>
      </c>
    </row>
    <row r="15576" spans="1:5" x14ac:dyDescent="0.25">
      <c r="A15576" t="str">
        <f>HYPERLINK("https://www.773grp.com/globalSearch/MC74AC4020N/page-1", "MC74AC4020N")</f>
        <v>MC74AC4020N</v>
      </c>
      <c r="B15576" s="3" t="str">
        <f>HYPERLINK("https://www.773grp.com/manufacturer/onsemi?pageNo=747", "Onsemi")</f>
        <v>Onsemi</v>
      </c>
      <c r="C15576" s="6">
        <v>130</v>
      </c>
      <c r="D15576" s="7">
        <v>4.1100000000000003</v>
      </c>
      <c r="E15576" t="s">
        <v>22</v>
      </c>
    </row>
    <row r="15577" spans="1:5" x14ac:dyDescent="0.25">
      <c r="A15577" t="str">
        <f>HYPERLINK("https://www.773grp.com/globalSearch/MC74ACT640MELG/page-1", "MC74ACT640MELG")</f>
        <v>MC74ACT640MELG</v>
      </c>
      <c r="B15577" s="3" t="str">
        <f>HYPERLINK("https://www.773grp.com/manufacturer/onsemi?pageNo=748", "Onsemi")</f>
        <v>Onsemi</v>
      </c>
      <c r="C15577" s="6">
        <v>11670</v>
      </c>
      <c r="D15577" s="7">
        <v>4.1100000000000003</v>
      </c>
      <c r="E15577" t="s">
        <v>11</v>
      </c>
    </row>
    <row r="15578" spans="1:5" x14ac:dyDescent="0.25">
      <c r="A15578" t="str">
        <f>HYPERLINK("https://www.773grp.com/globalSearch/MC74ACT640NG/page-1", "MC74ACT640NG")</f>
        <v>MC74ACT640NG</v>
      </c>
      <c r="B15578" s="3" t="str">
        <f>HYPERLINK("https://www.773grp.com/manufacturer/onsemi?pageNo=749", "Onsemi")</f>
        <v>Onsemi</v>
      </c>
      <c r="C15578" s="6">
        <v>2775</v>
      </c>
      <c r="D15578" s="7">
        <v>4.1100000000000003</v>
      </c>
      <c r="E15578" t="s">
        <v>11</v>
      </c>
    </row>
    <row r="15579" spans="1:5" x14ac:dyDescent="0.25">
      <c r="A15579" t="str">
        <f>HYPERLINK("https://www.773grp.com/globalSearch/MJW21193/page-1", "MJW21193")</f>
        <v>MJW21193</v>
      </c>
      <c r="B15579" s="3" t="str">
        <f>HYPERLINK("https://www.773grp.com/manufacturer/onsemi?pageNo=750", "Onsemi")</f>
        <v>Onsemi</v>
      </c>
      <c r="C15579" s="6">
        <v>5228</v>
      </c>
      <c r="D15579" s="7">
        <v>4.1100000000000003</v>
      </c>
      <c r="E15579" t="s">
        <v>47</v>
      </c>
    </row>
    <row r="15580" spans="1:5" x14ac:dyDescent="0.25">
      <c r="A15580" t="str">
        <f>HYPERLINK("https://www.773grp.com/globalSearch/NCP1001T/page-1", "NCP1001T")</f>
        <v>NCP1001T</v>
      </c>
      <c r="B15580" s="3" t="str">
        <f>HYPERLINK("https://www.773grp.com/manufacturer/onsemi?pageNo=751", "Onsemi")</f>
        <v>Onsemi</v>
      </c>
      <c r="C15580" s="6">
        <v>50</v>
      </c>
      <c r="D15580" s="7">
        <v>4.1100000000000003</v>
      </c>
      <c r="E15580" t="s">
        <v>5</v>
      </c>
    </row>
    <row r="15581" spans="1:5" x14ac:dyDescent="0.25">
      <c r="A15581" t="str">
        <f>HYPERLINK("https://www.773grp.com/globalSearch/NCP5393AMNR2G/page-1", "NCP5393AMNR2G")</f>
        <v>NCP5393AMNR2G</v>
      </c>
      <c r="B15581" s="3" t="str">
        <f>HYPERLINK("https://www.773grp.com/manufacturer/onsemi?pageNo=752", "Onsemi")</f>
        <v>Onsemi</v>
      </c>
      <c r="C15581" s="6">
        <v>345</v>
      </c>
      <c r="D15581" s="7">
        <v>4.1100000000000003</v>
      </c>
    </row>
    <row r="15582" spans="1:5" x14ac:dyDescent="0.25">
      <c r="A15582" t="str">
        <f>HYPERLINK("https://www.773grp.com/globalSearch/NCP5393BMNR2G/page-1", "NCP5393BMNR2G")</f>
        <v>NCP5393BMNR2G</v>
      </c>
      <c r="B15582" s="3" t="str">
        <f>HYPERLINK("https://www.773grp.com/manufacturer/onsemi?pageNo=753", "Onsemi")</f>
        <v>Onsemi</v>
      </c>
      <c r="C15582" s="6">
        <v>95000</v>
      </c>
      <c r="D15582" s="7">
        <v>4.1100000000000003</v>
      </c>
      <c r="E15582" t="s">
        <v>5</v>
      </c>
    </row>
    <row r="15583" spans="1:5" x14ac:dyDescent="0.25">
      <c r="A15583" t="str">
        <f>HYPERLINK("https://www.773grp.com/globalSearch/NCP5393MNR2G/page-1", "NCP5393MNR2G")</f>
        <v>NCP5393MNR2G</v>
      </c>
      <c r="B15583" s="3" t="str">
        <f>HYPERLINK("https://www.773grp.com/manufacturer/onsemi?pageNo=754", "Onsemi")</f>
        <v>Onsemi</v>
      </c>
      <c r="C15583" s="6">
        <v>11341</v>
      </c>
      <c r="D15583" s="7">
        <v>4.1100000000000003</v>
      </c>
    </row>
    <row r="15584" spans="1:5" x14ac:dyDescent="0.25">
      <c r="A15584" t="str">
        <f>HYPERLINK("https://www.773grp.com/globalSearch/NCP6132MNR2G/page-1", "NCP6132MNR2G")</f>
        <v>NCP6132MNR2G</v>
      </c>
      <c r="B15584" s="3" t="str">
        <f>HYPERLINK("https://www.773grp.com/manufacturer/onsemi?pageNo=755", "Onsemi")</f>
        <v>Onsemi</v>
      </c>
      <c r="C15584" s="6">
        <v>25000</v>
      </c>
      <c r="D15584" s="7">
        <v>4.1100000000000003</v>
      </c>
    </row>
    <row r="15585" spans="1:5" x14ac:dyDescent="0.25">
      <c r="A15585" t="str">
        <f>HYPERLINK("https://www.773grp.com/globalSearch/NCP7662P/page-1", "NCP7662P")</f>
        <v>NCP7662P</v>
      </c>
      <c r="B15585" s="3" t="str">
        <f>HYPERLINK("https://www.773grp.com/manufacturer/onsemi?pageNo=756", "Onsemi")</f>
        <v>Onsemi</v>
      </c>
      <c r="C15585" s="6">
        <v>58376</v>
      </c>
      <c r="D15585" s="7">
        <v>4.1100000000000003</v>
      </c>
      <c r="E15585" t="s">
        <v>5</v>
      </c>
    </row>
    <row r="15586" spans="1:5" x14ac:dyDescent="0.25">
      <c r="A15586" t="str">
        <f>HYPERLINK("https://www.773grp.com/globalSearch/NCP81022MNTXG/page-1", "NCP81022MNTXG")</f>
        <v>NCP81022MNTXG</v>
      </c>
      <c r="B15586" s="3" t="str">
        <f>HYPERLINK("https://www.773grp.com/manufacturer/onsemi?pageNo=757", "Onsemi")</f>
        <v>Onsemi</v>
      </c>
      <c r="C15586" s="6">
        <v>2500</v>
      </c>
      <c r="D15586" s="7">
        <v>4.1100000000000003</v>
      </c>
    </row>
    <row r="15587" spans="1:5" x14ac:dyDescent="0.25">
      <c r="A15587" t="str">
        <f>HYPERLINK("https://www.773grp.com/globalSearch/NCS2530DTBG/page-1", "NCS2530DTBG")</f>
        <v>NCS2530DTBG</v>
      </c>
      <c r="B15587" s="3" t="str">
        <f>HYPERLINK("https://www.773grp.com/manufacturer/onsemi?pageNo=758", "Onsemi")</f>
        <v>Onsemi</v>
      </c>
      <c r="C15587" s="6">
        <v>1536</v>
      </c>
      <c r="D15587" s="7">
        <v>4.1100000000000003</v>
      </c>
      <c r="E15587" t="s">
        <v>14</v>
      </c>
    </row>
    <row r="15588" spans="1:5" x14ac:dyDescent="0.25">
      <c r="A15588" t="str">
        <f>HYPERLINK("https://www.773grp.com/globalSearch/NCS2535DTBG/page-1", "NCS2535DTBG")</f>
        <v>NCS2535DTBG</v>
      </c>
      <c r="B15588" s="3" t="str">
        <f>HYPERLINK("https://www.773grp.com/manufacturer/onsemi?pageNo=759", "Onsemi")</f>
        <v>Onsemi</v>
      </c>
      <c r="C15588" s="6">
        <v>1344</v>
      </c>
      <c r="D15588" s="7">
        <v>4.1100000000000003</v>
      </c>
      <c r="E15588" t="s">
        <v>14</v>
      </c>
    </row>
    <row r="15589" spans="1:5" x14ac:dyDescent="0.25">
      <c r="A15589" t="str">
        <f>HYPERLINK("https://www.773grp.com/globalSearch/NCV4276ADS50G/page-1", "NCV4276ADS50G")</f>
        <v>NCV4276ADS50G</v>
      </c>
      <c r="B15589" s="3" t="str">
        <f>HYPERLINK("https://www.773grp.com/manufacturer/onsemi?pageNo=760", "Onsemi")</f>
        <v>Onsemi</v>
      </c>
      <c r="C15589" s="6">
        <v>65335</v>
      </c>
      <c r="D15589" s="7">
        <v>4.1100000000000003</v>
      </c>
      <c r="E15589" t="s">
        <v>15</v>
      </c>
    </row>
    <row r="15590" spans="1:5" x14ac:dyDescent="0.25">
      <c r="A15590" t="str">
        <f>HYPERLINK("https://www.773grp.com/globalSearch/NCV4276ADS50R4G/page-1", "NCV4276ADS50R4G")</f>
        <v>NCV4276ADS50R4G</v>
      </c>
      <c r="B15590" s="3" t="str">
        <f>HYPERLINK("https://www.773grp.com/manufacturer/onsemi?pageNo=761", "Onsemi")</f>
        <v>Onsemi</v>
      </c>
      <c r="C15590" s="6">
        <v>871</v>
      </c>
      <c r="D15590" s="7">
        <v>4.1100000000000003</v>
      </c>
      <c r="E15590" t="s">
        <v>15</v>
      </c>
    </row>
    <row r="15591" spans="1:5" x14ac:dyDescent="0.25">
      <c r="A15591" t="str">
        <f>HYPERLINK("https://www.773grp.com/globalSearch/NCV4276ADSADJR4G/page-1", "NCV4276ADSADJR4G")</f>
        <v>NCV4276ADSADJR4G</v>
      </c>
      <c r="B15591" s="3" t="str">
        <f>HYPERLINK("https://www.773grp.com/manufacturer/onsemi?pageNo=762", "Onsemi")</f>
        <v>Onsemi</v>
      </c>
      <c r="C15591" s="6">
        <v>15</v>
      </c>
      <c r="D15591" s="7">
        <v>4.1100000000000003</v>
      </c>
      <c r="E15591" t="s">
        <v>21</v>
      </c>
    </row>
    <row r="15592" spans="1:5" x14ac:dyDescent="0.25">
      <c r="A15592" t="str">
        <f>HYPERLINK("https://www.773grp.com/globalSearch/NCV4276DS18G/page-1", "NCV4276DS18G")</f>
        <v>NCV4276DS18G</v>
      </c>
      <c r="B15592" s="3" t="str">
        <f>HYPERLINK("https://www.773grp.com/manufacturer/onsemi?pageNo=763", "Onsemi")</f>
        <v>Onsemi</v>
      </c>
      <c r="C15592" s="6">
        <v>2375</v>
      </c>
      <c r="D15592" s="7">
        <v>4.1100000000000003</v>
      </c>
      <c r="E15592" t="s">
        <v>15</v>
      </c>
    </row>
    <row r="15593" spans="1:5" x14ac:dyDescent="0.25">
      <c r="A15593" t="str">
        <f>HYPERLINK("https://www.773grp.com/globalSearch/NCV4276DS18R4G/page-1", "NCV4276DS18R4G")</f>
        <v>NCV4276DS18R4G</v>
      </c>
      <c r="B15593" s="3" t="str">
        <f>HYPERLINK("https://www.773grp.com/manufacturer/onsemi?pageNo=764", "Onsemi")</f>
        <v>Onsemi</v>
      </c>
      <c r="C15593" s="6">
        <v>3932</v>
      </c>
      <c r="D15593" s="7">
        <v>4.1100000000000003</v>
      </c>
      <c r="E15593" t="s">
        <v>15</v>
      </c>
    </row>
    <row r="15594" spans="1:5" x14ac:dyDescent="0.25">
      <c r="A15594" t="str">
        <f>HYPERLINK("https://www.773grp.com/globalSearch/NCV4276DS25R4G/page-1", "NCV4276DS25R4G")</f>
        <v>NCV4276DS25R4G</v>
      </c>
      <c r="B15594" s="3" t="str">
        <f>HYPERLINK("https://www.773grp.com/manufacturer/onsemi?pageNo=765", "Onsemi")</f>
        <v>Onsemi</v>
      </c>
      <c r="C15594" s="6">
        <v>6040</v>
      </c>
      <c r="D15594" s="7">
        <v>4.1100000000000003</v>
      </c>
      <c r="E15594" t="s">
        <v>15</v>
      </c>
    </row>
    <row r="15595" spans="1:5" x14ac:dyDescent="0.25">
      <c r="A15595" t="str">
        <f>HYPERLINK("https://www.773grp.com/globalSearch/NCV4276DS50G/page-1", "NCV4276DS50G")</f>
        <v>NCV4276DS50G</v>
      </c>
      <c r="B15595" s="3" t="str">
        <f>HYPERLINK("https://www.773grp.com/manufacturer/onsemi?pageNo=766", "Onsemi")</f>
        <v>Onsemi</v>
      </c>
      <c r="C15595" s="6">
        <v>1700</v>
      </c>
      <c r="D15595" s="7">
        <v>4.1100000000000003</v>
      </c>
      <c r="E15595" t="s">
        <v>15</v>
      </c>
    </row>
    <row r="15596" spans="1:5" x14ac:dyDescent="0.25">
      <c r="A15596" t="str">
        <f>HYPERLINK("https://www.773grp.com/globalSearch/NCV4276DS50R4G/page-1", "NCV4276DS50R4G")</f>
        <v>NCV4276DS50R4G</v>
      </c>
      <c r="B15596" s="3" t="str">
        <f>HYPERLINK("https://www.773grp.com/manufacturer/onsemi?pageNo=767", "Onsemi")</f>
        <v>Onsemi</v>
      </c>
      <c r="C15596" s="6">
        <v>1201</v>
      </c>
      <c r="D15596" s="7">
        <v>4.1100000000000003</v>
      </c>
      <c r="E15596" t="s">
        <v>15</v>
      </c>
    </row>
    <row r="15597" spans="1:5" x14ac:dyDescent="0.25">
      <c r="A15597" t="str">
        <f>HYPERLINK("https://www.773grp.com/globalSearch/NCV4276DSADJG/page-1", "NCV4276DSADJG")</f>
        <v>NCV4276DSADJG</v>
      </c>
      <c r="B15597" s="3" t="str">
        <f>HYPERLINK("https://www.773grp.com/manufacturer/onsemi?pageNo=768", "Onsemi")</f>
        <v>Onsemi</v>
      </c>
      <c r="C15597" s="6">
        <v>458</v>
      </c>
      <c r="D15597" s="7">
        <v>4.1100000000000003</v>
      </c>
      <c r="E15597" t="s">
        <v>21</v>
      </c>
    </row>
    <row r="15598" spans="1:5" x14ac:dyDescent="0.25">
      <c r="A15598" t="str">
        <f>HYPERLINK("https://www.773grp.com/globalSearch/NCV4276DSADJR4G/page-1", "NCV4276DSADJR4G")</f>
        <v>NCV4276DSADJR4G</v>
      </c>
      <c r="B15598" s="3" t="str">
        <f>HYPERLINK("https://www.773grp.com/manufacturer/onsemi?pageNo=769", "Onsemi")</f>
        <v>Onsemi</v>
      </c>
      <c r="C15598" s="6">
        <v>64197</v>
      </c>
      <c r="D15598" s="7">
        <v>4.1100000000000003</v>
      </c>
      <c r="E15598" t="s">
        <v>21</v>
      </c>
    </row>
    <row r="15599" spans="1:5" x14ac:dyDescent="0.25">
      <c r="A15599" t="str">
        <f>HYPERLINK("https://www.773grp.com/globalSearch/NTB8N50/page-1", "NTB8N50")</f>
        <v>NTB8N50</v>
      </c>
      <c r="B15599" s="3" t="str">
        <f>HYPERLINK("https://www.773grp.com/manufacturer/onsemi?pageNo=770", "Onsemi")</f>
        <v>Onsemi</v>
      </c>
      <c r="C15599" s="6">
        <v>4250</v>
      </c>
      <c r="D15599" s="7">
        <v>4.1100000000000003</v>
      </c>
      <c r="E15599" t="s">
        <v>84</v>
      </c>
    </row>
    <row r="15600" spans="1:5" x14ac:dyDescent="0.25">
      <c r="A15600" t="str">
        <f>HYPERLINK("https://www.773grp.com/globalSearch/NTP60N06LG/page-1", "NTP60N06LG")</f>
        <v>NTP60N06LG</v>
      </c>
      <c r="B15600" s="3" t="str">
        <f>HYPERLINK("https://www.773grp.com/manufacturer/onsemi?pageNo=771", "Onsemi")</f>
        <v>Onsemi</v>
      </c>
      <c r="C15600" s="6">
        <v>1812</v>
      </c>
      <c r="D15600" s="7">
        <v>4.1100000000000003</v>
      </c>
      <c r="E15600" t="s">
        <v>84</v>
      </c>
    </row>
    <row r="15601" spans="1:5" x14ac:dyDescent="0.25">
      <c r="A15601" t="str">
        <f>HYPERLINK("https://www.773grp.com/globalSearch/NTP6413ANG/page-1", "NTP6413ANG")</f>
        <v>NTP6413ANG</v>
      </c>
      <c r="B15601" s="3" t="str">
        <f>HYPERLINK("https://www.773grp.com/manufacturer/onsemi?pageNo=772", "Onsemi")</f>
        <v>Onsemi</v>
      </c>
      <c r="C15601" s="6">
        <v>4850</v>
      </c>
      <c r="D15601" s="7">
        <v>4.1100000000000003</v>
      </c>
    </row>
    <row r="15602" spans="1:5" x14ac:dyDescent="0.25">
      <c r="A15602" t="str">
        <f>HYPERLINK("https://www.773grp.com/globalSearch/ATP401-TL-H/page-1", "ATP401-TL-H")</f>
        <v>ATP401-TL-H</v>
      </c>
      <c r="B15602" s="3" t="str">
        <f>HYPERLINK("https://www.773grp.com/manufacturer/onsemi?pageNo=773", "Onsemi")</f>
        <v>Onsemi</v>
      </c>
      <c r="C15602" s="6">
        <v>3000</v>
      </c>
      <c r="D15602" s="7">
        <v>3.75</v>
      </c>
    </row>
    <row r="15603" spans="1:5" x14ac:dyDescent="0.25">
      <c r="A15603" t="str">
        <f>HYPERLINK("https://www.773grp.com/globalSearch/LV8712T-MPB-H/page-1", "LV8712T-MPB-H")</f>
        <v>LV8712T-MPB-H</v>
      </c>
      <c r="B15603" s="3" t="str">
        <f>HYPERLINK("https://www.773grp.com/manufacturer/onsemi?pageNo=774", "Onsemi")</f>
        <v>Onsemi</v>
      </c>
      <c r="C15603" s="6">
        <v>70</v>
      </c>
      <c r="D15603" s="7">
        <v>3.75</v>
      </c>
    </row>
    <row r="15604" spans="1:5" x14ac:dyDescent="0.25">
      <c r="A15604" t="str">
        <f>HYPERLINK("https://www.773grp.com/globalSearch/MC10114FN/page-1", "MC10114FN")</f>
        <v>MC10114FN</v>
      </c>
      <c r="B15604" s="3" t="str">
        <f>HYPERLINK("https://www.773grp.com/manufacturer/onsemi?pageNo=775", "Onsemi")</f>
        <v>Onsemi</v>
      </c>
      <c r="C15604" s="6">
        <v>853</v>
      </c>
      <c r="D15604" s="7">
        <v>3.75</v>
      </c>
      <c r="E15604" t="s">
        <v>17</v>
      </c>
    </row>
    <row r="15605" spans="1:5" x14ac:dyDescent="0.25">
      <c r="A15605" t="str">
        <f>HYPERLINK("https://www.773grp.com/globalSearch/MC1066DBR2/page-1", "MC1066DBR2")</f>
        <v>MC1066DBR2</v>
      </c>
      <c r="B15605" s="3" t="str">
        <f>HYPERLINK("https://www.773grp.com/manufacturer/onsemi?pageNo=776", "Onsemi")</f>
        <v>Onsemi</v>
      </c>
      <c r="C15605" s="6">
        <v>10000</v>
      </c>
      <c r="D15605" s="7">
        <v>3.75</v>
      </c>
      <c r="E15605" t="s">
        <v>9</v>
      </c>
    </row>
    <row r="15606" spans="1:5" x14ac:dyDescent="0.25">
      <c r="A15606" t="str">
        <f>HYPERLINK("https://www.773grp.com/globalSearch/MC44605PG/page-1", "MC44605PG")</f>
        <v>MC44605PG</v>
      </c>
      <c r="B15606" s="3" t="str">
        <f>HYPERLINK("https://www.773grp.com/manufacturer/onsemi?pageNo=777", "Onsemi")</f>
        <v>Onsemi</v>
      </c>
      <c r="C15606" s="6">
        <v>725</v>
      </c>
      <c r="D15606" s="7">
        <v>3.75</v>
      </c>
      <c r="E15606" t="s">
        <v>5</v>
      </c>
    </row>
    <row r="15607" spans="1:5" x14ac:dyDescent="0.25">
      <c r="A15607" t="str">
        <f>HYPERLINK("https://www.773grp.com/globalSearch/SJ84140/page-1", "SJ84140")</f>
        <v>SJ84140</v>
      </c>
      <c r="B15607" s="3" t="str">
        <f>HYPERLINK("https://www.773grp.com/manufacturer/onsemi?pageNo=778", "Onsemi")</f>
        <v>Onsemi</v>
      </c>
      <c r="C15607" s="6">
        <v>300</v>
      </c>
      <c r="D15607" s="7">
        <v>3.75</v>
      </c>
    </row>
    <row r="15608" spans="1:5" x14ac:dyDescent="0.25">
      <c r="A15608" t="str">
        <f>HYPERLINK("https://www.773grp.com/globalSearch/2SK4197LS/page-1", "2SK4197LS")</f>
        <v>2SK4197LS</v>
      </c>
      <c r="B15608" s="3" t="str">
        <f>HYPERLINK("https://www.773grp.com/manufacturer/onsemi?pageNo=779", "Onsemi")</f>
        <v>Onsemi</v>
      </c>
      <c r="C15608" s="6">
        <v>100</v>
      </c>
      <c r="D15608" s="7">
        <v>4.16</v>
      </c>
    </row>
    <row r="15609" spans="1:5" x14ac:dyDescent="0.25">
      <c r="A15609" t="str">
        <f>HYPERLINK("https://www.773grp.com/globalSearch/CAT5119TBI-00GT3/page-1", "CAT5119TBI-00GT3")</f>
        <v>CAT5119TBI-00GT3</v>
      </c>
      <c r="B15609" s="3" t="str">
        <f>HYPERLINK("https://www.773grp.com/manufacturer/onsemi?pageNo=780", "Onsemi")</f>
        <v>Onsemi</v>
      </c>
      <c r="C15609" s="6">
        <v>3000</v>
      </c>
      <c r="D15609" s="7">
        <v>4.16</v>
      </c>
    </row>
    <row r="15610" spans="1:5" x14ac:dyDescent="0.25">
      <c r="A15610" t="str">
        <f>HYPERLINK("https://www.773grp.com/globalSearch/CAT5119TBI-50GT3/page-1", "CAT5119TBI-50GT3")</f>
        <v>CAT5119TBI-50GT3</v>
      </c>
      <c r="B15610" s="3" t="str">
        <f>HYPERLINK("https://www.773grp.com/manufacturer/onsemi?pageNo=781", "Onsemi")</f>
        <v>Onsemi</v>
      </c>
      <c r="C15610" s="6">
        <v>12000</v>
      </c>
      <c r="D15610" s="7">
        <v>4.16</v>
      </c>
      <c r="E15610" t="s">
        <v>78</v>
      </c>
    </row>
    <row r="15611" spans="1:5" x14ac:dyDescent="0.25">
      <c r="A15611" t="str">
        <f>HYPERLINK("https://www.773grp.com/globalSearch/LV49821VH-MPB-H/page-1", "LV49821VH-MPB-H")</f>
        <v>LV49821VH-MPB-H</v>
      </c>
      <c r="B15611" s="3" t="str">
        <f>HYPERLINK("https://www.773grp.com/manufacturer/onsemi?pageNo=782", "Onsemi")</f>
        <v>Onsemi</v>
      </c>
      <c r="C15611" s="6">
        <v>450</v>
      </c>
      <c r="D15611" s="7">
        <v>4.16</v>
      </c>
    </row>
    <row r="15612" spans="1:5" x14ac:dyDescent="0.25">
      <c r="A15612" t="str">
        <f>HYPERLINK("https://www.773grp.com/globalSearch/MC33151PG/page-1", "MC33151PG")</f>
        <v>MC33151PG</v>
      </c>
      <c r="B15612" s="3" t="str">
        <f>HYPERLINK("https://www.773grp.com/manufacturer/onsemi?pageNo=783", "Onsemi")</f>
        <v>Onsemi</v>
      </c>
      <c r="C15612" s="6">
        <v>951</v>
      </c>
      <c r="D15612" s="7">
        <v>4.16</v>
      </c>
      <c r="E15612" t="s">
        <v>12</v>
      </c>
    </row>
    <row r="15613" spans="1:5" x14ac:dyDescent="0.25">
      <c r="A15613" t="str">
        <f>HYPERLINK("https://www.773grp.com/globalSearch/NCP1381DR2G/page-1", "NCP1381DR2G")</f>
        <v>NCP1381DR2G</v>
      </c>
      <c r="B15613" s="3" t="str">
        <f>HYPERLINK("https://www.773grp.com/manufacturer/onsemi?pageNo=784", "Onsemi")</f>
        <v>Onsemi</v>
      </c>
      <c r="C15613" s="6">
        <v>52633</v>
      </c>
      <c r="D15613" s="7">
        <v>4.16</v>
      </c>
      <c r="E15613" t="s">
        <v>5</v>
      </c>
    </row>
    <row r="15614" spans="1:5" x14ac:dyDescent="0.25">
      <c r="A15614" t="str">
        <f>HYPERLINK("https://www.773grp.com/globalSearch/NCP4429P/page-1", "NCP4429P")</f>
        <v>NCP4429P</v>
      </c>
      <c r="B15614" s="3" t="str">
        <f>HYPERLINK("https://www.773grp.com/manufacturer/onsemi?pageNo=785", "Onsemi")</f>
        <v>Onsemi</v>
      </c>
      <c r="C15614" s="6">
        <v>27685</v>
      </c>
      <c r="D15614" s="7">
        <v>4.16</v>
      </c>
      <c r="E15614" t="s">
        <v>12</v>
      </c>
    </row>
    <row r="15615" spans="1:5" x14ac:dyDescent="0.25">
      <c r="A15615" t="str">
        <f>HYPERLINK("https://www.773grp.com/globalSearch/NTP6N60/page-1", "NTP6N60")</f>
        <v>NTP6N60</v>
      </c>
      <c r="B15615" s="3" t="str">
        <f>HYPERLINK("https://www.773grp.com/manufacturer/onsemi?pageNo=786", "Onsemi")</f>
        <v>Onsemi</v>
      </c>
      <c r="C15615" s="6">
        <v>165274</v>
      </c>
      <c r="D15615" s="7">
        <v>4.16</v>
      </c>
      <c r="E15615" t="s">
        <v>84</v>
      </c>
    </row>
    <row r="15616" spans="1:5" x14ac:dyDescent="0.25">
      <c r="A15616" t="str">
        <f>HYPERLINK("https://www.773grp.com/globalSearch/STB60N06HDT4/page-1", "STB60N06HDT4")</f>
        <v>STB60N06HDT4</v>
      </c>
      <c r="B15616" s="3" t="str">
        <f>HYPERLINK("https://www.773grp.com/manufacturer/onsemi?pageNo=787", "Onsemi")</f>
        <v>Onsemi</v>
      </c>
      <c r="C15616" s="6">
        <v>14400</v>
      </c>
      <c r="D15616" s="7">
        <v>4.16</v>
      </c>
    </row>
    <row r="15617" spans="1:5" x14ac:dyDescent="0.25">
      <c r="A15617" t="str">
        <f>HYPERLINK("https://www.773grp.com/globalSearch/MC10H121PG/page-1", "MC10H121PG")</f>
        <v>MC10H121PG</v>
      </c>
      <c r="B15617" s="3" t="str">
        <f>HYPERLINK("https://www.773grp.com/manufacturer/onsemi?pageNo=788", "Onsemi")</f>
        <v>Onsemi</v>
      </c>
      <c r="C15617" s="6">
        <v>5050</v>
      </c>
      <c r="D15617" s="7">
        <v>3.76</v>
      </c>
      <c r="E15617" t="s">
        <v>27</v>
      </c>
    </row>
    <row r="15618" spans="1:5" x14ac:dyDescent="0.25">
      <c r="A15618" t="str">
        <f>HYPERLINK("https://www.773grp.com/globalSearch/NCV33163DWR2G/page-1", "NCV33163DWR2G")</f>
        <v>NCV33163DWR2G</v>
      </c>
      <c r="B15618" s="3" t="str">
        <f>HYPERLINK("https://www.773grp.com/manufacturer/onsemi?pageNo=789", "Onsemi")</f>
        <v>Onsemi</v>
      </c>
      <c r="C15618" s="6">
        <v>12423</v>
      </c>
      <c r="D15618" s="7">
        <v>3.76</v>
      </c>
      <c r="E15618" t="s">
        <v>5</v>
      </c>
    </row>
    <row r="15619" spans="1:5" x14ac:dyDescent="0.25">
      <c r="A15619" t="str">
        <f>HYPERLINK("https://www.773grp.com/globalSearch/NCV33163PG/page-1", "NCV33163PG")</f>
        <v>NCV33163PG</v>
      </c>
      <c r="B15619" s="3" t="str">
        <f>HYPERLINK("https://www.773grp.com/manufacturer/onsemi?pageNo=790", "Onsemi")</f>
        <v>Onsemi</v>
      </c>
      <c r="C15619" s="6">
        <v>3905</v>
      </c>
      <c r="D15619" s="7">
        <v>3.76</v>
      </c>
      <c r="E15619" t="s">
        <v>5</v>
      </c>
    </row>
    <row r="15620" spans="1:5" x14ac:dyDescent="0.25">
      <c r="A15620" t="str">
        <f>HYPERLINK("https://www.773grp.com/globalSearch/ADP3207AJCPZ-RL/page-1", "ADP3207AJCPZ-RL")</f>
        <v>ADP3207AJCPZ-RL</v>
      </c>
      <c r="B15620" s="3" t="str">
        <f>HYPERLINK("https://www.773grp.com/manufacturer/onsemi?pageNo=791", "Onsemi")</f>
        <v>Onsemi</v>
      </c>
      <c r="C15620" s="6">
        <v>174</v>
      </c>
      <c r="D15620" s="7">
        <v>3.8</v>
      </c>
    </row>
    <row r="15621" spans="1:5" x14ac:dyDescent="0.25">
      <c r="A15621" t="str">
        <f>HYPERLINK("https://www.773grp.com/globalSearch/CAT5113VI-00-G/page-1", "CAT5113VI-00-G")</f>
        <v>CAT5113VI-00-G</v>
      </c>
      <c r="B15621" s="3" t="str">
        <f>HYPERLINK("https://www.773grp.com/manufacturer/onsemi?pageNo=792", "Onsemi")</f>
        <v>Onsemi</v>
      </c>
      <c r="C15621" s="6">
        <v>1380</v>
      </c>
      <c r="D15621" s="7">
        <v>3.8</v>
      </c>
      <c r="E15621" t="s">
        <v>78</v>
      </c>
    </row>
    <row r="15622" spans="1:5" x14ac:dyDescent="0.25">
      <c r="A15622" t="str">
        <f>HYPERLINK("https://www.773grp.com/globalSearch/CAT5113VI-10-GT3/page-1", "CAT5113VI-10-GT3")</f>
        <v>CAT5113VI-10-GT3</v>
      </c>
      <c r="B15622" s="3" t="str">
        <f>HYPERLINK("https://www.773grp.com/manufacturer/onsemi?pageNo=793", "Onsemi")</f>
        <v>Onsemi</v>
      </c>
      <c r="C15622" s="6">
        <v>5850</v>
      </c>
      <c r="D15622" s="7">
        <v>3.8</v>
      </c>
    </row>
    <row r="15623" spans="1:5" x14ac:dyDescent="0.25">
      <c r="A15623" t="str">
        <f>HYPERLINK("https://www.773grp.com/globalSearch/CAT5113VI50/page-1", "CAT5113VI50")</f>
        <v>CAT5113VI50</v>
      </c>
      <c r="B15623" s="3" t="str">
        <f>HYPERLINK("https://www.773grp.com/manufacturer/onsemi?pageNo=794", "Onsemi")</f>
        <v>Onsemi</v>
      </c>
      <c r="C15623" s="6">
        <v>300</v>
      </c>
      <c r="D15623" s="7">
        <v>3.8</v>
      </c>
      <c r="E15623" t="s">
        <v>78</v>
      </c>
    </row>
    <row r="15624" spans="1:5" x14ac:dyDescent="0.25">
      <c r="A15624" t="str">
        <f>HYPERLINK("https://www.773grp.com/globalSearch/CAT5113YI-00-G/page-1", "CAT5113YI-00-G")</f>
        <v>CAT5113YI-00-G</v>
      </c>
      <c r="B15624" s="3" t="str">
        <f>HYPERLINK("https://www.773grp.com/manufacturer/onsemi?pageNo=795", "Onsemi")</f>
        <v>Onsemi</v>
      </c>
      <c r="C15624" s="6">
        <v>3000</v>
      </c>
      <c r="D15624" s="7">
        <v>3.8</v>
      </c>
      <c r="E15624" t="s">
        <v>78</v>
      </c>
    </row>
    <row r="15625" spans="1:5" x14ac:dyDescent="0.25">
      <c r="A15625" t="str">
        <f>HYPERLINK("https://www.773grp.com/globalSearch/CAT5113YI-01-GT3/page-1", "CAT5113YI-01-GT3")</f>
        <v>CAT5113YI-01-GT3</v>
      </c>
      <c r="B15625" s="3" t="str">
        <f>HYPERLINK("https://www.773grp.com/manufacturer/onsemi?pageNo=796", "Onsemi")</f>
        <v>Onsemi</v>
      </c>
      <c r="C15625" s="6">
        <v>8968</v>
      </c>
      <c r="D15625" s="7">
        <v>3.8</v>
      </c>
      <c r="E15625" t="s">
        <v>78</v>
      </c>
    </row>
    <row r="15626" spans="1:5" x14ac:dyDescent="0.25">
      <c r="A15626" t="str">
        <f>HYPERLINK("https://www.773grp.com/globalSearch/CS3720XDPS7/page-1", "CS3720XDPS7")</f>
        <v>CS3720XDPS7</v>
      </c>
      <c r="B15626" s="3" t="str">
        <f>HYPERLINK("https://www.773grp.com/manufacturer/onsemi?pageNo=797", "Onsemi")</f>
        <v>Onsemi</v>
      </c>
      <c r="C15626" s="6">
        <v>1900</v>
      </c>
      <c r="D15626" s="7">
        <v>3.8</v>
      </c>
      <c r="E15626" t="s">
        <v>50</v>
      </c>
    </row>
    <row r="15627" spans="1:5" x14ac:dyDescent="0.25">
      <c r="A15627" t="str">
        <f>HYPERLINK("https://www.773grp.com/globalSearch/LB11983-E/page-1", "LB11983-E")</f>
        <v>LB11983-E</v>
      </c>
      <c r="B15627" s="3" t="str">
        <f>HYPERLINK("https://www.773grp.com/manufacturer/onsemi?pageNo=798", "Onsemi")</f>
        <v>Onsemi</v>
      </c>
      <c r="C15627" s="6">
        <v>160</v>
      </c>
      <c r="D15627" s="7">
        <v>3.8</v>
      </c>
    </row>
    <row r="15628" spans="1:5" x14ac:dyDescent="0.25">
      <c r="A15628" t="str">
        <f>HYPERLINK("https://www.773grp.com/globalSearch/MC100EP16D/page-1", "MC100EP16D")</f>
        <v>MC100EP16D</v>
      </c>
      <c r="B15628" s="3" t="str">
        <f>HYPERLINK("https://www.773grp.com/manufacturer/onsemi?pageNo=799", "Onsemi")</f>
        <v>Onsemi</v>
      </c>
      <c r="C15628" s="6">
        <v>102314</v>
      </c>
      <c r="D15628" s="7">
        <v>3.8</v>
      </c>
      <c r="E15628" t="s">
        <v>17</v>
      </c>
    </row>
    <row r="15629" spans="1:5" x14ac:dyDescent="0.25">
      <c r="A15629" t="str">
        <f>HYPERLINK("https://www.773grp.com/globalSearch/MC100EP16VSDT/page-1", "MC100EP16VSDT")</f>
        <v>MC100EP16VSDT</v>
      </c>
      <c r="B15629" s="3" t="str">
        <f>HYPERLINK("https://www.773grp.com/manufacturer/onsemi?pageNo=800", "Onsemi")</f>
        <v>Onsemi</v>
      </c>
      <c r="C15629" s="6">
        <v>1263</v>
      </c>
      <c r="D15629" s="7">
        <v>3.8</v>
      </c>
      <c r="E15629" t="s">
        <v>17</v>
      </c>
    </row>
    <row r="15630" spans="1:5" x14ac:dyDescent="0.25">
      <c r="A15630" t="str">
        <f>HYPERLINK("https://www.773grp.com/globalSearch/MC10EP16D/page-1", "MC10EP16D")</f>
        <v>MC10EP16D</v>
      </c>
      <c r="B15630" s="3" t="str">
        <f>HYPERLINK("https://www.773grp.com/manufacturer/onsemi?pageNo=801", "Onsemi")</f>
        <v>Onsemi</v>
      </c>
      <c r="C15630" s="6">
        <v>52838</v>
      </c>
      <c r="D15630" s="7">
        <v>3.8</v>
      </c>
      <c r="E15630" t="s">
        <v>17</v>
      </c>
    </row>
    <row r="15631" spans="1:5" x14ac:dyDescent="0.25">
      <c r="A15631" t="str">
        <f>HYPERLINK("https://www.773grp.com/globalSearch/MC10EP16DT/page-1", "MC10EP16DT")</f>
        <v>MC10EP16DT</v>
      </c>
      <c r="B15631" s="3" t="str">
        <f>HYPERLINK("https://www.773grp.com/manufacturer/onsemi?pageNo=802", "Onsemi")</f>
        <v>Onsemi</v>
      </c>
      <c r="C15631" s="6">
        <v>18861</v>
      </c>
      <c r="D15631" s="7">
        <v>3.8</v>
      </c>
      <c r="E15631" t="s">
        <v>17</v>
      </c>
    </row>
    <row r="15632" spans="1:5" x14ac:dyDescent="0.25">
      <c r="A15632" t="str">
        <f>HYPERLINK("https://www.773grp.com/globalSearch/MC33765DTBG/page-1", "MC33765DTBG")</f>
        <v>MC33765DTBG</v>
      </c>
      <c r="B15632" s="3" t="str">
        <f>HYPERLINK("https://www.773grp.com/manufacturer/onsemi?pageNo=803", "Onsemi")</f>
        <v>Onsemi</v>
      </c>
      <c r="C15632" s="6">
        <v>576</v>
      </c>
      <c r="D15632" s="7">
        <v>3.8</v>
      </c>
      <c r="E15632" t="s">
        <v>39</v>
      </c>
    </row>
    <row r="15633" spans="1:5" x14ac:dyDescent="0.25">
      <c r="A15633" t="str">
        <f>HYPERLINK("https://www.773grp.com/globalSearch/MC74ACT648N/page-1", "MC74ACT648N")</f>
        <v>MC74ACT648N</v>
      </c>
      <c r="B15633" s="3" t="str">
        <f>HYPERLINK("https://www.773grp.com/manufacturer/onsemi?pageNo=804", "Onsemi")</f>
        <v>Onsemi</v>
      </c>
      <c r="C15633" s="6">
        <v>3032</v>
      </c>
      <c r="D15633" s="7">
        <v>3.8</v>
      </c>
      <c r="E15633" t="s">
        <v>11</v>
      </c>
    </row>
    <row r="15634" spans="1:5" x14ac:dyDescent="0.25">
      <c r="A15634" t="str">
        <f>HYPERLINK("https://www.773grp.com/globalSearch/NB3N3002DTR2G/page-1", "NB3N3002DTR2G")</f>
        <v>NB3N3002DTR2G</v>
      </c>
      <c r="B15634" s="3" t="str">
        <f>HYPERLINK("https://www.773grp.com/manufacturer/onsemi?pageNo=805", "Onsemi")</f>
        <v>Onsemi</v>
      </c>
      <c r="C15634" s="6">
        <v>9071</v>
      </c>
      <c r="D15634" s="7">
        <v>3.8</v>
      </c>
      <c r="E15634" t="s">
        <v>65</v>
      </c>
    </row>
    <row r="15635" spans="1:5" x14ac:dyDescent="0.25">
      <c r="A15635" t="str">
        <f>HYPERLINK("https://www.773grp.com/globalSearch/NCP1560HDR2/page-1", "NCP1560HDR2")</f>
        <v>NCP1560HDR2</v>
      </c>
      <c r="B15635" s="3" t="str">
        <f>HYPERLINK("https://www.773grp.com/manufacturer/onsemi?pageNo=806", "Onsemi")</f>
        <v>Onsemi</v>
      </c>
      <c r="C15635" s="6">
        <v>11556</v>
      </c>
      <c r="D15635" s="7">
        <v>3.8</v>
      </c>
      <c r="E15635" t="s">
        <v>5</v>
      </c>
    </row>
    <row r="15636" spans="1:5" x14ac:dyDescent="0.25">
      <c r="A15636" t="str">
        <f>HYPERLINK("https://www.773grp.com/globalSearch/NCS2550SNT1G/page-1", "NCS2550SNT1G")</f>
        <v>NCS2550SNT1G</v>
      </c>
      <c r="B15636" s="3" t="str">
        <f>HYPERLINK("https://www.773grp.com/manufacturer/onsemi?pageNo=807", "Onsemi")</f>
        <v>Onsemi</v>
      </c>
      <c r="C15636" s="6">
        <v>6000</v>
      </c>
      <c r="D15636" s="7">
        <v>3.8</v>
      </c>
      <c r="E15636" t="s">
        <v>14</v>
      </c>
    </row>
    <row r="15637" spans="1:5" x14ac:dyDescent="0.25">
      <c r="A15637" t="str">
        <f>HYPERLINK("https://www.773grp.com/globalSearch/1N5353B/page-1", "1N5353B")</f>
        <v>1N5353B</v>
      </c>
      <c r="B15637" s="3" t="str">
        <f>HYPERLINK("https://www.773grp.com/manufacturer/onsemi?pageNo=808", "Onsemi")</f>
        <v>Onsemi</v>
      </c>
      <c r="C15637" s="6">
        <v>7000</v>
      </c>
      <c r="D15637" s="7">
        <v>4.2300000000000004</v>
      </c>
      <c r="E15637" t="s">
        <v>77</v>
      </c>
    </row>
    <row r="15638" spans="1:5" x14ac:dyDescent="0.25">
      <c r="A15638" t="str">
        <f>HYPERLINK("https://www.773grp.com/globalSearch/ADP3210MNR2G/page-1", "ADP3210MNR2G")</f>
        <v>ADP3210MNR2G</v>
      </c>
      <c r="B15638" s="3" t="str">
        <f>HYPERLINK("https://www.773grp.com/manufacturer/onsemi?pageNo=809", "Onsemi")</f>
        <v>Onsemi</v>
      </c>
      <c r="C15638" s="6">
        <v>50000</v>
      </c>
      <c r="D15638" s="7">
        <v>4.2300000000000004</v>
      </c>
    </row>
    <row r="15639" spans="1:5" x14ac:dyDescent="0.25">
      <c r="A15639" t="str">
        <f>HYPERLINK("https://www.773grp.com/globalSearch/CAT25512VI-GT3/page-1", "CAT25512VI-GT3")</f>
        <v>CAT25512VI-GT3</v>
      </c>
      <c r="B15639" s="3" t="str">
        <f>HYPERLINK("https://www.773grp.com/manufacturer/onsemi?pageNo=810", "Onsemi")</f>
        <v>Onsemi</v>
      </c>
      <c r="C15639" s="6">
        <v>3000</v>
      </c>
      <c r="D15639" s="7">
        <v>4.2300000000000004</v>
      </c>
    </row>
    <row r="15640" spans="1:5" x14ac:dyDescent="0.25">
      <c r="A15640" t="str">
        <f>HYPERLINK("https://www.773grp.com/globalSearch/CAT25512YI-GT3/page-1", "CAT25512YI-GT3")</f>
        <v>CAT25512YI-GT3</v>
      </c>
      <c r="B15640" s="3" t="str">
        <f>HYPERLINK("https://www.773grp.com/manufacturer/onsemi?pageNo=811", "Onsemi")</f>
        <v>Onsemi</v>
      </c>
      <c r="C15640" s="6">
        <v>9000</v>
      </c>
      <c r="D15640" s="7">
        <v>4.2300000000000004</v>
      </c>
    </row>
    <row r="15641" spans="1:5" x14ac:dyDescent="0.25">
      <c r="A15641" t="str">
        <f>HYPERLINK("https://www.773grp.com/globalSearch/CAT3612HV2-GT2/page-1", "CAT3612HV2-GT2")</f>
        <v>CAT3612HV2-GT2</v>
      </c>
      <c r="B15641" s="3" t="str">
        <f>HYPERLINK("https://www.773grp.com/manufacturer/onsemi?pageNo=812", "Onsemi")</f>
        <v>Onsemi</v>
      </c>
      <c r="C15641" s="6">
        <v>2000</v>
      </c>
      <c r="D15641" s="7">
        <v>4.2300000000000004</v>
      </c>
      <c r="E15641" t="s">
        <v>7</v>
      </c>
    </row>
    <row r="15642" spans="1:5" x14ac:dyDescent="0.25">
      <c r="A15642" t="str">
        <f>HYPERLINK("https://www.773grp.com/globalSearch/CAT3612HV2-T2/page-1", "CAT3612HV2-T2")</f>
        <v>CAT3612HV2-T2</v>
      </c>
      <c r="B15642" s="3" t="str">
        <f>HYPERLINK("https://www.773grp.com/manufacturer/onsemi?pageNo=813", "Onsemi")</f>
        <v>Onsemi</v>
      </c>
      <c r="C15642" s="6">
        <v>12000</v>
      </c>
      <c r="D15642" s="7">
        <v>4.2300000000000004</v>
      </c>
      <c r="E15642" t="s">
        <v>7</v>
      </c>
    </row>
    <row r="15643" spans="1:5" x14ac:dyDescent="0.25">
      <c r="A15643" t="str">
        <f>HYPERLINK("https://www.773grp.com/globalSearch/CAT5119SDI-00GT3/page-1", "CAT5119SDI-00GT3")</f>
        <v>CAT5119SDI-00GT3</v>
      </c>
      <c r="B15643" s="3" t="str">
        <f>HYPERLINK("https://www.773grp.com/manufacturer/onsemi?pageNo=814", "Onsemi")</f>
        <v>Onsemi</v>
      </c>
      <c r="C15643" s="6">
        <v>993</v>
      </c>
      <c r="D15643" s="7">
        <v>4.2300000000000004</v>
      </c>
      <c r="E15643" t="s">
        <v>78</v>
      </c>
    </row>
    <row r="15644" spans="1:5" x14ac:dyDescent="0.25">
      <c r="A15644" t="str">
        <f>HYPERLINK("https://www.773grp.com/globalSearch/CS51031GDR8/page-1", "CS51031GDR8")</f>
        <v>CS51031GDR8</v>
      </c>
      <c r="B15644" s="3" t="str">
        <f>HYPERLINK("https://www.773grp.com/manufacturer/onsemi?pageNo=815", "Onsemi")</f>
        <v>Onsemi</v>
      </c>
      <c r="C15644" s="6">
        <v>4950</v>
      </c>
      <c r="D15644" s="7">
        <v>4.2300000000000004</v>
      </c>
      <c r="E15644" t="s">
        <v>5</v>
      </c>
    </row>
    <row r="15645" spans="1:5" x14ac:dyDescent="0.25">
      <c r="A15645" t="str">
        <f>HYPERLINK("https://www.773grp.com/globalSearch/IRF840/page-1", "IRF840")</f>
        <v>IRF840</v>
      </c>
      <c r="B15645" s="3" t="str">
        <f>HYPERLINK("https://www.773grp.com/manufacturer/onsemi?pageNo=816", "Onsemi")</f>
        <v>Onsemi</v>
      </c>
      <c r="C15645" s="6">
        <v>24</v>
      </c>
      <c r="D15645" s="7">
        <v>4.2300000000000004</v>
      </c>
      <c r="E15645" t="s">
        <v>84</v>
      </c>
    </row>
    <row r="15646" spans="1:5" x14ac:dyDescent="0.25">
      <c r="A15646" t="str">
        <f>HYPERLINK("https://www.773grp.com/globalSearch/LA4815VH-MPB-H/page-1", "LA4815VH-MPB-H")</f>
        <v>LA4815VH-MPB-H</v>
      </c>
      <c r="B15646" s="3" t="str">
        <f>HYPERLINK("https://www.773grp.com/manufacturer/onsemi?pageNo=817", "Onsemi")</f>
        <v>Onsemi</v>
      </c>
      <c r="C15646" s="6">
        <v>420</v>
      </c>
      <c r="D15646" s="7">
        <v>4.2300000000000004</v>
      </c>
    </row>
    <row r="15647" spans="1:5" x14ac:dyDescent="0.25">
      <c r="A15647" t="str">
        <f>HYPERLINK("https://www.773grp.com/globalSearch/LV8413GP-E/page-1", "LV8413GP-E")</f>
        <v>LV8413GP-E</v>
      </c>
      <c r="B15647" s="3" t="str">
        <f>HYPERLINK("https://www.773grp.com/manufacturer/onsemi?pageNo=818", "Onsemi")</f>
        <v>Onsemi</v>
      </c>
      <c r="C15647" s="6">
        <v>203</v>
      </c>
      <c r="D15647" s="7">
        <v>4.2300000000000004</v>
      </c>
    </row>
    <row r="15648" spans="1:5" x14ac:dyDescent="0.25">
      <c r="A15648" t="str">
        <f>HYPERLINK("https://www.773grp.com/globalSearch/LV8413GP-H/page-1", "LV8413GP-H")</f>
        <v>LV8413GP-H</v>
      </c>
      <c r="B15648" s="3" t="str">
        <f>HYPERLINK("https://www.773grp.com/manufacturer/onsemi?pageNo=819", "Onsemi")</f>
        <v>Onsemi</v>
      </c>
      <c r="C15648" s="6">
        <v>200</v>
      </c>
      <c r="D15648" s="7">
        <v>4.2300000000000004</v>
      </c>
    </row>
    <row r="15649" spans="1:5" x14ac:dyDescent="0.25">
      <c r="A15649" t="str">
        <f>HYPERLINK("https://www.773grp.com/globalSearch/LV8413GP-TE-L-E/page-1", "LV8413GP-TE-L-E")</f>
        <v>LV8413GP-TE-L-E</v>
      </c>
      <c r="B15649" s="3" t="str">
        <f>HYPERLINK("https://www.773grp.com/manufacturer/onsemi?pageNo=820", "Onsemi")</f>
        <v>Onsemi</v>
      </c>
      <c r="C15649" s="6">
        <v>1800</v>
      </c>
      <c r="D15649" s="7">
        <v>4.2300000000000004</v>
      </c>
    </row>
    <row r="15650" spans="1:5" x14ac:dyDescent="0.25">
      <c r="A15650" t="str">
        <f>HYPERLINK("https://www.773grp.com/globalSearch/LV8413GP-TE-L-H/page-1", "LV8413GP-TE-L-H")</f>
        <v>LV8413GP-TE-L-H</v>
      </c>
      <c r="B15650" s="3" t="str">
        <f>HYPERLINK("https://www.773grp.com/manufacturer/onsemi?pageNo=821", "Onsemi")</f>
        <v>Onsemi</v>
      </c>
      <c r="C15650" s="6">
        <v>147</v>
      </c>
      <c r="D15650" s="7">
        <v>4.2300000000000004</v>
      </c>
    </row>
    <row r="15651" spans="1:5" x14ac:dyDescent="0.25">
      <c r="A15651" t="str">
        <f>HYPERLINK("https://www.773grp.com/globalSearch/LV8711T-MPB-H/page-1", "LV8711T-MPB-H")</f>
        <v>LV8711T-MPB-H</v>
      </c>
      <c r="B15651" s="3" t="str">
        <f>HYPERLINK("https://www.773grp.com/manufacturer/onsemi?pageNo=822", "Onsemi")</f>
        <v>Onsemi</v>
      </c>
      <c r="C15651" s="6">
        <v>490</v>
      </c>
      <c r="D15651" s="7">
        <v>4.2300000000000004</v>
      </c>
    </row>
    <row r="15652" spans="1:5" x14ac:dyDescent="0.25">
      <c r="A15652" t="str">
        <f>HYPERLINK("https://www.773grp.com/globalSearch/LV8711T-TLM-H/page-1", "LV8711T-TLM-H")</f>
        <v>LV8711T-TLM-H</v>
      </c>
      <c r="B15652" s="3" t="str">
        <f>HYPERLINK("https://www.773grp.com/manufacturer/onsemi?pageNo=823", "Onsemi")</f>
        <v>Onsemi</v>
      </c>
      <c r="C15652" s="6">
        <v>4233</v>
      </c>
      <c r="D15652" s="7">
        <v>4.2300000000000004</v>
      </c>
    </row>
    <row r="15653" spans="1:5" x14ac:dyDescent="0.25">
      <c r="A15653" t="str">
        <f>HYPERLINK("https://www.773grp.com/globalSearch/MBR20200CTG/page-1", "MBR20200CTG")</f>
        <v>MBR20200CTG</v>
      </c>
      <c r="B15653" s="3" t="str">
        <f>HYPERLINK("https://www.773grp.com/manufacturer/onsemi?pageNo=824", "Onsemi")</f>
        <v>Onsemi</v>
      </c>
      <c r="C15653" s="6">
        <v>28335</v>
      </c>
      <c r="D15653" s="7">
        <v>4.2300000000000004</v>
      </c>
      <c r="E15653" t="s">
        <v>82</v>
      </c>
    </row>
    <row r="15654" spans="1:5" x14ac:dyDescent="0.25">
      <c r="A15654" t="str">
        <f>HYPERLINK("https://www.773grp.com/globalSearch/MBR30H100CTH/page-1", "MBR30H100CTH")</f>
        <v>MBR30H100CTH</v>
      </c>
      <c r="B15654" s="3" t="str">
        <f>HYPERLINK("https://www.773grp.com/manufacturer/onsemi?pageNo=825", "Onsemi")</f>
        <v>Onsemi</v>
      </c>
      <c r="C15654" s="6">
        <v>3280</v>
      </c>
      <c r="D15654" s="7">
        <v>4.2300000000000004</v>
      </c>
    </row>
    <row r="15655" spans="1:5" x14ac:dyDescent="0.25">
      <c r="A15655" t="str">
        <f>HYPERLINK("https://www.773grp.com/globalSearch/MBRB3030CTT4/page-1", "MBRB3030CTT4")</f>
        <v>MBRB3030CTT4</v>
      </c>
      <c r="B15655" s="3" t="str">
        <f>HYPERLINK("https://www.773grp.com/manufacturer/onsemi?pageNo=826", "Onsemi")</f>
        <v>Onsemi</v>
      </c>
      <c r="C15655" s="6">
        <v>750</v>
      </c>
      <c r="D15655" s="7">
        <v>4.2300000000000004</v>
      </c>
      <c r="E15655" t="s">
        <v>82</v>
      </c>
    </row>
    <row r="15656" spans="1:5" x14ac:dyDescent="0.25">
      <c r="A15656" t="str">
        <f>HYPERLINK("https://www.773grp.com/globalSearch/MC14504BFELG/page-1", "MC14504BFELG")</f>
        <v>MC14504BFELG</v>
      </c>
      <c r="B15656" s="3" t="str">
        <f>HYPERLINK("https://www.773grp.com/manufacturer/onsemi?pageNo=827", "Onsemi")</f>
        <v>Onsemi</v>
      </c>
      <c r="C15656" s="6">
        <v>7200</v>
      </c>
      <c r="D15656" s="7">
        <v>4.2300000000000004</v>
      </c>
      <c r="E15656" t="s">
        <v>61</v>
      </c>
    </row>
    <row r="15657" spans="1:5" x14ac:dyDescent="0.25">
      <c r="A15657" t="str">
        <f>HYPERLINK("https://www.773grp.com/globalSearch/MGP7N60ED/page-1", "MGP7N60ED")</f>
        <v>MGP7N60ED</v>
      </c>
      <c r="B15657" s="3" t="str">
        <f>HYPERLINK("https://www.773grp.com/manufacturer/onsemi?pageNo=828", "Onsemi")</f>
        <v>Onsemi</v>
      </c>
      <c r="C15657" s="6">
        <v>5116</v>
      </c>
      <c r="D15657" s="7">
        <v>4.2300000000000004</v>
      </c>
      <c r="E15657" t="s">
        <v>94</v>
      </c>
    </row>
    <row r="15658" spans="1:5" x14ac:dyDescent="0.25">
      <c r="A15658" t="str">
        <f>HYPERLINK("https://www.773grp.com/globalSearch/MJB5742T4G/page-1", "MJB5742T4G")</f>
        <v>MJB5742T4G</v>
      </c>
      <c r="B15658" s="3" t="str">
        <f>HYPERLINK("https://www.773grp.com/manufacturer/onsemi?pageNo=829", "Onsemi")</f>
        <v>Onsemi</v>
      </c>
      <c r="C15658" s="6">
        <v>1600</v>
      </c>
      <c r="D15658" s="7">
        <v>4.2300000000000004</v>
      </c>
    </row>
    <row r="15659" spans="1:5" x14ac:dyDescent="0.25">
      <c r="A15659" t="str">
        <f>HYPERLINK("https://www.773grp.com/globalSearch/MR2535LRLG/page-1", "MR2535LRLG")</f>
        <v>MR2535LRLG</v>
      </c>
      <c r="B15659" s="3" t="str">
        <f>HYPERLINK("https://www.773grp.com/manufacturer/onsemi?pageNo=830", "Onsemi")</f>
        <v>Onsemi</v>
      </c>
      <c r="C15659" s="6">
        <v>38907</v>
      </c>
      <c r="D15659" s="7">
        <v>4.2300000000000004</v>
      </c>
      <c r="E15659" t="s">
        <v>75</v>
      </c>
    </row>
    <row r="15660" spans="1:5" x14ac:dyDescent="0.25">
      <c r="A15660" t="str">
        <f>HYPERLINK("https://www.773grp.com/globalSearch/MRJ2535-2LFG/page-1", "MRJ2535-2LFG")</f>
        <v>MRJ2535-2LFG</v>
      </c>
      <c r="B15660" s="3" t="str">
        <f>HYPERLINK("https://www.773grp.com/manufacturer/onsemi?pageNo=831", "Onsemi")</f>
        <v>Onsemi</v>
      </c>
      <c r="C15660" s="6">
        <v>122755</v>
      </c>
      <c r="D15660" s="7">
        <v>4.2300000000000004</v>
      </c>
    </row>
    <row r="15661" spans="1:5" x14ac:dyDescent="0.25">
      <c r="A15661" t="str">
        <f>HYPERLINK("https://www.773grp.com/globalSearch/MTB10N40E/page-1", "MTB10N40E")</f>
        <v>MTB10N40E</v>
      </c>
      <c r="B15661" s="3" t="str">
        <f>HYPERLINK("https://www.773grp.com/manufacturer/onsemi?pageNo=832", "Onsemi")</f>
        <v>Onsemi</v>
      </c>
      <c r="C15661" s="6">
        <v>729</v>
      </c>
      <c r="D15661" s="7">
        <v>4.2300000000000004</v>
      </c>
      <c r="E15661" t="s">
        <v>84</v>
      </c>
    </row>
    <row r="15662" spans="1:5" x14ac:dyDescent="0.25">
      <c r="A15662" t="str">
        <f>HYPERLINK("https://www.773grp.com/globalSearch/MTB10N40E/page-1", "MTB10N40E")</f>
        <v>MTB10N40E</v>
      </c>
      <c r="B15662" s="3" t="str">
        <f>HYPERLINK("https://www.773grp.com/manufacturer/onsemi?pageNo=833", "Onsemi")</f>
        <v>Onsemi</v>
      </c>
      <c r="C15662" s="6">
        <v>41875</v>
      </c>
      <c r="D15662" s="7">
        <v>4.2300000000000004</v>
      </c>
      <c r="E15662" t="s">
        <v>84</v>
      </c>
    </row>
    <row r="15663" spans="1:5" x14ac:dyDescent="0.25">
      <c r="A15663" t="str">
        <f>HYPERLINK("https://www.773grp.com/globalSearch/MTB10N40ET4/page-1", "MTB10N40ET4")</f>
        <v>MTB10N40ET4</v>
      </c>
      <c r="B15663" s="3" t="str">
        <f>HYPERLINK("https://www.773grp.com/manufacturer/onsemi?pageNo=834", "Onsemi")</f>
        <v>Onsemi</v>
      </c>
      <c r="C15663" s="6">
        <v>107200</v>
      </c>
      <c r="D15663" s="7">
        <v>4.2300000000000004</v>
      </c>
      <c r="E15663" t="s">
        <v>84</v>
      </c>
    </row>
    <row r="15664" spans="1:5" x14ac:dyDescent="0.25">
      <c r="A15664" t="str">
        <f>HYPERLINK("https://www.773grp.com/globalSearch/MTP16N25E/page-1", "MTP16N25E")</f>
        <v>MTP16N25E</v>
      </c>
      <c r="B15664" s="3" t="str">
        <f>HYPERLINK("https://www.773grp.com/manufacturer/onsemi?pageNo=835", "Onsemi")</f>
        <v>Onsemi</v>
      </c>
      <c r="C15664" s="6">
        <v>8809</v>
      </c>
      <c r="D15664" s="7">
        <v>4.2300000000000004</v>
      </c>
      <c r="E15664" t="s">
        <v>84</v>
      </c>
    </row>
    <row r="15665" spans="1:5" x14ac:dyDescent="0.25">
      <c r="A15665" t="str">
        <f>HYPERLINK("https://www.773grp.com/globalSearch/MTP75N06HD/page-1", "MTP75N06HD")</f>
        <v>MTP75N06HD</v>
      </c>
      <c r="B15665" s="3" t="str">
        <f>HYPERLINK("https://www.773grp.com/manufacturer/onsemi?pageNo=836", "Onsemi")</f>
        <v>Onsemi</v>
      </c>
      <c r="C15665" s="6">
        <v>1</v>
      </c>
      <c r="D15665" s="7">
        <v>4.2300000000000004</v>
      </c>
      <c r="E15665" t="s">
        <v>84</v>
      </c>
    </row>
    <row r="15666" spans="1:5" x14ac:dyDescent="0.25">
      <c r="A15666" t="str">
        <f>HYPERLINK("https://www.773grp.com/globalSearch/MURHF860CT/page-1", "MURHF860CT")</f>
        <v>MURHF860CT</v>
      </c>
      <c r="B15666" s="3" t="str">
        <f>HYPERLINK("https://www.773grp.com/manufacturer/onsemi?pageNo=837", "Onsemi")</f>
        <v>Onsemi</v>
      </c>
      <c r="C15666" s="6">
        <v>7378</v>
      </c>
      <c r="D15666" s="7">
        <v>4.2300000000000004</v>
      </c>
      <c r="E15666" t="s">
        <v>82</v>
      </c>
    </row>
    <row r="15667" spans="1:5" x14ac:dyDescent="0.25">
      <c r="A15667" t="str">
        <f>HYPERLINK("https://www.773grp.com/globalSearch/N25S818HAS21I/page-1", "N25S818HAS21I")</f>
        <v>N25S818HAS21I</v>
      </c>
      <c r="B15667" s="3" t="str">
        <f>HYPERLINK("https://www.773grp.com/manufacturer/onsemi?pageNo=838", "Onsemi")</f>
        <v>Onsemi</v>
      </c>
      <c r="C15667" s="6">
        <v>56</v>
      </c>
      <c r="D15667" s="7">
        <v>4.2300000000000004</v>
      </c>
    </row>
    <row r="15668" spans="1:5" x14ac:dyDescent="0.25">
      <c r="A15668" t="str">
        <f>HYPERLINK("https://www.773grp.com/globalSearch/N25S830HAS22I/page-1", "N25S830HAS22I")</f>
        <v>N25S830HAS22I</v>
      </c>
      <c r="B15668" s="3" t="str">
        <f>HYPERLINK("https://www.773grp.com/manufacturer/onsemi?pageNo=839", "Onsemi")</f>
        <v>Onsemi</v>
      </c>
      <c r="C15668" s="6">
        <v>100</v>
      </c>
      <c r="D15668" s="7">
        <v>4.2300000000000004</v>
      </c>
      <c r="E15668" t="s">
        <v>63</v>
      </c>
    </row>
    <row r="15669" spans="1:5" x14ac:dyDescent="0.25">
      <c r="A15669" t="str">
        <f>HYPERLINK("https://www.773grp.com/globalSearch/N25S830HAT22I/page-1", "N25S830HAT22I")</f>
        <v>N25S830HAT22I</v>
      </c>
      <c r="B15669" s="3" t="str">
        <f>HYPERLINK("https://www.773grp.com/manufacturer/onsemi?pageNo=840", "Onsemi")</f>
        <v>Onsemi</v>
      </c>
      <c r="C15669" s="6">
        <v>652</v>
      </c>
      <c r="D15669" s="7">
        <v>4.2300000000000004</v>
      </c>
      <c r="E15669" t="s">
        <v>63</v>
      </c>
    </row>
    <row r="15670" spans="1:5" x14ac:dyDescent="0.25">
      <c r="A15670" t="str">
        <f>HYPERLINK("https://www.773grp.com/globalSearch/NB3N508SDTG/page-1", "NB3N508SDTG")</f>
        <v>NB3N508SDTG</v>
      </c>
      <c r="B15670" s="3" t="str">
        <f>HYPERLINK("https://www.773grp.com/manufacturer/onsemi?pageNo=841", "Onsemi")</f>
        <v>Onsemi</v>
      </c>
      <c r="C15670" s="6">
        <v>7392</v>
      </c>
      <c r="D15670" s="7">
        <v>4.2300000000000004</v>
      </c>
      <c r="E15670" t="s">
        <v>65</v>
      </c>
    </row>
    <row r="15671" spans="1:5" x14ac:dyDescent="0.25">
      <c r="A15671" t="str">
        <f>HYPERLINK("https://www.773grp.com/globalSearch/NB3N508SDTR2G/page-1", "NB3N508SDTR2G")</f>
        <v>NB3N508SDTR2G</v>
      </c>
      <c r="B15671" s="3" t="str">
        <f>HYPERLINK("https://www.773grp.com/manufacturer/onsemi?pageNo=842", "Onsemi")</f>
        <v>Onsemi</v>
      </c>
      <c r="C15671" s="6">
        <v>1965</v>
      </c>
      <c r="D15671" s="7">
        <v>4.2300000000000004</v>
      </c>
    </row>
    <row r="15672" spans="1:5" x14ac:dyDescent="0.25">
      <c r="A15672" t="str">
        <f>HYPERLINK("https://www.773grp.com/globalSearch/NCP1530DM25R2/page-1", "NCP1530DM25R2")</f>
        <v>NCP1530DM25R2</v>
      </c>
      <c r="B15672" s="3" t="str">
        <f>HYPERLINK("https://www.773grp.com/manufacturer/onsemi?pageNo=843", "Onsemi")</f>
        <v>Onsemi</v>
      </c>
      <c r="C15672" s="6">
        <v>3910</v>
      </c>
      <c r="D15672" s="7">
        <v>4.2300000000000004</v>
      </c>
      <c r="E15672" t="s">
        <v>5</v>
      </c>
    </row>
    <row r="15673" spans="1:5" x14ac:dyDescent="0.25">
      <c r="A15673" t="str">
        <f>HYPERLINK("https://www.773grp.com/globalSearch/NCP1650DR2/page-1", "NCP1650DR2")</f>
        <v>NCP1650DR2</v>
      </c>
      <c r="B15673" s="3" t="str">
        <f>HYPERLINK("https://www.773grp.com/manufacturer/onsemi?pageNo=844", "Onsemi")</f>
        <v>Onsemi</v>
      </c>
      <c r="C15673" s="6">
        <v>15868</v>
      </c>
      <c r="D15673" s="7">
        <v>4.2300000000000004</v>
      </c>
      <c r="E15673" t="s">
        <v>5</v>
      </c>
    </row>
    <row r="15674" spans="1:5" x14ac:dyDescent="0.25">
      <c r="A15674" t="str">
        <f>HYPERLINK("https://www.773grp.com/globalSearch/NCP5810DMUTXG/page-1", "NCP5810DMUTXG")</f>
        <v>NCP5810DMUTXG</v>
      </c>
      <c r="B15674" s="3" t="str">
        <f>HYPERLINK("https://www.773grp.com/manufacturer/onsemi?pageNo=845", "Onsemi")</f>
        <v>Onsemi</v>
      </c>
      <c r="C15674" s="6">
        <v>1326</v>
      </c>
      <c r="D15674" s="7">
        <v>4.2300000000000004</v>
      </c>
      <c r="E15674" t="s">
        <v>5</v>
      </c>
    </row>
    <row r="15675" spans="1:5" x14ac:dyDescent="0.25">
      <c r="A15675" t="str">
        <f>HYPERLINK("https://www.773grp.com/globalSearch/NCV59151MN18TYG/page-1", "NCV59151MN18TYG")</f>
        <v>NCV59151MN18TYG</v>
      </c>
      <c r="B15675" s="3" t="str">
        <f>HYPERLINK("https://www.773grp.com/manufacturer/onsemi?pageNo=846", "Onsemi")</f>
        <v>Onsemi</v>
      </c>
      <c r="C15675" s="6">
        <v>4000</v>
      </c>
      <c r="D15675" s="7">
        <v>4.2300000000000004</v>
      </c>
    </row>
    <row r="15676" spans="1:5" x14ac:dyDescent="0.25">
      <c r="A15676" t="str">
        <f>HYPERLINK("https://www.773grp.com/globalSearch/NCV59151MN33TYG/page-1", "NCV59151MN33TYG")</f>
        <v>NCV59151MN33TYG</v>
      </c>
      <c r="B15676" s="3" t="str">
        <f>HYPERLINK("https://www.773grp.com/manufacturer/onsemi?pageNo=847", "Onsemi")</f>
        <v>Onsemi</v>
      </c>
      <c r="C15676" s="6">
        <v>4000</v>
      </c>
      <c r="D15676" s="7">
        <v>4.2300000000000004</v>
      </c>
    </row>
    <row r="15677" spans="1:5" x14ac:dyDescent="0.25">
      <c r="A15677" t="str">
        <f>HYPERLINK("https://www.773grp.com/globalSearch/NCV59151MN50TYG/page-1", "NCV59151MN50TYG")</f>
        <v>NCV59151MN50TYG</v>
      </c>
      <c r="B15677" s="3" t="str">
        <f>HYPERLINK("https://www.773grp.com/manufacturer/onsemi?pageNo=848", "Onsemi")</f>
        <v>Onsemi</v>
      </c>
      <c r="C15677" s="6">
        <v>4000</v>
      </c>
      <c r="D15677" s="7">
        <v>4.2300000000000004</v>
      </c>
    </row>
    <row r="15678" spans="1:5" x14ac:dyDescent="0.25">
      <c r="A15678" t="str">
        <f>HYPERLINK("https://www.773grp.com/globalSearch/NCV59152MNADJTYG/page-1", "NCV59152MNADJTYG")</f>
        <v>NCV59152MNADJTYG</v>
      </c>
      <c r="B15678" s="3" t="str">
        <f>HYPERLINK("https://www.773grp.com/manufacturer/onsemi?pageNo=849", "Onsemi")</f>
        <v>Onsemi</v>
      </c>
      <c r="C15678" s="6">
        <v>8000</v>
      </c>
      <c r="D15678" s="7">
        <v>4.2300000000000004</v>
      </c>
    </row>
    <row r="15679" spans="1:5" x14ac:dyDescent="0.25">
      <c r="A15679" t="str">
        <f>HYPERLINK("https://www.773grp.com/globalSearch/NCV7382DR2G/page-1", "NCV7382DR2G")</f>
        <v>NCV7382DR2G</v>
      </c>
      <c r="B15679" s="3" t="str">
        <f>HYPERLINK("https://www.773grp.com/manufacturer/onsemi?pageNo=850", "Onsemi")</f>
        <v>Onsemi</v>
      </c>
      <c r="C15679" s="6">
        <v>32500</v>
      </c>
      <c r="D15679" s="7">
        <v>4.2300000000000004</v>
      </c>
      <c r="E15679" t="s">
        <v>17</v>
      </c>
    </row>
    <row r="15680" spans="1:5" x14ac:dyDescent="0.25">
      <c r="A15680" t="str">
        <f>HYPERLINK("https://www.773grp.com/globalSearch/NGB8206ANSL3G/page-1", "NGB8206ANSL3G")</f>
        <v>NGB8206ANSL3G</v>
      </c>
      <c r="B15680" s="3" t="str">
        <f>HYPERLINK("https://www.773grp.com/manufacturer/onsemi?pageNo=851", "Onsemi")</f>
        <v>Onsemi</v>
      </c>
      <c r="C15680" s="6">
        <v>2800</v>
      </c>
      <c r="D15680" s="7">
        <v>4.2300000000000004</v>
      </c>
    </row>
    <row r="15681" spans="1:5" x14ac:dyDescent="0.25">
      <c r="A15681" t="str">
        <f>HYPERLINK("https://www.773grp.com/globalSearch/NGB8206ANT4G/page-1", "NGB8206ANT4G")</f>
        <v>NGB8206ANT4G</v>
      </c>
      <c r="B15681" s="3" t="str">
        <f>HYPERLINK("https://www.773grp.com/manufacturer/onsemi?pageNo=852", "Onsemi")</f>
        <v>Onsemi</v>
      </c>
      <c r="C15681" s="6">
        <v>50400</v>
      </c>
      <c r="D15681" s="7">
        <v>4.2300000000000004</v>
      </c>
    </row>
    <row r="15682" spans="1:5" x14ac:dyDescent="0.25">
      <c r="A15682" t="str">
        <f>HYPERLINK("https://www.773grp.com/globalSearch/NGB8206ANTF4G/page-1", "NGB8206ANTF4G")</f>
        <v>NGB8206ANTF4G</v>
      </c>
      <c r="B15682" s="3" t="str">
        <f>HYPERLINK("https://www.773grp.com/manufacturer/onsemi?pageNo=853", "Onsemi")</f>
        <v>Onsemi</v>
      </c>
      <c r="C15682" s="6">
        <v>3500</v>
      </c>
      <c r="D15682" s="7">
        <v>4.2300000000000004</v>
      </c>
    </row>
    <row r="15683" spans="1:5" x14ac:dyDescent="0.25">
      <c r="A15683" t="str">
        <f>HYPERLINK("https://www.773grp.com/globalSearch/NGP8203N/page-1", "NGP8203N")</f>
        <v>NGP8203N</v>
      </c>
      <c r="B15683" s="3" t="str">
        <f>HYPERLINK("https://www.773grp.com/manufacturer/onsemi?pageNo=854", "Onsemi")</f>
        <v>Onsemi</v>
      </c>
      <c r="C15683" s="6">
        <v>3980</v>
      </c>
      <c r="D15683" s="7">
        <v>4.2300000000000004</v>
      </c>
      <c r="E15683" t="s">
        <v>94</v>
      </c>
    </row>
    <row r="15684" spans="1:5" x14ac:dyDescent="0.25">
      <c r="A15684" t="str">
        <f>HYPERLINK("https://www.773grp.com/globalSearch/NTB5405NG/page-1", "NTB5405NG")</f>
        <v>NTB5405NG</v>
      </c>
      <c r="B15684" s="3" t="str">
        <f>HYPERLINK("https://www.773grp.com/manufacturer/onsemi?pageNo=855", "Onsemi")</f>
        <v>Onsemi</v>
      </c>
      <c r="C15684" s="6">
        <v>2300</v>
      </c>
      <c r="D15684" s="7">
        <v>4.2300000000000004</v>
      </c>
      <c r="E15684" t="s">
        <v>84</v>
      </c>
    </row>
    <row r="15685" spans="1:5" x14ac:dyDescent="0.25">
      <c r="A15685" t="str">
        <f>HYPERLINK("https://www.773grp.com/globalSearch/P2I2305NZG-08SR/page-1", "P2I2305NZG-08SR")</f>
        <v>P2I2305NZG-08SR</v>
      </c>
      <c r="B15685" s="3" t="str">
        <f>HYPERLINK("https://www.773grp.com/manufacturer/onsemi?pageNo=856", "Onsemi")</f>
        <v>Onsemi</v>
      </c>
      <c r="C15685" s="6">
        <v>2500</v>
      </c>
      <c r="D15685" s="7">
        <v>4.2300000000000004</v>
      </c>
      <c r="E15685" t="s">
        <v>30</v>
      </c>
    </row>
    <row r="15686" spans="1:5" x14ac:dyDescent="0.25">
      <c r="A15686" t="str">
        <f>HYPERLINK("https://www.773grp.com/globalSearch/SBT150-06J/page-1", "SBT150-06J")</f>
        <v>SBT150-06J</v>
      </c>
      <c r="B15686" s="3" t="str">
        <f>HYPERLINK("https://www.773grp.com/manufacturer/onsemi?pageNo=857", "Onsemi")</f>
        <v>Onsemi</v>
      </c>
      <c r="C15686" s="6">
        <v>4000</v>
      </c>
      <c r="D15686" s="7">
        <v>4.2300000000000004</v>
      </c>
    </row>
    <row r="15687" spans="1:5" x14ac:dyDescent="0.25">
      <c r="A15687" t="str">
        <f>HYPERLINK("https://www.773grp.com/globalSearch/CAT5113LI-01-G/page-1", "CAT5113LI-01-G")</f>
        <v>CAT5113LI-01-G</v>
      </c>
      <c r="B15687" s="3" t="str">
        <f>HYPERLINK("https://www.773grp.com/manufacturer/onsemi?pageNo=858", "Onsemi")</f>
        <v>Onsemi</v>
      </c>
      <c r="C15687" s="6">
        <v>250</v>
      </c>
      <c r="D15687" s="7">
        <v>3.85</v>
      </c>
    </row>
    <row r="15688" spans="1:5" x14ac:dyDescent="0.25">
      <c r="A15688" t="str">
        <f>HYPERLINK("https://www.773grp.com/globalSearch/CAT5113LI10/page-1", "CAT5113LI10")</f>
        <v>CAT5113LI10</v>
      </c>
      <c r="B15688" s="3" t="str">
        <f>HYPERLINK("https://www.773grp.com/manufacturer/onsemi?pageNo=859", "Onsemi")</f>
        <v>Onsemi</v>
      </c>
      <c r="C15688" s="6">
        <v>1950</v>
      </c>
      <c r="D15688" s="7">
        <v>3.85</v>
      </c>
      <c r="E15688" t="s">
        <v>78</v>
      </c>
    </row>
    <row r="15689" spans="1:5" x14ac:dyDescent="0.25">
      <c r="A15689" t="str">
        <f>HYPERLINK("https://www.773grp.com/globalSearch/CAT5113LI-10-G/page-1", "CAT5113LI-10-G")</f>
        <v>CAT5113LI-10-G</v>
      </c>
      <c r="B15689" s="3" t="str">
        <f>HYPERLINK("https://www.773grp.com/manufacturer/onsemi?pageNo=860", "Onsemi")</f>
        <v>Onsemi</v>
      </c>
      <c r="C15689" s="6">
        <v>149</v>
      </c>
      <c r="D15689" s="7">
        <v>3.85</v>
      </c>
      <c r="E15689" t="s">
        <v>78</v>
      </c>
    </row>
    <row r="15690" spans="1:5" x14ac:dyDescent="0.25">
      <c r="A15690" t="str">
        <f>HYPERLINK("https://www.773grp.com/globalSearch/SN54LS670J/page-1", "SN54LS670J")</f>
        <v>SN54LS670J</v>
      </c>
      <c r="B15690" s="3" t="str">
        <f>HYPERLINK("https://www.773grp.com/manufacturer/onsemi?pageNo=861", "Onsemi")</f>
        <v>Onsemi</v>
      </c>
      <c r="C15690" s="6">
        <v>266</v>
      </c>
      <c r="D15690" s="7">
        <v>3.85</v>
      </c>
      <c r="E15690" t="s">
        <v>63</v>
      </c>
    </row>
    <row r="15691" spans="1:5" x14ac:dyDescent="0.25">
      <c r="A15691" t="str">
        <f>HYPERLINK("https://www.773grp.com/globalSearch/CS44103TVA7/page-1", "CS44103TVA7")</f>
        <v>CS44103TVA7</v>
      </c>
      <c r="B15691" s="3" t="str">
        <f>HYPERLINK("https://www.773grp.com/manufacturer/onsemi?pageNo=862", "Onsemi")</f>
        <v>Onsemi</v>
      </c>
      <c r="C15691" s="6">
        <v>250</v>
      </c>
      <c r="D15691" s="7">
        <v>4.28</v>
      </c>
    </row>
    <row r="15692" spans="1:5" x14ac:dyDescent="0.25">
      <c r="A15692" t="str">
        <f>HYPERLINK("https://www.773grp.com/globalSearch/CS51021ED16/page-1", "CS51021ED16")</f>
        <v>CS51021ED16</v>
      </c>
      <c r="B15692" s="3" t="str">
        <f>HYPERLINK("https://www.773grp.com/manufacturer/onsemi?pageNo=863", "Onsemi")</f>
        <v>Onsemi</v>
      </c>
      <c r="C15692" s="6">
        <v>1728</v>
      </c>
      <c r="D15692" s="7">
        <v>4.28</v>
      </c>
      <c r="E15692" t="s">
        <v>5</v>
      </c>
    </row>
    <row r="15693" spans="1:5" x14ac:dyDescent="0.25">
      <c r="A15693" t="str">
        <f>HYPERLINK("https://www.773grp.com/globalSearch/CS51021EDR16/page-1", "CS51021EDR16")</f>
        <v>CS51021EDR16</v>
      </c>
      <c r="B15693" s="3" t="str">
        <f>HYPERLINK("https://www.773grp.com/manufacturer/onsemi?pageNo=864", "Onsemi")</f>
        <v>Onsemi</v>
      </c>
      <c r="C15693" s="6">
        <v>206062</v>
      </c>
      <c r="D15693" s="7">
        <v>4.28</v>
      </c>
      <c r="E15693" t="s">
        <v>5</v>
      </c>
    </row>
    <row r="15694" spans="1:5" x14ac:dyDescent="0.25">
      <c r="A15694" t="str">
        <f>HYPERLINK("https://www.773grp.com/globalSearch/CS8101YDWF20/page-1", "CS8101YDWF20")</f>
        <v>CS8101YDWF20</v>
      </c>
      <c r="B15694" s="3" t="str">
        <f>HYPERLINK("https://www.773grp.com/manufacturer/onsemi?pageNo=865", "Onsemi")</f>
        <v>Onsemi</v>
      </c>
      <c r="C15694" s="6">
        <v>1026</v>
      </c>
      <c r="D15694" s="7">
        <v>4.28</v>
      </c>
      <c r="E15694" t="s">
        <v>15</v>
      </c>
    </row>
    <row r="15695" spans="1:5" x14ac:dyDescent="0.25">
      <c r="A15695" t="str">
        <f>HYPERLINK("https://www.773grp.com/globalSearch/CS8126-1YDPSR7/page-1", "CS8126-1YDPSR7")</f>
        <v>CS8126-1YDPSR7</v>
      </c>
      <c r="B15695" s="3" t="str">
        <f>HYPERLINK("https://www.773grp.com/manufacturer/onsemi?pageNo=866", "Onsemi")</f>
        <v>Onsemi</v>
      </c>
      <c r="C15695" s="6">
        <v>3665</v>
      </c>
      <c r="D15695" s="7">
        <v>4.28</v>
      </c>
      <c r="E15695" t="s">
        <v>15</v>
      </c>
    </row>
    <row r="15696" spans="1:5" x14ac:dyDescent="0.25">
      <c r="A15696" t="str">
        <f>HYPERLINK("https://www.773grp.com/globalSearch/LM2576T-005/page-1", "LM2576T-005")</f>
        <v>LM2576T-005</v>
      </c>
      <c r="B15696" s="3" t="str">
        <f>HYPERLINK("https://www.773grp.com/manufacturer/onsemi?pageNo=867", "Onsemi")</f>
        <v>Onsemi</v>
      </c>
      <c r="C15696" s="6">
        <v>1100</v>
      </c>
      <c r="D15696" s="7">
        <v>4.28</v>
      </c>
      <c r="E15696" t="s">
        <v>5</v>
      </c>
    </row>
    <row r="15697" spans="1:5" x14ac:dyDescent="0.25">
      <c r="A15697" t="str">
        <f>HYPERLINK("https://www.773grp.com/globalSearch/LM2576T-3.3/page-1", "LM2576T-3.3")</f>
        <v>LM2576T-3.3</v>
      </c>
      <c r="B15697" s="3" t="str">
        <f>HYPERLINK("https://www.773grp.com/manufacturer/onsemi?pageNo=868", "Onsemi")</f>
        <v>Onsemi</v>
      </c>
      <c r="C15697" s="6">
        <v>20000</v>
      </c>
      <c r="D15697" s="7">
        <v>4.28</v>
      </c>
      <c r="E15697" t="s">
        <v>5</v>
      </c>
    </row>
    <row r="15698" spans="1:5" x14ac:dyDescent="0.25">
      <c r="A15698" t="str">
        <f>HYPERLINK("https://www.773grp.com/globalSearch/LM2576T-ADJ/page-1", "LM2576T-ADJ")</f>
        <v>LM2576T-ADJ</v>
      </c>
      <c r="B15698" s="3" t="str">
        <f>HYPERLINK("https://www.773grp.com/manufacturer/onsemi?pageNo=869", "Onsemi")</f>
        <v>Onsemi</v>
      </c>
      <c r="C15698" s="6">
        <v>8539</v>
      </c>
      <c r="D15698" s="7">
        <v>4.28</v>
      </c>
      <c r="E15698" t="s">
        <v>5</v>
      </c>
    </row>
    <row r="15699" spans="1:5" x14ac:dyDescent="0.25">
      <c r="A15699" t="str">
        <f>HYPERLINK("https://www.773grp.com/globalSearch/LM2576TV-005/page-1", "LM2576TV-005")</f>
        <v>LM2576TV-005</v>
      </c>
      <c r="B15699" s="3" t="str">
        <f>HYPERLINK("https://www.773grp.com/manufacturer/onsemi?pageNo=870", "Onsemi")</f>
        <v>Onsemi</v>
      </c>
      <c r="C15699" s="6">
        <v>9000</v>
      </c>
      <c r="D15699" s="7">
        <v>4.28</v>
      </c>
      <c r="E15699" t="s">
        <v>5</v>
      </c>
    </row>
    <row r="15700" spans="1:5" x14ac:dyDescent="0.25">
      <c r="A15700" t="str">
        <f>HYPERLINK("https://www.773grp.com/globalSearch/LM2576TV-012/page-1", "LM2576TV-012")</f>
        <v>LM2576TV-012</v>
      </c>
      <c r="B15700" s="3" t="str">
        <f>HYPERLINK("https://www.773grp.com/manufacturer/onsemi?pageNo=871", "Onsemi")</f>
        <v>Onsemi</v>
      </c>
      <c r="C15700" s="6">
        <v>4058</v>
      </c>
      <c r="D15700" s="7">
        <v>4.28</v>
      </c>
      <c r="E15700" t="s">
        <v>5</v>
      </c>
    </row>
    <row r="15701" spans="1:5" x14ac:dyDescent="0.25">
      <c r="A15701" t="str">
        <f>HYPERLINK("https://www.773grp.com/globalSearch/MBR2030CTLG/page-1", "MBR2030CTLG")</f>
        <v>MBR2030CTLG</v>
      </c>
      <c r="B15701" s="3" t="str">
        <f>HYPERLINK("https://www.773grp.com/manufacturer/onsemi?pageNo=872", "Onsemi")</f>
        <v>Onsemi</v>
      </c>
      <c r="C15701" s="6">
        <v>700</v>
      </c>
      <c r="D15701" s="7">
        <v>4.28</v>
      </c>
      <c r="E15701" t="s">
        <v>82</v>
      </c>
    </row>
    <row r="15702" spans="1:5" x14ac:dyDescent="0.25">
      <c r="A15702" t="str">
        <f>HYPERLINK("https://www.773grp.com/globalSearch/MC74ACT521M/page-1", "MC74ACT521M")</f>
        <v>MC74ACT521M</v>
      </c>
      <c r="B15702" s="3" t="str">
        <f>HYPERLINK("https://www.773grp.com/manufacturer/onsemi?pageNo=873", "Onsemi")</f>
        <v>Onsemi</v>
      </c>
      <c r="C15702" s="6">
        <v>3520</v>
      </c>
      <c r="D15702" s="7">
        <v>4.28</v>
      </c>
    </row>
    <row r="15703" spans="1:5" x14ac:dyDescent="0.25">
      <c r="A15703" t="str">
        <f>HYPERLINK("https://www.773grp.com/globalSearch/MC74ACT521MEL/page-1", "MC74ACT521MEL")</f>
        <v>MC74ACT521MEL</v>
      </c>
      <c r="B15703" s="3" t="str">
        <f>HYPERLINK("https://www.773grp.com/manufacturer/onsemi?pageNo=874", "Onsemi")</f>
        <v>Onsemi</v>
      </c>
      <c r="C15703" s="6">
        <v>2000</v>
      </c>
      <c r="D15703" s="7">
        <v>4.28</v>
      </c>
    </row>
    <row r="15704" spans="1:5" x14ac:dyDescent="0.25">
      <c r="A15704" t="str">
        <f>HYPERLINK("https://www.773grp.com/globalSearch/MR2835SK/page-1", "MR2835SK")</f>
        <v>MR2835SK</v>
      </c>
      <c r="B15704" s="3" t="str">
        <f>HYPERLINK("https://www.773grp.com/manufacturer/onsemi?pageNo=875", "Onsemi")</f>
        <v>Onsemi</v>
      </c>
      <c r="C15704" s="6">
        <v>10340</v>
      </c>
      <c r="D15704" s="7">
        <v>4.28</v>
      </c>
      <c r="E15704" t="s">
        <v>75</v>
      </c>
    </row>
    <row r="15705" spans="1:5" x14ac:dyDescent="0.25">
      <c r="A15705" t="str">
        <f>HYPERLINK("https://www.773grp.com/globalSearch/MTA2N60E/page-1", "MTA2N60E")</f>
        <v>MTA2N60E</v>
      </c>
      <c r="B15705" s="3" t="str">
        <f>HYPERLINK("https://www.773grp.com/manufacturer/onsemi?pageNo=876", "Onsemi")</f>
        <v>Onsemi</v>
      </c>
      <c r="C15705" s="6">
        <v>18829</v>
      </c>
      <c r="D15705" s="7">
        <v>4.28</v>
      </c>
      <c r="E15705" t="s">
        <v>84</v>
      </c>
    </row>
    <row r="15706" spans="1:5" x14ac:dyDescent="0.25">
      <c r="A15706" t="str">
        <f>HYPERLINK("https://www.773grp.com/globalSearch/MTP5P25/page-1", "MTP5P25")</f>
        <v>MTP5P25</v>
      </c>
      <c r="B15706" s="3" t="str">
        <f>HYPERLINK("https://www.773grp.com/manufacturer/onsemi?pageNo=877", "Onsemi")</f>
        <v>Onsemi</v>
      </c>
      <c r="C15706" s="6">
        <v>75900</v>
      </c>
      <c r="D15706" s="7">
        <v>4.28</v>
      </c>
      <c r="E15706" t="s">
        <v>84</v>
      </c>
    </row>
    <row r="15707" spans="1:5" x14ac:dyDescent="0.25">
      <c r="A15707" t="str">
        <f>HYPERLINK("https://www.773grp.com/globalSearch/NCV8675DS33G/page-1", "NCV8675DS33G")</f>
        <v>NCV8675DS33G</v>
      </c>
      <c r="B15707" s="3" t="str">
        <f>HYPERLINK("https://www.773grp.com/manufacturer/onsemi?pageNo=878", "Onsemi")</f>
        <v>Onsemi</v>
      </c>
      <c r="C15707" s="6">
        <v>1600</v>
      </c>
      <c r="D15707" s="7">
        <v>4.28</v>
      </c>
      <c r="E15707" t="s">
        <v>15</v>
      </c>
    </row>
    <row r="15708" spans="1:5" x14ac:dyDescent="0.25">
      <c r="A15708" t="str">
        <f>HYPERLINK("https://www.773grp.com/globalSearch/NCV8675DS50R4G/page-1", "NCV8675DS50R4G")</f>
        <v>NCV8675DS50R4G</v>
      </c>
      <c r="B15708" s="3" t="str">
        <f>HYPERLINK("https://www.773grp.com/manufacturer/onsemi?pageNo=879", "Onsemi")</f>
        <v>Onsemi</v>
      </c>
      <c r="C15708" s="6">
        <v>7760</v>
      </c>
      <c r="D15708" s="7">
        <v>4.28</v>
      </c>
    </row>
    <row r="15709" spans="1:5" x14ac:dyDescent="0.25">
      <c r="A15709" t="str">
        <f>HYPERLINK("https://www.773grp.com/globalSearch/NCV87722DT50RKG/page-1", "NCV87722DT50RKG")</f>
        <v>NCV87722DT50RKG</v>
      </c>
      <c r="B15709" s="3" t="str">
        <f>HYPERLINK("https://www.773grp.com/manufacturer/onsemi?pageNo=880", "Onsemi")</f>
        <v>Onsemi</v>
      </c>
      <c r="C15709" s="6">
        <v>2500</v>
      </c>
      <c r="D15709" s="7">
        <v>4.28</v>
      </c>
    </row>
    <row r="15710" spans="1:5" x14ac:dyDescent="0.25">
      <c r="A15710" t="str">
        <f>HYPERLINK("https://www.773grp.com/globalSearch/SN54LS399J/page-1", "SN54LS399J")</f>
        <v>SN54LS399J</v>
      </c>
      <c r="B15710" s="3" t="str">
        <f>HYPERLINK("https://www.773grp.com/manufacturer/onsemi?pageNo=881", "Onsemi")</f>
        <v>Onsemi</v>
      </c>
      <c r="C15710" s="6">
        <v>2856</v>
      </c>
      <c r="D15710" s="7">
        <v>4.28</v>
      </c>
      <c r="E15710" t="s">
        <v>31</v>
      </c>
    </row>
    <row r="15711" spans="1:5" x14ac:dyDescent="0.25">
      <c r="A15711" t="str">
        <f>HYPERLINK("https://www.773grp.com/globalSearch/CAT5113ZI00/page-1", "CAT5113ZI00")</f>
        <v>CAT5113ZI00</v>
      </c>
      <c r="B15711" s="3" t="str">
        <f>HYPERLINK("https://www.773grp.com/manufacturer/onsemi?pageNo=882", "Onsemi")</f>
        <v>Onsemi</v>
      </c>
      <c r="C15711" s="6">
        <v>896</v>
      </c>
      <c r="D15711" s="7">
        <v>3.89</v>
      </c>
      <c r="E15711" t="s">
        <v>78</v>
      </c>
    </row>
    <row r="15712" spans="1:5" x14ac:dyDescent="0.25">
      <c r="A15712" t="str">
        <f>HYPERLINK("https://www.773grp.com/globalSearch/CAT5113ZI-00-T3/page-1", "CAT5113ZI-00-T3")</f>
        <v>CAT5113ZI-00-T3</v>
      </c>
      <c r="B15712" s="3" t="str">
        <f>HYPERLINK("https://www.773grp.com/manufacturer/onsemi?pageNo=883", "Onsemi")</f>
        <v>Onsemi</v>
      </c>
      <c r="C15712" s="6">
        <v>2500</v>
      </c>
      <c r="D15712" s="7">
        <v>3.89</v>
      </c>
      <c r="E15712" t="s">
        <v>78</v>
      </c>
    </row>
    <row r="15713" spans="1:5" x14ac:dyDescent="0.25">
      <c r="A15713" t="str">
        <f>HYPERLINK("https://www.773grp.com/globalSearch/MC100EL31D/page-1", "MC100EL31D")</f>
        <v>MC100EL31D</v>
      </c>
      <c r="B15713" s="3" t="str">
        <f>HYPERLINK("https://www.773grp.com/manufacturer/onsemi?pageNo=884", "Onsemi")</f>
        <v>Onsemi</v>
      </c>
      <c r="C15713" s="6">
        <v>5282</v>
      </c>
      <c r="D15713" s="7">
        <v>3.89</v>
      </c>
      <c r="E15713" t="s">
        <v>31</v>
      </c>
    </row>
    <row r="15714" spans="1:5" x14ac:dyDescent="0.25">
      <c r="A15714" t="str">
        <f>HYPERLINK("https://www.773grp.com/globalSearch/MC100EL31DT/page-1", "MC100EL31DT")</f>
        <v>MC100EL31DT</v>
      </c>
      <c r="B15714" s="3" t="str">
        <f>HYPERLINK("https://www.773grp.com/manufacturer/onsemi?pageNo=885", "Onsemi")</f>
        <v>Onsemi</v>
      </c>
      <c r="C15714" s="6">
        <v>3870</v>
      </c>
      <c r="D15714" s="7">
        <v>3.89</v>
      </c>
      <c r="E15714" t="s">
        <v>31</v>
      </c>
    </row>
    <row r="15715" spans="1:5" x14ac:dyDescent="0.25">
      <c r="A15715" t="str">
        <f>HYPERLINK("https://www.773grp.com/globalSearch/MC100LVEL31D/page-1", "MC100LVEL31D")</f>
        <v>MC100LVEL31D</v>
      </c>
      <c r="B15715" s="3" t="str">
        <f>HYPERLINK("https://www.773grp.com/manufacturer/onsemi?pageNo=886", "Onsemi")</f>
        <v>Onsemi</v>
      </c>
      <c r="C15715" s="6">
        <v>5420</v>
      </c>
      <c r="D15715" s="7">
        <v>3.89</v>
      </c>
      <c r="E15715" t="s">
        <v>31</v>
      </c>
    </row>
    <row r="15716" spans="1:5" x14ac:dyDescent="0.25">
      <c r="A15716" t="str">
        <f>HYPERLINK("https://www.773grp.com/globalSearch/MC100LVEL31DT/page-1", "MC100LVEL31DT")</f>
        <v>MC100LVEL31DT</v>
      </c>
      <c r="B15716" s="3" t="str">
        <f>HYPERLINK("https://www.773grp.com/manufacturer/onsemi?pageNo=887", "Onsemi")</f>
        <v>Onsemi</v>
      </c>
      <c r="C15716" s="6">
        <v>492</v>
      </c>
      <c r="D15716" s="7">
        <v>3.89</v>
      </c>
      <c r="E15716" t="s">
        <v>31</v>
      </c>
    </row>
    <row r="15717" spans="1:5" x14ac:dyDescent="0.25">
      <c r="A15717" t="str">
        <f>HYPERLINK("https://www.773grp.com/globalSearch/MC10EL31D/page-1", "MC10EL31D")</f>
        <v>MC10EL31D</v>
      </c>
      <c r="B15717" s="3" t="str">
        <f>HYPERLINK("https://www.773grp.com/manufacturer/onsemi?pageNo=888", "Onsemi")</f>
        <v>Onsemi</v>
      </c>
      <c r="C15717" s="6">
        <v>32538</v>
      </c>
      <c r="D15717" s="7">
        <v>3.89</v>
      </c>
      <c r="E15717" t="s">
        <v>31</v>
      </c>
    </row>
    <row r="15718" spans="1:5" x14ac:dyDescent="0.25">
      <c r="A15718" t="str">
        <f>HYPERLINK("https://www.773grp.com/globalSearch/MC10EL31DT/page-1", "MC10EL31DT")</f>
        <v>MC10EL31DT</v>
      </c>
      <c r="B15718" s="3" t="str">
        <f>HYPERLINK("https://www.773grp.com/manufacturer/onsemi?pageNo=889", "Onsemi")</f>
        <v>Onsemi</v>
      </c>
      <c r="C15718" s="6">
        <v>5641</v>
      </c>
      <c r="D15718" s="7">
        <v>3.89</v>
      </c>
      <c r="E15718" t="s">
        <v>31</v>
      </c>
    </row>
    <row r="15719" spans="1:5" x14ac:dyDescent="0.25">
      <c r="A15719" t="str">
        <f>HYPERLINK("https://www.773grp.com/globalSearch/MC10EL89D/page-1", "MC10EL89D")</f>
        <v>MC10EL89D</v>
      </c>
      <c r="B15719" s="3" t="str">
        <f>HYPERLINK("https://www.773grp.com/manufacturer/onsemi?pageNo=890", "Onsemi")</f>
        <v>Onsemi</v>
      </c>
      <c r="C15719" s="6">
        <v>14042</v>
      </c>
      <c r="D15719" s="7">
        <v>3.89</v>
      </c>
      <c r="E15719" t="s">
        <v>17</v>
      </c>
    </row>
    <row r="15720" spans="1:5" x14ac:dyDescent="0.25">
      <c r="A15720" t="str">
        <f>HYPERLINK("https://www.773grp.com/globalSearch/MC10EL89DR2/page-1", "MC10EL89DR2")</f>
        <v>MC10EL89DR2</v>
      </c>
      <c r="B15720" s="3" t="str">
        <f>HYPERLINK("https://www.773grp.com/manufacturer/onsemi?pageNo=891", "Onsemi")</f>
        <v>Onsemi</v>
      </c>
      <c r="C15720" s="6">
        <v>7500</v>
      </c>
      <c r="D15720" s="7">
        <v>3.89</v>
      </c>
      <c r="E15720" t="s">
        <v>17</v>
      </c>
    </row>
    <row r="15721" spans="1:5" x14ac:dyDescent="0.25">
      <c r="A15721" t="str">
        <f>HYPERLINK("https://www.773grp.com/globalSearch/MC10EL89DT/page-1", "MC10EL89DT")</f>
        <v>MC10EL89DT</v>
      </c>
      <c r="B15721" s="3" t="str">
        <f>HYPERLINK("https://www.773grp.com/manufacturer/onsemi?pageNo=892", "Onsemi")</f>
        <v>Onsemi</v>
      </c>
      <c r="C15721" s="6">
        <v>2755</v>
      </c>
      <c r="D15721" s="7">
        <v>3.89</v>
      </c>
      <c r="E15721" t="s">
        <v>17</v>
      </c>
    </row>
    <row r="15722" spans="1:5" x14ac:dyDescent="0.25">
      <c r="A15722" t="str">
        <f>HYPERLINK("https://www.773grp.com/globalSearch/MC10H158FN/page-1", "MC10H158FN")</f>
        <v>MC10H158FN</v>
      </c>
      <c r="B15722" s="3" t="str">
        <f>HYPERLINK("https://www.773grp.com/manufacturer/onsemi?pageNo=893", "Onsemi")</f>
        <v>Onsemi</v>
      </c>
      <c r="C15722" s="6">
        <v>5277</v>
      </c>
      <c r="D15722" s="7">
        <v>3.89</v>
      </c>
      <c r="E15722" t="s">
        <v>16</v>
      </c>
    </row>
    <row r="15723" spans="1:5" x14ac:dyDescent="0.25">
      <c r="A15723" t="str">
        <f>HYPERLINK("https://www.773grp.com/globalSearch/MC10H158FNR2/page-1", "MC10H158FNR2")</f>
        <v>MC10H158FNR2</v>
      </c>
      <c r="B15723" s="3" t="str">
        <f>HYPERLINK("https://www.773grp.com/manufacturer/onsemi?pageNo=894", "Onsemi")</f>
        <v>Onsemi</v>
      </c>
      <c r="C15723" s="6">
        <v>4350</v>
      </c>
      <c r="D15723" s="7">
        <v>3.89</v>
      </c>
      <c r="E15723" t="s">
        <v>16</v>
      </c>
    </row>
    <row r="15724" spans="1:5" x14ac:dyDescent="0.25">
      <c r="A15724" t="str">
        <f>HYPERLINK("https://www.773grp.com/globalSearch/MC10H158FNR2G/page-1", "MC10H158FNR2G")</f>
        <v>MC10H158FNR2G</v>
      </c>
      <c r="B15724" s="3" t="str">
        <f>HYPERLINK("https://www.773grp.com/manufacturer/onsemi?pageNo=895", "Onsemi")</f>
        <v>Onsemi</v>
      </c>
      <c r="C15724" s="6">
        <v>2500</v>
      </c>
      <c r="D15724" s="7">
        <v>3.89</v>
      </c>
      <c r="E15724" t="s">
        <v>16</v>
      </c>
    </row>
    <row r="15725" spans="1:5" x14ac:dyDescent="0.25">
      <c r="A15725" t="str">
        <f>HYPERLINK("https://www.773grp.com/globalSearch/MC10H158M/page-1", "MC10H158M")</f>
        <v>MC10H158M</v>
      </c>
      <c r="B15725" s="3" t="str">
        <f>HYPERLINK("https://www.773grp.com/manufacturer/onsemi?pageNo=896", "Onsemi")</f>
        <v>Onsemi</v>
      </c>
      <c r="C15725" s="6">
        <v>4528</v>
      </c>
      <c r="D15725" s="7">
        <v>3.89</v>
      </c>
      <c r="E15725" t="s">
        <v>16</v>
      </c>
    </row>
    <row r="15726" spans="1:5" x14ac:dyDescent="0.25">
      <c r="A15726" t="str">
        <f>HYPERLINK("https://www.773grp.com/globalSearch/MC10H159FNR2/page-1", "MC10H159FNR2")</f>
        <v>MC10H159FNR2</v>
      </c>
      <c r="B15726" s="3" t="str">
        <f>HYPERLINK("https://www.773grp.com/manufacturer/onsemi?pageNo=897", "Onsemi")</f>
        <v>Onsemi</v>
      </c>
      <c r="C15726" s="6">
        <v>3000</v>
      </c>
      <c r="D15726" s="7">
        <v>3.89</v>
      </c>
      <c r="E15726" t="s">
        <v>16</v>
      </c>
    </row>
    <row r="15727" spans="1:5" x14ac:dyDescent="0.25">
      <c r="A15727" t="str">
        <f>HYPERLINK("https://www.773grp.com/globalSearch/MC10H162FN/page-1", "MC10H162FN")</f>
        <v>MC10H162FN</v>
      </c>
      <c r="B15727" s="3" t="str">
        <f>HYPERLINK("https://www.773grp.com/manufacturer/onsemi?pageNo=898", "Onsemi")</f>
        <v>Onsemi</v>
      </c>
      <c r="C15727" s="6">
        <v>2438</v>
      </c>
      <c r="D15727" s="7">
        <v>3.89</v>
      </c>
      <c r="E15727" t="s">
        <v>32</v>
      </c>
    </row>
    <row r="15728" spans="1:5" x14ac:dyDescent="0.25">
      <c r="A15728" t="str">
        <f>HYPERLINK("https://www.773grp.com/globalSearch/MC10H162FNR2/page-1", "MC10H162FNR2")</f>
        <v>MC10H162FNR2</v>
      </c>
      <c r="B15728" s="3" t="str">
        <f>HYPERLINK("https://www.773grp.com/manufacturer/onsemi?pageNo=899", "Onsemi")</f>
        <v>Onsemi</v>
      </c>
      <c r="C15728" s="6">
        <v>3500</v>
      </c>
      <c r="D15728" s="7">
        <v>3.89</v>
      </c>
      <c r="E15728" t="s">
        <v>32</v>
      </c>
    </row>
    <row r="15729" spans="1:5" x14ac:dyDescent="0.25">
      <c r="A15729" t="str">
        <f>HYPERLINK("https://www.773grp.com/globalSearch/MC10H162M/page-1", "MC10H162M")</f>
        <v>MC10H162M</v>
      </c>
      <c r="B15729" s="3" t="str">
        <f>HYPERLINK("https://www.773grp.com/manufacturer/onsemi?pageNo=900", "Onsemi")</f>
        <v>Onsemi</v>
      </c>
      <c r="C15729" s="6">
        <v>1831</v>
      </c>
      <c r="D15729" s="7">
        <v>3.89</v>
      </c>
      <c r="E15729" t="s">
        <v>32</v>
      </c>
    </row>
    <row r="15730" spans="1:5" x14ac:dyDescent="0.25">
      <c r="A15730" t="str">
        <f>HYPERLINK("https://www.773grp.com/globalSearch/MC10H174FNR2/page-1", "MC10H174FNR2")</f>
        <v>MC10H174FNR2</v>
      </c>
      <c r="B15730" s="3" t="str">
        <f>HYPERLINK("https://www.773grp.com/manufacturer/onsemi?pageNo=901", "Onsemi")</f>
        <v>Onsemi</v>
      </c>
      <c r="C15730" s="6">
        <v>500</v>
      </c>
      <c r="D15730" s="7">
        <v>3.89</v>
      </c>
      <c r="E15730" t="s">
        <v>16</v>
      </c>
    </row>
    <row r="15731" spans="1:5" x14ac:dyDescent="0.25">
      <c r="A15731" t="str">
        <f>HYPERLINK("https://www.773grp.com/globalSearch/MTW8N50E/page-1", "MTW8N50E")</f>
        <v>MTW8N50E</v>
      </c>
      <c r="B15731" s="3" t="str">
        <f>HYPERLINK("https://www.773grp.com/manufacturer/onsemi?pageNo=902", "Onsemi")</f>
        <v>Onsemi</v>
      </c>
      <c r="C15731" s="6">
        <v>2970</v>
      </c>
      <c r="D15731" s="7">
        <v>3.89</v>
      </c>
      <c r="E15731" t="s">
        <v>84</v>
      </c>
    </row>
    <row r="15732" spans="1:5" x14ac:dyDescent="0.25">
      <c r="A15732" t="str">
        <f>HYPERLINK("https://www.773grp.com/globalSearch/MTW8N50E/page-1", "MTW8N50E")</f>
        <v>MTW8N50E</v>
      </c>
      <c r="B15732" s="3" t="str">
        <f>HYPERLINK("https://www.773grp.com/manufacturer/onsemi?pageNo=903", "Onsemi")</f>
        <v>Onsemi</v>
      </c>
      <c r="C15732" s="6">
        <v>16800</v>
      </c>
      <c r="D15732" s="7">
        <v>3.89</v>
      </c>
      <c r="E15732" t="s">
        <v>84</v>
      </c>
    </row>
    <row r="15733" spans="1:5" x14ac:dyDescent="0.25">
      <c r="A15733" t="str">
        <f>HYPERLINK("https://www.773grp.com/globalSearch/N02L83W2AT25I/page-1", "N02L83W2AT25I")</f>
        <v>N02L83W2AT25I</v>
      </c>
      <c r="B15733" s="3" t="str">
        <f>HYPERLINK("https://www.773grp.com/manufacturer/onsemi?pageNo=904", "Onsemi")</f>
        <v>Onsemi</v>
      </c>
      <c r="C15733" s="6">
        <v>40113</v>
      </c>
      <c r="D15733" s="7">
        <v>3.89</v>
      </c>
      <c r="E15733" t="s">
        <v>63</v>
      </c>
    </row>
    <row r="15734" spans="1:5" x14ac:dyDescent="0.25">
      <c r="A15734" t="str">
        <f>HYPERLINK("https://www.773grp.com/globalSearch/NCV8506D2T25G/page-1", "NCV8506D2T25G")</f>
        <v>NCV8506D2T25G</v>
      </c>
      <c r="B15734" s="3" t="str">
        <f>HYPERLINK("https://www.773grp.com/manufacturer/onsemi?pageNo=905", "Onsemi")</f>
        <v>Onsemi</v>
      </c>
      <c r="C15734" s="6">
        <v>650</v>
      </c>
      <c r="D15734" s="7">
        <v>3.89</v>
      </c>
      <c r="E15734" t="s">
        <v>15</v>
      </c>
    </row>
    <row r="15735" spans="1:5" x14ac:dyDescent="0.25">
      <c r="A15735" t="str">
        <f>HYPERLINK("https://www.773grp.com/globalSearch/NCV8506D2T25R4G/page-1", "NCV8506D2T25R4G")</f>
        <v>NCV8506D2T25R4G</v>
      </c>
      <c r="B15735" s="3" t="str">
        <f>HYPERLINK("https://www.773grp.com/manufacturer/onsemi?pageNo=906", "Onsemi")</f>
        <v>Onsemi</v>
      </c>
      <c r="C15735" s="6">
        <v>4425</v>
      </c>
      <c r="D15735" s="7">
        <v>3.89</v>
      </c>
      <c r="E15735" t="s">
        <v>15</v>
      </c>
    </row>
    <row r="15736" spans="1:5" x14ac:dyDescent="0.25">
      <c r="A15736" t="str">
        <f>HYPERLINK("https://www.773grp.com/globalSearch/NCV8506D2T33G/page-1", "NCV8506D2T33G")</f>
        <v>NCV8506D2T33G</v>
      </c>
      <c r="B15736" s="3" t="str">
        <f>HYPERLINK("https://www.773grp.com/manufacturer/onsemi?pageNo=907", "Onsemi")</f>
        <v>Onsemi</v>
      </c>
      <c r="C15736" s="6">
        <v>2800</v>
      </c>
      <c r="D15736" s="7">
        <v>3.89</v>
      </c>
      <c r="E15736" t="s">
        <v>15</v>
      </c>
    </row>
    <row r="15737" spans="1:5" x14ac:dyDescent="0.25">
      <c r="A15737" t="str">
        <f>HYPERLINK("https://www.773grp.com/globalSearch/NCV8506D2T33R4G/page-1", "NCV8506D2T33R4G")</f>
        <v>NCV8506D2T33R4G</v>
      </c>
      <c r="B15737" s="3" t="str">
        <f>HYPERLINK("https://www.773grp.com/manufacturer/onsemi?pageNo=908", "Onsemi")</f>
        <v>Onsemi</v>
      </c>
      <c r="C15737" s="6">
        <v>4385</v>
      </c>
      <c r="D15737" s="7">
        <v>3.89</v>
      </c>
      <c r="E15737" t="s">
        <v>15</v>
      </c>
    </row>
    <row r="15738" spans="1:5" x14ac:dyDescent="0.25">
      <c r="A15738" t="str">
        <f>HYPERLINK("https://www.773grp.com/globalSearch/NCV8506D2T50G/page-1", "NCV8506D2T50G")</f>
        <v>NCV8506D2T50G</v>
      </c>
      <c r="B15738" s="3" t="str">
        <f>HYPERLINK("https://www.773grp.com/manufacturer/onsemi?pageNo=909", "Onsemi")</f>
        <v>Onsemi</v>
      </c>
      <c r="C15738" s="6">
        <v>200</v>
      </c>
      <c r="D15738" s="7">
        <v>3.89</v>
      </c>
      <c r="E15738" t="s">
        <v>15</v>
      </c>
    </row>
    <row r="15739" spans="1:5" x14ac:dyDescent="0.25">
      <c r="A15739" t="str">
        <f>HYPERLINK("https://www.773grp.com/globalSearch/NCV8506D2T50R4G/page-1", "NCV8506D2T50R4G")</f>
        <v>NCV8506D2T50R4G</v>
      </c>
      <c r="B15739" s="3" t="str">
        <f>HYPERLINK("https://www.773grp.com/manufacturer/onsemi?pageNo=910", "Onsemi")</f>
        <v>Onsemi</v>
      </c>
      <c r="C15739" s="6">
        <v>1628</v>
      </c>
      <c r="D15739" s="7">
        <v>3.89</v>
      </c>
      <c r="E15739" t="s">
        <v>15</v>
      </c>
    </row>
    <row r="15740" spans="1:5" x14ac:dyDescent="0.25">
      <c r="A15740" t="str">
        <f>HYPERLINK("https://www.773grp.com/globalSearch/NCV8506D2TADJG/page-1", "NCV8506D2TADJG")</f>
        <v>NCV8506D2TADJG</v>
      </c>
      <c r="B15740" s="3" t="str">
        <f>HYPERLINK("https://www.773grp.com/manufacturer/onsemi?pageNo=911", "Onsemi")</f>
        <v>Onsemi</v>
      </c>
      <c r="C15740" s="6">
        <v>650</v>
      </c>
      <c r="D15740" s="7">
        <v>3.89</v>
      </c>
      <c r="E15740" t="s">
        <v>21</v>
      </c>
    </row>
    <row r="15741" spans="1:5" x14ac:dyDescent="0.25">
      <c r="A15741" t="str">
        <f>HYPERLINK("https://www.773grp.com/globalSearch/NCV8506D2TADJR4G/page-1", "NCV8506D2TADJR4G")</f>
        <v>NCV8506D2TADJR4G</v>
      </c>
      <c r="B15741" s="3" t="str">
        <f>HYPERLINK("https://www.773grp.com/manufacturer/onsemi?pageNo=912", "Onsemi")</f>
        <v>Onsemi</v>
      </c>
      <c r="C15741" s="6">
        <v>3680</v>
      </c>
      <c r="D15741" s="7">
        <v>3.89</v>
      </c>
      <c r="E15741" t="s">
        <v>21</v>
      </c>
    </row>
    <row r="15742" spans="1:5" x14ac:dyDescent="0.25">
      <c r="A15742" t="str">
        <f>HYPERLINK("https://www.773grp.com/globalSearch/NCV8800HDW50R2G/page-1", "NCV8800HDW50R2G")</f>
        <v>NCV8800HDW50R2G</v>
      </c>
      <c r="B15742" s="3" t="str">
        <f>HYPERLINK("https://www.773grp.com/manufacturer/onsemi?pageNo=913", "Onsemi")</f>
        <v>Onsemi</v>
      </c>
      <c r="C15742" s="6">
        <v>60716</v>
      </c>
      <c r="D15742" s="7">
        <v>3.89</v>
      </c>
      <c r="E15742" t="s">
        <v>5</v>
      </c>
    </row>
    <row r="15743" spans="1:5" x14ac:dyDescent="0.25">
      <c r="A15743" t="str">
        <f>HYPERLINK("https://www.773grp.com/globalSearch/NGTG30N60FWG/page-1", "NGTG30N60FWG")</f>
        <v>NGTG30N60FWG</v>
      </c>
      <c r="B15743" s="3" t="str">
        <f>HYPERLINK("https://www.773grp.com/manufacturer/onsemi?pageNo=914", "Onsemi")</f>
        <v>Onsemi</v>
      </c>
      <c r="C15743" s="6">
        <v>60</v>
      </c>
      <c r="D15743" s="7">
        <v>3.89</v>
      </c>
    </row>
    <row r="15744" spans="1:5" x14ac:dyDescent="0.25">
      <c r="A15744" t="str">
        <f>HYPERLINK("https://www.773grp.com/globalSearch/ADP3196JCPZ-RL/page-1", "ADP3196JCPZ-RL")</f>
        <v>ADP3196JCPZ-RL</v>
      </c>
      <c r="B15744" s="3" t="str">
        <f>HYPERLINK("https://www.773grp.com/manufacturer/onsemi?pageNo=915", "Onsemi")</f>
        <v>Onsemi</v>
      </c>
      <c r="C15744" s="6">
        <v>30300</v>
      </c>
      <c r="D15744" s="7">
        <v>4.33</v>
      </c>
      <c r="E15744" t="s">
        <v>5</v>
      </c>
    </row>
    <row r="15745" spans="1:5" x14ac:dyDescent="0.25">
      <c r="A15745" t="str">
        <f>HYPERLINK("https://www.773grp.com/globalSearch/CS3351YD14G/page-1", "CS3351YD14G")</f>
        <v>CS3351YD14G</v>
      </c>
      <c r="B15745" s="3" t="str">
        <f>HYPERLINK("https://www.773grp.com/manufacturer/onsemi?pageNo=916", "Onsemi")</f>
        <v>Onsemi</v>
      </c>
      <c r="C15745" s="6">
        <v>1520</v>
      </c>
      <c r="D15745" s="7">
        <v>4.33</v>
      </c>
      <c r="E15745" t="s">
        <v>36</v>
      </c>
    </row>
    <row r="15746" spans="1:5" x14ac:dyDescent="0.25">
      <c r="A15746" t="str">
        <f>HYPERLINK("https://www.773grp.com/globalSearch/CS3351YDR14G/page-1", "CS3351YDR14G")</f>
        <v>CS3351YDR14G</v>
      </c>
      <c r="B15746" s="3" t="str">
        <f>HYPERLINK("https://www.773grp.com/manufacturer/onsemi?pageNo=917", "Onsemi")</f>
        <v>Onsemi</v>
      </c>
      <c r="C15746" s="6">
        <v>5420</v>
      </c>
      <c r="D15746" s="7">
        <v>4.33</v>
      </c>
      <c r="E15746" t="s">
        <v>36</v>
      </c>
    </row>
    <row r="15747" spans="1:5" x14ac:dyDescent="0.25">
      <c r="A15747" t="str">
        <f>HYPERLINK("https://www.773grp.com/globalSearch/CS43081TQVA5/page-1", "CS43081TQVA5")</f>
        <v>CS43081TQVA5</v>
      </c>
      <c r="B15747" s="3" t="str">
        <f>HYPERLINK("https://www.773grp.com/manufacturer/onsemi?pageNo=918", "Onsemi")</f>
        <v>Onsemi</v>
      </c>
      <c r="C15747" s="6">
        <v>439388</v>
      </c>
      <c r="D15747" s="7">
        <v>4.33</v>
      </c>
    </row>
    <row r="15748" spans="1:5" x14ac:dyDescent="0.25">
      <c r="A15748" t="str">
        <f>HYPERLINK("https://www.773grp.com/globalSearch/CS5101EN14/page-1", "CS5101EN14")</f>
        <v>CS5101EN14</v>
      </c>
      <c r="B15748" s="3" t="str">
        <f>HYPERLINK("https://www.773grp.com/manufacturer/onsemi?pageNo=919", "Onsemi")</f>
        <v>Onsemi</v>
      </c>
      <c r="C15748" s="6">
        <v>1189</v>
      </c>
      <c r="D15748" s="7">
        <v>4.33</v>
      </c>
      <c r="E15748" t="s">
        <v>5</v>
      </c>
    </row>
    <row r="15749" spans="1:5" x14ac:dyDescent="0.25">
      <c r="A15749" t="str">
        <f>HYPERLINK("https://www.773grp.com/globalSearch/CS5203A-1GDPR3/page-1", "CS5203A-1GDPR3")</f>
        <v>CS5203A-1GDPR3</v>
      </c>
      <c r="B15749" s="3" t="str">
        <f>HYPERLINK("https://www.773grp.com/manufacturer/onsemi?pageNo=920", "Onsemi")</f>
        <v>Onsemi</v>
      </c>
      <c r="C15749" s="6">
        <v>180384</v>
      </c>
      <c r="D15749" s="7">
        <v>4.33</v>
      </c>
      <c r="E15749" t="s">
        <v>21</v>
      </c>
    </row>
    <row r="15750" spans="1:5" x14ac:dyDescent="0.25">
      <c r="A15750" t="str">
        <f>HYPERLINK("https://www.773grp.com/globalSearch/LV5683P-E/page-1", "LV5683P-E")</f>
        <v>LV5683P-E</v>
      </c>
      <c r="B15750" s="3" t="str">
        <f>HYPERLINK("https://www.773grp.com/manufacturer/onsemi?pageNo=921", "Onsemi")</f>
        <v>Onsemi</v>
      </c>
      <c r="C15750" s="6">
        <v>3680</v>
      </c>
      <c r="D15750" s="7">
        <v>4.33</v>
      </c>
    </row>
    <row r="15751" spans="1:5" x14ac:dyDescent="0.25">
      <c r="A15751" t="str">
        <f>HYPERLINK("https://www.773grp.com/globalSearch/MBR30H150CTG/page-1", "MBR30H150CTG")</f>
        <v>MBR30H150CTG</v>
      </c>
      <c r="B15751" s="3" t="str">
        <f>HYPERLINK("https://www.773grp.com/manufacturer/onsemi?pageNo=922", "Onsemi")</f>
        <v>Onsemi</v>
      </c>
      <c r="C15751" s="6">
        <v>1819</v>
      </c>
      <c r="D15751" s="7">
        <v>4.33</v>
      </c>
      <c r="E15751" t="s">
        <v>82</v>
      </c>
    </row>
    <row r="15752" spans="1:5" x14ac:dyDescent="0.25">
      <c r="A15752" t="str">
        <f>HYPERLINK("https://www.773grp.com/globalSearch/MC33368DG/page-1", "MC33368DG")</f>
        <v>MC33368DG</v>
      </c>
      <c r="B15752" s="3" t="str">
        <f>HYPERLINK("https://www.773grp.com/manufacturer/onsemi?pageNo=923", "Onsemi")</f>
        <v>Onsemi</v>
      </c>
      <c r="C15752" s="6">
        <v>646</v>
      </c>
      <c r="D15752" s="7">
        <v>4.33</v>
      </c>
      <c r="E15752" t="s">
        <v>5</v>
      </c>
    </row>
    <row r="15753" spans="1:5" x14ac:dyDescent="0.25">
      <c r="A15753" t="str">
        <f>HYPERLINK("https://www.773grp.com/globalSearch/MC33368DR2G/page-1", "MC33368DR2G")</f>
        <v>MC33368DR2G</v>
      </c>
      <c r="B15753" s="3" t="str">
        <f>HYPERLINK("https://www.773grp.com/manufacturer/onsemi?pageNo=924", "Onsemi")</f>
        <v>Onsemi</v>
      </c>
      <c r="C15753" s="6">
        <v>70000</v>
      </c>
      <c r="D15753" s="7">
        <v>4.33</v>
      </c>
      <c r="E15753" t="s">
        <v>5</v>
      </c>
    </row>
    <row r="15754" spans="1:5" x14ac:dyDescent="0.25">
      <c r="A15754" t="str">
        <f>HYPERLINK("https://www.773grp.com/globalSearch/MC33368PG/page-1", "MC33368PG")</f>
        <v>MC33368PG</v>
      </c>
      <c r="B15754" s="3" t="str">
        <f>HYPERLINK("https://www.773grp.com/manufacturer/onsemi?pageNo=925", "Onsemi")</f>
        <v>Onsemi</v>
      </c>
      <c r="C15754" s="6">
        <v>68551</v>
      </c>
      <c r="D15754" s="7">
        <v>4.33</v>
      </c>
      <c r="E15754" t="s">
        <v>5</v>
      </c>
    </row>
    <row r="15755" spans="1:5" x14ac:dyDescent="0.25">
      <c r="A15755" t="str">
        <f>HYPERLINK("https://www.773grp.com/globalSearch/MURHB840CTG/page-1", "MURHB840CTG")</f>
        <v>MURHB840CTG</v>
      </c>
      <c r="B15755" s="3" t="str">
        <f>HYPERLINK("https://www.773grp.com/manufacturer/onsemi?pageNo=926", "Onsemi")</f>
        <v>Onsemi</v>
      </c>
      <c r="C15755" s="6">
        <v>2394</v>
      </c>
      <c r="D15755" s="7">
        <v>4.33</v>
      </c>
    </row>
    <row r="15756" spans="1:5" x14ac:dyDescent="0.25">
      <c r="A15756" t="str">
        <f>HYPERLINK("https://www.773grp.com/globalSearch/MURHB840CTT4G/page-1", "MURHB840CTT4G")</f>
        <v>MURHB840CTT4G</v>
      </c>
      <c r="B15756" s="3" t="str">
        <f>HYPERLINK("https://www.773grp.com/manufacturer/onsemi?pageNo=927", "Onsemi")</f>
        <v>Onsemi</v>
      </c>
      <c r="C15756" s="6">
        <v>10400</v>
      </c>
      <c r="D15756" s="7">
        <v>4.33</v>
      </c>
      <c r="E15756" t="s">
        <v>82</v>
      </c>
    </row>
    <row r="15757" spans="1:5" x14ac:dyDescent="0.25">
      <c r="A15757" t="str">
        <f>HYPERLINK("https://www.773grp.com/globalSearch/MURHB860CTT4G/page-1", "MURHB860CTT4G")</f>
        <v>MURHB860CTT4G</v>
      </c>
      <c r="B15757" s="3" t="str">
        <f>HYPERLINK("https://www.773grp.com/manufacturer/onsemi?pageNo=928", "Onsemi")</f>
        <v>Onsemi</v>
      </c>
      <c r="C15757" s="6">
        <v>1540</v>
      </c>
      <c r="D15757" s="7">
        <v>4.33</v>
      </c>
      <c r="E15757" t="s">
        <v>82</v>
      </c>
    </row>
    <row r="15758" spans="1:5" x14ac:dyDescent="0.25">
      <c r="A15758" t="str">
        <f>HYPERLINK("https://www.773grp.com/globalSearch/NCP5220AMNR2G/page-1", "NCP5220AMNR2G")</f>
        <v>NCP5220AMNR2G</v>
      </c>
      <c r="B15758" s="3" t="str">
        <f>HYPERLINK("https://www.773grp.com/manufacturer/onsemi?pageNo=929", "Onsemi")</f>
        <v>Onsemi</v>
      </c>
      <c r="C15758" s="6">
        <v>21489</v>
      </c>
      <c r="D15758" s="7">
        <v>4.33</v>
      </c>
      <c r="E15758" t="s">
        <v>5</v>
      </c>
    </row>
    <row r="15759" spans="1:5" x14ac:dyDescent="0.25">
      <c r="A15759" t="str">
        <f>HYPERLINK("https://www.773grp.com/globalSearch/NCP5220MNR2G/page-1", "NCP5220MNR2G")</f>
        <v>NCP5220MNR2G</v>
      </c>
      <c r="B15759" s="3" t="str">
        <f>HYPERLINK("https://www.773grp.com/manufacturer/onsemi?pageNo=930", "Onsemi")</f>
        <v>Onsemi</v>
      </c>
      <c r="C15759" s="6">
        <v>3213</v>
      </c>
      <c r="D15759" s="7">
        <v>4.33</v>
      </c>
      <c r="E15759" t="s">
        <v>5</v>
      </c>
    </row>
    <row r="15760" spans="1:5" x14ac:dyDescent="0.25">
      <c r="A15760" t="str">
        <f>HYPERLINK("https://www.773grp.com/globalSearch/NCP6251MNR2G/page-1", "NCP6251MNR2G")</f>
        <v>NCP6251MNR2G</v>
      </c>
      <c r="B15760" s="3" t="str">
        <f>HYPERLINK("https://www.773grp.com/manufacturer/onsemi?pageNo=931", "Onsemi")</f>
        <v>Onsemi</v>
      </c>
      <c r="C15760" s="6">
        <v>20000</v>
      </c>
      <c r="D15760" s="7">
        <v>4.33</v>
      </c>
    </row>
    <row r="15761" spans="1:5" x14ac:dyDescent="0.25">
      <c r="A15761" t="str">
        <f>HYPERLINK("https://www.773grp.com/globalSearch/NGB8202NT4/page-1", "NGB8202NT4")</f>
        <v>NGB8202NT4</v>
      </c>
      <c r="B15761" s="3" t="str">
        <f>HYPERLINK("https://www.773grp.com/manufacturer/onsemi?pageNo=932", "Onsemi")</f>
        <v>Onsemi</v>
      </c>
      <c r="C15761" s="6">
        <v>800</v>
      </c>
      <c r="D15761" s="7">
        <v>4.33</v>
      </c>
      <c r="E15761" t="s">
        <v>94</v>
      </c>
    </row>
    <row r="15762" spans="1:5" x14ac:dyDescent="0.25">
      <c r="A15762" t="str">
        <f>HYPERLINK("https://www.773grp.com/globalSearch/NGB8202NT4G/page-1", "NGB8202NT4G")</f>
        <v>NGB8202NT4G</v>
      </c>
      <c r="B15762" s="3" t="str">
        <f>HYPERLINK("https://www.773grp.com/manufacturer/onsemi?pageNo=933", "Onsemi")</f>
        <v>Onsemi</v>
      </c>
      <c r="C15762" s="6">
        <v>20582</v>
      </c>
      <c r="D15762" s="7">
        <v>4.33</v>
      </c>
      <c r="E15762" t="s">
        <v>94</v>
      </c>
    </row>
    <row r="15763" spans="1:5" x14ac:dyDescent="0.25">
      <c r="A15763" t="str">
        <f>HYPERLINK("https://www.773grp.com/globalSearch/NGB8206NSL3G/page-1", "NGB8206NSL3G")</f>
        <v>NGB8206NSL3G</v>
      </c>
      <c r="B15763" s="3" t="str">
        <f>HYPERLINK("https://www.773grp.com/manufacturer/onsemi?pageNo=934", "Onsemi")</f>
        <v>Onsemi</v>
      </c>
      <c r="C15763" s="6">
        <v>500</v>
      </c>
      <c r="D15763" s="7">
        <v>4.33</v>
      </c>
      <c r="E15763" t="s">
        <v>94</v>
      </c>
    </row>
    <row r="15764" spans="1:5" x14ac:dyDescent="0.25">
      <c r="A15764" t="str">
        <f>HYPERLINK("https://www.773grp.com/globalSearch/NGB8206NT4G/page-1", "NGB8206NT4G")</f>
        <v>NGB8206NT4G</v>
      </c>
      <c r="B15764" s="3" t="str">
        <f>HYPERLINK("https://www.773grp.com/manufacturer/onsemi?pageNo=935", "Onsemi")</f>
        <v>Onsemi</v>
      </c>
      <c r="C15764" s="6">
        <v>892</v>
      </c>
      <c r="D15764" s="7">
        <v>4.33</v>
      </c>
      <c r="E15764" t="s">
        <v>94</v>
      </c>
    </row>
    <row r="15765" spans="1:5" x14ac:dyDescent="0.25">
      <c r="A15765" t="str">
        <f>HYPERLINK("https://www.773grp.com/globalSearch/NGB8206NTF4G/page-1", "NGB8206NTF4G")</f>
        <v>NGB8206NTF4G</v>
      </c>
      <c r="B15765" s="3" t="str">
        <f>HYPERLINK("https://www.773grp.com/manufacturer/onsemi?pageNo=936", "Onsemi")</f>
        <v>Onsemi</v>
      </c>
      <c r="C15765" s="6">
        <v>12600</v>
      </c>
      <c r="D15765" s="7">
        <v>4.33</v>
      </c>
      <c r="E15765" t="s">
        <v>94</v>
      </c>
    </row>
    <row r="15766" spans="1:5" x14ac:dyDescent="0.25">
      <c r="A15766" t="str">
        <f>HYPERLINK("https://www.773grp.com/globalSearch/JDX5003-001/page-1", "JDX5003-001")</f>
        <v>JDX5003-001</v>
      </c>
      <c r="B15766" s="3" t="str">
        <f>HYPERLINK("https://www.773grp.com/manufacturer/onsemi?pageNo=937", "Onsemi")</f>
        <v>Onsemi</v>
      </c>
      <c r="C15766" s="6">
        <v>10</v>
      </c>
      <c r="D15766" s="7">
        <v>3.91</v>
      </c>
    </row>
    <row r="15767" spans="1:5" x14ac:dyDescent="0.25">
      <c r="A15767" t="str">
        <f>HYPERLINK("https://www.773grp.com/globalSearch/JDX5004/page-1", "JDX5004")</f>
        <v>JDX5004</v>
      </c>
      <c r="B15767" s="3" t="str">
        <f>HYPERLINK("https://www.773grp.com/manufacturer/onsemi?pageNo=938", "Onsemi")</f>
        <v>Onsemi</v>
      </c>
      <c r="C15767" s="6">
        <v>2332</v>
      </c>
      <c r="D15767" s="7">
        <v>3.91</v>
      </c>
    </row>
    <row r="15768" spans="1:5" x14ac:dyDescent="0.25">
      <c r="A15768" t="str">
        <f>HYPERLINK("https://www.773grp.com/globalSearch/MC10124P/page-1", "MC10124P")</f>
        <v>MC10124P</v>
      </c>
      <c r="B15768" s="3" t="str">
        <f>HYPERLINK("https://www.773grp.com/manufacturer/onsemi?pageNo=939", "Onsemi")</f>
        <v>Onsemi</v>
      </c>
      <c r="C15768" s="6">
        <v>2574</v>
      </c>
      <c r="D15768" s="7">
        <v>3.91</v>
      </c>
      <c r="E15768" t="s">
        <v>61</v>
      </c>
    </row>
    <row r="15769" spans="1:5" x14ac:dyDescent="0.25">
      <c r="A15769" t="str">
        <f>HYPERLINK("https://www.773grp.com/globalSearch/MJL3281A/page-1", "MJL3281A")</f>
        <v>MJL3281A</v>
      </c>
      <c r="B15769" s="3" t="str">
        <f>HYPERLINK("https://www.773grp.com/manufacturer/onsemi?pageNo=940", "Onsemi")</f>
        <v>Onsemi</v>
      </c>
      <c r="C15769" s="6">
        <v>1906</v>
      </c>
      <c r="D15769" s="7">
        <v>3.91</v>
      </c>
      <c r="E15769" t="s">
        <v>47</v>
      </c>
    </row>
    <row r="15770" spans="1:5" x14ac:dyDescent="0.25">
      <c r="A15770" t="str">
        <f>HYPERLINK("https://www.773grp.com/globalSearch/MJL3281AG/page-1", "MJL3281AG")</f>
        <v>MJL3281AG</v>
      </c>
      <c r="B15770" s="3" t="str">
        <f>HYPERLINK("https://www.773grp.com/manufacturer/onsemi?pageNo=941", "Onsemi")</f>
        <v>Onsemi</v>
      </c>
      <c r="C15770" s="6">
        <v>2648</v>
      </c>
      <c r="D15770" s="7">
        <v>3.91</v>
      </c>
      <c r="E15770" t="s">
        <v>47</v>
      </c>
    </row>
    <row r="15771" spans="1:5" x14ac:dyDescent="0.25">
      <c r="A15771" t="str">
        <f>HYPERLINK("https://www.773grp.com/globalSearch/2N3771G/page-1", "2N3771G")</f>
        <v>2N3771G</v>
      </c>
      <c r="B15771" s="3" t="str">
        <f>HYPERLINK("https://www.773grp.com/manufacturer/onsemi?pageNo=942", "Onsemi")</f>
        <v>Onsemi</v>
      </c>
      <c r="C15771" s="6">
        <v>444</v>
      </c>
      <c r="D15771" s="7">
        <v>3.94</v>
      </c>
      <c r="E15771" t="s">
        <v>47</v>
      </c>
    </row>
    <row r="15772" spans="1:5" x14ac:dyDescent="0.25">
      <c r="A15772" t="str">
        <f>HYPERLINK("https://www.773grp.com/globalSearch/2N3773G/page-1", "2N3773G")</f>
        <v>2N3773G</v>
      </c>
      <c r="B15772" s="3" t="str">
        <f>HYPERLINK("https://www.773grp.com/manufacturer/onsemi?pageNo=943", "Onsemi")</f>
        <v>Onsemi</v>
      </c>
      <c r="C15772" s="6">
        <v>36131</v>
      </c>
      <c r="D15772" s="7">
        <v>3.94</v>
      </c>
      <c r="E15772" t="s">
        <v>47</v>
      </c>
    </row>
    <row r="15773" spans="1:5" x14ac:dyDescent="0.25">
      <c r="A15773" t="str">
        <f>HYPERLINK("https://www.773grp.com/globalSearch/2N5302G/page-1", "2N5302G")</f>
        <v>2N5302G</v>
      </c>
      <c r="B15773" s="3" t="str">
        <f>HYPERLINK("https://www.773grp.com/manufacturer/onsemi?pageNo=944", "Onsemi")</f>
        <v>Onsemi</v>
      </c>
      <c r="C15773" s="6">
        <v>150</v>
      </c>
      <c r="D15773" s="7">
        <v>3.94</v>
      </c>
    </row>
    <row r="15774" spans="1:5" x14ac:dyDescent="0.25">
      <c r="A15774" t="str">
        <f>HYPERLINK("https://www.773grp.com/globalSearch/2N5885G/page-1", "2N5885G")</f>
        <v>2N5885G</v>
      </c>
      <c r="B15774" s="3" t="str">
        <f>HYPERLINK("https://www.773grp.com/manufacturer/onsemi?pageNo=945", "Onsemi")</f>
        <v>Onsemi</v>
      </c>
      <c r="C15774" s="6">
        <v>1144</v>
      </c>
      <c r="D15774" s="7">
        <v>3.94</v>
      </c>
      <c r="E15774" t="s">
        <v>47</v>
      </c>
    </row>
    <row r="15775" spans="1:5" x14ac:dyDescent="0.25">
      <c r="A15775" t="str">
        <f>HYPERLINK("https://www.773grp.com/globalSearch/LC87F2W48AVU-SQFP-H/page-1", "LC87F2W48AVU-SQFP-H")</f>
        <v>LC87F2W48AVU-SQFP-H</v>
      </c>
      <c r="B15775" s="3" t="str">
        <f>HYPERLINK("https://www.773grp.com/manufacturer/onsemi?pageNo=946", "Onsemi")</f>
        <v>Onsemi</v>
      </c>
      <c r="C15775" s="6">
        <v>500</v>
      </c>
      <c r="D15775" s="7">
        <v>3.94</v>
      </c>
    </row>
    <row r="15776" spans="1:5" x14ac:dyDescent="0.25">
      <c r="A15776" t="str">
        <f>HYPERLINK("https://www.773grp.com/globalSearch/LC898109-N-TBM-H/page-1", "LC898109-N-TBM-H")</f>
        <v>LC898109-N-TBM-H</v>
      </c>
      <c r="B15776" s="3" t="str">
        <f>HYPERLINK("https://www.773grp.com/manufacturer/onsemi?pageNo=947", "Onsemi")</f>
        <v>Onsemi</v>
      </c>
      <c r="C15776" s="6">
        <v>22000</v>
      </c>
      <c r="D15776" s="7">
        <v>3.94</v>
      </c>
    </row>
    <row r="15777" spans="1:5" x14ac:dyDescent="0.25">
      <c r="A15777" t="str">
        <f>HYPERLINK("https://www.773grp.com/globalSearch/LM2576T-005G/page-1", "LM2576T-005G")</f>
        <v>LM2576T-005G</v>
      </c>
      <c r="B15777" s="3" t="str">
        <f>HYPERLINK("https://www.773grp.com/manufacturer/onsemi?pageNo=948", "Onsemi")</f>
        <v>Onsemi</v>
      </c>
      <c r="C15777" s="6">
        <v>7089</v>
      </c>
      <c r="D15777" s="7">
        <v>3.94</v>
      </c>
      <c r="E15777" t="s">
        <v>5</v>
      </c>
    </row>
    <row r="15778" spans="1:5" x14ac:dyDescent="0.25">
      <c r="A15778" t="str">
        <f>HYPERLINK("https://www.773grp.com/globalSearch/LM2576T-012G/page-1", "LM2576T-012G")</f>
        <v>LM2576T-012G</v>
      </c>
      <c r="B15778" s="3" t="str">
        <f>HYPERLINK("https://www.773grp.com/manufacturer/onsemi?pageNo=949", "Onsemi")</f>
        <v>Onsemi</v>
      </c>
      <c r="C15778" s="6">
        <v>100</v>
      </c>
      <c r="D15778" s="7">
        <v>3.94</v>
      </c>
    </row>
    <row r="15779" spans="1:5" x14ac:dyDescent="0.25">
      <c r="A15779" t="str">
        <f>HYPERLINK("https://www.773grp.com/globalSearch/LM2576T-3.3G/page-1", "LM2576T-3.3G")</f>
        <v>LM2576T-3.3G</v>
      </c>
      <c r="B15779" s="3" t="str">
        <f>HYPERLINK("https://www.773grp.com/manufacturer/onsemi?pageNo=950", "Onsemi")</f>
        <v>Onsemi</v>
      </c>
      <c r="C15779" s="6">
        <v>12045</v>
      </c>
      <c r="D15779" s="7">
        <v>3.94</v>
      </c>
      <c r="E15779" t="s">
        <v>5</v>
      </c>
    </row>
    <row r="15780" spans="1:5" x14ac:dyDescent="0.25">
      <c r="A15780" t="str">
        <f>HYPERLINK("https://www.773grp.com/globalSearch/LM2576T-ADJG/page-1", "LM2576T-ADJG")</f>
        <v>LM2576T-ADJG</v>
      </c>
      <c r="B15780" s="3" t="str">
        <f>HYPERLINK("https://www.773grp.com/manufacturer/onsemi?pageNo=951", "Onsemi")</f>
        <v>Onsemi</v>
      </c>
      <c r="C15780" s="6">
        <v>45108</v>
      </c>
      <c r="D15780" s="7">
        <v>3.94</v>
      </c>
      <c r="E15780" t="s">
        <v>5</v>
      </c>
    </row>
    <row r="15781" spans="1:5" x14ac:dyDescent="0.25">
      <c r="A15781" t="str">
        <f>HYPERLINK("https://www.773grp.com/globalSearch/LM2576TV-012G/page-1", "LM2576TV-012G")</f>
        <v>LM2576TV-012G</v>
      </c>
      <c r="B15781" s="3" t="str">
        <f>HYPERLINK("https://www.773grp.com/manufacturer/onsemi?pageNo=952", "Onsemi")</f>
        <v>Onsemi</v>
      </c>
      <c r="C15781" s="6">
        <v>1424</v>
      </c>
      <c r="D15781" s="7">
        <v>3.94</v>
      </c>
      <c r="E15781" t="s">
        <v>5</v>
      </c>
    </row>
    <row r="15782" spans="1:5" x14ac:dyDescent="0.25">
      <c r="A15782" t="str">
        <f>HYPERLINK("https://www.773grp.com/globalSearch/LM2576TV-5G/page-1", "LM2576TV-5G")</f>
        <v>LM2576TV-5G</v>
      </c>
      <c r="B15782" s="3" t="str">
        <f>HYPERLINK("https://www.773grp.com/manufacturer/onsemi?pageNo=953", "Onsemi")</f>
        <v>Onsemi</v>
      </c>
      <c r="C15782" s="6">
        <v>4435</v>
      </c>
      <c r="D15782" s="7">
        <v>3.94</v>
      </c>
      <c r="E15782" t="s">
        <v>5</v>
      </c>
    </row>
    <row r="15783" spans="1:5" x14ac:dyDescent="0.25">
      <c r="A15783" t="str">
        <f>HYPERLINK("https://www.773grp.com/globalSearch/LM2596TVADJG/page-1", "LM2596TVADJG")</f>
        <v>LM2596TVADJG</v>
      </c>
      <c r="B15783" s="3" t="str">
        <f>HYPERLINK("https://www.773grp.com/manufacturer/onsemi?pageNo=954", "Onsemi")</f>
        <v>Onsemi</v>
      </c>
      <c r="C15783" s="6">
        <v>800</v>
      </c>
      <c r="D15783" s="7">
        <v>3.94</v>
      </c>
      <c r="E15783" t="s">
        <v>5</v>
      </c>
    </row>
    <row r="15784" spans="1:5" x14ac:dyDescent="0.25">
      <c r="A15784" t="str">
        <f>HYPERLINK("https://www.773grp.com/globalSearch/MC10H125P/page-1", "MC10H125P")</f>
        <v>MC10H125P</v>
      </c>
      <c r="B15784" s="3" t="str">
        <f>HYPERLINK("https://www.773grp.com/manufacturer/onsemi?pageNo=955", "Onsemi")</f>
        <v>Onsemi</v>
      </c>
      <c r="C15784" s="6">
        <v>2393</v>
      </c>
      <c r="D15784" s="7">
        <v>3.94</v>
      </c>
      <c r="E15784" t="s">
        <v>61</v>
      </c>
    </row>
    <row r="15785" spans="1:5" x14ac:dyDescent="0.25">
      <c r="A15785" t="str">
        <f>HYPERLINK("https://www.773grp.com/globalSearch/MC10H131P/page-1", "MC10H131P")</f>
        <v>MC10H131P</v>
      </c>
      <c r="B15785" s="3" t="str">
        <f>HYPERLINK("https://www.773grp.com/manufacturer/onsemi?pageNo=956", "Onsemi")</f>
        <v>Onsemi</v>
      </c>
      <c r="C15785" s="6">
        <v>1692</v>
      </c>
      <c r="D15785" s="7">
        <v>3.94</v>
      </c>
      <c r="E15785" t="s">
        <v>31</v>
      </c>
    </row>
    <row r="15786" spans="1:5" x14ac:dyDescent="0.25">
      <c r="A15786" t="str">
        <f>HYPERLINK("https://www.773grp.com/globalSearch/MJ802G/page-1", "MJ802G")</f>
        <v>MJ802G</v>
      </c>
      <c r="B15786" s="3" t="str">
        <f>HYPERLINK("https://www.773grp.com/manufacturer/onsemi?pageNo=957", "Onsemi")</f>
        <v>Onsemi</v>
      </c>
      <c r="C15786" s="6">
        <v>12036</v>
      </c>
      <c r="D15786" s="7">
        <v>3.94</v>
      </c>
      <c r="E15786" t="s">
        <v>47</v>
      </c>
    </row>
    <row r="15787" spans="1:5" x14ac:dyDescent="0.25">
      <c r="A15787" t="str">
        <f>HYPERLINK("https://www.773grp.com/globalSearch/MJE4343G/page-1", "MJE4343G")</f>
        <v>MJE4343G</v>
      </c>
      <c r="B15787" s="3" t="str">
        <f>HYPERLINK("https://www.773grp.com/manufacturer/onsemi?pageNo=958", "Onsemi")</f>
        <v>Onsemi</v>
      </c>
      <c r="C15787" s="6">
        <v>40</v>
      </c>
      <c r="D15787" s="7">
        <v>3.94</v>
      </c>
      <c r="E15787" t="s">
        <v>47</v>
      </c>
    </row>
    <row r="15788" spans="1:5" x14ac:dyDescent="0.25">
      <c r="A15788" t="str">
        <f>HYPERLINK("https://www.773grp.com/globalSearch/MJJ11016/page-1", "MJJ11016")</f>
        <v>MJJ11016</v>
      </c>
      <c r="B15788" s="3" t="str">
        <f>HYPERLINK("https://www.773grp.com/manufacturer/onsemi?pageNo=959", "Onsemi")</f>
        <v>Onsemi</v>
      </c>
      <c r="C15788" s="6">
        <v>2100</v>
      </c>
      <c r="D15788" s="7">
        <v>3.94</v>
      </c>
    </row>
    <row r="15789" spans="1:5" x14ac:dyDescent="0.25">
      <c r="A15789" t="str">
        <f>HYPERLINK("https://www.773grp.com/globalSearch/MPQ6842/page-1", "MPQ6842")</f>
        <v>MPQ6842</v>
      </c>
      <c r="B15789" s="3" t="str">
        <f>HYPERLINK("https://www.773grp.com/manufacturer/onsemi?pageNo=960", "Onsemi")</f>
        <v>Onsemi</v>
      </c>
      <c r="C15789" s="6">
        <v>6746</v>
      </c>
      <c r="D15789" s="7">
        <v>3.94</v>
      </c>
      <c r="E15789" t="s">
        <v>57</v>
      </c>
    </row>
    <row r="15790" spans="1:5" x14ac:dyDescent="0.25">
      <c r="A15790" t="str">
        <f>HYPERLINK("https://www.773grp.com/globalSearch/MTA30N06E/page-1", "MTA30N06E")</f>
        <v>MTA30N06E</v>
      </c>
      <c r="B15790" s="3" t="str">
        <f>HYPERLINK("https://www.773grp.com/manufacturer/onsemi?pageNo=961", "Onsemi")</f>
        <v>Onsemi</v>
      </c>
      <c r="C15790" s="6">
        <v>6141</v>
      </c>
      <c r="D15790" s="7">
        <v>3.94</v>
      </c>
      <c r="E15790" t="s">
        <v>84</v>
      </c>
    </row>
    <row r="15791" spans="1:5" x14ac:dyDescent="0.25">
      <c r="A15791" t="str">
        <f>HYPERLINK("https://www.773grp.com/globalSearch/NCS2552SNT1G/page-1", "NCS2552SNT1G")</f>
        <v>NCS2552SNT1G</v>
      </c>
      <c r="B15791" s="3" t="str">
        <f>HYPERLINK("https://www.773grp.com/manufacturer/onsemi?pageNo=962", "Onsemi")</f>
        <v>Onsemi</v>
      </c>
      <c r="C15791" s="6">
        <v>5795</v>
      </c>
      <c r="D15791" s="7">
        <v>3.94</v>
      </c>
      <c r="E15791" t="s">
        <v>14</v>
      </c>
    </row>
    <row r="15792" spans="1:5" x14ac:dyDescent="0.25">
      <c r="A15792" t="str">
        <f>HYPERLINK("https://www.773grp.com/globalSearch/NCS5650MNTXG/page-1", "NCS5650MNTXG")</f>
        <v>NCS5650MNTXG</v>
      </c>
      <c r="B15792" s="3" t="str">
        <f>HYPERLINK("https://www.773grp.com/manufacturer/onsemi?pageNo=963", "Onsemi")</f>
        <v>Onsemi</v>
      </c>
      <c r="C15792" s="6">
        <v>39678</v>
      </c>
      <c r="D15792" s="7">
        <v>3.94</v>
      </c>
    </row>
    <row r="15793" spans="1:5" x14ac:dyDescent="0.25">
      <c r="A15793" t="str">
        <f>HYPERLINK("https://www.773grp.com/globalSearch/NCV3163MNR2G/page-1", "NCV3163MNR2G")</f>
        <v>NCV3163MNR2G</v>
      </c>
      <c r="B15793" s="3" t="str">
        <f>HYPERLINK("https://www.773grp.com/manufacturer/onsemi?pageNo=964", "Onsemi")</f>
        <v>Onsemi</v>
      </c>
      <c r="C15793" s="6">
        <v>2500</v>
      </c>
      <c r="D15793" s="7">
        <v>3.94</v>
      </c>
    </row>
    <row r="15794" spans="1:5" x14ac:dyDescent="0.25">
      <c r="A15794" t="str">
        <f>HYPERLINK("https://www.773grp.com/globalSearch/NCV8141D2TR4G/page-1", "NCV8141D2TR4G")</f>
        <v>NCV8141D2TR4G</v>
      </c>
      <c r="B15794" s="3" t="str">
        <f>HYPERLINK("https://www.773grp.com/manufacturer/onsemi?pageNo=965", "Onsemi")</f>
        <v>Onsemi</v>
      </c>
      <c r="C15794" s="6">
        <v>400</v>
      </c>
      <c r="D15794" s="7">
        <v>3.94</v>
      </c>
    </row>
    <row r="15795" spans="1:5" x14ac:dyDescent="0.25">
      <c r="A15795" t="str">
        <f>HYPERLINK("https://www.773grp.com/globalSearch/NCV8851BDBR2G/page-1", "NCV8851BDBR2G")</f>
        <v>NCV8851BDBR2G</v>
      </c>
      <c r="B15795" s="3" t="str">
        <f>HYPERLINK("https://www.773grp.com/manufacturer/onsemi?pageNo=966", "Onsemi")</f>
        <v>Onsemi</v>
      </c>
      <c r="C15795" s="6">
        <v>2491</v>
      </c>
      <c r="D15795" s="7">
        <v>3.94</v>
      </c>
    </row>
    <row r="15796" spans="1:5" x14ac:dyDescent="0.25">
      <c r="A15796" t="str">
        <f>HYPERLINK("https://www.773grp.com/globalSearch/SA575DTBG/page-1", "SA575DTBG")</f>
        <v>SA575DTBG</v>
      </c>
      <c r="B15796" s="3" t="str">
        <f>HYPERLINK("https://www.773grp.com/manufacturer/onsemi?pageNo=967", "Onsemi")</f>
        <v>Onsemi</v>
      </c>
      <c r="C15796" s="6">
        <v>79</v>
      </c>
      <c r="D15796" s="7">
        <v>3.94</v>
      </c>
      <c r="E15796" t="s">
        <v>97</v>
      </c>
    </row>
    <row r="15797" spans="1:5" x14ac:dyDescent="0.25">
      <c r="A15797" t="str">
        <f>HYPERLINK("https://www.773grp.com/globalSearch/CS8371ET7/page-1", "CS8371ET7")</f>
        <v>CS8371ET7</v>
      </c>
      <c r="B15797" s="3" t="str">
        <f>HYPERLINK("https://www.773grp.com/manufacturer/onsemi?pageNo=968", "Onsemi")</f>
        <v>Onsemi</v>
      </c>
      <c r="C15797" s="6">
        <v>6800</v>
      </c>
      <c r="D15797" s="7">
        <v>3.96</v>
      </c>
      <c r="E15797" t="s">
        <v>96</v>
      </c>
    </row>
    <row r="15798" spans="1:5" x14ac:dyDescent="0.25">
      <c r="A15798" t="str">
        <f>HYPERLINK("https://www.773grp.com/globalSearch/MC74AC648DW/page-1", "MC74AC648DW")</f>
        <v>MC74AC648DW</v>
      </c>
      <c r="B15798" s="3" t="str">
        <f>HYPERLINK("https://www.773grp.com/manufacturer/onsemi?pageNo=969", "Onsemi")</f>
        <v>Onsemi</v>
      </c>
      <c r="C15798" s="6">
        <v>900</v>
      </c>
      <c r="D15798" s="7">
        <v>3.96</v>
      </c>
      <c r="E15798" t="s">
        <v>11</v>
      </c>
    </row>
    <row r="15799" spans="1:5" x14ac:dyDescent="0.25">
      <c r="A15799" t="str">
        <f>HYPERLINK("https://www.773grp.com/globalSearch/AD51-067ARMZ-R/page-1", "AD51-067ARMZ-R")</f>
        <v>AD51-067ARMZ-R</v>
      </c>
      <c r="B15799" s="3" t="str">
        <f>HYPERLINK("https://www.773grp.com/manufacturer/onsemi?pageNo=970", "Onsemi")</f>
        <v>Onsemi</v>
      </c>
      <c r="C15799" s="6">
        <v>1646</v>
      </c>
      <c r="D15799" s="7">
        <v>4.38</v>
      </c>
    </row>
    <row r="15800" spans="1:5" x14ac:dyDescent="0.25">
      <c r="A15800" t="str">
        <f>HYPERLINK("https://www.773grp.com/globalSearch/CS5165AGDWR16/page-1", "CS5165AGDWR16")</f>
        <v>CS5165AGDWR16</v>
      </c>
      <c r="B15800" s="3" t="str">
        <f>HYPERLINK("https://www.773grp.com/manufacturer/onsemi?pageNo=971", "Onsemi")</f>
        <v>Onsemi</v>
      </c>
      <c r="C15800" s="6">
        <v>1000</v>
      </c>
      <c r="D15800" s="7">
        <v>4.38</v>
      </c>
      <c r="E15800" t="s">
        <v>5</v>
      </c>
    </row>
    <row r="15801" spans="1:5" x14ac:dyDescent="0.25">
      <c r="A15801" t="str">
        <f>HYPERLINK("https://www.773grp.com/globalSearch/CS5211GD14G/page-1", "CS5211GD14G")</f>
        <v>CS5211GD14G</v>
      </c>
      <c r="B15801" s="3" t="str">
        <f>HYPERLINK("https://www.773grp.com/manufacturer/onsemi?pageNo=972", "Onsemi")</f>
        <v>Onsemi</v>
      </c>
      <c r="C15801" s="6">
        <v>90</v>
      </c>
      <c r="D15801" s="7">
        <v>4.38</v>
      </c>
      <c r="E15801" t="s">
        <v>5</v>
      </c>
    </row>
    <row r="15802" spans="1:5" x14ac:dyDescent="0.25">
      <c r="A15802" t="str">
        <f>HYPERLINK("https://www.773grp.com/globalSearch/MBRF20100CTG/page-1", "MBRF20100CTG")</f>
        <v>MBRF20100CTG</v>
      </c>
      <c r="B15802" s="3" t="str">
        <f>HYPERLINK("https://www.773grp.com/manufacturer/onsemi?pageNo=973", "Onsemi")</f>
        <v>Onsemi</v>
      </c>
      <c r="C15802" s="6">
        <v>638550</v>
      </c>
      <c r="D15802" s="7">
        <v>4.38</v>
      </c>
      <c r="E15802" t="s">
        <v>82</v>
      </c>
    </row>
    <row r="15803" spans="1:5" x14ac:dyDescent="0.25">
      <c r="A15803" t="str">
        <f>HYPERLINK("https://www.773grp.com/globalSearch/MBRF20H150CTG/page-1", "MBRF20H150CTG")</f>
        <v>MBRF20H150CTG</v>
      </c>
      <c r="B15803" s="3" t="str">
        <f>HYPERLINK("https://www.773grp.com/manufacturer/onsemi?pageNo=974", "Onsemi")</f>
        <v>Onsemi</v>
      </c>
      <c r="C15803" s="6">
        <v>183037</v>
      </c>
      <c r="D15803" s="7">
        <v>4.38</v>
      </c>
      <c r="E15803" t="s">
        <v>82</v>
      </c>
    </row>
    <row r="15804" spans="1:5" x14ac:dyDescent="0.25">
      <c r="A15804" t="str">
        <f>HYPERLINK("https://www.773grp.com/globalSearch/MC54HC165J/page-1", "MC54HC165J")</f>
        <v>MC54HC165J</v>
      </c>
      <c r="B15804" s="3" t="str">
        <f>HYPERLINK("https://www.773grp.com/manufacturer/onsemi?pageNo=975", "Onsemi")</f>
        <v>Onsemi</v>
      </c>
      <c r="C15804" s="6">
        <v>6</v>
      </c>
      <c r="D15804" s="7">
        <v>4.38</v>
      </c>
      <c r="E15804" t="s">
        <v>28</v>
      </c>
    </row>
    <row r="15805" spans="1:5" x14ac:dyDescent="0.25">
      <c r="A15805" t="str">
        <f>HYPERLINK("https://www.773grp.com/globalSearch/MPQ7051/page-1", "MPQ7051")</f>
        <v>MPQ7051</v>
      </c>
      <c r="B15805" s="3" t="str">
        <f>HYPERLINK("https://www.773grp.com/manufacturer/onsemi?pageNo=976", "Onsemi")</f>
        <v>Onsemi</v>
      </c>
      <c r="C15805" s="6">
        <v>8204</v>
      </c>
      <c r="D15805" s="7">
        <v>4.38</v>
      </c>
      <c r="E15805" t="s">
        <v>47</v>
      </c>
    </row>
    <row r="15806" spans="1:5" x14ac:dyDescent="0.25">
      <c r="A15806" t="str">
        <f>HYPERLINK("https://www.773grp.com/globalSearch/NB3L553MNR4G/page-1", "NB3L553MNR4G")</f>
        <v>NB3L553MNR4G</v>
      </c>
      <c r="B15806" s="3" t="str">
        <f>HYPERLINK("https://www.773grp.com/manufacturer/onsemi?pageNo=977", "Onsemi")</f>
        <v>Onsemi</v>
      </c>
      <c r="C15806" s="6">
        <v>900</v>
      </c>
      <c r="D15806" s="7">
        <v>4.38</v>
      </c>
    </row>
    <row r="15807" spans="1:5" x14ac:dyDescent="0.25">
      <c r="A15807" t="str">
        <f>HYPERLINK("https://www.773grp.com/globalSearch/NCP3163BPWG/page-1", "NCP3163BPWG")</f>
        <v>NCP3163BPWG</v>
      </c>
      <c r="B15807" s="3" t="str">
        <f>HYPERLINK("https://www.773grp.com/manufacturer/onsemi?pageNo=978", "Onsemi")</f>
        <v>Onsemi</v>
      </c>
      <c r="C15807" s="6">
        <v>376</v>
      </c>
      <c r="D15807" s="7">
        <v>4.38</v>
      </c>
      <c r="E15807" t="s">
        <v>5</v>
      </c>
    </row>
    <row r="15808" spans="1:5" x14ac:dyDescent="0.25">
      <c r="A15808" t="str">
        <f>HYPERLINK("https://www.773grp.com/globalSearch/NCP3163BPWR2G/page-1", "NCP3163BPWR2G")</f>
        <v>NCP3163BPWR2G</v>
      </c>
      <c r="B15808" s="3" t="str">
        <f>HYPERLINK("https://www.773grp.com/manufacturer/onsemi?pageNo=979", "Onsemi")</f>
        <v>Onsemi</v>
      </c>
      <c r="C15808" s="6">
        <v>10690</v>
      </c>
      <c r="D15808" s="7">
        <v>4.38</v>
      </c>
      <c r="E15808" t="s">
        <v>5</v>
      </c>
    </row>
    <row r="15809" spans="1:5" x14ac:dyDescent="0.25">
      <c r="A15809" t="str">
        <f>HYPERLINK("https://www.773grp.com/globalSearch/NCP4420P/page-1", "NCP4420P")</f>
        <v>NCP4420P</v>
      </c>
      <c r="B15809" s="3" t="str">
        <f>HYPERLINK("https://www.773grp.com/manufacturer/onsemi?pageNo=980", "Onsemi")</f>
        <v>Onsemi</v>
      </c>
      <c r="C15809" s="6">
        <v>27576</v>
      </c>
      <c r="D15809" s="7">
        <v>4.38</v>
      </c>
      <c r="E15809" t="s">
        <v>12</v>
      </c>
    </row>
    <row r="15810" spans="1:5" x14ac:dyDescent="0.25">
      <c r="A15810" t="str">
        <f>HYPERLINK("https://www.773grp.com/globalSearch/NCP5211DR2G/page-1", "NCP5211DR2G")</f>
        <v>NCP5211DR2G</v>
      </c>
      <c r="B15810" s="3" t="str">
        <f>HYPERLINK("https://www.773grp.com/manufacturer/onsemi?pageNo=981", "Onsemi")</f>
        <v>Onsemi</v>
      </c>
      <c r="C15810" s="6">
        <v>2150</v>
      </c>
      <c r="D15810" s="7">
        <v>4.38</v>
      </c>
      <c r="E15810" t="s">
        <v>5</v>
      </c>
    </row>
    <row r="15811" spans="1:5" x14ac:dyDescent="0.25">
      <c r="A15811" t="str">
        <f>HYPERLINK("https://www.773grp.com/globalSearch/NCV887000D1R2G/page-1", "NCV887000D1R2G")</f>
        <v>NCV887000D1R2G</v>
      </c>
      <c r="B15811" s="3" t="str">
        <f>HYPERLINK("https://www.773grp.com/manufacturer/onsemi?pageNo=982", "Onsemi")</f>
        <v>Onsemi</v>
      </c>
      <c r="C15811" s="6">
        <v>2500</v>
      </c>
      <c r="D15811" s="7">
        <v>4.38</v>
      </c>
    </row>
    <row r="15812" spans="1:5" x14ac:dyDescent="0.25">
      <c r="A15812" t="str">
        <f>HYPERLINK("https://www.773grp.com/globalSearch/NCV887100D1R2G/page-1", "NCV887100D1R2G")</f>
        <v>NCV887100D1R2G</v>
      </c>
      <c r="B15812" s="3" t="str">
        <f>HYPERLINK("https://www.773grp.com/manufacturer/onsemi?pageNo=983", "Onsemi")</f>
        <v>Onsemi</v>
      </c>
      <c r="C15812" s="6">
        <v>12470</v>
      </c>
      <c r="D15812" s="7">
        <v>4.38</v>
      </c>
    </row>
    <row r="15813" spans="1:5" x14ac:dyDescent="0.25">
      <c r="A15813" t="str">
        <f>HYPERLINK("https://www.773grp.com/globalSearch/NTB6N60/page-1", "NTB6N60")</f>
        <v>NTB6N60</v>
      </c>
      <c r="B15813" s="3" t="str">
        <f>HYPERLINK("https://www.773grp.com/manufacturer/onsemi?pageNo=984", "Onsemi")</f>
        <v>Onsemi</v>
      </c>
      <c r="C15813" s="6">
        <v>9939</v>
      </c>
      <c r="D15813" s="7">
        <v>4.38</v>
      </c>
      <c r="E15813" t="s">
        <v>84</v>
      </c>
    </row>
    <row r="15814" spans="1:5" x14ac:dyDescent="0.25">
      <c r="A15814" t="str">
        <f>HYPERLINK("https://www.773grp.com/globalSearch/CS3361YD14G/page-1", "CS3361YD14G")</f>
        <v>CS3361YD14G</v>
      </c>
      <c r="B15814" s="3" t="str">
        <f>HYPERLINK("https://www.773grp.com/manufacturer/onsemi?pageNo=985", "Onsemi")</f>
        <v>Onsemi</v>
      </c>
      <c r="C15814" s="6">
        <v>2970</v>
      </c>
      <c r="D15814" s="7">
        <v>4</v>
      </c>
    </row>
    <row r="15815" spans="1:5" x14ac:dyDescent="0.25">
      <c r="A15815" t="str">
        <f>HYPERLINK("https://www.773grp.com/globalSearch/CS3361YDR14G/page-1", "CS3361YDR14G")</f>
        <v>CS3361YDR14G</v>
      </c>
      <c r="B15815" s="3" t="str">
        <f>HYPERLINK("https://www.773grp.com/manufacturer/onsemi?pageNo=986", "Onsemi")</f>
        <v>Onsemi</v>
      </c>
      <c r="C15815" s="6">
        <v>12090</v>
      </c>
      <c r="D15815" s="7">
        <v>4</v>
      </c>
    </row>
    <row r="15816" spans="1:5" x14ac:dyDescent="0.25">
      <c r="A15816" t="str">
        <f>HYPERLINK("https://www.773grp.com/globalSearch/CS8140YN14/page-1", "CS8140YN14")</f>
        <v>CS8140YN14</v>
      </c>
      <c r="B15816" s="3" t="str">
        <f>HYPERLINK("https://www.773grp.com/manufacturer/onsemi?pageNo=987", "Onsemi")</f>
        <v>Onsemi</v>
      </c>
      <c r="C15816" s="6">
        <v>1425</v>
      </c>
      <c r="D15816" s="7">
        <v>4</v>
      </c>
      <c r="E15816" t="s">
        <v>15</v>
      </c>
    </row>
    <row r="15817" spans="1:5" x14ac:dyDescent="0.25">
      <c r="A15817" t="str">
        <f>HYPERLINK("https://www.773grp.com/globalSearch/JDX7004/page-1", "JDX7004")</f>
        <v>JDX7004</v>
      </c>
      <c r="B15817" s="3" t="str">
        <f>HYPERLINK("https://www.773grp.com/manufacturer/onsemi?pageNo=988", "Onsemi")</f>
        <v>Onsemi</v>
      </c>
      <c r="C15817" s="6">
        <v>700</v>
      </c>
      <c r="D15817" s="7">
        <v>4</v>
      </c>
    </row>
    <row r="15818" spans="1:5" x14ac:dyDescent="0.25">
      <c r="A15818" t="str">
        <f>HYPERLINK("https://www.773grp.com/globalSearch/MC34166TG/page-1", "MC34166TG")</f>
        <v>MC34166TG</v>
      </c>
      <c r="B15818" s="3" t="str">
        <f>HYPERLINK("https://www.773grp.com/manufacturer/onsemi?pageNo=989", "Onsemi")</f>
        <v>Onsemi</v>
      </c>
      <c r="C15818" s="6">
        <v>1500</v>
      </c>
      <c r="D15818" s="7">
        <v>4</v>
      </c>
      <c r="E15818" t="s">
        <v>5</v>
      </c>
    </row>
    <row r="15819" spans="1:5" x14ac:dyDescent="0.25">
      <c r="A15819" t="str">
        <f>HYPERLINK("https://www.773grp.com/globalSearch/MC34167T/page-1", "MC34167T")</f>
        <v>MC34167T</v>
      </c>
      <c r="B15819" s="3" t="str">
        <f>HYPERLINK("https://www.773grp.com/manufacturer/onsemi?pageNo=990", "Onsemi")</f>
        <v>Onsemi</v>
      </c>
      <c r="C15819" s="6">
        <v>625</v>
      </c>
      <c r="D15819" s="7">
        <v>4</v>
      </c>
      <c r="E15819" t="s">
        <v>5</v>
      </c>
    </row>
    <row r="15820" spans="1:5" x14ac:dyDescent="0.25">
      <c r="A15820" t="str">
        <f>HYPERLINK("https://www.773grp.com/globalSearch/MC34167TG/page-1", "MC34167TG")</f>
        <v>MC34167TG</v>
      </c>
      <c r="B15820" s="3" t="str">
        <f>HYPERLINK("https://www.773grp.com/manufacturer/onsemi?pageNo=991", "Onsemi")</f>
        <v>Onsemi</v>
      </c>
      <c r="C15820" s="6">
        <v>2200</v>
      </c>
      <c r="D15820" s="7">
        <v>4</v>
      </c>
      <c r="E15820" t="s">
        <v>5</v>
      </c>
    </row>
    <row r="15821" spans="1:5" x14ac:dyDescent="0.25">
      <c r="A15821" t="str">
        <f>HYPERLINK("https://www.773grp.com/globalSearch/MTAJ30N06ELFK/page-1", "MTAJ30N06ELFK")</f>
        <v>MTAJ30N06ELFK</v>
      </c>
      <c r="B15821" s="3" t="str">
        <f>HYPERLINK("https://www.773grp.com/manufacturer/onsemi?pageNo=992", "Onsemi")</f>
        <v>Onsemi</v>
      </c>
      <c r="C15821" s="6">
        <v>396</v>
      </c>
      <c r="D15821" s="7">
        <v>4</v>
      </c>
    </row>
    <row r="15822" spans="1:5" x14ac:dyDescent="0.25">
      <c r="A15822" t="str">
        <f>HYPERLINK("https://www.773grp.com/globalSearch/CAT5113VI10/page-1", "CAT5113VI10")</f>
        <v>CAT5113VI10</v>
      </c>
      <c r="B15822" s="3" t="str">
        <f>HYPERLINK("https://www.773grp.com/manufacturer/onsemi?pageNo=993", "Onsemi")</f>
        <v>Onsemi</v>
      </c>
      <c r="C15822" s="6">
        <v>64</v>
      </c>
      <c r="D15822" s="7">
        <v>4.4400000000000004</v>
      </c>
      <c r="E15822" t="s">
        <v>78</v>
      </c>
    </row>
    <row r="15823" spans="1:5" x14ac:dyDescent="0.25">
      <c r="A15823" t="str">
        <f>HYPERLINK("https://www.773grp.com/globalSearch/CAT5114VI-00-GT3/page-1", "CAT5114VI-00-GT3")</f>
        <v>CAT5114VI-00-GT3</v>
      </c>
      <c r="B15823" s="3" t="str">
        <f>HYPERLINK("https://www.773grp.com/manufacturer/onsemi?pageNo=994", "Onsemi")</f>
        <v>Onsemi</v>
      </c>
      <c r="C15823" s="6">
        <v>8740</v>
      </c>
      <c r="D15823" s="7">
        <v>4.4400000000000004</v>
      </c>
      <c r="E15823" t="s">
        <v>78</v>
      </c>
    </row>
    <row r="15824" spans="1:5" x14ac:dyDescent="0.25">
      <c r="A15824" t="str">
        <f>HYPERLINK("https://www.773grp.com/globalSearch/CAT5114VI10/page-1", "CAT5114VI10")</f>
        <v>CAT5114VI10</v>
      </c>
      <c r="B15824" s="3" t="str">
        <f>HYPERLINK("https://www.773grp.com/manufacturer/onsemi?pageNo=995", "Onsemi")</f>
        <v>Onsemi</v>
      </c>
      <c r="C15824" s="6">
        <v>2900</v>
      </c>
      <c r="D15824" s="7">
        <v>4.4400000000000004</v>
      </c>
      <c r="E15824" t="s">
        <v>78</v>
      </c>
    </row>
    <row r="15825" spans="1:5" x14ac:dyDescent="0.25">
      <c r="A15825" t="str">
        <f>HYPERLINK("https://www.773grp.com/globalSearch/CAT5114VI-10-GT3/page-1", "CAT5114VI-10-GT3")</f>
        <v>CAT5114VI-10-GT3</v>
      </c>
      <c r="B15825" s="3" t="str">
        <f>HYPERLINK("https://www.773grp.com/manufacturer/onsemi?pageNo=996", "Onsemi")</f>
        <v>Onsemi</v>
      </c>
      <c r="C15825" s="6">
        <v>6000</v>
      </c>
      <c r="D15825" s="7">
        <v>4.4400000000000004</v>
      </c>
      <c r="E15825" t="s">
        <v>78</v>
      </c>
    </row>
    <row r="15826" spans="1:5" x14ac:dyDescent="0.25">
      <c r="A15826" t="str">
        <f>HYPERLINK("https://www.773grp.com/globalSearch/CAT5114VI-10-T3/page-1", "CAT5114VI-10-T3")</f>
        <v>CAT5114VI-10-T3</v>
      </c>
      <c r="B15826" s="3" t="str">
        <f>HYPERLINK("https://www.773grp.com/manufacturer/onsemi?pageNo=997", "Onsemi")</f>
        <v>Onsemi</v>
      </c>
      <c r="C15826" s="6">
        <v>3000</v>
      </c>
      <c r="D15826" s="7">
        <v>4.4400000000000004</v>
      </c>
    </row>
    <row r="15827" spans="1:5" x14ac:dyDescent="0.25">
      <c r="A15827" t="str">
        <f>HYPERLINK("https://www.773grp.com/globalSearch/CAT5114VI50/page-1", "CAT5114VI50")</f>
        <v>CAT5114VI50</v>
      </c>
      <c r="B15827" s="3" t="str">
        <f>HYPERLINK("https://www.773grp.com/manufacturer/onsemi?pageNo=998", "Onsemi")</f>
        <v>Onsemi</v>
      </c>
      <c r="C15827" s="6">
        <v>18108</v>
      </c>
      <c r="D15827" s="7">
        <v>4.4400000000000004</v>
      </c>
      <c r="E15827" t="s">
        <v>78</v>
      </c>
    </row>
    <row r="15828" spans="1:5" x14ac:dyDescent="0.25">
      <c r="A15828" t="str">
        <f>HYPERLINK("https://www.773grp.com/globalSearch/CAT5114VI-50-G/page-1", "CAT5114VI-50-G")</f>
        <v>CAT5114VI-50-G</v>
      </c>
      <c r="B15828" s="3" t="str">
        <f>HYPERLINK("https://www.773grp.com/manufacturer/onsemi?pageNo=999", "Onsemi")</f>
        <v>Onsemi</v>
      </c>
      <c r="C15828" s="6">
        <v>4000</v>
      </c>
      <c r="D15828" s="7">
        <v>4.4400000000000004</v>
      </c>
      <c r="E15828" t="s">
        <v>78</v>
      </c>
    </row>
    <row r="15829" spans="1:5" x14ac:dyDescent="0.25">
      <c r="A15829" t="str">
        <f>HYPERLINK("https://www.773grp.com/globalSearch/CAT5114YI-10-GT3/page-1", "CAT5114YI-10-GT3")</f>
        <v>CAT5114YI-10-GT3</v>
      </c>
      <c r="B15829" s="3" t="str">
        <f>HYPERLINK("https://www.773grp.com/manufacturer/onsemi?pageNo=1000", "Onsemi")</f>
        <v>Onsemi</v>
      </c>
      <c r="C15829" s="6">
        <v>3000</v>
      </c>
      <c r="D15829" s="7">
        <v>4.4400000000000004</v>
      </c>
      <c r="E15829" t="s">
        <v>78</v>
      </c>
    </row>
    <row r="15830" spans="1:5" x14ac:dyDescent="0.25">
      <c r="A15830" t="str">
        <f>HYPERLINK("https://www.773grp.com/globalSearch/CAT5114YI-10-T3/page-1", "CAT5114YI-10-T3")</f>
        <v>CAT5114YI-10-T3</v>
      </c>
      <c r="B15830" s="3" t="str">
        <f>HYPERLINK("https://www.773grp.com/manufacturer/onsemi?pageNo=1001", "Onsemi")</f>
        <v>Onsemi</v>
      </c>
      <c r="C15830" s="6">
        <v>9000</v>
      </c>
      <c r="D15830" s="7">
        <v>4.4400000000000004</v>
      </c>
    </row>
    <row r="15831" spans="1:5" x14ac:dyDescent="0.25">
      <c r="A15831" t="str">
        <f>HYPERLINK("https://www.773grp.com/globalSearch/CS3865CGDW16/page-1", "CS3865CGDW16")</f>
        <v>CS3865CGDW16</v>
      </c>
      <c r="B15831" s="3" t="str">
        <f>HYPERLINK("https://www.773grp.com/manufacturer/onsemi?pageNo=1002", "Onsemi")</f>
        <v>Onsemi</v>
      </c>
      <c r="C15831" s="6">
        <v>3669</v>
      </c>
      <c r="D15831" s="7">
        <v>4.4400000000000004</v>
      </c>
      <c r="E15831" t="s">
        <v>5</v>
      </c>
    </row>
    <row r="15832" spans="1:5" x14ac:dyDescent="0.25">
      <c r="A15832" t="str">
        <f>HYPERLINK("https://www.773grp.com/globalSearch/CS5231-3GDFR8/page-1", "CS5231-3GDFR8")</f>
        <v>CS5231-3GDFR8</v>
      </c>
      <c r="B15832" s="3" t="str">
        <f>HYPERLINK("https://www.773grp.com/manufacturer/onsemi?pageNo=1003", "Onsemi")</f>
        <v>Onsemi</v>
      </c>
      <c r="C15832" s="6">
        <v>2500</v>
      </c>
      <c r="D15832" s="7">
        <v>4.4400000000000004</v>
      </c>
      <c r="E15832" t="s">
        <v>15</v>
      </c>
    </row>
    <row r="15833" spans="1:5" x14ac:dyDescent="0.25">
      <c r="A15833" t="str">
        <f>HYPERLINK("https://www.773grp.com/globalSearch/CS7054YDWR16/page-1", "CS7054YDWR16")</f>
        <v>CS7054YDWR16</v>
      </c>
      <c r="B15833" s="3" t="str">
        <f>HYPERLINK("https://www.773grp.com/manufacturer/onsemi?pageNo=1004", "Onsemi")</f>
        <v>Onsemi</v>
      </c>
      <c r="C15833" s="6">
        <v>1000</v>
      </c>
      <c r="D15833" s="7">
        <v>4.4400000000000004</v>
      </c>
      <c r="E15833" t="s">
        <v>12</v>
      </c>
    </row>
    <row r="15834" spans="1:5" x14ac:dyDescent="0.25">
      <c r="A15834" t="str">
        <f>HYPERLINK("https://www.773grp.com/globalSearch/CS8129YDWR16/page-1", "CS8129YDWR16")</f>
        <v>CS8129YDWR16</v>
      </c>
      <c r="B15834" s="3" t="str">
        <f>HYPERLINK("https://www.773grp.com/manufacturer/onsemi?pageNo=1005", "Onsemi")</f>
        <v>Onsemi</v>
      </c>
      <c r="C15834" s="6">
        <v>1000</v>
      </c>
      <c r="D15834" s="7">
        <v>4.4400000000000004</v>
      </c>
      <c r="E15834" t="s">
        <v>15</v>
      </c>
    </row>
    <row r="15835" spans="1:5" x14ac:dyDescent="0.25">
      <c r="A15835" t="str">
        <f>HYPERLINK("https://www.773grp.com/globalSearch/CS8182DTG/page-1", "CS8182DTG")</f>
        <v>CS8182DTG</v>
      </c>
      <c r="B15835" s="3" t="str">
        <f>HYPERLINK("https://www.773grp.com/manufacturer/onsemi?pageNo=1006", "Onsemi")</f>
        <v>Onsemi</v>
      </c>
      <c r="C15835" s="6">
        <v>2280</v>
      </c>
      <c r="D15835" s="7">
        <v>4.4400000000000004</v>
      </c>
      <c r="E15835" t="s">
        <v>21</v>
      </c>
    </row>
    <row r="15836" spans="1:5" x14ac:dyDescent="0.25">
      <c r="A15836" t="str">
        <f>HYPERLINK("https://www.773grp.com/globalSearch/CS8182DTRKG/page-1", "CS8182DTRKG")</f>
        <v>CS8182DTRKG</v>
      </c>
      <c r="B15836" s="3" t="str">
        <f>HYPERLINK("https://www.773grp.com/manufacturer/onsemi?pageNo=1007", "Onsemi")</f>
        <v>Onsemi</v>
      </c>
      <c r="C15836" s="6">
        <v>4411</v>
      </c>
      <c r="D15836" s="7">
        <v>4.4400000000000004</v>
      </c>
      <c r="E15836" t="s">
        <v>21</v>
      </c>
    </row>
    <row r="15837" spans="1:5" x14ac:dyDescent="0.25">
      <c r="A15837" t="str">
        <f>HYPERLINK("https://www.773grp.com/globalSearch/LA4425F-E/page-1", "LA4425F-E")</f>
        <v>LA4425F-E</v>
      </c>
      <c r="B15837" s="3" t="str">
        <f>HYPERLINK("https://www.773grp.com/manufacturer/onsemi?pageNo=1008", "Onsemi")</f>
        <v>Onsemi</v>
      </c>
      <c r="C15837" s="6">
        <v>350</v>
      </c>
      <c r="D15837" s="7">
        <v>4.4400000000000004</v>
      </c>
    </row>
    <row r="15838" spans="1:5" x14ac:dyDescent="0.25">
      <c r="A15838" t="str">
        <f>HYPERLINK("https://www.773grp.com/globalSearch/LB1973JA-ZH/page-1", "LB1973JA-ZH")</f>
        <v>LB1973JA-ZH</v>
      </c>
      <c r="B15838" s="3" t="str">
        <f>HYPERLINK("https://www.773grp.com/manufacturer/onsemi?pageNo=1009", "Onsemi")</f>
        <v>Onsemi</v>
      </c>
      <c r="C15838" s="6">
        <v>313</v>
      </c>
      <c r="D15838" s="7">
        <v>4.4400000000000004</v>
      </c>
    </row>
    <row r="15839" spans="1:5" x14ac:dyDescent="0.25">
      <c r="A15839" t="str">
        <f>HYPERLINK("https://www.773grp.com/globalSearch/LV8082LP-TE-L-H/page-1", "LV8082LP-TE-L-H")</f>
        <v>LV8082LP-TE-L-H</v>
      </c>
      <c r="B15839" s="3" t="str">
        <f>HYPERLINK("https://www.773grp.com/manufacturer/onsemi?pageNo=1010", "Onsemi")</f>
        <v>Onsemi</v>
      </c>
      <c r="C15839" s="6">
        <v>1986</v>
      </c>
      <c r="D15839" s="7">
        <v>4.4400000000000004</v>
      </c>
    </row>
    <row r="15840" spans="1:5" x14ac:dyDescent="0.25">
      <c r="A15840" t="str">
        <f>HYPERLINK("https://www.773grp.com/globalSearch/MC10172P/page-1", "MC10172P")</f>
        <v>MC10172P</v>
      </c>
      <c r="B15840" s="3" t="str">
        <f>HYPERLINK("https://www.773grp.com/manufacturer/onsemi?pageNo=1011", "Onsemi")</f>
        <v>Onsemi</v>
      </c>
      <c r="C15840" s="6">
        <v>2275</v>
      </c>
      <c r="D15840" s="7">
        <v>4.4400000000000004</v>
      </c>
      <c r="E15840" t="s">
        <v>32</v>
      </c>
    </row>
    <row r="15841" spans="1:5" x14ac:dyDescent="0.25">
      <c r="A15841" t="str">
        <f>HYPERLINK("https://www.773grp.com/globalSearch/MC14553BCP/page-1", "MC14553BCP")</f>
        <v>MC14553BCP</v>
      </c>
      <c r="B15841" s="3" t="str">
        <f>HYPERLINK("https://www.773grp.com/manufacturer/onsemi?pageNo=1012", "Onsemi")</f>
        <v>Onsemi</v>
      </c>
      <c r="C15841" s="6">
        <v>635</v>
      </c>
      <c r="D15841" s="7">
        <v>4.4400000000000004</v>
      </c>
      <c r="E15841" t="s">
        <v>22</v>
      </c>
    </row>
    <row r="15842" spans="1:5" x14ac:dyDescent="0.25">
      <c r="A15842" t="str">
        <f>HYPERLINK("https://www.773grp.com/globalSearch/MC14553BCPG/page-1", "MC14553BCPG")</f>
        <v>MC14553BCPG</v>
      </c>
      <c r="B15842" s="3" t="str">
        <f>HYPERLINK("https://www.773grp.com/manufacturer/onsemi?pageNo=1013", "Onsemi")</f>
        <v>Onsemi</v>
      </c>
      <c r="C15842" s="6">
        <v>668</v>
      </c>
      <c r="D15842" s="7">
        <v>4.4400000000000004</v>
      </c>
      <c r="E15842" t="s">
        <v>22</v>
      </c>
    </row>
    <row r="15843" spans="1:5" x14ac:dyDescent="0.25">
      <c r="A15843" t="str">
        <f>HYPERLINK("https://www.773grp.com/globalSearch/MC74ACT640DWG/page-1", "MC74ACT640DWG")</f>
        <v>MC74ACT640DWG</v>
      </c>
      <c r="B15843" s="3" t="str">
        <f>HYPERLINK("https://www.773grp.com/manufacturer/onsemi?pageNo=1014", "Onsemi")</f>
        <v>Onsemi</v>
      </c>
      <c r="C15843" s="6">
        <v>2018</v>
      </c>
      <c r="D15843" s="7">
        <v>4.4400000000000004</v>
      </c>
      <c r="E15843" t="s">
        <v>11</v>
      </c>
    </row>
    <row r="15844" spans="1:5" x14ac:dyDescent="0.25">
      <c r="A15844" t="str">
        <f>HYPERLINK("https://www.773grp.com/globalSearch/MC74ACT640DWR2G/page-1", "MC74ACT640DWR2G")</f>
        <v>MC74ACT640DWR2G</v>
      </c>
      <c r="B15844" s="3" t="str">
        <f>HYPERLINK("https://www.773grp.com/manufacturer/onsemi?pageNo=1015", "Onsemi")</f>
        <v>Onsemi</v>
      </c>
      <c r="C15844" s="6">
        <v>1994</v>
      </c>
      <c r="D15844" s="7">
        <v>4.4400000000000004</v>
      </c>
      <c r="E15844" t="s">
        <v>11</v>
      </c>
    </row>
    <row r="15845" spans="1:5" x14ac:dyDescent="0.25">
      <c r="A15845" t="str">
        <f>HYPERLINK("https://www.773grp.com/globalSearch/MGP20N60U/page-1", "MGP20N60U")</f>
        <v>MGP20N60U</v>
      </c>
      <c r="B15845" s="3" t="str">
        <f>HYPERLINK("https://www.773grp.com/manufacturer/onsemi?pageNo=1016", "Onsemi")</f>
        <v>Onsemi</v>
      </c>
      <c r="C15845" s="6">
        <v>323</v>
      </c>
      <c r="D15845" s="7">
        <v>4.4400000000000004</v>
      </c>
      <c r="E15845" t="s">
        <v>94</v>
      </c>
    </row>
    <row r="15846" spans="1:5" x14ac:dyDescent="0.25">
      <c r="A15846" t="str">
        <f>HYPERLINK("https://www.773grp.com/globalSearch/NCV317BD2TR4G/page-1", "NCV317BD2TR4G")</f>
        <v>NCV317BD2TR4G</v>
      </c>
      <c r="B15846" s="3" t="str">
        <f>HYPERLINK("https://www.773grp.com/manufacturer/onsemi?pageNo=1017", "Onsemi")</f>
        <v>Onsemi</v>
      </c>
      <c r="C15846" s="6">
        <v>52800</v>
      </c>
      <c r="D15846" s="7">
        <v>4.4400000000000004</v>
      </c>
      <c r="E15846" t="s">
        <v>18</v>
      </c>
    </row>
    <row r="15847" spans="1:5" x14ac:dyDescent="0.25">
      <c r="A15847" t="str">
        <f>HYPERLINK("https://www.773grp.com/globalSearch/NCV8501PDW100G/page-1", "NCV8501PDW100G")</f>
        <v>NCV8501PDW100G</v>
      </c>
      <c r="B15847" s="3" t="str">
        <f>HYPERLINK("https://www.773grp.com/manufacturer/onsemi?pageNo=1018", "Onsemi")</f>
        <v>Onsemi</v>
      </c>
      <c r="C15847" s="6">
        <v>1024</v>
      </c>
      <c r="D15847" s="7">
        <v>4.4400000000000004</v>
      </c>
      <c r="E15847" t="s">
        <v>15</v>
      </c>
    </row>
    <row r="15848" spans="1:5" x14ac:dyDescent="0.25">
      <c r="A15848" t="str">
        <f>HYPERLINK("https://www.773grp.com/globalSearch/NCV8501PDW100R2G/page-1", "NCV8501PDW100R2G")</f>
        <v>NCV8501PDW100R2G</v>
      </c>
      <c r="B15848" s="3" t="str">
        <f>HYPERLINK("https://www.773grp.com/manufacturer/onsemi?pageNo=1019", "Onsemi")</f>
        <v>Onsemi</v>
      </c>
      <c r="C15848" s="6">
        <v>3000</v>
      </c>
      <c r="D15848" s="7">
        <v>4.4400000000000004</v>
      </c>
      <c r="E15848" t="s">
        <v>15</v>
      </c>
    </row>
    <row r="15849" spans="1:5" x14ac:dyDescent="0.25">
      <c r="A15849" t="str">
        <f>HYPERLINK("https://www.773grp.com/globalSearch/NCV8501PDW25G/page-1", "NCV8501PDW25G")</f>
        <v>NCV8501PDW25G</v>
      </c>
      <c r="B15849" s="3" t="str">
        <f>HYPERLINK("https://www.773grp.com/manufacturer/onsemi?pageNo=1020", "Onsemi")</f>
        <v>Onsemi</v>
      </c>
      <c r="C15849" s="6">
        <v>1363</v>
      </c>
      <c r="D15849" s="7">
        <v>4.4400000000000004</v>
      </c>
      <c r="E15849" t="s">
        <v>15</v>
      </c>
    </row>
    <row r="15850" spans="1:5" x14ac:dyDescent="0.25">
      <c r="A15850" t="str">
        <f>HYPERLINK("https://www.773grp.com/globalSearch/NCV8501PDW25R2G/page-1", "NCV8501PDW25R2G")</f>
        <v>NCV8501PDW25R2G</v>
      </c>
      <c r="B15850" s="3" t="str">
        <f>HYPERLINK("https://www.773grp.com/manufacturer/onsemi?pageNo=1021", "Onsemi")</f>
        <v>Onsemi</v>
      </c>
      <c r="C15850" s="6">
        <v>2000</v>
      </c>
      <c r="D15850" s="7">
        <v>4.4400000000000004</v>
      </c>
      <c r="E15850" t="s">
        <v>15</v>
      </c>
    </row>
    <row r="15851" spans="1:5" x14ac:dyDescent="0.25">
      <c r="A15851" t="str">
        <f>HYPERLINK("https://www.773grp.com/globalSearch/NCV8501PDW33G/page-1", "NCV8501PDW33G")</f>
        <v>NCV8501PDW33G</v>
      </c>
      <c r="B15851" s="3" t="str">
        <f>HYPERLINK("https://www.773grp.com/manufacturer/onsemi?pageNo=1022", "Onsemi")</f>
        <v>Onsemi</v>
      </c>
      <c r="C15851" s="6">
        <v>1081</v>
      </c>
      <c r="D15851" s="7">
        <v>4.4400000000000004</v>
      </c>
      <c r="E15851" t="s">
        <v>15</v>
      </c>
    </row>
    <row r="15852" spans="1:5" x14ac:dyDescent="0.25">
      <c r="A15852" t="str">
        <f>HYPERLINK("https://www.773grp.com/globalSearch/NCV8501PDW33R2G/page-1", "NCV8501PDW33R2G")</f>
        <v>NCV8501PDW33R2G</v>
      </c>
      <c r="B15852" s="3" t="str">
        <f>HYPERLINK("https://www.773grp.com/manufacturer/onsemi?pageNo=1023", "Onsemi")</f>
        <v>Onsemi</v>
      </c>
      <c r="C15852" s="6">
        <v>7995</v>
      </c>
      <c r="D15852" s="7">
        <v>4.4400000000000004</v>
      </c>
      <c r="E15852" t="s">
        <v>15</v>
      </c>
    </row>
    <row r="15853" spans="1:5" x14ac:dyDescent="0.25">
      <c r="A15853" t="str">
        <f>HYPERLINK("https://www.773grp.com/globalSearch/NCV8501PDW50G/page-1", "NCV8501PDW50G")</f>
        <v>NCV8501PDW50G</v>
      </c>
      <c r="B15853" s="3" t="str">
        <f>HYPERLINK("https://www.773grp.com/manufacturer/onsemi?pageNo=1024", "Onsemi")</f>
        <v>Onsemi</v>
      </c>
      <c r="C15853" s="6">
        <v>1445</v>
      </c>
      <c r="D15853" s="7">
        <v>4.4400000000000004</v>
      </c>
      <c r="E15853" t="s">
        <v>15</v>
      </c>
    </row>
    <row r="15854" spans="1:5" x14ac:dyDescent="0.25">
      <c r="A15854" t="str">
        <f>HYPERLINK("https://www.773grp.com/globalSearch/NCV8501PDW50R2G/page-1", "NCV8501PDW50R2G")</f>
        <v>NCV8501PDW50R2G</v>
      </c>
      <c r="B15854" s="3" t="str">
        <f>HYPERLINK("https://www.773grp.com/manufacturer/onsemi?pageNo=1025", "Onsemi")</f>
        <v>Onsemi</v>
      </c>
      <c r="C15854" s="6">
        <v>5910</v>
      </c>
      <c r="D15854" s="7">
        <v>4.4400000000000004</v>
      </c>
      <c r="E15854" t="s">
        <v>15</v>
      </c>
    </row>
    <row r="15855" spans="1:5" x14ac:dyDescent="0.25">
      <c r="A15855" t="str">
        <f>HYPERLINK("https://www.773grp.com/globalSearch/NCV8501PDW80G/page-1", "NCV8501PDW80G")</f>
        <v>NCV8501PDW80G</v>
      </c>
      <c r="B15855" s="3" t="str">
        <f>HYPERLINK("https://www.773grp.com/manufacturer/onsemi?pageNo=1026", "Onsemi")</f>
        <v>Onsemi</v>
      </c>
      <c r="C15855" s="6">
        <v>2767</v>
      </c>
      <c r="D15855" s="7">
        <v>4.4400000000000004</v>
      </c>
      <c r="E15855" t="s">
        <v>15</v>
      </c>
    </row>
    <row r="15856" spans="1:5" x14ac:dyDescent="0.25">
      <c r="A15856" t="str">
        <f>HYPERLINK("https://www.773grp.com/globalSearch/NCV8501PDWADJG/page-1", "NCV8501PDWADJG")</f>
        <v>NCV8501PDWADJG</v>
      </c>
      <c r="B15856" s="3" t="str">
        <f>HYPERLINK("https://www.773grp.com/manufacturer/onsemi?pageNo=1027", "Onsemi")</f>
        <v>Onsemi</v>
      </c>
      <c r="C15856" s="6">
        <v>4258</v>
      </c>
      <c r="D15856" s="7">
        <v>4.4400000000000004</v>
      </c>
      <c r="E15856" t="s">
        <v>21</v>
      </c>
    </row>
    <row r="15857" spans="1:5" x14ac:dyDescent="0.25">
      <c r="A15857" t="str">
        <f>HYPERLINK("https://www.773grp.com/globalSearch/NCV8502PDW100G/page-1", "NCV8502PDW100G")</f>
        <v>NCV8502PDW100G</v>
      </c>
      <c r="B15857" s="3" t="str">
        <f>HYPERLINK("https://www.773grp.com/manufacturer/onsemi?pageNo=1028", "Onsemi")</f>
        <v>Onsemi</v>
      </c>
      <c r="C15857" s="6">
        <v>2810</v>
      </c>
      <c r="D15857" s="7">
        <v>4.4400000000000004</v>
      </c>
      <c r="E15857" t="s">
        <v>15</v>
      </c>
    </row>
    <row r="15858" spans="1:5" x14ac:dyDescent="0.25">
      <c r="A15858" t="str">
        <f>HYPERLINK("https://www.773grp.com/globalSearch/NCV8502PDW100R2G/page-1", "NCV8502PDW100R2G")</f>
        <v>NCV8502PDW100R2G</v>
      </c>
      <c r="B15858" s="3" t="str">
        <f>HYPERLINK("https://www.773grp.com/manufacturer/onsemi?pageNo=1029", "Onsemi")</f>
        <v>Onsemi</v>
      </c>
      <c r="C15858" s="6">
        <v>1000</v>
      </c>
      <c r="D15858" s="7">
        <v>4.4400000000000004</v>
      </c>
      <c r="E15858" t="s">
        <v>15</v>
      </c>
    </row>
    <row r="15859" spans="1:5" x14ac:dyDescent="0.25">
      <c r="A15859" t="str">
        <f>HYPERLINK("https://www.773grp.com/globalSearch/NCV8502PDW25G/page-1", "NCV8502PDW25G")</f>
        <v>NCV8502PDW25G</v>
      </c>
      <c r="B15859" s="3" t="str">
        <f>HYPERLINK("https://www.773grp.com/manufacturer/onsemi?pageNo=1030", "Onsemi")</f>
        <v>Onsemi</v>
      </c>
      <c r="C15859" s="6">
        <v>225</v>
      </c>
      <c r="D15859" s="7">
        <v>4.4400000000000004</v>
      </c>
      <c r="E15859" t="s">
        <v>15</v>
      </c>
    </row>
    <row r="15860" spans="1:5" x14ac:dyDescent="0.25">
      <c r="A15860" t="str">
        <f>HYPERLINK("https://www.773grp.com/globalSearch/NCV8502PDW25R2G/page-1", "NCV8502PDW25R2G")</f>
        <v>NCV8502PDW25R2G</v>
      </c>
      <c r="B15860" s="3" t="str">
        <f>HYPERLINK("https://www.773grp.com/manufacturer/onsemi?pageNo=1031", "Onsemi")</f>
        <v>Onsemi</v>
      </c>
      <c r="C15860" s="6">
        <v>2000</v>
      </c>
      <c r="D15860" s="7">
        <v>4.4400000000000004</v>
      </c>
      <c r="E15860" t="s">
        <v>15</v>
      </c>
    </row>
    <row r="15861" spans="1:5" x14ac:dyDescent="0.25">
      <c r="A15861" t="str">
        <f>HYPERLINK("https://www.773grp.com/globalSearch/NCV8502PDW33G/page-1", "NCV8502PDW33G")</f>
        <v>NCV8502PDW33G</v>
      </c>
      <c r="B15861" s="3" t="str">
        <f>HYPERLINK("https://www.773grp.com/manufacturer/onsemi?pageNo=1032", "Onsemi")</f>
        <v>Onsemi</v>
      </c>
      <c r="C15861" s="6">
        <v>1917</v>
      </c>
      <c r="D15861" s="7">
        <v>4.4400000000000004</v>
      </c>
      <c r="E15861" t="s">
        <v>15</v>
      </c>
    </row>
    <row r="15862" spans="1:5" x14ac:dyDescent="0.25">
      <c r="A15862" t="str">
        <f>HYPERLINK("https://www.773grp.com/globalSearch/NCV8502PDW33R2G/page-1", "NCV8502PDW33R2G")</f>
        <v>NCV8502PDW33R2G</v>
      </c>
      <c r="B15862" s="3" t="str">
        <f>HYPERLINK("https://www.773grp.com/manufacturer/onsemi?pageNo=1033", "Onsemi")</f>
        <v>Onsemi</v>
      </c>
      <c r="C15862" s="6">
        <v>5000</v>
      </c>
      <c r="D15862" s="7">
        <v>4.4400000000000004</v>
      </c>
      <c r="E15862" t="s">
        <v>15</v>
      </c>
    </row>
    <row r="15863" spans="1:5" x14ac:dyDescent="0.25">
      <c r="A15863" t="str">
        <f>HYPERLINK("https://www.773grp.com/globalSearch/NCV8502PDW50R2G/page-1", "NCV8502PDW50R2G")</f>
        <v>NCV8502PDW50R2G</v>
      </c>
      <c r="B15863" s="3" t="str">
        <f>HYPERLINK("https://www.773grp.com/manufacturer/onsemi?pageNo=1034", "Onsemi")</f>
        <v>Onsemi</v>
      </c>
      <c r="C15863" s="6">
        <v>6250</v>
      </c>
      <c r="D15863" s="7">
        <v>4.4400000000000004</v>
      </c>
      <c r="E15863" t="s">
        <v>15</v>
      </c>
    </row>
    <row r="15864" spans="1:5" x14ac:dyDescent="0.25">
      <c r="A15864" t="str">
        <f>HYPERLINK("https://www.773grp.com/globalSearch/NCV8502PDW80G/page-1", "NCV8502PDW80G")</f>
        <v>NCV8502PDW80G</v>
      </c>
      <c r="B15864" s="3" t="str">
        <f>HYPERLINK("https://www.773grp.com/manufacturer/onsemi?pageNo=1035", "Onsemi")</f>
        <v>Onsemi</v>
      </c>
      <c r="C15864" s="6">
        <v>1034</v>
      </c>
      <c r="D15864" s="7">
        <v>4.4400000000000004</v>
      </c>
      <c r="E15864" t="s">
        <v>15</v>
      </c>
    </row>
    <row r="15865" spans="1:5" x14ac:dyDescent="0.25">
      <c r="A15865" t="str">
        <f>HYPERLINK("https://www.773grp.com/globalSearch/NCV8502PDW80R2G/page-1", "NCV8502PDW80R2G")</f>
        <v>NCV8502PDW80R2G</v>
      </c>
      <c r="B15865" s="3" t="str">
        <f>HYPERLINK("https://www.773grp.com/manufacturer/onsemi?pageNo=1036", "Onsemi")</f>
        <v>Onsemi</v>
      </c>
      <c r="C15865" s="6">
        <v>2990</v>
      </c>
      <c r="D15865" s="7">
        <v>4.4400000000000004</v>
      </c>
      <c r="E15865" t="s">
        <v>15</v>
      </c>
    </row>
    <row r="15866" spans="1:5" x14ac:dyDescent="0.25">
      <c r="A15866" t="str">
        <f>HYPERLINK("https://www.773grp.com/globalSearch/NCV8502PDWADJG/page-1", "NCV8502PDWADJG")</f>
        <v>NCV8502PDWADJG</v>
      </c>
      <c r="B15866" s="3" t="str">
        <f>HYPERLINK("https://www.773grp.com/manufacturer/onsemi?pageNo=1037", "Onsemi")</f>
        <v>Onsemi</v>
      </c>
      <c r="C15866" s="6">
        <v>12314</v>
      </c>
      <c r="D15866" s="7">
        <v>4.4400000000000004</v>
      </c>
      <c r="E15866" t="s">
        <v>21</v>
      </c>
    </row>
    <row r="15867" spans="1:5" x14ac:dyDescent="0.25">
      <c r="A15867" t="str">
        <f>HYPERLINK("https://www.773grp.com/globalSearch/NCV8502PDWADJR2G/page-1", "NCV8502PDWADJR2G")</f>
        <v>NCV8502PDWADJR2G</v>
      </c>
      <c r="B15867" s="3" t="str">
        <f>HYPERLINK("https://www.773grp.com/manufacturer/onsemi?pageNo=1038", "Onsemi")</f>
        <v>Onsemi</v>
      </c>
      <c r="C15867" s="6">
        <v>5000</v>
      </c>
      <c r="D15867" s="7">
        <v>4.4400000000000004</v>
      </c>
    </row>
    <row r="15868" spans="1:5" x14ac:dyDescent="0.25">
      <c r="A15868" t="str">
        <f>HYPERLINK("https://www.773grp.com/globalSearch/NCV85081BPD50R2G/page-1", "NCV85081BPD50R2G")</f>
        <v>NCV85081BPD50R2G</v>
      </c>
      <c r="B15868" s="3" t="str">
        <f>HYPERLINK("https://www.773grp.com/manufacturer/onsemi?pageNo=1039", "Onsemi")</f>
        <v>Onsemi</v>
      </c>
      <c r="C15868" s="6">
        <v>7500</v>
      </c>
      <c r="D15868" s="7">
        <v>4.4400000000000004</v>
      </c>
    </row>
    <row r="15869" spans="1:5" x14ac:dyDescent="0.25">
      <c r="A15869" t="str">
        <f>HYPERLINK("https://www.773grp.com/globalSearch/NCV85082BPD33R2G/page-1", "NCV85082BPD33R2G")</f>
        <v>NCV85082BPD33R2G</v>
      </c>
      <c r="B15869" s="3" t="str">
        <f>HYPERLINK("https://www.773grp.com/manufacturer/onsemi?pageNo=1040", "Onsemi")</f>
        <v>Onsemi</v>
      </c>
      <c r="C15869" s="6">
        <v>7500</v>
      </c>
      <c r="D15869" s="7">
        <v>4.4400000000000004</v>
      </c>
    </row>
    <row r="15870" spans="1:5" x14ac:dyDescent="0.25">
      <c r="A15870" t="str">
        <f>HYPERLINK("https://www.773grp.com/globalSearch/NCV8508PD50G/page-1", "NCV8508PD50G")</f>
        <v>NCV8508PD50G</v>
      </c>
      <c r="B15870" s="3" t="str">
        <f>HYPERLINK("https://www.773grp.com/manufacturer/onsemi?pageNo=1041", "Onsemi")</f>
        <v>Onsemi</v>
      </c>
      <c r="C15870" s="6">
        <v>34378</v>
      </c>
      <c r="D15870" s="7">
        <v>4.4400000000000004</v>
      </c>
      <c r="E15870" t="s">
        <v>15</v>
      </c>
    </row>
    <row r="15871" spans="1:5" x14ac:dyDescent="0.25">
      <c r="A15871" t="str">
        <f>HYPERLINK("https://www.773grp.com/globalSearch/NCV8508PD50R2G/page-1", "NCV8508PD50R2G")</f>
        <v>NCV8508PD50R2G</v>
      </c>
      <c r="B15871" s="3" t="str">
        <f>HYPERLINK("https://www.773grp.com/manufacturer/onsemi?pageNo=1042", "Onsemi")</f>
        <v>Onsemi</v>
      </c>
      <c r="C15871" s="6">
        <v>5000</v>
      </c>
      <c r="D15871" s="7">
        <v>4.4400000000000004</v>
      </c>
    </row>
    <row r="15872" spans="1:5" x14ac:dyDescent="0.25">
      <c r="A15872" t="str">
        <f>HYPERLINK("https://www.773grp.com/globalSearch/NCV8512PW50G/page-1", "NCV8512PW50G")</f>
        <v>NCV8512PW50G</v>
      </c>
      <c r="B15872" s="3" t="str">
        <f>HYPERLINK("https://www.773grp.com/manufacturer/onsemi?pageNo=1043", "Onsemi")</f>
        <v>Onsemi</v>
      </c>
      <c r="C15872" s="6">
        <v>1316</v>
      </c>
      <c r="D15872" s="7">
        <v>4.4400000000000004</v>
      </c>
      <c r="E15872" t="s">
        <v>15</v>
      </c>
    </row>
    <row r="15873" spans="1:5" x14ac:dyDescent="0.25">
      <c r="A15873" t="str">
        <f>HYPERLINK("https://www.773grp.com/globalSearch/NCV8512PW50R2G/page-1", "NCV8512PW50R2G")</f>
        <v>NCV8512PW50R2G</v>
      </c>
      <c r="B15873" s="3" t="str">
        <f>HYPERLINK("https://www.773grp.com/manufacturer/onsemi?pageNo=1044", "Onsemi")</f>
        <v>Onsemi</v>
      </c>
      <c r="C15873" s="6">
        <v>22935</v>
      </c>
      <c r="D15873" s="7">
        <v>4.4400000000000004</v>
      </c>
      <c r="E15873" t="s">
        <v>15</v>
      </c>
    </row>
    <row r="15874" spans="1:5" x14ac:dyDescent="0.25">
      <c r="A15874" t="str">
        <f>HYPERLINK("https://www.773grp.com/globalSearch/NGTB20N120IHLWG/page-1", "NGTB20N120IHLWG")</f>
        <v>NGTB20N120IHLWG</v>
      </c>
      <c r="B15874" s="3" t="str">
        <f>HYPERLINK("https://www.773grp.com/manufacturer/onsemi?pageNo=1045", "Onsemi")</f>
        <v>Onsemi</v>
      </c>
      <c r="C15874" s="6">
        <v>9990</v>
      </c>
      <c r="D15874" s="7">
        <v>4.4400000000000004</v>
      </c>
    </row>
    <row r="15875" spans="1:5" x14ac:dyDescent="0.25">
      <c r="A15875" t="str">
        <f>HYPERLINK("https://www.773grp.com/globalSearch/TE02486/page-1", "TE02486")</f>
        <v>TE02486</v>
      </c>
      <c r="B15875" s="3" t="str">
        <f>HYPERLINK("https://www.773grp.com/manufacturer/onsemi?pageNo=1046", "Onsemi")</f>
        <v>Onsemi</v>
      </c>
      <c r="C15875" s="6">
        <v>1680</v>
      </c>
      <c r="D15875" s="7">
        <v>4.4400000000000004</v>
      </c>
    </row>
    <row r="15876" spans="1:5" x14ac:dyDescent="0.25">
      <c r="A15876" t="str">
        <f>HYPERLINK("https://www.773grp.com/globalSearch/LM2576D2T-012G/page-1", "LM2576D2T-012G")</f>
        <v>LM2576D2T-012G</v>
      </c>
      <c r="B15876" s="3" t="str">
        <f>HYPERLINK("https://www.773grp.com/manufacturer/onsemi?pageNo=1047", "Onsemi")</f>
        <v>Onsemi</v>
      </c>
      <c r="C15876" s="6">
        <v>1500</v>
      </c>
      <c r="D15876" s="7">
        <v>4.01</v>
      </c>
    </row>
    <row r="15877" spans="1:5" x14ac:dyDescent="0.25">
      <c r="A15877" t="str">
        <f>HYPERLINK("https://www.773grp.com/globalSearch/LM2576D2T-3.3G/page-1", "LM2576D2T-3.3G")</f>
        <v>LM2576D2T-3.3G</v>
      </c>
      <c r="B15877" s="3" t="str">
        <f>HYPERLINK("https://www.773grp.com/manufacturer/onsemi?pageNo=1048", "Onsemi")</f>
        <v>Onsemi</v>
      </c>
      <c r="C15877" s="6">
        <v>2150</v>
      </c>
      <c r="D15877" s="7">
        <v>4.01</v>
      </c>
    </row>
    <row r="15878" spans="1:5" x14ac:dyDescent="0.25">
      <c r="A15878" t="str">
        <f>HYPERLINK("https://www.773grp.com/globalSearch/LV8044LP-MPB-E/page-1", "LV8044LP-MPB-E")</f>
        <v>LV8044LP-MPB-E</v>
      </c>
      <c r="B15878" s="3" t="str">
        <f>HYPERLINK("https://www.773grp.com/manufacturer/onsemi?pageNo=1049", "Onsemi")</f>
        <v>Onsemi</v>
      </c>
      <c r="C15878" s="6">
        <v>590</v>
      </c>
      <c r="D15878" s="7">
        <v>4.01</v>
      </c>
    </row>
    <row r="15879" spans="1:5" x14ac:dyDescent="0.25">
      <c r="A15879" t="str">
        <f>HYPERLINK("https://www.773grp.com/globalSearch/LV8044LP-MPB-H/page-1", "LV8044LP-MPB-H")</f>
        <v>LV8044LP-MPB-H</v>
      </c>
      <c r="B15879" s="3" t="str">
        <f>HYPERLINK("https://www.773grp.com/manufacturer/onsemi?pageNo=1050", "Onsemi")</f>
        <v>Onsemi</v>
      </c>
      <c r="C15879" s="6">
        <v>200</v>
      </c>
      <c r="D15879" s="7">
        <v>4.01</v>
      </c>
    </row>
    <row r="15880" spans="1:5" x14ac:dyDescent="0.25">
      <c r="A15880" t="str">
        <f>HYPERLINK("https://www.773grp.com/globalSearch/MC10216FN/page-1", "MC10216FN")</f>
        <v>MC10216FN</v>
      </c>
      <c r="B15880" s="3" t="str">
        <f>HYPERLINK("https://www.773grp.com/manufacturer/onsemi?pageNo=1051", "Onsemi")</f>
        <v>Onsemi</v>
      </c>
      <c r="C15880" s="6">
        <v>6980</v>
      </c>
      <c r="D15880" s="7">
        <v>4.01</v>
      </c>
      <c r="E15880" t="s">
        <v>17</v>
      </c>
    </row>
    <row r="15881" spans="1:5" x14ac:dyDescent="0.25">
      <c r="A15881" t="str">
        <f>HYPERLINK("https://www.773grp.com/globalSearch/NCN6000DTBR2/page-1", "NCN6000DTBR2")</f>
        <v>NCN6000DTBR2</v>
      </c>
      <c r="B15881" s="3" t="str">
        <f>HYPERLINK("https://www.773grp.com/manufacturer/onsemi?pageNo=1052", "Onsemi")</f>
        <v>Onsemi</v>
      </c>
      <c r="C15881" s="6">
        <v>1</v>
      </c>
      <c r="D15881" s="7">
        <v>4.01</v>
      </c>
    </row>
    <row r="15882" spans="1:5" x14ac:dyDescent="0.25">
      <c r="A15882" t="str">
        <f>HYPERLINK("https://www.773grp.com/globalSearch/CS8140YT7/page-1", "CS8140YT7")</f>
        <v>CS8140YT7</v>
      </c>
      <c r="B15882" s="3" t="str">
        <f>HYPERLINK("https://www.773grp.com/manufacturer/onsemi?pageNo=1053", "Onsemi")</f>
        <v>Onsemi</v>
      </c>
      <c r="C15882" s="6">
        <v>2800</v>
      </c>
      <c r="D15882" s="7">
        <v>4.05</v>
      </c>
      <c r="E15882" t="s">
        <v>15</v>
      </c>
    </row>
    <row r="15883" spans="1:5" x14ac:dyDescent="0.25">
      <c r="A15883" t="str">
        <f>HYPERLINK("https://www.773grp.com/globalSearch/CS8182YDPSR5/page-1", "CS8182YDPSR5")</f>
        <v>CS8182YDPSR5</v>
      </c>
      <c r="B15883" s="3" t="str">
        <f>HYPERLINK("https://www.773grp.com/manufacturer/onsemi?pageNo=1054", "Onsemi")</f>
        <v>Onsemi</v>
      </c>
      <c r="C15883" s="6">
        <v>6000</v>
      </c>
      <c r="D15883" s="7">
        <v>4.05</v>
      </c>
      <c r="E15883" t="s">
        <v>21</v>
      </c>
    </row>
    <row r="15884" spans="1:5" x14ac:dyDescent="0.25">
      <c r="A15884" t="str">
        <f>HYPERLINK("https://www.773grp.com/globalSearch/MBR4045PTG/page-1", "MBR4045PTG")</f>
        <v>MBR4045PTG</v>
      </c>
      <c r="B15884" s="3" t="str">
        <f>HYPERLINK("https://www.773grp.com/manufacturer/onsemi?pageNo=1055", "Onsemi")</f>
        <v>Onsemi</v>
      </c>
      <c r="C15884" s="6">
        <v>6558</v>
      </c>
      <c r="D15884" s="7">
        <v>4.05</v>
      </c>
      <c r="E15884" t="s">
        <v>82</v>
      </c>
    </row>
    <row r="15885" spans="1:5" x14ac:dyDescent="0.25">
      <c r="A15885" t="str">
        <f>HYPERLINK("https://www.773grp.com/globalSearch/MC33166TG/page-1", "MC33166TG")</f>
        <v>MC33166TG</v>
      </c>
      <c r="B15885" s="3" t="str">
        <f>HYPERLINK("https://www.773grp.com/manufacturer/onsemi?pageNo=1056", "Onsemi")</f>
        <v>Onsemi</v>
      </c>
      <c r="C15885" s="6">
        <v>2600</v>
      </c>
      <c r="D15885" s="7">
        <v>4.05</v>
      </c>
      <c r="E15885" t="s">
        <v>5</v>
      </c>
    </row>
    <row r="15886" spans="1:5" x14ac:dyDescent="0.25">
      <c r="A15886" t="str">
        <f>HYPERLINK("https://www.773grp.com/globalSearch/MC33166THG/page-1", "MC33166THG")</f>
        <v>MC33166THG</v>
      </c>
      <c r="B15886" s="3" t="str">
        <f>HYPERLINK("https://www.773grp.com/manufacturer/onsemi?pageNo=1057", "Onsemi")</f>
        <v>Onsemi</v>
      </c>
      <c r="C15886" s="6">
        <v>447</v>
      </c>
      <c r="D15886" s="7">
        <v>4.05</v>
      </c>
      <c r="E15886" t="s">
        <v>5</v>
      </c>
    </row>
    <row r="15887" spans="1:5" x14ac:dyDescent="0.25">
      <c r="A15887" t="str">
        <f>HYPERLINK("https://www.773grp.com/globalSearch/MC33167TG/page-1", "MC33167TG")</f>
        <v>MC33167TG</v>
      </c>
      <c r="B15887" s="3" t="str">
        <f>HYPERLINK("https://www.773grp.com/manufacturer/onsemi?pageNo=1058", "Onsemi")</f>
        <v>Onsemi</v>
      </c>
      <c r="C15887" s="6">
        <v>22600</v>
      </c>
      <c r="D15887" s="7">
        <v>4.05</v>
      </c>
      <c r="E15887" t="s">
        <v>5</v>
      </c>
    </row>
    <row r="15888" spans="1:5" x14ac:dyDescent="0.25">
      <c r="A15888" t="str">
        <f>HYPERLINK("https://www.773grp.com/globalSearch/MTW16N40E/page-1", "MTW16N40E")</f>
        <v>MTW16N40E</v>
      </c>
      <c r="B15888" s="3" t="str">
        <f>HYPERLINK("https://www.773grp.com/manufacturer/onsemi?pageNo=1059", "Onsemi")</f>
        <v>Onsemi</v>
      </c>
      <c r="C15888" s="6">
        <v>8700</v>
      </c>
      <c r="D15888" s="7">
        <v>4.05</v>
      </c>
      <c r="E15888" t="s">
        <v>84</v>
      </c>
    </row>
    <row r="15889" spans="1:5" x14ac:dyDescent="0.25">
      <c r="A15889" t="str">
        <f>HYPERLINK("https://www.773grp.com/globalSearch/MTW16N40E/page-1", "MTW16N40E")</f>
        <v>MTW16N40E</v>
      </c>
      <c r="B15889" s="3" t="str">
        <f>HYPERLINK("https://www.773grp.com/manufacturer/onsemi?pageNo=1060", "Onsemi")</f>
        <v>Onsemi</v>
      </c>
      <c r="C15889" s="6">
        <v>15720</v>
      </c>
      <c r="D15889" s="7">
        <v>4.05</v>
      </c>
      <c r="E15889" t="s">
        <v>84</v>
      </c>
    </row>
    <row r="15890" spans="1:5" x14ac:dyDescent="0.25">
      <c r="A15890" t="str">
        <f>HYPERLINK("https://www.773grp.com/globalSearch/NCP5306DW/page-1", "NCP5306DW")</f>
        <v>NCP5306DW</v>
      </c>
      <c r="B15890" s="3" t="str">
        <f>HYPERLINK("https://www.773grp.com/manufacturer/onsemi?pageNo=1061", "Onsemi")</f>
        <v>Onsemi</v>
      </c>
      <c r="C15890" s="6">
        <v>4410</v>
      </c>
      <c r="D15890" s="7">
        <v>4.05</v>
      </c>
      <c r="E15890" t="s">
        <v>5</v>
      </c>
    </row>
    <row r="15891" spans="1:5" x14ac:dyDescent="0.25">
      <c r="A15891" t="str">
        <f>HYPERLINK("https://www.773grp.com/globalSearch/NCP5306DWR2/page-1", "NCP5306DWR2")</f>
        <v>NCP5306DWR2</v>
      </c>
      <c r="B15891" s="3" t="str">
        <f>HYPERLINK("https://www.773grp.com/manufacturer/onsemi?pageNo=1062", "Onsemi")</f>
        <v>Onsemi</v>
      </c>
      <c r="C15891" s="6">
        <v>37000</v>
      </c>
      <c r="D15891" s="7">
        <v>4.05</v>
      </c>
      <c r="E15891" t="s">
        <v>5</v>
      </c>
    </row>
    <row r="15892" spans="1:5" x14ac:dyDescent="0.25">
      <c r="A15892" t="str">
        <f>HYPERLINK("https://www.773grp.com/globalSearch/NCV8141D2TG/page-1", "NCV8141D2TG")</f>
        <v>NCV8141D2TG</v>
      </c>
      <c r="B15892" s="3" t="str">
        <f>HYPERLINK("https://www.773grp.com/manufacturer/onsemi?pageNo=1063", "Onsemi")</f>
        <v>Onsemi</v>
      </c>
      <c r="C15892" s="6">
        <v>10</v>
      </c>
      <c r="D15892" s="7">
        <v>4.05</v>
      </c>
      <c r="E15892" t="s">
        <v>24</v>
      </c>
    </row>
    <row r="15893" spans="1:5" x14ac:dyDescent="0.25">
      <c r="A15893" t="str">
        <f>HYPERLINK("https://www.773grp.com/globalSearch/ADT7473ARQZ-REEL/page-1", "ADT7473ARQZ-REEL")</f>
        <v>ADT7473ARQZ-REEL</v>
      </c>
      <c r="B15893" s="3" t="str">
        <f>HYPERLINK("https://www.773grp.com/manufacturer/onsemi?pageNo=1064", "Onsemi")</f>
        <v>Onsemi</v>
      </c>
      <c r="C15893" s="6">
        <v>39935</v>
      </c>
      <c r="D15893" s="7">
        <v>4.49</v>
      </c>
      <c r="E15893" t="s">
        <v>9</v>
      </c>
    </row>
    <row r="15894" spans="1:5" x14ac:dyDescent="0.25">
      <c r="A15894" t="str">
        <f>HYPERLINK("https://www.773grp.com/globalSearch/CAT24M01WI-GT3/page-1", "CAT24M01WI-GT3")</f>
        <v>CAT24M01WI-GT3</v>
      </c>
      <c r="B15894" s="3" t="str">
        <f>HYPERLINK("https://www.773grp.com/manufacturer/onsemi?pageNo=1065", "Onsemi")</f>
        <v>Onsemi</v>
      </c>
      <c r="C15894" s="6">
        <v>925</v>
      </c>
      <c r="D15894" s="7">
        <v>4.49</v>
      </c>
    </row>
    <row r="15895" spans="1:5" x14ac:dyDescent="0.25">
      <c r="A15895" t="str">
        <f>HYPERLINK("https://www.773grp.com/globalSearch/CAT5115YI-00-G/page-1", "CAT5115YI-00-G")</f>
        <v>CAT5115YI-00-G</v>
      </c>
      <c r="B15895" s="3" t="str">
        <f>HYPERLINK("https://www.773grp.com/manufacturer/onsemi?pageNo=1066", "Onsemi")</f>
        <v>Onsemi</v>
      </c>
      <c r="C15895" s="6">
        <v>600</v>
      </c>
      <c r="D15895" s="7">
        <v>4.49</v>
      </c>
      <c r="E15895" t="s">
        <v>78</v>
      </c>
    </row>
    <row r="15896" spans="1:5" x14ac:dyDescent="0.25">
      <c r="A15896" t="str">
        <f>HYPERLINK("https://www.773grp.com/globalSearch/CAT5115YI-50-G/page-1", "CAT5115YI-50-G")</f>
        <v>CAT5115YI-50-G</v>
      </c>
      <c r="B15896" s="3" t="str">
        <f>HYPERLINK("https://www.773grp.com/manufacturer/onsemi?pageNo=1067", "Onsemi")</f>
        <v>Onsemi</v>
      </c>
      <c r="C15896" s="6">
        <v>572</v>
      </c>
      <c r="D15896" s="7">
        <v>4.49</v>
      </c>
      <c r="E15896" t="s">
        <v>78</v>
      </c>
    </row>
    <row r="15897" spans="1:5" x14ac:dyDescent="0.25">
      <c r="A15897" t="str">
        <f>HYPERLINK("https://www.773grp.com/globalSearch/CAT9534WI-GT2/page-1", "CAT9534WI-GT2")</f>
        <v>CAT9534WI-GT2</v>
      </c>
      <c r="B15897" s="3" t="str">
        <f>HYPERLINK("https://www.773grp.com/manufacturer/onsemi?pageNo=1068", "Onsemi")</f>
        <v>Onsemi</v>
      </c>
      <c r="C15897" s="6">
        <v>10000</v>
      </c>
      <c r="D15897" s="7">
        <v>4.49</v>
      </c>
      <c r="E15897" t="s">
        <v>71</v>
      </c>
    </row>
    <row r="15898" spans="1:5" x14ac:dyDescent="0.25">
      <c r="A15898" t="str">
        <f>HYPERLINK("https://www.773grp.com/globalSearch/CS51414EDR8/page-1", "CS51414EDR8")</f>
        <v>CS51414EDR8</v>
      </c>
      <c r="B15898" s="3" t="str">
        <f>HYPERLINK("https://www.773grp.com/manufacturer/onsemi?pageNo=1069", "Onsemi")</f>
        <v>Onsemi</v>
      </c>
      <c r="C15898" s="6">
        <v>1968</v>
      </c>
      <c r="D15898" s="7">
        <v>4.49</v>
      </c>
      <c r="E15898" t="s">
        <v>5</v>
      </c>
    </row>
    <row r="15899" spans="1:5" x14ac:dyDescent="0.25">
      <c r="A15899" t="str">
        <f>HYPERLINK("https://www.773grp.com/globalSearch/CS5211ED14G/page-1", "CS5211ED14G")</f>
        <v>CS5211ED14G</v>
      </c>
      <c r="B15899" s="3" t="str">
        <f>HYPERLINK("https://www.773grp.com/manufacturer/onsemi?pageNo=1070", "Onsemi")</f>
        <v>Onsemi</v>
      </c>
      <c r="C15899" s="6">
        <v>183</v>
      </c>
      <c r="D15899" s="7">
        <v>4.49</v>
      </c>
      <c r="E15899" t="s">
        <v>5</v>
      </c>
    </row>
    <row r="15900" spans="1:5" x14ac:dyDescent="0.25">
      <c r="A15900" t="str">
        <f>HYPERLINK("https://www.773grp.com/globalSearch/CS8126-1YTHER5G/page-1", "CS8126-1YTHER5G")</f>
        <v>CS8126-1YTHER5G</v>
      </c>
      <c r="B15900" s="3" t="str">
        <f>HYPERLINK("https://www.773grp.com/manufacturer/onsemi?pageNo=1071", "Onsemi")</f>
        <v>Onsemi</v>
      </c>
      <c r="C15900" s="6">
        <v>350</v>
      </c>
      <c r="D15900" s="7">
        <v>4.49</v>
      </c>
      <c r="E15900" t="s">
        <v>15</v>
      </c>
    </row>
    <row r="15901" spans="1:5" x14ac:dyDescent="0.25">
      <c r="A15901" t="str">
        <f>HYPERLINK("https://www.773grp.com/globalSearch/LA5744MP-DL-E/page-1", "LA5744MP-DL-E")</f>
        <v>LA5744MP-DL-E</v>
      </c>
      <c r="B15901" s="3" t="str">
        <f>HYPERLINK("https://www.773grp.com/manufacturer/onsemi?pageNo=1072", "Onsemi")</f>
        <v>Onsemi</v>
      </c>
      <c r="C15901" s="6">
        <v>54000</v>
      </c>
      <c r="D15901" s="7">
        <v>4.49</v>
      </c>
    </row>
    <row r="15902" spans="1:5" x14ac:dyDescent="0.25">
      <c r="A15902" t="str">
        <f>HYPERLINK("https://www.773grp.com/globalSearch/LB11620GP-TE-L-H/page-1", "LB11620GP-TE-L-H")</f>
        <v>LB11620GP-TE-L-H</v>
      </c>
      <c r="B15902" s="3" t="str">
        <f>HYPERLINK("https://www.773grp.com/manufacturer/onsemi?pageNo=1073", "Onsemi")</f>
        <v>Onsemi</v>
      </c>
      <c r="C15902" s="6">
        <v>6000</v>
      </c>
      <c r="D15902" s="7">
        <v>4.49</v>
      </c>
    </row>
    <row r="15903" spans="1:5" x14ac:dyDescent="0.25">
      <c r="A15903" t="str">
        <f>HYPERLINK("https://www.773grp.com/globalSearch/LV8734V-MPB-H/page-1", "LV8734V-MPB-H")</f>
        <v>LV8734V-MPB-H</v>
      </c>
      <c r="B15903" s="3" t="str">
        <f>HYPERLINK("https://www.773grp.com/manufacturer/onsemi?pageNo=1074", "Onsemi")</f>
        <v>Onsemi</v>
      </c>
      <c r="C15903" s="6">
        <v>240</v>
      </c>
      <c r="D15903" s="7">
        <v>4.49</v>
      </c>
    </row>
    <row r="15904" spans="1:5" x14ac:dyDescent="0.25">
      <c r="A15904" t="str">
        <f>HYPERLINK("https://www.773grp.com/globalSearch/MC33079MR1/page-1", "MC33079MR1")</f>
        <v>MC33079MR1</v>
      </c>
      <c r="B15904" s="3" t="str">
        <f>HYPERLINK("https://www.773grp.com/manufacturer/onsemi?pageNo=1075", "Onsemi")</f>
        <v>Onsemi</v>
      </c>
      <c r="C15904" s="6">
        <v>40000</v>
      </c>
      <c r="D15904" s="7">
        <v>4.49</v>
      </c>
    </row>
    <row r="15905" spans="1:5" x14ac:dyDescent="0.25">
      <c r="A15905" t="str">
        <f>HYPERLINK("https://www.773grp.com/globalSearch/MC34025P/page-1", "MC34025P")</f>
        <v>MC34025P</v>
      </c>
      <c r="B15905" s="3" t="str">
        <f>HYPERLINK("https://www.773grp.com/manufacturer/onsemi?pageNo=1076", "Onsemi")</f>
        <v>Onsemi</v>
      </c>
      <c r="C15905" s="6">
        <v>1812</v>
      </c>
      <c r="D15905" s="7">
        <v>4.49</v>
      </c>
      <c r="E15905" t="s">
        <v>5</v>
      </c>
    </row>
    <row r="15906" spans="1:5" x14ac:dyDescent="0.25">
      <c r="A15906" t="str">
        <f>HYPERLINK("https://www.773grp.com/globalSearch/MC74F299DW/page-1", "MC74F299DW")</f>
        <v>MC74F299DW</v>
      </c>
      <c r="B15906" s="3" t="str">
        <f>HYPERLINK("https://www.773grp.com/manufacturer/onsemi?pageNo=1077", "Onsemi")</f>
        <v>Onsemi</v>
      </c>
      <c r="C15906" s="6">
        <v>665</v>
      </c>
      <c r="D15906" s="7">
        <v>4.49</v>
      </c>
      <c r="E15906" t="s">
        <v>28</v>
      </c>
    </row>
    <row r="15907" spans="1:5" x14ac:dyDescent="0.25">
      <c r="A15907" t="str">
        <f>HYPERLINK("https://www.773grp.com/globalSearch/MC74F823DW/page-1", "MC74F823DW")</f>
        <v>MC74F823DW</v>
      </c>
      <c r="B15907" s="3" t="str">
        <f>HYPERLINK("https://www.773grp.com/manufacturer/onsemi?pageNo=1078", "Onsemi")</f>
        <v>Onsemi</v>
      </c>
      <c r="C15907" s="6">
        <v>2590</v>
      </c>
      <c r="D15907" s="7">
        <v>4.49</v>
      </c>
    </row>
    <row r="15908" spans="1:5" x14ac:dyDescent="0.25">
      <c r="A15908" t="str">
        <f>HYPERLINK("https://www.773grp.com/globalSearch/MC74F823N/page-1", "MC74F823N")</f>
        <v>MC74F823N</v>
      </c>
      <c r="B15908" s="3" t="str">
        <f>HYPERLINK("https://www.773grp.com/manufacturer/onsemi?pageNo=1079", "Onsemi")</f>
        <v>Onsemi</v>
      </c>
      <c r="C15908" s="6">
        <v>1556</v>
      </c>
      <c r="D15908" s="7">
        <v>4.49</v>
      </c>
    </row>
    <row r="15909" spans="1:5" x14ac:dyDescent="0.25">
      <c r="A15909" t="str">
        <f>HYPERLINK("https://www.773grp.com/globalSearch/MC74F827DW/page-1", "MC74F827DW")</f>
        <v>MC74F827DW</v>
      </c>
      <c r="B15909" s="3" t="str">
        <f>HYPERLINK("https://www.773grp.com/manufacturer/onsemi?pageNo=1080", "Onsemi")</f>
        <v>Onsemi</v>
      </c>
      <c r="C15909" s="6">
        <v>1433</v>
      </c>
      <c r="D15909" s="7">
        <v>4.49</v>
      </c>
      <c r="E15909" t="s">
        <v>11</v>
      </c>
    </row>
    <row r="15910" spans="1:5" x14ac:dyDescent="0.25">
      <c r="A15910" t="str">
        <f>HYPERLINK("https://www.773grp.com/globalSearch/MC74F827DWR2/page-1", "MC74F827DWR2")</f>
        <v>MC74F827DWR2</v>
      </c>
      <c r="B15910" s="3" t="str">
        <f>HYPERLINK("https://www.773grp.com/manufacturer/onsemi?pageNo=1081", "Onsemi")</f>
        <v>Onsemi</v>
      </c>
      <c r="C15910" s="6">
        <v>1000</v>
      </c>
      <c r="D15910" s="7">
        <v>4.49</v>
      </c>
      <c r="E15910" t="s">
        <v>11</v>
      </c>
    </row>
    <row r="15911" spans="1:5" x14ac:dyDescent="0.25">
      <c r="A15911" t="str">
        <f>HYPERLINK("https://www.773grp.com/globalSearch/MC74HC646DW/page-1", "MC74HC646DW")</f>
        <v>MC74HC646DW</v>
      </c>
      <c r="B15911" s="3" t="str">
        <f>HYPERLINK("https://www.773grp.com/manufacturer/onsemi?pageNo=1082", "Onsemi")</f>
        <v>Onsemi</v>
      </c>
      <c r="C15911" s="6">
        <v>1090</v>
      </c>
      <c r="D15911" s="7">
        <v>4.49</v>
      </c>
      <c r="E15911" t="s">
        <v>11</v>
      </c>
    </row>
    <row r="15912" spans="1:5" x14ac:dyDescent="0.25">
      <c r="A15912" t="str">
        <f>HYPERLINK("https://www.773grp.com/globalSearch/MC74HC646N/page-1", "MC74HC646N")</f>
        <v>MC74HC646N</v>
      </c>
      <c r="B15912" s="3" t="str">
        <f>HYPERLINK("https://www.773grp.com/manufacturer/onsemi?pageNo=1083", "Onsemi")</f>
        <v>Onsemi</v>
      </c>
      <c r="C15912" s="6">
        <v>22</v>
      </c>
      <c r="D15912" s="7">
        <v>4.49</v>
      </c>
      <c r="E15912" t="s">
        <v>11</v>
      </c>
    </row>
    <row r="15913" spans="1:5" x14ac:dyDescent="0.25">
      <c r="A15913" t="str">
        <f>HYPERLINK("https://www.773grp.com/globalSearch/MJL21195/page-1", "MJL21195")</f>
        <v>MJL21195</v>
      </c>
      <c r="B15913" s="3" t="str">
        <f>HYPERLINK("https://www.773grp.com/manufacturer/onsemi?pageNo=1084", "Onsemi")</f>
        <v>Onsemi</v>
      </c>
      <c r="C15913" s="6">
        <v>147</v>
      </c>
      <c r="D15913" s="7">
        <v>4.49</v>
      </c>
      <c r="E15913" t="s">
        <v>47</v>
      </c>
    </row>
    <row r="15914" spans="1:5" x14ac:dyDescent="0.25">
      <c r="A15914" t="str">
        <f>HYPERLINK("https://www.773grp.com/globalSearch/MJL21196/page-1", "MJL21196")</f>
        <v>MJL21196</v>
      </c>
      <c r="B15914" s="3" t="str">
        <f>HYPERLINK("https://www.773grp.com/manufacturer/onsemi?pageNo=1085", "Onsemi")</f>
        <v>Onsemi</v>
      </c>
      <c r="C15914" s="6">
        <v>7</v>
      </c>
      <c r="D15914" s="7">
        <v>4.49</v>
      </c>
      <c r="E15914" t="s">
        <v>47</v>
      </c>
    </row>
    <row r="15915" spans="1:5" x14ac:dyDescent="0.25">
      <c r="A15915" t="str">
        <f>HYPERLINK("https://www.773grp.com/globalSearch/MTP75N03HDL/page-1", "MTP75N03HDL")</f>
        <v>MTP75N03HDL</v>
      </c>
      <c r="B15915" s="3" t="str">
        <f>HYPERLINK("https://www.773grp.com/manufacturer/onsemi?pageNo=1086", "Onsemi")</f>
        <v>Onsemi</v>
      </c>
      <c r="C15915" s="6">
        <v>15</v>
      </c>
      <c r="D15915" s="7">
        <v>4.49</v>
      </c>
      <c r="E15915" t="s">
        <v>84</v>
      </c>
    </row>
    <row r="15916" spans="1:5" x14ac:dyDescent="0.25">
      <c r="A15916" t="str">
        <f>HYPERLINK("https://www.773grp.com/globalSearch/MTP8N50E/page-1", "MTP8N50E")</f>
        <v>MTP8N50E</v>
      </c>
      <c r="B15916" s="3" t="str">
        <f>HYPERLINK("https://www.773grp.com/manufacturer/onsemi?pageNo=1087", "Onsemi")</f>
        <v>Onsemi</v>
      </c>
      <c r="C15916" s="6">
        <v>1784</v>
      </c>
      <c r="D15916" s="7">
        <v>4.49</v>
      </c>
      <c r="E15916" t="s">
        <v>84</v>
      </c>
    </row>
    <row r="15917" spans="1:5" x14ac:dyDescent="0.25">
      <c r="A15917" t="str">
        <f>HYPERLINK("https://www.773grp.com/globalSearch/MURB1660CTG/page-1", "MURB1660CTG")</f>
        <v>MURB1660CTG</v>
      </c>
      <c r="B15917" s="3" t="str">
        <f>HYPERLINK("https://www.773grp.com/manufacturer/onsemi?pageNo=1088", "Onsemi")</f>
        <v>Onsemi</v>
      </c>
      <c r="C15917" s="6">
        <v>5050</v>
      </c>
      <c r="D15917" s="7">
        <v>4.49</v>
      </c>
      <c r="E15917" t="s">
        <v>82</v>
      </c>
    </row>
    <row r="15918" spans="1:5" x14ac:dyDescent="0.25">
      <c r="A15918" t="str">
        <f>HYPERLINK("https://www.773grp.com/globalSearch/MURB1660CTT4G/page-1", "MURB1660CTT4G")</f>
        <v>MURB1660CTT4G</v>
      </c>
      <c r="B15918" s="3" t="str">
        <f>HYPERLINK("https://www.773grp.com/manufacturer/onsemi?pageNo=1089", "Onsemi")</f>
        <v>Onsemi</v>
      </c>
      <c r="C15918" s="6">
        <v>32800</v>
      </c>
      <c r="D15918" s="7">
        <v>4.49</v>
      </c>
      <c r="E15918" t="s">
        <v>82</v>
      </c>
    </row>
    <row r="15919" spans="1:5" x14ac:dyDescent="0.25">
      <c r="A15919" t="str">
        <f>HYPERLINK("https://www.773grp.com/globalSearch/NCP3163BMNR2G/page-1", "NCP3163BMNR2G")</f>
        <v>NCP3163BMNR2G</v>
      </c>
      <c r="B15919" s="3" t="str">
        <f>HYPERLINK("https://www.773grp.com/manufacturer/onsemi?pageNo=1090", "Onsemi")</f>
        <v>Onsemi</v>
      </c>
      <c r="C15919" s="6">
        <v>112893</v>
      </c>
      <c r="D15919" s="7">
        <v>4.49</v>
      </c>
      <c r="E15919" t="s">
        <v>5</v>
      </c>
    </row>
    <row r="15920" spans="1:5" x14ac:dyDescent="0.25">
      <c r="A15920" t="str">
        <f>HYPERLINK("https://www.773grp.com/globalSearch/NCP5211BDR2G/page-1", "NCP5211BDR2G")</f>
        <v>NCP5211BDR2G</v>
      </c>
      <c r="B15920" s="3" t="str">
        <f>HYPERLINK("https://www.773grp.com/manufacturer/onsemi?pageNo=1091", "Onsemi")</f>
        <v>Onsemi</v>
      </c>
      <c r="C15920" s="6">
        <v>22500</v>
      </c>
      <c r="D15920" s="7">
        <v>4.49</v>
      </c>
      <c r="E15920" t="s">
        <v>5</v>
      </c>
    </row>
    <row r="15921" spans="1:5" x14ac:dyDescent="0.25">
      <c r="A15921" t="str">
        <f>HYPERLINK("https://www.773grp.com/globalSearch/NCP5214AMNR2G/page-1", "NCP5214AMNR2G")</f>
        <v>NCP5214AMNR2G</v>
      </c>
      <c r="B15921" s="3" t="str">
        <f>HYPERLINK("https://www.773grp.com/manufacturer/onsemi?pageNo=1092", "Onsemi")</f>
        <v>Onsemi</v>
      </c>
      <c r="C15921" s="6">
        <v>627</v>
      </c>
      <c r="D15921" s="7">
        <v>4.49</v>
      </c>
      <c r="E15921" t="s">
        <v>5</v>
      </c>
    </row>
    <row r="15922" spans="1:5" x14ac:dyDescent="0.25">
      <c r="A15922" t="str">
        <f>HYPERLINK("https://www.773grp.com/globalSearch/NGB8207ANT4G/page-1", "NGB8207ANT4G")</f>
        <v>NGB8207ANT4G</v>
      </c>
      <c r="B15922" s="3" t="str">
        <f>HYPERLINK("https://www.773grp.com/manufacturer/onsemi?pageNo=1093", "Onsemi")</f>
        <v>Onsemi</v>
      </c>
      <c r="C15922" s="6">
        <v>19200</v>
      </c>
      <c r="D15922" s="7">
        <v>4.49</v>
      </c>
      <c r="E15922" t="s">
        <v>94</v>
      </c>
    </row>
    <row r="15923" spans="1:5" x14ac:dyDescent="0.25">
      <c r="A15923" t="str">
        <f>HYPERLINK("https://www.773grp.com/globalSearch/NGB8207NT4G/page-1", "NGB8207NT4G")</f>
        <v>NGB8207NT4G</v>
      </c>
      <c r="B15923" s="3" t="str">
        <f>HYPERLINK("https://www.773grp.com/manufacturer/onsemi?pageNo=1094", "Onsemi")</f>
        <v>Onsemi</v>
      </c>
      <c r="C15923" s="6">
        <v>2400</v>
      </c>
      <c r="D15923" s="7">
        <v>4.49</v>
      </c>
      <c r="E15923" t="s">
        <v>94</v>
      </c>
    </row>
    <row r="15924" spans="1:5" x14ac:dyDescent="0.25">
      <c r="A15924" t="str">
        <f>HYPERLINK("https://www.773grp.com/globalSearch/NGP15N41CLG/page-1", "NGP15N41CLG")</f>
        <v>NGP15N41CLG</v>
      </c>
      <c r="B15924" s="3" t="str">
        <f>HYPERLINK("https://www.773grp.com/manufacturer/onsemi?pageNo=1095", "Onsemi")</f>
        <v>Onsemi</v>
      </c>
      <c r="C15924" s="6">
        <v>40</v>
      </c>
      <c r="D15924" s="7">
        <v>4.49</v>
      </c>
    </row>
    <row r="15925" spans="1:5" x14ac:dyDescent="0.25">
      <c r="A15925" t="str">
        <f>HYPERLINK("https://www.773grp.com/globalSearch/NJW0281G/page-1", "NJW0281G")</f>
        <v>NJW0281G</v>
      </c>
      <c r="B15925" s="3" t="str">
        <f>HYPERLINK("https://www.773grp.com/manufacturer/onsemi?pageNo=1096", "Onsemi")</f>
        <v>Onsemi</v>
      </c>
      <c r="C15925" s="6">
        <v>18735</v>
      </c>
      <c r="D15925" s="7">
        <v>4.49</v>
      </c>
      <c r="E15925" t="s">
        <v>47</v>
      </c>
    </row>
    <row r="15926" spans="1:5" x14ac:dyDescent="0.25">
      <c r="A15926" t="str">
        <f>HYPERLINK("https://www.773grp.com/globalSearch/TIP35A/page-1", "TIP35A")</f>
        <v>TIP35A</v>
      </c>
      <c r="B15926" s="3" t="str">
        <f>HYPERLINK("https://www.773grp.com/manufacturer/onsemi?pageNo=1097", "Onsemi")</f>
        <v>Onsemi</v>
      </c>
      <c r="C15926" s="6">
        <v>723</v>
      </c>
      <c r="D15926" s="7">
        <v>4.49</v>
      </c>
      <c r="E15926" t="s">
        <v>47</v>
      </c>
    </row>
    <row r="15927" spans="1:5" x14ac:dyDescent="0.25">
      <c r="A15927" t="str">
        <f>HYPERLINK("https://www.773grp.com/globalSearch/TIP35B/page-1", "TIP35B")</f>
        <v>TIP35B</v>
      </c>
      <c r="B15927" s="3" t="str">
        <f>HYPERLINK("https://www.773grp.com/manufacturer/onsemi?pageNo=1098", "Onsemi")</f>
        <v>Onsemi</v>
      </c>
      <c r="C15927" s="6">
        <v>10090</v>
      </c>
      <c r="D15927" s="7">
        <v>4.49</v>
      </c>
      <c r="E15927" t="s">
        <v>47</v>
      </c>
    </row>
    <row r="15928" spans="1:5" x14ac:dyDescent="0.25">
      <c r="A15928" t="str">
        <f>HYPERLINK("https://www.773grp.com/globalSearch/2N6287/page-1", "2N6287")</f>
        <v>2N6287</v>
      </c>
      <c r="B15928" s="3" t="str">
        <f>HYPERLINK("https://www.773grp.com/manufacturer/onsemi?pageNo=1099", "Onsemi")</f>
        <v>Onsemi</v>
      </c>
      <c r="C15928" s="6">
        <v>31</v>
      </c>
      <c r="D15928" s="7">
        <v>4.09</v>
      </c>
      <c r="E15928" t="s">
        <v>47</v>
      </c>
    </row>
    <row r="15929" spans="1:5" x14ac:dyDescent="0.25">
      <c r="A15929" t="str">
        <f>HYPERLINK("https://www.773grp.com/globalSearch/ADT7484AARMZ-RL/page-1", "ADT7484AARMZ-RL")</f>
        <v>ADT7484AARMZ-RL</v>
      </c>
      <c r="B15929" s="3" t="str">
        <f>HYPERLINK("https://www.773grp.com/manufacturer/onsemi?pageNo=1100", "Onsemi")</f>
        <v>Onsemi</v>
      </c>
      <c r="C15929" s="6">
        <v>6000</v>
      </c>
      <c r="D15929" s="7">
        <v>4.09</v>
      </c>
      <c r="E15929" t="s">
        <v>9</v>
      </c>
    </row>
    <row r="15930" spans="1:5" x14ac:dyDescent="0.25">
      <c r="A15930" t="str">
        <f>HYPERLINK("https://www.773grp.com/globalSearch/ADT7484AARZ-REEL/page-1", "ADT7484AARZ-REEL")</f>
        <v>ADT7484AARZ-REEL</v>
      </c>
      <c r="B15930" s="3" t="str">
        <f>HYPERLINK("https://www.773grp.com/manufacturer/onsemi?pageNo=1101", "Onsemi")</f>
        <v>Onsemi</v>
      </c>
      <c r="C15930" s="6">
        <v>50000</v>
      </c>
      <c r="D15930" s="7">
        <v>4.09</v>
      </c>
      <c r="E15930" t="s">
        <v>9</v>
      </c>
    </row>
    <row r="15931" spans="1:5" x14ac:dyDescent="0.25">
      <c r="A15931" t="str">
        <f>HYPERLINK("https://www.773grp.com/globalSearch/LB8649W-MPB-E/page-1", "LB8649W-MPB-E")</f>
        <v>LB8649W-MPB-E</v>
      </c>
      <c r="B15931" s="3" t="str">
        <f>HYPERLINK("https://www.773grp.com/manufacturer/onsemi?pageNo=1102", "Onsemi")</f>
        <v>Onsemi</v>
      </c>
      <c r="C15931" s="6">
        <v>200</v>
      </c>
      <c r="D15931" s="7">
        <v>4.09</v>
      </c>
    </row>
    <row r="15932" spans="1:5" x14ac:dyDescent="0.25">
      <c r="A15932" t="str">
        <f>HYPERLINK("https://www.773grp.com/globalSearch/LM2576D2T-005G/page-1", "LM2576D2T-005G")</f>
        <v>LM2576D2T-005G</v>
      </c>
      <c r="B15932" s="3" t="str">
        <f>HYPERLINK("https://www.773grp.com/manufacturer/onsemi?pageNo=1103", "Onsemi")</f>
        <v>Onsemi</v>
      </c>
      <c r="C15932" s="6">
        <v>420</v>
      </c>
      <c r="D15932" s="7">
        <v>4.09</v>
      </c>
      <c r="E15932" t="s">
        <v>5</v>
      </c>
    </row>
    <row r="15933" spans="1:5" x14ac:dyDescent="0.25">
      <c r="A15933" t="str">
        <f>HYPERLINK("https://www.773grp.com/globalSearch/LM2576D2T-ADJR4G/page-1", "LM2576D2T-ADJR4G")</f>
        <v>LM2576D2T-ADJR4G</v>
      </c>
      <c r="B15933" s="3" t="str">
        <f>HYPERLINK("https://www.773grp.com/manufacturer/onsemi?pageNo=1104", "Onsemi")</f>
        <v>Onsemi</v>
      </c>
      <c r="C15933" s="6">
        <v>22300</v>
      </c>
      <c r="D15933" s="7">
        <v>4.09</v>
      </c>
      <c r="E15933" t="s">
        <v>5</v>
      </c>
    </row>
    <row r="15934" spans="1:5" x14ac:dyDescent="0.25">
      <c r="A15934" t="str">
        <f>HYPERLINK("https://www.773grp.com/globalSearch/LM2576D2TR4-012G/page-1", "LM2576D2TR4-012G")</f>
        <v>LM2576D2TR4-012G</v>
      </c>
      <c r="B15934" s="3" t="str">
        <f>HYPERLINK("https://www.773grp.com/manufacturer/onsemi?pageNo=1105", "Onsemi")</f>
        <v>Onsemi</v>
      </c>
      <c r="C15934" s="6">
        <v>800</v>
      </c>
      <c r="D15934" s="7">
        <v>4.09</v>
      </c>
    </row>
    <row r="15935" spans="1:5" x14ac:dyDescent="0.25">
      <c r="A15935" t="str">
        <f>HYPERLINK("https://www.773grp.com/globalSearch/LM2576D2TR4-3.3G/page-1", "LM2576D2TR4-3.3G")</f>
        <v>LM2576D2TR4-3.3G</v>
      </c>
      <c r="B15935" s="3" t="str">
        <f>HYPERLINK("https://www.773grp.com/manufacturer/onsemi?pageNo=1106", "Onsemi")</f>
        <v>Onsemi</v>
      </c>
      <c r="C15935" s="6">
        <v>81406</v>
      </c>
      <c r="D15935" s="7">
        <v>4.09</v>
      </c>
      <c r="E15935" t="s">
        <v>5</v>
      </c>
    </row>
    <row r="15936" spans="1:5" x14ac:dyDescent="0.25">
      <c r="A15936" t="str">
        <f>HYPERLINK("https://www.773grp.com/globalSearch/LM2576D2TR4-5G/page-1", "LM2576D2TR4-5G")</f>
        <v>LM2576D2TR4-5G</v>
      </c>
      <c r="B15936" s="3" t="str">
        <f>HYPERLINK("https://www.773grp.com/manufacturer/onsemi?pageNo=1107", "Onsemi")</f>
        <v>Onsemi</v>
      </c>
      <c r="C15936" s="6">
        <v>52000</v>
      </c>
      <c r="D15936" s="7">
        <v>4.09</v>
      </c>
      <c r="E15936" t="s">
        <v>5</v>
      </c>
    </row>
    <row r="15937" spans="1:5" x14ac:dyDescent="0.25">
      <c r="A15937" t="str">
        <f>HYPERLINK("https://www.773grp.com/globalSearch/LM2596DSADJG/page-1", "LM2596DSADJG")</f>
        <v>LM2596DSADJG</v>
      </c>
      <c r="B15937" s="3" t="str">
        <f>HYPERLINK("https://www.773grp.com/manufacturer/onsemi?pageNo=1108", "Onsemi")</f>
        <v>Onsemi</v>
      </c>
      <c r="C15937" s="6">
        <v>583</v>
      </c>
      <c r="D15937" s="7">
        <v>4.09</v>
      </c>
      <c r="E15937" t="s">
        <v>5</v>
      </c>
    </row>
    <row r="15938" spans="1:5" x14ac:dyDescent="0.25">
      <c r="A15938" t="str">
        <f>HYPERLINK("https://www.773grp.com/globalSearch/LM2596DSADJR4G/page-1", "LM2596DSADJR4G")</f>
        <v>LM2596DSADJR4G</v>
      </c>
      <c r="B15938" s="3" t="str">
        <f>HYPERLINK("https://www.773grp.com/manufacturer/onsemi?pageNo=1109", "Onsemi")</f>
        <v>Onsemi</v>
      </c>
      <c r="C15938" s="6">
        <v>31200</v>
      </c>
      <c r="D15938" s="7">
        <v>4.09</v>
      </c>
      <c r="E15938" t="s">
        <v>5</v>
      </c>
    </row>
    <row r="15939" spans="1:5" x14ac:dyDescent="0.25">
      <c r="A15939" t="str">
        <f>HYPERLINK("https://www.773grp.com/globalSearch/MJE4353/page-1", "MJE4353")</f>
        <v>MJE4353</v>
      </c>
      <c r="B15939" s="3" t="str">
        <f>HYPERLINK("https://www.773grp.com/manufacturer/onsemi?pageNo=1110", "Onsemi")</f>
        <v>Onsemi</v>
      </c>
      <c r="C15939" s="6">
        <v>2646</v>
      </c>
      <c r="D15939" s="7">
        <v>4.09</v>
      </c>
      <c r="E15939" t="s">
        <v>47</v>
      </c>
    </row>
    <row r="15940" spans="1:5" x14ac:dyDescent="0.25">
      <c r="A15940" t="str">
        <f>HYPERLINK("https://www.773grp.com/globalSearch/MJE4353G/page-1", "MJE4353G")</f>
        <v>MJE4353G</v>
      </c>
      <c r="B15940" s="3" t="str">
        <f>HYPERLINK("https://www.773grp.com/manufacturer/onsemi?pageNo=1111", "Onsemi")</f>
        <v>Onsemi</v>
      </c>
      <c r="C15940" s="6">
        <v>3568</v>
      </c>
      <c r="D15940" s="7">
        <v>4.09</v>
      </c>
    </row>
    <row r="15941" spans="1:5" x14ac:dyDescent="0.25">
      <c r="A15941" t="str">
        <f>HYPERLINK("https://www.773grp.com/globalSearch/NCV2575D2T-12G/page-1", "NCV2575D2T-12G")</f>
        <v>NCV2575D2T-12G</v>
      </c>
      <c r="B15941" s="3" t="str">
        <f>HYPERLINK("https://www.773grp.com/manufacturer/onsemi?pageNo=1112", "Onsemi")</f>
        <v>Onsemi</v>
      </c>
      <c r="C15941" s="6">
        <v>2700</v>
      </c>
      <c r="D15941" s="7">
        <v>4.09</v>
      </c>
    </row>
    <row r="15942" spans="1:5" x14ac:dyDescent="0.25">
      <c r="A15942" t="str">
        <f>HYPERLINK("https://www.773grp.com/globalSearch/NJL0281DG/page-1", "NJL0281DG")</f>
        <v>NJL0281DG</v>
      </c>
      <c r="B15942" s="3" t="str">
        <f>HYPERLINK("https://www.773grp.com/manufacturer/onsemi?pageNo=1113", "Onsemi")</f>
        <v>Onsemi</v>
      </c>
      <c r="C15942" s="6">
        <v>26204</v>
      </c>
      <c r="D15942" s="7">
        <v>4.09</v>
      </c>
      <c r="E15942" t="s">
        <v>47</v>
      </c>
    </row>
    <row r="15943" spans="1:5" x14ac:dyDescent="0.25">
      <c r="A15943" t="str">
        <f>HYPERLINK("https://www.773grp.com/globalSearch/NJL0302DG/page-1", "NJL0302DG")</f>
        <v>NJL0302DG</v>
      </c>
      <c r="B15943" s="3" t="str">
        <f>HYPERLINK("https://www.773grp.com/manufacturer/onsemi?pageNo=1114", "Onsemi")</f>
        <v>Onsemi</v>
      </c>
      <c r="C15943" s="6">
        <v>2212</v>
      </c>
      <c r="D15943" s="7">
        <v>4.09</v>
      </c>
      <c r="E15943" t="s">
        <v>47</v>
      </c>
    </row>
    <row r="15944" spans="1:5" x14ac:dyDescent="0.25">
      <c r="A15944" t="str">
        <f>HYPERLINK("https://www.773grp.com/globalSearch/NTB6410ANG/page-1", "NTB6410ANG")</f>
        <v>NTB6410ANG</v>
      </c>
      <c r="B15944" s="3" t="str">
        <f>HYPERLINK("https://www.773grp.com/manufacturer/onsemi?pageNo=1115", "Onsemi")</f>
        <v>Onsemi</v>
      </c>
      <c r="C15944" s="6">
        <v>494</v>
      </c>
      <c r="D15944" s="7">
        <v>4.09</v>
      </c>
    </row>
    <row r="15945" spans="1:5" x14ac:dyDescent="0.25">
      <c r="A15945" t="str">
        <f>HYPERLINK("https://www.773grp.com/globalSearch/NTB6410ANT4G/page-1", "NTB6410ANT4G")</f>
        <v>NTB6410ANT4G</v>
      </c>
      <c r="B15945" s="3" t="str">
        <f>HYPERLINK("https://www.773grp.com/manufacturer/onsemi?pageNo=1116", "Onsemi")</f>
        <v>Onsemi</v>
      </c>
      <c r="C15945" s="6">
        <v>478</v>
      </c>
      <c r="D15945" s="7">
        <v>4.09</v>
      </c>
    </row>
    <row r="15946" spans="1:5" x14ac:dyDescent="0.25">
      <c r="A15946" t="str">
        <f>HYPERLINK("https://www.773grp.com/globalSearch/NTP6410ANG/page-1", "NTP6410ANG")</f>
        <v>NTP6410ANG</v>
      </c>
      <c r="B15946" s="3" t="str">
        <f>HYPERLINK("https://www.773grp.com/manufacturer/onsemi?pageNo=1117", "Onsemi")</f>
        <v>Onsemi</v>
      </c>
      <c r="C15946" s="6">
        <v>3</v>
      </c>
      <c r="D15946" s="7">
        <v>4.09</v>
      </c>
    </row>
    <row r="15947" spans="1:5" x14ac:dyDescent="0.25">
      <c r="A15947" t="str">
        <f>HYPERLINK("https://www.773grp.com/globalSearch/BTA25-600CW3G/page-1", "BTA25-600CW3G")</f>
        <v>BTA25-600CW3G</v>
      </c>
      <c r="B15947" s="3" t="str">
        <f>HYPERLINK("https://www.773grp.com/manufacturer/onsemi?pageNo=1118", "Onsemi")</f>
        <v>Onsemi</v>
      </c>
      <c r="C15947" s="6">
        <v>55000</v>
      </c>
      <c r="D15947" s="7">
        <v>4.54</v>
      </c>
      <c r="E15947" t="s">
        <v>81</v>
      </c>
    </row>
    <row r="15948" spans="1:5" x14ac:dyDescent="0.25">
      <c r="A15948" t="str">
        <f>HYPERLINK("https://www.773grp.com/globalSearch/CAT5116YI-G/page-1", "CAT5116YI-G")</f>
        <v>CAT5116YI-G</v>
      </c>
      <c r="B15948" s="3" t="str">
        <f>HYPERLINK("https://www.773grp.com/manufacturer/onsemi?pageNo=1119", "Onsemi")</f>
        <v>Onsemi</v>
      </c>
      <c r="C15948" s="6">
        <v>700</v>
      </c>
      <c r="D15948" s="7">
        <v>4.54</v>
      </c>
      <c r="E15948" t="s">
        <v>78</v>
      </c>
    </row>
    <row r="15949" spans="1:5" x14ac:dyDescent="0.25">
      <c r="A15949" t="str">
        <f>HYPERLINK("https://www.773grp.com/globalSearch/CAT5120TBI-10GT3/page-1", "CAT5120TBI-10GT3")</f>
        <v>CAT5120TBI-10GT3</v>
      </c>
      <c r="B15949" s="3" t="str">
        <f>HYPERLINK("https://www.773grp.com/manufacturer/onsemi?pageNo=1120", "Onsemi")</f>
        <v>Onsemi</v>
      </c>
      <c r="C15949" s="6">
        <v>3000</v>
      </c>
      <c r="D15949" s="7">
        <v>4.54</v>
      </c>
    </row>
    <row r="15950" spans="1:5" x14ac:dyDescent="0.25">
      <c r="A15950" t="str">
        <f>HYPERLINK("https://www.773grp.com/globalSearch/CS403GT5/page-1", "CS403GT5")</f>
        <v>CS403GT5</v>
      </c>
      <c r="B15950" s="3" t="str">
        <f>HYPERLINK("https://www.773grp.com/manufacturer/onsemi?pageNo=1121", "Onsemi")</f>
        <v>Onsemi</v>
      </c>
      <c r="C15950" s="6">
        <v>23150</v>
      </c>
      <c r="D15950" s="7">
        <v>4.54</v>
      </c>
      <c r="E15950" t="s">
        <v>15</v>
      </c>
    </row>
    <row r="15951" spans="1:5" x14ac:dyDescent="0.25">
      <c r="A15951" t="str">
        <f>HYPERLINK("https://www.773grp.com/globalSearch/CS403GTHA5/page-1", "CS403GTHA5")</f>
        <v>CS403GTHA5</v>
      </c>
      <c r="B15951" s="3" t="str">
        <f>HYPERLINK("https://www.773grp.com/manufacturer/onsemi?pageNo=1122", "Onsemi")</f>
        <v>Onsemi</v>
      </c>
      <c r="C15951" s="6">
        <v>7050</v>
      </c>
      <c r="D15951" s="7">
        <v>4.54</v>
      </c>
      <c r="E15951" t="s">
        <v>15</v>
      </c>
    </row>
    <row r="15952" spans="1:5" x14ac:dyDescent="0.25">
      <c r="A15952" t="str">
        <f>HYPERLINK("https://www.773grp.com/globalSearch/CS8126-1YTVA5G/page-1", "CS8126-1YTVA5G")</f>
        <v>CS8126-1YTVA5G</v>
      </c>
      <c r="B15952" s="3" t="str">
        <f>HYPERLINK("https://www.773grp.com/manufacturer/onsemi?pageNo=1123", "Onsemi")</f>
        <v>Onsemi</v>
      </c>
      <c r="C15952" s="6">
        <v>100</v>
      </c>
      <c r="D15952" s="7">
        <v>4.54</v>
      </c>
      <c r="E15952" t="s">
        <v>15</v>
      </c>
    </row>
    <row r="15953" spans="1:5" x14ac:dyDescent="0.25">
      <c r="A15953" t="str">
        <f>HYPERLINK("https://www.773grp.com/globalSearch/CS8281YDP5/page-1", "CS8281YDP5")</f>
        <v>CS8281YDP5</v>
      </c>
      <c r="B15953" s="3" t="str">
        <f>HYPERLINK("https://www.773grp.com/manufacturer/onsemi?pageNo=1124", "Onsemi")</f>
        <v>Onsemi</v>
      </c>
      <c r="C15953" s="6">
        <v>1850</v>
      </c>
      <c r="D15953" s="7">
        <v>4.54</v>
      </c>
      <c r="E15953" t="s">
        <v>39</v>
      </c>
    </row>
    <row r="15954" spans="1:5" x14ac:dyDescent="0.25">
      <c r="A15954" t="str">
        <f>HYPERLINK("https://www.773grp.com/globalSearch/LA5771-HK-E/page-1", "LA5771-HK-E")</f>
        <v>LA5771-HK-E</v>
      </c>
      <c r="B15954" s="3" t="str">
        <f>HYPERLINK("https://www.773grp.com/manufacturer/onsemi?pageNo=1125", "Onsemi")</f>
        <v>Onsemi</v>
      </c>
      <c r="C15954" s="6">
        <v>16000</v>
      </c>
      <c r="D15954" s="7">
        <v>4.54</v>
      </c>
    </row>
    <row r="15955" spans="1:5" x14ac:dyDescent="0.25">
      <c r="A15955" t="str">
        <f>HYPERLINK("https://www.773grp.com/globalSearch/LA5774MP-DL-E/page-1", "LA5774MP-DL-E")</f>
        <v>LA5774MP-DL-E</v>
      </c>
      <c r="B15955" s="3" t="str">
        <f>HYPERLINK("https://www.773grp.com/manufacturer/onsemi?pageNo=1126", "Onsemi")</f>
        <v>Onsemi</v>
      </c>
      <c r="C15955" s="6">
        <v>55000</v>
      </c>
      <c r="D15955" s="7">
        <v>4.54</v>
      </c>
    </row>
    <row r="15956" spans="1:5" x14ac:dyDescent="0.25">
      <c r="A15956" t="str">
        <f>HYPERLINK("https://www.773grp.com/globalSearch/LV4924VH-MPB-H/page-1", "LV4924VH-MPB-H")</f>
        <v>LV4924VH-MPB-H</v>
      </c>
      <c r="B15956" s="3" t="str">
        <f>HYPERLINK("https://www.773grp.com/manufacturer/onsemi?pageNo=1127", "Onsemi")</f>
        <v>Onsemi</v>
      </c>
      <c r="C15956" s="6">
        <v>300</v>
      </c>
      <c r="D15956" s="7">
        <v>4.54</v>
      </c>
    </row>
    <row r="15957" spans="1:5" x14ac:dyDescent="0.25">
      <c r="A15957" t="str">
        <f>HYPERLINK("https://www.773grp.com/globalSearch/MC33151DG/page-1", "MC33151DG")</f>
        <v>MC33151DG</v>
      </c>
      <c r="B15957" s="3" t="str">
        <f>HYPERLINK("https://www.773grp.com/manufacturer/onsemi?pageNo=1128", "Onsemi")</f>
        <v>Onsemi</v>
      </c>
      <c r="C15957" s="6">
        <v>792</v>
      </c>
      <c r="D15957" s="7">
        <v>4.54</v>
      </c>
      <c r="E15957" t="s">
        <v>12</v>
      </c>
    </row>
    <row r="15958" spans="1:5" x14ac:dyDescent="0.25">
      <c r="A15958" t="str">
        <f>HYPERLINK("https://www.773grp.com/globalSearch/MC33151DR2G/page-1", "MC33151DR2G")</f>
        <v>MC33151DR2G</v>
      </c>
      <c r="B15958" s="3" t="str">
        <f>HYPERLINK("https://www.773grp.com/manufacturer/onsemi?pageNo=1129", "Onsemi")</f>
        <v>Onsemi</v>
      </c>
      <c r="C15958" s="6">
        <v>118205</v>
      </c>
      <c r="D15958" s="7">
        <v>4.54</v>
      </c>
      <c r="E15958" t="s">
        <v>12</v>
      </c>
    </row>
    <row r="15959" spans="1:5" x14ac:dyDescent="0.25">
      <c r="A15959" t="str">
        <f>HYPERLINK("https://www.773grp.com/globalSearch/MUR3040PT/page-1", "MUR3040PT")</f>
        <v>MUR3040PT</v>
      </c>
      <c r="B15959" s="3" t="str">
        <f>HYPERLINK("https://www.773grp.com/manufacturer/onsemi?pageNo=1130", "Onsemi")</f>
        <v>Onsemi</v>
      </c>
      <c r="C15959" s="6">
        <v>2925</v>
      </c>
      <c r="D15959" s="7">
        <v>4.54</v>
      </c>
      <c r="E15959" t="s">
        <v>82</v>
      </c>
    </row>
    <row r="15960" spans="1:5" x14ac:dyDescent="0.25">
      <c r="A15960" t="str">
        <f>HYPERLINK("https://www.773grp.com/globalSearch/MUR3060WT/page-1", "MUR3060WT")</f>
        <v>MUR3060WT</v>
      </c>
      <c r="B15960" s="3" t="str">
        <f>HYPERLINK("https://www.773grp.com/manufacturer/onsemi?pageNo=1131", "Onsemi")</f>
        <v>Onsemi</v>
      </c>
      <c r="C15960" s="6">
        <v>123</v>
      </c>
      <c r="D15960" s="7">
        <v>4.54</v>
      </c>
      <c r="E15960" t="s">
        <v>82</v>
      </c>
    </row>
    <row r="15961" spans="1:5" x14ac:dyDescent="0.25">
      <c r="A15961" t="str">
        <f>HYPERLINK("https://www.773grp.com/globalSearch/NB2579ASNR2G/page-1", "NB2579ASNR2G")</f>
        <v>NB2579ASNR2G</v>
      </c>
      <c r="B15961" s="3" t="str">
        <f>HYPERLINK("https://www.773grp.com/manufacturer/onsemi?pageNo=1132", "Onsemi")</f>
        <v>Onsemi</v>
      </c>
      <c r="C15961" s="6">
        <v>5000</v>
      </c>
      <c r="D15961" s="7">
        <v>4.54</v>
      </c>
      <c r="E15961" t="s">
        <v>65</v>
      </c>
    </row>
    <row r="15962" spans="1:5" x14ac:dyDescent="0.25">
      <c r="A15962" t="str">
        <f>HYPERLINK("https://www.773grp.com/globalSearch/NB2669ASNR2G/page-1", "NB2669ASNR2G")</f>
        <v>NB2669ASNR2G</v>
      </c>
      <c r="B15962" s="3" t="str">
        <f>HYPERLINK("https://www.773grp.com/manufacturer/onsemi?pageNo=1133", "Onsemi")</f>
        <v>Onsemi</v>
      </c>
      <c r="C15962" s="6">
        <v>5000</v>
      </c>
      <c r="D15962" s="7">
        <v>4.54</v>
      </c>
      <c r="E15962" t="s">
        <v>65</v>
      </c>
    </row>
    <row r="15963" spans="1:5" x14ac:dyDescent="0.25">
      <c r="A15963" t="str">
        <f>HYPERLINK("https://www.773grp.com/globalSearch/NB2760ASNR2G/page-1", "NB2760ASNR2G")</f>
        <v>NB2760ASNR2G</v>
      </c>
      <c r="B15963" s="3" t="str">
        <f>HYPERLINK("https://www.773grp.com/manufacturer/onsemi?pageNo=1134", "Onsemi")</f>
        <v>Onsemi</v>
      </c>
      <c r="C15963" s="6">
        <v>2495</v>
      </c>
      <c r="D15963" s="7">
        <v>4.54</v>
      </c>
      <c r="E15963" t="s">
        <v>65</v>
      </c>
    </row>
    <row r="15964" spans="1:5" x14ac:dyDescent="0.25">
      <c r="A15964" t="str">
        <f>HYPERLINK("https://www.773grp.com/globalSearch/NB2762ASNR2G/page-1", "NB2762ASNR2G")</f>
        <v>NB2762ASNR2G</v>
      </c>
      <c r="B15964" s="3" t="str">
        <f>HYPERLINK("https://www.773grp.com/manufacturer/onsemi?pageNo=1135", "Onsemi")</f>
        <v>Onsemi</v>
      </c>
      <c r="C15964" s="6">
        <v>5000</v>
      </c>
      <c r="D15964" s="7">
        <v>4.54</v>
      </c>
      <c r="E15964" t="s">
        <v>65</v>
      </c>
    </row>
    <row r="15965" spans="1:5" x14ac:dyDescent="0.25">
      <c r="A15965" t="str">
        <f>HYPERLINK("https://www.773grp.com/globalSearch/NB2769ASNR2G/page-1", "NB2769ASNR2G")</f>
        <v>NB2769ASNR2G</v>
      </c>
      <c r="B15965" s="3" t="str">
        <f>HYPERLINK("https://www.773grp.com/manufacturer/onsemi?pageNo=1136", "Onsemi")</f>
        <v>Onsemi</v>
      </c>
      <c r="C15965" s="6">
        <v>4995</v>
      </c>
      <c r="D15965" s="7">
        <v>4.54</v>
      </c>
      <c r="E15965" t="s">
        <v>65</v>
      </c>
    </row>
    <row r="15966" spans="1:5" x14ac:dyDescent="0.25">
      <c r="A15966" t="str">
        <f>HYPERLINK("https://www.773grp.com/globalSearch/NB2780ASNR2G/page-1", "NB2780ASNR2G")</f>
        <v>NB2780ASNR2G</v>
      </c>
      <c r="B15966" s="3" t="str">
        <f>HYPERLINK("https://www.773grp.com/manufacturer/onsemi?pageNo=1137", "Onsemi")</f>
        <v>Onsemi</v>
      </c>
      <c r="C15966" s="6">
        <v>2495</v>
      </c>
      <c r="D15966" s="7">
        <v>4.54</v>
      </c>
      <c r="E15966" t="s">
        <v>65</v>
      </c>
    </row>
    <row r="15967" spans="1:5" x14ac:dyDescent="0.25">
      <c r="A15967" t="str">
        <f>HYPERLINK("https://www.773grp.com/globalSearch/NB2869ASNR2G/page-1", "NB2869ASNR2G")</f>
        <v>NB2869ASNR2G</v>
      </c>
      <c r="B15967" s="3" t="str">
        <f>HYPERLINK("https://www.773grp.com/manufacturer/onsemi?pageNo=1138", "Onsemi")</f>
        <v>Onsemi</v>
      </c>
      <c r="C15967" s="6">
        <v>5000</v>
      </c>
      <c r="D15967" s="7">
        <v>4.54</v>
      </c>
      <c r="E15967" t="s">
        <v>65</v>
      </c>
    </row>
    <row r="15968" spans="1:5" x14ac:dyDescent="0.25">
      <c r="A15968" t="str">
        <f>HYPERLINK("https://www.773grp.com/globalSearch/NB2870ASNR2G/page-1", "NB2870ASNR2G")</f>
        <v>NB2870ASNR2G</v>
      </c>
      <c r="B15968" s="3" t="str">
        <f>HYPERLINK("https://www.773grp.com/manufacturer/onsemi?pageNo=1139", "Onsemi")</f>
        <v>Onsemi</v>
      </c>
      <c r="C15968" s="6">
        <v>5000</v>
      </c>
      <c r="D15968" s="7">
        <v>4.54</v>
      </c>
      <c r="E15968" t="s">
        <v>65</v>
      </c>
    </row>
    <row r="15969" spans="1:5" x14ac:dyDescent="0.25">
      <c r="A15969" t="str">
        <f>HYPERLINK("https://www.773grp.com/globalSearch/NB2872ASNR2G/page-1", "NB2872ASNR2G")</f>
        <v>NB2872ASNR2G</v>
      </c>
      <c r="B15969" s="3" t="str">
        <f>HYPERLINK("https://www.773grp.com/manufacturer/onsemi?pageNo=1140", "Onsemi")</f>
        <v>Onsemi</v>
      </c>
      <c r="C15969" s="6">
        <v>5000</v>
      </c>
      <c r="D15969" s="7">
        <v>4.54</v>
      </c>
      <c r="E15969" t="s">
        <v>65</v>
      </c>
    </row>
    <row r="15970" spans="1:5" x14ac:dyDescent="0.25">
      <c r="A15970" t="str">
        <f>HYPERLINK("https://www.773grp.com/globalSearch/NB2879ASNR2G/page-1", "NB2879ASNR2G")</f>
        <v>NB2879ASNR2G</v>
      </c>
      <c r="B15970" s="3" t="str">
        <f>HYPERLINK("https://www.773grp.com/manufacturer/onsemi?pageNo=1141", "Onsemi")</f>
        <v>Onsemi</v>
      </c>
      <c r="C15970" s="6">
        <v>5000</v>
      </c>
      <c r="D15970" s="7">
        <v>4.54</v>
      </c>
      <c r="E15970" t="s">
        <v>65</v>
      </c>
    </row>
    <row r="15971" spans="1:5" x14ac:dyDescent="0.25">
      <c r="A15971" t="str">
        <f>HYPERLINK("https://www.773grp.com/globalSearch/NB2969ASNR2G/page-1", "NB2969ASNR2G")</f>
        <v>NB2969ASNR2G</v>
      </c>
      <c r="B15971" s="3" t="str">
        <f>HYPERLINK("https://www.773grp.com/manufacturer/onsemi?pageNo=1142", "Onsemi")</f>
        <v>Onsemi</v>
      </c>
      <c r="C15971" s="6">
        <v>5000</v>
      </c>
      <c r="D15971" s="7">
        <v>4.54</v>
      </c>
      <c r="E15971" t="s">
        <v>65</v>
      </c>
    </row>
    <row r="15972" spans="1:5" x14ac:dyDescent="0.25">
      <c r="A15972" t="str">
        <f>HYPERLINK("https://www.773grp.com/globalSearch/NCP1027PO65G/page-1", "NCP1027PO65G")</f>
        <v>NCP1027PO65G</v>
      </c>
      <c r="B15972" s="3" t="str">
        <f>HYPERLINK("https://www.773grp.com/manufacturer/onsemi?pageNo=1143", "Onsemi")</f>
        <v>Onsemi</v>
      </c>
      <c r="C15972" s="6">
        <v>350</v>
      </c>
      <c r="D15972" s="7">
        <v>4.54</v>
      </c>
    </row>
    <row r="15973" spans="1:5" x14ac:dyDescent="0.25">
      <c r="A15973" t="str">
        <f>HYPERLINK("https://www.773grp.com/globalSearch/NCP5385MNR2G/page-1", "NCP5385MNR2G")</f>
        <v>NCP5385MNR2G</v>
      </c>
      <c r="B15973" s="3" t="str">
        <f>HYPERLINK("https://www.773grp.com/manufacturer/onsemi?pageNo=1144", "Onsemi")</f>
        <v>Onsemi</v>
      </c>
      <c r="C15973" s="6">
        <v>263977</v>
      </c>
      <c r="D15973" s="7">
        <v>4.54</v>
      </c>
      <c r="E15973" t="s">
        <v>5</v>
      </c>
    </row>
    <row r="15974" spans="1:5" x14ac:dyDescent="0.25">
      <c r="A15974" t="str">
        <f>HYPERLINK("https://www.773grp.com/globalSearch/NCV8518APDR2G/page-1", "NCV8518APDR2G")</f>
        <v>NCV8518APDR2G</v>
      </c>
      <c r="B15974" s="3" t="str">
        <f>HYPERLINK("https://www.773grp.com/manufacturer/onsemi?pageNo=1145", "Onsemi")</f>
        <v>Onsemi</v>
      </c>
      <c r="C15974" s="6">
        <v>2180</v>
      </c>
      <c r="D15974" s="7">
        <v>4.54</v>
      </c>
    </row>
    <row r="15975" spans="1:5" x14ac:dyDescent="0.25">
      <c r="A15975" t="str">
        <f>HYPERLINK("https://www.773grp.com/globalSearch/NCV8518PDG/page-1", "NCV8518PDG")</f>
        <v>NCV8518PDG</v>
      </c>
      <c r="B15975" s="3" t="str">
        <f>HYPERLINK("https://www.773grp.com/manufacturer/onsemi?pageNo=1146", "Onsemi")</f>
        <v>Onsemi</v>
      </c>
      <c r="C15975" s="6">
        <v>20738</v>
      </c>
      <c r="D15975" s="7">
        <v>4.54</v>
      </c>
      <c r="E15975" t="s">
        <v>15</v>
      </c>
    </row>
    <row r="15976" spans="1:5" x14ac:dyDescent="0.25">
      <c r="A15976" t="str">
        <f>HYPERLINK("https://www.773grp.com/globalSearch/NCV8518PDR2G/page-1", "NCV8518PDR2G")</f>
        <v>NCV8518PDR2G</v>
      </c>
      <c r="B15976" s="3" t="str">
        <f>HYPERLINK("https://www.773grp.com/manufacturer/onsemi?pageNo=1147", "Onsemi")</f>
        <v>Onsemi</v>
      </c>
      <c r="C15976" s="6">
        <v>582</v>
      </c>
      <c r="D15976" s="7">
        <v>4.54</v>
      </c>
      <c r="E15976" t="s">
        <v>15</v>
      </c>
    </row>
    <row r="15977" spans="1:5" x14ac:dyDescent="0.25">
      <c r="A15977" t="str">
        <f>HYPERLINK("https://www.773grp.com/globalSearch/SBT100-16LS/page-1", "SBT100-16LS")</f>
        <v>SBT100-16LS</v>
      </c>
      <c r="B15977" s="3" t="str">
        <f>HYPERLINK("https://www.773grp.com/manufacturer/onsemi?pageNo=1148", "Onsemi")</f>
        <v>Onsemi</v>
      </c>
      <c r="C15977" s="6">
        <v>100</v>
      </c>
      <c r="D15977" s="7">
        <v>4.54</v>
      </c>
    </row>
    <row r="15978" spans="1:5" x14ac:dyDescent="0.25">
      <c r="A15978" t="str">
        <f>HYPERLINK("https://www.773grp.com/globalSearch/2N5883G/page-1", "2N5883G")</f>
        <v>2N5883G</v>
      </c>
      <c r="B15978" s="3" t="str">
        <f>HYPERLINK("https://www.773grp.com/manufacturer/onsemi?pageNo=1149", "Onsemi")</f>
        <v>Onsemi</v>
      </c>
      <c r="C15978" s="6">
        <v>40</v>
      </c>
      <c r="D15978" s="7">
        <v>4.0999999999999996</v>
      </c>
      <c r="E15978" t="s">
        <v>47</v>
      </c>
    </row>
    <row r="15979" spans="1:5" x14ac:dyDescent="0.25">
      <c r="A15979" t="str">
        <f>HYPERLINK("https://www.773grp.com/globalSearch/SMP3003-DL-1E/page-1", "SMP3003-DL-1E")</f>
        <v>SMP3003-DL-1E</v>
      </c>
      <c r="B15979" s="3" t="str">
        <f>HYPERLINK("https://www.773grp.com/manufacturer/onsemi?pageNo=1150", "Onsemi")</f>
        <v>Onsemi</v>
      </c>
      <c r="C15979" s="6">
        <v>570</v>
      </c>
      <c r="D15979" s="7">
        <v>4.0999999999999996</v>
      </c>
    </row>
    <row r="15980" spans="1:5" x14ac:dyDescent="0.25">
      <c r="A15980" t="str">
        <f>HYPERLINK("https://www.773grp.com/globalSearch/MC10H158P/page-1", "MC10H158P")</f>
        <v>MC10H158P</v>
      </c>
      <c r="B15980" s="3" t="str">
        <f>HYPERLINK("https://www.773grp.com/manufacturer/onsemi?pageNo=1151", "Onsemi")</f>
        <v>Onsemi</v>
      </c>
      <c r="C15980" s="6">
        <v>575</v>
      </c>
      <c r="D15980" s="7">
        <v>4.1399999999999997</v>
      </c>
      <c r="E15980" t="s">
        <v>16</v>
      </c>
    </row>
    <row r="15981" spans="1:5" x14ac:dyDescent="0.25">
      <c r="A15981" t="str">
        <f>HYPERLINK("https://www.773grp.com/globalSearch/MGW12N120/page-1", "MGW12N120")</f>
        <v>MGW12N120</v>
      </c>
      <c r="B15981" s="3" t="str">
        <f>HYPERLINK("https://www.773grp.com/manufacturer/onsemi?pageNo=1152", "Onsemi")</f>
        <v>Onsemi</v>
      </c>
      <c r="C15981" s="6">
        <v>37</v>
      </c>
      <c r="D15981" s="7">
        <v>4.1399999999999997</v>
      </c>
      <c r="E15981" t="s">
        <v>94</v>
      </c>
    </row>
    <row r="15982" spans="1:5" x14ac:dyDescent="0.25">
      <c r="A15982" t="str">
        <f>HYPERLINK("https://www.773grp.com/globalSearch/NCP5322ADWR2G/page-1", "NCP5322ADWR2G")</f>
        <v>NCP5322ADWR2G</v>
      </c>
      <c r="B15982" s="3" t="str">
        <f>HYPERLINK("https://www.773grp.com/manufacturer/onsemi?pageNo=1153", "Onsemi")</f>
        <v>Onsemi</v>
      </c>
      <c r="C15982" s="6">
        <v>2000</v>
      </c>
      <c r="D15982" s="7">
        <v>4.1399999999999997</v>
      </c>
      <c r="E15982" t="s">
        <v>5</v>
      </c>
    </row>
    <row r="15983" spans="1:5" x14ac:dyDescent="0.25">
      <c r="A15983" t="str">
        <f>HYPERLINK("https://www.773grp.com/globalSearch/NCP5331FTR2G/page-1", "NCP5331FTR2G")</f>
        <v>NCP5331FTR2G</v>
      </c>
      <c r="B15983" s="3" t="str">
        <f>HYPERLINK("https://www.773grp.com/manufacturer/onsemi?pageNo=1154", "Onsemi")</f>
        <v>Onsemi</v>
      </c>
      <c r="C15983" s="6">
        <v>126745</v>
      </c>
      <c r="D15983" s="7">
        <v>4.1399999999999997</v>
      </c>
      <c r="E15983" t="s">
        <v>5</v>
      </c>
    </row>
    <row r="15984" spans="1:5" x14ac:dyDescent="0.25">
      <c r="A15984" t="str">
        <f>HYPERLINK("https://www.773grp.com/globalSearch/NCP5332ADWR2/page-1", "NCP5332ADWR2")</f>
        <v>NCP5332ADWR2</v>
      </c>
      <c r="B15984" s="3" t="str">
        <f>HYPERLINK("https://www.773grp.com/manufacturer/onsemi?pageNo=1155", "Onsemi")</f>
        <v>Onsemi</v>
      </c>
      <c r="C15984" s="6">
        <v>2990</v>
      </c>
      <c r="D15984" s="7">
        <v>4.1399999999999997</v>
      </c>
      <c r="E15984" t="s">
        <v>5</v>
      </c>
    </row>
    <row r="15985" spans="1:5" x14ac:dyDescent="0.25">
      <c r="A15985" t="str">
        <f>HYPERLINK("https://www.773grp.com/globalSearch/NCV8509PDW18G/page-1", "NCV8509PDW18G")</f>
        <v>NCV8509PDW18G</v>
      </c>
      <c r="B15985" s="3" t="str">
        <f>HYPERLINK("https://www.773grp.com/manufacturer/onsemi?pageNo=1156", "Onsemi")</f>
        <v>Onsemi</v>
      </c>
      <c r="C15985" s="6">
        <v>3097</v>
      </c>
      <c r="D15985" s="7">
        <v>4.1399999999999997</v>
      </c>
      <c r="E15985" t="s">
        <v>96</v>
      </c>
    </row>
    <row r="15986" spans="1:5" x14ac:dyDescent="0.25">
      <c r="A15986" t="str">
        <f>HYPERLINK("https://www.773grp.com/globalSearch/NCV8509PDW18R2G/page-1", "NCV8509PDW18R2G")</f>
        <v>NCV8509PDW18R2G</v>
      </c>
      <c r="B15986" s="3" t="str">
        <f>HYPERLINK("https://www.773grp.com/manufacturer/onsemi?pageNo=1157", "Onsemi")</f>
        <v>Onsemi</v>
      </c>
      <c r="C15986" s="6">
        <v>1257</v>
      </c>
      <c r="D15986" s="7">
        <v>4.1399999999999997</v>
      </c>
      <c r="E15986" t="s">
        <v>96</v>
      </c>
    </row>
    <row r="15987" spans="1:5" x14ac:dyDescent="0.25">
      <c r="A15987" t="str">
        <f>HYPERLINK("https://www.773grp.com/globalSearch/NCV8509PDW25G/page-1", "NCV8509PDW25G")</f>
        <v>NCV8509PDW25G</v>
      </c>
      <c r="B15987" s="3" t="str">
        <f>HYPERLINK("https://www.773grp.com/manufacturer/onsemi?pageNo=1158", "Onsemi")</f>
        <v>Onsemi</v>
      </c>
      <c r="C15987" s="6">
        <v>1592</v>
      </c>
      <c r="D15987" s="7">
        <v>4.1399999999999997</v>
      </c>
      <c r="E15987" t="s">
        <v>96</v>
      </c>
    </row>
    <row r="15988" spans="1:5" x14ac:dyDescent="0.25">
      <c r="A15988" t="str">
        <f>HYPERLINK("https://www.773grp.com/globalSearch/NCV8509PDW25R2G/page-1", "NCV8509PDW25R2G")</f>
        <v>NCV8509PDW25R2G</v>
      </c>
      <c r="B15988" s="3" t="str">
        <f>HYPERLINK("https://www.773grp.com/manufacturer/onsemi?pageNo=1159", "Onsemi")</f>
        <v>Onsemi</v>
      </c>
      <c r="C15988" s="6">
        <v>2000</v>
      </c>
      <c r="D15988" s="7">
        <v>4.1399999999999997</v>
      </c>
      <c r="E15988" t="s">
        <v>96</v>
      </c>
    </row>
    <row r="15989" spans="1:5" x14ac:dyDescent="0.25">
      <c r="A15989" t="str">
        <f>HYPERLINK("https://www.773grp.com/globalSearch/NCV8509PDW26G/page-1", "NCV8509PDW26G")</f>
        <v>NCV8509PDW26G</v>
      </c>
      <c r="B15989" s="3" t="str">
        <f>HYPERLINK("https://www.773grp.com/manufacturer/onsemi?pageNo=1160", "Onsemi")</f>
        <v>Onsemi</v>
      </c>
      <c r="C15989" s="6">
        <v>893</v>
      </c>
      <c r="D15989" s="7">
        <v>4.1399999999999997</v>
      </c>
      <c r="E15989" t="s">
        <v>96</v>
      </c>
    </row>
    <row r="15990" spans="1:5" x14ac:dyDescent="0.25">
      <c r="A15990" t="str">
        <f>HYPERLINK("https://www.773grp.com/globalSearch/NCV8509PDW26R2G/page-1", "NCV8509PDW26R2G")</f>
        <v>NCV8509PDW26R2G</v>
      </c>
      <c r="B15990" s="3" t="str">
        <f>HYPERLINK("https://www.773grp.com/manufacturer/onsemi?pageNo=1161", "Onsemi")</f>
        <v>Onsemi</v>
      </c>
      <c r="C15990" s="6">
        <v>5000</v>
      </c>
      <c r="D15990" s="7">
        <v>4.1399999999999997</v>
      </c>
      <c r="E15990" t="s">
        <v>96</v>
      </c>
    </row>
    <row r="15991" spans="1:5" x14ac:dyDescent="0.25">
      <c r="A15991" t="str">
        <f>HYPERLINK("https://www.773grp.com/globalSearch/CAT5114ZI-00-GT3/page-1", "CAT5114ZI-00-GT3")</f>
        <v>CAT5114ZI-00-GT3</v>
      </c>
      <c r="B15991" s="3" t="str">
        <f>HYPERLINK("https://www.773grp.com/manufacturer/onsemi?pageNo=1162", "Onsemi")</f>
        <v>Onsemi</v>
      </c>
      <c r="C15991" s="6">
        <v>5000</v>
      </c>
      <c r="D15991" s="7">
        <v>4.59</v>
      </c>
      <c r="E15991" t="s">
        <v>78</v>
      </c>
    </row>
    <row r="15992" spans="1:5" x14ac:dyDescent="0.25">
      <c r="A15992" t="str">
        <f>HYPERLINK("https://www.773grp.com/globalSearch/CAT5114ZI10/page-1", "CAT5114ZI10")</f>
        <v>CAT5114ZI10</v>
      </c>
      <c r="B15992" s="3" t="str">
        <f>HYPERLINK("https://www.773grp.com/manufacturer/onsemi?pageNo=1163", "Onsemi")</f>
        <v>Onsemi</v>
      </c>
      <c r="C15992" s="6">
        <v>15032</v>
      </c>
      <c r="D15992" s="7">
        <v>4.59</v>
      </c>
      <c r="E15992" t="s">
        <v>78</v>
      </c>
    </row>
    <row r="15993" spans="1:5" x14ac:dyDescent="0.25">
      <c r="A15993" t="str">
        <f>HYPERLINK("https://www.773grp.com/globalSearch/CAT5114ZI-50-G/page-1", "CAT5114ZI-50-G")</f>
        <v>CAT5114ZI-50-G</v>
      </c>
      <c r="B15993" s="3" t="str">
        <f>HYPERLINK("https://www.773grp.com/manufacturer/onsemi?pageNo=1164", "Onsemi")</f>
        <v>Onsemi</v>
      </c>
      <c r="C15993" s="6">
        <v>272</v>
      </c>
      <c r="D15993" s="7">
        <v>4.59</v>
      </c>
      <c r="E15993" t="s">
        <v>78</v>
      </c>
    </row>
    <row r="15994" spans="1:5" x14ac:dyDescent="0.25">
      <c r="A15994" t="str">
        <f>HYPERLINK("https://www.773grp.com/globalSearch/CS5127GDW16/page-1", "CS5127GDW16")</f>
        <v>CS5127GDW16</v>
      </c>
      <c r="B15994" s="3" t="str">
        <f>HYPERLINK("https://www.773grp.com/manufacturer/onsemi?pageNo=1165", "Onsemi")</f>
        <v>Onsemi</v>
      </c>
      <c r="C15994" s="6">
        <v>10921</v>
      </c>
      <c r="D15994" s="7">
        <v>4.59</v>
      </c>
      <c r="E15994" t="s">
        <v>5</v>
      </c>
    </row>
    <row r="15995" spans="1:5" x14ac:dyDescent="0.25">
      <c r="A15995" t="str">
        <f>HYPERLINK("https://www.773grp.com/globalSearch/CS5127GDWR16/page-1", "CS5127GDWR16")</f>
        <v>CS5127GDWR16</v>
      </c>
      <c r="B15995" s="3" t="str">
        <f>HYPERLINK("https://www.773grp.com/manufacturer/onsemi?pageNo=1166", "Onsemi")</f>
        <v>Onsemi</v>
      </c>
      <c r="C15995" s="6">
        <v>3000</v>
      </c>
      <c r="D15995" s="7">
        <v>4.59</v>
      </c>
      <c r="E15995" t="s">
        <v>5</v>
      </c>
    </row>
    <row r="15996" spans="1:5" x14ac:dyDescent="0.25">
      <c r="A15996" t="str">
        <f>HYPERLINK("https://www.773grp.com/globalSearch/LB11685AV-MPB-H/page-1", "LB11685AV-MPB-H")</f>
        <v>LB11685AV-MPB-H</v>
      </c>
      <c r="B15996" s="3" t="str">
        <f>HYPERLINK("https://www.773grp.com/manufacturer/onsemi?pageNo=1167", "Onsemi")</f>
        <v>Onsemi</v>
      </c>
      <c r="C15996" s="6">
        <v>9600</v>
      </c>
      <c r="D15996" s="7">
        <v>4.59</v>
      </c>
    </row>
    <row r="15997" spans="1:5" x14ac:dyDescent="0.25">
      <c r="A15997" t="str">
        <f>HYPERLINK("https://www.773grp.com/globalSearch/LM2574N-005G/page-1", "LM2574N-005G")</f>
        <v>LM2574N-005G</v>
      </c>
      <c r="B15997" s="3" t="str">
        <f>HYPERLINK("https://www.773grp.com/manufacturer/onsemi?pageNo=1168", "Onsemi")</f>
        <v>Onsemi</v>
      </c>
      <c r="C15997" s="6">
        <v>100</v>
      </c>
      <c r="D15997" s="7">
        <v>4.59</v>
      </c>
    </row>
    <row r="15998" spans="1:5" x14ac:dyDescent="0.25">
      <c r="A15998" t="str">
        <f>HYPERLINK("https://www.773grp.com/globalSearch/LM2574N-12G/page-1", "LM2574N-12G")</f>
        <v>LM2574N-12G</v>
      </c>
      <c r="B15998" s="3" t="str">
        <f>HYPERLINK("https://www.773grp.com/manufacturer/onsemi?pageNo=1169", "Onsemi")</f>
        <v>Onsemi</v>
      </c>
      <c r="C15998" s="6">
        <v>11500</v>
      </c>
      <c r="D15998" s="7">
        <v>4.59</v>
      </c>
      <c r="E15998" t="s">
        <v>5</v>
      </c>
    </row>
    <row r="15999" spans="1:5" x14ac:dyDescent="0.25">
      <c r="A15999" t="str">
        <f>HYPERLINK("https://www.773grp.com/globalSearch/LM2574N-3.3G/page-1", "LM2574N-3.3G")</f>
        <v>LM2574N-3.3G</v>
      </c>
      <c r="B15999" s="3" t="str">
        <f>HYPERLINK("https://www.773grp.com/manufacturer/onsemi?pageNo=1170", "Onsemi")</f>
        <v>Onsemi</v>
      </c>
      <c r="C15999" s="6">
        <v>600</v>
      </c>
      <c r="D15999" s="7">
        <v>4.59</v>
      </c>
      <c r="E15999" t="s">
        <v>5</v>
      </c>
    </row>
    <row r="16000" spans="1:5" x14ac:dyDescent="0.25">
      <c r="A16000" t="str">
        <f>HYPERLINK("https://www.773grp.com/globalSearch/LM2574N-5G/page-1", "LM2574N-5G")</f>
        <v>LM2574N-5G</v>
      </c>
      <c r="B16000" s="3" t="str">
        <f>HYPERLINK("https://www.773grp.com/manufacturer/onsemi?pageNo=1171", "Onsemi")</f>
        <v>Onsemi</v>
      </c>
      <c r="C16000" s="6">
        <v>4300</v>
      </c>
      <c r="D16000" s="7">
        <v>4.59</v>
      </c>
      <c r="E16000" t="s">
        <v>5</v>
      </c>
    </row>
    <row r="16001" spans="1:5" x14ac:dyDescent="0.25">
      <c r="A16001" t="str">
        <f>HYPERLINK("https://www.773grp.com/globalSearch/LM2574N-ADJ/page-1", "LM2574N-ADJ")</f>
        <v>LM2574N-ADJ</v>
      </c>
      <c r="B16001" s="3" t="str">
        <f>HYPERLINK("https://www.773grp.com/manufacturer/onsemi?pageNo=1172", "Onsemi")</f>
        <v>Onsemi</v>
      </c>
      <c r="C16001" s="6">
        <v>3900</v>
      </c>
      <c r="D16001" s="7">
        <v>4.59</v>
      </c>
      <c r="E16001" t="s">
        <v>5</v>
      </c>
    </row>
    <row r="16002" spans="1:5" x14ac:dyDescent="0.25">
      <c r="A16002" t="str">
        <f>HYPERLINK("https://www.773grp.com/globalSearch/LM2574N-ADJG/page-1", "LM2574N-ADJG")</f>
        <v>LM2574N-ADJG</v>
      </c>
      <c r="B16002" s="3" t="str">
        <f>HYPERLINK("https://www.773grp.com/manufacturer/onsemi?pageNo=1173", "Onsemi")</f>
        <v>Onsemi</v>
      </c>
      <c r="C16002" s="6">
        <v>830</v>
      </c>
      <c r="D16002" s="7">
        <v>4.59</v>
      </c>
      <c r="E16002" t="s">
        <v>5</v>
      </c>
    </row>
    <row r="16003" spans="1:5" x14ac:dyDescent="0.25">
      <c r="A16003" t="str">
        <f>HYPERLINK("https://www.773grp.com/globalSearch/NCP5389MNR2G/page-1", "NCP5389MNR2G")</f>
        <v>NCP5389MNR2G</v>
      </c>
      <c r="B16003" s="3" t="str">
        <f>HYPERLINK("https://www.773grp.com/manufacturer/onsemi?pageNo=1174", "Onsemi")</f>
        <v>Onsemi</v>
      </c>
      <c r="C16003" s="6">
        <v>2985</v>
      </c>
      <c r="D16003" s="7">
        <v>4.59</v>
      </c>
      <c r="E16003" t="s">
        <v>5</v>
      </c>
    </row>
    <row r="16004" spans="1:5" x14ac:dyDescent="0.25">
      <c r="A16004" t="str">
        <f>HYPERLINK("https://www.773grp.com/globalSearch/NCV8665DS50G/page-1", "NCV8665DS50G")</f>
        <v>NCV8665DS50G</v>
      </c>
      <c r="B16004" s="3" t="str">
        <f>HYPERLINK("https://www.773grp.com/manufacturer/onsemi?pageNo=1175", "Onsemi")</f>
        <v>Onsemi</v>
      </c>
      <c r="C16004" s="6">
        <v>2000</v>
      </c>
      <c r="D16004" s="7">
        <v>4.59</v>
      </c>
    </row>
    <row r="16005" spans="1:5" x14ac:dyDescent="0.25">
      <c r="A16005" t="str">
        <f>HYPERLINK("https://www.773grp.com/globalSearch/NCV8665DS50R4G/page-1", "NCV8665DS50R4G")</f>
        <v>NCV8665DS50R4G</v>
      </c>
      <c r="B16005" s="3" t="str">
        <f>HYPERLINK("https://www.773grp.com/manufacturer/onsemi?pageNo=1176", "Onsemi")</f>
        <v>Onsemi</v>
      </c>
      <c r="C16005" s="6">
        <v>800</v>
      </c>
      <c r="D16005" s="7">
        <v>4.59</v>
      </c>
      <c r="E16005" t="s">
        <v>15</v>
      </c>
    </row>
    <row r="16006" spans="1:5" x14ac:dyDescent="0.25">
      <c r="A16006" t="str">
        <f>HYPERLINK("https://www.773grp.com/globalSearch/NCV8668ABD250R2G/page-1", "NCV8668ABD250R2G")</f>
        <v>NCV8668ABD250R2G</v>
      </c>
      <c r="B16006" s="3" t="str">
        <f>HYPERLINK("https://www.773grp.com/manufacturer/onsemi?pageNo=1177", "Onsemi")</f>
        <v>Onsemi</v>
      </c>
      <c r="C16006" s="6">
        <v>2500</v>
      </c>
      <c r="D16006" s="7">
        <v>4.59</v>
      </c>
    </row>
    <row r="16007" spans="1:5" x14ac:dyDescent="0.25">
      <c r="A16007" t="str">
        <f>HYPERLINK("https://www.773grp.com/globalSearch/NCV876950D250R2G/page-1", "NCV876950D250R2G")</f>
        <v>NCV876950D250R2G</v>
      </c>
      <c r="B16007" s="3" t="str">
        <f>HYPERLINK("https://www.773grp.com/manufacturer/onsemi?pageNo=1178", "Onsemi")</f>
        <v>Onsemi</v>
      </c>
      <c r="C16007" s="6">
        <v>2500</v>
      </c>
      <c r="D16007" s="7">
        <v>4.59</v>
      </c>
    </row>
    <row r="16008" spans="1:5" x14ac:dyDescent="0.25">
      <c r="A16008" t="str">
        <f>HYPERLINK("https://www.773grp.com/globalSearch/NCY9000DR2G/page-1", "NCY9000DR2G")</f>
        <v>NCY9000DR2G</v>
      </c>
      <c r="B16008" s="3" t="str">
        <f>HYPERLINK("https://www.773grp.com/manufacturer/onsemi?pageNo=1179", "Onsemi")</f>
        <v>Onsemi</v>
      </c>
      <c r="C16008" s="6">
        <v>10000</v>
      </c>
      <c r="D16008" s="7">
        <v>4.59</v>
      </c>
    </row>
    <row r="16009" spans="1:5" x14ac:dyDescent="0.25">
      <c r="A16009" t="str">
        <f>HYPERLINK("https://www.773grp.com/globalSearch/SJ83100/page-1", "SJ83100")</f>
        <v>SJ83100</v>
      </c>
      <c r="B16009" s="3" t="str">
        <f>HYPERLINK("https://www.773grp.com/manufacturer/onsemi?pageNo=1180", "Onsemi")</f>
        <v>Onsemi</v>
      </c>
      <c r="C16009" s="6">
        <v>1800</v>
      </c>
      <c r="D16009" s="7">
        <v>4.59</v>
      </c>
    </row>
    <row r="16010" spans="1:5" x14ac:dyDescent="0.25">
      <c r="A16010" t="str">
        <f>HYPERLINK("https://www.773grp.com/globalSearch/SN54LS273J/page-1", "SN54LS273J")</f>
        <v>SN54LS273J</v>
      </c>
      <c r="B16010" s="3" t="str">
        <f>HYPERLINK("https://www.773grp.com/manufacturer/onsemi?pageNo=1181", "Onsemi")</f>
        <v>Onsemi</v>
      </c>
      <c r="C16010" s="6">
        <v>2338</v>
      </c>
      <c r="D16010" s="7">
        <v>4.59</v>
      </c>
      <c r="E16010" t="s">
        <v>31</v>
      </c>
    </row>
    <row r="16011" spans="1:5" x14ac:dyDescent="0.25">
      <c r="A16011" t="str">
        <f>HYPERLINK("https://www.773grp.com/globalSearch/MC1648M/page-1", "MC1648M")</f>
        <v>MC1648M</v>
      </c>
      <c r="B16011" s="3" t="str">
        <f>HYPERLINK("https://www.773grp.com/manufacturer/onsemi?pageNo=1182", "Onsemi")</f>
        <v>Onsemi</v>
      </c>
      <c r="C16011" s="6">
        <v>30</v>
      </c>
      <c r="D16011" s="7">
        <v>4.16</v>
      </c>
    </row>
    <row r="16012" spans="1:5" x14ac:dyDescent="0.25">
      <c r="A16012" t="str">
        <f>HYPERLINK("https://www.773grp.com/globalSearch/MC34166D2TG/page-1", "MC34166D2TG")</f>
        <v>MC34166D2TG</v>
      </c>
      <c r="B16012" s="3" t="str">
        <f>HYPERLINK("https://www.773grp.com/manufacturer/onsemi?pageNo=1183", "Onsemi")</f>
        <v>Onsemi</v>
      </c>
      <c r="C16012" s="6">
        <v>3204</v>
      </c>
      <c r="D16012" s="7">
        <v>4.16</v>
      </c>
      <c r="E16012" t="s">
        <v>5</v>
      </c>
    </row>
    <row r="16013" spans="1:5" x14ac:dyDescent="0.25">
      <c r="A16013" t="str">
        <f>HYPERLINK("https://www.773grp.com/globalSearch/MC34166D2TR4G/page-1", "MC34166D2TR4G")</f>
        <v>MC34166D2TR4G</v>
      </c>
      <c r="B16013" s="3" t="str">
        <f>HYPERLINK("https://www.773grp.com/manufacturer/onsemi?pageNo=1184", "Onsemi")</f>
        <v>Onsemi</v>
      </c>
      <c r="C16013" s="6">
        <v>1690</v>
      </c>
      <c r="D16013" s="7">
        <v>4.16</v>
      </c>
    </row>
    <row r="16014" spans="1:5" x14ac:dyDescent="0.25">
      <c r="A16014" t="str">
        <f>HYPERLINK("https://www.773grp.com/globalSearch/CS8141YDPS7/page-1", "CS8141YDPS7")</f>
        <v>CS8141YDPS7</v>
      </c>
      <c r="B16014" s="3" t="str">
        <f>HYPERLINK("https://www.773grp.com/manufacturer/onsemi?pageNo=1185", "Onsemi")</f>
        <v>Onsemi</v>
      </c>
      <c r="C16014" s="6">
        <v>1550</v>
      </c>
      <c r="D16014" s="7">
        <v>4.1900000000000004</v>
      </c>
      <c r="E16014" t="s">
        <v>15</v>
      </c>
    </row>
    <row r="16015" spans="1:5" x14ac:dyDescent="0.25">
      <c r="A16015" t="str">
        <f>HYPERLINK("https://www.773grp.com/globalSearch/CS8371ETVA7/page-1", "CS8371ETVA7")</f>
        <v>CS8371ETVA7</v>
      </c>
      <c r="B16015" s="3" t="str">
        <f>HYPERLINK("https://www.773grp.com/manufacturer/onsemi?pageNo=1186", "Onsemi")</f>
        <v>Onsemi</v>
      </c>
      <c r="C16015" s="6">
        <v>4400</v>
      </c>
      <c r="D16015" s="7">
        <v>4.1900000000000004</v>
      </c>
      <c r="E16015" t="s">
        <v>96</v>
      </c>
    </row>
    <row r="16016" spans="1:5" x14ac:dyDescent="0.25">
      <c r="A16016" t="str">
        <f>HYPERLINK("https://www.773grp.com/globalSearch/LV8735V-MPB-H/page-1", "LV8735V-MPB-H")</f>
        <v>LV8735V-MPB-H</v>
      </c>
      <c r="B16016" s="3" t="str">
        <f>HYPERLINK("https://www.773grp.com/manufacturer/onsemi?pageNo=1187", "Onsemi")</f>
        <v>Onsemi</v>
      </c>
      <c r="C16016" s="6">
        <v>60</v>
      </c>
      <c r="D16016" s="7">
        <v>4.1900000000000004</v>
      </c>
    </row>
    <row r="16017" spans="1:5" x14ac:dyDescent="0.25">
      <c r="A16017" t="str">
        <f>HYPERLINK("https://www.773grp.com/globalSearch/MC10H101PG/page-1", "MC10H101PG")</f>
        <v>MC10H101PG</v>
      </c>
      <c r="B16017" s="3" t="str">
        <f>HYPERLINK("https://www.773grp.com/manufacturer/onsemi?pageNo=1188", "Onsemi")</f>
        <v>Onsemi</v>
      </c>
      <c r="C16017" s="6">
        <v>3561</v>
      </c>
      <c r="D16017" s="7">
        <v>4.1900000000000004</v>
      </c>
      <c r="E16017" t="s">
        <v>27</v>
      </c>
    </row>
    <row r="16018" spans="1:5" x14ac:dyDescent="0.25">
      <c r="A16018" t="str">
        <f>HYPERLINK("https://www.773grp.com/globalSearch/MC10H102PG/page-1", "MC10H102PG")</f>
        <v>MC10H102PG</v>
      </c>
      <c r="B16018" s="3" t="str">
        <f>HYPERLINK("https://www.773grp.com/manufacturer/onsemi?pageNo=1189", "Onsemi")</f>
        <v>Onsemi</v>
      </c>
      <c r="C16018" s="6">
        <v>4345</v>
      </c>
      <c r="D16018" s="7">
        <v>4.1900000000000004</v>
      </c>
      <c r="E16018" t="s">
        <v>27</v>
      </c>
    </row>
    <row r="16019" spans="1:5" x14ac:dyDescent="0.25">
      <c r="A16019" t="str">
        <f>HYPERLINK("https://www.773grp.com/globalSearch/MC10H103PG/page-1", "MC10H103PG")</f>
        <v>MC10H103PG</v>
      </c>
      <c r="B16019" s="3" t="str">
        <f>HYPERLINK("https://www.773grp.com/manufacturer/onsemi?pageNo=1190", "Onsemi")</f>
        <v>Onsemi</v>
      </c>
      <c r="C16019" s="6">
        <v>10254</v>
      </c>
      <c r="D16019" s="7">
        <v>4.1900000000000004</v>
      </c>
      <c r="E16019" t="s">
        <v>27</v>
      </c>
    </row>
    <row r="16020" spans="1:5" x14ac:dyDescent="0.25">
      <c r="A16020" t="str">
        <f>HYPERLINK("https://www.773grp.com/globalSearch/MC10H104PG/page-1", "MC10H104PG")</f>
        <v>MC10H104PG</v>
      </c>
      <c r="B16020" s="3" t="str">
        <f>HYPERLINK("https://www.773grp.com/manufacturer/onsemi?pageNo=1191", "Onsemi")</f>
        <v>Onsemi</v>
      </c>
      <c r="C16020" s="6">
        <v>5348</v>
      </c>
      <c r="D16020" s="7">
        <v>4.1900000000000004</v>
      </c>
      <c r="E16020" t="s">
        <v>27</v>
      </c>
    </row>
    <row r="16021" spans="1:5" x14ac:dyDescent="0.25">
      <c r="A16021" t="str">
        <f>HYPERLINK("https://www.773grp.com/globalSearch/MC10H105PG/page-1", "MC10H105PG")</f>
        <v>MC10H105PG</v>
      </c>
      <c r="B16021" s="3" t="str">
        <f>HYPERLINK("https://www.773grp.com/manufacturer/onsemi?pageNo=1192", "Onsemi")</f>
        <v>Onsemi</v>
      </c>
      <c r="C16021" s="6">
        <v>3609</v>
      </c>
      <c r="D16021" s="7">
        <v>4.1900000000000004</v>
      </c>
      <c r="E16021" t="s">
        <v>27</v>
      </c>
    </row>
    <row r="16022" spans="1:5" x14ac:dyDescent="0.25">
      <c r="A16022" t="str">
        <f>HYPERLINK("https://www.773grp.com/globalSearch/MC10H107P/page-1", "MC10H107P")</f>
        <v>MC10H107P</v>
      </c>
      <c r="B16022" s="3" t="str">
        <f>HYPERLINK("https://www.773grp.com/manufacturer/onsemi?pageNo=1193", "Onsemi")</f>
        <v>Onsemi</v>
      </c>
      <c r="C16022" s="6">
        <v>3350</v>
      </c>
      <c r="D16022" s="7">
        <v>4.1900000000000004</v>
      </c>
    </row>
    <row r="16023" spans="1:5" x14ac:dyDescent="0.25">
      <c r="A16023" t="str">
        <f>HYPERLINK("https://www.773grp.com/globalSearch/MC10H107PG/page-1", "MC10H107PG")</f>
        <v>MC10H107PG</v>
      </c>
      <c r="B16023" s="3" t="str">
        <f>HYPERLINK("https://www.773grp.com/manufacturer/onsemi?pageNo=1194", "Onsemi")</f>
        <v>Onsemi</v>
      </c>
      <c r="C16023" s="6">
        <v>4041</v>
      </c>
      <c r="D16023" s="7">
        <v>4.1900000000000004</v>
      </c>
      <c r="E16023" t="s">
        <v>27</v>
      </c>
    </row>
    <row r="16024" spans="1:5" x14ac:dyDescent="0.25">
      <c r="A16024" t="str">
        <f>HYPERLINK("https://www.773grp.com/globalSearch/MC10H109PG/page-1", "MC10H109PG")</f>
        <v>MC10H109PG</v>
      </c>
      <c r="B16024" s="3" t="str">
        <f>HYPERLINK("https://www.773grp.com/manufacturer/onsemi?pageNo=1195", "Onsemi")</f>
        <v>Onsemi</v>
      </c>
      <c r="C16024" s="6">
        <v>4804</v>
      </c>
      <c r="D16024" s="7">
        <v>4.1900000000000004</v>
      </c>
      <c r="E16024" t="s">
        <v>27</v>
      </c>
    </row>
    <row r="16025" spans="1:5" x14ac:dyDescent="0.25">
      <c r="A16025" t="str">
        <f>HYPERLINK("https://www.773grp.com/globalSearch/MC10H115PG/page-1", "MC10H115PG")</f>
        <v>MC10H115PG</v>
      </c>
      <c r="B16025" s="3" t="str">
        <f>HYPERLINK("https://www.773grp.com/manufacturer/onsemi?pageNo=1196", "Onsemi")</f>
        <v>Onsemi</v>
      </c>
      <c r="C16025" s="6">
        <v>11983</v>
      </c>
      <c r="D16025" s="7">
        <v>4.1900000000000004</v>
      </c>
      <c r="E16025" t="s">
        <v>17</v>
      </c>
    </row>
    <row r="16026" spans="1:5" x14ac:dyDescent="0.25">
      <c r="A16026" t="str">
        <f>HYPERLINK("https://www.773grp.com/globalSearch/MC10H116PG/page-1", "MC10H116PG")</f>
        <v>MC10H116PG</v>
      </c>
      <c r="B16026" s="3" t="str">
        <f>HYPERLINK("https://www.773grp.com/manufacturer/onsemi?pageNo=1197", "Onsemi")</f>
        <v>Onsemi</v>
      </c>
      <c r="C16026" s="6">
        <v>1025</v>
      </c>
      <c r="D16026" s="7">
        <v>4.1900000000000004</v>
      </c>
      <c r="E16026" t="s">
        <v>17</v>
      </c>
    </row>
    <row r="16027" spans="1:5" x14ac:dyDescent="0.25">
      <c r="A16027" t="str">
        <f>HYPERLINK("https://www.773grp.com/globalSearch/MC10H117PG/page-1", "MC10H117PG")</f>
        <v>MC10H117PG</v>
      </c>
      <c r="B16027" s="3" t="str">
        <f>HYPERLINK("https://www.773grp.com/manufacturer/onsemi?pageNo=1198", "Onsemi")</f>
        <v>Onsemi</v>
      </c>
      <c r="C16027" s="6">
        <v>8875</v>
      </c>
      <c r="D16027" s="7">
        <v>4.1900000000000004</v>
      </c>
      <c r="E16027" t="s">
        <v>27</v>
      </c>
    </row>
    <row r="16028" spans="1:5" x14ac:dyDescent="0.25">
      <c r="A16028" t="str">
        <f>HYPERLINK("https://www.773grp.com/globalSearch/MC10H210P/page-1", "MC10H210P")</f>
        <v>MC10H210P</v>
      </c>
      <c r="B16028" s="3" t="str">
        <f>HYPERLINK("https://www.773grp.com/manufacturer/onsemi?pageNo=1199", "Onsemi")</f>
        <v>Onsemi</v>
      </c>
      <c r="C16028" s="6">
        <v>6025</v>
      </c>
      <c r="D16028" s="7">
        <v>4.1900000000000004</v>
      </c>
      <c r="E16028" t="s">
        <v>27</v>
      </c>
    </row>
    <row r="16029" spans="1:5" x14ac:dyDescent="0.25">
      <c r="A16029" t="str">
        <f>HYPERLINK("https://www.773grp.com/globalSearch/MC10H211P/page-1", "MC10H211P")</f>
        <v>MC10H211P</v>
      </c>
      <c r="B16029" s="3" t="str">
        <f>HYPERLINK("https://www.773grp.com/manufacturer/onsemi?pageNo=1200", "Onsemi")</f>
        <v>Onsemi</v>
      </c>
      <c r="C16029" s="6">
        <v>3450</v>
      </c>
      <c r="D16029" s="7">
        <v>4.1900000000000004</v>
      </c>
      <c r="E16029" t="s">
        <v>27</v>
      </c>
    </row>
    <row r="16030" spans="1:5" x14ac:dyDescent="0.25">
      <c r="A16030" t="str">
        <f>HYPERLINK("https://www.773grp.com/globalSearch/ADT7476ARQZ/page-1", "ADT7476ARQZ")</f>
        <v>ADT7476ARQZ</v>
      </c>
      <c r="B16030" s="3" t="str">
        <f>HYPERLINK("https://www.773grp.com/manufacturer/onsemi?pageNo=1201", "Onsemi")</f>
        <v>Onsemi</v>
      </c>
      <c r="C16030" s="6">
        <v>31</v>
      </c>
      <c r="D16030" s="7">
        <v>4.6399999999999997</v>
      </c>
      <c r="E16030" t="s">
        <v>9</v>
      </c>
    </row>
    <row r="16031" spans="1:5" x14ac:dyDescent="0.25">
      <c r="A16031" t="str">
        <f>HYPERLINK("https://www.773grp.com/globalSearch/CAT1640WI-30-G/page-1", "CAT1640WI-30-G")</f>
        <v>CAT1640WI-30-G</v>
      </c>
      <c r="B16031" s="3" t="str">
        <f>HYPERLINK("https://www.773grp.com/manufacturer/onsemi?pageNo=1202", "Onsemi")</f>
        <v>Onsemi</v>
      </c>
      <c r="C16031" s="6">
        <v>600</v>
      </c>
      <c r="D16031" s="7">
        <v>4.6399999999999997</v>
      </c>
    </row>
    <row r="16032" spans="1:5" x14ac:dyDescent="0.25">
      <c r="A16032" t="str">
        <f>HYPERLINK("https://www.773grp.com/globalSearch/CAT5115ZI-10-G/page-1", "CAT5115ZI-10-G")</f>
        <v>CAT5115ZI-10-G</v>
      </c>
      <c r="B16032" s="3" t="str">
        <f>HYPERLINK("https://www.773grp.com/manufacturer/onsemi?pageNo=1203", "Onsemi")</f>
        <v>Onsemi</v>
      </c>
      <c r="C16032" s="6">
        <v>1344</v>
      </c>
      <c r="D16032" s="7">
        <v>4.6399999999999997</v>
      </c>
      <c r="E16032" t="s">
        <v>78</v>
      </c>
    </row>
    <row r="16033" spans="1:5" x14ac:dyDescent="0.25">
      <c r="A16033" t="str">
        <f>HYPERLINK("https://www.773grp.com/globalSearch/CS8151D2R2G/page-1", "CS8151D2R2G")</f>
        <v>CS8151D2R2G</v>
      </c>
      <c r="B16033" s="3" t="str">
        <f>HYPERLINK("https://www.773grp.com/manufacturer/onsemi?pageNo=1204", "Onsemi")</f>
        <v>Onsemi</v>
      </c>
      <c r="C16033" s="6">
        <v>9780</v>
      </c>
      <c r="D16033" s="7">
        <v>4.6399999999999997</v>
      </c>
      <c r="E16033" t="s">
        <v>15</v>
      </c>
    </row>
    <row r="16034" spans="1:5" x14ac:dyDescent="0.25">
      <c r="A16034" t="str">
        <f>HYPERLINK("https://www.773grp.com/globalSearch/L88M05T-TL-E/page-1", "L88M05T-TL-E")</f>
        <v>L88M05T-TL-E</v>
      </c>
      <c r="B16034" s="3" t="str">
        <f>HYPERLINK("https://www.773grp.com/manufacturer/onsemi?pageNo=1205", "Onsemi")</f>
        <v>Onsemi</v>
      </c>
      <c r="C16034" s="6">
        <v>1400</v>
      </c>
      <c r="D16034" s="7">
        <v>4.6399999999999997</v>
      </c>
    </row>
    <row r="16035" spans="1:5" x14ac:dyDescent="0.25">
      <c r="A16035" t="str">
        <f>HYPERLINK("https://www.773grp.com/globalSearch/LM2576D2T-005/page-1", "LM2576D2T-005")</f>
        <v>LM2576D2T-005</v>
      </c>
      <c r="B16035" s="3" t="str">
        <f>HYPERLINK("https://www.773grp.com/manufacturer/onsemi?pageNo=1206", "Onsemi")</f>
        <v>Onsemi</v>
      </c>
      <c r="C16035" s="6">
        <v>35711</v>
      </c>
      <c r="D16035" s="7">
        <v>4.6399999999999997</v>
      </c>
      <c r="E16035" t="s">
        <v>5</v>
      </c>
    </row>
    <row r="16036" spans="1:5" x14ac:dyDescent="0.25">
      <c r="A16036" t="str">
        <f>HYPERLINK("https://www.773grp.com/globalSearch/LM2576D2T-3.3/page-1", "LM2576D2T-3.3")</f>
        <v>LM2576D2T-3.3</v>
      </c>
      <c r="B16036" s="3" t="str">
        <f>HYPERLINK("https://www.773grp.com/manufacturer/onsemi?pageNo=1207", "Onsemi")</f>
        <v>Onsemi</v>
      </c>
      <c r="C16036" s="6">
        <v>6265</v>
      </c>
      <c r="D16036" s="7">
        <v>4.6399999999999997</v>
      </c>
      <c r="E16036" t="s">
        <v>5</v>
      </c>
    </row>
    <row r="16037" spans="1:5" x14ac:dyDescent="0.25">
      <c r="A16037" t="str">
        <f>HYPERLINK("https://www.773grp.com/globalSearch/LM2576D2T-ADJR4/page-1", "LM2576D2T-ADJR4")</f>
        <v>LM2576D2T-ADJR4</v>
      </c>
      <c r="B16037" s="3" t="str">
        <f>HYPERLINK("https://www.773grp.com/manufacturer/onsemi?pageNo=1208", "Onsemi")</f>
        <v>Onsemi</v>
      </c>
      <c r="C16037" s="6">
        <v>4000</v>
      </c>
      <c r="D16037" s="7">
        <v>4.6399999999999997</v>
      </c>
      <c r="E16037" t="s">
        <v>5</v>
      </c>
    </row>
    <row r="16038" spans="1:5" x14ac:dyDescent="0.25">
      <c r="A16038" t="str">
        <f>HYPERLINK("https://www.773grp.com/globalSearch/LM2576D2TR4-005/page-1", "LM2576D2TR4-005")</f>
        <v>LM2576D2TR4-005</v>
      </c>
      <c r="B16038" s="3" t="str">
        <f>HYPERLINK("https://www.773grp.com/manufacturer/onsemi?pageNo=1209", "Onsemi")</f>
        <v>Onsemi</v>
      </c>
      <c r="C16038" s="6">
        <v>9</v>
      </c>
      <c r="D16038" s="7">
        <v>4.6399999999999997</v>
      </c>
      <c r="E16038" t="s">
        <v>5</v>
      </c>
    </row>
    <row r="16039" spans="1:5" x14ac:dyDescent="0.25">
      <c r="A16039" t="str">
        <f>HYPERLINK("https://www.773grp.com/globalSearch/MC10H100MEL/page-1", "MC10H100MEL")</f>
        <v>MC10H100MEL</v>
      </c>
      <c r="B16039" s="3" t="str">
        <f>HYPERLINK("https://www.773grp.com/manufacturer/onsemi?pageNo=1210", "Onsemi")</f>
        <v>Onsemi</v>
      </c>
      <c r="C16039" s="6">
        <v>8000</v>
      </c>
      <c r="D16039" s="7">
        <v>4.6399999999999997</v>
      </c>
      <c r="E16039" t="s">
        <v>27</v>
      </c>
    </row>
    <row r="16040" spans="1:5" x14ac:dyDescent="0.25">
      <c r="A16040" t="str">
        <f>HYPERLINK("https://www.773grp.com/globalSearch/MC10H101FN/page-1", "MC10H101FN")</f>
        <v>MC10H101FN</v>
      </c>
      <c r="B16040" s="3" t="str">
        <f>HYPERLINK("https://www.773grp.com/manufacturer/onsemi?pageNo=1211", "Onsemi")</f>
        <v>Onsemi</v>
      </c>
      <c r="C16040" s="6">
        <v>11290</v>
      </c>
      <c r="D16040" s="7">
        <v>4.6399999999999997</v>
      </c>
      <c r="E16040" t="s">
        <v>27</v>
      </c>
    </row>
    <row r="16041" spans="1:5" x14ac:dyDescent="0.25">
      <c r="A16041" t="str">
        <f>HYPERLINK("https://www.773grp.com/globalSearch/MC10H101M/page-1", "MC10H101M")</f>
        <v>MC10H101M</v>
      </c>
      <c r="B16041" s="3" t="str">
        <f>HYPERLINK("https://www.773grp.com/manufacturer/onsemi?pageNo=1212", "Onsemi")</f>
        <v>Onsemi</v>
      </c>
      <c r="C16041" s="6">
        <v>1128</v>
      </c>
      <c r="D16041" s="7">
        <v>4.6399999999999997</v>
      </c>
      <c r="E16041" t="s">
        <v>27</v>
      </c>
    </row>
    <row r="16042" spans="1:5" x14ac:dyDescent="0.25">
      <c r="A16042" t="str">
        <f>HYPERLINK("https://www.773grp.com/globalSearch/MC10H101MEL/page-1", "MC10H101MEL")</f>
        <v>MC10H101MEL</v>
      </c>
      <c r="B16042" s="3" t="str">
        <f>HYPERLINK("https://www.773grp.com/manufacturer/onsemi?pageNo=1213", "Onsemi")</f>
        <v>Onsemi</v>
      </c>
      <c r="C16042" s="6">
        <v>9842</v>
      </c>
      <c r="D16042" s="7">
        <v>4.6399999999999997</v>
      </c>
      <c r="E16042" t="s">
        <v>27</v>
      </c>
    </row>
    <row r="16043" spans="1:5" x14ac:dyDescent="0.25">
      <c r="A16043" t="str">
        <f>HYPERLINK("https://www.773grp.com/globalSearch/MC10H102FN/page-1", "MC10H102FN")</f>
        <v>MC10H102FN</v>
      </c>
      <c r="B16043" s="3" t="str">
        <f>HYPERLINK("https://www.773grp.com/manufacturer/onsemi?pageNo=1214", "Onsemi")</f>
        <v>Onsemi</v>
      </c>
      <c r="C16043" s="6">
        <v>15420</v>
      </c>
      <c r="D16043" s="7">
        <v>4.6399999999999997</v>
      </c>
      <c r="E16043" t="s">
        <v>27</v>
      </c>
    </row>
    <row r="16044" spans="1:5" x14ac:dyDescent="0.25">
      <c r="A16044" t="str">
        <f>HYPERLINK("https://www.773grp.com/globalSearch/MC10H102FNG/page-1", "MC10H102FNG")</f>
        <v>MC10H102FNG</v>
      </c>
      <c r="B16044" s="3" t="str">
        <f>HYPERLINK("https://www.773grp.com/manufacturer/onsemi?pageNo=1215", "Onsemi")</f>
        <v>Onsemi</v>
      </c>
      <c r="C16044" s="6">
        <v>5486</v>
      </c>
      <c r="D16044" s="7">
        <v>4.6399999999999997</v>
      </c>
      <c r="E16044" t="s">
        <v>27</v>
      </c>
    </row>
    <row r="16045" spans="1:5" x14ac:dyDescent="0.25">
      <c r="A16045" t="str">
        <f>HYPERLINK("https://www.773grp.com/globalSearch/MC10H102FNR2/page-1", "MC10H102FNR2")</f>
        <v>MC10H102FNR2</v>
      </c>
      <c r="B16045" s="3" t="str">
        <f>HYPERLINK("https://www.773grp.com/manufacturer/onsemi?pageNo=1216", "Onsemi")</f>
        <v>Onsemi</v>
      </c>
      <c r="C16045" s="6">
        <v>19171</v>
      </c>
      <c r="D16045" s="7">
        <v>4.6399999999999997</v>
      </c>
      <c r="E16045" t="s">
        <v>27</v>
      </c>
    </row>
    <row r="16046" spans="1:5" x14ac:dyDescent="0.25">
      <c r="A16046" t="str">
        <f>HYPERLINK("https://www.773grp.com/globalSearch/MC10H102L/page-1", "MC10H102L")</f>
        <v>MC10H102L</v>
      </c>
      <c r="B16046" s="3" t="str">
        <f>HYPERLINK("https://www.773grp.com/manufacturer/onsemi?pageNo=1217", "Onsemi")</f>
        <v>Onsemi</v>
      </c>
      <c r="C16046" s="6">
        <v>4668</v>
      </c>
      <c r="D16046" s="7">
        <v>4.6399999999999997</v>
      </c>
      <c r="E16046" t="s">
        <v>27</v>
      </c>
    </row>
    <row r="16047" spans="1:5" x14ac:dyDescent="0.25">
      <c r="A16047" t="str">
        <f>HYPERLINK("https://www.773grp.com/globalSearch/MC10H103FN/page-1", "MC10H103FN")</f>
        <v>MC10H103FN</v>
      </c>
      <c r="B16047" s="3" t="str">
        <f>HYPERLINK("https://www.773grp.com/manufacturer/onsemi?pageNo=1218", "Onsemi")</f>
        <v>Onsemi</v>
      </c>
      <c r="C16047" s="6">
        <v>10802</v>
      </c>
      <c r="D16047" s="7">
        <v>4.6399999999999997</v>
      </c>
      <c r="E16047" t="s">
        <v>27</v>
      </c>
    </row>
    <row r="16048" spans="1:5" x14ac:dyDescent="0.25">
      <c r="A16048" t="str">
        <f>HYPERLINK("https://www.773grp.com/globalSearch/MC10H103FNR2G/page-1", "MC10H103FNR2G")</f>
        <v>MC10H103FNR2G</v>
      </c>
      <c r="B16048" s="3" t="str">
        <f>HYPERLINK("https://www.773grp.com/manufacturer/onsemi?pageNo=1219", "Onsemi")</f>
        <v>Onsemi</v>
      </c>
      <c r="C16048" s="6">
        <v>4000</v>
      </c>
      <c r="D16048" s="7">
        <v>4.6399999999999997</v>
      </c>
      <c r="E16048" t="s">
        <v>27</v>
      </c>
    </row>
    <row r="16049" spans="1:5" x14ac:dyDescent="0.25">
      <c r="A16049" t="str">
        <f>HYPERLINK("https://www.773grp.com/globalSearch/MC10H103M/page-1", "MC10H103M")</f>
        <v>MC10H103M</v>
      </c>
      <c r="B16049" s="3" t="str">
        <f>HYPERLINK("https://www.773grp.com/manufacturer/onsemi?pageNo=1220", "Onsemi")</f>
        <v>Onsemi</v>
      </c>
      <c r="C16049" s="6">
        <v>139</v>
      </c>
      <c r="D16049" s="7">
        <v>4.6399999999999997</v>
      </c>
      <c r="E16049" t="s">
        <v>27</v>
      </c>
    </row>
    <row r="16050" spans="1:5" x14ac:dyDescent="0.25">
      <c r="A16050" t="str">
        <f>HYPERLINK("https://www.773grp.com/globalSearch/MC10H104FN/page-1", "MC10H104FN")</f>
        <v>MC10H104FN</v>
      </c>
      <c r="B16050" s="3" t="str">
        <f>HYPERLINK("https://www.773grp.com/manufacturer/onsemi?pageNo=1221", "Onsemi")</f>
        <v>Onsemi</v>
      </c>
      <c r="C16050" s="6">
        <v>3580</v>
      </c>
      <c r="D16050" s="7">
        <v>4.6399999999999997</v>
      </c>
      <c r="E16050" t="s">
        <v>27</v>
      </c>
    </row>
    <row r="16051" spans="1:5" x14ac:dyDescent="0.25">
      <c r="A16051" t="str">
        <f>HYPERLINK("https://www.773grp.com/globalSearch/MC10H104FNR2/page-1", "MC10H104FNR2")</f>
        <v>MC10H104FNR2</v>
      </c>
      <c r="B16051" s="3" t="str">
        <f>HYPERLINK("https://www.773grp.com/manufacturer/onsemi?pageNo=1222", "Onsemi")</f>
        <v>Onsemi</v>
      </c>
      <c r="C16051" s="6">
        <v>3000</v>
      </c>
      <c r="D16051" s="7">
        <v>4.6399999999999997</v>
      </c>
      <c r="E16051" t="s">
        <v>27</v>
      </c>
    </row>
    <row r="16052" spans="1:5" x14ac:dyDescent="0.25">
      <c r="A16052" t="str">
        <f>HYPERLINK("https://www.773grp.com/globalSearch/MC10H104M/page-1", "MC10H104M")</f>
        <v>MC10H104M</v>
      </c>
      <c r="B16052" s="3" t="str">
        <f>HYPERLINK("https://www.773grp.com/manufacturer/onsemi?pageNo=1223", "Onsemi")</f>
        <v>Onsemi</v>
      </c>
      <c r="C16052" s="6">
        <v>132</v>
      </c>
      <c r="D16052" s="7">
        <v>4.6399999999999997</v>
      </c>
      <c r="E16052" t="s">
        <v>27</v>
      </c>
    </row>
    <row r="16053" spans="1:5" x14ac:dyDescent="0.25">
      <c r="A16053" t="str">
        <f>HYPERLINK("https://www.773grp.com/globalSearch/MC10H105FN/page-1", "MC10H105FN")</f>
        <v>MC10H105FN</v>
      </c>
      <c r="B16053" s="3" t="str">
        <f>HYPERLINK("https://www.773grp.com/manufacturer/onsemi?pageNo=1224", "Onsemi")</f>
        <v>Onsemi</v>
      </c>
      <c r="C16053" s="6">
        <v>14150</v>
      </c>
      <c r="D16053" s="7">
        <v>4.6399999999999997</v>
      </c>
      <c r="E16053" t="s">
        <v>27</v>
      </c>
    </row>
    <row r="16054" spans="1:5" x14ac:dyDescent="0.25">
      <c r="A16054" t="str">
        <f>HYPERLINK("https://www.773grp.com/globalSearch/MC10H105FNR2/page-1", "MC10H105FNR2")</f>
        <v>MC10H105FNR2</v>
      </c>
      <c r="B16054" s="3" t="str">
        <f>HYPERLINK("https://www.773grp.com/manufacturer/onsemi?pageNo=1225", "Onsemi")</f>
        <v>Onsemi</v>
      </c>
      <c r="C16054" s="6">
        <v>4500</v>
      </c>
      <c r="D16054" s="7">
        <v>4.6399999999999997</v>
      </c>
      <c r="E16054" t="s">
        <v>27</v>
      </c>
    </row>
    <row r="16055" spans="1:5" x14ac:dyDescent="0.25">
      <c r="A16055" t="str">
        <f>HYPERLINK("https://www.773grp.com/globalSearch/MC10H105M/page-1", "MC10H105M")</f>
        <v>MC10H105M</v>
      </c>
      <c r="B16055" s="3" t="str">
        <f>HYPERLINK("https://www.773grp.com/manufacturer/onsemi?pageNo=1226", "Onsemi")</f>
        <v>Onsemi</v>
      </c>
      <c r="C16055" s="6">
        <v>1005</v>
      </c>
      <c r="D16055" s="7">
        <v>4.6399999999999997</v>
      </c>
      <c r="E16055" t="s">
        <v>27</v>
      </c>
    </row>
    <row r="16056" spans="1:5" x14ac:dyDescent="0.25">
      <c r="A16056" t="str">
        <f>HYPERLINK("https://www.773grp.com/globalSearch/MC10H106M/page-1", "MC10H106M")</f>
        <v>MC10H106M</v>
      </c>
      <c r="B16056" s="3" t="str">
        <f>HYPERLINK("https://www.773grp.com/manufacturer/onsemi?pageNo=1227", "Onsemi")</f>
        <v>Onsemi</v>
      </c>
      <c r="C16056" s="6">
        <v>800</v>
      </c>
      <c r="D16056" s="7">
        <v>4.6399999999999997</v>
      </c>
      <c r="E16056" t="s">
        <v>27</v>
      </c>
    </row>
    <row r="16057" spans="1:5" x14ac:dyDescent="0.25">
      <c r="A16057" t="str">
        <f>HYPERLINK("https://www.773grp.com/globalSearch/MC10H107FN/page-1", "MC10H107FN")</f>
        <v>MC10H107FN</v>
      </c>
      <c r="B16057" s="3" t="str">
        <f>HYPERLINK("https://www.773grp.com/manufacturer/onsemi?pageNo=1228", "Onsemi")</f>
        <v>Onsemi</v>
      </c>
      <c r="C16057" s="6">
        <v>180</v>
      </c>
      <c r="D16057" s="7">
        <v>4.6399999999999997</v>
      </c>
      <c r="E16057" t="s">
        <v>27</v>
      </c>
    </row>
    <row r="16058" spans="1:5" x14ac:dyDescent="0.25">
      <c r="A16058" t="str">
        <f>HYPERLINK("https://www.773grp.com/globalSearch/MC10H107M/page-1", "MC10H107M")</f>
        <v>MC10H107M</v>
      </c>
      <c r="B16058" s="3" t="str">
        <f>HYPERLINK("https://www.773grp.com/manufacturer/onsemi?pageNo=1229", "Onsemi")</f>
        <v>Onsemi</v>
      </c>
      <c r="C16058" s="6">
        <v>600</v>
      </c>
      <c r="D16058" s="7">
        <v>4.6399999999999997</v>
      </c>
      <c r="E16058" t="s">
        <v>27</v>
      </c>
    </row>
    <row r="16059" spans="1:5" x14ac:dyDescent="0.25">
      <c r="A16059" t="str">
        <f>HYPERLINK("https://www.773grp.com/globalSearch/MC10H107MEL/page-1", "MC10H107MEL")</f>
        <v>MC10H107MEL</v>
      </c>
      <c r="B16059" s="3" t="str">
        <f>HYPERLINK("https://www.773grp.com/manufacturer/onsemi?pageNo=1230", "Onsemi")</f>
        <v>Onsemi</v>
      </c>
      <c r="C16059" s="6">
        <v>2000</v>
      </c>
      <c r="D16059" s="7">
        <v>4.6399999999999997</v>
      </c>
      <c r="E16059" t="s">
        <v>27</v>
      </c>
    </row>
    <row r="16060" spans="1:5" x14ac:dyDescent="0.25">
      <c r="A16060" t="str">
        <f>HYPERLINK("https://www.773grp.com/globalSearch/MC10H109FN/page-1", "MC10H109FN")</f>
        <v>MC10H109FN</v>
      </c>
      <c r="B16060" s="3" t="str">
        <f>HYPERLINK("https://www.773grp.com/manufacturer/onsemi?pageNo=1231", "Onsemi")</f>
        <v>Onsemi</v>
      </c>
      <c r="C16060" s="6">
        <v>80</v>
      </c>
      <c r="D16060" s="7">
        <v>4.6399999999999997</v>
      </c>
      <c r="E16060" t="s">
        <v>27</v>
      </c>
    </row>
    <row r="16061" spans="1:5" x14ac:dyDescent="0.25">
      <c r="A16061" t="str">
        <f>HYPERLINK("https://www.773grp.com/globalSearch/MC10H109M/page-1", "MC10H109M")</f>
        <v>MC10H109M</v>
      </c>
      <c r="B16061" s="3" t="str">
        <f>HYPERLINK("https://www.773grp.com/manufacturer/onsemi?pageNo=1232", "Onsemi")</f>
        <v>Onsemi</v>
      </c>
      <c r="C16061" s="6">
        <v>650</v>
      </c>
      <c r="D16061" s="7">
        <v>4.6399999999999997</v>
      </c>
      <c r="E16061" t="s">
        <v>27</v>
      </c>
    </row>
    <row r="16062" spans="1:5" x14ac:dyDescent="0.25">
      <c r="A16062" t="str">
        <f>HYPERLINK("https://www.773grp.com/globalSearch/MC10H113FN/page-1", "MC10H113FN")</f>
        <v>MC10H113FN</v>
      </c>
      <c r="B16062" s="3" t="str">
        <f>HYPERLINK("https://www.773grp.com/manufacturer/onsemi?pageNo=1233", "Onsemi")</f>
        <v>Onsemi</v>
      </c>
      <c r="C16062" s="6">
        <v>3350</v>
      </c>
      <c r="D16062" s="7">
        <v>4.6399999999999997</v>
      </c>
      <c r="E16062" t="s">
        <v>27</v>
      </c>
    </row>
    <row r="16063" spans="1:5" x14ac:dyDescent="0.25">
      <c r="A16063" t="str">
        <f>HYPERLINK("https://www.773grp.com/globalSearch/MC10H113M/page-1", "MC10H113M")</f>
        <v>MC10H113M</v>
      </c>
      <c r="B16063" s="3" t="str">
        <f>HYPERLINK("https://www.773grp.com/manufacturer/onsemi?pageNo=1234", "Onsemi")</f>
        <v>Onsemi</v>
      </c>
      <c r="C16063" s="6">
        <v>1932</v>
      </c>
      <c r="D16063" s="7">
        <v>4.6399999999999997</v>
      </c>
      <c r="E16063" t="s">
        <v>27</v>
      </c>
    </row>
    <row r="16064" spans="1:5" x14ac:dyDescent="0.25">
      <c r="A16064" t="str">
        <f>HYPERLINK("https://www.773grp.com/globalSearch/MC10H113MEL/page-1", "MC10H113MEL")</f>
        <v>MC10H113MEL</v>
      </c>
      <c r="B16064" s="3" t="str">
        <f>HYPERLINK("https://www.773grp.com/manufacturer/onsemi?pageNo=1235", "Onsemi")</f>
        <v>Onsemi</v>
      </c>
      <c r="C16064" s="6">
        <v>22000</v>
      </c>
      <c r="D16064" s="7">
        <v>4.6399999999999997</v>
      </c>
      <c r="E16064" t="s">
        <v>27</v>
      </c>
    </row>
    <row r="16065" spans="1:5" x14ac:dyDescent="0.25">
      <c r="A16065" t="str">
        <f>HYPERLINK("https://www.773grp.com/globalSearch/MC10H115FN/page-1", "MC10H115FN")</f>
        <v>MC10H115FN</v>
      </c>
      <c r="B16065" s="3" t="str">
        <f>HYPERLINK("https://www.773grp.com/manufacturer/onsemi?pageNo=1236", "Onsemi")</f>
        <v>Onsemi</v>
      </c>
      <c r="C16065" s="6">
        <v>7728</v>
      </c>
      <c r="D16065" s="7">
        <v>4.6399999999999997</v>
      </c>
      <c r="E16065" t="s">
        <v>17</v>
      </c>
    </row>
    <row r="16066" spans="1:5" x14ac:dyDescent="0.25">
      <c r="A16066" t="str">
        <f>HYPERLINK("https://www.773grp.com/globalSearch/MC10H115M/page-1", "MC10H115M")</f>
        <v>MC10H115M</v>
      </c>
      <c r="B16066" s="3" t="str">
        <f>HYPERLINK("https://www.773grp.com/manufacturer/onsemi?pageNo=1237", "Onsemi")</f>
        <v>Onsemi</v>
      </c>
      <c r="C16066" s="6">
        <v>1760</v>
      </c>
      <c r="D16066" s="7">
        <v>4.6399999999999997</v>
      </c>
      <c r="E16066" t="s">
        <v>17</v>
      </c>
    </row>
    <row r="16067" spans="1:5" x14ac:dyDescent="0.25">
      <c r="A16067" t="str">
        <f>HYPERLINK("https://www.773grp.com/globalSearch/MC10H115MEL/page-1", "MC10H115MEL")</f>
        <v>MC10H115MEL</v>
      </c>
      <c r="B16067" s="3" t="str">
        <f>HYPERLINK("https://www.773grp.com/manufacturer/onsemi?pageNo=1238", "Onsemi")</f>
        <v>Onsemi</v>
      </c>
      <c r="C16067" s="6">
        <v>1987</v>
      </c>
      <c r="D16067" s="7">
        <v>4.6399999999999997</v>
      </c>
      <c r="E16067" t="s">
        <v>17</v>
      </c>
    </row>
    <row r="16068" spans="1:5" x14ac:dyDescent="0.25">
      <c r="A16068" t="str">
        <f>HYPERLINK("https://www.773grp.com/globalSearch/MC10H116FN/page-1", "MC10H116FN")</f>
        <v>MC10H116FN</v>
      </c>
      <c r="B16068" s="3" t="str">
        <f>HYPERLINK("https://www.773grp.com/manufacturer/onsemi?pageNo=1239", "Onsemi")</f>
        <v>Onsemi</v>
      </c>
      <c r="C16068" s="6">
        <v>1414</v>
      </c>
      <c r="D16068" s="7">
        <v>4.6399999999999997</v>
      </c>
      <c r="E16068" t="s">
        <v>17</v>
      </c>
    </row>
    <row r="16069" spans="1:5" x14ac:dyDescent="0.25">
      <c r="A16069" t="str">
        <f>HYPERLINK("https://www.773grp.com/globalSearch/MC10H117FNR2/page-1", "MC10H117FNR2")</f>
        <v>MC10H117FNR2</v>
      </c>
      <c r="B16069" s="3" t="str">
        <f>HYPERLINK("https://www.773grp.com/manufacturer/onsemi?pageNo=1240", "Onsemi")</f>
        <v>Onsemi</v>
      </c>
      <c r="C16069" s="6">
        <v>3000</v>
      </c>
      <c r="D16069" s="7">
        <v>4.6399999999999997</v>
      </c>
      <c r="E16069" t="s">
        <v>27</v>
      </c>
    </row>
    <row r="16070" spans="1:5" x14ac:dyDescent="0.25">
      <c r="A16070" t="str">
        <f>HYPERLINK("https://www.773grp.com/globalSearch/MC10H117M/page-1", "MC10H117M")</f>
        <v>MC10H117M</v>
      </c>
      <c r="B16070" s="3" t="str">
        <f>HYPERLINK("https://www.773grp.com/manufacturer/onsemi?pageNo=1241", "Onsemi")</f>
        <v>Onsemi</v>
      </c>
      <c r="C16070" s="6">
        <v>109</v>
      </c>
      <c r="D16070" s="7">
        <v>4.6399999999999997</v>
      </c>
      <c r="E16070" t="s">
        <v>27</v>
      </c>
    </row>
    <row r="16071" spans="1:5" x14ac:dyDescent="0.25">
      <c r="A16071" t="str">
        <f>HYPERLINK("https://www.773grp.com/globalSearch/MJ15023/page-1", "MJ15023")</f>
        <v>MJ15023</v>
      </c>
      <c r="B16071" s="3" t="str">
        <f>HYPERLINK("https://www.773grp.com/manufacturer/onsemi?pageNo=1242", "Onsemi")</f>
        <v>Onsemi</v>
      </c>
      <c r="C16071" s="6">
        <v>2106</v>
      </c>
      <c r="D16071" s="7">
        <v>4.6399999999999997</v>
      </c>
      <c r="E16071" t="s">
        <v>47</v>
      </c>
    </row>
    <row r="16072" spans="1:5" x14ac:dyDescent="0.25">
      <c r="A16072" t="str">
        <f>HYPERLINK("https://www.773grp.com/globalSearch/MJ21193/page-1", "MJ21193")</f>
        <v>MJ21193</v>
      </c>
      <c r="B16072" s="3" t="str">
        <f>HYPERLINK("https://www.773grp.com/manufacturer/onsemi?pageNo=1243", "Onsemi")</f>
        <v>Onsemi</v>
      </c>
      <c r="C16072" s="6">
        <v>64</v>
      </c>
      <c r="D16072" s="7">
        <v>4.6399999999999997</v>
      </c>
      <c r="E16072" t="s">
        <v>47</v>
      </c>
    </row>
    <row r="16073" spans="1:5" x14ac:dyDescent="0.25">
      <c r="A16073" t="str">
        <f>HYPERLINK("https://www.773grp.com/globalSearch/MJ21194/page-1", "MJ21194")</f>
        <v>MJ21194</v>
      </c>
      <c r="B16073" s="3" t="str">
        <f>HYPERLINK("https://www.773grp.com/manufacturer/onsemi?pageNo=1244", "Onsemi")</f>
        <v>Onsemi</v>
      </c>
      <c r="C16073" s="6">
        <v>6</v>
      </c>
      <c r="D16073" s="7">
        <v>4.6399999999999997</v>
      </c>
      <c r="E16073" t="s">
        <v>47</v>
      </c>
    </row>
    <row r="16074" spans="1:5" x14ac:dyDescent="0.25">
      <c r="A16074" t="str">
        <f>HYPERLINK("https://www.773grp.com/globalSearch/NCP3120MNTXG/page-1", "NCP3120MNTXG")</f>
        <v>NCP3120MNTXG</v>
      </c>
      <c r="B16074" s="3" t="str">
        <f>HYPERLINK("https://www.773grp.com/manufacturer/onsemi?pageNo=1245", "Onsemi")</f>
        <v>Onsemi</v>
      </c>
      <c r="C16074" s="6">
        <v>116273</v>
      </c>
      <c r="D16074" s="7">
        <v>4.6399999999999997</v>
      </c>
      <c r="E16074" t="s">
        <v>5</v>
      </c>
    </row>
    <row r="16075" spans="1:5" x14ac:dyDescent="0.25">
      <c r="A16075" t="str">
        <f>HYPERLINK("https://www.773grp.com/globalSearch/NCV4279BDWG/page-1", "NCV4279BDWG")</f>
        <v>NCV4279BDWG</v>
      </c>
      <c r="B16075" s="3" t="str">
        <f>HYPERLINK("https://www.773grp.com/manufacturer/onsemi?pageNo=1246", "Onsemi")</f>
        <v>Onsemi</v>
      </c>
      <c r="C16075" s="6">
        <v>228</v>
      </c>
      <c r="D16075" s="7">
        <v>4.6399999999999997</v>
      </c>
      <c r="E16075" t="s">
        <v>15</v>
      </c>
    </row>
    <row r="16076" spans="1:5" x14ac:dyDescent="0.25">
      <c r="A16076" t="str">
        <f>HYPERLINK("https://www.773grp.com/globalSearch/NTB6N60T4/page-1", "NTB6N60T4")</f>
        <v>NTB6N60T4</v>
      </c>
      <c r="B16076" s="3" t="str">
        <f>HYPERLINK("https://www.773grp.com/manufacturer/onsemi?pageNo=1247", "Onsemi")</f>
        <v>Onsemi</v>
      </c>
      <c r="C16076" s="6">
        <v>6400</v>
      </c>
      <c r="D16076" s="7">
        <v>4.6399999999999997</v>
      </c>
      <c r="E16076" t="s">
        <v>84</v>
      </c>
    </row>
    <row r="16077" spans="1:5" x14ac:dyDescent="0.25">
      <c r="A16077" t="str">
        <f>HYPERLINK("https://www.773grp.com/globalSearch/SC63504L124/page-1", "SC63504L124")</f>
        <v>SC63504L124</v>
      </c>
      <c r="B16077" s="3" t="str">
        <f>HYPERLINK("https://www.773grp.com/manufacturer/onsemi?pageNo=1248", "Onsemi")</f>
        <v>Onsemi</v>
      </c>
      <c r="C16077" s="6">
        <v>1547</v>
      </c>
      <c r="D16077" s="7">
        <v>4.6399999999999997</v>
      </c>
    </row>
    <row r="16078" spans="1:5" x14ac:dyDescent="0.25">
      <c r="A16078" t="str">
        <f>HYPERLINK("https://www.773grp.com/globalSearch/ADT7484AARMZ-R7/page-1", "ADT7484AARMZ-R7")</f>
        <v>ADT7484AARMZ-R7</v>
      </c>
      <c r="B16078" s="3" t="str">
        <f>HYPERLINK("https://www.773grp.com/manufacturer/onsemi?pageNo=1249", "Onsemi")</f>
        <v>Onsemi</v>
      </c>
      <c r="C16078" s="6">
        <v>29000</v>
      </c>
      <c r="D16078" s="7">
        <v>4.2300000000000004</v>
      </c>
      <c r="E16078" t="s">
        <v>9</v>
      </c>
    </row>
    <row r="16079" spans="1:5" x14ac:dyDescent="0.25">
      <c r="A16079" t="str">
        <f>HYPERLINK("https://www.773grp.com/globalSearch/ADT7484AARMZ-R7/page-1", "ADT7484AARMZ-R7")</f>
        <v>ADT7484AARMZ-R7</v>
      </c>
      <c r="B16079" s="3" t="str">
        <f>HYPERLINK("https://www.773grp.com/manufacturer/onsemi?pageNo=1250", "Onsemi")</f>
        <v>Onsemi</v>
      </c>
      <c r="C16079" s="6">
        <v>4900</v>
      </c>
      <c r="D16079" s="7">
        <v>4.2300000000000004</v>
      </c>
      <c r="E16079" t="s">
        <v>9</v>
      </c>
    </row>
    <row r="16080" spans="1:5" x14ac:dyDescent="0.25">
      <c r="A16080" t="str">
        <f>HYPERLINK("https://www.773grp.com/globalSearch/ADT7488AARMZ-RL7/page-1", "ADT7488AARMZ-RL7")</f>
        <v>ADT7488AARMZ-RL7</v>
      </c>
      <c r="B16080" s="3" t="str">
        <f>HYPERLINK("https://www.773grp.com/manufacturer/onsemi?pageNo=1251", "Onsemi")</f>
        <v>Onsemi</v>
      </c>
      <c r="C16080" s="6">
        <v>10000</v>
      </c>
      <c r="D16080" s="7">
        <v>4.2300000000000004</v>
      </c>
    </row>
    <row r="16081" spans="1:5" x14ac:dyDescent="0.25">
      <c r="A16081" t="str">
        <f>HYPERLINK("https://www.773grp.com/globalSearch/CS5157HGD16G/page-1", "CS5157HGD16G")</f>
        <v>CS5157HGD16G</v>
      </c>
      <c r="B16081" s="3" t="str">
        <f>HYPERLINK("https://www.773grp.com/manufacturer/onsemi?pageNo=1252", "Onsemi")</f>
        <v>Onsemi</v>
      </c>
      <c r="C16081" s="6">
        <v>1296</v>
      </c>
      <c r="D16081" s="7">
        <v>4.2300000000000004</v>
      </c>
      <c r="E16081" t="s">
        <v>5</v>
      </c>
    </row>
    <row r="16082" spans="1:5" x14ac:dyDescent="0.25">
      <c r="A16082" t="str">
        <f>HYPERLINK("https://www.773grp.com/globalSearch/CS5157HGDR16G/page-1", "CS5157HGDR16G")</f>
        <v>CS5157HGDR16G</v>
      </c>
      <c r="B16082" s="3" t="str">
        <f>HYPERLINK("https://www.773grp.com/manufacturer/onsemi?pageNo=1253", "Onsemi")</f>
        <v>Onsemi</v>
      </c>
      <c r="C16082" s="6">
        <v>1874</v>
      </c>
      <c r="D16082" s="7">
        <v>4.2300000000000004</v>
      </c>
      <c r="E16082" t="s">
        <v>5</v>
      </c>
    </row>
    <row r="16083" spans="1:5" x14ac:dyDescent="0.25">
      <c r="A16083" t="str">
        <f>HYPERLINK("https://www.773grp.com/globalSearch/CS8129YDW16G/page-1", "CS8129YDW16G")</f>
        <v>CS8129YDW16G</v>
      </c>
      <c r="B16083" s="3" t="str">
        <f>HYPERLINK("https://www.773grp.com/manufacturer/onsemi?pageNo=1254", "Onsemi")</f>
        <v>Onsemi</v>
      </c>
      <c r="C16083" s="6">
        <v>457</v>
      </c>
      <c r="D16083" s="7">
        <v>4.2300000000000004</v>
      </c>
      <c r="E16083" t="s">
        <v>15</v>
      </c>
    </row>
    <row r="16084" spans="1:5" x14ac:dyDescent="0.25">
      <c r="A16084" t="str">
        <f>HYPERLINK("https://www.773grp.com/globalSearch/CS8183YDWF20G/page-1", "CS8183YDWF20G")</f>
        <v>CS8183YDWF20G</v>
      </c>
      <c r="B16084" s="3" t="str">
        <f>HYPERLINK("https://www.773grp.com/manufacturer/onsemi?pageNo=1255", "Onsemi")</f>
        <v>Onsemi</v>
      </c>
      <c r="C16084" s="6">
        <v>1429</v>
      </c>
      <c r="D16084" s="7">
        <v>4.2300000000000004</v>
      </c>
      <c r="E16084" t="s">
        <v>95</v>
      </c>
    </row>
    <row r="16085" spans="1:5" x14ac:dyDescent="0.25">
      <c r="A16085" t="str">
        <f>HYPERLINK("https://www.773grp.com/globalSearch/CS8183YDWFR20G/page-1", "CS8183YDWFR20G")</f>
        <v>CS8183YDWFR20G</v>
      </c>
      <c r="B16085" s="3" t="str">
        <f>HYPERLINK("https://www.773grp.com/manufacturer/onsemi?pageNo=1256", "Onsemi")</f>
        <v>Onsemi</v>
      </c>
      <c r="C16085" s="6">
        <v>3960</v>
      </c>
      <c r="D16085" s="7">
        <v>4.2300000000000004</v>
      </c>
      <c r="E16085" t="s">
        <v>95</v>
      </c>
    </row>
    <row r="16086" spans="1:5" x14ac:dyDescent="0.25">
      <c r="A16086" t="str">
        <f>HYPERLINK("https://www.773grp.com/globalSearch/JDX5005/page-1", "JDX5005")</f>
        <v>JDX5005</v>
      </c>
      <c r="B16086" s="3" t="str">
        <f>HYPERLINK("https://www.773grp.com/manufacturer/onsemi?pageNo=1257", "Onsemi")</f>
        <v>Onsemi</v>
      </c>
      <c r="C16086" s="6">
        <v>88792</v>
      </c>
      <c r="D16086" s="7">
        <v>4.2300000000000004</v>
      </c>
    </row>
    <row r="16087" spans="1:5" x14ac:dyDescent="0.25">
      <c r="A16087" t="str">
        <f>HYPERLINK("https://www.773grp.com/globalSearch/JDX5014/page-1", "JDX5014")</f>
        <v>JDX5014</v>
      </c>
      <c r="B16087" s="3" t="str">
        <f>HYPERLINK("https://www.773grp.com/manufacturer/onsemi?pageNo=1258", "Onsemi")</f>
        <v>Onsemi</v>
      </c>
      <c r="C16087" s="6">
        <v>65</v>
      </c>
      <c r="D16087" s="7">
        <v>4.2300000000000004</v>
      </c>
    </row>
    <row r="16088" spans="1:5" x14ac:dyDescent="0.25">
      <c r="A16088" t="str">
        <f>HYPERLINK("https://www.773grp.com/globalSearch/LB1843V-MPB-E/page-1", "LB1843V-MPB-E")</f>
        <v>LB1843V-MPB-E</v>
      </c>
      <c r="B16088" s="3" t="str">
        <f>HYPERLINK("https://www.773grp.com/manufacturer/onsemi?pageNo=1259", "Onsemi")</f>
        <v>Onsemi</v>
      </c>
      <c r="C16088" s="6">
        <v>58</v>
      </c>
      <c r="D16088" s="7">
        <v>4.2300000000000004</v>
      </c>
    </row>
    <row r="16089" spans="1:5" x14ac:dyDescent="0.25">
      <c r="A16089" t="str">
        <f>HYPERLINK("https://www.773grp.com/globalSearch/LB1843V-TLM-E/page-1", "LB1843V-TLM-E")</f>
        <v>LB1843V-TLM-E</v>
      </c>
      <c r="B16089" s="3" t="str">
        <f>HYPERLINK("https://www.773grp.com/manufacturer/onsemi?pageNo=1260", "Onsemi")</f>
        <v>Onsemi</v>
      </c>
      <c r="C16089" s="6">
        <v>2000</v>
      </c>
      <c r="D16089" s="7">
        <v>4.2300000000000004</v>
      </c>
    </row>
    <row r="16090" spans="1:5" x14ac:dyDescent="0.25">
      <c r="A16090" t="str">
        <f>HYPERLINK("https://www.773grp.com/globalSearch/MBR3045WTG/page-1", "MBR3045WTG")</f>
        <v>MBR3045WTG</v>
      </c>
      <c r="B16090" s="3" t="str">
        <f>HYPERLINK("https://www.773grp.com/manufacturer/onsemi?pageNo=1261", "Onsemi")</f>
        <v>Onsemi</v>
      </c>
      <c r="C16090" s="6">
        <v>4470</v>
      </c>
      <c r="D16090" s="7">
        <v>4.2300000000000004</v>
      </c>
      <c r="E16090" t="s">
        <v>82</v>
      </c>
    </row>
    <row r="16091" spans="1:5" x14ac:dyDescent="0.25">
      <c r="A16091" t="str">
        <f>HYPERLINK("https://www.773grp.com/globalSearch/MBRF20200CT/page-1", "MBRF20200CT")</f>
        <v>MBRF20200CT</v>
      </c>
      <c r="B16091" s="3" t="str">
        <f>HYPERLINK("https://www.773grp.com/manufacturer/onsemi?pageNo=1262", "Onsemi")</f>
        <v>Onsemi</v>
      </c>
      <c r="C16091" s="6">
        <v>9670</v>
      </c>
      <c r="D16091" s="7">
        <v>4.2300000000000004</v>
      </c>
      <c r="E16091" t="s">
        <v>82</v>
      </c>
    </row>
    <row r="16092" spans="1:5" x14ac:dyDescent="0.25">
      <c r="A16092" t="str">
        <f>HYPERLINK("https://www.773grp.com/globalSearch/MC100EL58D/page-1", "MC100EL58D")</f>
        <v>MC100EL58D</v>
      </c>
      <c r="B16092" s="3" t="str">
        <f>HYPERLINK("https://www.773grp.com/manufacturer/onsemi?pageNo=1263", "Onsemi")</f>
        <v>Onsemi</v>
      </c>
      <c r="C16092" s="6">
        <v>6466</v>
      </c>
      <c r="D16092" s="7">
        <v>4.2300000000000004</v>
      </c>
      <c r="E16092" t="s">
        <v>16</v>
      </c>
    </row>
    <row r="16093" spans="1:5" x14ac:dyDescent="0.25">
      <c r="A16093" t="str">
        <f>HYPERLINK("https://www.773grp.com/globalSearch/MC100EL58DR2/page-1", "MC100EL58DR2")</f>
        <v>MC100EL58DR2</v>
      </c>
      <c r="B16093" s="3" t="str">
        <f>HYPERLINK("https://www.773grp.com/manufacturer/onsemi?pageNo=1264", "Onsemi")</f>
        <v>Onsemi</v>
      </c>
      <c r="C16093" s="6">
        <v>20228</v>
      </c>
      <c r="D16093" s="7">
        <v>4.2300000000000004</v>
      </c>
      <c r="E16093" t="s">
        <v>16</v>
      </c>
    </row>
    <row r="16094" spans="1:5" x14ac:dyDescent="0.25">
      <c r="A16094" t="str">
        <f>HYPERLINK("https://www.773grp.com/globalSearch/MC100EL58DT/page-1", "MC100EL58DT")</f>
        <v>MC100EL58DT</v>
      </c>
      <c r="B16094" s="3" t="str">
        <f>HYPERLINK("https://www.773grp.com/manufacturer/onsemi?pageNo=1265", "Onsemi")</f>
        <v>Onsemi</v>
      </c>
      <c r="C16094" s="6">
        <v>1526</v>
      </c>
      <c r="D16094" s="7">
        <v>4.2300000000000004</v>
      </c>
      <c r="E16094" t="s">
        <v>16</v>
      </c>
    </row>
    <row r="16095" spans="1:5" x14ac:dyDescent="0.25">
      <c r="A16095" t="str">
        <f>HYPERLINK("https://www.773grp.com/globalSearch/MC100ELT20DG/page-1", "MC100ELT20DG")</f>
        <v>MC100ELT20DG</v>
      </c>
      <c r="B16095" s="3" t="str">
        <f>HYPERLINK("https://www.773grp.com/manufacturer/onsemi?pageNo=1266", "Onsemi")</f>
        <v>Onsemi</v>
      </c>
      <c r="C16095" s="6">
        <v>12558</v>
      </c>
      <c r="D16095" s="7">
        <v>4.2300000000000004</v>
      </c>
      <c r="E16095" t="s">
        <v>61</v>
      </c>
    </row>
    <row r="16096" spans="1:5" x14ac:dyDescent="0.25">
      <c r="A16096" t="str">
        <f>HYPERLINK("https://www.773grp.com/globalSearch/MC100ELT20DR2G/page-1", "MC100ELT20DR2G")</f>
        <v>MC100ELT20DR2G</v>
      </c>
      <c r="B16096" s="3" t="str">
        <f>HYPERLINK("https://www.773grp.com/manufacturer/onsemi?pageNo=1267", "Onsemi")</f>
        <v>Onsemi</v>
      </c>
      <c r="C16096" s="6">
        <v>2500</v>
      </c>
      <c r="D16096" s="7">
        <v>4.2300000000000004</v>
      </c>
    </row>
    <row r="16097" spans="1:5" x14ac:dyDescent="0.25">
      <c r="A16097" t="str">
        <f>HYPERLINK("https://www.773grp.com/globalSearch/MC100ELT20DTG/page-1", "MC100ELT20DTG")</f>
        <v>MC100ELT20DTG</v>
      </c>
      <c r="B16097" s="3" t="str">
        <f>HYPERLINK("https://www.773grp.com/manufacturer/onsemi?pageNo=1268", "Onsemi")</f>
        <v>Onsemi</v>
      </c>
      <c r="C16097" s="6">
        <v>5156</v>
      </c>
      <c r="D16097" s="7">
        <v>4.2300000000000004</v>
      </c>
      <c r="E16097" t="s">
        <v>61</v>
      </c>
    </row>
    <row r="16098" spans="1:5" x14ac:dyDescent="0.25">
      <c r="A16098" t="str">
        <f>HYPERLINK("https://www.773grp.com/globalSearch/MC100ELT20DTR2G/page-1", "MC100ELT20DTR2G")</f>
        <v>MC100ELT20DTR2G</v>
      </c>
      <c r="B16098" s="3" t="str">
        <f>HYPERLINK("https://www.773grp.com/manufacturer/onsemi?pageNo=1269", "Onsemi")</f>
        <v>Onsemi</v>
      </c>
      <c r="C16098" s="6">
        <v>4400</v>
      </c>
      <c r="D16098" s="7">
        <v>4.2300000000000004</v>
      </c>
      <c r="E16098" t="s">
        <v>61</v>
      </c>
    </row>
    <row r="16099" spans="1:5" x14ac:dyDescent="0.25">
      <c r="A16099" t="str">
        <f>HYPERLINK("https://www.773grp.com/globalSearch/MC100ELT21DG/page-1", "MC100ELT21DG")</f>
        <v>MC100ELT21DG</v>
      </c>
      <c r="B16099" s="3" t="str">
        <f>HYPERLINK("https://www.773grp.com/manufacturer/onsemi?pageNo=1270", "Onsemi")</f>
        <v>Onsemi</v>
      </c>
      <c r="C16099" s="6">
        <v>97</v>
      </c>
      <c r="D16099" s="7">
        <v>4.2300000000000004</v>
      </c>
      <c r="E16099" t="s">
        <v>61</v>
      </c>
    </row>
    <row r="16100" spans="1:5" x14ac:dyDescent="0.25">
      <c r="A16100" t="str">
        <f>HYPERLINK("https://www.773grp.com/globalSearch/MC100ELT21DR2G/page-1", "MC100ELT21DR2G")</f>
        <v>MC100ELT21DR2G</v>
      </c>
      <c r="B16100" s="3" t="str">
        <f>HYPERLINK("https://www.773grp.com/manufacturer/onsemi?pageNo=1271", "Onsemi")</f>
        <v>Onsemi</v>
      </c>
      <c r="C16100" s="6">
        <v>3831</v>
      </c>
      <c r="D16100" s="7">
        <v>4.2300000000000004</v>
      </c>
      <c r="E16100" t="s">
        <v>61</v>
      </c>
    </row>
    <row r="16101" spans="1:5" x14ac:dyDescent="0.25">
      <c r="A16101" t="str">
        <f>HYPERLINK("https://www.773grp.com/globalSearch/MC100ELT21DTG/page-1", "MC100ELT21DTG")</f>
        <v>MC100ELT21DTG</v>
      </c>
      <c r="B16101" s="3" t="str">
        <f>HYPERLINK("https://www.773grp.com/manufacturer/onsemi?pageNo=1272", "Onsemi")</f>
        <v>Onsemi</v>
      </c>
      <c r="C16101" s="6">
        <v>1900</v>
      </c>
      <c r="D16101" s="7">
        <v>4.2300000000000004</v>
      </c>
      <c r="E16101" t="s">
        <v>61</v>
      </c>
    </row>
    <row r="16102" spans="1:5" x14ac:dyDescent="0.25">
      <c r="A16102" t="str">
        <f>HYPERLINK("https://www.773grp.com/globalSearch/MC100ELT21DTR2G/page-1", "MC100ELT21DTR2G")</f>
        <v>MC100ELT21DTR2G</v>
      </c>
      <c r="B16102" s="3" t="str">
        <f>HYPERLINK("https://www.773grp.com/manufacturer/onsemi?pageNo=1273", "Onsemi")</f>
        <v>Onsemi</v>
      </c>
      <c r="C16102" s="6">
        <v>4930</v>
      </c>
      <c r="D16102" s="7">
        <v>4.2300000000000004</v>
      </c>
      <c r="E16102" t="s">
        <v>61</v>
      </c>
    </row>
    <row r="16103" spans="1:5" x14ac:dyDescent="0.25">
      <c r="A16103" t="str">
        <f>HYPERLINK("https://www.773grp.com/globalSearch/MC100ELT22DG/page-1", "MC100ELT22DG")</f>
        <v>MC100ELT22DG</v>
      </c>
      <c r="B16103" s="3" t="str">
        <f>HYPERLINK("https://www.773grp.com/manufacturer/onsemi?pageNo=1274", "Onsemi")</f>
        <v>Onsemi</v>
      </c>
      <c r="C16103" s="6">
        <v>14137</v>
      </c>
      <c r="D16103" s="7">
        <v>4.2300000000000004</v>
      </c>
      <c r="E16103" t="s">
        <v>61</v>
      </c>
    </row>
    <row r="16104" spans="1:5" x14ac:dyDescent="0.25">
      <c r="A16104" t="str">
        <f>HYPERLINK("https://www.773grp.com/globalSearch/MC100ELT22DR2G/page-1", "MC100ELT22DR2G")</f>
        <v>MC100ELT22DR2G</v>
      </c>
      <c r="B16104" s="3" t="str">
        <f>HYPERLINK("https://www.773grp.com/manufacturer/onsemi?pageNo=1275", "Onsemi")</f>
        <v>Onsemi</v>
      </c>
      <c r="C16104" s="6">
        <v>4406</v>
      </c>
      <c r="D16104" s="7">
        <v>4.2300000000000004</v>
      </c>
      <c r="E16104" t="s">
        <v>61</v>
      </c>
    </row>
    <row r="16105" spans="1:5" x14ac:dyDescent="0.25">
      <c r="A16105" t="str">
        <f>HYPERLINK("https://www.773grp.com/globalSearch/MC100ELT22DTG/page-1", "MC100ELT22DTG")</f>
        <v>MC100ELT22DTG</v>
      </c>
      <c r="B16105" s="3" t="str">
        <f>HYPERLINK("https://www.773grp.com/manufacturer/onsemi?pageNo=1276", "Onsemi")</f>
        <v>Onsemi</v>
      </c>
      <c r="C16105" s="6">
        <v>155</v>
      </c>
      <c r="D16105" s="7">
        <v>4.2300000000000004</v>
      </c>
      <c r="E16105" t="s">
        <v>61</v>
      </c>
    </row>
    <row r="16106" spans="1:5" x14ac:dyDescent="0.25">
      <c r="A16106" t="str">
        <f>HYPERLINK("https://www.773grp.com/globalSearch/MC100ELT22DTR2G/page-1", "MC100ELT22DTR2G")</f>
        <v>MC100ELT22DTR2G</v>
      </c>
      <c r="B16106" s="3" t="str">
        <f>HYPERLINK("https://www.773grp.com/manufacturer/onsemi?pageNo=1277", "Onsemi")</f>
        <v>Onsemi</v>
      </c>
      <c r="C16106" s="6">
        <v>1235</v>
      </c>
      <c r="D16106" s="7">
        <v>4.2300000000000004</v>
      </c>
      <c r="E16106" t="s">
        <v>61</v>
      </c>
    </row>
    <row r="16107" spans="1:5" x14ac:dyDescent="0.25">
      <c r="A16107" t="str">
        <f>HYPERLINK("https://www.773grp.com/globalSearch/MC100ELT23DG/page-1", "MC100ELT23DG")</f>
        <v>MC100ELT23DG</v>
      </c>
      <c r="B16107" s="3" t="str">
        <f>HYPERLINK("https://www.773grp.com/manufacturer/onsemi?pageNo=1278", "Onsemi")</f>
        <v>Onsemi</v>
      </c>
      <c r="C16107" s="6">
        <v>17681</v>
      </c>
      <c r="D16107" s="7">
        <v>4.2300000000000004</v>
      </c>
      <c r="E16107" t="s">
        <v>61</v>
      </c>
    </row>
    <row r="16108" spans="1:5" x14ac:dyDescent="0.25">
      <c r="A16108" t="str">
        <f>HYPERLINK("https://www.773grp.com/globalSearch/MC100ELT23DTG/page-1", "MC100ELT23DTG")</f>
        <v>MC100ELT23DTG</v>
      </c>
      <c r="B16108" s="3" t="str">
        <f>HYPERLINK("https://www.773grp.com/manufacturer/onsemi?pageNo=1279", "Onsemi")</f>
        <v>Onsemi</v>
      </c>
      <c r="C16108" s="6">
        <v>120</v>
      </c>
      <c r="D16108" s="7">
        <v>4.2300000000000004</v>
      </c>
      <c r="E16108" t="s">
        <v>61</v>
      </c>
    </row>
    <row r="16109" spans="1:5" x14ac:dyDescent="0.25">
      <c r="A16109" t="str">
        <f>HYPERLINK("https://www.773grp.com/globalSearch/MC100ELT23DTR2G/page-1", "MC100ELT23DTR2G")</f>
        <v>MC100ELT23DTR2G</v>
      </c>
      <c r="B16109" s="3" t="str">
        <f>HYPERLINK("https://www.773grp.com/manufacturer/onsemi?pageNo=1280", "Onsemi")</f>
        <v>Onsemi</v>
      </c>
      <c r="C16109" s="6">
        <v>27500</v>
      </c>
      <c r="D16109" s="7">
        <v>4.2300000000000004</v>
      </c>
      <c r="E16109" t="s">
        <v>61</v>
      </c>
    </row>
    <row r="16110" spans="1:5" x14ac:dyDescent="0.25">
      <c r="A16110" t="str">
        <f>HYPERLINK("https://www.773grp.com/globalSearch/MC100ELT24DG/page-1", "MC100ELT24DG")</f>
        <v>MC100ELT24DG</v>
      </c>
      <c r="B16110" s="3" t="str">
        <f>HYPERLINK("https://www.773grp.com/manufacturer/onsemi?pageNo=1281", "Onsemi")</f>
        <v>Onsemi</v>
      </c>
      <c r="C16110" s="6">
        <v>937</v>
      </c>
      <c r="D16110" s="7">
        <v>4.2300000000000004</v>
      </c>
      <c r="E16110" t="s">
        <v>61</v>
      </c>
    </row>
    <row r="16111" spans="1:5" x14ac:dyDescent="0.25">
      <c r="A16111" t="str">
        <f>HYPERLINK("https://www.773grp.com/globalSearch/MC100ELT24DR2G/page-1", "MC100ELT24DR2G")</f>
        <v>MC100ELT24DR2G</v>
      </c>
      <c r="B16111" s="3" t="str">
        <f>HYPERLINK("https://www.773grp.com/manufacturer/onsemi?pageNo=1282", "Onsemi")</f>
        <v>Onsemi</v>
      </c>
      <c r="C16111" s="6">
        <v>2500</v>
      </c>
      <c r="D16111" s="7">
        <v>4.2300000000000004</v>
      </c>
      <c r="E16111" t="s">
        <v>61</v>
      </c>
    </row>
    <row r="16112" spans="1:5" x14ac:dyDescent="0.25">
      <c r="A16112" t="str">
        <f>HYPERLINK("https://www.773grp.com/globalSearch/MC100ELT24DTG/page-1", "MC100ELT24DTG")</f>
        <v>MC100ELT24DTG</v>
      </c>
      <c r="B16112" s="3" t="str">
        <f>HYPERLINK("https://www.773grp.com/manufacturer/onsemi?pageNo=1283", "Onsemi")</f>
        <v>Onsemi</v>
      </c>
      <c r="C16112" s="6">
        <v>499</v>
      </c>
      <c r="D16112" s="7">
        <v>4.2300000000000004</v>
      </c>
      <c r="E16112" t="s">
        <v>61</v>
      </c>
    </row>
    <row r="16113" spans="1:5" x14ac:dyDescent="0.25">
      <c r="A16113" t="str">
        <f>HYPERLINK("https://www.773grp.com/globalSearch/MC100ELT24DTR2G/page-1", "MC100ELT24DTR2G")</f>
        <v>MC100ELT24DTR2G</v>
      </c>
      <c r="B16113" s="3" t="str">
        <f>HYPERLINK("https://www.773grp.com/manufacturer/onsemi?pageNo=1284", "Onsemi")</f>
        <v>Onsemi</v>
      </c>
      <c r="C16113" s="6">
        <v>2448</v>
      </c>
      <c r="D16113" s="7">
        <v>4.2300000000000004</v>
      </c>
      <c r="E16113" t="s">
        <v>61</v>
      </c>
    </row>
    <row r="16114" spans="1:5" x14ac:dyDescent="0.25">
      <c r="A16114" t="str">
        <f>HYPERLINK("https://www.773grp.com/globalSearch/MC100ELT24MNR4G/page-1", "MC100ELT24MNR4G")</f>
        <v>MC100ELT24MNR4G</v>
      </c>
      <c r="B16114" s="3" t="str">
        <f>HYPERLINK("https://www.773grp.com/manufacturer/onsemi?pageNo=1285", "Onsemi")</f>
        <v>Onsemi</v>
      </c>
      <c r="C16114" s="6">
        <v>3000</v>
      </c>
      <c r="D16114" s="7">
        <v>4.2300000000000004</v>
      </c>
      <c r="E16114" t="s">
        <v>61</v>
      </c>
    </row>
    <row r="16115" spans="1:5" x14ac:dyDescent="0.25">
      <c r="A16115" t="str">
        <f>HYPERLINK("https://www.773grp.com/globalSearch/MC100ELT25DG/page-1", "MC100ELT25DG")</f>
        <v>MC100ELT25DG</v>
      </c>
      <c r="B16115" s="3" t="str">
        <f>HYPERLINK("https://www.773grp.com/manufacturer/onsemi?pageNo=1286", "Onsemi")</f>
        <v>Onsemi</v>
      </c>
      <c r="C16115" s="6">
        <v>1381</v>
      </c>
      <c r="D16115" s="7">
        <v>4.2300000000000004</v>
      </c>
      <c r="E16115" t="s">
        <v>61</v>
      </c>
    </row>
    <row r="16116" spans="1:5" x14ac:dyDescent="0.25">
      <c r="A16116" t="str">
        <f>HYPERLINK("https://www.773grp.com/globalSearch/MC100ELT25DTG/page-1", "MC100ELT25DTG")</f>
        <v>MC100ELT25DTG</v>
      </c>
      <c r="B16116" s="3" t="str">
        <f>HYPERLINK("https://www.773grp.com/manufacturer/onsemi?pageNo=1287", "Onsemi")</f>
        <v>Onsemi</v>
      </c>
      <c r="C16116" s="6">
        <v>300</v>
      </c>
      <c r="D16116" s="7">
        <v>4.2300000000000004</v>
      </c>
      <c r="E16116" t="s">
        <v>61</v>
      </c>
    </row>
    <row r="16117" spans="1:5" x14ac:dyDescent="0.25">
      <c r="A16117" t="str">
        <f>HYPERLINK("https://www.773grp.com/globalSearch/MC100ELT25MNR4G/page-1", "MC100ELT25MNR4G")</f>
        <v>MC100ELT25MNR4G</v>
      </c>
      <c r="B16117" s="3" t="str">
        <f>HYPERLINK("https://www.773grp.com/manufacturer/onsemi?pageNo=1288", "Onsemi")</f>
        <v>Onsemi</v>
      </c>
      <c r="C16117" s="6">
        <v>3800</v>
      </c>
      <c r="D16117" s="7">
        <v>4.2300000000000004</v>
      </c>
      <c r="E16117" t="s">
        <v>61</v>
      </c>
    </row>
    <row r="16118" spans="1:5" x14ac:dyDescent="0.25">
      <c r="A16118" t="str">
        <f>HYPERLINK("https://www.773grp.com/globalSearch/MC100ELT28D/page-1", "MC100ELT28D")</f>
        <v>MC100ELT28D</v>
      </c>
      <c r="B16118" s="3" t="str">
        <f>HYPERLINK("https://www.773grp.com/manufacturer/onsemi?pageNo=1289", "Onsemi")</f>
        <v>Onsemi</v>
      </c>
      <c r="C16118" s="6">
        <v>3317</v>
      </c>
      <c r="D16118" s="7">
        <v>4.2300000000000004</v>
      </c>
      <c r="E16118" t="s">
        <v>61</v>
      </c>
    </row>
    <row r="16119" spans="1:5" x14ac:dyDescent="0.25">
      <c r="A16119" t="str">
        <f>HYPERLINK("https://www.773grp.com/globalSearch/MC100ELT28DT/page-1", "MC100ELT28DT")</f>
        <v>MC100ELT28DT</v>
      </c>
      <c r="B16119" s="3" t="str">
        <f>HYPERLINK("https://www.773grp.com/manufacturer/onsemi?pageNo=1290", "Onsemi")</f>
        <v>Onsemi</v>
      </c>
      <c r="C16119" s="6">
        <v>100</v>
      </c>
      <c r="D16119" s="7">
        <v>4.2300000000000004</v>
      </c>
      <c r="E16119" t="s">
        <v>61</v>
      </c>
    </row>
    <row r="16120" spans="1:5" x14ac:dyDescent="0.25">
      <c r="A16120" t="str">
        <f>HYPERLINK("https://www.773grp.com/globalSearch/MC100EP16DR2/page-1", "MC100EP16DR2")</f>
        <v>MC100EP16DR2</v>
      </c>
      <c r="B16120" s="3" t="str">
        <f>HYPERLINK("https://www.773grp.com/manufacturer/onsemi?pageNo=1291", "Onsemi")</f>
        <v>Onsemi</v>
      </c>
      <c r="C16120" s="6">
        <v>9750</v>
      </c>
      <c r="D16120" s="7">
        <v>4.2300000000000004</v>
      </c>
      <c r="E16120" t="s">
        <v>17</v>
      </c>
    </row>
    <row r="16121" spans="1:5" x14ac:dyDescent="0.25">
      <c r="A16121" t="str">
        <f>HYPERLINK("https://www.773grp.com/globalSearch/MC100EP16VADR2/page-1", "MC100EP16VADR2")</f>
        <v>MC100EP16VADR2</v>
      </c>
      <c r="B16121" s="3" t="str">
        <f>HYPERLINK("https://www.773grp.com/manufacturer/onsemi?pageNo=1292", "Onsemi")</f>
        <v>Onsemi</v>
      </c>
      <c r="C16121" s="6">
        <v>2500</v>
      </c>
      <c r="D16121" s="7">
        <v>4.2300000000000004</v>
      </c>
      <c r="E16121" t="s">
        <v>17</v>
      </c>
    </row>
    <row r="16122" spans="1:5" x14ac:dyDescent="0.25">
      <c r="A16122" t="str">
        <f>HYPERLINK("https://www.773grp.com/globalSearch/MC100EP16VADT/page-1", "MC100EP16VADT")</f>
        <v>MC100EP16VADT</v>
      </c>
      <c r="B16122" s="3" t="str">
        <f>HYPERLINK("https://www.773grp.com/manufacturer/onsemi?pageNo=1293", "Onsemi")</f>
        <v>Onsemi</v>
      </c>
      <c r="C16122" s="6">
        <v>684</v>
      </c>
      <c r="D16122" s="7">
        <v>4.2300000000000004</v>
      </c>
      <c r="E16122" t="s">
        <v>17</v>
      </c>
    </row>
    <row r="16123" spans="1:5" x14ac:dyDescent="0.25">
      <c r="A16123" t="str">
        <f>HYPERLINK("https://www.773grp.com/globalSearch/MC100EP16VBD/page-1", "MC100EP16VBD")</f>
        <v>MC100EP16VBD</v>
      </c>
      <c r="B16123" s="3" t="str">
        <f>HYPERLINK("https://www.773grp.com/manufacturer/onsemi?pageNo=1294", "Onsemi")</f>
        <v>Onsemi</v>
      </c>
      <c r="C16123" s="6">
        <v>10428</v>
      </c>
      <c r="D16123" s="7">
        <v>4.2300000000000004</v>
      </c>
      <c r="E16123" t="s">
        <v>17</v>
      </c>
    </row>
    <row r="16124" spans="1:5" x14ac:dyDescent="0.25">
      <c r="A16124" t="str">
        <f>HYPERLINK("https://www.773grp.com/globalSearch/MC100EP16VBDT/page-1", "MC100EP16VBDT")</f>
        <v>MC100EP16VBDT</v>
      </c>
      <c r="B16124" s="3" t="str">
        <f>HYPERLINK("https://www.773grp.com/manufacturer/onsemi?pageNo=1295", "Onsemi")</f>
        <v>Onsemi</v>
      </c>
      <c r="C16124" s="6">
        <v>7324</v>
      </c>
      <c r="D16124" s="7">
        <v>4.2300000000000004</v>
      </c>
      <c r="E16124" t="s">
        <v>17</v>
      </c>
    </row>
    <row r="16125" spans="1:5" x14ac:dyDescent="0.25">
      <c r="A16125" t="str">
        <f>HYPERLINK("https://www.773grp.com/globalSearch/MC100EP16VCD/page-1", "MC100EP16VCD")</f>
        <v>MC100EP16VCD</v>
      </c>
      <c r="B16125" s="3" t="str">
        <f>HYPERLINK("https://www.773grp.com/manufacturer/onsemi?pageNo=1296", "Onsemi")</f>
        <v>Onsemi</v>
      </c>
      <c r="C16125" s="6">
        <v>2413</v>
      </c>
      <c r="D16125" s="7">
        <v>4.2300000000000004</v>
      </c>
      <c r="E16125" t="s">
        <v>17</v>
      </c>
    </row>
    <row r="16126" spans="1:5" x14ac:dyDescent="0.25">
      <c r="A16126" t="str">
        <f>HYPERLINK("https://www.773grp.com/globalSearch/MC100EP16VCDT/page-1", "MC100EP16VCDT")</f>
        <v>MC100EP16VCDT</v>
      </c>
      <c r="B16126" s="3" t="str">
        <f>HYPERLINK("https://www.773grp.com/manufacturer/onsemi?pageNo=1297", "Onsemi")</f>
        <v>Onsemi</v>
      </c>
      <c r="C16126" s="6">
        <v>22121</v>
      </c>
      <c r="D16126" s="7">
        <v>4.2300000000000004</v>
      </c>
      <c r="E16126" t="s">
        <v>17</v>
      </c>
    </row>
    <row r="16127" spans="1:5" x14ac:dyDescent="0.25">
      <c r="A16127" t="str">
        <f>HYPERLINK("https://www.773grp.com/globalSearch/MC100EP16VCDTR2/page-1", "MC100EP16VCDTR2")</f>
        <v>MC100EP16VCDTR2</v>
      </c>
      <c r="B16127" s="3" t="str">
        <f>HYPERLINK("https://www.773grp.com/manufacturer/onsemi?pageNo=1298", "Onsemi")</f>
        <v>Onsemi</v>
      </c>
      <c r="C16127" s="6">
        <v>15000</v>
      </c>
      <c r="D16127" s="7">
        <v>4.2300000000000004</v>
      </c>
      <c r="E16127" t="s">
        <v>17</v>
      </c>
    </row>
    <row r="16128" spans="1:5" x14ac:dyDescent="0.25">
      <c r="A16128" t="str">
        <f>HYPERLINK("https://www.773grp.com/globalSearch/MC100EP16VSD/page-1", "MC100EP16VSD")</f>
        <v>MC100EP16VSD</v>
      </c>
      <c r="B16128" s="3" t="str">
        <f>HYPERLINK("https://www.773grp.com/manufacturer/onsemi?pageNo=1299", "Onsemi")</f>
        <v>Onsemi</v>
      </c>
      <c r="C16128" s="6">
        <v>8752</v>
      </c>
      <c r="D16128" s="7">
        <v>4.2300000000000004</v>
      </c>
      <c r="E16128" t="s">
        <v>17</v>
      </c>
    </row>
    <row r="16129" spans="1:5" x14ac:dyDescent="0.25">
      <c r="A16129" t="str">
        <f>HYPERLINK("https://www.773grp.com/globalSearch/MC100LVEL01DT/page-1", "MC100LVEL01DT")</f>
        <v>MC100LVEL01DT</v>
      </c>
      <c r="B16129" s="3" t="str">
        <f>HYPERLINK("https://www.773grp.com/manufacturer/onsemi?pageNo=1300", "Onsemi")</f>
        <v>Onsemi</v>
      </c>
      <c r="C16129" s="6">
        <v>1955</v>
      </c>
      <c r="D16129" s="7">
        <v>4.2300000000000004</v>
      </c>
      <c r="E16129" t="s">
        <v>27</v>
      </c>
    </row>
    <row r="16130" spans="1:5" x14ac:dyDescent="0.25">
      <c r="A16130" t="str">
        <f>HYPERLINK("https://www.773grp.com/globalSearch/MC100LVEL05D/page-1", "MC100LVEL05D")</f>
        <v>MC100LVEL05D</v>
      </c>
      <c r="B16130" s="3" t="str">
        <f>HYPERLINK("https://www.773grp.com/manufacturer/onsemi?pageNo=1301", "Onsemi")</f>
        <v>Onsemi</v>
      </c>
      <c r="C16130" s="6">
        <v>23246</v>
      </c>
      <c r="D16130" s="7">
        <v>4.2300000000000004</v>
      </c>
      <c r="E16130" t="s">
        <v>27</v>
      </c>
    </row>
    <row r="16131" spans="1:5" x14ac:dyDescent="0.25">
      <c r="A16131" t="str">
        <f>HYPERLINK("https://www.773grp.com/globalSearch/MC100LVEL05DR2/page-1", "MC100LVEL05DR2")</f>
        <v>MC100LVEL05DR2</v>
      </c>
      <c r="B16131" s="3" t="str">
        <f>HYPERLINK("https://www.773grp.com/manufacturer/onsemi?pageNo=1302", "Onsemi")</f>
        <v>Onsemi</v>
      </c>
      <c r="C16131" s="6">
        <v>7500</v>
      </c>
      <c r="D16131" s="7">
        <v>4.2300000000000004</v>
      </c>
      <c r="E16131" t="s">
        <v>27</v>
      </c>
    </row>
    <row r="16132" spans="1:5" x14ac:dyDescent="0.25">
      <c r="A16132" t="str">
        <f>HYPERLINK("https://www.773grp.com/globalSearch/MC100LVEL05DT/page-1", "MC100LVEL05DT")</f>
        <v>MC100LVEL05DT</v>
      </c>
      <c r="B16132" s="3" t="str">
        <f>HYPERLINK("https://www.773grp.com/manufacturer/onsemi?pageNo=1303", "Onsemi")</f>
        <v>Onsemi</v>
      </c>
      <c r="C16132" s="6">
        <v>16930</v>
      </c>
      <c r="D16132" s="7">
        <v>4.2300000000000004</v>
      </c>
      <c r="E16132" t="s">
        <v>27</v>
      </c>
    </row>
    <row r="16133" spans="1:5" x14ac:dyDescent="0.25">
      <c r="A16133" t="str">
        <f>HYPERLINK("https://www.773grp.com/globalSearch/MC100LVEL12D/page-1", "MC100LVEL12D")</f>
        <v>MC100LVEL12D</v>
      </c>
      <c r="B16133" s="3" t="str">
        <f>HYPERLINK("https://www.773grp.com/manufacturer/onsemi?pageNo=1304", "Onsemi")</f>
        <v>Onsemi</v>
      </c>
      <c r="C16133" s="6">
        <v>11363</v>
      </c>
      <c r="D16133" s="7">
        <v>4.2300000000000004</v>
      </c>
      <c r="E16133" t="s">
        <v>27</v>
      </c>
    </row>
    <row r="16134" spans="1:5" x14ac:dyDescent="0.25">
      <c r="A16134" t="str">
        <f>HYPERLINK("https://www.773grp.com/globalSearch/MC100LVEL12DR2/page-1", "MC100LVEL12DR2")</f>
        <v>MC100LVEL12DR2</v>
      </c>
      <c r="B16134" s="3" t="str">
        <f>HYPERLINK("https://www.773grp.com/manufacturer/onsemi?pageNo=1305", "Onsemi")</f>
        <v>Onsemi</v>
      </c>
      <c r="C16134" s="6">
        <v>2500</v>
      </c>
      <c r="D16134" s="7">
        <v>4.2300000000000004</v>
      </c>
      <c r="E16134" t="s">
        <v>27</v>
      </c>
    </row>
    <row r="16135" spans="1:5" x14ac:dyDescent="0.25">
      <c r="A16135" t="str">
        <f>HYPERLINK("https://www.773grp.com/globalSearch/MC100LVEL12DT/page-1", "MC100LVEL12DT")</f>
        <v>MC100LVEL12DT</v>
      </c>
      <c r="B16135" s="3" t="str">
        <f>HYPERLINK("https://www.773grp.com/manufacturer/onsemi?pageNo=1306", "Onsemi")</f>
        <v>Onsemi</v>
      </c>
      <c r="C16135" s="6">
        <v>2321</v>
      </c>
      <c r="D16135" s="7">
        <v>4.2300000000000004</v>
      </c>
      <c r="E16135" t="s">
        <v>27</v>
      </c>
    </row>
    <row r="16136" spans="1:5" x14ac:dyDescent="0.25">
      <c r="A16136" t="str">
        <f>HYPERLINK("https://www.773grp.com/globalSearch/MC100LVEL51D/page-1", "MC100LVEL51D")</f>
        <v>MC100LVEL51D</v>
      </c>
      <c r="B16136" s="3" t="str">
        <f>HYPERLINK("https://www.773grp.com/manufacturer/onsemi?pageNo=1307", "Onsemi")</f>
        <v>Onsemi</v>
      </c>
      <c r="C16136" s="6">
        <v>1420</v>
      </c>
      <c r="D16136" s="7">
        <v>4.2300000000000004</v>
      </c>
      <c r="E16136" t="s">
        <v>31</v>
      </c>
    </row>
    <row r="16137" spans="1:5" x14ac:dyDescent="0.25">
      <c r="A16137" t="str">
        <f>HYPERLINK("https://www.773grp.com/globalSearch/MC100LVEL51DR2/page-1", "MC100LVEL51DR2")</f>
        <v>MC100LVEL51DR2</v>
      </c>
      <c r="B16137" s="3" t="str">
        <f>HYPERLINK("https://www.773grp.com/manufacturer/onsemi?pageNo=1308", "Onsemi")</f>
        <v>Onsemi</v>
      </c>
      <c r="C16137" s="6">
        <v>7500</v>
      </c>
      <c r="D16137" s="7">
        <v>4.2300000000000004</v>
      </c>
      <c r="E16137" t="s">
        <v>31</v>
      </c>
    </row>
    <row r="16138" spans="1:5" x14ac:dyDescent="0.25">
      <c r="A16138" t="str">
        <f>HYPERLINK("https://www.773grp.com/globalSearch/MC100LVEL51DT/page-1", "MC100LVEL51DT")</f>
        <v>MC100LVEL51DT</v>
      </c>
      <c r="B16138" s="3" t="str">
        <f>HYPERLINK("https://www.773grp.com/manufacturer/onsemi?pageNo=1309", "Onsemi")</f>
        <v>Onsemi</v>
      </c>
      <c r="C16138" s="6">
        <v>2891</v>
      </c>
      <c r="D16138" s="7">
        <v>4.2300000000000004</v>
      </c>
      <c r="E16138" t="s">
        <v>31</v>
      </c>
    </row>
    <row r="16139" spans="1:5" x14ac:dyDescent="0.25">
      <c r="A16139" t="str">
        <f>HYPERLINK("https://www.773grp.com/globalSearch/MC100LVEL58D/page-1", "MC100LVEL58D")</f>
        <v>MC100LVEL58D</v>
      </c>
      <c r="B16139" s="3" t="str">
        <f>HYPERLINK("https://www.773grp.com/manufacturer/onsemi?pageNo=1310", "Onsemi")</f>
        <v>Onsemi</v>
      </c>
      <c r="C16139" s="6">
        <v>3108</v>
      </c>
      <c r="D16139" s="7">
        <v>4.2300000000000004</v>
      </c>
      <c r="E16139" t="s">
        <v>16</v>
      </c>
    </row>
    <row r="16140" spans="1:5" x14ac:dyDescent="0.25">
      <c r="A16140" t="str">
        <f>HYPERLINK("https://www.773grp.com/globalSearch/MC100LVEL58DT/page-1", "MC100LVEL58DT")</f>
        <v>MC100LVEL58DT</v>
      </c>
      <c r="B16140" s="3" t="str">
        <f>HYPERLINK("https://www.773grp.com/manufacturer/onsemi?pageNo=1311", "Onsemi")</f>
        <v>Onsemi</v>
      </c>
      <c r="C16140" s="6">
        <v>2415</v>
      </c>
      <c r="D16140" s="7">
        <v>4.2300000000000004</v>
      </c>
      <c r="E16140" t="s">
        <v>16</v>
      </c>
    </row>
    <row r="16141" spans="1:5" x14ac:dyDescent="0.25">
      <c r="A16141" t="str">
        <f>HYPERLINK("https://www.773grp.com/globalSearch/MC100LVELT20DG/page-1", "MC100LVELT20DG")</f>
        <v>MC100LVELT20DG</v>
      </c>
      <c r="B16141" s="3" t="str">
        <f>HYPERLINK("https://www.773grp.com/manufacturer/onsemi?pageNo=1312", "Onsemi")</f>
        <v>Onsemi</v>
      </c>
      <c r="C16141" s="6">
        <v>1076</v>
      </c>
      <c r="D16141" s="7">
        <v>4.2300000000000004</v>
      </c>
      <c r="E16141" t="s">
        <v>61</v>
      </c>
    </row>
    <row r="16142" spans="1:5" x14ac:dyDescent="0.25">
      <c r="A16142" t="str">
        <f>HYPERLINK("https://www.773grp.com/globalSearch/MC100LVELT20DR2G/page-1", "MC100LVELT20DR2G")</f>
        <v>MC100LVELT20DR2G</v>
      </c>
      <c r="B16142" s="3" t="str">
        <f>HYPERLINK("https://www.773grp.com/manufacturer/onsemi?pageNo=1313", "Onsemi")</f>
        <v>Onsemi</v>
      </c>
      <c r="C16142" s="6">
        <v>15000</v>
      </c>
      <c r="D16142" s="7">
        <v>4.2300000000000004</v>
      </c>
    </row>
    <row r="16143" spans="1:5" x14ac:dyDescent="0.25">
      <c r="A16143" t="str">
        <f>HYPERLINK("https://www.773grp.com/globalSearch/MC100LVELT22DG/page-1", "MC100LVELT22DG")</f>
        <v>MC100LVELT22DG</v>
      </c>
      <c r="B16143" s="3" t="str">
        <f>HYPERLINK("https://www.773grp.com/manufacturer/onsemi?pageNo=1314", "Onsemi")</f>
        <v>Onsemi</v>
      </c>
      <c r="C16143" s="6">
        <v>3605</v>
      </c>
      <c r="D16143" s="7">
        <v>4.2300000000000004</v>
      </c>
      <c r="E16143" t="s">
        <v>61</v>
      </c>
    </row>
    <row r="16144" spans="1:5" x14ac:dyDescent="0.25">
      <c r="A16144" t="str">
        <f>HYPERLINK("https://www.773grp.com/globalSearch/MC100LVELT22DTG/page-1", "MC100LVELT22DTG")</f>
        <v>MC100LVELT22DTG</v>
      </c>
      <c r="B16144" s="3" t="str">
        <f>HYPERLINK("https://www.773grp.com/manufacturer/onsemi?pageNo=1315", "Onsemi")</f>
        <v>Onsemi</v>
      </c>
      <c r="C16144" s="6">
        <v>908</v>
      </c>
      <c r="D16144" s="7">
        <v>4.2300000000000004</v>
      </c>
      <c r="E16144" t="s">
        <v>61</v>
      </c>
    </row>
    <row r="16145" spans="1:5" x14ac:dyDescent="0.25">
      <c r="A16145" t="str">
        <f>HYPERLINK("https://www.773grp.com/globalSearch/MC100LVELT22DTRG/page-1", "MC100LVELT22DTRG")</f>
        <v>MC100LVELT22DTRG</v>
      </c>
      <c r="B16145" s="3" t="str">
        <f>HYPERLINK("https://www.773grp.com/manufacturer/onsemi?pageNo=1316", "Onsemi")</f>
        <v>Onsemi</v>
      </c>
      <c r="C16145" s="6">
        <v>270</v>
      </c>
      <c r="D16145" s="7">
        <v>4.2300000000000004</v>
      </c>
      <c r="E16145" t="s">
        <v>61</v>
      </c>
    </row>
    <row r="16146" spans="1:5" x14ac:dyDescent="0.25">
      <c r="A16146" t="str">
        <f>HYPERLINK("https://www.773grp.com/globalSearch/MC100LVELT22MNRG/page-1", "MC100LVELT22MNRG")</f>
        <v>MC100LVELT22MNRG</v>
      </c>
      <c r="B16146" s="3" t="str">
        <f>HYPERLINK("https://www.773grp.com/manufacturer/onsemi?pageNo=1317", "Onsemi")</f>
        <v>Onsemi</v>
      </c>
      <c r="C16146" s="6">
        <v>27900</v>
      </c>
      <c r="D16146" s="7">
        <v>4.2300000000000004</v>
      </c>
      <c r="E16146" t="s">
        <v>61</v>
      </c>
    </row>
    <row r="16147" spans="1:5" x14ac:dyDescent="0.25">
      <c r="A16147" t="str">
        <f>HYPERLINK("https://www.773grp.com/globalSearch/MC100LVELT23DG/page-1", "MC100LVELT23DG")</f>
        <v>MC100LVELT23DG</v>
      </c>
      <c r="B16147" s="3" t="str">
        <f>HYPERLINK("https://www.773grp.com/manufacturer/onsemi?pageNo=1318", "Onsemi")</f>
        <v>Onsemi</v>
      </c>
      <c r="C16147" s="6">
        <v>820</v>
      </c>
      <c r="D16147" s="7">
        <v>4.2300000000000004</v>
      </c>
    </row>
    <row r="16148" spans="1:5" x14ac:dyDescent="0.25">
      <c r="A16148" t="str">
        <f>HYPERLINK("https://www.773grp.com/globalSearch/MC100LVELT23DTG/page-1", "MC100LVELT23DTG")</f>
        <v>MC100LVELT23DTG</v>
      </c>
      <c r="B16148" s="3" t="str">
        <f>HYPERLINK("https://www.773grp.com/manufacturer/onsemi?pageNo=1319", "Onsemi")</f>
        <v>Onsemi</v>
      </c>
      <c r="C16148" s="6">
        <v>675</v>
      </c>
      <c r="D16148" s="7">
        <v>4.2300000000000004</v>
      </c>
    </row>
    <row r="16149" spans="1:5" x14ac:dyDescent="0.25">
      <c r="A16149" t="str">
        <f>HYPERLINK("https://www.773grp.com/globalSearch/MC10114L/page-1", "MC10114L")</f>
        <v>MC10114L</v>
      </c>
      <c r="B16149" s="3" t="str">
        <f>HYPERLINK("https://www.773grp.com/manufacturer/onsemi?pageNo=1320", "Onsemi")</f>
        <v>Onsemi</v>
      </c>
      <c r="C16149" s="6">
        <v>1522</v>
      </c>
      <c r="D16149" s="7">
        <v>4.2300000000000004</v>
      </c>
      <c r="E16149" t="s">
        <v>17</v>
      </c>
    </row>
    <row r="16150" spans="1:5" x14ac:dyDescent="0.25">
      <c r="A16150" t="str">
        <f>HYPERLINK("https://www.773grp.com/globalSearch/MC10EL58D/page-1", "MC10EL58D")</f>
        <v>MC10EL58D</v>
      </c>
      <c r="B16150" s="3" t="str">
        <f>HYPERLINK("https://www.773grp.com/manufacturer/onsemi?pageNo=1321", "Onsemi")</f>
        <v>Onsemi</v>
      </c>
      <c r="C16150" s="6">
        <v>12232</v>
      </c>
      <c r="D16150" s="7">
        <v>4.2300000000000004</v>
      </c>
      <c r="E16150" t="s">
        <v>16</v>
      </c>
    </row>
    <row r="16151" spans="1:5" x14ac:dyDescent="0.25">
      <c r="A16151" t="str">
        <f>HYPERLINK("https://www.773grp.com/globalSearch/MC10EL58DT/page-1", "MC10EL58DT")</f>
        <v>MC10EL58DT</v>
      </c>
      <c r="B16151" s="3" t="str">
        <f>HYPERLINK("https://www.773grp.com/manufacturer/onsemi?pageNo=1322", "Onsemi")</f>
        <v>Onsemi</v>
      </c>
      <c r="C16151" s="6">
        <v>2300</v>
      </c>
      <c r="D16151" s="7">
        <v>4.2300000000000004</v>
      </c>
      <c r="E16151" t="s">
        <v>16</v>
      </c>
    </row>
    <row r="16152" spans="1:5" x14ac:dyDescent="0.25">
      <c r="A16152" t="str">
        <f>HYPERLINK("https://www.773grp.com/globalSearch/MC10ELT20DG/page-1", "MC10ELT20DG")</f>
        <v>MC10ELT20DG</v>
      </c>
      <c r="B16152" s="3" t="str">
        <f>HYPERLINK("https://www.773grp.com/manufacturer/onsemi?pageNo=1323", "Onsemi")</f>
        <v>Onsemi</v>
      </c>
      <c r="C16152" s="6">
        <v>195</v>
      </c>
      <c r="D16152" s="7">
        <v>4.2300000000000004</v>
      </c>
      <c r="E16152" t="s">
        <v>61</v>
      </c>
    </row>
    <row r="16153" spans="1:5" x14ac:dyDescent="0.25">
      <c r="A16153" t="str">
        <f>HYPERLINK("https://www.773grp.com/globalSearch/MC10ELT20DR2G/page-1", "MC10ELT20DR2G")</f>
        <v>MC10ELT20DR2G</v>
      </c>
      <c r="B16153" s="3" t="str">
        <f>HYPERLINK("https://www.773grp.com/manufacturer/onsemi?pageNo=1324", "Onsemi")</f>
        <v>Onsemi</v>
      </c>
      <c r="C16153" s="6">
        <v>452</v>
      </c>
      <c r="D16153" s="7">
        <v>4.2300000000000004</v>
      </c>
      <c r="E16153" t="s">
        <v>61</v>
      </c>
    </row>
    <row r="16154" spans="1:5" x14ac:dyDescent="0.25">
      <c r="A16154" t="str">
        <f>HYPERLINK("https://www.773grp.com/globalSearch/MC10ELT20DTG/page-1", "MC10ELT20DTG")</f>
        <v>MC10ELT20DTG</v>
      </c>
      <c r="B16154" s="3" t="str">
        <f>HYPERLINK("https://www.773grp.com/manufacturer/onsemi?pageNo=1325", "Onsemi")</f>
        <v>Onsemi</v>
      </c>
      <c r="C16154" s="6">
        <v>354</v>
      </c>
      <c r="D16154" s="7">
        <v>4.2300000000000004</v>
      </c>
      <c r="E16154" t="s">
        <v>61</v>
      </c>
    </row>
    <row r="16155" spans="1:5" x14ac:dyDescent="0.25">
      <c r="A16155" t="str">
        <f>HYPERLINK("https://www.773grp.com/globalSearch/MC10ELT20DTR2G/page-1", "MC10ELT20DTR2G")</f>
        <v>MC10ELT20DTR2G</v>
      </c>
      <c r="B16155" s="3" t="str">
        <f>HYPERLINK("https://www.773grp.com/manufacturer/onsemi?pageNo=1326", "Onsemi")</f>
        <v>Onsemi</v>
      </c>
      <c r="C16155" s="6">
        <v>533</v>
      </c>
      <c r="D16155" s="7">
        <v>4.2300000000000004</v>
      </c>
      <c r="E16155" t="s">
        <v>61</v>
      </c>
    </row>
    <row r="16156" spans="1:5" x14ac:dyDescent="0.25">
      <c r="A16156" t="str">
        <f>HYPERLINK("https://www.773grp.com/globalSearch/MC10ELT21DG/page-1", "MC10ELT21DG")</f>
        <v>MC10ELT21DG</v>
      </c>
      <c r="B16156" s="3" t="str">
        <f>HYPERLINK("https://www.773grp.com/manufacturer/onsemi?pageNo=1327", "Onsemi")</f>
        <v>Onsemi</v>
      </c>
      <c r="C16156" s="6">
        <v>2676</v>
      </c>
      <c r="D16156" s="7">
        <v>4.2300000000000004</v>
      </c>
      <c r="E16156" t="s">
        <v>61</v>
      </c>
    </row>
    <row r="16157" spans="1:5" x14ac:dyDescent="0.25">
      <c r="A16157" t="str">
        <f>HYPERLINK("https://www.773grp.com/globalSearch/MC10ELT21DTG/page-1", "MC10ELT21DTG")</f>
        <v>MC10ELT21DTG</v>
      </c>
      <c r="B16157" s="3" t="str">
        <f>HYPERLINK("https://www.773grp.com/manufacturer/onsemi?pageNo=1328", "Onsemi")</f>
        <v>Onsemi</v>
      </c>
      <c r="C16157" s="6">
        <v>1115</v>
      </c>
      <c r="D16157" s="7">
        <v>4.2300000000000004</v>
      </c>
      <c r="E16157" t="s">
        <v>61</v>
      </c>
    </row>
    <row r="16158" spans="1:5" x14ac:dyDescent="0.25">
      <c r="A16158" t="str">
        <f>HYPERLINK("https://www.773grp.com/globalSearch/MC10ELT21DTR2G/page-1", "MC10ELT21DTR2G")</f>
        <v>MC10ELT21DTR2G</v>
      </c>
      <c r="B16158" s="3" t="str">
        <f>HYPERLINK("https://www.773grp.com/manufacturer/onsemi?pageNo=1329", "Onsemi")</f>
        <v>Onsemi</v>
      </c>
      <c r="C16158" s="6">
        <v>2554</v>
      </c>
      <c r="D16158" s="7">
        <v>4.2300000000000004</v>
      </c>
      <c r="E16158" t="s">
        <v>61</v>
      </c>
    </row>
    <row r="16159" spans="1:5" x14ac:dyDescent="0.25">
      <c r="A16159" t="str">
        <f>HYPERLINK("https://www.773grp.com/globalSearch/MC10ELT22DG/page-1", "MC10ELT22DG")</f>
        <v>MC10ELT22DG</v>
      </c>
      <c r="B16159" s="3" t="str">
        <f>HYPERLINK("https://www.773grp.com/manufacturer/onsemi?pageNo=1330", "Onsemi")</f>
        <v>Onsemi</v>
      </c>
      <c r="C16159" s="6">
        <v>538</v>
      </c>
      <c r="D16159" s="7">
        <v>4.2300000000000004</v>
      </c>
      <c r="E16159" t="s">
        <v>61</v>
      </c>
    </row>
    <row r="16160" spans="1:5" x14ac:dyDescent="0.25">
      <c r="A16160" t="str">
        <f>HYPERLINK("https://www.773grp.com/globalSearch/MC10ELT22DR2G/page-1", "MC10ELT22DR2G")</f>
        <v>MC10ELT22DR2G</v>
      </c>
      <c r="B16160" s="3" t="str">
        <f>HYPERLINK("https://www.773grp.com/manufacturer/onsemi?pageNo=1331", "Onsemi")</f>
        <v>Onsemi</v>
      </c>
      <c r="C16160" s="6">
        <v>2500</v>
      </c>
      <c r="D16160" s="7">
        <v>4.2300000000000004</v>
      </c>
      <c r="E16160" t="s">
        <v>61</v>
      </c>
    </row>
    <row r="16161" spans="1:5" x14ac:dyDescent="0.25">
      <c r="A16161" t="str">
        <f>HYPERLINK("https://www.773grp.com/globalSearch/MC10ELT22DTG/page-1", "MC10ELT22DTG")</f>
        <v>MC10ELT22DTG</v>
      </c>
      <c r="B16161" s="3" t="str">
        <f>HYPERLINK("https://www.773grp.com/manufacturer/onsemi?pageNo=1332", "Onsemi")</f>
        <v>Onsemi</v>
      </c>
      <c r="C16161" s="6">
        <v>4469</v>
      </c>
      <c r="D16161" s="7">
        <v>4.2300000000000004</v>
      </c>
      <c r="E16161" t="s">
        <v>61</v>
      </c>
    </row>
    <row r="16162" spans="1:5" x14ac:dyDescent="0.25">
      <c r="A16162" t="str">
        <f>HYPERLINK("https://www.773grp.com/globalSearch/MC10ELT22DTR2G/page-1", "MC10ELT22DTR2G")</f>
        <v>MC10ELT22DTR2G</v>
      </c>
      <c r="B16162" s="3" t="str">
        <f>HYPERLINK("https://www.773grp.com/manufacturer/onsemi?pageNo=1333", "Onsemi")</f>
        <v>Onsemi</v>
      </c>
      <c r="C16162" s="6">
        <v>5000</v>
      </c>
      <c r="D16162" s="7">
        <v>4.2300000000000004</v>
      </c>
      <c r="E16162" t="s">
        <v>61</v>
      </c>
    </row>
    <row r="16163" spans="1:5" x14ac:dyDescent="0.25">
      <c r="A16163" t="str">
        <f>HYPERLINK("https://www.773grp.com/globalSearch/MC10ELT24DR2G/page-1", "MC10ELT24DR2G")</f>
        <v>MC10ELT24DR2G</v>
      </c>
      <c r="B16163" s="3" t="str">
        <f>HYPERLINK("https://www.773grp.com/manufacturer/onsemi?pageNo=1334", "Onsemi")</f>
        <v>Onsemi</v>
      </c>
      <c r="C16163" s="6">
        <v>160</v>
      </c>
      <c r="D16163" s="7">
        <v>4.2300000000000004</v>
      </c>
    </row>
    <row r="16164" spans="1:5" x14ac:dyDescent="0.25">
      <c r="A16164" t="str">
        <f>HYPERLINK("https://www.773grp.com/globalSearch/MC10ELT24DTG/page-1", "MC10ELT24DTG")</f>
        <v>MC10ELT24DTG</v>
      </c>
      <c r="B16164" s="3" t="str">
        <f>HYPERLINK("https://www.773grp.com/manufacturer/onsemi?pageNo=1335", "Onsemi")</f>
        <v>Onsemi</v>
      </c>
      <c r="C16164" s="6">
        <v>3634</v>
      </c>
      <c r="D16164" s="7">
        <v>4.2300000000000004</v>
      </c>
      <c r="E16164" t="s">
        <v>61</v>
      </c>
    </row>
    <row r="16165" spans="1:5" x14ac:dyDescent="0.25">
      <c r="A16165" t="str">
        <f>HYPERLINK("https://www.773grp.com/globalSearch/MC10ELT24DTR2G/page-1", "MC10ELT24DTR2G")</f>
        <v>MC10ELT24DTR2G</v>
      </c>
      <c r="B16165" s="3" t="str">
        <f>HYPERLINK("https://www.773grp.com/manufacturer/onsemi?pageNo=1336", "Onsemi")</f>
        <v>Onsemi</v>
      </c>
      <c r="C16165" s="6">
        <v>123</v>
      </c>
      <c r="D16165" s="7">
        <v>4.2300000000000004</v>
      </c>
      <c r="E16165" t="s">
        <v>61</v>
      </c>
    </row>
    <row r="16166" spans="1:5" x14ac:dyDescent="0.25">
      <c r="A16166" t="str">
        <f>HYPERLINK("https://www.773grp.com/globalSearch/MC10ELT25DG/page-1", "MC10ELT25DG")</f>
        <v>MC10ELT25DG</v>
      </c>
      <c r="B16166" s="3" t="str">
        <f>HYPERLINK("https://www.773grp.com/manufacturer/onsemi?pageNo=1337", "Onsemi")</f>
        <v>Onsemi</v>
      </c>
      <c r="C16166" s="6">
        <v>64</v>
      </c>
      <c r="D16166" s="7">
        <v>4.2300000000000004</v>
      </c>
    </row>
    <row r="16167" spans="1:5" x14ac:dyDescent="0.25">
      <c r="A16167" t="str">
        <f>HYPERLINK("https://www.773grp.com/globalSearch/MC10ELT25DR2G/page-1", "MC10ELT25DR2G")</f>
        <v>MC10ELT25DR2G</v>
      </c>
      <c r="B16167" s="3" t="str">
        <f>HYPERLINK("https://www.773grp.com/manufacturer/onsemi?pageNo=1338", "Onsemi")</f>
        <v>Onsemi</v>
      </c>
      <c r="C16167" s="6">
        <v>2904</v>
      </c>
      <c r="D16167" s="7">
        <v>4.2300000000000004</v>
      </c>
      <c r="E16167" t="s">
        <v>61</v>
      </c>
    </row>
    <row r="16168" spans="1:5" x14ac:dyDescent="0.25">
      <c r="A16168" t="str">
        <f>HYPERLINK("https://www.773grp.com/globalSearch/MC10ELT25DTG/page-1", "MC10ELT25DTG")</f>
        <v>MC10ELT25DTG</v>
      </c>
      <c r="B16168" s="3" t="str">
        <f>HYPERLINK("https://www.773grp.com/manufacturer/onsemi?pageNo=1339", "Onsemi")</f>
        <v>Onsemi</v>
      </c>
      <c r="C16168" s="6">
        <v>4999</v>
      </c>
      <c r="D16168" s="7">
        <v>4.2300000000000004</v>
      </c>
      <c r="E16168" t="s">
        <v>61</v>
      </c>
    </row>
    <row r="16169" spans="1:5" x14ac:dyDescent="0.25">
      <c r="A16169" t="str">
        <f>HYPERLINK("https://www.773grp.com/globalSearch/MC10ELT28D/page-1", "MC10ELT28D")</f>
        <v>MC10ELT28D</v>
      </c>
      <c r="B16169" s="3" t="str">
        <f>HYPERLINK("https://www.773grp.com/manufacturer/onsemi?pageNo=1340", "Onsemi")</f>
        <v>Onsemi</v>
      </c>
      <c r="C16169" s="6">
        <v>1523</v>
      </c>
      <c r="D16169" s="7">
        <v>4.2300000000000004</v>
      </c>
      <c r="E16169" t="s">
        <v>61</v>
      </c>
    </row>
    <row r="16170" spans="1:5" x14ac:dyDescent="0.25">
      <c r="A16170" t="str">
        <f>HYPERLINK("https://www.773grp.com/globalSearch/MC10ELT28DT/page-1", "MC10ELT28DT")</f>
        <v>MC10ELT28DT</v>
      </c>
      <c r="B16170" s="3" t="str">
        <f>HYPERLINK("https://www.773grp.com/manufacturer/onsemi?pageNo=1341", "Onsemi")</f>
        <v>Onsemi</v>
      </c>
      <c r="C16170" s="6">
        <v>4686</v>
      </c>
      <c r="D16170" s="7">
        <v>4.2300000000000004</v>
      </c>
      <c r="E16170" t="s">
        <v>61</v>
      </c>
    </row>
    <row r="16171" spans="1:5" x14ac:dyDescent="0.25">
      <c r="A16171" t="str">
        <f>HYPERLINK("https://www.773grp.com/globalSearch/MC10EP16DR2/page-1", "MC10EP16DR2")</f>
        <v>MC10EP16DR2</v>
      </c>
      <c r="B16171" s="3" t="str">
        <f>HYPERLINK("https://www.773grp.com/manufacturer/onsemi?pageNo=1342", "Onsemi")</f>
        <v>Onsemi</v>
      </c>
      <c r="C16171" s="6">
        <v>16394</v>
      </c>
      <c r="D16171" s="7">
        <v>4.2300000000000004</v>
      </c>
      <c r="E16171" t="s">
        <v>17</v>
      </c>
    </row>
    <row r="16172" spans="1:5" x14ac:dyDescent="0.25">
      <c r="A16172" t="str">
        <f>HYPERLINK("https://www.773grp.com/globalSearch/MC10EP16VAD/page-1", "MC10EP16VAD")</f>
        <v>MC10EP16VAD</v>
      </c>
      <c r="B16172" s="3" t="str">
        <f>HYPERLINK("https://www.773grp.com/manufacturer/onsemi?pageNo=1343", "Onsemi")</f>
        <v>Onsemi</v>
      </c>
      <c r="C16172" s="6">
        <v>19286</v>
      </c>
      <c r="D16172" s="7">
        <v>4.2300000000000004</v>
      </c>
      <c r="E16172" t="s">
        <v>17</v>
      </c>
    </row>
    <row r="16173" spans="1:5" x14ac:dyDescent="0.25">
      <c r="A16173" t="str">
        <f>HYPERLINK("https://www.773grp.com/globalSearch/MC10EP16VADR2/page-1", "MC10EP16VADR2")</f>
        <v>MC10EP16VADR2</v>
      </c>
      <c r="B16173" s="3" t="str">
        <f>HYPERLINK("https://www.773grp.com/manufacturer/onsemi?pageNo=1344", "Onsemi")</f>
        <v>Onsemi</v>
      </c>
      <c r="C16173" s="6">
        <v>12500</v>
      </c>
      <c r="D16173" s="7">
        <v>4.2300000000000004</v>
      </c>
      <c r="E16173" t="s">
        <v>17</v>
      </c>
    </row>
    <row r="16174" spans="1:5" x14ac:dyDescent="0.25">
      <c r="A16174" t="str">
        <f>HYPERLINK("https://www.773grp.com/globalSearch/MC10EP16VADT/page-1", "MC10EP16VADT")</f>
        <v>MC10EP16VADT</v>
      </c>
      <c r="B16174" s="3" t="str">
        <f>HYPERLINK("https://www.773grp.com/manufacturer/onsemi?pageNo=1345", "Onsemi")</f>
        <v>Onsemi</v>
      </c>
      <c r="C16174" s="6">
        <v>2015</v>
      </c>
      <c r="D16174" s="7">
        <v>4.2300000000000004</v>
      </c>
      <c r="E16174" t="s">
        <v>17</v>
      </c>
    </row>
    <row r="16175" spans="1:5" x14ac:dyDescent="0.25">
      <c r="A16175" t="str">
        <f>HYPERLINK("https://www.773grp.com/globalSearch/MC10H164L/page-1", "MC10H164L")</f>
        <v>MC10H164L</v>
      </c>
      <c r="B16175" s="3" t="str">
        <f>HYPERLINK("https://www.773grp.com/manufacturer/onsemi?pageNo=1346", "Onsemi")</f>
        <v>Onsemi</v>
      </c>
      <c r="C16175" s="6">
        <v>8320</v>
      </c>
      <c r="D16175" s="7">
        <v>4.2300000000000004</v>
      </c>
      <c r="E16175" t="s">
        <v>16</v>
      </c>
    </row>
    <row r="16176" spans="1:5" x14ac:dyDescent="0.25">
      <c r="A16176" t="str">
        <f>HYPERLINK("https://www.773grp.com/globalSearch/MC10H174L/page-1", "MC10H174L")</f>
        <v>MC10H174L</v>
      </c>
      <c r="B16176" s="3" t="str">
        <f>HYPERLINK("https://www.773grp.com/manufacturer/onsemi?pageNo=1347", "Onsemi")</f>
        <v>Onsemi</v>
      </c>
      <c r="C16176" s="6">
        <v>20</v>
      </c>
      <c r="D16176" s="7">
        <v>4.2300000000000004</v>
      </c>
      <c r="E16176" t="s">
        <v>16</v>
      </c>
    </row>
    <row r="16177" spans="1:5" x14ac:dyDescent="0.25">
      <c r="A16177" t="str">
        <f>HYPERLINK("https://www.773grp.com/globalSearch/MC33167D2TG/page-1", "MC33167D2TG")</f>
        <v>MC33167D2TG</v>
      </c>
      <c r="B16177" s="3" t="str">
        <f>HYPERLINK("https://www.773grp.com/manufacturer/onsemi?pageNo=1348", "Onsemi")</f>
        <v>Onsemi</v>
      </c>
      <c r="C16177" s="6">
        <v>10</v>
      </c>
      <c r="D16177" s="7">
        <v>4.2300000000000004</v>
      </c>
      <c r="E16177" t="s">
        <v>5</v>
      </c>
    </row>
    <row r="16178" spans="1:5" x14ac:dyDescent="0.25">
      <c r="A16178" t="str">
        <f>HYPERLINK("https://www.773grp.com/globalSearch/MC33470DWG/page-1", "MC33470DWG")</f>
        <v>MC33470DWG</v>
      </c>
      <c r="B16178" s="3" t="s">
        <v>74</v>
      </c>
      <c r="C16178" s="6">
        <v>2175</v>
      </c>
      <c r="D16178" s="7">
        <v>4.2300000000000004</v>
      </c>
      <c r="E16178" t="s">
        <v>5</v>
      </c>
    </row>
    <row r="16179" spans="1:5" x14ac:dyDescent="0.25">
      <c r="A16179" t="str">
        <f>HYPERLINK("https://www.773grp.com/globalSearch/MC33470DWR2G/page-1", "MC33470DWR2G")</f>
        <v>MC33470DWR2G</v>
      </c>
      <c r="B16179" s="3" t="s">
        <v>74</v>
      </c>
      <c r="C16179" s="6">
        <v>3000</v>
      </c>
      <c r="D16179" s="7">
        <v>4.2300000000000004</v>
      </c>
      <c r="E16179" t="s">
        <v>5</v>
      </c>
    </row>
    <row r="16180" spans="1:5" x14ac:dyDescent="0.25">
      <c r="A16180" t="str">
        <f>HYPERLINK("https://www.773grp.com/globalSearch/MC34023PG/page-1", "MC34023PG")</f>
        <v>MC34023PG</v>
      </c>
      <c r="B16180" s="3" t="s">
        <v>74</v>
      </c>
      <c r="C16180" s="6">
        <v>800</v>
      </c>
      <c r="D16180" s="7">
        <v>4.2300000000000004</v>
      </c>
    </row>
    <row r="16181" spans="1:5" x14ac:dyDescent="0.25">
      <c r="A16181" t="str">
        <f>HYPERLINK("https://www.773grp.com/globalSearch/MC34166TVG/page-1", "MC34166TVG")</f>
        <v>MC34166TVG</v>
      </c>
      <c r="B16181" s="3" t="s">
        <v>74</v>
      </c>
      <c r="C16181" s="6">
        <v>5975</v>
      </c>
      <c r="D16181" s="7">
        <v>4.2300000000000004</v>
      </c>
      <c r="E16181" t="s">
        <v>5</v>
      </c>
    </row>
    <row r="16182" spans="1:5" x14ac:dyDescent="0.25">
      <c r="A16182" t="str">
        <f>HYPERLINK("https://www.773grp.com/globalSearch/MJE5851G/page-1", "MJE5851G")</f>
        <v>MJE5851G</v>
      </c>
      <c r="B16182" s="3" t="s">
        <v>74</v>
      </c>
      <c r="C16182" s="6">
        <v>14</v>
      </c>
      <c r="D16182" s="7">
        <v>4.2300000000000004</v>
      </c>
      <c r="E16182" t="s">
        <v>47</v>
      </c>
    </row>
    <row r="16183" spans="1:5" x14ac:dyDescent="0.25">
      <c r="A16183" t="str">
        <f>HYPERLINK("https://www.773grp.com/globalSearch/MJE5852G/page-1", "MJE5852G")</f>
        <v>MJE5852G</v>
      </c>
      <c r="B16183" s="3" t="s">
        <v>74</v>
      </c>
      <c r="C16183" s="6">
        <v>71</v>
      </c>
      <c r="D16183" s="7">
        <v>4.2300000000000004</v>
      </c>
      <c r="E16183" t="s">
        <v>47</v>
      </c>
    </row>
    <row r="16184" spans="1:5" x14ac:dyDescent="0.25">
      <c r="A16184" t="str">
        <f>HYPERLINK("https://www.773grp.com/globalSearch/MJW21195G/page-1", "MJW21195G")</f>
        <v>MJW21195G</v>
      </c>
      <c r="B16184" s="3" t="s">
        <v>74</v>
      </c>
      <c r="C16184" s="6">
        <v>13788</v>
      </c>
      <c r="D16184" s="7">
        <v>4.2300000000000004</v>
      </c>
      <c r="E16184" t="s">
        <v>47</v>
      </c>
    </row>
    <row r="16185" spans="1:5" x14ac:dyDescent="0.25">
      <c r="A16185" t="str">
        <f>HYPERLINK("https://www.773grp.com/globalSearch/MJW21196G/page-1", "MJW21196G")</f>
        <v>MJW21196G</v>
      </c>
      <c r="B16185" s="3" t="s">
        <v>74</v>
      </c>
      <c r="C16185" s="6">
        <v>226</v>
      </c>
      <c r="D16185" s="7">
        <v>4.2300000000000004</v>
      </c>
      <c r="E16185" t="s">
        <v>47</v>
      </c>
    </row>
    <row r="16186" spans="1:5" x14ac:dyDescent="0.25">
      <c r="A16186" t="str">
        <f>HYPERLINK("https://www.773grp.com/globalSearch/MTAJ50N05HD/page-1", "MTAJ50N05HD")</f>
        <v>MTAJ50N05HD</v>
      </c>
      <c r="B16186" s="3" t="s">
        <v>74</v>
      </c>
      <c r="C16186" s="6">
        <v>39</v>
      </c>
      <c r="D16186" s="7">
        <v>4.2300000000000004</v>
      </c>
    </row>
    <row r="16187" spans="1:5" x14ac:dyDescent="0.25">
      <c r="A16187" t="str">
        <f>HYPERLINK("https://www.773grp.com/globalSearch/MTAJ50N05HDLFK/page-1", "MTAJ50N05HDLFK")</f>
        <v>MTAJ50N05HDLFK</v>
      </c>
      <c r="B16187" s="3" t="s">
        <v>74</v>
      </c>
      <c r="C16187" s="6">
        <v>935</v>
      </c>
      <c r="D16187" s="7">
        <v>4.2300000000000004</v>
      </c>
    </row>
    <row r="16188" spans="1:5" x14ac:dyDescent="0.25">
      <c r="A16188" t="str">
        <f>HYPERLINK("https://www.773grp.com/globalSearch/NB4N507AD/page-1", "NB4N507AD")</f>
        <v>NB4N507AD</v>
      </c>
      <c r="B16188" s="3" t="s">
        <v>74</v>
      </c>
      <c r="C16188" s="6">
        <v>1072</v>
      </c>
      <c r="D16188" s="7">
        <v>4.2300000000000004</v>
      </c>
      <c r="E16188" t="s">
        <v>65</v>
      </c>
    </row>
    <row r="16189" spans="1:5" x14ac:dyDescent="0.25">
      <c r="A16189" t="str">
        <f>HYPERLINK("https://www.773grp.com/globalSearch/NB4N507ADR2/page-1", "NB4N507ADR2")</f>
        <v>NB4N507ADR2</v>
      </c>
      <c r="B16189" s="3" t="s">
        <v>74</v>
      </c>
      <c r="C16189" s="6">
        <v>62500</v>
      </c>
      <c r="D16189" s="7">
        <v>4.2300000000000004</v>
      </c>
      <c r="E16189" t="s">
        <v>65</v>
      </c>
    </row>
    <row r="16190" spans="1:5" x14ac:dyDescent="0.25">
      <c r="A16190" t="str">
        <f>HYPERLINK("https://www.773grp.com/globalSearch/NCN4557MTG/page-1", "NCN4557MTG")</f>
        <v>NCN4557MTG</v>
      </c>
      <c r="B16190" s="3" t="s">
        <v>74</v>
      </c>
      <c r="C16190" s="6">
        <v>7779</v>
      </c>
      <c r="D16190" s="7">
        <v>4.2300000000000004</v>
      </c>
      <c r="E16190" t="s">
        <v>26</v>
      </c>
    </row>
    <row r="16191" spans="1:5" x14ac:dyDescent="0.25">
      <c r="A16191" t="str">
        <f>HYPERLINK("https://www.773grp.com/globalSearch/NCN4557MTR2G/page-1", "NCN4557MTR2G")</f>
        <v>NCN4557MTR2G</v>
      </c>
      <c r="B16191" s="3" t="s">
        <v>74</v>
      </c>
      <c r="C16191" s="6">
        <v>170443</v>
      </c>
      <c r="D16191" s="7">
        <v>4.2300000000000004</v>
      </c>
      <c r="E16191" t="s">
        <v>26</v>
      </c>
    </row>
    <row r="16192" spans="1:5" x14ac:dyDescent="0.25">
      <c r="A16192" t="str">
        <f>HYPERLINK("https://www.773grp.com/globalSearch/NCV7513AFTG/page-1", "NCV7513AFTG")</f>
        <v>NCV7513AFTG</v>
      </c>
      <c r="B16192" s="3" t="s">
        <v>74</v>
      </c>
      <c r="C16192" s="6">
        <v>6250</v>
      </c>
      <c r="D16192" s="7">
        <v>4.2300000000000004</v>
      </c>
      <c r="E16192" t="s">
        <v>12</v>
      </c>
    </row>
    <row r="16193" spans="1:5" x14ac:dyDescent="0.25">
      <c r="A16193" t="str">
        <f>HYPERLINK("https://www.773grp.com/globalSearch/NCV7513BFTR2G/page-1", "NCV7513BFTR2G")</f>
        <v>NCV7513BFTR2G</v>
      </c>
      <c r="B16193" s="3" t="s">
        <v>74</v>
      </c>
      <c r="C16193" s="6">
        <v>10659</v>
      </c>
      <c r="D16193" s="7">
        <v>4.2300000000000004</v>
      </c>
    </row>
    <row r="16194" spans="1:5" x14ac:dyDescent="0.25">
      <c r="A16194" t="str">
        <f>HYPERLINK("https://www.773grp.com/globalSearch/NCV7513FTG/page-1", "NCV7513FTG")</f>
        <v>NCV7513FTG</v>
      </c>
      <c r="B16194" s="3" t="s">
        <v>74</v>
      </c>
      <c r="C16194" s="6">
        <v>265</v>
      </c>
      <c r="D16194" s="7">
        <v>4.2300000000000004</v>
      </c>
      <c r="E16194" t="s">
        <v>8</v>
      </c>
    </row>
    <row r="16195" spans="1:5" x14ac:dyDescent="0.25">
      <c r="A16195" t="str">
        <f>HYPERLINK("https://www.773grp.com/globalSearch/NIS6111QPT1/page-1", "NIS6111QPT1")</f>
        <v>NIS6111QPT1</v>
      </c>
      <c r="B16195" s="3" t="s">
        <v>74</v>
      </c>
      <c r="C16195" s="6">
        <v>41688</v>
      </c>
      <c r="D16195" s="7">
        <v>4.2300000000000004</v>
      </c>
      <c r="E16195" t="s">
        <v>82</v>
      </c>
    </row>
    <row r="16196" spans="1:5" x14ac:dyDescent="0.25">
      <c r="A16196" t="str">
        <f>HYPERLINK("https://www.773grp.com/globalSearch/ADP4100JCPZ-REEL/page-1", "ADP4100JCPZ-REEL")</f>
        <v>ADP4100JCPZ-REEL</v>
      </c>
      <c r="B16196" s="3" t="s">
        <v>74</v>
      </c>
      <c r="C16196" s="6">
        <v>32072</v>
      </c>
      <c r="D16196" s="7">
        <v>4.6900000000000004</v>
      </c>
      <c r="E16196" t="s">
        <v>5</v>
      </c>
    </row>
    <row r="16197" spans="1:5" x14ac:dyDescent="0.25">
      <c r="A16197" t="str">
        <f>HYPERLINK("https://www.773grp.com/globalSearch/ADP4101JCPZ-REEL/page-1", "ADP4101JCPZ-REEL")</f>
        <v>ADP4101JCPZ-REEL</v>
      </c>
      <c r="B16197" s="3" t="s">
        <v>74</v>
      </c>
      <c r="C16197" s="6">
        <v>2500</v>
      </c>
      <c r="D16197" s="7">
        <v>4.6900000000000004</v>
      </c>
    </row>
    <row r="16198" spans="1:5" x14ac:dyDescent="0.25">
      <c r="A16198" t="str">
        <f>HYPERLINK("https://www.773grp.com/globalSearch/BTA25H-600CW3G/page-1", "BTA25H-600CW3G")</f>
        <v>BTA25H-600CW3G</v>
      </c>
      <c r="B16198" s="3" t="s">
        <v>74</v>
      </c>
      <c r="C16198" s="6">
        <v>3300</v>
      </c>
      <c r="D16198" s="7">
        <v>4.6900000000000004</v>
      </c>
    </row>
    <row r="16199" spans="1:5" x14ac:dyDescent="0.25">
      <c r="A16199" t="str">
        <f>HYPERLINK("https://www.773grp.com/globalSearch/CAT24M01HU5I-GT3/page-1", "CAT24M01HU5I-GT3")</f>
        <v>CAT24M01HU5I-GT3</v>
      </c>
      <c r="B16199" s="3" t="s">
        <v>74</v>
      </c>
      <c r="C16199" s="6">
        <v>26945</v>
      </c>
      <c r="D16199" s="7">
        <v>4.6900000000000004</v>
      </c>
    </row>
    <row r="16200" spans="1:5" x14ac:dyDescent="0.25">
      <c r="A16200" t="str">
        <f>HYPERLINK("https://www.773grp.com/globalSearch/LV8860V-MPB-H/page-1", "LV8860V-MPB-H")</f>
        <v>LV8860V-MPB-H</v>
      </c>
      <c r="B16200" s="3" t="s">
        <v>74</v>
      </c>
      <c r="C16200" s="6">
        <v>90</v>
      </c>
      <c r="D16200" s="7">
        <v>4.6900000000000004</v>
      </c>
    </row>
    <row r="16201" spans="1:5" x14ac:dyDescent="0.25">
      <c r="A16201" t="str">
        <f>HYPERLINK("https://www.773grp.com/globalSearch/LV8860V-TLM-H/page-1", "LV8860V-TLM-H")</f>
        <v>LV8860V-TLM-H</v>
      </c>
      <c r="B16201" s="3" t="s">
        <v>74</v>
      </c>
      <c r="C16201" s="6">
        <v>100</v>
      </c>
      <c r="D16201" s="7">
        <v>4.6900000000000004</v>
      </c>
    </row>
    <row r="16202" spans="1:5" x14ac:dyDescent="0.25">
      <c r="A16202" t="str">
        <f>HYPERLINK("https://www.773grp.com/globalSearch/NCP5181PG/page-1", "NCP5181PG")</f>
        <v>NCP5181PG</v>
      </c>
      <c r="B16202" s="3" t="s">
        <v>74</v>
      </c>
      <c r="C16202" s="6">
        <v>64897</v>
      </c>
      <c r="D16202" s="7">
        <v>4.6900000000000004</v>
      </c>
      <c r="E16202" t="s">
        <v>17</v>
      </c>
    </row>
    <row r="16203" spans="1:5" x14ac:dyDescent="0.25">
      <c r="A16203" t="str">
        <f>HYPERLINK("https://www.773grp.com/globalSearch/XCP5201MNR2/page-1", "XCP5201MNR2")</f>
        <v>XCP5201MNR2</v>
      </c>
      <c r="B16203" s="3" t="s">
        <v>74</v>
      </c>
      <c r="C16203" s="6">
        <v>2400</v>
      </c>
      <c r="D16203" s="7">
        <v>4.6900000000000004</v>
      </c>
    </row>
    <row r="16204" spans="1:5" x14ac:dyDescent="0.25">
      <c r="A16204" t="str">
        <f>HYPERLINK("https://www.773grp.com/globalSearch/MC10H162L/page-1", "MC10H162L")</f>
        <v>MC10H162L</v>
      </c>
      <c r="B16204" s="3" t="s">
        <v>74</v>
      </c>
      <c r="C16204" s="6">
        <v>165</v>
      </c>
      <c r="D16204" s="7">
        <v>4.25</v>
      </c>
      <c r="E16204" t="s">
        <v>32</v>
      </c>
    </row>
    <row r="16205" spans="1:5" x14ac:dyDescent="0.25">
      <c r="A16205" t="str">
        <f>HYPERLINK("https://www.773grp.com/globalSearch/MJ15003G/page-1", "MJ15003G")</f>
        <v>MJ15003G</v>
      </c>
      <c r="B16205" s="3" t="s">
        <v>74</v>
      </c>
      <c r="C16205" s="6">
        <v>1079</v>
      </c>
      <c r="D16205" s="7">
        <v>4.25</v>
      </c>
    </row>
    <row r="16206" spans="1:5" x14ac:dyDescent="0.25">
      <c r="A16206" t="str">
        <f>HYPERLINK("https://www.773grp.com/globalSearch/MJ21195G/page-1", "MJ21195G")</f>
        <v>MJ21195G</v>
      </c>
      <c r="B16206" s="3" t="s">
        <v>74</v>
      </c>
      <c r="C16206" s="6">
        <v>19433</v>
      </c>
      <c r="D16206" s="7">
        <v>4.25</v>
      </c>
      <c r="E16206" t="s">
        <v>47</v>
      </c>
    </row>
    <row r="16207" spans="1:5" x14ac:dyDescent="0.25">
      <c r="A16207" t="str">
        <f>HYPERLINK("https://www.773grp.com/globalSearch/MJ21196G/page-1", "MJ21196G")</f>
        <v>MJ21196G</v>
      </c>
      <c r="B16207" s="3" t="s">
        <v>74</v>
      </c>
      <c r="C16207" s="6">
        <v>15818</v>
      </c>
      <c r="D16207" s="7">
        <v>4.25</v>
      </c>
      <c r="E16207" t="s">
        <v>47</v>
      </c>
    </row>
    <row r="16208" spans="1:5" x14ac:dyDescent="0.25">
      <c r="A16208" t="str">
        <f>HYPERLINK("https://www.773grp.com/globalSearch/NGTB30N60FLWG/page-1", "NGTB30N60FLWG")</f>
        <v>NGTB30N60FLWG</v>
      </c>
      <c r="B16208" s="3" t="s">
        <v>74</v>
      </c>
      <c r="C16208" s="6">
        <v>60</v>
      </c>
      <c r="D16208" s="7">
        <v>4.25</v>
      </c>
    </row>
    <row r="16209" spans="1:5" x14ac:dyDescent="0.25">
      <c r="A16209" t="str">
        <f>HYPERLINK("https://www.773grp.com/globalSearch/LB11683H-TLM-E/page-1", "LB11683H-TLM-E")</f>
        <v>LB11683H-TLM-E</v>
      </c>
      <c r="B16209" s="3" t="s">
        <v>74</v>
      </c>
      <c r="C16209" s="6">
        <v>58935</v>
      </c>
      <c r="D16209" s="7">
        <v>4.28</v>
      </c>
    </row>
    <row r="16210" spans="1:5" x14ac:dyDescent="0.25">
      <c r="A16210" t="str">
        <f>HYPERLINK("https://www.773grp.com/globalSearch/LV8013T-A-TLM-E/page-1", "LV8013T-A-TLM-E")</f>
        <v>LV8013T-A-TLM-E</v>
      </c>
      <c r="B16210" s="3" t="s">
        <v>74</v>
      </c>
      <c r="C16210" s="6">
        <v>12</v>
      </c>
      <c r="D16210" s="7">
        <v>4.28</v>
      </c>
    </row>
    <row r="16211" spans="1:5" x14ac:dyDescent="0.25">
      <c r="A16211" t="str">
        <f>HYPERLINK("https://www.773grp.com/globalSearch/MC10H125M/page-1", "MC10H125M")</f>
        <v>MC10H125M</v>
      </c>
      <c r="B16211" s="3" t="s">
        <v>74</v>
      </c>
      <c r="C16211" s="6">
        <v>3520</v>
      </c>
      <c r="D16211" s="7">
        <v>4.28</v>
      </c>
      <c r="E16211" t="s">
        <v>61</v>
      </c>
    </row>
    <row r="16212" spans="1:5" x14ac:dyDescent="0.25">
      <c r="A16212" t="str">
        <f>HYPERLINK("https://www.773grp.com/globalSearch/MC10H135FN/page-1", "MC10H135FN")</f>
        <v>MC10H135FN</v>
      </c>
      <c r="B16212" s="3" t="s">
        <v>74</v>
      </c>
      <c r="C16212" s="6">
        <v>4804</v>
      </c>
      <c r="D16212" s="7">
        <v>4.28</v>
      </c>
      <c r="E16212" t="s">
        <v>31</v>
      </c>
    </row>
    <row r="16213" spans="1:5" x14ac:dyDescent="0.25">
      <c r="A16213" t="str">
        <f>HYPERLINK("https://www.773grp.com/globalSearch/MC33023DWG/page-1", "MC33023DWG")</f>
        <v>MC33023DWG</v>
      </c>
      <c r="B16213" s="3" t="s">
        <v>74</v>
      </c>
      <c r="C16213" s="6">
        <v>232</v>
      </c>
      <c r="D16213" s="7">
        <v>4.28</v>
      </c>
      <c r="E16213" t="s">
        <v>5</v>
      </c>
    </row>
    <row r="16214" spans="1:5" x14ac:dyDescent="0.25">
      <c r="A16214" t="str">
        <f>HYPERLINK("https://www.773grp.com/globalSearch/MC33023DWR2G/page-1", "MC33023DWR2G")</f>
        <v>MC33023DWR2G</v>
      </c>
      <c r="B16214" s="3" t="s">
        <v>74</v>
      </c>
      <c r="C16214" s="6">
        <v>7501</v>
      </c>
      <c r="D16214" s="7">
        <v>4.28</v>
      </c>
      <c r="E16214" t="s">
        <v>5</v>
      </c>
    </row>
    <row r="16215" spans="1:5" x14ac:dyDescent="0.25">
      <c r="A16215" t="str">
        <f>HYPERLINK("https://www.773grp.com/globalSearch/170-0013-900/page-1", "170-0013-900")</f>
        <v>170-0013-900</v>
      </c>
      <c r="B16215" s="3" t="s">
        <v>74</v>
      </c>
      <c r="C16215" s="6">
        <v>8</v>
      </c>
      <c r="D16215" s="7">
        <v>4.74</v>
      </c>
    </row>
    <row r="16216" spans="1:5" x14ac:dyDescent="0.25">
      <c r="A16216" t="str">
        <f>HYPERLINK("https://www.773grp.com/globalSearch/ASM3P1819NF-08SR/page-1", "ASM3P1819NF-08SR")</f>
        <v>ASM3P1819NF-08SR</v>
      </c>
      <c r="B16216" s="3" t="s">
        <v>74</v>
      </c>
      <c r="C16216" s="6">
        <v>7881</v>
      </c>
      <c r="D16216" s="7">
        <v>4.74</v>
      </c>
    </row>
    <row r="16217" spans="1:5" x14ac:dyDescent="0.25">
      <c r="A16217" t="str">
        <f>HYPERLINK("https://www.773grp.com/globalSearch/ASM3P2474AF-06OR/page-1", "ASM3P2474AF-06OR")</f>
        <v>ASM3P2474AF-06OR</v>
      </c>
      <c r="B16217" s="3" t="s">
        <v>74</v>
      </c>
      <c r="C16217" s="6">
        <v>3000</v>
      </c>
      <c r="D16217" s="7">
        <v>4.74</v>
      </c>
      <c r="E16217" t="s">
        <v>65</v>
      </c>
    </row>
    <row r="16218" spans="1:5" x14ac:dyDescent="0.25">
      <c r="A16218" t="str">
        <f>HYPERLINK("https://www.773grp.com/globalSearch/ASM3P2779AF-06OR/page-1", "ASM3P2779AF-06OR")</f>
        <v>ASM3P2779AF-06OR</v>
      </c>
      <c r="B16218" s="3" t="s">
        <v>74</v>
      </c>
      <c r="C16218" s="6">
        <v>3000</v>
      </c>
      <c r="D16218" s="7">
        <v>4.74</v>
      </c>
      <c r="E16218" t="s">
        <v>65</v>
      </c>
    </row>
    <row r="16219" spans="1:5" x14ac:dyDescent="0.25">
      <c r="A16219" t="str">
        <f>HYPERLINK("https://www.773grp.com/globalSearch/ASM3P2863AF-06OR/page-1", "ASM3P2863AF-06OR")</f>
        <v>ASM3P2863AF-06OR</v>
      </c>
      <c r="B16219" s="3" t="s">
        <v>74</v>
      </c>
      <c r="C16219" s="6">
        <v>6000</v>
      </c>
      <c r="D16219" s="7">
        <v>4.74</v>
      </c>
      <c r="E16219" t="s">
        <v>65</v>
      </c>
    </row>
    <row r="16220" spans="1:5" x14ac:dyDescent="0.25">
      <c r="A16220" t="str">
        <f>HYPERLINK("https://www.773grp.com/globalSearch/ASM3P2872AF-06OR/page-1", "ASM3P2872AF-06OR")</f>
        <v>ASM3P2872AF-06OR</v>
      </c>
      <c r="B16220" s="3" t="s">
        <v>74</v>
      </c>
      <c r="C16220" s="6">
        <v>21000</v>
      </c>
      <c r="D16220" s="7">
        <v>4.74</v>
      </c>
      <c r="E16220" t="s">
        <v>65</v>
      </c>
    </row>
    <row r="16221" spans="1:5" x14ac:dyDescent="0.25">
      <c r="A16221" t="str">
        <f>HYPERLINK("https://www.773grp.com/globalSearch/AU5517DR2G/page-1", "AU5517DR2G")</f>
        <v>AU5517DR2G</v>
      </c>
      <c r="B16221" s="3" t="s">
        <v>74</v>
      </c>
      <c r="C16221" s="6">
        <v>3305</v>
      </c>
      <c r="D16221" s="7">
        <v>4.74</v>
      </c>
    </row>
    <row r="16222" spans="1:5" x14ac:dyDescent="0.25">
      <c r="A16222" t="str">
        <f>HYPERLINK("https://www.773grp.com/globalSearch/BTA25-800CW3G/page-1", "BTA25-800CW3G")</f>
        <v>BTA25-800CW3G</v>
      </c>
      <c r="B16222" s="3" t="s">
        <v>74</v>
      </c>
      <c r="C16222" s="6">
        <v>1450</v>
      </c>
      <c r="D16222" s="7">
        <v>4.74</v>
      </c>
    </row>
    <row r="16223" spans="1:5" x14ac:dyDescent="0.25">
      <c r="A16223" t="str">
        <f>HYPERLINK("https://www.773grp.com/globalSearch/BUB323ZG/page-1", "BUB323ZG")</f>
        <v>BUB323ZG</v>
      </c>
      <c r="B16223" s="3" t="s">
        <v>74</v>
      </c>
      <c r="C16223" s="6">
        <v>500</v>
      </c>
      <c r="D16223" s="7">
        <v>4.74</v>
      </c>
    </row>
    <row r="16224" spans="1:5" x14ac:dyDescent="0.25">
      <c r="A16224" t="str">
        <f>HYPERLINK("https://www.773grp.com/globalSearch/BUB323ZT4G/page-1", "BUB323ZT4G")</f>
        <v>BUB323ZT4G</v>
      </c>
      <c r="B16224" s="3" t="s">
        <v>74</v>
      </c>
      <c r="C16224" s="6">
        <v>1600</v>
      </c>
      <c r="D16224" s="7">
        <v>4.74</v>
      </c>
      <c r="E16224" t="s">
        <v>47</v>
      </c>
    </row>
    <row r="16225" spans="1:5" x14ac:dyDescent="0.25">
      <c r="A16225" t="str">
        <f>HYPERLINK("https://www.773grp.com/globalSearch/CAT4026V-T1/page-1", "CAT4026V-T1")</f>
        <v>CAT4026V-T1</v>
      </c>
      <c r="B16225" s="3" t="s">
        <v>74</v>
      </c>
      <c r="C16225" s="6">
        <v>11055</v>
      </c>
      <c r="D16225" s="7">
        <v>4.74</v>
      </c>
      <c r="E16225" t="s">
        <v>7</v>
      </c>
    </row>
    <row r="16226" spans="1:5" x14ac:dyDescent="0.25">
      <c r="A16226" t="str">
        <f>HYPERLINK("https://www.773grp.com/globalSearch/CAT9534HV4I-GT2/page-1", "CAT9534HV4I-GT2")</f>
        <v>CAT9534HV4I-GT2</v>
      </c>
      <c r="B16226" s="3" t="s">
        <v>74</v>
      </c>
      <c r="C16226" s="6">
        <v>295</v>
      </c>
      <c r="D16226" s="7">
        <v>4.74</v>
      </c>
    </row>
    <row r="16227" spans="1:5" x14ac:dyDescent="0.25">
      <c r="A16227" t="str">
        <f>HYPERLINK("https://www.773grp.com/globalSearch/CS51021AEDR16G/page-1", "CS51021AEDR16G")</f>
        <v>CS51021AEDR16G</v>
      </c>
      <c r="B16227" s="3" t="s">
        <v>74</v>
      </c>
      <c r="C16227" s="6">
        <v>4470</v>
      </c>
      <c r="D16227" s="7">
        <v>4.74</v>
      </c>
    </row>
    <row r="16228" spans="1:5" x14ac:dyDescent="0.25">
      <c r="A16228" t="str">
        <f>HYPERLINK("https://www.773grp.com/globalSearch/CS51022AEDR16G/page-1", "CS51022AEDR16G")</f>
        <v>CS51022AEDR16G</v>
      </c>
      <c r="B16228" s="3" t="s">
        <v>74</v>
      </c>
      <c r="C16228" s="6">
        <v>12520</v>
      </c>
      <c r="D16228" s="7">
        <v>4.74</v>
      </c>
      <c r="E16228" t="s">
        <v>5</v>
      </c>
    </row>
    <row r="16229" spans="1:5" x14ac:dyDescent="0.25">
      <c r="A16229" t="str">
        <f>HYPERLINK("https://www.773grp.com/globalSearch/CS51221ED16G/page-1", "CS51221ED16G")</f>
        <v>CS51221ED16G</v>
      </c>
      <c r="B16229" s="3" t="s">
        <v>74</v>
      </c>
      <c r="C16229" s="6">
        <v>8123</v>
      </c>
      <c r="D16229" s="7">
        <v>4.74</v>
      </c>
      <c r="E16229" t="s">
        <v>5</v>
      </c>
    </row>
    <row r="16230" spans="1:5" x14ac:dyDescent="0.25">
      <c r="A16230" t="str">
        <f>HYPERLINK("https://www.773grp.com/globalSearch/CS51221EDR16G/page-1", "CS51221EDR16G")</f>
        <v>CS51221EDR16G</v>
      </c>
      <c r="B16230" s="3" t="s">
        <v>74</v>
      </c>
      <c r="C16230" s="6">
        <v>20000</v>
      </c>
      <c r="D16230" s="7">
        <v>4.74</v>
      </c>
      <c r="E16230" t="s">
        <v>5</v>
      </c>
    </row>
    <row r="16231" spans="1:5" x14ac:dyDescent="0.25">
      <c r="A16231" t="str">
        <f>HYPERLINK("https://www.773grp.com/globalSearch/CS52845EDR8/page-1", "CS52845EDR8")</f>
        <v>CS52845EDR8</v>
      </c>
      <c r="B16231" s="3" t="s">
        <v>74</v>
      </c>
      <c r="C16231" s="6">
        <v>2500</v>
      </c>
      <c r="D16231" s="7">
        <v>4.74</v>
      </c>
      <c r="E16231" t="s">
        <v>5</v>
      </c>
    </row>
    <row r="16232" spans="1:5" x14ac:dyDescent="0.25">
      <c r="A16232" t="str">
        <f>HYPERLINK("https://www.773grp.com/globalSearch/LA5693MD-AH/page-1", "LA5693MD-AH")</f>
        <v>LA5693MD-AH</v>
      </c>
      <c r="B16232" s="3" t="s">
        <v>74</v>
      </c>
      <c r="C16232" s="6">
        <v>2500</v>
      </c>
      <c r="D16232" s="7">
        <v>4.74</v>
      </c>
    </row>
    <row r="16233" spans="1:5" x14ac:dyDescent="0.25">
      <c r="A16233" t="str">
        <f>HYPERLINK("https://www.773grp.com/globalSearch/MBRB2060CTT4G/page-1", "MBRB2060CTT4G")</f>
        <v>MBRB2060CTT4G</v>
      </c>
      <c r="B16233" s="3" t="s">
        <v>74</v>
      </c>
      <c r="C16233" s="6">
        <v>1600</v>
      </c>
      <c r="D16233" s="7">
        <v>4.74</v>
      </c>
    </row>
    <row r="16234" spans="1:5" x14ac:dyDescent="0.25">
      <c r="A16234" t="str">
        <f>HYPERLINK("https://www.773grp.com/globalSearch/MC10115L/page-1", "MC10115L")</f>
        <v>MC10115L</v>
      </c>
      <c r="B16234" s="3" t="s">
        <v>74</v>
      </c>
      <c r="C16234" s="6">
        <v>95</v>
      </c>
      <c r="D16234" s="7">
        <v>4.74</v>
      </c>
      <c r="E16234" t="s">
        <v>17</v>
      </c>
    </row>
    <row r="16235" spans="1:5" x14ac:dyDescent="0.25">
      <c r="A16235" t="str">
        <f>HYPERLINK("https://www.773grp.com/globalSearch/MC33166D2TG/page-1", "MC33166D2TG")</f>
        <v>MC33166D2TG</v>
      </c>
      <c r="B16235" s="3" t="s">
        <v>74</v>
      </c>
      <c r="C16235" s="6">
        <v>369</v>
      </c>
      <c r="D16235" s="7">
        <v>4.74</v>
      </c>
    </row>
    <row r="16236" spans="1:5" x14ac:dyDescent="0.25">
      <c r="A16236" t="str">
        <f>HYPERLINK("https://www.773grp.com/globalSearch/MC34166THG/page-1", "MC34166THG")</f>
        <v>MC34166THG</v>
      </c>
      <c r="B16236" s="3" t="s">
        <v>74</v>
      </c>
      <c r="C16236" s="6">
        <v>1120</v>
      </c>
      <c r="D16236" s="7">
        <v>4.74</v>
      </c>
      <c r="E16236" t="s">
        <v>5</v>
      </c>
    </row>
    <row r="16237" spans="1:5" x14ac:dyDescent="0.25">
      <c r="A16237" t="str">
        <f>HYPERLINK("https://www.773grp.com/globalSearch/MC74ACT623M/page-1", "MC74ACT623M")</f>
        <v>MC74ACT623M</v>
      </c>
      <c r="B16237" s="3" t="s">
        <v>74</v>
      </c>
      <c r="C16237" s="6">
        <v>856</v>
      </c>
      <c r="D16237" s="7">
        <v>4.74</v>
      </c>
    </row>
    <row r="16238" spans="1:5" x14ac:dyDescent="0.25">
      <c r="A16238" t="str">
        <f>HYPERLINK("https://www.773grp.com/globalSearch/MC74ACT623N/page-1", "MC74ACT623N")</f>
        <v>MC74ACT623N</v>
      </c>
      <c r="B16238" s="3" t="s">
        <v>74</v>
      </c>
      <c r="C16238" s="6">
        <v>1780</v>
      </c>
      <c r="D16238" s="7">
        <v>4.74</v>
      </c>
      <c r="E16238" t="s">
        <v>11</v>
      </c>
    </row>
    <row r="16239" spans="1:5" x14ac:dyDescent="0.25">
      <c r="A16239" t="str">
        <f>HYPERLINK("https://www.773grp.com/globalSearch/MJH6284/page-1", "MJH6284")</f>
        <v>MJH6284</v>
      </c>
      <c r="B16239" s="3" t="s">
        <v>74</v>
      </c>
      <c r="C16239" s="6">
        <v>14528</v>
      </c>
      <c r="D16239" s="7">
        <v>4.74</v>
      </c>
      <c r="E16239" t="s">
        <v>47</v>
      </c>
    </row>
    <row r="16240" spans="1:5" x14ac:dyDescent="0.25">
      <c r="A16240" t="str">
        <f>HYPERLINK("https://www.773grp.com/globalSearch/MPIC2112P/page-1", "MPIC2112P")</f>
        <v>MPIC2112P</v>
      </c>
      <c r="B16240" s="3" t="s">
        <v>74</v>
      </c>
      <c r="C16240" s="6">
        <v>265053</v>
      </c>
      <c r="D16240" s="7">
        <v>4.74</v>
      </c>
      <c r="E16240" t="s">
        <v>12</v>
      </c>
    </row>
    <row r="16241" spans="1:5" x14ac:dyDescent="0.25">
      <c r="A16241" t="str">
        <f>HYPERLINK("https://www.773grp.com/globalSearch/MTB16N25E/page-1", "MTB16N25E")</f>
        <v>MTB16N25E</v>
      </c>
      <c r="B16241" s="3" t="s">
        <v>74</v>
      </c>
      <c r="C16241" s="6">
        <v>111037</v>
      </c>
      <c r="D16241" s="7">
        <v>4.74</v>
      </c>
      <c r="E16241" t="s">
        <v>84</v>
      </c>
    </row>
    <row r="16242" spans="1:5" x14ac:dyDescent="0.25">
      <c r="A16242" t="str">
        <f>HYPERLINK("https://www.773grp.com/globalSearch/MTB16N25ET4/page-1", "MTB16N25ET4")</f>
        <v>MTB16N25ET4</v>
      </c>
      <c r="B16242" s="3" t="s">
        <v>74</v>
      </c>
      <c r="C16242" s="6">
        <v>184800</v>
      </c>
      <c r="D16242" s="7">
        <v>4.74</v>
      </c>
      <c r="E16242" t="s">
        <v>84</v>
      </c>
    </row>
    <row r="16243" spans="1:5" x14ac:dyDescent="0.25">
      <c r="A16243" t="str">
        <f>HYPERLINK("https://www.773grp.com/globalSearch/MTB4N50ET4/page-1", "MTB4N50ET4")</f>
        <v>MTB4N50ET4</v>
      </c>
      <c r="B16243" s="3" t="s">
        <v>74</v>
      </c>
      <c r="C16243" s="6">
        <v>5600</v>
      </c>
      <c r="D16243" s="7">
        <v>4.74</v>
      </c>
    </row>
    <row r="16244" spans="1:5" x14ac:dyDescent="0.25">
      <c r="A16244" t="str">
        <f>HYPERLINK("https://www.773grp.com/globalSearch/NCP4331DBR2G/page-1", "NCP4331DBR2G")</f>
        <v>NCP4331DBR2G</v>
      </c>
      <c r="B16244" s="3" t="s">
        <v>74</v>
      </c>
      <c r="C16244" s="6">
        <v>20000</v>
      </c>
      <c r="D16244" s="7">
        <v>4.74</v>
      </c>
      <c r="E16244" t="s">
        <v>5</v>
      </c>
    </row>
    <row r="16245" spans="1:5" x14ac:dyDescent="0.25">
      <c r="A16245" t="str">
        <f>HYPERLINK("https://www.773grp.com/globalSearch/NCP4331DR2G/page-1", "NCP4331DR2G")</f>
        <v>NCP4331DR2G</v>
      </c>
      <c r="B16245" s="3" t="s">
        <v>74</v>
      </c>
      <c r="C16245" s="6">
        <v>22500</v>
      </c>
      <c r="D16245" s="7">
        <v>4.74</v>
      </c>
      <c r="E16245" t="s">
        <v>5</v>
      </c>
    </row>
    <row r="16246" spans="1:5" x14ac:dyDescent="0.25">
      <c r="A16246" t="str">
        <f>HYPERLINK("https://www.773grp.com/globalSearch/NCP5810CMUTXG/page-1", "NCP5810CMUTXG")</f>
        <v>NCP5810CMUTXG</v>
      </c>
      <c r="B16246" s="3" t="s">
        <v>74</v>
      </c>
      <c r="C16246" s="6">
        <v>3000</v>
      </c>
      <c r="D16246" s="7">
        <v>4.74</v>
      </c>
    </row>
    <row r="16247" spans="1:5" x14ac:dyDescent="0.25">
      <c r="A16247" t="str">
        <f>HYPERLINK("https://www.773grp.com/globalSearch/NCP5810CUMUTXG/page-1", "NCP5810CUMUTXG")</f>
        <v>NCP5810CUMUTXG</v>
      </c>
      <c r="B16247" s="3" t="s">
        <v>74</v>
      </c>
      <c r="C16247" s="6">
        <v>498000</v>
      </c>
      <c r="D16247" s="7">
        <v>4.74</v>
      </c>
    </row>
    <row r="16248" spans="1:5" x14ac:dyDescent="0.25">
      <c r="A16248" t="str">
        <f>HYPERLINK("https://www.773grp.com/globalSearch/NCP5810MUTXG/page-1", "NCP5810MUTXG")</f>
        <v>NCP5810MUTXG</v>
      </c>
      <c r="B16248" s="3" t="s">
        <v>74</v>
      </c>
      <c r="C16248" s="6">
        <v>18982</v>
      </c>
      <c r="D16248" s="7">
        <v>4.74</v>
      </c>
      <c r="E16248" t="s">
        <v>5</v>
      </c>
    </row>
    <row r="16249" spans="1:5" x14ac:dyDescent="0.25">
      <c r="A16249" t="str">
        <f>HYPERLINK("https://www.773grp.com/globalSearch/NCP59302DSADJR4G/page-1", "NCP59302DSADJR4G")</f>
        <v>NCP59302DSADJR4G</v>
      </c>
      <c r="B16249" s="3" t="s">
        <v>74</v>
      </c>
      <c r="C16249" s="6">
        <v>800</v>
      </c>
      <c r="D16249" s="7">
        <v>4.74</v>
      </c>
    </row>
    <row r="16250" spans="1:5" x14ac:dyDescent="0.25">
      <c r="A16250" t="str">
        <f>HYPERLINK("https://www.773grp.com/globalSearch/NCS2500SNT1G/page-1", "NCS2500SNT1G")</f>
        <v>NCS2500SNT1G</v>
      </c>
      <c r="B16250" s="3" t="s">
        <v>74</v>
      </c>
      <c r="C16250" s="6">
        <v>5994</v>
      </c>
      <c r="D16250" s="7">
        <v>4.74</v>
      </c>
      <c r="E16250" t="s">
        <v>10</v>
      </c>
    </row>
    <row r="16251" spans="1:5" x14ac:dyDescent="0.25">
      <c r="A16251" t="str">
        <f>HYPERLINK("https://www.773grp.com/globalSearch/NCS2500SQT2G/page-1", "NCS2500SQT2G")</f>
        <v>NCS2500SQT2G</v>
      </c>
      <c r="B16251" s="3" t="s">
        <v>74</v>
      </c>
      <c r="C16251" s="6">
        <v>6000</v>
      </c>
      <c r="D16251" s="7">
        <v>4.74</v>
      </c>
      <c r="E16251" t="s">
        <v>10</v>
      </c>
    </row>
    <row r="16252" spans="1:5" x14ac:dyDescent="0.25">
      <c r="A16252" t="str">
        <f>HYPERLINK("https://www.773grp.com/globalSearch/NCS2501SNT1G/page-1", "NCS2501SNT1G")</f>
        <v>NCS2501SNT1G</v>
      </c>
      <c r="B16252" s="3" t="s">
        <v>74</v>
      </c>
      <c r="C16252" s="6">
        <v>5970</v>
      </c>
      <c r="D16252" s="7">
        <v>4.74</v>
      </c>
      <c r="E16252" t="s">
        <v>14</v>
      </c>
    </row>
    <row r="16253" spans="1:5" x14ac:dyDescent="0.25">
      <c r="A16253" t="str">
        <f>HYPERLINK("https://www.773grp.com/globalSearch/NCV8509PDW18/page-1", "NCV8509PDW18")</f>
        <v>NCV8509PDW18</v>
      </c>
      <c r="B16253" s="3" t="s">
        <v>74</v>
      </c>
      <c r="C16253" s="6">
        <v>1316</v>
      </c>
      <c r="D16253" s="7">
        <v>4.74</v>
      </c>
      <c r="E16253" t="s">
        <v>96</v>
      </c>
    </row>
    <row r="16254" spans="1:5" x14ac:dyDescent="0.25">
      <c r="A16254" t="str">
        <f>HYPERLINK("https://www.773grp.com/globalSearch/NCV8842PWR2G/page-1", "NCV8842PWR2G")</f>
        <v>NCV8842PWR2G</v>
      </c>
      <c r="B16254" s="3" t="s">
        <v>74</v>
      </c>
      <c r="C16254" s="6">
        <v>1743</v>
      </c>
      <c r="D16254" s="7">
        <v>4.74</v>
      </c>
    </row>
    <row r="16255" spans="1:5" x14ac:dyDescent="0.25">
      <c r="A16255" t="str">
        <f>HYPERLINK("https://www.773grp.com/globalSearch/NCV8843PWR2G/page-1", "NCV8843PWR2G")</f>
        <v>NCV8843PWR2G</v>
      </c>
      <c r="B16255" s="3" t="s">
        <v>74</v>
      </c>
      <c r="C16255" s="6">
        <v>5825</v>
      </c>
      <c r="D16255" s="7">
        <v>4.74</v>
      </c>
      <c r="E16255" t="s">
        <v>5</v>
      </c>
    </row>
    <row r="16256" spans="1:5" x14ac:dyDescent="0.25">
      <c r="A16256" t="str">
        <f>HYPERLINK("https://www.773grp.com/globalSearch/NJW21193G/page-1", "NJW21193G")</f>
        <v>NJW21193G</v>
      </c>
      <c r="B16256" s="3" t="s">
        <v>74</v>
      </c>
      <c r="C16256" s="6">
        <v>2790</v>
      </c>
      <c r="D16256" s="7">
        <v>4.74</v>
      </c>
      <c r="E16256" t="s">
        <v>47</v>
      </c>
    </row>
    <row r="16257" spans="1:5" x14ac:dyDescent="0.25">
      <c r="A16257" t="str">
        <f>HYPERLINK("https://www.773grp.com/globalSearch/NTB10N60/page-1", "NTB10N60")</f>
        <v>NTB10N60</v>
      </c>
      <c r="B16257" s="3" t="s">
        <v>74</v>
      </c>
      <c r="C16257" s="6">
        <v>450</v>
      </c>
      <c r="D16257" s="7">
        <v>4.74</v>
      </c>
      <c r="E16257" t="s">
        <v>84</v>
      </c>
    </row>
    <row r="16258" spans="1:5" x14ac:dyDescent="0.25">
      <c r="A16258" t="str">
        <f>HYPERLINK("https://www.773grp.com/globalSearch/P1819BF-08SR/page-1", "P1819BF-08SR")</f>
        <v>P1819BF-08SR</v>
      </c>
      <c r="B16258" s="3" t="s">
        <v>74</v>
      </c>
      <c r="C16258" s="6">
        <v>264442</v>
      </c>
      <c r="D16258" s="7">
        <v>4.74</v>
      </c>
    </row>
    <row r="16259" spans="1:5" x14ac:dyDescent="0.25">
      <c r="A16259" t="str">
        <f>HYPERLINK("https://www.773grp.com/globalSearch/P1819GF-08SR/page-1", "P1819GF-08SR")</f>
        <v>P1819GF-08SR</v>
      </c>
      <c r="B16259" s="3" t="s">
        <v>74</v>
      </c>
      <c r="C16259" s="6">
        <v>2500</v>
      </c>
      <c r="D16259" s="7">
        <v>4.74</v>
      </c>
      <c r="E16259" t="s">
        <v>65</v>
      </c>
    </row>
    <row r="16260" spans="1:5" x14ac:dyDescent="0.25">
      <c r="A16260" t="str">
        <f>HYPERLINK("https://www.773grp.com/globalSearch/P3P73F01FG-08CR/page-1", "P3P73F01FG-08CR")</f>
        <v>P3P73F01FG-08CR</v>
      </c>
      <c r="B16260" s="3" t="s">
        <v>74</v>
      </c>
      <c r="C16260" s="6">
        <v>285000</v>
      </c>
      <c r="D16260" s="7">
        <v>4.74</v>
      </c>
    </row>
    <row r="16261" spans="1:5" x14ac:dyDescent="0.25">
      <c r="A16261" t="str">
        <f>HYPERLINK("https://www.773grp.com/globalSearch/P3P73Z01BWG-08CR/page-1", "P3P73Z01BWG-08CR")</f>
        <v>P3P73Z01BWG-08CR</v>
      </c>
      <c r="B16261" s="3" t="s">
        <v>74</v>
      </c>
      <c r="C16261" s="6">
        <v>243000</v>
      </c>
      <c r="D16261" s="7">
        <v>4.74</v>
      </c>
    </row>
    <row r="16262" spans="1:5" x14ac:dyDescent="0.25">
      <c r="A16262" t="str">
        <f>HYPERLINK("https://www.773grp.com/globalSearch/P3P73Z11BWHG08CR/page-1", "P3P73Z11BWHG08CR")</f>
        <v>P3P73Z11BWHG08CR</v>
      </c>
      <c r="B16262" s="3" t="s">
        <v>74</v>
      </c>
      <c r="C16262" s="6">
        <v>6000</v>
      </c>
      <c r="D16262" s="7">
        <v>4.74</v>
      </c>
    </row>
    <row r="16263" spans="1:5" x14ac:dyDescent="0.25">
      <c r="A16263" t="str">
        <f>HYPERLINK("https://www.773grp.com/globalSearch/P3P8211AG-08CR/page-1", "P3P8211AG-08CR")</f>
        <v>P3P8211AG-08CR</v>
      </c>
      <c r="B16263" s="3" t="s">
        <v>74</v>
      </c>
      <c r="C16263" s="6">
        <v>90000</v>
      </c>
      <c r="D16263" s="7">
        <v>4.74</v>
      </c>
    </row>
    <row r="16264" spans="1:5" x14ac:dyDescent="0.25">
      <c r="A16264" t="str">
        <f>HYPERLINK("https://www.773grp.com/globalSearch/P3P85G00AG-08CR/page-1", "P3P85G00AG-08CR")</f>
        <v>P3P85G00AG-08CR</v>
      </c>
      <c r="B16264" s="3" t="s">
        <v>74</v>
      </c>
      <c r="C16264" s="6">
        <v>1045</v>
      </c>
      <c r="D16264" s="7">
        <v>4.74</v>
      </c>
    </row>
    <row r="16265" spans="1:5" x14ac:dyDescent="0.25">
      <c r="A16265" t="str">
        <f>HYPERLINK("https://www.773grp.com/globalSearch/PCS3P25811AG08SR/page-1", "PCS3P25811AG08SR")</f>
        <v>PCS3P25811AG08SR</v>
      </c>
      <c r="B16265" s="3" t="s">
        <v>74</v>
      </c>
      <c r="C16265" s="6">
        <v>2481</v>
      </c>
      <c r="D16265" s="7">
        <v>4.74</v>
      </c>
    </row>
    <row r="16266" spans="1:5" x14ac:dyDescent="0.25">
      <c r="A16266" t="str">
        <f>HYPERLINK("https://www.773grp.com/globalSearch/2N5884G/page-1", "2N5884G")</f>
        <v>2N5884G</v>
      </c>
      <c r="B16266" s="3" t="s">
        <v>74</v>
      </c>
      <c r="C16266" s="6">
        <v>14668</v>
      </c>
      <c r="D16266" s="7">
        <v>4.3</v>
      </c>
      <c r="E16266" t="s">
        <v>47</v>
      </c>
    </row>
    <row r="16267" spans="1:5" x14ac:dyDescent="0.25">
      <c r="A16267" t="str">
        <f>HYPERLINK("https://www.773grp.com/globalSearch/LV8713T-MPB-H/page-1", "LV8713T-MPB-H")</f>
        <v>LV8713T-MPB-H</v>
      </c>
      <c r="B16267" s="3" t="s">
        <v>74</v>
      </c>
      <c r="C16267" s="6">
        <v>99</v>
      </c>
      <c r="D16267" s="7">
        <v>4.3</v>
      </c>
    </row>
    <row r="16268" spans="1:5" x14ac:dyDescent="0.25">
      <c r="A16268" t="str">
        <f>HYPERLINK("https://www.773grp.com/globalSearch/MC33033DWG/page-1", "MC33033DWG")</f>
        <v>MC33033DWG</v>
      </c>
      <c r="B16268" s="3" t="s">
        <v>74</v>
      </c>
      <c r="C16268" s="6">
        <v>988</v>
      </c>
      <c r="D16268" s="7">
        <v>4.3</v>
      </c>
    </row>
    <row r="16269" spans="1:5" x14ac:dyDescent="0.25">
      <c r="A16269" t="str">
        <f>HYPERLINK("https://www.773grp.com/globalSearch/MC33033DWR2G/page-1", "MC33033DWR2G")</f>
        <v>MC33033DWR2G</v>
      </c>
      <c r="B16269" s="3" t="s">
        <v>74</v>
      </c>
      <c r="C16269" s="6">
        <v>8016</v>
      </c>
      <c r="D16269" s="7">
        <v>4.3</v>
      </c>
      <c r="E16269" t="s">
        <v>50</v>
      </c>
    </row>
    <row r="16270" spans="1:5" x14ac:dyDescent="0.25">
      <c r="A16270" t="str">
        <f>HYPERLINK("https://www.773grp.com/globalSearch/MJ4502G/page-1", "MJ4502G")</f>
        <v>MJ4502G</v>
      </c>
      <c r="B16270" s="3" t="s">
        <v>74</v>
      </c>
      <c r="C16270" s="6">
        <v>200</v>
      </c>
      <c r="D16270" s="7">
        <v>4.3</v>
      </c>
      <c r="E16270" t="s">
        <v>47</v>
      </c>
    </row>
    <row r="16271" spans="1:5" x14ac:dyDescent="0.25">
      <c r="A16271" t="str">
        <f>HYPERLINK("https://www.773grp.com/globalSearch/TE01829-001/page-1", "TE01829-001")</f>
        <v>TE01829-001</v>
      </c>
      <c r="B16271" s="3" t="s">
        <v>74</v>
      </c>
      <c r="C16271" s="6">
        <v>300</v>
      </c>
      <c r="D16271" s="7">
        <v>4.3</v>
      </c>
    </row>
    <row r="16272" spans="1:5" x14ac:dyDescent="0.25">
      <c r="A16272" t="str">
        <f>HYPERLINK("https://www.773grp.com/globalSearch/ADT7461AR/page-1", "ADT7461AR")</f>
        <v>ADT7461AR</v>
      </c>
      <c r="B16272" s="3" t="s">
        <v>74</v>
      </c>
      <c r="C16272" s="6">
        <v>463</v>
      </c>
      <c r="D16272" s="7">
        <v>4.34</v>
      </c>
      <c r="E16272" t="s">
        <v>36</v>
      </c>
    </row>
    <row r="16273" spans="1:5" x14ac:dyDescent="0.25">
      <c r="A16273" t="str">
        <f>HYPERLINK("https://www.773grp.com/globalSearch/ADT7461AR/page-1", "ADT7461AR")</f>
        <v>ADT7461AR</v>
      </c>
      <c r="B16273" s="3" t="s">
        <v>74</v>
      </c>
      <c r="C16273" s="6">
        <v>6177</v>
      </c>
      <c r="D16273" s="7">
        <v>4.34</v>
      </c>
      <c r="E16273" t="s">
        <v>36</v>
      </c>
    </row>
    <row r="16274" spans="1:5" x14ac:dyDescent="0.25">
      <c r="A16274" t="str">
        <f>HYPERLINK("https://www.773grp.com/globalSearch/ADT7461ARMZ-002/page-1", "ADT7461ARMZ-002")</f>
        <v>ADT7461ARMZ-002</v>
      </c>
      <c r="B16274" s="3" t="s">
        <v>74</v>
      </c>
      <c r="C16274" s="6">
        <v>1000</v>
      </c>
      <c r="D16274" s="7">
        <v>4.34</v>
      </c>
      <c r="E16274" t="s">
        <v>36</v>
      </c>
    </row>
    <row r="16275" spans="1:5" x14ac:dyDescent="0.25">
      <c r="A16275" t="str">
        <f>HYPERLINK("https://www.773grp.com/globalSearch/ADT7461ARMZ-R7/page-1", "ADT7461ARMZ-R7")</f>
        <v>ADT7461ARMZ-R7</v>
      </c>
      <c r="B16275" s="3" t="s">
        <v>74</v>
      </c>
      <c r="C16275" s="6">
        <v>508</v>
      </c>
      <c r="D16275" s="7">
        <v>4.34</v>
      </c>
    </row>
    <row r="16276" spans="1:5" x14ac:dyDescent="0.25">
      <c r="A16276" t="str">
        <f>HYPERLINK("https://www.773grp.com/globalSearch/ADT7461ARZ/page-1", "ADT7461ARZ")</f>
        <v>ADT7461ARZ</v>
      </c>
      <c r="B16276" s="3" t="s">
        <v>74</v>
      </c>
      <c r="C16276" s="6">
        <v>15</v>
      </c>
      <c r="D16276" s="7">
        <v>4.34</v>
      </c>
      <c r="E16276" t="s">
        <v>36</v>
      </c>
    </row>
    <row r="16277" spans="1:5" x14ac:dyDescent="0.25">
      <c r="A16277" t="str">
        <f>HYPERLINK("https://www.773grp.com/globalSearch/ADT7461ARZ-REEL/page-1", "ADT7461ARZ-REEL")</f>
        <v>ADT7461ARZ-REEL</v>
      </c>
      <c r="B16277" s="3" t="s">
        <v>74</v>
      </c>
      <c r="C16277" s="6">
        <v>6151</v>
      </c>
      <c r="D16277" s="7">
        <v>4.34</v>
      </c>
    </row>
    <row r="16278" spans="1:5" x14ac:dyDescent="0.25">
      <c r="A16278" t="str">
        <f>HYPERLINK("https://www.773grp.com/globalSearch/NGTB15N120FLWG/page-1", "NGTB15N120FLWG")</f>
        <v>NGTB15N120FLWG</v>
      </c>
      <c r="B16278" s="3" t="s">
        <v>74</v>
      </c>
      <c r="C16278" s="6">
        <v>180</v>
      </c>
      <c r="D16278" s="7">
        <v>4.34</v>
      </c>
    </row>
    <row r="16279" spans="1:5" x14ac:dyDescent="0.25">
      <c r="A16279" t="str">
        <f>HYPERLINK("https://www.773grp.com/globalSearch/CS51414GDR8G/page-1", "CS51414GDR8G")</f>
        <v>CS51414GDR8G</v>
      </c>
      <c r="B16279" s="3" t="s">
        <v>74</v>
      </c>
      <c r="C16279" s="6">
        <v>17500</v>
      </c>
      <c r="D16279" s="7">
        <v>4.79</v>
      </c>
      <c r="E16279" t="s">
        <v>5</v>
      </c>
    </row>
    <row r="16280" spans="1:5" x14ac:dyDescent="0.25">
      <c r="A16280" t="str">
        <f>HYPERLINK("https://www.773grp.com/globalSearch/CS69062DW16/page-1", "CS69062DW16")</f>
        <v>CS69062DW16</v>
      </c>
      <c r="B16280" s="3" t="s">
        <v>74</v>
      </c>
      <c r="C16280" s="6">
        <v>2867</v>
      </c>
      <c r="D16280" s="7">
        <v>4.79</v>
      </c>
    </row>
    <row r="16281" spans="1:5" x14ac:dyDescent="0.25">
      <c r="A16281" t="str">
        <f>HYPERLINK("https://www.773grp.com/globalSearch/CS69062DWR16/page-1", "CS69062DWR16")</f>
        <v>CS69062DWR16</v>
      </c>
      <c r="B16281" s="3" t="s">
        <v>74</v>
      </c>
      <c r="C16281" s="6">
        <v>4000</v>
      </c>
      <c r="D16281" s="7">
        <v>4.79</v>
      </c>
    </row>
    <row r="16282" spans="1:5" x14ac:dyDescent="0.25">
      <c r="A16282" t="str">
        <f>HYPERLINK("https://www.773grp.com/globalSearch/LV8731V-TLM-H/page-1", "LV8731V-TLM-H")</f>
        <v>LV8731V-TLM-H</v>
      </c>
      <c r="B16282" s="3" t="s">
        <v>74</v>
      </c>
      <c r="C16282" s="6">
        <v>564</v>
      </c>
      <c r="D16282" s="7">
        <v>4.79</v>
      </c>
    </row>
    <row r="16283" spans="1:5" x14ac:dyDescent="0.25">
      <c r="A16283" t="str">
        <f>HYPERLINK("https://www.773grp.com/globalSearch/MC33025DW/page-1", "MC33025DW")</f>
        <v>MC33025DW</v>
      </c>
      <c r="B16283" s="3" t="s">
        <v>74</v>
      </c>
      <c r="C16283" s="6">
        <v>81</v>
      </c>
      <c r="D16283" s="7">
        <v>4.79</v>
      </c>
      <c r="E16283" t="s">
        <v>5</v>
      </c>
    </row>
    <row r="16284" spans="1:5" x14ac:dyDescent="0.25">
      <c r="A16284" t="str">
        <f>HYPERLINK("https://www.773grp.com/globalSearch/MC33025DWR2/page-1", "MC33025DWR2")</f>
        <v>MC33025DWR2</v>
      </c>
      <c r="B16284" s="3" t="s">
        <v>74</v>
      </c>
      <c r="C16284" s="6">
        <v>7100</v>
      </c>
      <c r="D16284" s="7">
        <v>4.79</v>
      </c>
      <c r="E16284" t="s">
        <v>5</v>
      </c>
    </row>
    <row r="16285" spans="1:5" x14ac:dyDescent="0.25">
      <c r="A16285" t="str">
        <f>HYPERLINK("https://www.773grp.com/globalSearch/MPIC2117P/page-1", "MPIC2117P")</f>
        <v>MPIC2117P</v>
      </c>
      <c r="B16285" s="3" t="s">
        <v>74</v>
      </c>
      <c r="C16285" s="6">
        <v>750</v>
      </c>
      <c r="D16285" s="7">
        <v>4.79</v>
      </c>
      <c r="E16285" t="s">
        <v>12</v>
      </c>
    </row>
    <row r="16286" spans="1:5" x14ac:dyDescent="0.25">
      <c r="A16286" t="str">
        <f>HYPERLINK("https://www.773grp.com/globalSearch/MTB6N60E/page-1", "MTB6N60E")</f>
        <v>MTB6N60E</v>
      </c>
      <c r="B16286" s="3" t="s">
        <v>74</v>
      </c>
      <c r="C16286" s="6">
        <v>17</v>
      </c>
      <c r="D16286" s="7">
        <v>4.79</v>
      </c>
      <c r="E16286" t="s">
        <v>84</v>
      </c>
    </row>
    <row r="16287" spans="1:5" x14ac:dyDescent="0.25">
      <c r="A16287" t="str">
        <f>HYPERLINK("https://www.773grp.com/globalSearch/MTB6N60E1/page-1", "MTB6N60E1")</f>
        <v>MTB6N60E1</v>
      </c>
      <c r="B16287" s="3" t="s">
        <v>74</v>
      </c>
      <c r="C16287" s="6">
        <v>125</v>
      </c>
      <c r="D16287" s="7">
        <v>4.79</v>
      </c>
      <c r="E16287" t="s">
        <v>84</v>
      </c>
    </row>
    <row r="16288" spans="1:5" x14ac:dyDescent="0.25">
      <c r="A16288" t="str">
        <f>HYPERLINK("https://www.773grp.com/globalSearch/MTB6N60ET4/page-1", "MTB6N60ET4")</f>
        <v>MTB6N60ET4</v>
      </c>
      <c r="B16288" s="3" t="s">
        <v>74</v>
      </c>
      <c r="C16288" s="6">
        <v>940</v>
      </c>
      <c r="D16288" s="7">
        <v>4.79</v>
      </c>
      <c r="E16288" t="s">
        <v>84</v>
      </c>
    </row>
    <row r="16289" spans="1:5" x14ac:dyDescent="0.25">
      <c r="A16289" t="str">
        <f>HYPERLINK("https://www.773grp.com/globalSearch/NCP1651DR2/page-1", "NCP1651DR2")</f>
        <v>NCP1651DR2</v>
      </c>
      <c r="B16289" s="3" t="s">
        <v>74</v>
      </c>
      <c r="C16289" s="6">
        <v>6788</v>
      </c>
      <c r="D16289" s="7">
        <v>4.79</v>
      </c>
      <c r="E16289" t="s">
        <v>5</v>
      </c>
    </row>
    <row r="16290" spans="1:5" x14ac:dyDescent="0.25">
      <c r="A16290" t="str">
        <f>HYPERLINK("https://www.773grp.com/globalSearch/ADT7488AARMZ-RL/page-1", "ADT7488AARMZ-RL")</f>
        <v>ADT7488AARMZ-RL</v>
      </c>
      <c r="B16290" s="3" t="s">
        <v>74</v>
      </c>
      <c r="C16290" s="6">
        <v>9000</v>
      </c>
      <c r="D16290" s="7">
        <v>4.3499999999999996</v>
      </c>
    </row>
    <row r="16291" spans="1:5" x14ac:dyDescent="0.25">
      <c r="A16291" t="str">
        <f>HYPERLINK("https://www.773grp.com/globalSearch/LV47004P-E/page-1", "LV47004P-E")</f>
        <v>LV47004P-E</v>
      </c>
      <c r="B16291" s="3" t="s">
        <v>74</v>
      </c>
      <c r="C16291" s="6">
        <v>9105</v>
      </c>
      <c r="D16291" s="7">
        <v>4.3499999999999996</v>
      </c>
    </row>
    <row r="16292" spans="1:5" x14ac:dyDescent="0.25">
      <c r="A16292" t="str">
        <f>HYPERLINK("https://www.773grp.com/globalSearch/MC100EP11D/page-1", "MC100EP11D")</f>
        <v>MC100EP11D</v>
      </c>
      <c r="B16292" s="3" t="s">
        <v>74</v>
      </c>
      <c r="C16292" s="6">
        <v>29889</v>
      </c>
      <c r="D16292" s="7">
        <v>4.3499999999999996</v>
      </c>
      <c r="E16292" t="s">
        <v>30</v>
      </c>
    </row>
    <row r="16293" spans="1:5" x14ac:dyDescent="0.25">
      <c r="A16293" t="str">
        <f>HYPERLINK("https://www.773grp.com/globalSearch/MC100EP11DR2/page-1", "MC100EP11DR2")</f>
        <v>MC100EP11DR2</v>
      </c>
      <c r="B16293" s="3" t="s">
        <v>74</v>
      </c>
      <c r="C16293" s="6">
        <v>9850</v>
      </c>
      <c r="D16293" s="7">
        <v>4.3499999999999996</v>
      </c>
      <c r="E16293" t="s">
        <v>30</v>
      </c>
    </row>
    <row r="16294" spans="1:5" x14ac:dyDescent="0.25">
      <c r="A16294" t="str">
        <f>HYPERLINK("https://www.773grp.com/globalSearch/MC100EP11DT/page-1", "MC100EP11DT")</f>
        <v>MC100EP11DT</v>
      </c>
      <c r="B16294" s="3" t="s">
        <v>74</v>
      </c>
      <c r="C16294" s="6">
        <v>8040</v>
      </c>
      <c r="D16294" s="7">
        <v>4.3499999999999996</v>
      </c>
      <c r="E16294" t="s">
        <v>30</v>
      </c>
    </row>
    <row r="16295" spans="1:5" x14ac:dyDescent="0.25">
      <c r="A16295" t="str">
        <f>HYPERLINK("https://www.773grp.com/globalSearch/MC100LVEP11D/page-1", "MC100LVEP11D")</f>
        <v>MC100LVEP11D</v>
      </c>
      <c r="B16295" s="3" t="s">
        <v>74</v>
      </c>
      <c r="C16295" s="6">
        <v>22608</v>
      </c>
      <c r="D16295" s="7">
        <v>4.3499999999999996</v>
      </c>
      <c r="E16295" t="s">
        <v>30</v>
      </c>
    </row>
    <row r="16296" spans="1:5" x14ac:dyDescent="0.25">
      <c r="A16296" t="str">
        <f>HYPERLINK("https://www.773grp.com/globalSearch/MC100LVEP11DR2/page-1", "MC100LVEP11DR2")</f>
        <v>MC100LVEP11DR2</v>
      </c>
      <c r="B16296" s="3" t="s">
        <v>74</v>
      </c>
      <c r="C16296" s="6">
        <v>11900</v>
      </c>
      <c r="D16296" s="7">
        <v>4.3499999999999996</v>
      </c>
      <c r="E16296" t="s">
        <v>30</v>
      </c>
    </row>
    <row r="16297" spans="1:5" x14ac:dyDescent="0.25">
      <c r="A16297" t="str">
        <f>HYPERLINK("https://www.773grp.com/globalSearch/MC100LVEP11DT/page-1", "MC100LVEP11DT")</f>
        <v>MC100LVEP11DT</v>
      </c>
      <c r="B16297" s="3" t="s">
        <v>74</v>
      </c>
      <c r="C16297" s="6">
        <v>16214</v>
      </c>
      <c r="D16297" s="7">
        <v>4.3499999999999996</v>
      </c>
      <c r="E16297" t="s">
        <v>30</v>
      </c>
    </row>
    <row r="16298" spans="1:5" x14ac:dyDescent="0.25">
      <c r="A16298" t="str">
        <f>HYPERLINK("https://www.773grp.com/globalSearch/MC100LVEP11DTR2/page-1", "MC100LVEP11DTR2")</f>
        <v>MC100LVEP11DTR2</v>
      </c>
      <c r="B16298" s="3" t="s">
        <v>74</v>
      </c>
      <c r="C16298" s="6">
        <v>13044</v>
      </c>
      <c r="D16298" s="7">
        <v>4.3499999999999996</v>
      </c>
      <c r="E16298" t="s">
        <v>30</v>
      </c>
    </row>
    <row r="16299" spans="1:5" x14ac:dyDescent="0.25">
      <c r="A16299" t="str">
        <f>HYPERLINK("https://www.773grp.com/globalSearch/MC10EP11D/page-1", "MC10EP11D")</f>
        <v>MC10EP11D</v>
      </c>
      <c r="B16299" s="3" t="s">
        <v>74</v>
      </c>
      <c r="C16299" s="6">
        <v>10764</v>
      </c>
      <c r="D16299" s="7">
        <v>4.3499999999999996</v>
      </c>
      <c r="E16299" t="s">
        <v>30</v>
      </c>
    </row>
    <row r="16300" spans="1:5" x14ac:dyDescent="0.25">
      <c r="A16300" t="str">
        <f>HYPERLINK("https://www.773grp.com/globalSearch/MC10H159PG/page-1", "MC10H159PG")</f>
        <v>MC10H159PG</v>
      </c>
      <c r="B16300" s="3" t="s">
        <v>74</v>
      </c>
      <c r="C16300" s="6">
        <v>3650</v>
      </c>
      <c r="D16300" s="7">
        <v>4.3499999999999996</v>
      </c>
      <c r="E16300" t="s">
        <v>16</v>
      </c>
    </row>
    <row r="16301" spans="1:5" x14ac:dyDescent="0.25">
      <c r="A16301" t="str">
        <f>HYPERLINK("https://www.773grp.com/globalSearch/MC10H173FN/page-1", "MC10H173FN")</f>
        <v>MC10H173FN</v>
      </c>
      <c r="B16301" s="3" t="s">
        <v>74</v>
      </c>
      <c r="C16301" s="6">
        <v>2484</v>
      </c>
      <c r="D16301" s="7">
        <v>4.3499999999999996</v>
      </c>
      <c r="E16301" t="s">
        <v>31</v>
      </c>
    </row>
    <row r="16302" spans="1:5" x14ac:dyDescent="0.25">
      <c r="A16302" t="str">
        <f>HYPERLINK("https://www.773grp.com/globalSearch/MC10LVEP11D/page-1", "MC10LVEP11D")</f>
        <v>MC10LVEP11D</v>
      </c>
      <c r="B16302" s="3" t="s">
        <v>74</v>
      </c>
      <c r="C16302" s="6">
        <v>17560</v>
      </c>
      <c r="D16302" s="7">
        <v>4.3499999999999996</v>
      </c>
      <c r="E16302" t="s">
        <v>30</v>
      </c>
    </row>
    <row r="16303" spans="1:5" x14ac:dyDescent="0.25">
      <c r="A16303" t="str">
        <f>HYPERLINK("https://www.773grp.com/globalSearch/MC10LVEP11DR2/page-1", "MC10LVEP11DR2")</f>
        <v>MC10LVEP11DR2</v>
      </c>
      <c r="B16303" s="3" t="s">
        <v>74</v>
      </c>
      <c r="C16303" s="6">
        <v>4600</v>
      </c>
      <c r="D16303" s="7">
        <v>4.3499999999999996</v>
      </c>
      <c r="E16303" t="s">
        <v>30</v>
      </c>
    </row>
    <row r="16304" spans="1:5" x14ac:dyDescent="0.25">
      <c r="A16304" t="str">
        <f>HYPERLINK("https://www.773grp.com/globalSearch/MC10LVEP11DT/page-1", "MC10LVEP11DT")</f>
        <v>MC10LVEP11DT</v>
      </c>
      <c r="B16304" s="3" t="s">
        <v>74</v>
      </c>
      <c r="C16304" s="6">
        <v>25433</v>
      </c>
      <c r="D16304" s="7">
        <v>4.3499999999999996</v>
      </c>
      <c r="E16304" t="s">
        <v>30</v>
      </c>
    </row>
    <row r="16305" spans="1:5" x14ac:dyDescent="0.25">
      <c r="A16305" t="str">
        <f>HYPERLINK("https://www.773grp.com/globalSearch/MJW21193G/page-1", "MJW21193G")</f>
        <v>MJW21193G</v>
      </c>
      <c r="B16305" s="3" t="s">
        <v>74</v>
      </c>
      <c r="C16305" s="6">
        <v>3135</v>
      </c>
      <c r="D16305" s="7">
        <v>4.3499999999999996</v>
      </c>
      <c r="E16305" t="s">
        <v>47</v>
      </c>
    </row>
    <row r="16306" spans="1:5" x14ac:dyDescent="0.25">
      <c r="A16306" t="str">
        <f>HYPERLINK("https://www.773grp.com/globalSearch/MJW21194G/page-1", "MJW21194G")</f>
        <v>MJW21194G</v>
      </c>
      <c r="B16306" s="3" t="s">
        <v>74</v>
      </c>
      <c r="C16306" s="6">
        <v>1004</v>
      </c>
      <c r="D16306" s="7">
        <v>4.3499999999999996</v>
      </c>
      <c r="E16306" t="s">
        <v>47</v>
      </c>
    </row>
    <row r="16307" spans="1:5" x14ac:dyDescent="0.25">
      <c r="A16307" t="str">
        <f>HYPERLINK("https://www.773grp.com/globalSearch/2N3772G/page-1", "2N3772G")</f>
        <v>2N3772G</v>
      </c>
      <c r="B16307" s="3" t="s">
        <v>74</v>
      </c>
      <c r="C16307" s="6">
        <v>900</v>
      </c>
      <c r="D16307" s="7">
        <v>4.3899999999999997</v>
      </c>
    </row>
    <row r="16308" spans="1:5" x14ac:dyDescent="0.25">
      <c r="A16308" t="str">
        <f>HYPERLINK("https://www.773grp.com/globalSearch/MC10124FN/page-1", "MC10124FN")</f>
        <v>MC10124FN</v>
      </c>
      <c r="B16308" s="3" t="s">
        <v>74</v>
      </c>
      <c r="C16308" s="6">
        <v>979</v>
      </c>
      <c r="D16308" s="7">
        <v>4.3899999999999997</v>
      </c>
      <c r="E16308" t="s">
        <v>61</v>
      </c>
    </row>
    <row r="16309" spans="1:5" x14ac:dyDescent="0.25">
      <c r="A16309" t="str">
        <f>HYPERLINK("https://www.773grp.com/globalSearch/SJ83180/page-1", "SJ83180")</f>
        <v>SJ83180</v>
      </c>
      <c r="B16309" s="3" t="s">
        <v>74</v>
      </c>
      <c r="C16309" s="6">
        <v>1200</v>
      </c>
      <c r="D16309" s="7">
        <v>4.3899999999999997</v>
      </c>
    </row>
    <row r="16310" spans="1:5" x14ac:dyDescent="0.25">
      <c r="A16310" t="str">
        <f>HYPERLINK("https://www.773grp.com/globalSearch/LB1941T-TLM-E/page-1", "LB1941T-TLM-E")</f>
        <v>LB1941T-TLM-E</v>
      </c>
      <c r="B16310" s="3" t="s">
        <v>74</v>
      </c>
      <c r="C16310" s="6">
        <v>213</v>
      </c>
      <c r="D16310" s="7">
        <v>4.8600000000000003</v>
      </c>
    </row>
    <row r="16311" spans="1:5" x14ac:dyDescent="0.25">
      <c r="A16311" t="str">
        <f>HYPERLINK("https://www.773grp.com/globalSearch/MBRF30H150CTG/page-1", "MBRF30H150CTG")</f>
        <v>MBRF30H150CTG</v>
      </c>
      <c r="B16311" s="3" t="s">
        <v>74</v>
      </c>
      <c r="C16311" s="6">
        <v>452862</v>
      </c>
      <c r="D16311" s="7">
        <v>4.8600000000000003</v>
      </c>
      <c r="E16311" t="s">
        <v>82</v>
      </c>
    </row>
    <row r="16312" spans="1:5" x14ac:dyDescent="0.25">
      <c r="A16312" t="str">
        <f>HYPERLINK("https://www.773grp.com/globalSearch/NCP4423DWR2/page-1", "NCP4423DWR2")</f>
        <v>NCP4423DWR2</v>
      </c>
      <c r="B16312" s="3" t="s">
        <v>74</v>
      </c>
      <c r="C16312" s="6">
        <v>28700</v>
      </c>
      <c r="D16312" s="7">
        <v>4.8600000000000003</v>
      </c>
      <c r="E16312" t="s">
        <v>12</v>
      </c>
    </row>
    <row r="16313" spans="1:5" x14ac:dyDescent="0.25">
      <c r="A16313" t="str">
        <f>HYPERLINK("https://www.773grp.com/globalSearch/NCP4424DWR2/page-1", "NCP4424DWR2")</f>
        <v>NCP4424DWR2</v>
      </c>
      <c r="B16313" s="3" t="s">
        <v>74</v>
      </c>
      <c r="C16313" s="6">
        <v>28715</v>
      </c>
      <c r="D16313" s="7">
        <v>4.8600000000000003</v>
      </c>
      <c r="E16313" t="s">
        <v>12</v>
      </c>
    </row>
    <row r="16314" spans="1:5" x14ac:dyDescent="0.25">
      <c r="A16314" t="str">
        <f>HYPERLINK("https://www.773grp.com/globalSearch/NCP4425DWR2/page-1", "NCP4425DWR2")</f>
        <v>NCP4425DWR2</v>
      </c>
      <c r="B16314" s="3" t="s">
        <v>74</v>
      </c>
      <c r="C16314" s="6">
        <v>18675</v>
      </c>
      <c r="D16314" s="7">
        <v>4.8600000000000003</v>
      </c>
      <c r="E16314" t="s">
        <v>12</v>
      </c>
    </row>
    <row r="16315" spans="1:5" x14ac:dyDescent="0.25">
      <c r="A16315" t="str">
        <f>HYPERLINK("https://www.773grp.com/globalSearch/STP8057/page-1", "STP8057")</f>
        <v>STP8057</v>
      </c>
      <c r="B16315" s="3" t="s">
        <v>74</v>
      </c>
      <c r="C16315" s="6">
        <v>1300</v>
      </c>
      <c r="D16315" s="7">
        <v>4.8600000000000003</v>
      </c>
    </row>
    <row r="16316" spans="1:5" x14ac:dyDescent="0.25">
      <c r="A16316" t="str">
        <f>HYPERLINK("https://www.773grp.com/globalSearch/TE02208/page-1", "TE02208")</f>
        <v>TE02208</v>
      </c>
      <c r="B16316" s="3" t="s">
        <v>74</v>
      </c>
      <c r="C16316" s="6">
        <v>600</v>
      </c>
      <c r="D16316" s="7">
        <v>4.8600000000000003</v>
      </c>
    </row>
    <row r="16317" spans="1:5" x14ac:dyDescent="0.25">
      <c r="A16317" t="str">
        <f>HYPERLINK("https://www.773grp.com/globalSearch/2N6052G/page-1", "2N6052G")</f>
        <v>2N6052G</v>
      </c>
      <c r="B16317" s="3" t="s">
        <v>74</v>
      </c>
      <c r="C16317" s="6">
        <v>103</v>
      </c>
      <c r="D16317" s="7">
        <v>4.43</v>
      </c>
      <c r="E16317" t="s">
        <v>47</v>
      </c>
    </row>
    <row r="16318" spans="1:5" x14ac:dyDescent="0.25">
      <c r="A16318" t="str">
        <f>HYPERLINK("https://www.773grp.com/globalSearch/2N6286G/page-1", "2N6286G")</f>
        <v>2N6286G</v>
      </c>
      <c r="B16318" s="3" t="s">
        <v>74</v>
      </c>
      <c r="C16318" s="6">
        <v>413</v>
      </c>
      <c r="D16318" s="7">
        <v>4.43</v>
      </c>
      <c r="E16318" t="s">
        <v>47</v>
      </c>
    </row>
    <row r="16319" spans="1:5" x14ac:dyDescent="0.25">
      <c r="A16319" t="str">
        <f>HYPERLINK("https://www.773grp.com/globalSearch/2N6287G/page-1", "2N6287G")</f>
        <v>2N6287G</v>
      </c>
      <c r="B16319" s="3" t="s">
        <v>74</v>
      </c>
      <c r="C16319" s="6">
        <v>500</v>
      </c>
      <c r="D16319" s="7">
        <v>4.43</v>
      </c>
      <c r="E16319" t="s">
        <v>47</v>
      </c>
    </row>
    <row r="16320" spans="1:5" x14ac:dyDescent="0.25">
      <c r="A16320" t="str">
        <f>HYPERLINK("https://www.773grp.com/globalSearch/LB11988-E/page-1", "LB11988-E")</f>
        <v>LB11988-E</v>
      </c>
      <c r="B16320" s="3" t="s">
        <v>74</v>
      </c>
      <c r="C16320" s="6">
        <v>680</v>
      </c>
      <c r="D16320" s="7">
        <v>4.43</v>
      </c>
    </row>
    <row r="16321" spans="1:5" x14ac:dyDescent="0.25">
      <c r="A16321" t="str">
        <f>HYPERLINK("https://www.773grp.com/globalSearch/MJ11015G/page-1", "MJ11015G")</f>
        <v>MJ11015G</v>
      </c>
      <c r="B16321" s="3" t="s">
        <v>74</v>
      </c>
      <c r="C16321" s="6">
        <v>20</v>
      </c>
      <c r="D16321" s="7">
        <v>4.43</v>
      </c>
      <c r="E16321" t="s">
        <v>47</v>
      </c>
    </row>
    <row r="16322" spans="1:5" x14ac:dyDescent="0.25">
      <c r="A16322" t="str">
        <f>HYPERLINK("https://www.773grp.com/globalSearch/ADT7473ARQZ-001/page-1", "ADT7473ARQZ-001")</f>
        <v>ADT7473ARQZ-001</v>
      </c>
      <c r="B16322" s="3" t="s">
        <v>74</v>
      </c>
      <c r="C16322" s="6">
        <v>686</v>
      </c>
      <c r="D16322" s="7">
        <v>4.91</v>
      </c>
      <c r="E16322" t="s">
        <v>9</v>
      </c>
    </row>
    <row r="16323" spans="1:5" x14ac:dyDescent="0.25">
      <c r="A16323" t="str">
        <f>HYPERLINK("https://www.773grp.com/globalSearch/ADT7476AARQZ-R/page-1", "ADT7476AARQZ-R")</f>
        <v>ADT7476AARQZ-R</v>
      </c>
      <c r="B16323" s="3" t="s">
        <v>74</v>
      </c>
      <c r="C16323" s="6">
        <v>950</v>
      </c>
      <c r="D16323" s="7">
        <v>4.91</v>
      </c>
    </row>
    <row r="16324" spans="1:5" x14ac:dyDescent="0.25">
      <c r="A16324" t="str">
        <f>HYPERLINK("https://www.773grp.com/globalSearch/BTA25H-800CW3G/page-1", "BTA25H-800CW3G")</f>
        <v>BTA25H-800CW3G</v>
      </c>
      <c r="B16324" s="3" t="s">
        <v>74</v>
      </c>
      <c r="C16324" s="6">
        <v>37</v>
      </c>
      <c r="D16324" s="7">
        <v>4.91</v>
      </c>
    </row>
    <row r="16325" spans="1:5" x14ac:dyDescent="0.25">
      <c r="A16325" t="str">
        <f>HYPERLINK("https://www.773grp.com/globalSearch/CS51414GMNR2G/page-1", "CS51414GMNR2G")</f>
        <v>CS51414GMNR2G</v>
      </c>
      <c r="B16325" s="3" t="s">
        <v>74</v>
      </c>
      <c r="C16325" s="6">
        <v>2480</v>
      </c>
      <c r="D16325" s="7">
        <v>4.91</v>
      </c>
      <c r="E16325" t="s">
        <v>5</v>
      </c>
    </row>
    <row r="16326" spans="1:5" x14ac:dyDescent="0.25">
      <c r="A16326" t="str">
        <f>HYPERLINK("https://www.773grp.com/globalSearch/LV8804FV-MPB-H/page-1", "LV8804FV-MPB-H")</f>
        <v>LV8804FV-MPB-H</v>
      </c>
      <c r="B16326" s="3" t="s">
        <v>74</v>
      </c>
      <c r="C16326" s="6">
        <v>90</v>
      </c>
      <c r="D16326" s="7">
        <v>4.91</v>
      </c>
    </row>
    <row r="16327" spans="1:5" x14ac:dyDescent="0.25">
      <c r="A16327" t="str">
        <f>HYPERLINK("https://www.773grp.com/globalSearch/LV8804FV-TLM-H/page-1", "LV8804FV-TLM-H")</f>
        <v>LV8804FV-TLM-H</v>
      </c>
      <c r="B16327" s="3" t="s">
        <v>74</v>
      </c>
      <c r="C16327" s="6">
        <v>10100</v>
      </c>
      <c r="D16327" s="7">
        <v>4.91</v>
      </c>
    </row>
    <row r="16328" spans="1:5" x14ac:dyDescent="0.25">
      <c r="A16328" t="str">
        <f>HYPERLINK("https://www.773grp.com/globalSearch/LV8804FV-TRM-H/page-1", "LV8804FV-TRM-H")</f>
        <v>LV8804FV-TRM-H</v>
      </c>
      <c r="B16328" s="3" t="s">
        <v>74</v>
      </c>
      <c r="C16328" s="6">
        <v>2000</v>
      </c>
      <c r="D16328" s="7">
        <v>4.91</v>
      </c>
    </row>
    <row r="16329" spans="1:5" x14ac:dyDescent="0.25">
      <c r="A16329" t="str">
        <f>HYPERLINK("https://www.773grp.com/globalSearch/MC14585BCL/page-1", "MC14585BCL")</f>
        <v>MC14585BCL</v>
      </c>
      <c r="B16329" s="3" t="s">
        <v>74</v>
      </c>
      <c r="C16329" s="6">
        <v>1871</v>
      </c>
      <c r="D16329" s="7">
        <v>4.91</v>
      </c>
      <c r="E16329" t="s">
        <v>38</v>
      </c>
    </row>
    <row r="16330" spans="1:5" x14ac:dyDescent="0.25">
      <c r="A16330" t="str">
        <f>HYPERLINK("https://www.773grp.com/globalSearch/MC33283FTB28/page-1", "MC33283FTB28")</f>
        <v>MC33283FTB28</v>
      </c>
      <c r="B16330" s="3" t="s">
        <v>74</v>
      </c>
      <c r="C16330" s="6">
        <v>481</v>
      </c>
      <c r="D16330" s="7">
        <v>4.91</v>
      </c>
      <c r="E16330" t="s">
        <v>26</v>
      </c>
    </row>
    <row r="16331" spans="1:5" x14ac:dyDescent="0.25">
      <c r="A16331" t="str">
        <f>HYPERLINK("https://www.773grp.com/globalSearch/MC33283FTB28R2/page-1", "MC33283FTB28R2")</f>
        <v>MC33283FTB28R2</v>
      </c>
      <c r="B16331" s="3" t="s">
        <v>74</v>
      </c>
      <c r="C16331" s="6">
        <v>12000</v>
      </c>
      <c r="D16331" s="7">
        <v>4.91</v>
      </c>
      <c r="E16331" t="s">
        <v>26</v>
      </c>
    </row>
    <row r="16332" spans="1:5" x14ac:dyDescent="0.25">
      <c r="A16332" t="str">
        <f>HYPERLINK("https://www.773grp.com/globalSearch/NE521N/page-1", "NE521N")</f>
        <v>NE521N</v>
      </c>
      <c r="B16332" s="3" t="s">
        <v>74</v>
      </c>
      <c r="C16332" s="6">
        <v>2525</v>
      </c>
      <c r="D16332" s="7">
        <v>4.91</v>
      </c>
      <c r="E16332" t="s">
        <v>6</v>
      </c>
    </row>
    <row r="16333" spans="1:5" x14ac:dyDescent="0.25">
      <c r="A16333" t="str">
        <f>HYPERLINK("https://www.773grp.com/globalSearch/NLSV8T240MUTAG/page-1", "NLSV8T240MUTAG")</f>
        <v>NLSV8T240MUTAG</v>
      </c>
      <c r="B16333" s="3" t="s">
        <v>74</v>
      </c>
      <c r="C16333" s="6">
        <v>33000</v>
      </c>
      <c r="D16333" s="7">
        <v>4.91</v>
      </c>
    </row>
    <row r="16334" spans="1:5" x14ac:dyDescent="0.25">
      <c r="A16334" t="str">
        <f>HYPERLINK("https://www.773grp.com/globalSearch/NLSV8T244DWR2G/page-1", "NLSV8T244DWR2G")</f>
        <v>NLSV8T244DWR2G</v>
      </c>
      <c r="B16334" s="3" t="s">
        <v>74</v>
      </c>
      <c r="C16334" s="6">
        <v>4836</v>
      </c>
      <c r="D16334" s="7">
        <v>4.91</v>
      </c>
      <c r="E16334" t="s">
        <v>11</v>
      </c>
    </row>
    <row r="16335" spans="1:5" x14ac:dyDescent="0.25">
      <c r="A16335" t="str">
        <f>HYPERLINK("https://www.773grp.com/globalSearch/NLSV8T244MUTAG/page-1", "NLSV8T244MUTAG")</f>
        <v>NLSV8T244MUTAG</v>
      </c>
      <c r="B16335" s="3" t="s">
        <v>74</v>
      </c>
      <c r="C16335" s="6">
        <v>19484</v>
      </c>
      <c r="D16335" s="7">
        <v>4.91</v>
      </c>
      <c r="E16335" t="s">
        <v>11</v>
      </c>
    </row>
    <row r="16336" spans="1:5" x14ac:dyDescent="0.25">
      <c r="A16336" t="str">
        <f>HYPERLINK("https://www.773grp.com/globalSearch/CS8126-1YT5G/page-1", "CS8126-1YT5G")</f>
        <v>CS8126-1YT5G</v>
      </c>
      <c r="B16336" s="3" t="s">
        <v>74</v>
      </c>
      <c r="C16336" s="6">
        <v>3584</v>
      </c>
      <c r="D16336" s="7">
        <v>4.4400000000000004</v>
      </c>
      <c r="E16336" t="s">
        <v>15</v>
      </c>
    </row>
    <row r="16337" spans="1:5" x14ac:dyDescent="0.25">
      <c r="A16337" t="str">
        <f>HYPERLINK("https://www.773grp.com/globalSearch/MC10H100M/page-1", "MC10H100M")</f>
        <v>MC10H100M</v>
      </c>
      <c r="B16337" s="3" t="s">
        <v>74</v>
      </c>
      <c r="C16337" s="6">
        <v>5950</v>
      </c>
      <c r="D16337" s="7">
        <v>4.4400000000000004</v>
      </c>
      <c r="E16337" t="s">
        <v>27</v>
      </c>
    </row>
    <row r="16338" spans="1:5" x14ac:dyDescent="0.25">
      <c r="A16338" t="str">
        <f>HYPERLINK("https://www.773grp.com/globalSearch/MC10H101FNR2/page-1", "MC10H101FNR2")</f>
        <v>MC10H101FNR2</v>
      </c>
      <c r="B16338" s="3" t="s">
        <v>74</v>
      </c>
      <c r="C16338" s="6">
        <v>3500</v>
      </c>
      <c r="D16338" s="7">
        <v>4.4400000000000004</v>
      </c>
      <c r="E16338" t="s">
        <v>27</v>
      </c>
    </row>
    <row r="16339" spans="1:5" x14ac:dyDescent="0.25">
      <c r="A16339" t="str">
        <f>HYPERLINK("https://www.773grp.com/globalSearch/MC10H106FNR2/page-1", "MC10H106FNR2")</f>
        <v>MC10H106FNR2</v>
      </c>
      <c r="B16339" s="3" t="s">
        <v>74</v>
      </c>
      <c r="C16339" s="6">
        <v>5500</v>
      </c>
      <c r="D16339" s="7">
        <v>4.4400000000000004</v>
      </c>
      <c r="E16339" t="s">
        <v>27</v>
      </c>
    </row>
    <row r="16340" spans="1:5" x14ac:dyDescent="0.25">
      <c r="A16340" t="str">
        <f>HYPERLINK("https://www.773grp.com/globalSearch/MC10H106MELG/page-1", "MC10H106MELG")</f>
        <v>MC10H106MELG</v>
      </c>
      <c r="B16340" s="3" t="s">
        <v>74</v>
      </c>
      <c r="C16340" s="6">
        <v>720</v>
      </c>
      <c r="D16340" s="7">
        <v>4.4400000000000004</v>
      </c>
      <c r="E16340" t="s">
        <v>27</v>
      </c>
    </row>
    <row r="16341" spans="1:5" x14ac:dyDescent="0.25">
      <c r="A16341" t="str">
        <f>HYPERLINK("https://www.773grp.com/globalSearch/MC10H117FN/page-1", "MC10H117FN")</f>
        <v>MC10H117FN</v>
      </c>
      <c r="B16341" s="3" t="s">
        <v>74</v>
      </c>
      <c r="C16341" s="6">
        <v>7868</v>
      </c>
      <c r="D16341" s="7">
        <v>4.4400000000000004</v>
      </c>
      <c r="E16341" t="s">
        <v>27</v>
      </c>
    </row>
    <row r="16342" spans="1:5" x14ac:dyDescent="0.25">
      <c r="A16342" t="str">
        <f>HYPERLINK("https://www.773grp.com/globalSearch/MC10H121FNR2/page-1", "MC10H121FNR2")</f>
        <v>MC10H121FNR2</v>
      </c>
      <c r="B16342" s="3" t="s">
        <v>74</v>
      </c>
      <c r="C16342" s="6">
        <v>4500</v>
      </c>
      <c r="D16342" s="7">
        <v>4.4400000000000004</v>
      </c>
      <c r="E16342" t="s">
        <v>27</v>
      </c>
    </row>
    <row r="16343" spans="1:5" x14ac:dyDescent="0.25">
      <c r="A16343" t="str">
        <f>HYPERLINK("https://www.773grp.com/globalSearch/MC10H121M/page-1", "MC10H121M")</f>
        <v>MC10H121M</v>
      </c>
      <c r="B16343" s="3" t="s">
        <v>74</v>
      </c>
      <c r="C16343" s="6">
        <v>5150</v>
      </c>
      <c r="D16343" s="7">
        <v>4.4400000000000004</v>
      </c>
      <c r="E16343" t="s">
        <v>27</v>
      </c>
    </row>
    <row r="16344" spans="1:5" x14ac:dyDescent="0.25">
      <c r="A16344" t="str">
        <f>HYPERLINK("https://www.773grp.com/globalSearch/NCS2540DTBG/page-1", "NCS2540DTBG")</f>
        <v>NCS2540DTBG</v>
      </c>
      <c r="B16344" s="3" t="s">
        <v>74</v>
      </c>
      <c r="C16344" s="6">
        <v>960</v>
      </c>
      <c r="D16344" s="7">
        <v>4.4400000000000004</v>
      </c>
      <c r="E16344" t="s">
        <v>14</v>
      </c>
    </row>
    <row r="16345" spans="1:5" x14ac:dyDescent="0.25">
      <c r="A16345" t="str">
        <f>HYPERLINK("https://www.773grp.com/globalSearch/2N5302/page-1", "2N5302")</f>
        <v>2N5302</v>
      </c>
      <c r="B16345" s="3" t="s">
        <v>74</v>
      </c>
      <c r="C16345" s="6">
        <v>589</v>
      </c>
      <c r="D16345" s="7">
        <v>4.4800000000000004</v>
      </c>
      <c r="E16345" t="s">
        <v>47</v>
      </c>
    </row>
    <row r="16346" spans="1:5" x14ac:dyDescent="0.25">
      <c r="A16346" t="str">
        <f>HYPERLINK("https://www.773grp.com/globalSearch/2SK3747-1E/page-1", "2SK3747-1E")</f>
        <v>2SK3747-1E</v>
      </c>
      <c r="B16346" s="3" t="s">
        <v>74</v>
      </c>
      <c r="C16346" s="6">
        <v>10500</v>
      </c>
      <c r="D16346" s="7">
        <v>4.4800000000000004</v>
      </c>
    </row>
    <row r="16347" spans="1:5" x14ac:dyDescent="0.25">
      <c r="A16347" t="str">
        <f>HYPERLINK("https://www.773grp.com/globalSearch/MTP50P03HDLG/page-1", "MTP50P03HDLG")</f>
        <v>MTP50P03HDLG</v>
      </c>
      <c r="B16347" s="3" t="s">
        <v>74</v>
      </c>
      <c r="C16347" s="6">
        <v>1538</v>
      </c>
      <c r="D16347" s="7">
        <v>4.4800000000000004</v>
      </c>
    </row>
    <row r="16348" spans="1:5" x14ac:dyDescent="0.25">
      <c r="A16348" t="str">
        <f>HYPERLINK("https://www.773grp.com/globalSearch/CS51411EDR8/page-1", "CS51411EDR8")</f>
        <v>CS51411EDR8</v>
      </c>
      <c r="B16348" s="3" t="s">
        <v>74</v>
      </c>
      <c r="C16348" s="6">
        <v>413</v>
      </c>
      <c r="D16348" s="7">
        <v>4.96</v>
      </c>
      <c r="E16348" t="s">
        <v>5</v>
      </c>
    </row>
    <row r="16349" spans="1:5" x14ac:dyDescent="0.25">
      <c r="A16349" t="str">
        <f>HYPERLINK("https://www.773grp.com/globalSearch/CS51412EDR8/page-1", "CS51412EDR8")</f>
        <v>CS51412EDR8</v>
      </c>
      <c r="B16349" s="3" t="s">
        <v>74</v>
      </c>
      <c r="C16349" s="6">
        <v>369</v>
      </c>
      <c r="D16349" s="7">
        <v>4.96</v>
      </c>
      <c r="E16349" t="s">
        <v>5</v>
      </c>
    </row>
    <row r="16350" spans="1:5" x14ac:dyDescent="0.25">
      <c r="A16350" t="str">
        <f>HYPERLINK("https://www.773grp.com/globalSearch/LV8805SV-MPB-H/page-1", "LV8805SV-MPB-H")</f>
        <v>LV8805SV-MPB-H</v>
      </c>
      <c r="B16350" s="3" t="s">
        <v>74</v>
      </c>
      <c r="C16350" s="6">
        <v>5490</v>
      </c>
      <c r="D16350" s="7">
        <v>4.96</v>
      </c>
    </row>
    <row r="16351" spans="1:5" x14ac:dyDescent="0.25">
      <c r="A16351" t="str">
        <f>HYPERLINK("https://www.773grp.com/globalSearch/MC10121L/page-1", "MC10121L")</f>
        <v>MC10121L</v>
      </c>
      <c r="B16351" s="3" t="s">
        <v>74</v>
      </c>
      <c r="C16351" s="6">
        <v>200</v>
      </c>
      <c r="D16351" s="7">
        <v>4.96</v>
      </c>
      <c r="E16351" t="s">
        <v>27</v>
      </c>
    </row>
    <row r="16352" spans="1:5" x14ac:dyDescent="0.25">
      <c r="A16352" t="str">
        <f>HYPERLINK("https://www.773grp.com/globalSearch/NCP1546MNR2G/page-1", "NCP1546MNR2G")</f>
        <v>NCP1546MNR2G</v>
      </c>
      <c r="B16352" s="3" t="s">
        <v>74</v>
      </c>
      <c r="C16352" s="6">
        <v>9950</v>
      </c>
      <c r="D16352" s="7">
        <v>4.96</v>
      </c>
      <c r="E16352" t="s">
        <v>5</v>
      </c>
    </row>
    <row r="16353" spans="1:5" x14ac:dyDescent="0.25">
      <c r="A16353" t="str">
        <f>HYPERLINK("https://www.773grp.com/globalSearch/NCP1547MNR2G/page-1", "NCP1547MNR2G")</f>
        <v>NCP1547MNR2G</v>
      </c>
      <c r="B16353" s="3" t="s">
        <v>74</v>
      </c>
      <c r="C16353" s="6">
        <v>5545</v>
      </c>
      <c r="D16353" s="7">
        <v>4.96</v>
      </c>
      <c r="E16353" t="s">
        <v>5</v>
      </c>
    </row>
    <row r="16354" spans="1:5" x14ac:dyDescent="0.25">
      <c r="A16354" t="str">
        <f>HYPERLINK("https://www.773grp.com/globalSearch/NCP3121MNTXG/page-1", "NCP3121MNTXG")</f>
        <v>NCP3121MNTXG</v>
      </c>
      <c r="B16354" s="3" t="s">
        <v>74</v>
      </c>
      <c r="C16354" s="6">
        <v>48799</v>
      </c>
      <c r="D16354" s="7">
        <v>4.96</v>
      </c>
      <c r="E16354" t="s">
        <v>5</v>
      </c>
    </row>
    <row r="16355" spans="1:5" x14ac:dyDescent="0.25">
      <c r="A16355" t="str">
        <f>HYPERLINK("https://www.773grp.com/globalSearch/MC10H209FN/page-1", "MC10H209FN")</f>
        <v>MC10H209FN</v>
      </c>
      <c r="B16355" s="3" t="s">
        <v>74</v>
      </c>
      <c r="C16355" s="6">
        <v>6210</v>
      </c>
      <c r="D16355" s="7">
        <v>4.5</v>
      </c>
      <c r="E16355" t="s">
        <v>27</v>
      </c>
    </row>
    <row r="16356" spans="1:5" x14ac:dyDescent="0.25">
      <c r="A16356" t="str">
        <f>HYPERLINK("https://www.773grp.com/globalSearch/MC10H209M/page-1", "MC10H209M")</f>
        <v>MC10H209M</v>
      </c>
      <c r="B16356" s="3" t="s">
        <v>74</v>
      </c>
      <c r="C16356" s="6">
        <v>1450</v>
      </c>
      <c r="D16356" s="7">
        <v>4.5</v>
      </c>
      <c r="E16356" t="s">
        <v>27</v>
      </c>
    </row>
    <row r="16357" spans="1:5" x14ac:dyDescent="0.25">
      <c r="A16357" t="str">
        <f>HYPERLINK("https://www.773grp.com/globalSearch/MC10H210FN/page-1", "MC10H210FN")</f>
        <v>MC10H210FN</v>
      </c>
      <c r="B16357" s="3" t="s">
        <v>74</v>
      </c>
      <c r="C16357" s="6">
        <v>4728</v>
      </c>
      <c r="D16357" s="7">
        <v>4.5</v>
      </c>
      <c r="E16357" t="s">
        <v>27</v>
      </c>
    </row>
    <row r="16358" spans="1:5" x14ac:dyDescent="0.25">
      <c r="A16358" t="str">
        <f>HYPERLINK("https://www.773grp.com/globalSearch/MC10H210M/page-1", "MC10H210M")</f>
        <v>MC10H210M</v>
      </c>
      <c r="B16358" s="3" t="s">
        <v>74</v>
      </c>
      <c r="C16358" s="6">
        <v>875</v>
      </c>
      <c r="D16358" s="7">
        <v>4.5</v>
      </c>
      <c r="E16358" t="s">
        <v>27</v>
      </c>
    </row>
    <row r="16359" spans="1:5" x14ac:dyDescent="0.25">
      <c r="A16359" t="str">
        <f>HYPERLINK("https://www.773grp.com/globalSearch/MC10H210MEL/page-1", "MC10H210MEL")</f>
        <v>MC10H210MEL</v>
      </c>
      <c r="B16359" s="3" t="s">
        <v>74</v>
      </c>
      <c r="C16359" s="6">
        <v>4000</v>
      </c>
      <c r="D16359" s="7">
        <v>4.5</v>
      </c>
      <c r="E16359" t="s">
        <v>27</v>
      </c>
    </row>
    <row r="16360" spans="1:5" x14ac:dyDescent="0.25">
      <c r="A16360" t="str">
        <f>HYPERLINK("https://www.773grp.com/globalSearch/MC10H211FNR2/page-1", "MC10H211FNR2")</f>
        <v>MC10H211FNR2</v>
      </c>
      <c r="B16360" s="3" t="s">
        <v>74</v>
      </c>
      <c r="C16360" s="6">
        <v>500</v>
      </c>
      <c r="D16360" s="7">
        <v>4.5</v>
      </c>
      <c r="E16360" t="s">
        <v>27</v>
      </c>
    </row>
    <row r="16361" spans="1:5" x14ac:dyDescent="0.25">
      <c r="A16361" t="str">
        <f>HYPERLINK("https://www.773grp.com/globalSearch/MC10H211M/page-1", "MC10H211M")</f>
        <v>MC10H211M</v>
      </c>
      <c r="B16361" s="3" t="s">
        <v>74</v>
      </c>
      <c r="C16361" s="6">
        <v>1700</v>
      </c>
      <c r="D16361" s="7">
        <v>4.5</v>
      </c>
      <c r="E16361" t="s">
        <v>27</v>
      </c>
    </row>
    <row r="16362" spans="1:5" x14ac:dyDescent="0.25">
      <c r="A16362" t="str">
        <f>HYPERLINK("https://www.773grp.com/globalSearch/NCP1650DR2G/page-1", "NCP1650DR2G")</f>
        <v>NCP1650DR2G</v>
      </c>
      <c r="B16362" s="3" t="s">
        <v>74</v>
      </c>
      <c r="C16362" s="6">
        <v>20132</v>
      </c>
      <c r="D16362" s="7">
        <v>4.5</v>
      </c>
      <c r="E16362" t="s">
        <v>5</v>
      </c>
    </row>
    <row r="16363" spans="1:5" x14ac:dyDescent="0.25">
      <c r="A16363" t="str">
        <f>HYPERLINK("https://www.773grp.com/globalSearch/NLSX3013BFCT1G/page-1", "NLSX3013BFCT1G")</f>
        <v>NLSX3013BFCT1G</v>
      </c>
      <c r="B16363" s="3" t="s">
        <v>74</v>
      </c>
      <c r="C16363" s="6">
        <v>110964</v>
      </c>
      <c r="D16363" s="7">
        <v>4.5</v>
      </c>
      <c r="E16363" t="s">
        <v>11</v>
      </c>
    </row>
    <row r="16364" spans="1:5" x14ac:dyDescent="0.25">
      <c r="A16364" t="str">
        <f>HYPERLINK("https://www.773grp.com/globalSearch/NLSX3013FCT1G/page-1", "NLSX3013FCT1G")</f>
        <v>NLSX3013FCT1G</v>
      </c>
      <c r="B16364" s="3" t="s">
        <v>74</v>
      </c>
      <c r="C16364" s="6">
        <v>3970</v>
      </c>
      <c r="D16364" s="7">
        <v>4.5</v>
      </c>
    </row>
    <row r="16365" spans="1:5" x14ac:dyDescent="0.25">
      <c r="A16365" t="str">
        <f>HYPERLINK("https://www.773grp.com/globalSearch/ADT7473ARQZ-1R7/page-1", "ADT7473ARQZ-1R7")</f>
        <v>ADT7473ARQZ-1R7</v>
      </c>
      <c r="B16365" s="3" t="s">
        <v>74</v>
      </c>
      <c r="C16365" s="6">
        <v>47386</v>
      </c>
      <c r="D16365" s="7">
        <v>5.01</v>
      </c>
      <c r="E16365" t="s">
        <v>9</v>
      </c>
    </row>
    <row r="16366" spans="1:5" x14ac:dyDescent="0.25">
      <c r="A16366" t="str">
        <f>HYPERLINK("https://www.773grp.com/globalSearch/CAT8900D204TBGT3/page-1", "CAT8900D204TBGT3")</f>
        <v>CAT8900D204TBGT3</v>
      </c>
      <c r="B16366" s="3" t="s">
        <v>74</v>
      </c>
      <c r="C16366" s="6">
        <v>18000</v>
      </c>
      <c r="D16366" s="7">
        <v>5.01</v>
      </c>
    </row>
    <row r="16367" spans="1:5" x14ac:dyDescent="0.25">
      <c r="A16367" t="str">
        <f>HYPERLINK("https://www.773grp.com/globalSearch/CAT8900D250TBGT3/page-1", "CAT8900D250TBGT3")</f>
        <v>CAT8900D250TBGT3</v>
      </c>
      <c r="B16367" s="3" t="s">
        <v>74</v>
      </c>
      <c r="C16367" s="6">
        <v>301</v>
      </c>
      <c r="D16367" s="7">
        <v>5.01</v>
      </c>
    </row>
    <row r="16368" spans="1:5" x14ac:dyDescent="0.25">
      <c r="A16368" t="str">
        <f>HYPERLINK("https://www.773grp.com/globalSearch/CAT9552YI-T2/page-1", "CAT9552YI-T2")</f>
        <v>CAT9552YI-T2</v>
      </c>
      <c r="B16368" s="3" t="s">
        <v>74</v>
      </c>
      <c r="C16368" s="6">
        <v>2919</v>
      </c>
      <c r="D16368" s="7">
        <v>5.01</v>
      </c>
    </row>
    <row r="16369" spans="1:5" x14ac:dyDescent="0.25">
      <c r="A16369" t="str">
        <f>HYPERLINK("https://www.773grp.com/globalSearch/CS3524AGDW16/page-1", "CS3524AGDW16")</f>
        <v>CS3524AGDW16</v>
      </c>
      <c r="B16369" s="3" t="s">
        <v>74</v>
      </c>
      <c r="C16369" s="6">
        <v>235</v>
      </c>
      <c r="D16369" s="7">
        <v>5.01</v>
      </c>
      <c r="E16369" t="s">
        <v>5</v>
      </c>
    </row>
    <row r="16370" spans="1:5" x14ac:dyDescent="0.25">
      <c r="A16370" t="str">
        <f>HYPERLINK("https://www.773grp.com/globalSearch/CS3843AGDR8/page-1", "CS3843AGDR8")</f>
        <v>CS3843AGDR8</v>
      </c>
      <c r="B16370" s="3" t="s">
        <v>74</v>
      </c>
      <c r="C16370" s="6">
        <v>30000</v>
      </c>
      <c r="D16370" s="7">
        <v>5.01</v>
      </c>
      <c r="E16370" t="s">
        <v>5</v>
      </c>
    </row>
    <row r="16371" spans="1:5" x14ac:dyDescent="0.25">
      <c r="A16371" t="str">
        <f>HYPERLINK("https://www.773grp.com/globalSearch/CS8120YDP5/page-1", "CS8120YDP5")</f>
        <v>CS8120YDP5</v>
      </c>
      <c r="B16371" s="3" t="s">
        <v>74</v>
      </c>
      <c r="C16371" s="6">
        <v>574</v>
      </c>
      <c r="D16371" s="7">
        <v>5.01</v>
      </c>
      <c r="E16371" t="s">
        <v>15</v>
      </c>
    </row>
    <row r="16372" spans="1:5" x14ac:dyDescent="0.25">
      <c r="A16372" t="str">
        <f>HYPERLINK("https://www.773grp.com/globalSearch/CS8120YDPR5/page-1", "CS8120YDPR5")</f>
        <v>CS8120YDPR5</v>
      </c>
      <c r="B16372" s="3" t="s">
        <v>74</v>
      </c>
      <c r="C16372" s="6">
        <v>75248</v>
      </c>
      <c r="D16372" s="7">
        <v>5.01</v>
      </c>
      <c r="E16372" t="s">
        <v>15</v>
      </c>
    </row>
    <row r="16373" spans="1:5" x14ac:dyDescent="0.25">
      <c r="A16373" t="str">
        <f>HYPERLINK("https://www.773grp.com/globalSearch/CS8147YTHA5/page-1", "CS8147YTHA5")</f>
        <v>CS8147YTHA5</v>
      </c>
      <c r="B16373" s="3" t="s">
        <v>74</v>
      </c>
      <c r="C16373" s="6">
        <v>2150</v>
      </c>
      <c r="D16373" s="7">
        <v>5.01</v>
      </c>
      <c r="E16373" t="s">
        <v>39</v>
      </c>
    </row>
    <row r="16374" spans="1:5" x14ac:dyDescent="0.25">
      <c r="A16374" t="str">
        <f>HYPERLINK("https://www.773grp.com/globalSearch/LV5680NPVC-XH/page-1", "LV5680NPVC-XH")</f>
        <v>LV5680NPVC-XH</v>
      </c>
      <c r="B16374" s="3" t="s">
        <v>74</v>
      </c>
      <c r="C16374" s="6">
        <v>3100</v>
      </c>
      <c r="D16374" s="7">
        <v>5.01</v>
      </c>
    </row>
    <row r="16375" spans="1:5" x14ac:dyDescent="0.25">
      <c r="A16375" t="str">
        <f>HYPERLINK("https://www.773grp.com/globalSearch/MC100ELT20D/page-1", "MC100ELT20D")</f>
        <v>MC100ELT20D</v>
      </c>
      <c r="B16375" s="3" t="s">
        <v>74</v>
      </c>
      <c r="C16375" s="6">
        <v>9557</v>
      </c>
      <c r="D16375" s="7">
        <v>5.01</v>
      </c>
      <c r="E16375" t="s">
        <v>61</v>
      </c>
    </row>
    <row r="16376" spans="1:5" x14ac:dyDescent="0.25">
      <c r="A16376" t="str">
        <f>HYPERLINK("https://www.773grp.com/globalSearch/MC100ELT20DT/page-1", "MC100ELT20DT")</f>
        <v>MC100ELT20DT</v>
      </c>
      <c r="B16376" s="3" t="s">
        <v>74</v>
      </c>
      <c r="C16376" s="6">
        <v>149</v>
      </c>
      <c r="D16376" s="7">
        <v>5.01</v>
      </c>
      <c r="E16376" t="s">
        <v>61</v>
      </c>
    </row>
    <row r="16377" spans="1:5" x14ac:dyDescent="0.25">
      <c r="A16377" t="str">
        <f>HYPERLINK("https://www.773grp.com/globalSearch/MC100ELT21D/page-1", "MC100ELT21D")</f>
        <v>MC100ELT21D</v>
      </c>
      <c r="B16377" s="3" t="s">
        <v>74</v>
      </c>
      <c r="C16377" s="6">
        <v>2796</v>
      </c>
      <c r="D16377" s="7">
        <v>5.01</v>
      </c>
      <c r="E16377" t="s">
        <v>61</v>
      </c>
    </row>
    <row r="16378" spans="1:5" x14ac:dyDescent="0.25">
      <c r="A16378" t="str">
        <f>HYPERLINK("https://www.773grp.com/globalSearch/MC100ELT21DT/page-1", "MC100ELT21DT")</f>
        <v>MC100ELT21DT</v>
      </c>
      <c r="B16378" s="3" t="s">
        <v>74</v>
      </c>
      <c r="C16378" s="6">
        <v>437</v>
      </c>
      <c r="D16378" s="7">
        <v>5.01</v>
      </c>
      <c r="E16378" t="s">
        <v>61</v>
      </c>
    </row>
    <row r="16379" spans="1:5" x14ac:dyDescent="0.25">
      <c r="A16379" t="str">
        <f>HYPERLINK("https://www.773grp.com/globalSearch/MC100ELT21DTR2/page-1", "MC100ELT21DTR2")</f>
        <v>MC100ELT21DTR2</v>
      </c>
      <c r="B16379" s="3" t="s">
        <v>74</v>
      </c>
      <c r="C16379" s="6">
        <v>8529</v>
      </c>
      <c r="D16379" s="7">
        <v>5.01</v>
      </c>
      <c r="E16379" t="s">
        <v>61</v>
      </c>
    </row>
    <row r="16380" spans="1:5" x14ac:dyDescent="0.25">
      <c r="A16380" t="str">
        <f>HYPERLINK("https://www.773grp.com/globalSearch/MC100ELT22D/page-1", "MC100ELT22D")</f>
        <v>MC100ELT22D</v>
      </c>
      <c r="B16380" s="3" t="s">
        <v>74</v>
      </c>
      <c r="C16380" s="6">
        <v>7844</v>
      </c>
      <c r="D16380" s="7">
        <v>5.01</v>
      </c>
      <c r="E16380" t="s">
        <v>61</v>
      </c>
    </row>
    <row r="16381" spans="1:5" x14ac:dyDescent="0.25">
      <c r="A16381" t="str">
        <f>HYPERLINK("https://www.773grp.com/globalSearch/MC100ELT23DT/page-1", "MC100ELT23DT")</f>
        <v>MC100ELT23DT</v>
      </c>
      <c r="B16381" s="3" t="s">
        <v>74</v>
      </c>
      <c r="C16381" s="6">
        <v>10126</v>
      </c>
      <c r="D16381" s="7">
        <v>5.01</v>
      </c>
      <c r="E16381" t="s">
        <v>61</v>
      </c>
    </row>
    <row r="16382" spans="1:5" x14ac:dyDescent="0.25">
      <c r="A16382" t="str">
        <f>HYPERLINK("https://www.773grp.com/globalSearch/MC100ELT23DTR2/page-1", "MC100ELT23DTR2")</f>
        <v>MC100ELT23DTR2</v>
      </c>
      <c r="B16382" s="3" t="s">
        <v>74</v>
      </c>
      <c r="C16382" s="6">
        <v>5000</v>
      </c>
      <c r="D16382" s="7">
        <v>5.01</v>
      </c>
      <c r="E16382" t="s">
        <v>61</v>
      </c>
    </row>
    <row r="16383" spans="1:5" x14ac:dyDescent="0.25">
      <c r="A16383" t="str">
        <f>HYPERLINK("https://www.773grp.com/globalSearch/MC100ELT25D/page-1", "MC100ELT25D")</f>
        <v>MC100ELT25D</v>
      </c>
      <c r="B16383" s="3" t="s">
        <v>74</v>
      </c>
      <c r="C16383" s="6">
        <v>15044</v>
      </c>
      <c r="D16383" s="7">
        <v>5.01</v>
      </c>
      <c r="E16383" t="s">
        <v>61</v>
      </c>
    </row>
    <row r="16384" spans="1:5" x14ac:dyDescent="0.25">
      <c r="A16384" t="str">
        <f>HYPERLINK("https://www.773grp.com/globalSearch/MC100ELT25DT/page-1", "MC100ELT25DT")</f>
        <v>MC100ELT25DT</v>
      </c>
      <c r="B16384" s="3" t="s">
        <v>74</v>
      </c>
      <c r="C16384" s="6">
        <v>3471</v>
      </c>
      <c r="D16384" s="7">
        <v>5.01</v>
      </c>
      <c r="E16384" t="s">
        <v>61</v>
      </c>
    </row>
    <row r="16385" spans="1:5" x14ac:dyDescent="0.25">
      <c r="A16385" t="str">
        <f>HYPERLINK("https://www.773grp.com/globalSearch/MC100ELT25DTR2/page-1", "MC100ELT25DTR2")</f>
        <v>MC100ELT25DTR2</v>
      </c>
      <c r="B16385" s="3" t="s">
        <v>74</v>
      </c>
      <c r="C16385" s="6">
        <v>4800</v>
      </c>
      <c r="D16385" s="7">
        <v>5.01</v>
      </c>
      <c r="E16385" t="s">
        <v>61</v>
      </c>
    </row>
    <row r="16386" spans="1:5" x14ac:dyDescent="0.25">
      <c r="A16386" t="str">
        <f>HYPERLINK("https://www.773grp.com/globalSearch/MC100LVELT20D/page-1", "MC100LVELT20D")</f>
        <v>MC100LVELT20D</v>
      </c>
      <c r="B16386" s="3" t="s">
        <v>74</v>
      </c>
      <c r="C16386" s="6">
        <v>24837</v>
      </c>
      <c r="D16386" s="7">
        <v>5.01</v>
      </c>
      <c r="E16386" t="s">
        <v>61</v>
      </c>
    </row>
    <row r="16387" spans="1:5" x14ac:dyDescent="0.25">
      <c r="A16387" t="str">
        <f>HYPERLINK("https://www.773grp.com/globalSearch/MC100LVELT22D/page-1", "MC100LVELT22D")</f>
        <v>MC100LVELT22D</v>
      </c>
      <c r="B16387" s="3" t="s">
        <v>74</v>
      </c>
      <c r="C16387" s="6">
        <v>10332</v>
      </c>
      <c r="D16387" s="7">
        <v>5.01</v>
      </c>
      <c r="E16387" t="s">
        <v>61</v>
      </c>
    </row>
    <row r="16388" spans="1:5" x14ac:dyDescent="0.25">
      <c r="A16388" t="str">
        <f>HYPERLINK("https://www.773grp.com/globalSearch/MC100LVELT22DT/page-1", "MC100LVELT22DT")</f>
        <v>MC100LVELT22DT</v>
      </c>
      <c r="B16388" s="3" t="s">
        <v>74</v>
      </c>
      <c r="C16388" s="6">
        <v>14781</v>
      </c>
      <c r="D16388" s="7">
        <v>5.01</v>
      </c>
      <c r="E16388" t="s">
        <v>61</v>
      </c>
    </row>
    <row r="16389" spans="1:5" x14ac:dyDescent="0.25">
      <c r="A16389" t="str">
        <f>HYPERLINK("https://www.773grp.com/globalSearch/MC100LVELT22DTR2/page-1", "MC100LVELT22DTR2")</f>
        <v>MC100LVELT22DTR2</v>
      </c>
      <c r="B16389" s="3" t="s">
        <v>74</v>
      </c>
      <c r="C16389" s="6">
        <v>19435</v>
      </c>
      <c r="D16389" s="7">
        <v>5.01</v>
      </c>
      <c r="E16389" t="s">
        <v>61</v>
      </c>
    </row>
    <row r="16390" spans="1:5" x14ac:dyDescent="0.25">
      <c r="A16390" t="str">
        <f>HYPERLINK("https://www.773grp.com/globalSearch/MC10ELT20D/page-1", "MC10ELT20D")</f>
        <v>MC10ELT20D</v>
      </c>
      <c r="B16390" s="3" t="s">
        <v>74</v>
      </c>
      <c r="C16390" s="6">
        <v>2864</v>
      </c>
      <c r="D16390" s="7">
        <v>5.01</v>
      </c>
      <c r="E16390" t="s">
        <v>61</v>
      </c>
    </row>
    <row r="16391" spans="1:5" x14ac:dyDescent="0.25">
      <c r="A16391" t="str">
        <f>HYPERLINK("https://www.773grp.com/globalSearch/MC10ELT20DT/page-1", "MC10ELT20DT")</f>
        <v>MC10ELT20DT</v>
      </c>
      <c r="B16391" s="3" t="s">
        <v>74</v>
      </c>
      <c r="C16391" s="6">
        <v>4032</v>
      </c>
      <c r="D16391" s="7">
        <v>5.01</v>
      </c>
      <c r="E16391" t="s">
        <v>61</v>
      </c>
    </row>
    <row r="16392" spans="1:5" x14ac:dyDescent="0.25">
      <c r="A16392" t="str">
        <f>HYPERLINK("https://www.773grp.com/globalSearch/MC10ELT21D/page-1", "MC10ELT21D")</f>
        <v>MC10ELT21D</v>
      </c>
      <c r="B16392" s="3" t="s">
        <v>74</v>
      </c>
      <c r="C16392" s="6">
        <v>26282</v>
      </c>
      <c r="D16392" s="7">
        <v>5.01</v>
      </c>
      <c r="E16392" t="s">
        <v>61</v>
      </c>
    </row>
    <row r="16393" spans="1:5" x14ac:dyDescent="0.25">
      <c r="A16393" t="str">
        <f>HYPERLINK("https://www.773grp.com/globalSearch/MC10ELT21DR2/page-1", "MC10ELT21DR2")</f>
        <v>MC10ELT21DR2</v>
      </c>
      <c r="B16393" s="3" t="s">
        <v>74</v>
      </c>
      <c r="C16393" s="6">
        <v>6500</v>
      </c>
      <c r="D16393" s="7">
        <v>5.01</v>
      </c>
      <c r="E16393" t="s">
        <v>61</v>
      </c>
    </row>
    <row r="16394" spans="1:5" x14ac:dyDescent="0.25">
      <c r="A16394" t="str">
        <f>HYPERLINK("https://www.773grp.com/globalSearch/MC10ELT21DT/page-1", "MC10ELT21DT")</f>
        <v>MC10ELT21DT</v>
      </c>
      <c r="B16394" s="3" t="s">
        <v>74</v>
      </c>
      <c r="C16394" s="6">
        <v>4880</v>
      </c>
      <c r="D16394" s="7">
        <v>5.01</v>
      </c>
      <c r="E16394" t="s">
        <v>61</v>
      </c>
    </row>
    <row r="16395" spans="1:5" x14ac:dyDescent="0.25">
      <c r="A16395" t="str">
        <f>HYPERLINK("https://www.773grp.com/globalSearch/MC10ELT22DT/page-1", "MC10ELT22DT")</f>
        <v>MC10ELT22DT</v>
      </c>
      <c r="B16395" s="3" t="s">
        <v>74</v>
      </c>
      <c r="C16395" s="6">
        <v>1828</v>
      </c>
      <c r="D16395" s="7">
        <v>5.01</v>
      </c>
      <c r="E16395" t="s">
        <v>61</v>
      </c>
    </row>
    <row r="16396" spans="1:5" x14ac:dyDescent="0.25">
      <c r="A16396" t="str">
        <f>HYPERLINK("https://www.773grp.com/globalSearch/MC10ELT24D/page-1", "MC10ELT24D")</f>
        <v>MC10ELT24D</v>
      </c>
      <c r="B16396" s="3" t="s">
        <v>74</v>
      </c>
      <c r="C16396" s="6">
        <v>14431</v>
      </c>
      <c r="D16396" s="7">
        <v>5.01</v>
      </c>
      <c r="E16396" t="s">
        <v>61</v>
      </c>
    </row>
    <row r="16397" spans="1:5" x14ac:dyDescent="0.25">
      <c r="A16397" t="str">
        <f>HYPERLINK("https://www.773grp.com/globalSearch/MC10ELT24DT/page-1", "MC10ELT24DT")</f>
        <v>MC10ELT24DT</v>
      </c>
      <c r="B16397" s="3" t="s">
        <v>74</v>
      </c>
      <c r="C16397" s="6">
        <v>3604</v>
      </c>
      <c r="D16397" s="7">
        <v>5.01</v>
      </c>
      <c r="E16397" t="s">
        <v>61</v>
      </c>
    </row>
    <row r="16398" spans="1:5" x14ac:dyDescent="0.25">
      <c r="A16398" t="str">
        <f>HYPERLINK("https://www.773grp.com/globalSearch/MC10ELT24DTR2/page-1", "MC10ELT24DTR2")</f>
        <v>MC10ELT24DTR2</v>
      </c>
      <c r="B16398" s="3" t="s">
        <v>74</v>
      </c>
      <c r="C16398" s="6">
        <v>5423</v>
      </c>
      <c r="D16398" s="7">
        <v>5.01</v>
      </c>
      <c r="E16398" t="s">
        <v>61</v>
      </c>
    </row>
    <row r="16399" spans="1:5" x14ac:dyDescent="0.25">
      <c r="A16399" t="str">
        <f>HYPERLINK("https://www.773grp.com/globalSearch/MC10ELT24P/page-1", "MC10ELT24P")</f>
        <v>MC10ELT24P</v>
      </c>
      <c r="B16399" s="3" t="s">
        <v>74</v>
      </c>
      <c r="C16399" s="6">
        <v>30</v>
      </c>
      <c r="D16399" s="7">
        <v>5.01</v>
      </c>
    </row>
    <row r="16400" spans="1:5" x14ac:dyDescent="0.25">
      <c r="A16400" t="str">
        <f>HYPERLINK("https://www.773grp.com/globalSearch/MC10ELT25DT/page-1", "MC10ELT25DT")</f>
        <v>MC10ELT25DT</v>
      </c>
      <c r="B16400" s="3" t="s">
        <v>74</v>
      </c>
      <c r="C16400" s="6">
        <v>11868</v>
      </c>
      <c r="D16400" s="7">
        <v>5.01</v>
      </c>
      <c r="E16400" t="s">
        <v>61</v>
      </c>
    </row>
    <row r="16401" spans="1:5" x14ac:dyDescent="0.25">
      <c r="A16401" t="str">
        <f>HYPERLINK("https://www.773grp.com/globalSearch/MC12026AD/page-1", "MC12026AD")</f>
        <v>MC12026AD</v>
      </c>
      <c r="B16401" s="3" t="s">
        <v>74</v>
      </c>
      <c r="C16401" s="6">
        <v>23344</v>
      </c>
      <c r="D16401" s="7">
        <v>5.01</v>
      </c>
      <c r="E16401" t="s">
        <v>44</v>
      </c>
    </row>
    <row r="16402" spans="1:5" x14ac:dyDescent="0.25">
      <c r="A16402" t="str">
        <f>HYPERLINK("https://www.773grp.com/globalSearch/MC12026ADR2/page-1", "MC12026ADR2")</f>
        <v>MC12026ADR2</v>
      </c>
      <c r="B16402" s="3" t="s">
        <v>74</v>
      </c>
      <c r="C16402" s="6">
        <v>25000</v>
      </c>
      <c r="D16402" s="7">
        <v>5.01</v>
      </c>
      <c r="E16402" t="s">
        <v>44</v>
      </c>
    </row>
    <row r="16403" spans="1:5" x14ac:dyDescent="0.25">
      <c r="A16403" t="str">
        <f>HYPERLINK("https://www.773grp.com/globalSearch/MC12080D/page-1", "MC12080D")</f>
        <v>MC12080D</v>
      </c>
      <c r="B16403" s="3" t="s">
        <v>74</v>
      </c>
      <c r="C16403" s="6">
        <v>13957</v>
      </c>
      <c r="D16403" s="7">
        <v>5.01</v>
      </c>
      <c r="E16403" t="s">
        <v>44</v>
      </c>
    </row>
    <row r="16404" spans="1:5" x14ac:dyDescent="0.25">
      <c r="A16404" t="str">
        <f>HYPERLINK("https://www.773grp.com/globalSearch/MC12093D/page-1", "MC12093D")</f>
        <v>MC12093D</v>
      </c>
      <c r="B16404" s="3" t="s">
        <v>74</v>
      </c>
      <c r="C16404" s="6">
        <v>19333</v>
      </c>
      <c r="D16404" s="7">
        <v>5.01</v>
      </c>
      <c r="E16404" t="s">
        <v>44</v>
      </c>
    </row>
    <row r="16405" spans="1:5" x14ac:dyDescent="0.25">
      <c r="A16405" t="str">
        <f>HYPERLINK("https://www.773grp.com/globalSearch/MC12093DR2/page-1", "MC12093DR2")</f>
        <v>MC12093DR2</v>
      </c>
      <c r="B16405" s="3" t="s">
        <v>74</v>
      </c>
      <c r="C16405" s="6">
        <v>9850</v>
      </c>
      <c r="D16405" s="7">
        <v>5.01</v>
      </c>
      <c r="E16405" t="s">
        <v>44</v>
      </c>
    </row>
    <row r="16406" spans="1:5" x14ac:dyDescent="0.25">
      <c r="A16406" t="str">
        <f>HYPERLINK("https://www.773grp.com/globalSearch/MC12095D/page-1", "MC12095D")</f>
        <v>MC12095D</v>
      </c>
      <c r="B16406" s="3" t="s">
        <v>74</v>
      </c>
      <c r="C16406" s="6">
        <v>7823</v>
      </c>
      <c r="D16406" s="7">
        <v>5.01</v>
      </c>
      <c r="E16406" t="s">
        <v>44</v>
      </c>
    </row>
    <row r="16407" spans="1:5" x14ac:dyDescent="0.25">
      <c r="A16407" t="str">
        <f>HYPERLINK("https://www.773grp.com/globalSearch/MTB75N06HD/page-1", "MTB75N06HD")</f>
        <v>MTB75N06HD</v>
      </c>
      <c r="B16407" s="3" t="s">
        <v>74</v>
      </c>
      <c r="C16407" s="6">
        <v>25</v>
      </c>
      <c r="D16407" s="7">
        <v>5.01</v>
      </c>
      <c r="E16407" t="s">
        <v>84</v>
      </c>
    </row>
    <row r="16408" spans="1:5" x14ac:dyDescent="0.25">
      <c r="A16408" t="str">
        <f>HYPERLINK("https://www.773grp.com/globalSearch/NB100ELT23LD/page-1", "NB100ELT23LD")</f>
        <v>NB100ELT23LD</v>
      </c>
      <c r="B16408" s="3" t="s">
        <v>74</v>
      </c>
      <c r="C16408" s="6">
        <v>42963</v>
      </c>
      <c r="D16408" s="7">
        <v>5.01</v>
      </c>
      <c r="E16408" t="s">
        <v>61</v>
      </c>
    </row>
    <row r="16409" spans="1:5" x14ac:dyDescent="0.25">
      <c r="A16409" t="str">
        <f>HYPERLINK("https://www.773grp.com/globalSearch/NB100ELT23LDR2/page-1", "NB100ELT23LDR2")</f>
        <v>NB100ELT23LDR2</v>
      </c>
      <c r="B16409" s="3" t="s">
        <v>74</v>
      </c>
      <c r="C16409" s="6">
        <v>35000</v>
      </c>
      <c r="D16409" s="7">
        <v>5.01</v>
      </c>
      <c r="E16409" t="s">
        <v>61</v>
      </c>
    </row>
    <row r="16410" spans="1:5" x14ac:dyDescent="0.25">
      <c r="A16410" t="str">
        <f>HYPERLINK("https://www.773grp.com/globalSearch/NB2579ASNR2/page-1", "NB2579ASNR2")</f>
        <v>NB2579ASNR2</v>
      </c>
      <c r="B16410" s="3" t="s">
        <v>74</v>
      </c>
      <c r="C16410" s="6">
        <v>2500</v>
      </c>
      <c r="D16410" s="7">
        <v>5.01</v>
      </c>
      <c r="E16410" t="s">
        <v>65</v>
      </c>
    </row>
    <row r="16411" spans="1:5" x14ac:dyDescent="0.25">
      <c r="A16411" t="str">
        <f>HYPERLINK("https://www.773grp.com/globalSearch/NB2669ASNR2/page-1", "NB2669ASNR2")</f>
        <v>NB2669ASNR2</v>
      </c>
      <c r="B16411" s="3" t="s">
        <v>74</v>
      </c>
      <c r="C16411" s="6">
        <v>2500</v>
      </c>
      <c r="D16411" s="7">
        <v>5.01</v>
      </c>
      <c r="E16411" t="s">
        <v>65</v>
      </c>
    </row>
    <row r="16412" spans="1:5" x14ac:dyDescent="0.25">
      <c r="A16412" t="str">
        <f>HYPERLINK("https://www.773grp.com/globalSearch/NB2760ASNR2/page-1", "NB2760ASNR2")</f>
        <v>NB2760ASNR2</v>
      </c>
      <c r="B16412" s="3" t="s">
        <v>74</v>
      </c>
      <c r="C16412" s="6">
        <v>2500</v>
      </c>
      <c r="D16412" s="7">
        <v>5.01</v>
      </c>
      <c r="E16412" t="s">
        <v>65</v>
      </c>
    </row>
    <row r="16413" spans="1:5" x14ac:dyDescent="0.25">
      <c r="A16413" t="str">
        <f>HYPERLINK("https://www.773grp.com/globalSearch/NB2762ASNR2/page-1", "NB2762ASNR2")</f>
        <v>NB2762ASNR2</v>
      </c>
      <c r="B16413" s="3" t="s">
        <v>74</v>
      </c>
      <c r="C16413" s="6">
        <v>2500</v>
      </c>
      <c r="D16413" s="7">
        <v>5.01</v>
      </c>
      <c r="E16413" t="s">
        <v>65</v>
      </c>
    </row>
    <row r="16414" spans="1:5" x14ac:dyDescent="0.25">
      <c r="A16414" t="str">
        <f>HYPERLINK("https://www.773grp.com/globalSearch/NB2769ASNR2/page-1", "NB2769ASNR2")</f>
        <v>NB2769ASNR2</v>
      </c>
      <c r="B16414" s="3" t="s">
        <v>74</v>
      </c>
      <c r="C16414" s="6">
        <v>2500</v>
      </c>
      <c r="D16414" s="7">
        <v>5.01</v>
      </c>
      <c r="E16414" t="s">
        <v>65</v>
      </c>
    </row>
    <row r="16415" spans="1:5" x14ac:dyDescent="0.25">
      <c r="A16415" t="str">
        <f>HYPERLINK("https://www.773grp.com/globalSearch/NB2779ASNR2/page-1", "NB2779ASNR2")</f>
        <v>NB2779ASNR2</v>
      </c>
      <c r="B16415" s="3" t="s">
        <v>74</v>
      </c>
      <c r="C16415" s="6">
        <v>2500</v>
      </c>
      <c r="D16415" s="7">
        <v>5.01</v>
      </c>
      <c r="E16415" t="s">
        <v>65</v>
      </c>
    </row>
    <row r="16416" spans="1:5" x14ac:dyDescent="0.25">
      <c r="A16416" t="str">
        <f>HYPERLINK("https://www.773grp.com/globalSearch/NB2779ASNR2G/page-1", "NB2779ASNR2G")</f>
        <v>NB2779ASNR2G</v>
      </c>
      <c r="B16416" s="3" t="s">
        <v>74</v>
      </c>
      <c r="C16416" s="6">
        <v>4980</v>
      </c>
      <c r="D16416" s="7">
        <v>5.01</v>
      </c>
      <c r="E16416" t="s">
        <v>65</v>
      </c>
    </row>
    <row r="16417" spans="1:5" x14ac:dyDescent="0.25">
      <c r="A16417" t="str">
        <f>HYPERLINK("https://www.773grp.com/globalSearch/NB2780ASNR2/page-1", "NB2780ASNR2")</f>
        <v>NB2780ASNR2</v>
      </c>
      <c r="B16417" s="3" t="s">
        <v>74</v>
      </c>
      <c r="C16417" s="6">
        <v>2500</v>
      </c>
      <c r="D16417" s="7">
        <v>5.01</v>
      </c>
      <c r="E16417" t="s">
        <v>65</v>
      </c>
    </row>
    <row r="16418" spans="1:5" x14ac:dyDescent="0.25">
      <c r="A16418" t="str">
        <f>HYPERLINK("https://www.773grp.com/globalSearch/NB2869ASNR2/page-1", "NB2869ASNR2")</f>
        <v>NB2869ASNR2</v>
      </c>
      <c r="B16418" s="3" t="s">
        <v>74</v>
      </c>
      <c r="C16418" s="6">
        <v>2500</v>
      </c>
      <c r="D16418" s="7">
        <v>5.01</v>
      </c>
      <c r="E16418" t="s">
        <v>65</v>
      </c>
    </row>
    <row r="16419" spans="1:5" x14ac:dyDescent="0.25">
      <c r="A16419" t="str">
        <f>HYPERLINK("https://www.773grp.com/globalSearch/NB2870ASNR2/page-1", "NB2870ASNR2")</f>
        <v>NB2870ASNR2</v>
      </c>
      <c r="B16419" s="3" t="s">
        <v>74</v>
      </c>
      <c r="C16419" s="6">
        <v>2500</v>
      </c>
      <c r="D16419" s="7">
        <v>5.01</v>
      </c>
      <c r="E16419" t="s">
        <v>65</v>
      </c>
    </row>
    <row r="16420" spans="1:5" x14ac:dyDescent="0.25">
      <c r="A16420" t="str">
        <f>HYPERLINK("https://www.773grp.com/globalSearch/NB2872ASNR2/page-1", "NB2872ASNR2")</f>
        <v>NB2872ASNR2</v>
      </c>
      <c r="B16420" s="3" t="s">
        <v>74</v>
      </c>
      <c r="C16420" s="6">
        <v>2500</v>
      </c>
      <c r="D16420" s="7">
        <v>5.01</v>
      </c>
      <c r="E16420" t="s">
        <v>65</v>
      </c>
    </row>
    <row r="16421" spans="1:5" x14ac:dyDescent="0.25">
      <c r="A16421" t="str">
        <f>HYPERLINK("https://www.773grp.com/globalSearch/NB2879ASNR2/page-1", "NB2879ASNR2")</f>
        <v>NB2879ASNR2</v>
      </c>
      <c r="B16421" s="3" t="s">
        <v>74</v>
      </c>
      <c r="C16421" s="6">
        <v>2500</v>
      </c>
      <c r="D16421" s="7">
        <v>5.01</v>
      </c>
      <c r="E16421" t="s">
        <v>65</v>
      </c>
    </row>
    <row r="16422" spans="1:5" x14ac:dyDescent="0.25">
      <c r="A16422" t="str">
        <f>HYPERLINK("https://www.773grp.com/globalSearch/NB2969ASNR2/page-1", "NB2969ASNR2")</f>
        <v>NB2969ASNR2</v>
      </c>
      <c r="B16422" s="3" t="s">
        <v>74</v>
      </c>
      <c r="C16422" s="6">
        <v>2500</v>
      </c>
      <c r="D16422" s="7">
        <v>5.01</v>
      </c>
      <c r="E16422" t="s">
        <v>65</v>
      </c>
    </row>
    <row r="16423" spans="1:5" x14ac:dyDescent="0.25">
      <c r="A16423" t="str">
        <f>HYPERLINK("https://www.773grp.com/globalSearch/NCP1034DR2G/page-1", "NCP1034DR2G")</f>
        <v>NCP1034DR2G</v>
      </c>
      <c r="B16423" s="3" t="s">
        <v>74</v>
      </c>
      <c r="C16423" s="6">
        <v>39975</v>
      </c>
      <c r="D16423" s="7">
        <v>5.01</v>
      </c>
      <c r="E16423" t="s">
        <v>5</v>
      </c>
    </row>
    <row r="16424" spans="1:5" x14ac:dyDescent="0.25">
      <c r="A16424" t="str">
        <f>HYPERLINK("https://www.773grp.com/globalSearch/NCP1852FCCT1G/page-1", "NCP1852FCCT1G")</f>
        <v>NCP1852FCCT1G</v>
      </c>
      <c r="B16424" s="3" t="s">
        <v>74</v>
      </c>
      <c r="C16424" s="6">
        <v>18000</v>
      </c>
      <c r="D16424" s="7">
        <v>5.01</v>
      </c>
    </row>
    <row r="16425" spans="1:5" x14ac:dyDescent="0.25">
      <c r="A16425" t="str">
        <f>HYPERLINK("https://www.773grp.com/globalSearch/NCP5381AMNR2G/page-1", "NCP5381AMNR2G")</f>
        <v>NCP5381AMNR2G</v>
      </c>
      <c r="B16425" s="3" t="s">
        <v>74</v>
      </c>
      <c r="C16425" s="6">
        <v>2480</v>
      </c>
      <c r="D16425" s="7">
        <v>5.01</v>
      </c>
    </row>
    <row r="16426" spans="1:5" x14ac:dyDescent="0.25">
      <c r="A16426" t="str">
        <f>HYPERLINK("https://www.773grp.com/globalSearch/NJL21193DG/page-1", "NJL21193DG")</f>
        <v>NJL21193DG</v>
      </c>
      <c r="B16426" s="3" t="s">
        <v>74</v>
      </c>
      <c r="C16426" s="6">
        <v>4156</v>
      </c>
      <c r="D16426" s="7">
        <v>5.01</v>
      </c>
      <c r="E16426" t="s">
        <v>47</v>
      </c>
    </row>
    <row r="16427" spans="1:5" x14ac:dyDescent="0.25">
      <c r="A16427" t="str">
        <f>HYPERLINK("https://www.773grp.com/globalSearch/NJL21194DG/page-1", "NJL21194DG")</f>
        <v>NJL21194DG</v>
      </c>
      <c r="B16427" s="3" t="s">
        <v>74</v>
      </c>
      <c r="C16427" s="6">
        <v>4744</v>
      </c>
      <c r="D16427" s="7">
        <v>5.01</v>
      </c>
      <c r="E16427" t="s">
        <v>47</v>
      </c>
    </row>
    <row r="16428" spans="1:5" x14ac:dyDescent="0.25">
      <c r="A16428" t="str">
        <f>HYPERLINK("https://www.773grp.com/globalSearch/NLSX3378BFCT1G/page-1", "NLSX3378BFCT1G")</f>
        <v>NLSX3378BFCT1G</v>
      </c>
      <c r="B16428" s="3" t="s">
        <v>74</v>
      </c>
      <c r="C16428" s="6">
        <v>48000</v>
      </c>
      <c r="D16428" s="7">
        <v>5.01</v>
      </c>
      <c r="E16428" t="s">
        <v>11</v>
      </c>
    </row>
    <row r="16429" spans="1:5" x14ac:dyDescent="0.25">
      <c r="A16429" t="str">
        <f>HYPERLINK("https://www.773grp.com/globalSearch/NLSX3378FCT1G/page-1", "NLSX3378FCT1G")</f>
        <v>NLSX3378FCT1G</v>
      </c>
      <c r="B16429" s="3" t="s">
        <v>74</v>
      </c>
      <c r="C16429" s="6">
        <v>41756</v>
      </c>
      <c r="D16429" s="7">
        <v>5.01</v>
      </c>
      <c r="E16429" t="s">
        <v>11</v>
      </c>
    </row>
    <row r="16430" spans="1:5" x14ac:dyDescent="0.25">
      <c r="A16430" t="str">
        <f>HYPERLINK("https://www.773grp.com/globalSearch/NRVB120ESFT1G/page-1", "NRVB120ESFT1G")</f>
        <v>NRVB120ESFT1G</v>
      </c>
      <c r="B16430" s="3" t="s">
        <v>74</v>
      </c>
      <c r="C16430" s="6">
        <v>123000</v>
      </c>
      <c r="D16430" s="7">
        <v>5.01</v>
      </c>
    </row>
    <row r="16431" spans="1:5" x14ac:dyDescent="0.25">
      <c r="A16431" t="str">
        <f>HYPERLINK("https://www.773grp.com/globalSearch/NTB35N15G/page-1", "NTB35N15G")</f>
        <v>NTB35N15G</v>
      </c>
      <c r="B16431" s="3" t="s">
        <v>74</v>
      </c>
      <c r="C16431" s="6">
        <v>300</v>
      </c>
      <c r="D16431" s="7">
        <v>5.01</v>
      </c>
      <c r="E16431" t="s">
        <v>84</v>
      </c>
    </row>
    <row r="16432" spans="1:5" x14ac:dyDescent="0.25">
      <c r="A16432" t="str">
        <f>HYPERLINK("https://www.773grp.com/globalSearch/NTB75N06G/page-1", "NTB75N06G")</f>
        <v>NTB75N06G</v>
      </c>
      <c r="B16432" s="3" t="s">
        <v>74</v>
      </c>
      <c r="C16432" s="6">
        <v>2200</v>
      </c>
      <c r="D16432" s="7">
        <v>5.01</v>
      </c>
    </row>
    <row r="16433" spans="1:5" x14ac:dyDescent="0.25">
      <c r="A16433" t="str">
        <f>HYPERLINK("https://www.773grp.com/globalSearch/NTP30N20G/page-1", "NTP30N20G")</f>
        <v>NTP30N20G</v>
      </c>
      <c r="B16433" s="3" t="s">
        <v>74</v>
      </c>
      <c r="C16433" s="6">
        <v>72</v>
      </c>
      <c r="D16433" s="7">
        <v>5.01</v>
      </c>
      <c r="E16433" t="s">
        <v>84</v>
      </c>
    </row>
    <row r="16434" spans="1:5" x14ac:dyDescent="0.25">
      <c r="A16434" t="str">
        <f>HYPERLINK("https://www.773grp.com/globalSearch/STB75N06HDT4/page-1", "STB75N06HDT4")</f>
        <v>STB75N06HDT4</v>
      </c>
      <c r="B16434" s="3" t="s">
        <v>74</v>
      </c>
      <c r="C16434" s="6">
        <v>16800</v>
      </c>
      <c r="D16434" s="7">
        <v>5.01</v>
      </c>
    </row>
    <row r="16435" spans="1:5" x14ac:dyDescent="0.25">
      <c r="A16435" t="str">
        <f>HYPERLINK("https://www.773grp.com/globalSearch/CS2001YDWF20/page-1", "CS2001YDWF20")</f>
        <v>CS2001YDWF20</v>
      </c>
      <c r="B16435" s="3" t="s">
        <v>74</v>
      </c>
      <c r="C16435" s="6">
        <v>950</v>
      </c>
      <c r="D16435" s="7">
        <v>4.5599999999999996</v>
      </c>
      <c r="E16435" t="s">
        <v>5</v>
      </c>
    </row>
    <row r="16436" spans="1:5" x14ac:dyDescent="0.25">
      <c r="A16436" t="str">
        <f>HYPERLINK("https://www.773grp.com/globalSearch/LV8761V-MPB-E/page-1", "LV8761V-MPB-E")</f>
        <v>LV8761V-MPB-E</v>
      </c>
      <c r="B16436" s="3" t="s">
        <v>74</v>
      </c>
      <c r="C16436" s="6">
        <v>60</v>
      </c>
      <c r="D16436" s="7">
        <v>4.5599999999999996</v>
      </c>
    </row>
    <row r="16437" spans="1:5" x14ac:dyDescent="0.25">
      <c r="A16437" t="str">
        <f>HYPERLINK("https://www.773grp.com/globalSearch/BU323ZG/page-1", "BU323ZG")</f>
        <v>BU323ZG</v>
      </c>
      <c r="B16437" s="3" t="s">
        <v>74</v>
      </c>
      <c r="C16437" s="6">
        <v>4565</v>
      </c>
      <c r="D16437" s="7">
        <v>5.0599999999999996</v>
      </c>
      <c r="E16437" t="s">
        <v>47</v>
      </c>
    </row>
    <row r="16438" spans="1:5" x14ac:dyDescent="0.25">
      <c r="A16438" t="str">
        <f>HYPERLINK("https://www.773grp.com/globalSearch/CAT4101TVT75/page-1", "CAT4101TVT75")</f>
        <v>CAT4101TVT75</v>
      </c>
      <c r="B16438" s="3" t="s">
        <v>74</v>
      </c>
      <c r="C16438" s="6">
        <v>106</v>
      </c>
      <c r="D16438" s="7">
        <v>5.0599999999999996</v>
      </c>
    </row>
    <row r="16439" spans="1:5" x14ac:dyDescent="0.25">
      <c r="A16439" t="str">
        <f>HYPERLINK("https://www.773grp.com/globalSearch/CAT4101TV-T75/page-1", "CAT4101TV-T75")</f>
        <v>CAT4101TV-T75</v>
      </c>
      <c r="B16439" s="3" t="s">
        <v>74</v>
      </c>
      <c r="C16439" s="6">
        <v>6699</v>
      </c>
      <c r="D16439" s="7">
        <v>5.0599999999999996</v>
      </c>
    </row>
    <row r="16440" spans="1:5" x14ac:dyDescent="0.25">
      <c r="A16440" t="str">
        <f>HYPERLINK("https://www.773grp.com/globalSearch/CAT885ZI-LA-GT3/page-1", "CAT885ZI-LA-GT3")</f>
        <v>CAT885ZI-LA-GT3</v>
      </c>
      <c r="B16440" s="3" t="s">
        <v>74</v>
      </c>
      <c r="C16440" s="6">
        <v>12000</v>
      </c>
      <c r="D16440" s="7">
        <v>5.0599999999999996</v>
      </c>
    </row>
    <row r="16441" spans="1:5" x14ac:dyDescent="0.25">
      <c r="A16441" t="str">
        <f>HYPERLINK("https://www.773grp.com/globalSearch/CAT885ZI-LT-GT3/page-1", "CAT885ZI-LT-GT3")</f>
        <v>CAT885ZI-LT-GT3</v>
      </c>
      <c r="B16441" s="3" t="s">
        <v>74</v>
      </c>
      <c r="C16441" s="6">
        <v>6000</v>
      </c>
      <c r="D16441" s="7">
        <v>5.0599999999999996</v>
      </c>
      <c r="E16441" t="s">
        <v>26</v>
      </c>
    </row>
    <row r="16442" spans="1:5" x14ac:dyDescent="0.25">
      <c r="A16442" t="str">
        <f>HYPERLINK("https://www.773grp.com/globalSearch/CAT885ZI-SA-GT3/page-1", "CAT885ZI-SA-GT3")</f>
        <v>CAT885ZI-SA-GT3</v>
      </c>
      <c r="B16442" s="3" t="s">
        <v>74</v>
      </c>
      <c r="C16442" s="6">
        <v>9000</v>
      </c>
      <c r="D16442" s="7">
        <v>5.0599999999999996</v>
      </c>
      <c r="E16442" t="s">
        <v>26</v>
      </c>
    </row>
    <row r="16443" spans="1:5" x14ac:dyDescent="0.25">
      <c r="A16443" t="str">
        <f>HYPERLINK("https://www.773grp.com/globalSearch/CS51411EMNR2G/page-1", "CS51411EMNR2G")</f>
        <v>CS51411EMNR2G</v>
      </c>
      <c r="B16443" s="3" t="s">
        <v>74</v>
      </c>
      <c r="C16443" s="6">
        <v>1107</v>
      </c>
      <c r="D16443" s="7">
        <v>5.0599999999999996</v>
      </c>
      <c r="E16443" t="s">
        <v>5</v>
      </c>
    </row>
    <row r="16444" spans="1:5" x14ac:dyDescent="0.25">
      <c r="A16444" t="str">
        <f>HYPERLINK("https://www.773grp.com/globalSearch/CS8122YT5/page-1", "CS8122YT5")</f>
        <v>CS8122YT5</v>
      </c>
      <c r="B16444" s="3" t="s">
        <v>74</v>
      </c>
      <c r="C16444" s="6">
        <v>2678</v>
      </c>
      <c r="D16444" s="7">
        <v>5.0599999999999996</v>
      </c>
      <c r="E16444" t="s">
        <v>15</v>
      </c>
    </row>
    <row r="16445" spans="1:5" x14ac:dyDescent="0.25">
      <c r="A16445" t="str">
        <f>HYPERLINK("https://www.773grp.com/globalSearch/CS8122YT5G/page-1", "CS8122YT5G")</f>
        <v>CS8122YT5G</v>
      </c>
      <c r="B16445" s="3" t="s">
        <v>74</v>
      </c>
      <c r="C16445" s="6">
        <v>237650</v>
      </c>
      <c r="D16445" s="7">
        <v>5.0599999999999996</v>
      </c>
      <c r="E16445" t="s">
        <v>15</v>
      </c>
    </row>
    <row r="16446" spans="1:5" x14ac:dyDescent="0.25">
      <c r="A16446" t="str">
        <f>HYPERLINK("https://www.773grp.com/globalSearch/TIP35AG/page-1", "TIP35AG")</f>
        <v>TIP35AG</v>
      </c>
      <c r="B16446" s="3" t="s">
        <v>74</v>
      </c>
      <c r="C16446" s="6">
        <v>1079</v>
      </c>
      <c r="D16446" s="7">
        <v>5.0599999999999996</v>
      </c>
      <c r="E16446" t="s">
        <v>47</v>
      </c>
    </row>
    <row r="16447" spans="1:5" x14ac:dyDescent="0.25">
      <c r="A16447" t="str">
        <f>HYPERLINK("https://www.773grp.com/globalSearch/TIP35CG/page-1", "TIP35CG")</f>
        <v>TIP35CG</v>
      </c>
      <c r="B16447" s="3" t="s">
        <v>74</v>
      </c>
      <c r="C16447" s="6">
        <v>5630</v>
      </c>
      <c r="D16447" s="7">
        <v>5.0599999999999996</v>
      </c>
    </row>
    <row r="16448" spans="1:5" x14ac:dyDescent="0.25">
      <c r="A16448" t="str">
        <f>HYPERLINK("https://www.773grp.com/globalSearch/TIP36AG/page-1", "TIP36AG")</f>
        <v>TIP36AG</v>
      </c>
      <c r="B16448" s="3" t="s">
        <v>74</v>
      </c>
      <c r="C16448" s="6">
        <v>70</v>
      </c>
      <c r="D16448" s="7">
        <v>5.0599999999999996</v>
      </c>
      <c r="E16448" t="s">
        <v>47</v>
      </c>
    </row>
    <row r="16449" spans="1:5" x14ac:dyDescent="0.25">
      <c r="A16449" t="str">
        <f>HYPERLINK("https://www.773grp.com/globalSearch/TIP36CG/page-1", "TIP36CG")</f>
        <v>TIP36CG</v>
      </c>
      <c r="B16449" s="3" t="s">
        <v>74</v>
      </c>
      <c r="C16449" s="6">
        <v>460</v>
      </c>
      <c r="D16449" s="7">
        <v>5.0599999999999996</v>
      </c>
    </row>
    <row r="16450" spans="1:5" x14ac:dyDescent="0.25">
      <c r="A16450" t="str">
        <f>HYPERLINK("https://www.773grp.com/globalSearch/TIP36G/page-1", "TIP36G")</f>
        <v>TIP36G</v>
      </c>
      <c r="B16450" s="3" t="s">
        <v>74</v>
      </c>
      <c r="C16450" s="6">
        <v>1</v>
      </c>
      <c r="D16450" s="7">
        <v>5.0599999999999996</v>
      </c>
    </row>
    <row r="16451" spans="1:5" x14ac:dyDescent="0.25">
      <c r="A16451" t="str">
        <f>HYPERLINK("https://www.773grp.com/globalSearch/CS8126-1YDPSR7G/page-1", "CS8126-1YDPSR7G")</f>
        <v>CS8126-1YDPSR7G</v>
      </c>
      <c r="B16451" s="3" t="s">
        <v>74</v>
      </c>
      <c r="C16451" s="6">
        <v>2896</v>
      </c>
      <c r="D16451" s="7">
        <v>4.59</v>
      </c>
      <c r="E16451" t="s">
        <v>15</v>
      </c>
    </row>
    <row r="16452" spans="1:5" x14ac:dyDescent="0.25">
      <c r="A16452" t="str">
        <f>HYPERLINK("https://www.773grp.com/globalSearch/CS93303DR16/page-1", "CS93303DR16")</f>
        <v>CS93303DR16</v>
      </c>
      <c r="B16452" s="3" t="s">
        <v>74</v>
      </c>
      <c r="C16452" s="6">
        <v>129</v>
      </c>
      <c r="D16452" s="7">
        <v>4.59</v>
      </c>
    </row>
    <row r="16453" spans="1:5" x14ac:dyDescent="0.25">
      <c r="A16453" t="str">
        <f>HYPERLINK("https://www.773grp.com/globalSearch/MC10H131M/page-1", "MC10H131M")</f>
        <v>MC10H131M</v>
      </c>
      <c r="B16453" s="3" t="s">
        <v>74</v>
      </c>
      <c r="C16453" s="6">
        <v>4</v>
      </c>
      <c r="D16453" s="7">
        <v>4.59</v>
      </c>
      <c r="E16453" t="s">
        <v>31</v>
      </c>
    </row>
    <row r="16454" spans="1:5" x14ac:dyDescent="0.25">
      <c r="A16454" t="str">
        <f>HYPERLINK("https://www.773grp.com/globalSearch/MJ15022/page-1", "MJ15022")</f>
        <v>MJ15022</v>
      </c>
      <c r="B16454" s="3" t="s">
        <v>74</v>
      </c>
      <c r="C16454" s="6">
        <v>179</v>
      </c>
      <c r="D16454" s="7">
        <v>4.59</v>
      </c>
      <c r="E16454" t="s">
        <v>47</v>
      </c>
    </row>
    <row r="16455" spans="1:5" x14ac:dyDescent="0.25">
      <c r="A16455" t="str">
        <f>HYPERLINK("https://www.773grp.com/globalSearch/MJ15025/page-1", "MJ15025")</f>
        <v>MJ15025</v>
      </c>
      <c r="B16455" s="3" t="s">
        <v>74</v>
      </c>
      <c r="C16455" s="6">
        <v>1678</v>
      </c>
      <c r="D16455" s="7">
        <v>4.59</v>
      </c>
      <c r="E16455" t="s">
        <v>47</v>
      </c>
    </row>
    <row r="16456" spans="1:5" x14ac:dyDescent="0.25">
      <c r="A16456" t="str">
        <f>HYPERLINK("https://www.773grp.com/globalSearch/CS5101EDW16G/page-1", "CS5101EDW16G")</f>
        <v>CS5101EDW16G</v>
      </c>
      <c r="B16456" s="3" t="s">
        <v>74</v>
      </c>
      <c r="C16456" s="6">
        <v>4327</v>
      </c>
      <c r="D16456" s="7">
        <v>4.6100000000000003</v>
      </c>
      <c r="E16456" t="s">
        <v>5</v>
      </c>
    </row>
    <row r="16457" spans="1:5" x14ac:dyDescent="0.25">
      <c r="A16457" t="str">
        <f>HYPERLINK("https://www.773grp.com/globalSearch/CS5101EDWR16G/page-1", "CS5101EDWR16G")</f>
        <v>CS5101EDWR16G</v>
      </c>
      <c r="B16457" s="3" t="s">
        <v>74</v>
      </c>
      <c r="C16457" s="6">
        <v>7785</v>
      </c>
      <c r="D16457" s="7">
        <v>4.6100000000000003</v>
      </c>
      <c r="E16457" t="s">
        <v>5</v>
      </c>
    </row>
    <row r="16458" spans="1:5" x14ac:dyDescent="0.25">
      <c r="A16458" t="str">
        <f>HYPERLINK("https://www.773grp.com/globalSearch/CS5101EN14G/page-1", "CS5101EN14G")</f>
        <v>CS5101EN14G</v>
      </c>
      <c r="B16458" s="3" t="s">
        <v>74</v>
      </c>
      <c r="C16458" s="6">
        <v>1201</v>
      </c>
      <c r="D16458" s="7">
        <v>4.6100000000000003</v>
      </c>
      <c r="E16458" t="s">
        <v>5</v>
      </c>
    </row>
    <row r="16459" spans="1:5" x14ac:dyDescent="0.25">
      <c r="A16459" t="str">
        <f>HYPERLINK("https://www.773grp.com/globalSearch/CS8391YDP5/page-1", "CS8391YDP5")</f>
        <v>CS8391YDP5</v>
      </c>
      <c r="B16459" s="3" t="s">
        <v>74</v>
      </c>
      <c r="C16459" s="6">
        <v>250</v>
      </c>
      <c r="D16459" s="7">
        <v>5.1100000000000003</v>
      </c>
      <c r="E16459" t="s">
        <v>39</v>
      </c>
    </row>
    <row r="16460" spans="1:5" x14ac:dyDescent="0.25">
      <c r="A16460" t="str">
        <f>HYPERLINK("https://www.773grp.com/globalSearch/CS8391YDPR5/page-1", "CS8391YDPR5")</f>
        <v>CS8391YDPR5</v>
      </c>
      <c r="B16460" s="3" t="s">
        <v>74</v>
      </c>
      <c r="C16460" s="6">
        <v>9000</v>
      </c>
      <c r="D16460" s="7">
        <v>5.1100000000000003</v>
      </c>
      <c r="E16460" t="s">
        <v>39</v>
      </c>
    </row>
    <row r="16461" spans="1:5" x14ac:dyDescent="0.25">
      <c r="A16461" t="str">
        <f>HYPERLINK("https://www.773grp.com/globalSearch/LV5768M-TLM-H/page-1", "LV5768M-TLM-H")</f>
        <v>LV5768M-TLM-H</v>
      </c>
      <c r="B16461" s="3" t="s">
        <v>74</v>
      </c>
      <c r="C16461" s="6">
        <v>51000</v>
      </c>
      <c r="D16461" s="7">
        <v>5.1100000000000003</v>
      </c>
    </row>
    <row r="16462" spans="1:5" x14ac:dyDescent="0.25">
      <c r="A16462" t="str">
        <f>HYPERLINK("https://www.773grp.com/globalSearch/MC10124L/page-1", "MC10124L")</f>
        <v>MC10124L</v>
      </c>
      <c r="B16462" s="3" t="s">
        <v>74</v>
      </c>
      <c r="C16462" s="6">
        <v>11961</v>
      </c>
      <c r="D16462" s="7">
        <v>5.1100000000000003</v>
      </c>
      <c r="E16462" t="s">
        <v>61</v>
      </c>
    </row>
    <row r="16463" spans="1:5" x14ac:dyDescent="0.25">
      <c r="A16463" t="str">
        <f>HYPERLINK("https://www.773grp.com/globalSearch/MCR265-006/page-1", "MCR265-006")</f>
        <v>MCR265-006</v>
      </c>
      <c r="B16463" s="3" t="s">
        <v>74</v>
      </c>
      <c r="C16463" s="6">
        <v>46528</v>
      </c>
      <c r="D16463" s="7">
        <v>5.1100000000000003</v>
      </c>
    </row>
    <row r="16464" spans="1:5" x14ac:dyDescent="0.25">
      <c r="A16464" t="str">
        <f>HYPERLINK("https://www.773grp.com/globalSearch/NCP3122MNTXG/page-1", "NCP3122MNTXG")</f>
        <v>NCP3122MNTXG</v>
      </c>
      <c r="B16464" s="3" t="s">
        <v>74</v>
      </c>
      <c r="C16464" s="6">
        <v>16001</v>
      </c>
      <c r="D16464" s="7">
        <v>5.1100000000000003</v>
      </c>
      <c r="E16464" t="s">
        <v>5</v>
      </c>
    </row>
    <row r="16465" spans="1:5" x14ac:dyDescent="0.25">
      <c r="A16465" t="str">
        <f>HYPERLINK("https://www.773grp.com/globalSearch/NCP5201MNR2G/page-1", "NCP5201MNR2G")</f>
        <v>NCP5201MNR2G</v>
      </c>
      <c r="B16465" s="3" t="s">
        <v>74</v>
      </c>
      <c r="C16465" s="6">
        <v>2435</v>
      </c>
      <c r="D16465" s="7">
        <v>5.1100000000000003</v>
      </c>
      <c r="E16465" t="s">
        <v>26</v>
      </c>
    </row>
    <row r="16466" spans="1:5" x14ac:dyDescent="0.25">
      <c r="A16466" t="str">
        <f>HYPERLINK("https://www.773grp.com/globalSearch/NCV2574DW-ADJR2/page-1", "NCV2574DW-ADJR2")</f>
        <v>NCV2574DW-ADJR2</v>
      </c>
      <c r="B16466" s="3" t="s">
        <v>74</v>
      </c>
      <c r="C16466" s="6">
        <v>1977</v>
      </c>
      <c r="D16466" s="7">
        <v>5.1100000000000003</v>
      </c>
      <c r="E16466" t="s">
        <v>5</v>
      </c>
    </row>
    <row r="16467" spans="1:5" x14ac:dyDescent="0.25">
      <c r="A16467" t="str">
        <f>HYPERLINK("https://www.773grp.com/globalSearch/NCV2574DW-ADJR2G/page-1", "NCV2574DW-ADJR2G")</f>
        <v>NCV2574DW-ADJR2G</v>
      </c>
      <c r="B16467" s="3" t="s">
        <v>74</v>
      </c>
      <c r="C16467" s="6">
        <v>176</v>
      </c>
      <c r="D16467" s="7">
        <v>5.1100000000000003</v>
      </c>
    </row>
    <row r="16468" spans="1:5" x14ac:dyDescent="0.25">
      <c r="A16468" t="str">
        <f>HYPERLINK("https://www.773grp.com/globalSearch/NCV8508DW50G/page-1", "NCV8508DW50G")</f>
        <v>NCV8508DW50G</v>
      </c>
      <c r="B16468" s="3" t="s">
        <v>74</v>
      </c>
      <c r="C16468" s="6">
        <v>3659</v>
      </c>
      <c r="D16468" s="7">
        <v>5.1100000000000003</v>
      </c>
    </row>
    <row r="16469" spans="1:5" x14ac:dyDescent="0.25">
      <c r="A16469" t="str">
        <f>HYPERLINK("https://www.773grp.com/globalSearch/CS5323GDW20/page-1", "CS5323GDW20")</f>
        <v>CS5323GDW20</v>
      </c>
      <c r="B16469" s="3" t="s">
        <v>74</v>
      </c>
      <c r="C16469" s="6">
        <v>52</v>
      </c>
      <c r="D16469" s="7">
        <v>4.6399999999999997</v>
      </c>
      <c r="E16469" t="s">
        <v>5</v>
      </c>
    </row>
    <row r="16470" spans="1:5" x14ac:dyDescent="0.25">
      <c r="A16470" t="str">
        <f>HYPERLINK("https://www.773grp.com/globalSearch/CS5323GDWR20/page-1", "CS5323GDWR20")</f>
        <v>CS5323GDWR20</v>
      </c>
      <c r="B16470" s="3" t="s">
        <v>74</v>
      </c>
      <c r="C16470" s="6">
        <v>1000</v>
      </c>
      <c r="D16470" s="7">
        <v>4.6399999999999997</v>
      </c>
      <c r="E16470" t="s">
        <v>5</v>
      </c>
    </row>
    <row r="16471" spans="1:5" x14ac:dyDescent="0.25">
      <c r="A16471" t="str">
        <f>HYPERLINK("https://www.773grp.com/globalSearch/LA1780MA-A-MPB-E/page-1", "LA1780MA-A-MPB-E")</f>
        <v>LA1780MA-A-MPB-E</v>
      </c>
      <c r="B16471" s="3" t="s">
        <v>74</v>
      </c>
      <c r="C16471" s="6">
        <v>54000</v>
      </c>
      <c r="D16471" s="7">
        <v>4.6399999999999997</v>
      </c>
    </row>
    <row r="16472" spans="1:5" x14ac:dyDescent="0.25">
      <c r="A16472" t="str">
        <f>HYPERLINK("https://www.773grp.com/globalSearch/NGTB50N60FLWG/page-1", "NGTB50N60FLWG")</f>
        <v>NGTB50N60FLWG</v>
      </c>
      <c r="B16472" s="3" t="s">
        <v>74</v>
      </c>
      <c r="C16472" s="6">
        <v>120</v>
      </c>
      <c r="D16472" s="7">
        <v>4.6399999999999997</v>
      </c>
    </row>
    <row r="16473" spans="1:5" x14ac:dyDescent="0.25">
      <c r="A16473" t="str">
        <f>HYPERLINK("https://www.773grp.com/globalSearch/2SK4085LS-1E/page-1", "2SK4085LS-1E")</f>
        <v>2SK4085LS-1E</v>
      </c>
      <c r="B16473" s="3" t="s">
        <v>74</v>
      </c>
      <c r="C16473" s="6">
        <v>45000</v>
      </c>
      <c r="D16473" s="7">
        <v>5.16</v>
      </c>
    </row>
    <row r="16474" spans="1:5" x14ac:dyDescent="0.25">
      <c r="A16474" t="str">
        <f>HYPERLINK("https://www.773grp.com/globalSearch/ADT7473ARQZ/page-1", "ADT7473ARQZ")</f>
        <v>ADT7473ARQZ</v>
      </c>
      <c r="B16474" s="3" t="s">
        <v>74</v>
      </c>
      <c r="C16474" s="6">
        <v>392</v>
      </c>
      <c r="D16474" s="7">
        <v>5.16</v>
      </c>
      <c r="E16474" t="s">
        <v>9</v>
      </c>
    </row>
    <row r="16475" spans="1:5" x14ac:dyDescent="0.25">
      <c r="A16475" t="str">
        <f>HYPERLINK("https://www.773grp.com/globalSearch/CS51021AED16/page-1", "CS51021AED16")</f>
        <v>CS51021AED16</v>
      </c>
      <c r="B16475" s="3" t="s">
        <v>74</v>
      </c>
      <c r="C16475" s="6">
        <v>1734</v>
      </c>
      <c r="D16475" s="7">
        <v>5.16</v>
      </c>
      <c r="E16475" t="s">
        <v>5</v>
      </c>
    </row>
    <row r="16476" spans="1:5" x14ac:dyDescent="0.25">
      <c r="A16476" t="str">
        <f>HYPERLINK("https://www.773grp.com/globalSearch/CS51022AED16/page-1", "CS51022AED16")</f>
        <v>CS51022AED16</v>
      </c>
      <c r="B16476" s="3" t="s">
        <v>74</v>
      </c>
      <c r="C16476" s="6">
        <v>1824</v>
      </c>
      <c r="D16476" s="7">
        <v>5.16</v>
      </c>
      <c r="E16476" t="s">
        <v>5</v>
      </c>
    </row>
    <row r="16477" spans="1:5" x14ac:dyDescent="0.25">
      <c r="A16477" t="str">
        <f>HYPERLINK("https://www.773grp.com/globalSearch/CS51024AED16/page-1", "CS51024AED16")</f>
        <v>CS51024AED16</v>
      </c>
      <c r="B16477" s="3" t="s">
        <v>74</v>
      </c>
      <c r="C16477" s="6">
        <v>2016</v>
      </c>
      <c r="D16477" s="7">
        <v>5.16</v>
      </c>
      <c r="E16477" t="s">
        <v>5</v>
      </c>
    </row>
    <row r="16478" spans="1:5" x14ac:dyDescent="0.25">
      <c r="A16478" t="str">
        <f>HYPERLINK("https://www.773grp.com/globalSearch/CS51024AEDR16/page-1", "CS51024AEDR16")</f>
        <v>CS51024AEDR16</v>
      </c>
      <c r="B16478" s="3" t="s">
        <v>74</v>
      </c>
      <c r="C16478" s="6">
        <v>5000</v>
      </c>
      <c r="D16478" s="7">
        <v>5.16</v>
      </c>
      <c r="E16478" t="s">
        <v>5</v>
      </c>
    </row>
    <row r="16479" spans="1:5" x14ac:dyDescent="0.25">
      <c r="A16479" t="str">
        <f>HYPERLINK("https://www.773grp.com/globalSearch/CS51220ED16/page-1", "CS51220ED16")</f>
        <v>CS51220ED16</v>
      </c>
      <c r="B16479" s="3" t="s">
        <v>74</v>
      </c>
      <c r="C16479" s="6">
        <v>4704</v>
      </c>
      <c r="D16479" s="7">
        <v>5.16</v>
      </c>
      <c r="E16479" t="s">
        <v>5</v>
      </c>
    </row>
    <row r="16480" spans="1:5" x14ac:dyDescent="0.25">
      <c r="A16480" t="str">
        <f>HYPERLINK("https://www.773grp.com/globalSearch/LB11923V-TLM-E/page-1", "LB11923V-TLM-E")</f>
        <v>LB11923V-TLM-E</v>
      </c>
      <c r="B16480" s="3" t="s">
        <v>74</v>
      </c>
      <c r="C16480" s="6">
        <v>20000</v>
      </c>
      <c r="D16480" s="7">
        <v>5.16</v>
      </c>
    </row>
    <row r="16481" spans="1:5" x14ac:dyDescent="0.25">
      <c r="A16481" t="str">
        <f>HYPERLINK("https://www.773grp.com/globalSearch/MBRB2515LG/page-1", "MBRB2515LG")</f>
        <v>MBRB2515LG</v>
      </c>
      <c r="B16481" s="3" t="s">
        <v>74</v>
      </c>
      <c r="C16481" s="6">
        <v>450</v>
      </c>
      <c r="D16481" s="7">
        <v>5.16</v>
      </c>
      <c r="E16481" t="s">
        <v>82</v>
      </c>
    </row>
    <row r="16482" spans="1:5" x14ac:dyDescent="0.25">
      <c r="A16482" t="str">
        <f>HYPERLINK("https://www.773grp.com/globalSearch/MBRB2515LT4G/page-1", "MBRB2515LT4G")</f>
        <v>MBRB2515LT4G</v>
      </c>
      <c r="B16482" s="3" t="s">
        <v>74</v>
      </c>
      <c r="C16482" s="6">
        <v>2400</v>
      </c>
      <c r="D16482" s="7">
        <v>5.16</v>
      </c>
    </row>
    <row r="16483" spans="1:5" x14ac:dyDescent="0.25">
      <c r="A16483" t="str">
        <f>HYPERLINK("https://www.773grp.com/globalSearch/MBRB2535CTLG/page-1", "MBRB2535CTLG")</f>
        <v>MBRB2535CTLG</v>
      </c>
      <c r="B16483" s="3" t="s">
        <v>74</v>
      </c>
      <c r="C16483" s="6">
        <v>410</v>
      </c>
      <c r="D16483" s="7">
        <v>5.16</v>
      </c>
    </row>
    <row r="16484" spans="1:5" x14ac:dyDescent="0.25">
      <c r="A16484" t="str">
        <f>HYPERLINK("https://www.773grp.com/globalSearch/MBRB2535CTLT4G/page-1", "MBRB2535CTLT4G")</f>
        <v>MBRB2535CTLT4G</v>
      </c>
      <c r="B16484" s="3" t="s">
        <v>74</v>
      </c>
      <c r="C16484" s="6">
        <v>5640</v>
      </c>
      <c r="D16484" s="7">
        <v>5.16</v>
      </c>
      <c r="E16484" t="s">
        <v>82</v>
      </c>
    </row>
    <row r="16485" spans="1:5" x14ac:dyDescent="0.25">
      <c r="A16485" t="str">
        <f>HYPERLINK("https://www.773grp.com/globalSearch/MGB20N36CL/page-1", "MGB20N36CL")</f>
        <v>MGB20N36CL</v>
      </c>
      <c r="B16485" s="3" t="s">
        <v>74</v>
      </c>
      <c r="C16485" s="6">
        <v>750</v>
      </c>
      <c r="D16485" s="7">
        <v>5.16</v>
      </c>
    </row>
    <row r="16486" spans="1:5" x14ac:dyDescent="0.25">
      <c r="A16486" t="str">
        <f>HYPERLINK("https://www.773grp.com/globalSearch/NCV4276DS33R4/page-1", "NCV4276DS33R4")</f>
        <v>NCV4276DS33R4</v>
      </c>
      <c r="B16486" s="3" t="s">
        <v>74</v>
      </c>
      <c r="C16486" s="6">
        <v>500</v>
      </c>
      <c r="D16486" s="7">
        <v>5.16</v>
      </c>
      <c r="E16486" t="s">
        <v>15</v>
      </c>
    </row>
    <row r="16487" spans="1:5" x14ac:dyDescent="0.25">
      <c r="A16487" t="str">
        <f>HYPERLINK("https://www.773grp.com/globalSearch/NTB12N50/page-1", "NTB12N50")</f>
        <v>NTB12N50</v>
      </c>
      <c r="B16487" s="3" t="s">
        <v>74</v>
      </c>
      <c r="C16487" s="6">
        <v>2</v>
      </c>
      <c r="D16487" s="7">
        <v>5.16</v>
      </c>
      <c r="E16487" t="s">
        <v>84</v>
      </c>
    </row>
    <row r="16488" spans="1:5" x14ac:dyDescent="0.25">
      <c r="A16488" t="str">
        <f>HYPERLINK("https://www.773grp.com/globalSearch/SGB15N40CLT4/page-1", "SGB15N40CLT4")</f>
        <v>SGB15N40CLT4</v>
      </c>
      <c r="B16488" s="3" t="s">
        <v>74</v>
      </c>
      <c r="C16488" s="6">
        <v>8800</v>
      </c>
      <c r="D16488" s="7">
        <v>5.16</v>
      </c>
    </row>
    <row r="16489" spans="1:5" x14ac:dyDescent="0.25">
      <c r="A16489" t="str">
        <f>HYPERLINK("https://www.773grp.com/globalSearch/SGB20N35CLT4/page-1", "SGB20N35CLT4")</f>
        <v>SGB20N35CLT4</v>
      </c>
      <c r="B16489" s="3" t="s">
        <v>74</v>
      </c>
      <c r="C16489" s="6">
        <v>1600</v>
      </c>
      <c r="D16489" s="7">
        <v>5.16</v>
      </c>
    </row>
    <row r="16490" spans="1:5" x14ac:dyDescent="0.25">
      <c r="A16490" t="str">
        <f>HYPERLINK("https://www.773grp.com/globalSearch/CS5253-1GDPR5/page-1", "CS5253-1GDPR5")</f>
        <v>CS5253-1GDPR5</v>
      </c>
      <c r="B16490" s="3" t="s">
        <v>74</v>
      </c>
      <c r="C16490" s="6">
        <v>579</v>
      </c>
      <c r="D16490" s="7">
        <v>4.6900000000000004</v>
      </c>
      <c r="E16490" t="s">
        <v>21</v>
      </c>
    </row>
    <row r="16491" spans="1:5" x14ac:dyDescent="0.25">
      <c r="A16491" t="str">
        <f>HYPERLINK("https://www.773grp.com/globalSearch/CS8129YDWR16G/page-1", "CS8129YDWR16G")</f>
        <v>CS8129YDWR16G</v>
      </c>
      <c r="B16491" s="3" t="s">
        <v>74</v>
      </c>
      <c r="C16491" s="6">
        <v>2000</v>
      </c>
      <c r="D16491" s="7">
        <v>4.6900000000000004</v>
      </c>
      <c r="E16491" t="s">
        <v>15</v>
      </c>
    </row>
    <row r="16492" spans="1:5" x14ac:dyDescent="0.25">
      <c r="A16492" t="str">
        <f>HYPERLINK("https://www.773grp.com/globalSearch/CS8190EDWFR20/page-1", "CS8190EDWFR20")</f>
        <v>CS8190EDWFR20</v>
      </c>
      <c r="B16492" s="3" t="s">
        <v>74</v>
      </c>
      <c r="C16492" s="6">
        <v>1000</v>
      </c>
      <c r="D16492" s="7">
        <v>4.6900000000000004</v>
      </c>
      <c r="E16492" t="s">
        <v>8</v>
      </c>
    </row>
    <row r="16493" spans="1:5" x14ac:dyDescent="0.25">
      <c r="A16493" t="str">
        <f>HYPERLINK("https://www.773grp.com/globalSearch/LV8411GR-E/page-1", "LV8411GR-E")</f>
        <v>LV8411GR-E</v>
      </c>
      <c r="B16493" s="3" t="s">
        <v>74</v>
      </c>
      <c r="C16493" s="6">
        <v>100</v>
      </c>
      <c r="D16493" s="7">
        <v>4.7300000000000004</v>
      </c>
    </row>
    <row r="16494" spans="1:5" x14ac:dyDescent="0.25">
      <c r="A16494" t="str">
        <f>HYPERLINK("https://www.773grp.com/globalSearch/LV8411GR-TE-L-E/page-1", "LV8411GR-TE-L-E")</f>
        <v>LV8411GR-TE-L-E</v>
      </c>
      <c r="B16494" s="3" t="s">
        <v>74</v>
      </c>
      <c r="C16494" s="6">
        <v>59</v>
      </c>
      <c r="D16494" s="7">
        <v>4.7300000000000004</v>
      </c>
    </row>
    <row r="16495" spans="1:5" x14ac:dyDescent="0.25">
      <c r="A16495" t="str">
        <f>HYPERLINK("https://www.773grp.com/globalSearch/MC74F299N/page-1", "MC74F299N")</f>
        <v>MC74F299N</v>
      </c>
      <c r="B16495" s="3" t="s">
        <v>74</v>
      </c>
      <c r="C16495" s="6">
        <v>1213</v>
      </c>
      <c r="D16495" s="7">
        <v>4.7300000000000004</v>
      </c>
      <c r="E16495" t="s">
        <v>28</v>
      </c>
    </row>
    <row r="16496" spans="1:5" x14ac:dyDescent="0.25">
      <c r="A16496" t="str">
        <f>HYPERLINK("https://www.773grp.com/globalSearch/ADT7475ARQZ-REEL/page-1", "ADT7475ARQZ-REEL")</f>
        <v>ADT7475ARQZ-REEL</v>
      </c>
      <c r="B16496" s="3" t="s">
        <v>74</v>
      </c>
      <c r="C16496" s="6">
        <v>10000</v>
      </c>
      <c r="D16496" s="7">
        <v>5.21</v>
      </c>
    </row>
    <row r="16497" spans="1:5" x14ac:dyDescent="0.25">
      <c r="A16497" t="str">
        <f>HYPERLINK("https://www.773grp.com/globalSearch/CS5253B-8GDPR5G/page-1", "CS5253B-8GDPR5G")</f>
        <v>CS5253B-8GDPR5G</v>
      </c>
      <c r="B16497" s="3" t="s">
        <v>74</v>
      </c>
      <c r="C16497" s="6">
        <v>266244</v>
      </c>
      <c r="D16497" s="7">
        <v>5.21</v>
      </c>
      <c r="E16497" t="s">
        <v>15</v>
      </c>
    </row>
    <row r="16498" spans="1:5" x14ac:dyDescent="0.25">
      <c r="A16498" t="str">
        <f>HYPERLINK("https://www.773grp.com/globalSearch/CS8135YTHA5/page-1", "CS8135YTHA5")</f>
        <v>CS8135YTHA5</v>
      </c>
      <c r="B16498" s="3" t="s">
        <v>74</v>
      </c>
      <c r="C16498" s="6">
        <v>7003</v>
      </c>
      <c r="D16498" s="7">
        <v>5.21</v>
      </c>
      <c r="E16498" t="s">
        <v>39</v>
      </c>
    </row>
    <row r="16499" spans="1:5" x14ac:dyDescent="0.25">
      <c r="A16499" t="str">
        <f>HYPERLINK("https://www.773grp.com/globalSearch/CS8151YT7G/page-1", "CS8151YT7G")</f>
        <v>CS8151YT7G</v>
      </c>
      <c r="B16499" s="3" t="s">
        <v>74</v>
      </c>
      <c r="C16499" s="6">
        <v>500</v>
      </c>
      <c r="D16499" s="7">
        <v>5.21</v>
      </c>
      <c r="E16499" t="s">
        <v>15</v>
      </c>
    </row>
    <row r="16500" spans="1:5" x14ac:dyDescent="0.25">
      <c r="A16500" t="str">
        <f>HYPERLINK("https://www.773grp.com/globalSearch/MC10121FN/page-1", "MC10121FN")</f>
        <v>MC10121FN</v>
      </c>
      <c r="B16500" s="3" t="s">
        <v>74</v>
      </c>
      <c r="C16500" s="6">
        <v>218</v>
      </c>
      <c r="D16500" s="7">
        <v>5.21</v>
      </c>
      <c r="E16500" t="s">
        <v>27</v>
      </c>
    </row>
    <row r="16501" spans="1:5" x14ac:dyDescent="0.25">
      <c r="A16501" t="str">
        <f>HYPERLINK("https://www.773grp.com/globalSearch/MC74AC259MELG/page-1", "MC74AC259MELG")</f>
        <v>MC74AC259MELG</v>
      </c>
      <c r="B16501" s="3" t="s">
        <v>74</v>
      </c>
      <c r="C16501" s="6">
        <v>3155</v>
      </c>
      <c r="D16501" s="7">
        <v>5.21</v>
      </c>
      <c r="E16501" t="s">
        <v>31</v>
      </c>
    </row>
    <row r="16502" spans="1:5" x14ac:dyDescent="0.25">
      <c r="A16502" t="str">
        <f>HYPERLINK("https://www.773grp.com/globalSearch/MC74AC259MG/page-1", "MC74AC259MG")</f>
        <v>MC74AC259MG</v>
      </c>
      <c r="B16502" s="3" t="s">
        <v>74</v>
      </c>
      <c r="C16502" s="6">
        <v>300</v>
      </c>
      <c r="D16502" s="7">
        <v>5.21</v>
      </c>
      <c r="E16502" t="s">
        <v>31</v>
      </c>
    </row>
    <row r="16503" spans="1:5" x14ac:dyDescent="0.25">
      <c r="A16503" t="str">
        <f>HYPERLINK("https://www.773grp.com/globalSearch/MC74AC259NG/page-1", "MC74AC259NG")</f>
        <v>MC74AC259NG</v>
      </c>
      <c r="B16503" s="3" t="s">
        <v>74</v>
      </c>
      <c r="C16503" s="6">
        <v>910</v>
      </c>
      <c r="D16503" s="7">
        <v>5.21</v>
      </c>
      <c r="E16503" t="s">
        <v>31</v>
      </c>
    </row>
    <row r="16504" spans="1:5" x14ac:dyDescent="0.25">
      <c r="A16504" t="str">
        <f>HYPERLINK("https://www.773grp.com/globalSearch/MC74ACT259NG/page-1", "MC74ACT259NG")</f>
        <v>MC74ACT259NG</v>
      </c>
      <c r="B16504" s="3" t="s">
        <v>74</v>
      </c>
      <c r="C16504" s="6">
        <v>7550</v>
      </c>
      <c r="D16504" s="7">
        <v>5.21</v>
      </c>
      <c r="E16504" t="s">
        <v>31</v>
      </c>
    </row>
    <row r="16505" spans="1:5" x14ac:dyDescent="0.25">
      <c r="A16505" t="str">
        <f>HYPERLINK("https://www.773grp.com/globalSearch/NCP1082DER2G/page-1", "NCP1082DER2G")</f>
        <v>NCP1082DER2G</v>
      </c>
      <c r="B16505" s="3" t="s">
        <v>74</v>
      </c>
      <c r="C16505" s="6">
        <v>2500</v>
      </c>
      <c r="D16505" s="7">
        <v>5.21</v>
      </c>
    </row>
    <row r="16506" spans="1:5" x14ac:dyDescent="0.25">
      <c r="A16506" t="str">
        <f>HYPERLINK("https://www.773grp.com/globalSearch/NCP1083DEG/page-1", "NCP1083DEG")</f>
        <v>NCP1083DEG</v>
      </c>
      <c r="B16506" s="3" t="s">
        <v>74</v>
      </c>
      <c r="C16506" s="6">
        <v>32856</v>
      </c>
      <c r="D16506" s="7">
        <v>5.21</v>
      </c>
    </row>
    <row r="16507" spans="1:5" x14ac:dyDescent="0.25">
      <c r="A16507" t="str">
        <f>HYPERLINK("https://www.773grp.com/globalSearch/NCP1083DER2G/page-1", "NCP1083DER2G")</f>
        <v>NCP1083DER2G</v>
      </c>
      <c r="B16507" s="3" t="s">
        <v>74</v>
      </c>
      <c r="C16507" s="6">
        <v>2292</v>
      </c>
      <c r="D16507" s="7">
        <v>5.21</v>
      </c>
      <c r="E16507" t="s">
        <v>5</v>
      </c>
    </row>
    <row r="16508" spans="1:5" x14ac:dyDescent="0.25">
      <c r="A16508" t="str">
        <f>HYPERLINK("https://www.773grp.com/globalSearch/NCP1442T/page-1", "NCP1442T")</f>
        <v>NCP1442T</v>
      </c>
      <c r="B16508" s="3" t="s">
        <v>74</v>
      </c>
      <c r="C16508" s="6">
        <v>5579</v>
      </c>
      <c r="D16508" s="7">
        <v>5.21</v>
      </c>
      <c r="E16508" t="s">
        <v>5</v>
      </c>
    </row>
    <row r="16509" spans="1:5" x14ac:dyDescent="0.25">
      <c r="A16509" t="str">
        <f>HYPERLINK("https://www.773grp.com/globalSearch/NCP1443T/page-1", "NCP1443T")</f>
        <v>NCP1443T</v>
      </c>
      <c r="B16509" s="3" t="s">
        <v>74</v>
      </c>
      <c r="C16509" s="6">
        <v>3000</v>
      </c>
      <c r="D16509" s="7">
        <v>5.21</v>
      </c>
      <c r="E16509" t="s">
        <v>5</v>
      </c>
    </row>
    <row r="16510" spans="1:5" x14ac:dyDescent="0.25">
      <c r="A16510" t="str">
        <f>HYPERLINK("https://www.773grp.com/globalSearch/NCP1444T/page-1", "NCP1444T")</f>
        <v>NCP1444T</v>
      </c>
      <c r="B16510" s="3" t="s">
        <v>74</v>
      </c>
      <c r="C16510" s="6">
        <v>2930</v>
      </c>
      <c r="D16510" s="7">
        <v>5.21</v>
      </c>
      <c r="E16510" t="s">
        <v>5</v>
      </c>
    </row>
    <row r="16511" spans="1:5" x14ac:dyDescent="0.25">
      <c r="A16511" t="str">
        <f>HYPERLINK("https://www.773grp.com/globalSearch/NCP1445T/page-1", "NCP1445T")</f>
        <v>NCP1445T</v>
      </c>
      <c r="B16511" s="3" t="s">
        <v>74</v>
      </c>
      <c r="C16511" s="6">
        <v>5605</v>
      </c>
      <c r="D16511" s="7">
        <v>5.21</v>
      </c>
      <c r="E16511" t="s">
        <v>5</v>
      </c>
    </row>
    <row r="16512" spans="1:5" x14ac:dyDescent="0.25">
      <c r="A16512" t="str">
        <f>HYPERLINK("https://www.773grp.com/globalSearch/NCV8508D2T50R4G/page-1", "NCV8508D2T50R4G")</f>
        <v>NCV8508D2T50R4G</v>
      </c>
      <c r="B16512" s="3" t="s">
        <v>74</v>
      </c>
      <c r="C16512" s="6">
        <v>4751</v>
      </c>
      <c r="D16512" s="7">
        <v>5.21</v>
      </c>
      <c r="E16512" t="s">
        <v>15</v>
      </c>
    </row>
    <row r="16513" spans="1:5" x14ac:dyDescent="0.25">
      <c r="A16513" t="str">
        <f>HYPERLINK("https://www.773grp.com/globalSearch/NCV8518PWR2G/page-1", "NCV8518PWR2G")</f>
        <v>NCV8518PWR2G</v>
      </c>
      <c r="B16513" s="3" t="s">
        <v>74</v>
      </c>
      <c r="C16513" s="6">
        <v>4000</v>
      </c>
      <c r="D16513" s="7">
        <v>5.21</v>
      </c>
    </row>
    <row r="16514" spans="1:5" x14ac:dyDescent="0.25">
      <c r="A16514" t="str">
        <f>HYPERLINK("https://www.773grp.com/globalSearch/2N6284G/page-1", "2N6284G")</f>
        <v>2N6284G</v>
      </c>
      <c r="B16514" s="3" t="s">
        <v>74</v>
      </c>
      <c r="C16514" s="6">
        <v>801</v>
      </c>
      <c r="D16514" s="7">
        <v>4.76</v>
      </c>
      <c r="E16514" t="s">
        <v>47</v>
      </c>
    </row>
    <row r="16515" spans="1:5" x14ac:dyDescent="0.25">
      <c r="A16515" t="str">
        <f>HYPERLINK("https://www.773grp.com/globalSearch/MJ11012G/page-1", "MJ11012G")</f>
        <v>MJ11012G</v>
      </c>
      <c r="B16515" s="3" t="s">
        <v>74</v>
      </c>
      <c r="C16515" s="6">
        <v>550</v>
      </c>
      <c r="D16515" s="7">
        <v>4.76</v>
      </c>
      <c r="E16515" t="s">
        <v>47</v>
      </c>
    </row>
    <row r="16516" spans="1:5" x14ac:dyDescent="0.25">
      <c r="A16516" t="str">
        <f>HYPERLINK("https://www.773grp.com/globalSearch/MJ11016G/page-1", "MJ11016G")</f>
        <v>MJ11016G</v>
      </c>
      <c r="B16516" s="3" t="s">
        <v>74</v>
      </c>
      <c r="C16516" s="6">
        <v>11647</v>
      </c>
      <c r="D16516" s="7">
        <v>4.76</v>
      </c>
      <c r="E16516" t="s">
        <v>47</v>
      </c>
    </row>
    <row r="16517" spans="1:5" x14ac:dyDescent="0.25">
      <c r="A16517" t="str">
        <f>HYPERLINK("https://www.773grp.com/globalSearch/MC34025PG/page-1", "MC34025PG")</f>
        <v>MC34025PG</v>
      </c>
      <c r="B16517" s="3" t="s">
        <v>74</v>
      </c>
      <c r="C16517" s="6">
        <v>50</v>
      </c>
      <c r="D16517" s="7">
        <v>4.78</v>
      </c>
    </row>
    <row r="16518" spans="1:5" x14ac:dyDescent="0.25">
      <c r="A16518" t="str">
        <f>HYPERLINK("https://www.773grp.com/globalSearch/MJL21195G/page-1", "MJL21195G")</f>
        <v>MJL21195G</v>
      </c>
      <c r="B16518" s="3" t="s">
        <v>74</v>
      </c>
      <c r="C16518" s="6">
        <v>3709</v>
      </c>
      <c r="D16518" s="7">
        <v>4.78</v>
      </c>
      <c r="E16518" t="s">
        <v>47</v>
      </c>
    </row>
    <row r="16519" spans="1:5" x14ac:dyDescent="0.25">
      <c r="A16519" t="str">
        <f>HYPERLINK("https://www.773grp.com/globalSearch/MJL21196G/page-1", "MJL21196G")</f>
        <v>MJL21196G</v>
      </c>
      <c r="B16519" s="3" t="s">
        <v>74</v>
      </c>
      <c r="C16519" s="6">
        <v>314</v>
      </c>
      <c r="D16519" s="7">
        <v>4.78</v>
      </c>
      <c r="E16519" t="s">
        <v>47</v>
      </c>
    </row>
    <row r="16520" spans="1:5" x14ac:dyDescent="0.25">
      <c r="A16520" t="str">
        <f>HYPERLINK("https://www.773grp.com/globalSearch/MC10H158L/page-1", "MC10H158L")</f>
        <v>MC10H158L</v>
      </c>
      <c r="B16520" s="3" t="s">
        <v>74</v>
      </c>
      <c r="C16520" s="6">
        <v>514</v>
      </c>
      <c r="D16520" s="7">
        <v>4.8099999999999996</v>
      </c>
      <c r="E16520" t="s">
        <v>16</v>
      </c>
    </row>
    <row r="16521" spans="1:5" x14ac:dyDescent="0.25">
      <c r="A16521" t="str">
        <f>HYPERLINK("https://www.773grp.com/globalSearch/CS8140YTHA7/page-1", "CS8140YTHA7")</f>
        <v>CS8140YTHA7</v>
      </c>
      <c r="B16521" s="3" t="s">
        <v>74</v>
      </c>
      <c r="C16521" s="6">
        <v>6739</v>
      </c>
      <c r="D16521" s="7">
        <v>4.84</v>
      </c>
      <c r="E16521" t="s">
        <v>15</v>
      </c>
    </row>
    <row r="16522" spans="1:5" x14ac:dyDescent="0.25">
      <c r="A16522" t="str">
        <f>HYPERLINK("https://www.773grp.com/globalSearch/MBR4045WTG/page-1", "MBR4045WTG")</f>
        <v>MBR4045WTG</v>
      </c>
      <c r="B16522" s="3" t="s">
        <v>74</v>
      </c>
      <c r="C16522" s="6">
        <v>76</v>
      </c>
      <c r="D16522" s="7">
        <v>4.84</v>
      </c>
      <c r="E16522" t="s">
        <v>82</v>
      </c>
    </row>
    <row r="16523" spans="1:5" x14ac:dyDescent="0.25">
      <c r="A16523" t="str">
        <f>HYPERLINK("https://www.773grp.com/globalSearch/MC10H130P/page-1", "MC10H130P")</f>
        <v>MC10H130P</v>
      </c>
      <c r="B16523" s="3" t="s">
        <v>74</v>
      </c>
      <c r="C16523" s="6">
        <v>2975</v>
      </c>
      <c r="D16523" s="7">
        <v>4.84</v>
      </c>
      <c r="E16523" t="s">
        <v>31</v>
      </c>
    </row>
    <row r="16524" spans="1:5" x14ac:dyDescent="0.25">
      <c r="A16524" t="str">
        <f>HYPERLINK("https://www.773grp.com/globalSearch/MUR3020WTG/page-1", "MUR3020WTG")</f>
        <v>MUR3020WTG</v>
      </c>
      <c r="B16524" s="3" t="s">
        <v>74</v>
      </c>
      <c r="C16524" s="6">
        <v>8816</v>
      </c>
      <c r="D16524" s="7">
        <v>4.84</v>
      </c>
      <c r="E16524" t="s">
        <v>82</v>
      </c>
    </row>
    <row r="16525" spans="1:5" x14ac:dyDescent="0.25">
      <c r="A16525" t="str">
        <f>HYPERLINK("https://www.773grp.com/globalSearch/N02L63W3AB25I/page-1", "N02L63W3AB25I")</f>
        <v>N02L63W3AB25I</v>
      </c>
      <c r="B16525" s="3" t="s">
        <v>74</v>
      </c>
      <c r="C16525" s="6">
        <v>3103</v>
      </c>
      <c r="D16525" s="7">
        <v>4.84</v>
      </c>
      <c r="E16525" t="s">
        <v>63</v>
      </c>
    </row>
    <row r="16526" spans="1:5" x14ac:dyDescent="0.25">
      <c r="A16526" t="str">
        <f>HYPERLINK("https://www.773grp.com/globalSearch/CS4122XDWF24/page-1", "CS4122XDWF24")</f>
        <v>CS4122XDWF24</v>
      </c>
      <c r="B16526" s="3" t="s">
        <v>74</v>
      </c>
      <c r="C16526" s="6">
        <v>4450</v>
      </c>
      <c r="D16526" s="7">
        <v>4.8600000000000003</v>
      </c>
      <c r="E16526" t="s">
        <v>8</v>
      </c>
    </row>
    <row r="16527" spans="1:5" x14ac:dyDescent="0.25">
      <c r="A16527" t="str">
        <f>HYPERLINK("https://www.773grp.com/globalSearch/MC10EP11DR2/page-1", "MC10EP11DR2")</f>
        <v>MC10EP11DR2</v>
      </c>
      <c r="B16527" s="3" t="s">
        <v>74</v>
      </c>
      <c r="C16527" s="6">
        <v>16435</v>
      </c>
      <c r="D16527" s="7">
        <v>4.8600000000000003</v>
      </c>
      <c r="E16527" t="s">
        <v>30</v>
      </c>
    </row>
    <row r="16528" spans="1:5" x14ac:dyDescent="0.25">
      <c r="A16528" t="str">
        <f>HYPERLINK("https://www.773grp.com/globalSearch/MC10H209L/page-1", "MC10H209L")</f>
        <v>MC10H209L</v>
      </c>
      <c r="B16528" s="3" t="s">
        <v>74</v>
      </c>
      <c r="C16528" s="6">
        <v>79</v>
      </c>
      <c r="D16528" s="7">
        <v>4.8600000000000003</v>
      </c>
      <c r="E16528" t="s">
        <v>27</v>
      </c>
    </row>
    <row r="16529" spans="1:5" x14ac:dyDescent="0.25">
      <c r="A16529" t="str">
        <f>HYPERLINK("https://www.773grp.com/globalSearch/MC10H210L/page-1", "MC10H210L")</f>
        <v>MC10H210L</v>
      </c>
      <c r="B16529" s="3" t="s">
        <v>74</v>
      </c>
      <c r="C16529" s="6">
        <v>25</v>
      </c>
      <c r="D16529" s="7">
        <v>4.8600000000000003</v>
      </c>
      <c r="E16529" t="s">
        <v>27</v>
      </c>
    </row>
    <row r="16530" spans="1:5" x14ac:dyDescent="0.25">
      <c r="A16530" t="str">
        <f>HYPERLINK("https://www.773grp.com/globalSearch/MC10H211L/page-1", "MC10H211L")</f>
        <v>MC10H211L</v>
      </c>
      <c r="B16530" s="3" t="s">
        <v>74</v>
      </c>
      <c r="C16530" s="6">
        <v>80</v>
      </c>
      <c r="D16530" s="7">
        <v>4.8600000000000003</v>
      </c>
      <c r="E16530" t="s">
        <v>27</v>
      </c>
    </row>
    <row r="16531" spans="1:5" x14ac:dyDescent="0.25">
      <c r="A16531" t="str">
        <f>HYPERLINK("https://www.773grp.com/globalSearch/MUR3020WT/page-1", "MUR3020WT")</f>
        <v>MUR3020WT</v>
      </c>
      <c r="B16531" s="3" t="s">
        <v>74</v>
      </c>
      <c r="C16531" s="6">
        <v>1470</v>
      </c>
      <c r="D16531" s="7">
        <v>4.8600000000000003</v>
      </c>
      <c r="E16531" t="s">
        <v>82</v>
      </c>
    </row>
    <row r="16532" spans="1:5" x14ac:dyDescent="0.25">
      <c r="A16532" t="str">
        <f>HYPERLINK("https://www.773grp.com/globalSearch/ADT7475ARQZ-RL7/page-1", "ADT7475ARQZ-RL7")</f>
        <v>ADT7475ARQZ-RL7</v>
      </c>
      <c r="B16532" s="3" t="s">
        <v>74</v>
      </c>
      <c r="C16532" s="6">
        <v>4770</v>
      </c>
      <c r="D16532" s="7">
        <v>4.93</v>
      </c>
      <c r="E16532" t="s">
        <v>36</v>
      </c>
    </row>
    <row r="16533" spans="1:5" x14ac:dyDescent="0.25">
      <c r="A16533" t="str">
        <f>HYPERLINK("https://www.773grp.com/globalSearch/MC100EL11DG/page-1", "MC100EL11DG")</f>
        <v>MC100EL11DG</v>
      </c>
      <c r="B16533" s="3" t="s">
        <v>74</v>
      </c>
      <c r="C16533" s="6">
        <v>13000</v>
      </c>
      <c r="D16533" s="7">
        <v>4.93</v>
      </c>
      <c r="E16533" t="s">
        <v>30</v>
      </c>
    </row>
    <row r="16534" spans="1:5" x14ac:dyDescent="0.25">
      <c r="A16534" t="str">
        <f>HYPERLINK("https://www.773grp.com/globalSearch/MC100EL11DR2G/page-1", "MC100EL11DR2G")</f>
        <v>MC100EL11DR2G</v>
      </c>
      <c r="B16534" s="3" t="s">
        <v>74</v>
      </c>
      <c r="C16534" s="6">
        <v>12500</v>
      </c>
      <c r="D16534" s="7">
        <v>4.93</v>
      </c>
      <c r="E16534" t="s">
        <v>30</v>
      </c>
    </row>
    <row r="16535" spans="1:5" x14ac:dyDescent="0.25">
      <c r="A16535" t="str">
        <f>HYPERLINK("https://www.773grp.com/globalSearch/MC100EL11DTG/page-1", "MC100EL11DTG")</f>
        <v>MC100EL11DTG</v>
      </c>
      <c r="B16535" s="3" t="s">
        <v>74</v>
      </c>
      <c r="C16535" s="6">
        <v>13399</v>
      </c>
      <c r="D16535" s="7">
        <v>4.93</v>
      </c>
      <c r="E16535" t="s">
        <v>30</v>
      </c>
    </row>
    <row r="16536" spans="1:5" x14ac:dyDescent="0.25">
      <c r="A16536" t="str">
        <f>HYPERLINK("https://www.773grp.com/globalSearch/MC100EL11DTR2G/page-1", "MC100EL11DTR2G")</f>
        <v>MC100EL11DTR2G</v>
      </c>
      <c r="B16536" s="3" t="s">
        <v>74</v>
      </c>
      <c r="C16536" s="6">
        <v>2500</v>
      </c>
      <c r="D16536" s="7">
        <v>4.93</v>
      </c>
      <c r="E16536" t="s">
        <v>30</v>
      </c>
    </row>
    <row r="16537" spans="1:5" x14ac:dyDescent="0.25">
      <c r="A16537" t="str">
        <f>HYPERLINK("https://www.773grp.com/globalSearch/MC100EL57D/page-1", "MC100EL57D")</f>
        <v>MC100EL57D</v>
      </c>
      <c r="B16537" s="3" t="s">
        <v>74</v>
      </c>
      <c r="C16537" s="6">
        <v>20775</v>
      </c>
      <c r="D16537" s="7">
        <v>4.93</v>
      </c>
      <c r="E16537" t="s">
        <v>16</v>
      </c>
    </row>
    <row r="16538" spans="1:5" x14ac:dyDescent="0.25">
      <c r="A16538" t="str">
        <f>HYPERLINK("https://www.773grp.com/globalSearch/MC100EL57DR2/page-1", "MC100EL57DR2")</f>
        <v>MC100EL57DR2</v>
      </c>
      <c r="B16538" s="3" t="s">
        <v>74</v>
      </c>
      <c r="C16538" s="6">
        <v>15426</v>
      </c>
      <c r="D16538" s="7">
        <v>4.93</v>
      </c>
      <c r="E16538" t="s">
        <v>16</v>
      </c>
    </row>
    <row r="16539" spans="1:5" x14ac:dyDescent="0.25">
      <c r="A16539" t="str">
        <f>HYPERLINK("https://www.773grp.com/globalSearch/MC100LVEL11DG/page-1", "MC100LVEL11DG")</f>
        <v>MC100LVEL11DG</v>
      </c>
      <c r="B16539" s="3" t="s">
        <v>74</v>
      </c>
      <c r="C16539" s="6">
        <v>5104</v>
      </c>
      <c r="D16539" s="7">
        <v>4.93</v>
      </c>
      <c r="E16539" t="s">
        <v>30</v>
      </c>
    </row>
    <row r="16540" spans="1:5" x14ac:dyDescent="0.25">
      <c r="A16540" t="str">
        <f>HYPERLINK("https://www.773grp.com/globalSearch/MC100LVEL11DTG/page-1", "MC100LVEL11DTG")</f>
        <v>MC100LVEL11DTG</v>
      </c>
      <c r="B16540" s="3" t="s">
        <v>74</v>
      </c>
      <c r="C16540" s="6">
        <v>1272</v>
      </c>
      <c r="D16540" s="7">
        <v>4.93</v>
      </c>
      <c r="E16540" t="s">
        <v>30</v>
      </c>
    </row>
    <row r="16541" spans="1:5" x14ac:dyDescent="0.25">
      <c r="A16541" t="str">
        <f>HYPERLINK("https://www.773grp.com/globalSearch/MC100LVEL11DTR2G/page-1", "MC100LVEL11DTR2G")</f>
        <v>MC100LVEL11DTR2G</v>
      </c>
      <c r="B16541" s="3" t="s">
        <v>74</v>
      </c>
      <c r="C16541" s="6">
        <v>10470</v>
      </c>
      <c r="D16541" s="7">
        <v>4.93</v>
      </c>
      <c r="E16541" t="s">
        <v>30</v>
      </c>
    </row>
    <row r="16542" spans="1:5" x14ac:dyDescent="0.25">
      <c r="A16542" t="str">
        <f>HYPERLINK("https://www.773grp.com/globalSearch/MC10EL11DG/page-1", "MC10EL11DG")</f>
        <v>MC10EL11DG</v>
      </c>
      <c r="B16542" s="3" t="s">
        <v>74</v>
      </c>
      <c r="C16542" s="6">
        <v>21224</v>
      </c>
      <c r="D16542" s="7">
        <v>4.93</v>
      </c>
      <c r="E16542" t="s">
        <v>30</v>
      </c>
    </row>
    <row r="16543" spans="1:5" x14ac:dyDescent="0.25">
      <c r="A16543" t="str">
        <f>HYPERLINK("https://www.773grp.com/globalSearch/MC10EL11DR2G/page-1", "MC10EL11DR2G")</f>
        <v>MC10EL11DR2G</v>
      </c>
      <c r="B16543" s="3" t="s">
        <v>74</v>
      </c>
      <c r="C16543" s="6">
        <v>24368</v>
      </c>
      <c r="D16543" s="7">
        <v>4.93</v>
      </c>
      <c r="E16543" t="s">
        <v>30</v>
      </c>
    </row>
    <row r="16544" spans="1:5" x14ac:dyDescent="0.25">
      <c r="A16544" t="str">
        <f>HYPERLINK("https://www.773grp.com/globalSearch/MC10EL11DTG/page-1", "MC10EL11DTG")</f>
        <v>MC10EL11DTG</v>
      </c>
      <c r="B16544" s="3" t="s">
        <v>74</v>
      </c>
      <c r="C16544" s="6">
        <v>1143</v>
      </c>
      <c r="D16544" s="7">
        <v>4.93</v>
      </c>
      <c r="E16544" t="s">
        <v>30</v>
      </c>
    </row>
    <row r="16545" spans="1:5" x14ac:dyDescent="0.25">
      <c r="A16545" t="str">
        <f>HYPERLINK("https://www.773grp.com/globalSearch/MC10EL57D/page-1", "MC10EL57D")</f>
        <v>MC10EL57D</v>
      </c>
      <c r="B16545" s="3" t="s">
        <v>74</v>
      </c>
      <c r="C16545" s="6">
        <v>2485</v>
      </c>
      <c r="D16545" s="7">
        <v>4.93</v>
      </c>
      <c r="E16545" t="s">
        <v>16</v>
      </c>
    </row>
    <row r="16546" spans="1:5" x14ac:dyDescent="0.25">
      <c r="A16546" t="str">
        <f>HYPERLINK("https://www.773grp.com/globalSearch/MC10H116D/page-1", "MC10H116D")</f>
        <v>MC10H116D</v>
      </c>
      <c r="B16546" s="3" t="s">
        <v>74</v>
      </c>
      <c r="C16546" s="6">
        <v>10618</v>
      </c>
      <c r="D16546" s="7">
        <v>4.93</v>
      </c>
      <c r="E16546" t="s">
        <v>17</v>
      </c>
    </row>
    <row r="16547" spans="1:5" x14ac:dyDescent="0.25">
      <c r="A16547" t="str">
        <f>HYPERLINK("https://www.773grp.com/globalSearch/MC10H131L/page-1", "MC10H131L")</f>
        <v>MC10H131L</v>
      </c>
      <c r="B16547" s="3" t="s">
        <v>74</v>
      </c>
      <c r="C16547" s="6">
        <v>1590</v>
      </c>
      <c r="D16547" s="7">
        <v>4.93</v>
      </c>
      <c r="E16547" t="s">
        <v>31</v>
      </c>
    </row>
    <row r="16548" spans="1:5" x14ac:dyDescent="0.25">
      <c r="A16548" t="str">
        <f>HYPERLINK("https://www.773grp.com/globalSearch/MC10H131ML2/page-1", "MC10H131ML2")</f>
        <v>MC10H131ML2</v>
      </c>
      <c r="B16548" s="3" t="s">
        <v>74</v>
      </c>
      <c r="C16548" s="6">
        <v>14000</v>
      </c>
      <c r="D16548" s="7">
        <v>4.93</v>
      </c>
    </row>
    <row r="16549" spans="1:5" x14ac:dyDescent="0.25">
      <c r="A16549" t="str">
        <f>HYPERLINK("https://www.773grp.com/globalSearch/MPQ6100A/page-1", "MPQ6100A")</f>
        <v>MPQ6100A</v>
      </c>
      <c r="B16549" s="3" t="s">
        <v>74</v>
      </c>
      <c r="C16549" s="6">
        <v>20387</v>
      </c>
      <c r="D16549" s="7">
        <v>4.93</v>
      </c>
      <c r="E16549" t="s">
        <v>57</v>
      </c>
    </row>
    <row r="16550" spans="1:5" x14ac:dyDescent="0.25">
      <c r="A16550" t="str">
        <f>HYPERLINK("https://www.773grp.com/globalSearch/NCP3101MNTXG/page-1", "NCP3101MNTXG")</f>
        <v>NCP3101MNTXG</v>
      </c>
      <c r="B16550" s="3" t="s">
        <v>74</v>
      </c>
      <c r="C16550" s="6">
        <v>393</v>
      </c>
      <c r="D16550" s="7">
        <v>4.93</v>
      </c>
      <c r="E16550" t="s">
        <v>5</v>
      </c>
    </row>
    <row r="16551" spans="1:5" x14ac:dyDescent="0.25">
      <c r="A16551" t="str">
        <f>HYPERLINK("https://www.773grp.com/globalSearch/NCP4115AVKR2/page-1", "NCP4115AVKR2")</f>
        <v>NCP4115AVKR2</v>
      </c>
      <c r="B16551" s="3" t="s">
        <v>74</v>
      </c>
      <c r="C16551" s="6">
        <v>196000</v>
      </c>
      <c r="D16551" s="7">
        <v>4.93</v>
      </c>
    </row>
    <row r="16552" spans="1:5" x14ac:dyDescent="0.25">
      <c r="A16552" t="str">
        <f>HYPERLINK("https://www.773grp.com/globalSearch/SBT250-04L/page-1", "SBT250-04L")</f>
        <v>SBT250-04L</v>
      </c>
      <c r="B16552" s="3" t="s">
        <v>74</v>
      </c>
      <c r="C16552" s="6">
        <v>100</v>
      </c>
      <c r="D16552" s="7">
        <v>4.93</v>
      </c>
    </row>
    <row r="16553" spans="1:5" x14ac:dyDescent="0.25">
      <c r="A16553" t="str">
        <f>HYPERLINK("https://www.773grp.com/globalSearch/SUS5102QP1HT1G/page-1", "SUS5102QP1HT1G")</f>
        <v>SUS5102QP1HT1G</v>
      </c>
      <c r="B16553" s="3" t="s">
        <v>74</v>
      </c>
      <c r="C16553" s="6">
        <v>1500</v>
      </c>
      <c r="D16553" s="7">
        <v>4.93</v>
      </c>
    </row>
    <row r="16554" spans="1:5" x14ac:dyDescent="0.25">
      <c r="A16554" t="str">
        <f>HYPERLINK("https://www.773grp.com/globalSearch/MC10133L/page-1", "MC10133L")</f>
        <v>MC10133L</v>
      </c>
      <c r="B16554" s="3" t="s">
        <v>74</v>
      </c>
      <c r="C16554" s="6">
        <v>11</v>
      </c>
      <c r="D16554" s="7">
        <v>4.95</v>
      </c>
      <c r="E16554" t="s">
        <v>31</v>
      </c>
    </row>
    <row r="16555" spans="1:5" x14ac:dyDescent="0.25">
      <c r="A16555" t="str">
        <f>HYPERLINK("https://www.773grp.com/globalSearch/MC10H100MG/page-1", "MC10H100MG")</f>
        <v>MC10H100MG</v>
      </c>
      <c r="B16555" s="3" t="s">
        <v>74</v>
      </c>
      <c r="C16555" s="6">
        <v>5564</v>
      </c>
      <c r="D16555" s="7">
        <v>4.95</v>
      </c>
      <c r="E16555" t="s">
        <v>27</v>
      </c>
    </row>
    <row r="16556" spans="1:5" x14ac:dyDescent="0.25">
      <c r="A16556" t="str">
        <f>HYPERLINK("https://www.773grp.com/globalSearch/MC10H101FNG/page-1", "MC10H101FNG")</f>
        <v>MC10H101FNG</v>
      </c>
      <c r="B16556" s="3" t="s">
        <v>74</v>
      </c>
      <c r="C16556" s="6">
        <v>5462</v>
      </c>
      <c r="D16556" s="7">
        <v>4.95</v>
      </c>
      <c r="E16556" t="s">
        <v>27</v>
      </c>
    </row>
    <row r="16557" spans="1:5" x14ac:dyDescent="0.25">
      <c r="A16557" t="str">
        <f>HYPERLINK("https://www.773grp.com/globalSearch/MC10H101FNR2G/page-1", "MC10H101FNR2G")</f>
        <v>MC10H101FNR2G</v>
      </c>
      <c r="B16557" s="3" t="s">
        <v>74</v>
      </c>
      <c r="C16557" s="6">
        <v>1677</v>
      </c>
      <c r="D16557" s="7">
        <v>4.95</v>
      </c>
      <c r="E16557" t="s">
        <v>27</v>
      </c>
    </row>
    <row r="16558" spans="1:5" x14ac:dyDescent="0.25">
      <c r="A16558" t="str">
        <f>HYPERLINK("https://www.773grp.com/globalSearch/MC10H101MELG/page-1", "MC10H101MELG")</f>
        <v>MC10H101MELG</v>
      </c>
      <c r="B16558" s="3" t="s">
        <v>74</v>
      </c>
      <c r="C16558" s="6">
        <v>3022</v>
      </c>
      <c r="D16558" s="7">
        <v>4.95</v>
      </c>
      <c r="E16558" t="s">
        <v>27</v>
      </c>
    </row>
    <row r="16559" spans="1:5" x14ac:dyDescent="0.25">
      <c r="A16559" t="str">
        <f>HYPERLINK("https://www.773grp.com/globalSearch/MC10H101MG/page-1", "MC10H101MG")</f>
        <v>MC10H101MG</v>
      </c>
      <c r="B16559" s="3" t="s">
        <v>74</v>
      </c>
      <c r="C16559" s="6">
        <v>2050</v>
      </c>
      <c r="D16559" s="7">
        <v>4.95</v>
      </c>
      <c r="E16559" t="s">
        <v>27</v>
      </c>
    </row>
    <row r="16560" spans="1:5" x14ac:dyDescent="0.25">
      <c r="A16560" t="str">
        <f>HYPERLINK("https://www.773grp.com/globalSearch/MC10H102FNR2G/page-1", "MC10H102FNR2G")</f>
        <v>MC10H102FNR2G</v>
      </c>
      <c r="B16560" s="3" t="s">
        <v>74</v>
      </c>
      <c r="C16560" s="6">
        <v>3752</v>
      </c>
      <c r="D16560" s="7">
        <v>4.95</v>
      </c>
      <c r="E16560" t="s">
        <v>27</v>
      </c>
    </row>
    <row r="16561" spans="1:5" x14ac:dyDescent="0.25">
      <c r="A16561" t="str">
        <f>HYPERLINK("https://www.773grp.com/globalSearch/MC10H102M/page-1", "MC10H102M")</f>
        <v>MC10H102M</v>
      </c>
      <c r="B16561" s="3" t="s">
        <v>74</v>
      </c>
      <c r="C16561" s="6">
        <v>5650</v>
      </c>
      <c r="D16561" s="7">
        <v>4.95</v>
      </c>
      <c r="E16561" t="s">
        <v>27</v>
      </c>
    </row>
    <row r="16562" spans="1:5" x14ac:dyDescent="0.25">
      <c r="A16562" t="str">
        <f>HYPERLINK("https://www.773grp.com/globalSearch/MC10H102MELG/page-1", "MC10H102MELG")</f>
        <v>MC10H102MELG</v>
      </c>
      <c r="B16562" s="3" t="s">
        <v>74</v>
      </c>
      <c r="C16562" s="6">
        <v>8600</v>
      </c>
      <c r="D16562" s="7">
        <v>4.95</v>
      </c>
      <c r="E16562" t="s">
        <v>27</v>
      </c>
    </row>
    <row r="16563" spans="1:5" x14ac:dyDescent="0.25">
      <c r="A16563" t="str">
        <f>HYPERLINK("https://www.773grp.com/globalSearch/MC10H102MG/page-1", "MC10H102MG")</f>
        <v>MC10H102MG</v>
      </c>
      <c r="B16563" s="3" t="s">
        <v>74</v>
      </c>
      <c r="C16563" s="6">
        <v>14169</v>
      </c>
      <c r="D16563" s="7">
        <v>4.95</v>
      </c>
      <c r="E16563" t="s">
        <v>27</v>
      </c>
    </row>
    <row r="16564" spans="1:5" x14ac:dyDescent="0.25">
      <c r="A16564" t="str">
        <f>HYPERLINK("https://www.773grp.com/globalSearch/MC10H103FNG/page-1", "MC10H103FNG")</f>
        <v>MC10H103FNG</v>
      </c>
      <c r="B16564" s="3" t="s">
        <v>74</v>
      </c>
      <c r="C16564" s="6">
        <v>267</v>
      </c>
      <c r="D16564" s="7">
        <v>4.95</v>
      </c>
      <c r="E16564" t="s">
        <v>27</v>
      </c>
    </row>
    <row r="16565" spans="1:5" x14ac:dyDescent="0.25">
      <c r="A16565" t="str">
        <f>HYPERLINK("https://www.773grp.com/globalSearch/MC10H103MEL/page-1", "MC10H103MEL")</f>
        <v>MC10H103MEL</v>
      </c>
      <c r="B16565" s="3" t="s">
        <v>74</v>
      </c>
      <c r="C16565" s="6">
        <v>90</v>
      </c>
      <c r="D16565" s="7">
        <v>4.95</v>
      </c>
      <c r="E16565" t="s">
        <v>27</v>
      </c>
    </row>
    <row r="16566" spans="1:5" x14ac:dyDescent="0.25">
      <c r="A16566" t="str">
        <f>HYPERLINK("https://www.773grp.com/globalSearch/MC10H103MELG/page-1", "MC10H103MELG")</f>
        <v>MC10H103MELG</v>
      </c>
      <c r="B16566" s="3" t="s">
        <v>74</v>
      </c>
      <c r="C16566" s="6">
        <v>48584</v>
      </c>
      <c r="D16566" s="7">
        <v>4.95</v>
      </c>
      <c r="E16566" t="s">
        <v>27</v>
      </c>
    </row>
    <row r="16567" spans="1:5" x14ac:dyDescent="0.25">
      <c r="A16567" t="str">
        <f>HYPERLINK("https://www.773grp.com/globalSearch/MC10H103MG/page-1", "MC10H103MG")</f>
        <v>MC10H103MG</v>
      </c>
      <c r="B16567" s="3" t="s">
        <v>74</v>
      </c>
      <c r="C16567" s="6">
        <v>5300</v>
      </c>
      <c r="D16567" s="7">
        <v>4.95</v>
      </c>
    </row>
    <row r="16568" spans="1:5" x14ac:dyDescent="0.25">
      <c r="A16568" t="str">
        <f>HYPERLINK("https://www.773grp.com/globalSearch/MC10H104FNG/page-1", "MC10H104FNG")</f>
        <v>MC10H104FNG</v>
      </c>
      <c r="B16568" s="3" t="s">
        <v>74</v>
      </c>
      <c r="C16568" s="6">
        <v>322</v>
      </c>
      <c r="D16568" s="7">
        <v>4.95</v>
      </c>
    </row>
    <row r="16569" spans="1:5" x14ac:dyDescent="0.25">
      <c r="A16569" t="str">
        <f>HYPERLINK("https://www.773grp.com/globalSearch/MC10H104FNR2G/page-1", "MC10H104FNR2G")</f>
        <v>MC10H104FNR2G</v>
      </c>
      <c r="B16569" s="3" t="s">
        <v>74</v>
      </c>
      <c r="C16569" s="6">
        <v>252</v>
      </c>
      <c r="D16569" s="7">
        <v>4.95</v>
      </c>
    </row>
    <row r="16570" spans="1:5" x14ac:dyDescent="0.25">
      <c r="A16570" t="str">
        <f>HYPERLINK("https://www.773grp.com/globalSearch/MC10H104MELG/page-1", "MC10H104MELG")</f>
        <v>MC10H104MELG</v>
      </c>
      <c r="B16570" s="3" t="s">
        <v>74</v>
      </c>
      <c r="C16570" s="6">
        <v>6085</v>
      </c>
      <c r="D16570" s="7">
        <v>4.95</v>
      </c>
      <c r="E16570" t="s">
        <v>27</v>
      </c>
    </row>
    <row r="16571" spans="1:5" x14ac:dyDescent="0.25">
      <c r="A16571" t="str">
        <f>HYPERLINK("https://www.773grp.com/globalSearch/MC10H104MG/page-1", "MC10H104MG")</f>
        <v>MC10H104MG</v>
      </c>
      <c r="B16571" s="3" t="s">
        <v>74</v>
      </c>
      <c r="C16571" s="6">
        <v>5960</v>
      </c>
      <c r="D16571" s="7">
        <v>4.95</v>
      </c>
      <c r="E16571" t="s">
        <v>27</v>
      </c>
    </row>
    <row r="16572" spans="1:5" x14ac:dyDescent="0.25">
      <c r="A16572" t="str">
        <f>HYPERLINK("https://www.773grp.com/globalSearch/MC10H105FNG/page-1", "MC10H105FNG")</f>
        <v>MC10H105FNG</v>
      </c>
      <c r="B16572" s="3" t="s">
        <v>74</v>
      </c>
      <c r="C16572" s="6">
        <v>4912</v>
      </c>
      <c r="D16572" s="7">
        <v>4.95</v>
      </c>
      <c r="E16572" t="s">
        <v>27</v>
      </c>
    </row>
    <row r="16573" spans="1:5" x14ac:dyDescent="0.25">
      <c r="A16573" t="str">
        <f>HYPERLINK("https://www.773grp.com/globalSearch/MC10H105MELG/page-1", "MC10H105MELG")</f>
        <v>MC10H105MELG</v>
      </c>
      <c r="B16573" s="3" t="s">
        <v>74</v>
      </c>
      <c r="C16573" s="6">
        <v>46957</v>
      </c>
      <c r="D16573" s="7">
        <v>4.95</v>
      </c>
      <c r="E16573" t="s">
        <v>27</v>
      </c>
    </row>
    <row r="16574" spans="1:5" x14ac:dyDescent="0.25">
      <c r="A16574" t="str">
        <f>HYPERLINK("https://www.773grp.com/globalSearch/MC10H105MG/page-1", "MC10H105MG")</f>
        <v>MC10H105MG</v>
      </c>
      <c r="B16574" s="3" t="s">
        <v>74</v>
      </c>
      <c r="C16574" s="6">
        <v>7790</v>
      </c>
      <c r="D16574" s="7">
        <v>4.95</v>
      </c>
      <c r="E16574" t="s">
        <v>27</v>
      </c>
    </row>
    <row r="16575" spans="1:5" x14ac:dyDescent="0.25">
      <c r="A16575" t="str">
        <f>HYPERLINK("https://www.773grp.com/globalSearch/MC10H106FNG/page-1", "MC10H106FNG")</f>
        <v>MC10H106FNG</v>
      </c>
      <c r="B16575" s="3" t="s">
        <v>74</v>
      </c>
      <c r="C16575" s="6">
        <v>4962</v>
      </c>
      <c r="D16575" s="7">
        <v>4.95</v>
      </c>
      <c r="E16575" t="s">
        <v>27</v>
      </c>
    </row>
    <row r="16576" spans="1:5" x14ac:dyDescent="0.25">
      <c r="A16576" t="str">
        <f>HYPERLINK("https://www.773grp.com/globalSearch/MC10H106MG/page-1", "MC10H106MG")</f>
        <v>MC10H106MG</v>
      </c>
      <c r="B16576" s="3" t="s">
        <v>74</v>
      </c>
      <c r="C16576" s="6">
        <v>5200</v>
      </c>
      <c r="D16576" s="7">
        <v>4.95</v>
      </c>
      <c r="E16576" t="s">
        <v>27</v>
      </c>
    </row>
    <row r="16577" spans="1:5" x14ac:dyDescent="0.25">
      <c r="A16577" t="str">
        <f>HYPERLINK("https://www.773grp.com/globalSearch/MC10H107FNG/page-1", "MC10H107FNG")</f>
        <v>MC10H107FNG</v>
      </c>
      <c r="B16577" s="3" t="s">
        <v>74</v>
      </c>
      <c r="C16577" s="6">
        <v>3595</v>
      </c>
      <c r="D16577" s="7">
        <v>4.95</v>
      </c>
      <c r="E16577" t="s">
        <v>27</v>
      </c>
    </row>
    <row r="16578" spans="1:5" x14ac:dyDescent="0.25">
      <c r="A16578" t="str">
        <f>HYPERLINK("https://www.773grp.com/globalSearch/MC10H107MELG/page-1", "MC10H107MELG")</f>
        <v>MC10H107MELG</v>
      </c>
      <c r="B16578" s="3" t="s">
        <v>74</v>
      </c>
      <c r="C16578" s="6">
        <v>2000</v>
      </c>
      <c r="D16578" s="7">
        <v>4.95</v>
      </c>
      <c r="E16578" t="s">
        <v>27</v>
      </c>
    </row>
    <row r="16579" spans="1:5" x14ac:dyDescent="0.25">
      <c r="A16579" t="str">
        <f>HYPERLINK("https://www.773grp.com/globalSearch/MC10H107MG/page-1", "MC10H107MG")</f>
        <v>MC10H107MG</v>
      </c>
      <c r="B16579" s="3" t="s">
        <v>74</v>
      </c>
      <c r="C16579" s="6">
        <v>4241</v>
      </c>
      <c r="D16579" s="7">
        <v>4.95</v>
      </c>
      <c r="E16579" t="s">
        <v>27</v>
      </c>
    </row>
    <row r="16580" spans="1:5" x14ac:dyDescent="0.25">
      <c r="A16580" t="str">
        <f>HYPERLINK("https://www.773grp.com/globalSearch/MC10H109FNG/page-1", "MC10H109FNG")</f>
        <v>MC10H109FNG</v>
      </c>
      <c r="B16580" s="3" t="s">
        <v>74</v>
      </c>
      <c r="C16580" s="6">
        <v>5342</v>
      </c>
      <c r="D16580" s="7">
        <v>4.95</v>
      </c>
      <c r="E16580" t="s">
        <v>27</v>
      </c>
    </row>
    <row r="16581" spans="1:5" x14ac:dyDescent="0.25">
      <c r="A16581" t="str">
        <f>HYPERLINK("https://www.773grp.com/globalSearch/MC10H109MELG/page-1", "MC10H109MELG")</f>
        <v>MC10H109MELG</v>
      </c>
      <c r="B16581" s="3" t="s">
        <v>74</v>
      </c>
      <c r="C16581" s="6">
        <v>28000</v>
      </c>
      <c r="D16581" s="7">
        <v>4.95</v>
      </c>
      <c r="E16581" t="s">
        <v>27</v>
      </c>
    </row>
    <row r="16582" spans="1:5" x14ac:dyDescent="0.25">
      <c r="A16582" t="str">
        <f>HYPERLINK("https://www.773grp.com/globalSearch/MC10H109MG/page-1", "MC10H109MG")</f>
        <v>MC10H109MG</v>
      </c>
      <c r="B16582" s="3" t="s">
        <v>74</v>
      </c>
      <c r="C16582" s="6">
        <v>7086</v>
      </c>
      <c r="D16582" s="7">
        <v>4.95</v>
      </c>
      <c r="E16582" t="s">
        <v>27</v>
      </c>
    </row>
    <row r="16583" spans="1:5" x14ac:dyDescent="0.25">
      <c r="A16583" t="str">
        <f>HYPERLINK("https://www.773grp.com/globalSearch/MC10H115FNG/page-1", "MC10H115FNG")</f>
        <v>MC10H115FNG</v>
      </c>
      <c r="B16583" s="3" t="s">
        <v>74</v>
      </c>
      <c r="C16583" s="6">
        <v>10150</v>
      </c>
      <c r="D16583" s="7">
        <v>4.95</v>
      </c>
      <c r="E16583" t="s">
        <v>17</v>
      </c>
    </row>
    <row r="16584" spans="1:5" x14ac:dyDescent="0.25">
      <c r="A16584" t="str">
        <f>HYPERLINK("https://www.773grp.com/globalSearch/MC10H115FNR2/page-1", "MC10H115FNR2")</f>
        <v>MC10H115FNR2</v>
      </c>
      <c r="B16584" s="3" t="s">
        <v>74</v>
      </c>
      <c r="C16584" s="6">
        <v>4217</v>
      </c>
      <c r="D16584" s="7">
        <v>4.95</v>
      </c>
      <c r="E16584" t="s">
        <v>17</v>
      </c>
    </row>
    <row r="16585" spans="1:5" x14ac:dyDescent="0.25">
      <c r="A16585" t="str">
        <f>HYPERLINK("https://www.773grp.com/globalSearch/MC10H115FNR2G/page-1", "MC10H115FNR2G")</f>
        <v>MC10H115FNR2G</v>
      </c>
      <c r="B16585" s="3" t="s">
        <v>74</v>
      </c>
      <c r="C16585" s="6">
        <v>2500</v>
      </c>
      <c r="D16585" s="7">
        <v>4.95</v>
      </c>
      <c r="E16585" t="s">
        <v>17</v>
      </c>
    </row>
    <row r="16586" spans="1:5" x14ac:dyDescent="0.25">
      <c r="A16586" t="str">
        <f>HYPERLINK("https://www.773grp.com/globalSearch/MC10H115MELG/page-1", "MC10H115MELG")</f>
        <v>MC10H115MELG</v>
      </c>
      <c r="B16586" s="3" t="s">
        <v>74</v>
      </c>
      <c r="C16586" s="6">
        <v>70733</v>
      </c>
      <c r="D16586" s="7">
        <v>4.95</v>
      </c>
      <c r="E16586" t="s">
        <v>17</v>
      </c>
    </row>
    <row r="16587" spans="1:5" x14ac:dyDescent="0.25">
      <c r="A16587" t="str">
        <f>HYPERLINK("https://www.773grp.com/globalSearch/MC10H115MG/page-1", "MC10H115MG")</f>
        <v>MC10H115MG</v>
      </c>
      <c r="B16587" s="3" t="s">
        <v>74</v>
      </c>
      <c r="C16587" s="6">
        <v>5919</v>
      </c>
      <c r="D16587" s="7">
        <v>4.95</v>
      </c>
      <c r="E16587" t="s">
        <v>17</v>
      </c>
    </row>
    <row r="16588" spans="1:5" x14ac:dyDescent="0.25">
      <c r="A16588" t="str">
        <f>HYPERLINK("https://www.773grp.com/globalSearch/MC10H116FNG/page-1", "MC10H116FNG")</f>
        <v>MC10H116FNG</v>
      </c>
      <c r="B16588" s="3" t="s">
        <v>74</v>
      </c>
      <c r="C16588" s="6">
        <v>2799</v>
      </c>
      <c r="D16588" s="7">
        <v>4.95</v>
      </c>
      <c r="E16588" t="s">
        <v>17</v>
      </c>
    </row>
    <row r="16589" spans="1:5" x14ac:dyDescent="0.25">
      <c r="A16589" t="str">
        <f>HYPERLINK("https://www.773grp.com/globalSearch/MC10H116FNR2/page-1", "MC10H116FNR2")</f>
        <v>MC10H116FNR2</v>
      </c>
      <c r="B16589" s="3" t="s">
        <v>74</v>
      </c>
      <c r="C16589" s="6">
        <v>9582</v>
      </c>
      <c r="D16589" s="7">
        <v>4.95</v>
      </c>
      <c r="E16589" t="s">
        <v>17</v>
      </c>
    </row>
    <row r="16590" spans="1:5" x14ac:dyDescent="0.25">
      <c r="A16590" t="str">
        <f>HYPERLINK("https://www.773grp.com/globalSearch/MC10H116MELG/page-1", "MC10H116MELG")</f>
        <v>MC10H116MELG</v>
      </c>
      <c r="B16590" s="3" t="s">
        <v>74</v>
      </c>
      <c r="C16590" s="6">
        <v>362</v>
      </c>
      <c r="D16590" s="7">
        <v>4.95</v>
      </c>
    </row>
    <row r="16591" spans="1:5" x14ac:dyDescent="0.25">
      <c r="A16591" t="str">
        <f>HYPERLINK("https://www.773grp.com/globalSearch/MC10H117FNR2G/page-1", "MC10H117FNR2G")</f>
        <v>MC10H117FNR2G</v>
      </c>
      <c r="B16591" s="3" t="s">
        <v>74</v>
      </c>
      <c r="C16591" s="6">
        <v>6500</v>
      </c>
      <c r="D16591" s="7">
        <v>4.95</v>
      </c>
      <c r="E16591" t="s">
        <v>27</v>
      </c>
    </row>
    <row r="16592" spans="1:5" x14ac:dyDescent="0.25">
      <c r="A16592" t="str">
        <f>HYPERLINK("https://www.773grp.com/globalSearch/MC10H117MELG/page-1", "MC10H117MELG")</f>
        <v>MC10H117MELG</v>
      </c>
      <c r="B16592" s="3" t="s">
        <v>74</v>
      </c>
      <c r="C16592" s="6">
        <v>1450</v>
      </c>
      <c r="D16592" s="7">
        <v>4.95</v>
      </c>
      <c r="E16592" t="s">
        <v>27</v>
      </c>
    </row>
    <row r="16593" spans="1:5" x14ac:dyDescent="0.25">
      <c r="A16593" t="str">
        <f>HYPERLINK("https://www.773grp.com/globalSearch/MC10H121FNG/page-1", "MC10H121FNG")</f>
        <v>MC10H121FNG</v>
      </c>
      <c r="B16593" s="3" t="s">
        <v>74</v>
      </c>
      <c r="C16593" s="6">
        <v>3476</v>
      </c>
      <c r="D16593" s="7">
        <v>4.95</v>
      </c>
      <c r="E16593" t="s">
        <v>27</v>
      </c>
    </row>
    <row r="16594" spans="1:5" x14ac:dyDescent="0.25">
      <c r="A16594" t="str">
        <f>HYPERLINK("https://www.773grp.com/globalSearch/MC10H121FNR2G/page-1", "MC10H121FNR2G")</f>
        <v>MC10H121FNR2G</v>
      </c>
      <c r="B16594" s="3" t="s">
        <v>74</v>
      </c>
      <c r="C16594" s="6">
        <v>2960</v>
      </c>
      <c r="D16594" s="7">
        <v>4.95</v>
      </c>
      <c r="E16594" t="s">
        <v>27</v>
      </c>
    </row>
    <row r="16595" spans="1:5" x14ac:dyDescent="0.25">
      <c r="A16595" t="str">
        <f>HYPERLINK("https://www.773grp.com/globalSearch/MC10H121MG/page-1", "MC10H121MG")</f>
        <v>MC10H121MG</v>
      </c>
      <c r="B16595" s="3" t="s">
        <v>74</v>
      </c>
      <c r="C16595" s="6">
        <v>11100</v>
      </c>
      <c r="D16595" s="7">
        <v>4.95</v>
      </c>
      <c r="E16595" t="s">
        <v>27</v>
      </c>
    </row>
    <row r="16596" spans="1:5" x14ac:dyDescent="0.25">
      <c r="A16596" t="str">
        <f>HYPERLINK("https://www.773grp.com/globalSearch/MC10EP01D/page-1", "MC10EP01D")</f>
        <v>MC10EP01D</v>
      </c>
      <c r="B16596" s="3" t="s">
        <v>74</v>
      </c>
      <c r="C16596" s="6">
        <v>6583</v>
      </c>
      <c r="D16596" s="7">
        <v>4.9800000000000004</v>
      </c>
      <c r="E16596" t="s">
        <v>27</v>
      </c>
    </row>
    <row r="16597" spans="1:5" x14ac:dyDescent="0.25">
      <c r="A16597" t="str">
        <f>HYPERLINK("https://www.773grp.com/globalSearch/MC10EP01DT/page-1", "MC10EP01DT")</f>
        <v>MC10EP01DT</v>
      </c>
      <c r="B16597" s="3" t="s">
        <v>74</v>
      </c>
      <c r="C16597" s="6">
        <v>33784</v>
      </c>
      <c r="D16597" s="7">
        <v>4.9800000000000004</v>
      </c>
      <c r="E16597" t="s">
        <v>27</v>
      </c>
    </row>
    <row r="16598" spans="1:5" x14ac:dyDescent="0.25">
      <c r="A16598" t="str">
        <f>HYPERLINK("https://www.773grp.com/globalSearch/MC10EP05D/page-1", "MC10EP05D")</f>
        <v>MC10EP05D</v>
      </c>
      <c r="B16598" s="3" t="s">
        <v>74</v>
      </c>
      <c r="C16598" s="6">
        <v>46979</v>
      </c>
      <c r="D16598" s="7">
        <v>4.9800000000000004</v>
      </c>
      <c r="E16598" t="s">
        <v>27</v>
      </c>
    </row>
    <row r="16599" spans="1:5" x14ac:dyDescent="0.25">
      <c r="A16599" t="str">
        <f>HYPERLINK("https://www.773grp.com/globalSearch/MC10EP05DR2/page-1", "MC10EP05DR2")</f>
        <v>MC10EP05DR2</v>
      </c>
      <c r="B16599" s="3" t="s">
        <v>74</v>
      </c>
      <c r="C16599" s="6">
        <v>12500</v>
      </c>
      <c r="D16599" s="7">
        <v>4.9800000000000004</v>
      </c>
      <c r="E16599" t="s">
        <v>27</v>
      </c>
    </row>
    <row r="16600" spans="1:5" x14ac:dyDescent="0.25">
      <c r="A16600" t="str">
        <f>HYPERLINK("https://www.773grp.com/globalSearch/MC10EP05DT/page-1", "MC10EP05DT")</f>
        <v>MC10EP05DT</v>
      </c>
      <c r="B16600" s="3" t="s">
        <v>74</v>
      </c>
      <c r="C16600" s="6">
        <v>30903</v>
      </c>
      <c r="D16600" s="7">
        <v>4.9800000000000004</v>
      </c>
      <c r="E16600" t="s">
        <v>27</v>
      </c>
    </row>
    <row r="16601" spans="1:5" x14ac:dyDescent="0.25">
      <c r="A16601" t="str">
        <f>HYPERLINK("https://www.773grp.com/globalSearch/MC10EP08D/page-1", "MC10EP08D")</f>
        <v>MC10EP08D</v>
      </c>
      <c r="B16601" s="3" t="s">
        <v>74</v>
      </c>
      <c r="C16601" s="6">
        <v>12193</v>
      </c>
      <c r="D16601" s="7">
        <v>4.9800000000000004</v>
      </c>
      <c r="E16601" t="s">
        <v>27</v>
      </c>
    </row>
    <row r="16602" spans="1:5" x14ac:dyDescent="0.25">
      <c r="A16602" t="str">
        <f>HYPERLINK("https://www.773grp.com/globalSearch/MC10EP08DT/page-1", "MC10EP08DT")</f>
        <v>MC10EP08DT</v>
      </c>
      <c r="B16602" s="3" t="s">
        <v>74</v>
      </c>
      <c r="C16602" s="6">
        <v>31291</v>
      </c>
      <c r="D16602" s="7">
        <v>4.9800000000000004</v>
      </c>
      <c r="E16602" t="s">
        <v>27</v>
      </c>
    </row>
    <row r="16603" spans="1:5" x14ac:dyDescent="0.25">
      <c r="A16603" t="str">
        <f>HYPERLINK("https://www.773grp.com/globalSearch/ADP3209JCPZ-RL/page-1", "ADP3209JCPZ-RL")</f>
        <v>ADP3209JCPZ-RL</v>
      </c>
      <c r="B16603" s="3" t="s">
        <v>74</v>
      </c>
      <c r="C16603" s="6">
        <v>10000</v>
      </c>
      <c r="D16603" s="7">
        <v>5.01</v>
      </c>
    </row>
    <row r="16604" spans="1:5" x14ac:dyDescent="0.25">
      <c r="A16604" t="str">
        <f>HYPERLINK("https://www.773grp.com/globalSearch/CS2082EDW20/page-1", "CS2082EDW20")</f>
        <v>CS2082EDW20</v>
      </c>
      <c r="B16604" s="3" t="s">
        <v>74</v>
      </c>
      <c r="C16604" s="6">
        <v>4902</v>
      </c>
      <c r="D16604" s="7">
        <v>5.01</v>
      </c>
      <c r="E16604" t="s">
        <v>19</v>
      </c>
    </row>
    <row r="16605" spans="1:5" x14ac:dyDescent="0.25">
      <c r="A16605" t="str">
        <f>HYPERLINK("https://www.773grp.com/globalSearch/NCV7702BDWR2G/page-1", "NCV7702BDWR2G")</f>
        <v>NCV7702BDWR2G</v>
      </c>
      <c r="B16605" s="3" t="s">
        <v>74</v>
      </c>
      <c r="C16605" s="6">
        <v>900</v>
      </c>
      <c r="D16605" s="7">
        <v>5.01</v>
      </c>
      <c r="E16605" t="s">
        <v>50</v>
      </c>
    </row>
    <row r="16606" spans="1:5" x14ac:dyDescent="0.25">
      <c r="A16606" t="str">
        <f>HYPERLINK("https://www.773grp.com/globalSearch/LA4631VC-XE/page-1", "LA4631VC-XE")</f>
        <v>LA4631VC-XE</v>
      </c>
      <c r="B16606" s="3" t="s">
        <v>74</v>
      </c>
      <c r="C16606" s="6">
        <v>20</v>
      </c>
      <c r="D16606" s="7">
        <v>5.03</v>
      </c>
    </row>
    <row r="16607" spans="1:5" x14ac:dyDescent="0.25">
      <c r="A16607" t="str">
        <f>HYPERLINK("https://www.773grp.com/globalSearch/LC75822EHS-T-E/page-1", "LC75822EHS-T-E")</f>
        <v>LC75822EHS-T-E</v>
      </c>
      <c r="B16607" s="3" t="s">
        <v>74</v>
      </c>
      <c r="C16607" s="6">
        <v>1800</v>
      </c>
      <c r="D16607" s="7">
        <v>5.03</v>
      </c>
    </row>
    <row r="16608" spans="1:5" x14ac:dyDescent="0.25">
      <c r="A16608" t="str">
        <f>HYPERLINK("https://www.773grp.com/globalSearch/LC75832E-E/page-1", "LC75832E-E")</f>
        <v>LC75832E-E</v>
      </c>
      <c r="B16608" s="3" t="s">
        <v>74</v>
      </c>
      <c r="C16608" s="6">
        <v>1000</v>
      </c>
      <c r="D16608" s="7">
        <v>5.03</v>
      </c>
    </row>
    <row r="16609" spans="1:5" x14ac:dyDescent="0.25">
      <c r="A16609" t="str">
        <f>HYPERLINK("https://www.773grp.com/globalSearch/MC10H135P/page-1", "MC10H135P")</f>
        <v>MC10H135P</v>
      </c>
      <c r="B16609" s="3" t="s">
        <v>74</v>
      </c>
      <c r="C16609" s="6">
        <v>4497</v>
      </c>
      <c r="D16609" s="7">
        <v>5.03</v>
      </c>
      <c r="E16609" t="s">
        <v>31</v>
      </c>
    </row>
    <row r="16610" spans="1:5" x14ac:dyDescent="0.25">
      <c r="A16610" t="str">
        <f>HYPERLINK("https://www.773grp.com/globalSearch/CS8363YDPS7G/page-1", "CS8363YDPS7G")</f>
        <v>CS8363YDPS7G</v>
      </c>
      <c r="B16610" s="3" t="s">
        <v>74</v>
      </c>
      <c r="C16610" s="6">
        <v>64</v>
      </c>
      <c r="D16610" s="7">
        <v>5.0599999999999996</v>
      </c>
    </row>
    <row r="16611" spans="1:5" x14ac:dyDescent="0.25">
      <c r="A16611" t="str">
        <f>HYPERLINK("https://www.773grp.com/globalSearch/CS8363YDPSR7G/page-1", "CS8363YDPSR7G")</f>
        <v>CS8363YDPSR7G</v>
      </c>
      <c r="B16611" s="3" t="s">
        <v>74</v>
      </c>
      <c r="C16611" s="6">
        <v>350</v>
      </c>
      <c r="D16611" s="7">
        <v>5.0599999999999996</v>
      </c>
    </row>
    <row r="16612" spans="1:5" x14ac:dyDescent="0.25">
      <c r="A16612" t="str">
        <f>HYPERLINK("https://www.773grp.com/globalSearch/LC75833W-E/page-1", "LC75833W-E")</f>
        <v>LC75833W-E</v>
      </c>
      <c r="B16612" s="3" t="s">
        <v>74</v>
      </c>
      <c r="C16612" s="6">
        <v>50</v>
      </c>
      <c r="D16612" s="7">
        <v>5.0599999999999996</v>
      </c>
    </row>
    <row r="16613" spans="1:5" x14ac:dyDescent="0.25">
      <c r="A16613" t="str">
        <f>HYPERLINK("https://www.773grp.com/globalSearch/LC79431KNE-E/page-1", "LC79431KNE-E")</f>
        <v>LC79431KNE-E</v>
      </c>
      <c r="B16613" s="3" t="s">
        <v>74</v>
      </c>
      <c r="C16613" s="6">
        <v>50</v>
      </c>
      <c r="D16613" s="7">
        <v>5.0599999999999996</v>
      </c>
    </row>
    <row r="16614" spans="1:5" x14ac:dyDescent="0.25">
      <c r="A16614" t="str">
        <f>HYPERLINK("https://www.773grp.com/globalSearch/MC100EL34D/page-1", "MC100EL34D")</f>
        <v>MC100EL34D</v>
      </c>
      <c r="B16614" s="3" t="s">
        <v>74</v>
      </c>
      <c r="C16614" s="6">
        <v>10952</v>
      </c>
      <c r="D16614" s="7">
        <v>5.0599999999999996</v>
      </c>
      <c r="E16614" t="s">
        <v>30</v>
      </c>
    </row>
    <row r="16615" spans="1:5" x14ac:dyDescent="0.25">
      <c r="A16615" t="str">
        <f>HYPERLINK("https://www.773grp.com/globalSearch/MC100EL34DR2/page-1", "MC100EL34DR2")</f>
        <v>MC100EL34DR2</v>
      </c>
      <c r="B16615" s="3" t="s">
        <v>74</v>
      </c>
      <c r="C16615" s="6">
        <v>5000</v>
      </c>
      <c r="D16615" s="7">
        <v>5.0599999999999996</v>
      </c>
      <c r="E16615" t="s">
        <v>30</v>
      </c>
    </row>
    <row r="16616" spans="1:5" x14ac:dyDescent="0.25">
      <c r="A16616" t="str">
        <f>HYPERLINK("https://www.773grp.com/globalSearch/MC100EPT20D/page-1", "MC100EPT20D")</f>
        <v>MC100EPT20D</v>
      </c>
      <c r="B16616" s="3" t="s">
        <v>74</v>
      </c>
      <c r="C16616" s="6">
        <v>8307</v>
      </c>
      <c r="D16616" s="7">
        <v>5.0599999999999996</v>
      </c>
      <c r="E16616" t="s">
        <v>61</v>
      </c>
    </row>
    <row r="16617" spans="1:5" x14ac:dyDescent="0.25">
      <c r="A16617" t="str">
        <f>HYPERLINK("https://www.773grp.com/globalSearch/MC100EPT20DT/page-1", "MC100EPT20DT")</f>
        <v>MC100EPT20DT</v>
      </c>
      <c r="B16617" s="3" t="s">
        <v>74</v>
      </c>
      <c r="C16617" s="6">
        <v>31094</v>
      </c>
      <c r="D16617" s="7">
        <v>5.0599999999999996</v>
      </c>
      <c r="E16617" t="s">
        <v>61</v>
      </c>
    </row>
    <row r="16618" spans="1:5" x14ac:dyDescent="0.25">
      <c r="A16618" t="str">
        <f>HYPERLINK("https://www.773grp.com/globalSearch/MC100EPT22D/page-1", "MC100EPT22D")</f>
        <v>MC100EPT22D</v>
      </c>
      <c r="B16618" s="3" t="s">
        <v>74</v>
      </c>
      <c r="C16618" s="6">
        <v>41737</v>
      </c>
      <c r="D16618" s="7">
        <v>5.0599999999999996</v>
      </c>
      <c r="E16618" t="s">
        <v>61</v>
      </c>
    </row>
    <row r="16619" spans="1:5" x14ac:dyDescent="0.25">
      <c r="A16619" t="str">
        <f>HYPERLINK("https://www.773grp.com/globalSearch/MC100EPT22DR2/page-1", "MC100EPT22DR2")</f>
        <v>MC100EPT22DR2</v>
      </c>
      <c r="B16619" s="3" t="s">
        <v>74</v>
      </c>
      <c r="C16619" s="6">
        <v>289872</v>
      </c>
      <c r="D16619" s="7">
        <v>5.0599999999999996</v>
      </c>
      <c r="E16619" t="s">
        <v>61</v>
      </c>
    </row>
    <row r="16620" spans="1:5" x14ac:dyDescent="0.25">
      <c r="A16620" t="str">
        <f>HYPERLINK("https://www.773grp.com/globalSearch/MC100LVEL34D/page-1", "MC100LVEL34D")</f>
        <v>MC100LVEL34D</v>
      </c>
      <c r="B16620" s="3" t="s">
        <v>74</v>
      </c>
      <c r="C16620" s="6">
        <v>33135</v>
      </c>
      <c r="D16620" s="7">
        <v>5.0599999999999996</v>
      </c>
      <c r="E16620" t="s">
        <v>30</v>
      </c>
    </row>
    <row r="16621" spans="1:5" x14ac:dyDescent="0.25">
      <c r="A16621" t="str">
        <f>HYPERLINK("https://www.773grp.com/globalSearch/MC100LVEL34DR2/page-1", "MC100LVEL34DR2")</f>
        <v>MC100LVEL34DR2</v>
      </c>
      <c r="B16621" s="3" t="s">
        <v>74</v>
      </c>
      <c r="C16621" s="6">
        <v>2361</v>
      </c>
      <c r="D16621" s="7">
        <v>5.0599999999999996</v>
      </c>
      <c r="E16621" t="s">
        <v>30</v>
      </c>
    </row>
    <row r="16622" spans="1:5" x14ac:dyDescent="0.25">
      <c r="A16622" t="str">
        <f>HYPERLINK("https://www.773grp.com/globalSearch/MC100LVEL34DT/page-1", "MC100LVEL34DT")</f>
        <v>MC100LVEL34DT</v>
      </c>
      <c r="B16622" s="3" t="s">
        <v>74</v>
      </c>
      <c r="C16622" s="6">
        <v>7638</v>
      </c>
      <c r="D16622" s="7">
        <v>5.0599999999999996</v>
      </c>
      <c r="E16622" t="s">
        <v>30</v>
      </c>
    </row>
    <row r="16623" spans="1:5" x14ac:dyDescent="0.25">
      <c r="A16623" t="str">
        <f>HYPERLINK("https://www.773grp.com/globalSearch/MC100LVEP16D/page-1", "MC100LVEP16D")</f>
        <v>MC100LVEP16D</v>
      </c>
      <c r="B16623" s="3" t="s">
        <v>74</v>
      </c>
      <c r="C16623" s="6">
        <v>47252</v>
      </c>
      <c r="D16623" s="7">
        <v>5.0599999999999996</v>
      </c>
      <c r="E16623" t="s">
        <v>17</v>
      </c>
    </row>
    <row r="16624" spans="1:5" x14ac:dyDescent="0.25">
      <c r="A16624" t="str">
        <f>HYPERLINK("https://www.773grp.com/globalSearch/MC100LVEP16DR2/page-1", "MC100LVEP16DR2")</f>
        <v>MC100LVEP16DR2</v>
      </c>
      <c r="B16624" s="3" t="s">
        <v>74</v>
      </c>
      <c r="C16624" s="6">
        <v>5000</v>
      </c>
      <c r="D16624" s="7">
        <v>5.0599999999999996</v>
      </c>
      <c r="E16624" t="s">
        <v>17</v>
      </c>
    </row>
    <row r="16625" spans="1:5" x14ac:dyDescent="0.25">
      <c r="A16625" t="str">
        <f>HYPERLINK("https://www.773grp.com/globalSearch/MC100LVEP16DT/page-1", "MC100LVEP16DT")</f>
        <v>MC100LVEP16DT</v>
      </c>
      <c r="B16625" s="3" t="s">
        <v>74</v>
      </c>
      <c r="C16625" s="6">
        <v>26299</v>
      </c>
      <c r="D16625" s="7">
        <v>5.0599999999999996</v>
      </c>
      <c r="E16625" t="s">
        <v>17</v>
      </c>
    </row>
    <row r="16626" spans="1:5" x14ac:dyDescent="0.25">
      <c r="A16626" t="str">
        <f>HYPERLINK("https://www.773grp.com/globalSearch/MC100LVEP16DTR2/page-1", "MC100LVEP16DTR2")</f>
        <v>MC100LVEP16DTR2</v>
      </c>
      <c r="B16626" s="3" t="s">
        <v>74</v>
      </c>
      <c r="C16626" s="6">
        <v>5000</v>
      </c>
      <c r="D16626" s="7">
        <v>5.0599999999999996</v>
      </c>
      <c r="E16626" t="s">
        <v>17</v>
      </c>
    </row>
    <row r="16627" spans="1:5" x14ac:dyDescent="0.25">
      <c r="A16627" t="str">
        <f>HYPERLINK("https://www.773grp.com/globalSearch/MC10EL34D/page-1", "MC10EL34D")</f>
        <v>MC10EL34D</v>
      </c>
      <c r="B16627" s="3" t="s">
        <v>74</v>
      </c>
      <c r="C16627" s="6">
        <v>17967</v>
      </c>
      <c r="D16627" s="7">
        <v>5.0599999999999996</v>
      </c>
      <c r="E16627" t="s">
        <v>30</v>
      </c>
    </row>
    <row r="16628" spans="1:5" x14ac:dyDescent="0.25">
      <c r="A16628" t="str">
        <f>HYPERLINK("https://www.773grp.com/globalSearch/MC10EP89D/page-1", "MC10EP89D")</f>
        <v>MC10EP89D</v>
      </c>
      <c r="B16628" s="3" t="s">
        <v>74</v>
      </c>
      <c r="C16628" s="6">
        <v>22966</v>
      </c>
      <c r="D16628" s="7">
        <v>5.0599999999999996</v>
      </c>
      <c r="E16628" t="s">
        <v>17</v>
      </c>
    </row>
    <row r="16629" spans="1:5" x14ac:dyDescent="0.25">
      <c r="A16629" t="str">
        <f>HYPERLINK("https://www.773grp.com/globalSearch/MC10EPT20D/page-1", "MC10EPT20D")</f>
        <v>MC10EPT20D</v>
      </c>
      <c r="B16629" s="3" t="s">
        <v>74</v>
      </c>
      <c r="C16629" s="6">
        <v>26630</v>
      </c>
      <c r="D16629" s="7">
        <v>5.0599999999999996</v>
      </c>
      <c r="E16629" t="s">
        <v>61</v>
      </c>
    </row>
    <row r="16630" spans="1:5" x14ac:dyDescent="0.25">
      <c r="A16630" t="str">
        <f>HYPERLINK("https://www.773grp.com/globalSearch/MC10EPT20DR2/page-1", "MC10EPT20DR2")</f>
        <v>MC10EPT20DR2</v>
      </c>
      <c r="B16630" s="3" t="s">
        <v>74</v>
      </c>
      <c r="C16630" s="6">
        <v>2500</v>
      </c>
      <c r="D16630" s="7">
        <v>5.0599999999999996</v>
      </c>
      <c r="E16630" t="s">
        <v>61</v>
      </c>
    </row>
    <row r="16631" spans="1:5" x14ac:dyDescent="0.25">
      <c r="A16631" t="str">
        <f>HYPERLINK("https://www.773grp.com/globalSearch/MC10EPT20DT/page-1", "MC10EPT20DT")</f>
        <v>MC10EPT20DT</v>
      </c>
      <c r="B16631" s="3" t="s">
        <v>74</v>
      </c>
      <c r="C16631" s="6">
        <v>12937</v>
      </c>
      <c r="D16631" s="7">
        <v>5.0599999999999996</v>
      </c>
      <c r="E16631" t="s">
        <v>61</v>
      </c>
    </row>
    <row r="16632" spans="1:5" x14ac:dyDescent="0.25">
      <c r="A16632" t="str">
        <f>HYPERLINK("https://www.773grp.com/globalSearch/MC10LVEP16D/page-1", "MC10LVEP16D")</f>
        <v>MC10LVEP16D</v>
      </c>
      <c r="B16632" s="3" t="s">
        <v>74</v>
      </c>
      <c r="C16632" s="6">
        <v>14479</v>
      </c>
      <c r="D16632" s="7">
        <v>5.0599999999999996</v>
      </c>
      <c r="E16632" t="s">
        <v>17</v>
      </c>
    </row>
    <row r="16633" spans="1:5" x14ac:dyDescent="0.25">
      <c r="A16633" t="str">
        <f>HYPERLINK("https://www.773grp.com/globalSearch/MJ11029/page-1", "MJ11029")</f>
        <v>MJ11029</v>
      </c>
      <c r="B16633" s="3" t="s">
        <v>74</v>
      </c>
      <c r="C16633" s="6">
        <v>439</v>
      </c>
      <c r="D16633" s="7">
        <v>5.0599999999999996</v>
      </c>
      <c r="E16633" t="s">
        <v>47</v>
      </c>
    </row>
    <row r="16634" spans="1:5" x14ac:dyDescent="0.25">
      <c r="A16634" t="str">
        <f>HYPERLINK("https://www.773grp.com/globalSearch/MJH11019G/page-1", "MJH11019G")</f>
        <v>MJH11019G</v>
      </c>
      <c r="B16634" s="3" t="s">
        <v>74</v>
      </c>
      <c r="C16634" s="6">
        <v>149</v>
      </c>
      <c r="D16634" s="7">
        <v>5.0599999999999996</v>
      </c>
    </row>
    <row r="16635" spans="1:5" x14ac:dyDescent="0.25">
      <c r="A16635" t="str">
        <f>HYPERLINK("https://www.773grp.com/globalSearch/MJH11020/page-1", "MJH11020")</f>
        <v>MJH11020</v>
      </c>
      <c r="B16635" s="3" t="s">
        <v>74</v>
      </c>
      <c r="C16635" s="6">
        <v>18</v>
      </c>
      <c r="D16635" s="7">
        <v>5.0599999999999996</v>
      </c>
      <c r="E16635" t="s">
        <v>47</v>
      </c>
    </row>
    <row r="16636" spans="1:5" x14ac:dyDescent="0.25">
      <c r="A16636" t="str">
        <f>HYPERLINK("https://www.773grp.com/globalSearch/MJH11020G/page-1", "MJH11020G")</f>
        <v>MJH11020G</v>
      </c>
      <c r="B16636" s="3" t="s">
        <v>74</v>
      </c>
      <c r="C16636" s="6">
        <v>41</v>
      </c>
      <c r="D16636" s="7">
        <v>5.0599999999999996</v>
      </c>
      <c r="E16636" t="s">
        <v>47</v>
      </c>
    </row>
    <row r="16637" spans="1:5" x14ac:dyDescent="0.25">
      <c r="A16637" t="str">
        <f>HYPERLINK("https://www.773grp.com/globalSearch/MJL0281AG/page-1", "MJL0281AG")</f>
        <v>MJL0281AG</v>
      </c>
      <c r="B16637" s="3" t="s">
        <v>74</v>
      </c>
      <c r="C16637" s="6">
        <v>367</v>
      </c>
      <c r="D16637" s="7">
        <v>5.0599999999999996</v>
      </c>
      <c r="E16637" t="s">
        <v>47</v>
      </c>
    </row>
    <row r="16638" spans="1:5" x14ac:dyDescent="0.25">
      <c r="A16638" t="str">
        <f>HYPERLINK("https://www.773grp.com/globalSearch/MJL0302A/page-1", "MJL0302A")</f>
        <v>MJL0302A</v>
      </c>
      <c r="B16638" s="3" t="s">
        <v>74</v>
      </c>
      <c r="C16638" s="6">
        <v>755</v>
      </c>
      <c r="D16638" s="7">
        <v>5.0599999999999996</v>
      </c>
      <c r="E16638" t="s">
        <v>47</v>
      </c>
    </row>
    <row r="16639" spans="1:5" x14ac:dyDescent="0.25">
      <c r="A16639" t="str">
        <f>HYPERLINK("https://www.773grp.com/globalSearch/MJL0302AG/page-1", "MJL0302AG")</f>
        <v>MJL0302AG</v>
      </c>
      <c r="B16639" s="3" t="s">
        <v>74</v>
      </c>
      <c r="C16639" s="6">
        <v>3200</v>
      </c>
      <c r="D16639" s="7">
        <v>5.0599999999999996</v>
      </c>
      <c r="E16639" t="s">
        <v>47</v>
      </c>
    </row>
    <row r="16640" spans="1:5" x14ac:dyDescent="0.25">
      <c r="A16640" t="str">
        <f>HYPERLINK("https://www.773grp.com/globalSearch/MJL21193/page-1", "MJL21193")</f>
        <v>MJL21193</v>
      </c>
      <c r="B16640" s="3" t="s">
        <v>74</v>
      </c>
      <c r="C16640" s="6">
        <v>16267</v>
      </c>
      <c r="D16640" s="7">
        <v>5.0599999999999996</v>
      </c>
      <c r="E16640" t="s">
        <v>47</v>
      </c>
    </row>
    <row r="16641" spans="1:5" x14ac:dyDescent="0.25">
      <c r="A16641" t="str">
        <f>HYPERLINK("https://www.773grp.com/globalSearch/MJL21193G/page-1", "MJL21193G")</f>
        <v>MJL21193G</v>
      </c>
      <c r="B16641" s="3" t="s">
        <v>74</v>
      </c>
      <c r="C16641" s="6">
        <v>20996</v>
      </c>
      <c r="D16641" s="7">
        <v>5.0599999999999996</v>
      </c>
      <c r="E16641" t="s">
        <v>47</v>
      </c>
    </row>
    <row r="16642" spans="1:5" x14ac:dyDescent="0.25">
      <c r="A16642" t="str">
        <f>HYPERLINK("https://www.773grp.com/globalSearch/MJL21194/page-1", "MJL21194")</f>
        <v>MJL21194</v>
      </c>
      <c r="B16642" s="3" t="s">
        <v>74</v>
      </c>
      <c r="C16642" s="6">
        <v>5575</v>
      </c>
      <c r="D16642" s="7">
        <v>5.0599999999999996</v>
      </c>
      <c r="E16642" t="s">
        <v>47</v>
      </c>
    </row>
    <row r="16643" spans="1:5" x14ac:dyDescent="0.25">
      <c r="A16643" t="str">
        <f>HYPERLINK("https://www.773grp.com/globalSearch/MJL21194G/page-1", "MJL21194G")</f>
        <v>MJL21194G</v>
      </c>
      <c r="B16643" s="3" t="s">
        <v>74</v>
      </c>
      <c r="C16643" s="6">
        <v>20075</v>
      </c>
      <c r="D16643" s="7">
        <v>5.0599999999999996</v>
      </c>
      <c r="E16643" t="s">
        <v>47</v>
      </c>
    </row>
    <row r="16644" spans="1:5" x14ac:dyDescent="0.25">
      <c r="A16644" t="str">
        <f>HYPERLINK("https://www.773grp.com/globalSearch/MUR3040PTG/page-1", "MUR3040PTG")</f>
        <v>MUR3040PTG</v>
      </c>
      <c r="B16644" s="3" t="s">
        <v>74</v>
      </c>
      <c r="C16644" s="6">
        <v>43235</v>
      </c>
      <c r="D16644" s="7">
        <v>5.0599999999999996</v>
      </c>
      <c r="E16644" t="s">
        <v>82</v>
      </c>
    </row>
    <row r="16645" spans="1:5" x14ac:dyDescent="0.25">
      <c r="A16645" t="str">
        <f>HYPERLINK("https://www.773grp.com/globalSearch/MUR3060PTG/page-1", "MUR3060PTG")</f>
        <v>MUR3060PTG</v>
      </c>
      <c r="B16645" s="3" t="s">
        <v>74</v>
      </c>
      <c r="C16645" s="6">
        <v>22199</v>
      </c>
      <c r="D16645" s="7">
        <v>5.0599999999999996</v>
      </c>
      <c r="E16645" t="s">
        <v>82</v>
      </c>
    </row>
    <row r="16646" spans="1:5" x14ac:dyDescent="0.25">
      <c r="A16646" t="str">
        <f>HYPERLINK("https://www.773grp.com/globalSearch/MUR3060WTG/page-1", "MUR3060WTG")</f>
        <v>MUR3060WTG</v>
      </c>
      <c r="B16646" s="3" t="s">
        <v>74</v>
      </c>
      <c r="C16646" s="6">
        <v>610</v>
      </c>
      <c r="D16646" s="7">
        <v>5.0599999999999996</v>
      </c>
      <c r="E16646" t="s">
        <v>82</v>
      </c>
    </row>
    <row r="16647" spans="1:5" x14ac:dyDescent="0.25">
      <c r="A16647" t="str">
        <f>HYPERLINK("https://www.773grp.com/globalSearch/NB3N511DG/page-1", "NB3N511DG")</f>
        <v>NB3N511DG</v>
      </c>
      <c r="B16647" s="3" t="s">
        <v>74</v>
      </c>
      <c r="C16647" s="6">
        <v>98</v>
      </c>
      <c r="D16647" s="7">
        <v>5.0599999999999996</v>
      </c>
    </row>
    <row r="16648" spans="1:5" x14ac:dyDescent="0.25">
      <c r="A16648" t="str">
        <f>HYPERLINK("https://www.773grp.com/globalSearch/NB3N511DR2G/page-1", "NB3N511DR2G")</f>
        <v>NB3N511DR2G</v>
      </c>
      <c r="B16648" s="3" t="s">
        <v>74</v>
      </c>
      <c r="C16648" s="6">
        <v>2500</v>
      </c>
      <c r="D16648" s="7">
        <v>5.0599999999999996</v>
      </c>
    </row>
    <row r="16649" spans="1:5" x14ac:dyDescent="0.25">
      <c r="A16649" t="str">
        <f>HYPERLINK("https://www.773grp.com/globalSearch/NB3N5573DTG/page-1", "NB3N5573DTG")</f>
        <v>NB3N5573DTG</v>
      </c>
      <c r="B16649" s="3" t="s">
        <v>74</v>
      </c>
      <c r="C16649" s="6">
        <v>675</v>
      </c>
      <c r="D16649" s="7">
        <v>5.0599999999999996</v>
      </c>
      <c r="E16649" t="s">
        <v>65</v>
      </c>
    </row>
    <row r="16650" spans="1:5" x14ac:dyDescent="0.25">
      <c r="A16650" t="str">
        <f>HYPERLINK("https://www.773grp.com/globalSearch/NB3N65027DTR2G/page-1", "NB3N65027DTR2G")</f>
        <v>NB3N65027DTR2G</v>
      </c>
      <c r="B16650" s="3" t="s">
        <v>74</v>
      </c>
      <c r="C16650" s="6">
        <v>2500</v>
      </c>
      <c r="D16650" s="7">
        <v>5.0599999999999996</v>
      </c>
    </row>
    <row r="16651" spans="1:5" x14ac:dyDescent="0.25">
      <c r="A16651" t="str">
        <f>HYPERLINK("https://www.773grp.com/globalSearch/NCV8509PDW25R2/page-1", "NCV8509PDW25R2")</f>
        <v>NCV8509PDW25R2</v>
      </c>
      <c r="B16651" s="3" t="s">
        <v>74</v>
      </c>
      <c r="C16651" s="6">
        <v>1659</v>
      </c>
      <c r="D16651" s="7">
        <v>5.0599999999999996</v>
      </c>
      <c r="E16651" t="s">
        <v>96</v>
      </c>
    </row>
    <row r="16652" spans="1:5" x14ac:dyDescent="0.25">
      <c r="A16652" t="str">
        <f>HYPERLINK("https://www.773grp.com/globalSearch/NJL1302DG/page-1", "NJL1302DG")</f>
        <v>NJL1302DG</v>
      </c>
      <c r="B16652" s="3" t="s">
        <v>74</v>
      </c>
      <c r="C16652" s="6">
        <v>2</v>
      </c>
      <c r="D16652" s="7">
        <v>5.0599999999999996</v>
      </c>
    </row>
    <row r="16653" spans="1:5" x14ac:dyDescent="0.25">
      <c r="A16653" t="str">
        <f>HYPERLINK("https://www.773grp.com/globalSearch/NJL3281DG/page-1", "NJL3281DG")</f>
        <v>NJL3281DG</v>
      </c>
      <c r="B16653" s="3" t="s">
        <v>74</v>
      </c>
      <c r="C16653" s="6">
        <v>14</v>
      </c>
      <c r="D16653" s="7">
        <v>5.0599999999999996</v>
      </c>
      <c r="E16653" t="s">
        <v>47</v>
      </c>
    </row>
    <row r="16654" spans="1:5" x14ac:dyDescent="0.25">
      <c r="A16654" t="str">
        <f>HYPERLINK("https://www.773grp.com/globalSearch/SA571DR2/page-1", "SA571DR2")</f>
        <v>SA571DR2</v>
      </c>
      <c r="B16654" s="3" t="s">
        <v>74</v>
      </c>
      <c r="C16654" s="6">
        <v>2483</v>
      </c>
      <c r="D16654" s="7">
        <v>5.0599999999999996</v>
      </c>
      <c r="E16654" t="s">
        <v>97</v>
      </c>
    </row>
    <row r="16655" spans="1:5" x14ac:dyDescent="0.25">
      <c r="A16655" t="str">
        <f>HYPERLINK("https://www.773grp.com/globalSearch/SA575N/page-1", "SA575N")</f>
        <v>SA575N</v>
      </c>
      <c r="B16655" s="3" t="s">
        <v>74</v>
      </c>
      <c r="C16655" s="6">
        <v>1086</v>
      </c>
      <c r="D16655" s="7">
        <v>5.0599999999999996</v>
      </c>
      <c r="E16655" t="s">
        <v>55</v>
      </c>
    </row>
    <row r="16656" spans="1:5" x14ac:dyDescent="0.25">
      <c r="A16656" t="str">
        <f>HYPERLINK("https://www.773grp.com/globalSearch/LB1847-E/page-1", "LB1847-E")</f>
        <v>LB1847-E</v>
      </c>
      <c r="B16656" s="3" t="s">
        <v>74</v>
      </c>
      <c r="C16656" s="6">
        <v>142</v>
      </c>
      <c r="D16656" s="7">
        <v>5.0999999999999996</v>
      </c>
    </row>
    <row r="16657" spans="1:5" x14ac:dyDescent="0.25">
      <c r="A16657" t="str">
        <f>HYPERLINK("https://www.773grp.com/globalSearch/MC10180L/page-1", "MC10180L")</f>
        <v>MC10180L</v>
      </c>
      <c r="B16657" s="3" t="s">
        <v>74</v>
      </c>
      <c r="C16657" s="6">
        <v>848</v>
      </c>
      <c r="D16657" s="7">
        <v>5.0999999999999996</v>
      </c>
      <c r="E16657" t="s">
        <v>38</v>
      </c>
    </row>
    <row r="16658" spans="1:5" x14ac:dyDescent="0.25">
      <c r="A16658" t="str">
        <f>HYPERLINK("https://www.773grp.com/globalSearch/MC100EL38DW/page-1", "MC100EL38DW")</f>
        <v>MC100EL38DW</v>
      </c>
      <c r="B16658" s="3" t="s">
        <v>74</v>
      </c>
      <c r="C16658" s="6">
        <v>12880</v>
      </c>
      <c r="D16658" s="7">
        <v>5.1100000000000003</v>
      </c>
      <c r="E16658" t="s">
        <v>30</v>
      </c>
    </row>
    <row r="16659" spans="1:5" x14ac:dyDescent="0.25">
      <c r="A16659" t="str">
        <f>HYPERLINK("https://www.773grp.com/globalSearch/MC100EL38DWG/page-1", "MC100EL38DWG")</f>
        <v>MC100EL38DWG</v>
      </c>
      <c r="B16659" s="3" t="s">
        <v>74</v>
      </c>
      <c r="C16659" s="6">
        <v>1788</v>
      </c>
      <c r="D16659" s="7">
        <v>5.1100000000000003</v>
      </c>
      <c r="E16659" t="s">
        <v>30</v>
      </c>
    </row>
    <row r="16660" spans="1:5" x14ac:dyDescent="0.25">
      <c r="A16660" t="str">
        <f>HYPERLINK("https://www.773grp.com/globalSearch/MC100EL38DWR2/page-1", "MC100EL38DWR2")</f>
        <v>MC100EL38DWR2</v>
      </c>
      <c r="B16660" s="3" t="s">
        <v>74</v>
      </c>
      <c r="C16660" s="6">
        <v>4000</v>
      </c>
      <c r="D16660" s="7">
        <v>5.1100000000000003</v>
      </c>
      <c r="E16660" t="s">
        <v>30</v>
      </c>
    </row>
    <row r="16661" spans="1:5" x14ac:dyDescent="0.25">
      <c r="A16661" t="str">
        <f>HYPERLINK("https://www.773grp.com/globalSearch/MC100LVEL38DW/page-1", "MC100LVEL38DW")</f>
        <v>MC100LVEL38DW</v>
      </c>
      <c r="B16661" s="3" t="s">
        <v>74</v>
      </c>
      <c r="C16661" s="6">
        <v>2379</v>
      </c>
      <c r="D16661" s="7">
        <v>5.1100000000000003</v>
      </c>
      <c r="E16661" t="s">
        <v>30</v>
      </c>
    </row>
    <row r="16662" spans="1:5" x14ac:dyDescent="0.25">
      <c r="A16662" t="str">
        <f>HYPERLINK("https://www.773grp.com/globalSearch/MC14490FL1/page-1", "MC14490FL1")</f>
        <v>MC14490FL1</v>
      </c>
      <c r="B16662" s="3" t="s">
        <v>74</v>
      </c>
      <c r="C16662" s="6">
        <v>1000</v>
      </c>
      <c r="D16662" s="7">
        <v>5.1100000000000003</v>
      </c>
      <c r="E16662" t="s">
        <v>28</v>
      </c>
    </row>
    <row r="16663" spans="1:5" x14ac:dyDescent="0.25">
      <c r="A16663" t="str">
        <f>HYPERLINK("https://www.773grp.com/globalSearch/MC14490FR1/page-1", "MC14490FR1")</f>
        <v>MC14490FR1</v>
      </c>
      <c r="B16663" s="3" t="s">
        <v>74</v>
      </c>
      <c r="C16663" s="6">
        <v>2975</v>
      </c>
      <c r="D16663" s="7">
        <v>5.1100000000000003</v>
      </c>
      <c r="E16663" t="s">
        <v>28</v>
      </c>
    </row>
    <row r="16664" spans="1:5" x14ac:dyDescent="0.25">
      <c r="A16664" t="str">
        <f>HYPERLINK("https://www.773grp.com/globalSearch/MC33025DWG/page-1", "MC33025DWG")</f>
        <v>MC33025DWG</v>
      </c>
      <c r="B16664" s="3" t="s">
        <v>74</v>
      </c>
      <c r="C16664" s="6">
        <v>156</v>
      </c>
      <c r="D16664" s="7">
        <v>5.1100000000000003</v>
      </c>
      <c r="E16664" t="s">
        <v>5</v>
      </c>
    </row>
    <row r="16665" spans="1:5" x14ac:dyDescent="0.25">
      <c r="A16665" t="str">
        <f>HYPERLINK("https://www.773grp.com/globalSearch/MC33025PG/page-1", "MC33025PG")</f>
        <v>MC33025PG</v>
      </c>
      <c r="B16665" s="3" t="s">
        <v>74</v>
      </c>
      <c r="C16665" s="6">
        <v>600</v>
      </c>
      <c r="D16665" s="7">
        <v>5.1100000000000003</v>
      </c>
    </row>
    <row r="16666" spans="1:5" x14ac:dyDescent="0.25">
      <c r="A16666" t="str">
        <f>HYPERLINK("https://www.773grp.com/globalSearch/MJH10012/page-1", "MJH10012")</f>
        <v>MJH10012</v>
      </c>
      <c r="B16666" s="3" t="s">
        <v>74</v>
      </c>
      <c r="C16666" s="6">
        <v>11693</v>
      </c>
      <c r="D16666" s="7">
        <v>5.1100000000000003</v>
      </c>
      <c r="E16666" t="s">
        <v>47</v>
      </c>
    </row>
    <row r="16667" spans="1:5" x14ac:dyDescent="0.25">
      <c r="A16667" t="str">
        <f>HYPERLINK("https://www.773grp.com/globalSearch/NCP1592PAR2G/page-1", "NCP1592PAR2G")</f>
        <v>NCP1592PAR2G</v>
      </c>
      <c r="B16667" s="3" t="s">
        <v>74</v>
      </c>
      <c r="C16667" s="6">
        <v>2500</v>
      </c>
      <c r="D16667" s="7">
        <v>5.1100000000000003</v>
      </c>
    </row>
    <row r="16668" spans="1:5" x14ac:dyDescent="0.25">
      <c r="A16668" t="str">
        <f>HYPERLINK("https://www.773grp.com/globalSearch/NCP1651DR2G/page-1", "NCP1651DR2G")</f>
        <v>NCP1651DR2G</v>
      </c>
      <c r="B16668" s="3" t="s">
        <v>74</v>
      </c>
      <c r="C16668" s="6">
        <v>101814</v>
      </c>
      <c r="D16668" s="7">
        <v>5.1100000000000003</v>
      </c>
      <c r="E16668" t="s">
        <v>5</v>
      </c>
    </row>
    <row r="16669" spans="1:5" x14ac:dyDescent="0.25">
      <c r="A16669" t="str">
        <f>HYPERLINK("https://www.773grp.com/globalSearch/NGTB25N120FLWG/page-1", "NGTB25N120FLWG")</f>
        <v>NGTB25N120FLWG</v>
      </c>
      <c r="B16669" s="3" t="s">
        <v>74</v>
      </c>
      <c r="C16669" s="6">
        <v>150</v>
      </c>
      <c r="D16669" s="7">
        <v>5.1100000000000003</v>
      </c>
    </row>
    <row r="16670" spans="1:5" x14ac:dyDescent="0.25">
      <c r="A16670" t="str">
        <f>HYPERLINK("https://www.773grp.com/globalSearch/LB11847-E/page-1", "LB11847-E")</f>
        <v>LB11847-E</v>
      </c>
      <c r="B16670" s="3" t="s">
        <v>74</v>
      </c>
      <c r="C16670" s="6">
        <v>164</v>
      </c>
      <c r="D16670" s="7">
        <v>5.15</v>
      </c>
    </row>
    <row r="16671" spans="1:5" x14ac:dyDescent="0.25">
      <c r="A16671" t="str">
        <f>HYPERLINK("https://www.773grp.com/globalSearch/MC10H123PG/page-1", "MC10H123PG")</f>
        <v>MC10H123PG</v>
      </c>
      <c r="B16671" s="3" t="s">
        <v>74</v>
      </c>
      <c r="C16671" s="6">
        <v>3390</v>
      </c>
      <c r="D16671" s="7">
        <v>5.18</v>
      </c>
      <c r="E16671" t="s">
        <v>11</v>
      </c>
    </row>
    <row r="16672" spans="1:5" x14ac:dyDescent="0.25">
      <c r="A16672" t="str">
        <f>HYPERLINK("https://www.773grp.com/globalSearch/NE521NG/page-1", "NE521NG")</f>
        <v>NE521NG</v>
      </c>
      <c r="B16672" s="3" t="s">
        <v>74</v>
      </c>
      <c r="C16672" s="6">
        <v>2614</v>
      </c>
      <c r="D16672" s="7">
        <v>5.2</v>
      </c>
      <c r="E16672" t="s">
        <v>6</v>
      </c>
    </row>
    <row r="16673" spans="1:5" x14ac:dyDescent="0.25">
      <c r="A16673" t="str">
        <f>HYPERLINK("https://www.773grp.com/globalSearch/NGTB30N60FWG/page-1", "NGTB30N60FWG")</f>
        <v>NGTB30N60FWG</v>
      </c>
      <c r="B16673" s="3" t="s">
        <v>74</v>
      </c>
      <c r="C16673" s="6">
        <v>60</v>
      </c>
      <c r="D16673" s="7">
        <v>5.2</v>
      </c>
    </row>
    <row r="16674" spans="1:5" x14ac:dyDescent="0.25">
      <c r="A16674" t="str">
        <f>HYPERLINK("https://www.773grp.com/globalSearch/JDX5008/page-1", "JDX5008")</f>
        <v>JDX5008</v>
      </c>
      <c r="B16674" s="3" t="s">
        <v>74</v>
      </c>
      <c r="C16674" s="6">
        <v>3424</v>
      </c>
      <c r="D16674" s="7">
        <v>5.24</v>
      </c>
    </row>
    <row r="16675" spans="1:5" x14ac:dyDescent="0.25">
      <c r="A16675" t="str">
        <f>HYPERLINK("https://www.773grp.com/globalSearch/MC10H124L/page-1", "MC10H124L")</f>
        <v>MC10H124L</v>
      </c>
      <c r="B16675" s="3" t="s">
        <v>74</v>
      </c>
      <c r="C16675" s="6">
        <v>259</v>
      </c>
      <c r="D16675" s="7">
        <v>5.29</v>
      </c>
      <c r="E16675" t="s">
        <v>61</v>
      </c>
    </row>
    <row r="16676" spans="1:5" x14ac:dyDescent="0.25">
      <c r="A16676" t="str">
        <f>HYPERLINK("https://www.773grp.com/globalSearch/MC1658D/page-1", "MC1658D")</f>
        <v>MC1658D</v>
      </c>
      <c r="B16676" s="3" t="s">
        <v>74</v>
      </c>
      <c r="C16676" s="6">
        <v>5798</v>
      </c>
      <c r="D16676" s="7">
        <v>5.29</v>
      </c>
      <c r="E16676" t="s">
        <v>36</v>
      </c>
    </row>
    <row r="16677" spans="1:5" x14ac:dyDescent="0.25">
      <c r="A16677" t="str">
        <f>HYPERLINK("https://www.773grp.com/globalSearch/MC1658FN/page-1", "MC1658FN")</f>
        <v>MC1658FN</v>
      </c>
      <c r="B16677" s="3" t="s">
        <v>74</v>
      </c>
      <c r="C16677" s="6">
        <v>4457</v>
      </c>
      <c r="D16677" s="7">
        <v>5.29</v>
      </c>
      <c r="E16677" t="s">
        <v>36</v>
      </c>
    </row>
    <row r="16678" spans="1:5" x14ac:dyDescent="0.25">
      <c r="A16678" t="str">
        <f>HYPERLINK("https://www.773grp.com/globalSearch/MC1658M/page-1", "MC1658M")</f>
        <v>MC1658M</v>
      </c>
      <c r="B16678" s="3" t="s">
        <v>74</v>
      </c>
      <c r="C16678" s="6">
        <v>180</v>
      </c>
      <c r="D16678" s="7">
        <v>5.29</v>
      </c>
    </row>
    <row r="16679" spans="1:5" x14ac:dyDescent="0.25">
      <c r="A16679" t="str">
        <f>HYPERLINK("https://www.773grp.com/globalSearch/MC1658ML1/page-1", "MC1658ML1")</f>
        <v>MC1658ML1</v>
      </c>
      <c r="B16679" s="3" t="s">
        <v>74</v>
      </c>
      <c r="C16679" s="6">
        <v>3000</v>
      </c>
      <c r="D16679" s="7">
        <v>5.29</v>
      </c>
    </row>
    <row r="16680" spans="1:5" x14ac:dyDescent="0.25">
      <c r="A16680" t="str">
        <f>HYPERLINK("https://www.773grp.com/globalSearch/MGW12N120D/page-1", "MGW12N120D")</f>
        <v>MGW12N120D</v>
      </c>
      <c r="B16680" s="3" t="s">
        <v>74</v>
      </c>
      <c r="C16680" s="6">
        <v>540</v>
      </c>
      <c r="D16680" s="7">
        <v>5.29</v>
      </c>
      <c r="E16680" t="s">
        <v>94</v>
      </c>
    </row>
    <row r="16681" spans="1:5" x14ac:dyDescent="0.25">
      <c r="A16681" t="str">
        <f>HYPERLINK("https://www.773grp.com/globalSearch/ADT7486AARMZ-R7/page-1", "ADT7486AARMZ-R7")</f>
        <v>ADT7486AARMZ-R7</v>
      </c>
      <c r="B16681" s="3" t="s">
        <v>74</v>
      </c>
      <c r="C16681" s="6">
        <v>1000</v>
      </c>
      <c r="D16681" s="7">
        <v>5.35</v>
      </c>
      <c r="E16681" t="s">
        <v>9</v>
      </c>
    </row>
    <row r="16682" spans="1:5" x14ac:dyDescent="0.25">
      <c r="A16682" t="str">
        <f>HYPERLINK("https://www.773grp.com/globalSearch/CS8190EDWF20G/page-1", "CS8190EDWF20G")</f>
        <v>CS8190EDWF20G</v>
      </c>
      <c r="B16682" s="3" t="s">
        <v>74</v>
      </c>
      <c r="C16682" s="6">
        <v>187</v>
      </c>
      <c r="D16682" s="7">
        <v>5.35</v>
      </c>
    </row>
    <row r="16683" spans="1:5" x14ac:dyDescent="0.25">
      <c r="A16683" t="str">
        <f>HYPERLINK("https://www.773grp.com/globalSearch/MC100ELT21DR2/page-1", "MC100ELT21DR2")</f>
        <v>MC100ELT21DR2</v>
      </c>
      <c r="B16683" s="3" t="s">
        <v>74</v>
      </c>
      <c r="C16683" s="6">
        <v>3905</v>
      </c>
      <c r="D16683" s="7">
        <v>5.35</v>
      </c>
      <c r="E16683" t="s">
        <v>61</v>
      </c>
    </row>
    <row r="16684" spans="1:5" x14ac:dyDescent="0.25">
      <c r="A16684" t="str">
        <f>HYPERLINK("https://www.773grp.com/globalSearch/MC100ELT22DT/page-1", "MC100ELT22DT")</f>
        <v>MC100ELT22DT</v>
      </c>
      <c r="B16684" s="3" t="s">
        <v>74</v>
      </c>
      <c r="C16684" s="6">
        <v>2773</v>
      </c>
      <c r="D16684" s="7">
        <v>5.35</v>
      </c>
      <c r="E16684" t="s">
        <v>61</v>
      </c>
    </row>
    <row r="16685" spans="1:5" x14ac:dyDescent="0.25">
      <c r="A16685" t="str">
        <f>HYPERLINK("https://www.773grp.com/globalSearch/MC100ELT23D/page-1", "MC100ELT23D")</f>
        <v>MC100ELT23D</v>
      </c>
      <c r="B16685" s="3" t="s">
        <v>74</v>
      </c>
      <c r="C16685" s="6">
        <v>3902</v>
      </c>
      <c r="D16685" s="7">
        <v>5.35</v>
      </c>
    </row>
    <row r="16686" spans="1:5" x14ac:dyDescent="0.25">
      <c r="A16686" t="str">
        <f>HYPERLINK("https://www.773grp.com/globalSearch/MC100ELT23DR2/page-1", "MC100ELT23DR2")</f>
        <v>MC100ELT23DR2</v>
      </c>
      <c r="B16686" s="3" t="s">
        <v>74</v>
      </c>
      <c r="C16686" s="6">
        <v>2295</v>
      </c>
      <c r="D16686" s="7">
        <v>5.35</v>
      </c>
    </row>
    <row r="16687" spans="1:5" x14ac:dyDescent="0.25">
      <c r="A16687" t="str">
        <f>HYPERLINK("https://www.773grp.com/globalSearch/MC100LVELT23DR2/page-1", "MC100LVELT23DR2")</f>
        <v>MC100LVELT23DR2</v>
      </c>
      <c r="B16687" s="3" t="s">
        <v>74</v>
      </c>
      <c r="C16687" s="6">
        <v>16112</v>
      </c>
      <c r="D16687" s="7">
        <v>5.35</v>
      </c>
    </row>
    <row r="16688" spans="1:5" x14ac:dyDescent="0.25">
      <c r="A16688" t="str">
        <f>HYPERLINK("https://www.773grp.com/globalSearch/MC100LVELT23DTR2/page-1", "MC100LVELT23DTR2")</f>
        <v>MC100LVELT23DTR2</v>
      </c>
      <c r="B16688" s="3" t="s">
        <v>74</v>
      </c>
      <c r="C16688" s="6">
        <v>22390</v>
      </c>
      <c r="D16688" s="7">
        <v>5.35</v>
      </c>
      <c r="E16688" t="s">
        <v>61</v>
      </c>
    </row>
    <row r="16689" spans="1:5" x14ac:dyDescent="0.25">
      <c r="A16689" t="str">
        <f>HYPERLINK("https://www.773grp.com/globalSearch/MC10197FN/page-1", "MC10197FN")</f>
        <v>MC10197FN</v>
      </c>
      <c r="B16689" s="3" t="s">
        <v>74</v>
      </c>
      <c r="C16689" s="6">
        <v>1702</v>
      </c>
      <c r="D16689" s="7">
        <v>5.35</v>
      </c>
      <c r="E16689" t="s">
        <v>27</v>
      </c>
    </row>
    <row r="16690" spans="1:5" x14ac:dyDescent="0.25">
      <c r="A16690" t="str">
        <f>HYPERLINK("https://www.773grp.com/globalSearch/MC10ELT22D/page-1", "MC10ELT22D")</f>
        <v>MC10ELT22D</v>
      </c>
      <c r="B16690" s="3" t="s">
        <v>74</v>
      </c>
      <c r="C16690" s="6">
        <v>784</v>
      </c>
      <c r="D16690" s="7">
        <v>5.35</v>
      </c>
      <c r="E16690" t="s">
        <v>61</v>
      </c>
    </row>
    <row r="16691" spans="1:5" x14ac:dyDescent="0.25">
      <c r="A16691" t="str">
        <f>HYPERLINK("https://www.773grp.com/globalSearch/MC10ELT25D/page-1", "MC10ELT25D")</f>
        <v>MC10ELT25D</v>
      </c>
      <c r="B16691" s="3" t="s">
        <v>74</v>
      </c>
      <c r="C16691" s="6">
        <v>183</v>
      </c>
      <c r="D16691" s="7">
        <v>5.35</v>
      </c>
      <c r="E16691" t="s">
        <v>61</v>
      </c>
    </row>
    <row r="16692" spans="1:5" x14ac:dyDescent="0.25">
      <c r="A16692" t="str">
        <f>HYPERLINK("https://www.773grp.com/globalSearch/MC12026ADG/page-1", "MC12026ADG")</f>
        <v>MC12026ADG</v>
      </c>
      <c r="B16692" s="3" t="s">
        <v>74</v>
      </c>
      <c r="C16692" s="6">
        <v>7581</v>
      </c>
      <c r="D16692" s="7">
        <v>5.35</v>
      </c>
      <c r="E16692" t="s">
        <v>44</v>
      </c>
    </row>
    <row r="16693" spans="1:5" x14ac:dyDescent="0.25">
      <c r="A16693" t="str">
        <f>HYPERLINK("https://www.773grp.com/globalSearch/MC12026ADR2G/page-1", "MC12026ADR2G")</f>
        <v>MC12026ADR2G</v>
      </c>
      <c r="B16693" s="3" t="s">
        <v>74</v>
      </c>
      <c r="C16693" s="6">
        <v>547</v>
      </c>
      <c r="D16693" s="7">
        <v>5.35</v>
      </c>
      <c r="E16693" t="s">
        <v>44</v>
      </c>
    </row>
    <row r="16694" spans="1:5" x14ac:dyDescent="0.25">
      <c r="A16694" t="str">
        <f>HYPERLINK("https://www.773grp.com/globalSearch/MC12080DG/page-1", "MC12080DG")</f>
        <v>MC12080DG</v>
      </c>
      <c r="B16694" s="3" t="s">
        <v>74</v>
      </c>
      <c r="C16694" s="6">
        <v>880</v>
      </c>
      <c r="D16694" s="7">
        <v>5.35</v>
      </c>
      <c r="E16694" t="s">
        <v>44</v>
      </c>
    </row>
    <row r="16695" spans="1:5" x14ac:dyDescent="0.25">
      <c r="A16695" t="str">
        <f>HYPERLINK("https://www.773grp.com/globalSearch/MC12080DR2/page-1", "MC12080DR2")</f>
        <v>MC12080DR2</v>
      </c>
      <c r="B16695" s="3" t="s">
        <v>74</v>
      </c>
      <c r="C16695" s="6">
        <v>5000</v>
      </c>
      <c r="D16695" s="7">
        <v>5.35</v>
      </c>
      <c r="E16695" t="s">
        <v>44</v>
      </c>
    </row>
    <row r="16696" spans="1:5" x14ac:dyDescent="0.25">
      <c r="A16696" t="str">
        <f>HYPERLINK("https://www.773grp.com/globalSearch/MC12080DR2G/page-1", "MC12080DR2G")</f>
        <v>MC12080DR2G</v>
      </c>
      <c r="B16696" s="3" t="s">
        <v>74</v>
      </c>
      <c r="C16696" s="6">
        <v>4780</v>
      </c>
      <c r="D16696" s="7">
        <v>5.35</v>
      </c>
      <c r="E16696" t="s">
        <v>44</v>
      </c>
    </row>
    <row r="16697" spans="1:5" x14ac:dyDescent="0.25">
      <c r="A16697" t="str">
        <f>HYPERLINK("https://www.773grp.com/globalSearch/MC12093DG/page-1", "MC12093DG")</f>
        <v>MC12093DG</v>
      </c>
      <c r="B16697" s="3" t="s">
        <v>74</v>
      </c>
      <c r="C16697" s="6">
        <v>1005</v>
      </c>
      <c r="D16697" s="7">
        <v>5.35</v>
      </c>
      <c r="E16697" t="s">
        <v>44</v>
      </c>
    </row>
    <row r="16698" spans="1:5" x14ac:dyDescent="0.25">
      <c r="A16698" t="str">
        <f>HYPERLINK("https://www.773grp.com/globalSearch/MC12093DR2G/page-1", "MC12093DR2G")</f>
        <v>MC12093DR2G</v>
      </c>
      <c r="B16698" s="3" t="s">
        <v>74</v>
      </c>
      <c r="C16698" s="6">
        <v>4500</v>
      </c>
      <c r="D16698" s="7">
        <v>5.35</v>
      </c>
    </row>
    <row r="16699" spans="1:5" x14ac:dyDescent="0.25">
      <c r="A16699" t="str">
        <f>HYPERLINK("https://www.773grp.com/globalSearch/MC12093MNR4G/page-1", "MC12093MNR4G")</f>
        <v>MC12093MNR4G</v>
      </c>
      <c r="B16699" s="3" t="s">
        <v>74</v>
      </c>
      <c r="C16699" s="6">
        <v>500</v>
      </c>
      <c r="D16699" s="7">
        <v>5.35</v>
      </c>
      <c r="E16699" t="s">
        <v>44</v>
      </c>
    </row>
    <row r="16700" spans="1:5" x14ac:dyDescent="0.25">
      <c r="A16700" t="str">
        <f>HYPERLINK("https://www.773grp.com/globalSearch/MC12095DG/page-1", "MC12095DG")</f>
        <v>MC12095DG</v>
      </c>
      <c r="B16700" s="3" t="s">
        <v>74</v>
      </c>
      <c r="C16700" s="6">
        <v>10401</v>
      </c>
      <c r="D16700" s="7">
        <v>5.35</v>
      </c>
      <c r="E16700" t="s">
        <v>44</v>
      </c>
    </row>
    <row r="16701" spans="1:5" x14ac:dyDescent="0.25">
      <c r="A16701" t="str">
        <f>HYPERLINK("https://www.773grp.com/globalSearch/MC12095DR2G/page-1", "MC12095DR2G")</f>
        <v>MC12095DR2G</v>
      </c>
      <c r="B16701" s="3" t="s">
        <v>74</v>
      </c>
      <c r="C16701" s="6">
        <v>133</v>
      </c>
      <c r="D16701" s="7">
        <v>5.35</v>
      </c>
      <c r="E16701" t="s">
        <v>44</v>
      </c>
    </row>
    <row r="16702" spans="1:5" x14ac:dyDescent="0.25">
      <c r="A16702" t="str">
        <f>HYPERLINK("https://www.773grp.com/globalSearch/MC33680FTBR2/page-1", "MC33680FTBR2")</f>
        <v>MC33680FTBR2</v>
      </c>
      <c r="B16702" s="3" t="s">
        <v>74</v>
      </c>
      <c r="C16702" s="6">
        <v>3600</v>
      </c>
      <c r="D16702" s="7">
        <v>5.35</v>
      </c>
      <c r="E16702" t="s">
        <v>5</v>
      </c>
    </row>
    <row r="16703" spans="1:5" x14ac:dyDescent="0.25">
      <c r="A16703" t="str">
        <f>HYPERLINK("https://www.773grp.com/globalSearch/MGW14N60ED/page-1", "MGW14N60ED")</f>
        <v>MGW14N60ED</v>
      </c>
      <c r="B16703" s="3" t="s">
        <v>74</v>
      </c>
      <c r="C16703" s="6">
        <v>1103</v>
      </c>
      <c r="D16703" s="7">
        <v>5.35</v>
      </c>
      <c r="E16703" t="s">
        <v>94</v>
      </c>
    </row>
    <row r="16704" spans="1:5" x14ac:dyDescent="0.25">
      <c r="A16704" t="str">
        <f>HYPERLINK("https://www.773grp.com/globalSearch/NB100ELT23LDG/page-1", "NB100ELT23LDG")</f>
        <v>NB100ELT23LDG</v>
      </c>
      <c r="B16704" s="3" t="s">
        <v>74</v>
      </c>
      <c r="C16704" s="6">
        <v>956</v>
      </c>
      <c r="D16704" s="7">
        <v>5.35</v>
      </c>
      <c r="E16704" t="s">
        <v>61</v>
      </c>
    </row>
    <row r="16705" spans="1:5" x14ac:dyDescent="0.25">
      <c r="A16705" t="str">
        <f>HYPERLINK("https://www.773grp.com/globalSearch/NCP5383MNR2G/page-1", "NCP5383MNR2G")</f>
        <v>NCP5383MNR2G</v>
      </c>
      <c r="B16705" s="3" t="s">
        <v>74</v>
      </c>
      <c r="C16705" s="6">
        <v>84000</v>
      </c>
      <c r="D16705" s="7">
        <v>5.35</v>
      </c>
      <c r="E16705" t="s">
        <v>5</v>
      </c>
    </row>
    <row r="16706" spans="1:5" x14ac:dyDescent="0.25">
      <c r="A16706" t="str">
        <f>HYPERLINK("https://www.773grp.com/globalSearch/NCS2535DTBR2G/page-1", "NCS2535DTBR2G")</f>
        <v>NCS2535DTBR2G</v>
      </c>
      <c r="B16706" s="3" t="s">
        <v>74</v>
      </c>
      <c r="C16706" s="6">
        <v>4985</v>
      </c>
      <c r="D16706" s="7">
        <v>5.35</v>
      </c>
      <c r="E16706" t="s">
        <v>14</v>
      </c>
    </row>
    <row r="16707" spans="1:5" x14ac:dyDescent="0.25">
      <c r="A16707" t="str">
        <f>HYPERLINK("https://www.773grp.com/globalSearch/NCS2540DTBR2G/page-1", "NCS2540DTBR2G")</f>
        <v>NCS2540DTBR2G</v>
      </c>
      <c r="B16707" s="3" t="s">
        <v>74</v>
      </c>
      <c r="C16707" s="6">
        <v>4965</v>
      </c>
      <c r="D16707" s="7">
        <v>5.35</v>
      </c>
      <c r="E16707" t="s">
        <v>14</v>
      </c>
    </row>
    <row r="16708" spans="1:5" x14ac:dyDescent="0.25">
      <c r="A16708" t="str">
        <f>HYPERLINK("https://www.773grp.com/globalSearch/NE570DG/page-1", "NE570DG")</f>
        <v>NE570DG</v>
      </c>
      <c r="B16708" s="3" t="s">
        <v>74</v>
      </c>
      <c r="C16708" s="6">
        <v>764</v>
      </c>
      <c r="D16708" s="7">
        <v>5.35</v>
      </c>
      <c r="E16708" t="s">
        <v>97</v>
      </c>
    </row>
    <row r="16709" spans="1:5" x14ac:dyDescent="0.25">
      <c r="A16709" t="str">
        <f>HYPERLINK("https://www.773grp.com/globalSearch/NE570DR2G/page-1", "NE570DR2G")</f>
        <v>NE570DR2G</v>
      </c>
      <c r="B16709" s="3" t="s">
        <v>74</v>
      </c>
      <c r="C16709" s="6">
        <v>4715</v>
      </c>
      <c r="D16709" s="7">
        <v>5.35</v>
      </c>
      <c r="E16709" t="s">
        <v>97</v>
      </c>
    </row>
    <row r="16710" spans="1:5" x14ac:dyDescent="0.25">
      <c r="A16710" t="str">
        <f>HYPERLINK("https://www.773grp.com/globalSearch/LC75821EHS-E/page-1", "LC75821EHS-E")</f>
        <v>LC75821EHS-E</v>
      </c>
      <c r="B16710" s="3" t="s">
        <v>74</v>
      </c>
      <c r="C16710" s="6">
        <v>120</v>
      </c>
      <c r="D16710" s="7">
        <v>5.36</v>
      </c>
    </row>
    <row r="16711" spans="1:5" x14ac:dyDescent="0.25">
      <c r="A16711" t="str">
        <f>HYPERLINK("https://www.773grp.com/globalSearch/LV8014T-TLM-E/page-1", "LV8014T-TLM-E")</f>
        <v>LV8014T-TLM-E</v>
      </c>
      <c r="B16711" s="3" t="s">
        <v>74</v>
      </c>
      <c r="C16711" s="6">
        <v>1605</v>
      </c>
      <c r="D16711" s="7">
        <v>5.4</v>
      </c>
    </row>
    <row r="16712" spans="1:5" x14ac:dyDescent="0.25">
      <c r="A16712" t="str">
        <f>HYPERLINK("https://www.773grp.com/globalSearch/LV8136V-MPB-H/page-1", "LV8136V-MPB-H")</f>
        <v>LV8136V-MPB-H</v>
      </c>
      <c r="B16712" s="3" t="s">
        <v>74</v>
      </c>
      <c r="C16712" s="6">
        <v>288</v>
      </c>
      <c r="D16712" s="7">
        <v>5.4</v>
      </c>
    </row>
    <row r="16713" spans="1:5" x14ac:dyDescent="0.25">
      <c r="A16713" t="str">
        <f>HYPERLINK("https://www.773grp.com/globalSearch/LV8136V-TLM-H/page-1", "LV8136V-TLM-H")</f>
        <v>LV8136V-TLM-H</v>
      </c>
      <c r="B16713" s="3" t="s">
        <v>74</v>
      </c>
      <c r="C16713" s="6">
        <v>1000</v>
      </c>
      <c r="D16713" s="7">
        <v>5.4</v>
      </c>
    </row>
    <row r="16714" spans="1:5" x14ac:dyDescent="0.25">
      <c r="A16714" t="str">
        <f>HYPERLINK("https://www.773grp.com/globalSearch/LC75852W-E/page-1", "LC75852W-E")</f>
        <v>LC75852W-E</v>
      </c>
      <c r="B16714" s="3" t="s">
        <v>74</v>
      </c>
      <c r="C16714" s="6">
        <v>3000</v>
      </c>
      <c r="D16714" s="7">
        <v>5.44</v>
      </c>
    </row>
    <row r="16715" spans="1:5" x14ac:dyDescent="0.25">
      <c r="A16715" t="str">
        <f>HYPERLINK("https://www.773grp.com/globalSearch/MC10H164ML2/page-1", "MC10H164ML2")</f>
        <v>MC10H164ML2</v>
      </c>
      <c r="B16715" s="3" t="s">
        <v>74</v>
      </c>
      <c r="C16715" s="6">
        <v>4000</v>
      </c>
      <c r="D16715" s="7">
        <v>5.44</v>
      </c>
    </row>
    <row r="16716" spans="1:5" x14ac:dyDescent="0.25">
      <c r="A16716" t="str">
        <f>HYPERLINK("https://www.773grp.com/globalSearch/LB1927-E/page-1", "LB1927-E")</f>
        <v>LB1927-E</v>
      </c>
      <c r="B16716" s="3" t="s">
        <v>74</v>
      </c>
      <c r="C16716" s="6">
        <v>14404</v>
      </c>
      <c r="D16716" s="7">
        <v>5.45</v>
      </c>
    </row>
    <row r="16717" spans="1:5" x14ac:dyDescent="0.25">
      <c r="A16717" t="str">
        <f>HYPERLINK("https://www.773grp.com/globalSearch/MC10H116DG/page-1", "MC10H116DG")</f>
        <v>MC10H116DG</v>
      </c>
      <c r="B16717" s="3" t="s">
        <v>74</v>
      </c>
      <c r="C16717" s="6">
        <v>8750</v>
      </c>
      <c r="D16717" s="7">
        <v>5.45</v>
      </c>
      <c r="E16717" t="s">
        <v>17</v>
      </c>
    </row>
    <row r="16718" spans="1:5" x14ac:dyDescent="0.25">
      <c r="A16718" t="str">
        <f>HYPERLINK("https://www.773grp.com/globalSearch/MJH16006A/page-1", "MJH16006A")</f>
        <v>MJH16006A</v>
      </c>
      <c r="B16718" s="3" t="s">
        <v>74</v>
      </c>
      <c r="C16718" s="6">
        <v>2422</v>
      </c>
      <c r="D16718" s="7">
        <v>5.45</v>
      </c>
      <c r="E16718" t="s">
        <v>47</v>
      </c>
    </row>
    <row r="16719" spans="1:5" x14ac:dyDescent="0.25">
      <c r="A16719" t="str">
        <f>HYPERLINK("https://www.773grp.com/globalSearch/TCM78T12A-12VBB/page-1", "TCM78T12A-12VBB")</f>
        <v>TCM78T12A-12VBB</v>
      </c>
      <c r="B16719" s="3" t="s">
        <v>74</v>
      </c>
      <c r="C16719" s="6">
        <v>2828</v>
      </c>
      <c r="D16719" s="7">
        <v>5.45</v>
      </c>
    </row>
    <row r="16720" spans="1:5" x14ac:dyDescent="0.25">
      <c r="A16720" t="str">
        <f>HYPERLINK("https://www.773grp.com/globalSearch/CS5308GDW28/page-1", "CS5308GDW28")</f>
        <v>CS5308GDW28</v>
      </c>
      <c r="B16720" s="3" t="s">
        <v>74</v>
      </c>
      <c r="C16720" s="6">
        <v>988</v>
      </c>
      <c r="D16720" s="7">
        <v>5.49</v>
      </c>
      <c r="E16720" t="s">
        <v>5</v>
      </c>
    </row>
    <row r="16721" spans="1:5" x14ac:dyDescent="0.25">
      <c r="A16721" t="str">
        <f>HYPERLINK("https://www.773grp.com/globalSearch/CS5308GDWR28/page-1", "CS5308GDWR28")</f>
        <v>CS5308GDWR28</v>
      </c>
      <c r="B16721" s="3" t="s">
        <v>74</v>
      </c>
      <c r="C16721" s="6">
        <v>1000</v>
      </c>
      <c r="D16721" s="7">
        <v>5.49</v>
      </c>
      <c r="E16721" t="s">
        <v>5</v>
      </c>
    </row>
    <row r="16722" spans="1:5" x14ac:dyDescent="0.25">
      <c r="A16722" t="str">
        <f>HYPERLINK("https://www.773grp.com/globalSearch/LB11693H-TLM-E/page-1", "LB11693H-TLM-E")</f>
        <v>LB11693H-TLM-E</v>
      </c>
      <c r="B16722" s="3" t="s">
        <v>74</v>
      </c>
      <c r="C16722" s="6">
        <v>650</v>
      </c>
      <c r="D16722" s="7">
        <v>5.49</v>
      </c>
    </row>
    <row r="16723" spans="1:5" x14ac:dyDescent="0.25">
      <c r="A16723" t="str">
        <f>HYPERLINK("https://www.773grp.com/globalSearch/LC87F1HC4BUWA-2H/page-1", "LC87F1HC4BUWA-2H")</f>
        <v>LC87F1HC4BUWA-2H</v>
      </c>
      <c r="B16723" s="3" t="s">
        <v>74</v>
      </c>
      <c r="C16723" s="6">
        <v>7500</v>
      </c>
      <c r="D16723" s="7">
        <v>5.49</v>
      </c>
    </row>
    <row r="16724" spans="1:5" x14ac:dyDescent="0.25">
      <c r="A16724" t="str">
        <f>HYPERLINK("https://www.773grp.com/globalSearch/LC87F1K64AUWA-2H/page-1", "LC87F1K64AUWA-2H")</f>
        <v>LC87F1K64AUWA-2H</v>
      </c>
      <c r="B16724" s="3" t="s">
        <v>74</v>
      </c>
      <c r="C16724" s="6">
        <v>9500</v>
      </c>
      <c r="D16724" s="7">
        <v>5.49</v>
      </c>
    </row>
    <row r="16725" spans="1:5" x14ac:dyDescent="0.25">
      <c r="A16725" t="str">
        <f>HYPERLINK("https://www.773grp.com/globalSearch/MC100ELT24D/page-1", "MC100ELT24D")</f>
        <v>MC100ELT24D</v>
      </c>
      <c r="B16725" s="3" t="s">
        <v>74</v>
      </c>
      <c r="C16725" s="6">
        <v>13383</v>
      </c>
      <c r="D16725" s="7">
        <v>5.49</v>
      </c>
      <c r="E16725" t="s">
        <v>61</v>
      </c>
    </row>
    <row r="16726" spans="1:5" x14ac:dyDescent="0.25">
      <c r="A16726" t="str">
        <f>HYPERLINK("https://www.773grp.com/globalSearch/MC100LVELT23TG/page-1", "MC100LVELT23TG")</f>
        <v>MC100LVELT23TG</v>
      </c>
      <c r="B16726" s="3" t="s">
        <v>74</v>
      </c>
      <c r="C16726" s="6">
        <v>48</v>
      </c>
      <c r="D16726" s="7">
        <v>5.49</v>
      </c>
    </row>
    <row r="16727" spans="1:5" x14ac:dyDescent="0.25">
      <c r="A16727" t="str">
        <f>HYPERLINK("https://www.773grp.com/globalSearch/MC10ELT25DR2/page-1", "MC10ELT25DR2")</f>
        <v>MC10ELT25DR2</v>
      </c>
      <c r="B16727" s="3" t="s">
        <v>74</v>
      </c>
      <c r="C16727" s="6">
        <v>2500</v>
      </c>
      <c r="D16727" s="7">
        <v>5.49</v>
      </c>
      <c r="E16727" t="s">
        <v>61</v>
      </c>
    </row>
    <row r="16728" spans="1:5" x14ac:dyDescent="0.25">
      <c r="A16728" t="str">
        <f>HYPERLINK("https://www.773grp.com/globalSearch/NCP4421T/page-1", "NCP4421T")</f>
        <v>NCP4421T</v>
      </c>
      <c r="B16728" s="3" t="s">
        <v>74</v>
      </c>
      <c r="C16728" s="6">
        <v>14766</v>
      </c>
      <c r="D16728" s="7">
        <v>5.49</v>
      </c>
      <c r="E16728" t="s">
        <v>12</v>
      </c>
    </row>
    <row r="16729" spans="1:5" x14ac:dyDescent="0.25">
      <c r="A16729" t="str">
        <f>HYPERLINK("https://www.773grp.com/globalSearch/NCP4422T/page-1", "NCP4422T")</f>
        <v>NCP4422T</v>
      </c>
      <c r="B16729" s="3" t="s">
        <v>74</v>
      </c>
      <c r="C16729" s="6">
        <v>13435</v>
      </c>
      <c r="D16729" s="7">
        <v>5.49</v>
      </c>
      <c r="E16729" t="s">
        <v>12</v>
      </c>
    </row>
    <row r="16730" spans="1:5" x14ac:dyDescent="0.25">
      <c r="A16730" t="str">
        <f>HYPERLINK("https://www.773grp.com/globalSearch/SA575NG/page-1", "SA575NG")</f>
        <v>SA575NG</v>
      </c>
      <c r="B16730" s="3" t="s">
        <v>74</v>
      </c>
      <c r="C16730" s="6">
        <v>2566</v>
      </c>
      <c r="D16730" s="7">
        <v>5.49</v>
      </c>
      <c r="E16730" t="s">
        <v>97</v>
      </c>
    </row>
    <row r="16731" spans="1:5" x14ac:dyDescent="0.25">
      <c r="A16731" t="str">
        <f>HYPERLINK("https://www.773grp.com/globalSearch/FS6128-04G-XTD/page-1", "FS6128-04G-XTD")</f>
        <v>FS6128-04G-XTD</v>
      </c>
      <c r="B16731" s="3" t="s">
        <v>74</v>
      </c>
      <c r="C16731" s="6">
        <v>73</v>
      </c>
      <c r="D16731" s="7">
        <v>5.54</v>
      </c>
    </row>
    <row r="16732" spans="1:5" x14ac:dyDescent="0.25">
      <c r="A16732" t="str">
        <f>HYPERLINK("https://www.773grp.com/globalSearch/MC10H171FN/page-1", "MC10H171FN")</f>
        <v>MC10H171FN</v>
      </c>
      <c r="B16732" s="3" t="s">
        <v>74</v>
      </c>
      <c r="C16732" s="6">
        <v>1950</v>
      </c>
      <c r="D16732" s="7">
        <v>5.54</v>
      </c>
      <c r="E16732" t="s">
        <v>32</v>
      </c>
    </row>
    <row r="16733" spans="1:5" x14ac:dyDescent="0.25">
      <c r="A16733" t="str">
        <f>HYPERLINK("https://www.773grp.com/globalSearch/CS5322GDWR28/page-1", "CS5322GDWR28")</f>
        <v>CS5322GDWR28</v>
      </c>
      <c r="B16733" s="3" t="s">
        <v>74</v>
      </c>
      <c r="C16733" s="6">
        <v>63000</v>
      </c>
      <c r="D16733" s="7">
        <v>5.58</v>
      </c>
      <c r="E16733" t="s">
        <v>5</v>
      </c>
    </row>
    <row r="16734" spans="1:5" x14ac:dyDescent="0.25">
      <c r="A16734" t="str">
        <f>HYPERLINK("https://www.773grp.com/globalSearch/CS5332GDW28/page-1", "CS5332GDW28")</f>
        <v>CS5332GDW28</v>
      </c>
      <c r="B16734" s="3" t="s">
        <v>74</v>
      </c>
      <c r="C16734" s="6">
        <v>1040</v>
      </c>
      <c r="D16734" s="7">
        <v>5.58</v>
      </c>
      <c r="E16734" t="s">
        <v>5</v>
      </c>
    </row>
    <row r="16735" spans="1:5" x14ac:dyDescent="0.25">
      <c r="A16735" t="str">
        <f>HYPERLINK("https://www.773grp.com/globalSearch/CS5332GDWR28/page-1", "CS5332GDWR28")</f>
        <v>CS5332GDWR28</v>
      </c>
      <c r="B16735" s="3" t="s">
        <v>74</v>
      </c>
      <c r="C16735" s="6">
        <v>55000</v>
      </c>
      <c r="D16735" s="7">
        <v>5.58</v>
      </c>
      <c r="E16735" t="s">
        <v>5</v>
      </c>
    </row>
    <row r="16736" spans="1:5" x14ac:dyDescent="0.25">
      <c r="A16736" t="str">
        <f>HYPERLINK("https://www.773grp.com/globalSearch/CS8147YT5/page-1", "CS8147YT5")</f>
        <v>CS8147YT5</v>
      </c>
      <c r="B16736" s="3" t="s">
        <v>74</v>
      </c>
      <c r="C16736" s="6">
        <v>2200</v>
      </c>
      <c r="D16736" s="7">
        <v>5.58</v>
      </c>
      <c r="E16736" t="s">
        <v>39</v>
      </c>
    </row>
    <row r="16737" spans="1:5" x14ac:dyDescent="0.25">
      <c r="A16737" t="str">
        <f>HYPERLINK("https://www.773grp.com/globalSearch/CS8151YT7/page-1", "CS8151YT7")</f>
        <v>CS8151YT7</v>
      </c>
      <c r="B16737" s="3" t="s">
        <v>74</v>
      </c>
      <c r="C16737" s="6">
        <v>4800</v>
      </c>
      <c r="D16737" s="7">
        <v>5.58</v>
      </c>
      <c r="E16737" t="s">
        <v>15</v>
      </c>
    </row>
    <row r="16738" spans="1:5" x14ac:dyDescent="0.25">
      <c r="A16738" t="str">
        <f>HYPERLINK("https://www.773grp.com/globalSearch/MC100EP01D/page-1", "MC100EP01D")</f>
        <v>MC100EP01D</v>
      </c>
      <c r="B16738" s="3" t="s">
        <v>74</v>
      </c>
      <c r="C16738" s="6">
        <v>779</v>
      </c>
      <c r="D16738" s="7">
        <v>5.58</v>
      </c>
      <c r="E16738" t="s">
        <v>27</v>
      </c>
    </row>
    <row r="16739" spans="1:5" x14ac:dyDescent="0.25">
      <c r="A16739" t="str">
        <f>HYPERLINK("https://www.773grp.com/globalSearch/MC100EP01DT/page-1", "MC100EP01DT")</f>
        <v>MC100EP01DT</v>
      </c>
      <c r="B16739" s="3" t="s">
        <v>74</v>
      </c>
      <c r="C16739" s="6">
        <v>779</v>
      </c>
      <c r="D16739" s="7">
        <v>5.58</v>
      </c>
      <c r="E16739" t="s">
        <v>27</v>
      </c>
    </row>
    <row r="16740" spans="1:5" x14ac:dyDescent="0.25">
      <c r="A16740" t="str">
        <f>HYPERLINK("https://www.773grp.com/globalSearch/MC100EP05D/page-1", "MC100EP05D")</f>
        <v>MC100EP05D</v>
      </c>
      <c r="B16740" s="3" t="s">
        <v>74</v>
      </c>
      <c r="C16740" s="6">
        <v>46386</v>
      </c>
      <c r="D16740" s="7">
        <v>5.58</v>
      </c>
      <c r="E16740" t="s">
        <v>27</v>
      </c>
    </row>
    <row r="16741" spans="1:5" x14ac:dyDescent="0.25">
      <c r="A16741" t="str">
        <f>HYPERLINK("https://www.773grp.com/globalSearch/MC100EP05DR2/page-1", "MC100EP05DR2")</f>
        <v>MC100EP05DR2</v>
      </c>
      <c r="B16741" s="3" t="s">
        <v>74</v>
      </c>
      <c r="C16741" s="6">
        <v>2392</v>
      </c>
      <c r="D16741" s="7">
        <v>5.58</v>
      </c>
      <c r="E16741" t="s">
        <v>27</v>
      </c>
    </row>
    <row r="16742" spans="1:5" x14ac:dyDescent="0.25">
      <c r="A16742" t="str">
        <f>HYPERLINK("https://www.773grp.com/globalSearch/MC100EP05DT/page-1", "MC100EP05DT")</f>
        <v>MC100EP05DT</v>
      </c>
      <c r="B16742" s="3" t="s">
        <v>74</v>
      </c>
      <c r="C16742" s="6">
        <v>4593</v>
      </c>
      <c r="D16742" s="7">
        <v>5.58</v>
      </c>
      <c r="E16742" t="s">
        <v>27</v>
      </c>
    </row>
    <row r="16743" spans="1:5" x14ac:dyDescent="0.25">
      <c r="A16743" t="str">
        <f>HYPERLINK("https://www.773grp.com/globalSearch/MC100EP08D/page-1", "MC100EP08D")</f>
        <v>MC100EP08D</v>
      </c>
      <c r="B16743" s="3" t="s">
        <v>74</v>
      </c>
      <c r="C16743" s="6">
        <v>1885</v>
      </c>
      <c r="D16743" s="7">
        <v>5.58</v>
      </c>
      <c r="E16743" t="s">
        <v>27</v>
      </c>
    </row>
    <row r="16744" spans="1:5" x14ac:dyDescent="0.25">
      <c r="A16744" t="str">
        <f>HYPERLINK("https://www.773grp.com/globalSearch/MC100EP08DT/page-1", "MC100EP08DT")</f>
        <v>MC100EP08DT</v>
      </c>
      <c r="B16744" s="3" t="s">
        <v>74</v>
      </c>
      <c r="C16744" s="6">
        <v>18650</v>
      </c>
      <c r="D16744" s="7">
        <v>5.58</v>
      </c>
      <c r="E16744" t="s">
        <v>27</v>
      </c>
    </row>
    <row r="16745" spans="1:5" x14ac:dyDescent="0.25">
      <c r="A16745" t="str">
        <f>HYPERLINK("https://www.773grp.com/globalSearch/ADT7461AARMZ-2RL/page-1", "ADT7461AARMZ-2RL")</f>
        <v>ADT7461AARMZ-2RL</v>
      </c>
      <c r="B16745" s="3" t="s">
        <v>74</v>
      </c>
      <c r="C16745" s="6">
        <v>2480</v>
      </c>
      <c r="D16745" s="7">
        <v>5.6</v>
      </c>
    </row>
    <row r="16746" spans="1:5" x14ac:dyDescent="0.25">
      <c r="A16746" t="str">
        <f>HYPERLINK("https://www.773grp.com/globalSearch/ADT7461AARMZ-R/page-1", "ADT7461AARMZ-R")</f>
        <v>ADT7461AARMZ-R</v>
      </c>
      <c r="B16746" s="3" t="s">
        <v>74</v>
      </c>
      <c r="C16746" s="6">
        <v>8950</v>
      </c>
      <c r="D16746" s="7">
        <v>5.6</v>
      </c>
    </row>
    <row r="16747" spans="1:5" x14ac:dyDescent="0.25">
      <c r="A16747" t="str">
        <f>HYPERLINK("https://www.773grp.com/globalSearch/AMIS42700WCGA4RH/page-1", "AMIS42700WCGA4RH")</f>
        <v>AMIS42700WCGA4RH</v>
      </c>
      <c r="B16747" s="3" t="s">
        <v>74</v>
      </c>
      <c r="C16747" s="6">
        <v>32</v>
      </c>
      <c r="D16747" s="7">
        <v>5.63</v>
      </c>
    </row>
    <row r="16748" spans="1:5" x14ac:dyDescent="0.25">
      <c r="A16748" t="str">
        <f>HYPERLINK("https://www.773grp.com/globalSearch/ASM2I9940LG-32LT/page-1", "ASM2I9940LG-32LT")</f>
        <v>ASM2I9940LG-32LT</v>
      </c>
      <c r="B16748" s="3" t="s">
        <v>74</v>
      </c>
      <c r="C16748" s="6">
        <v>2207</v>
      </c>
      <c r="D16748" s="7">
        <v>5.63</v>
      </c>
    </row>
    <row r="16749" spans="1:5" x14ac:dyDescent="0.25">
      <c r="A16749" t="str">
        <f>HYPERLINK("https://www.773grp.com/globalSearch/CS5307GCWR24/page-1", "CS5307GCWR24")</f>
        <v>CS5307GCWR24</v>
      </c>
      <c r="B16749" s="3" t="s">
        <v>74</v>
      </c>
      <c r="C16749" s="6">
        <v>11000</v>
      </c>
      <c r="D16749" s="7">
        <v>5.63</v>
      </c>
    </row>
    <row r="16750" spans="1:5" x14ac:dyDescent="0.25">
      <c r="A16750" t="str">
        <f>HYPERLINK("https://www.773grp.com/globalSearch/CS5307GDW24/page-1", "CS5307GDW24")</f>
        <v>CS5307GDW24</v>
      </c>
      <c r="B16750" s="3" t="s">
        <v>74</v>
      </c>
      <c r="C16750" s="6">
        <v>990</v>
      </c>
      <c r="D16750" s="7">
        <v>5.63</v>
      </c>
      <c r="E16750" t="s">
        <v>5</v>
      </c>
    </row>
    <row r="16751" spans="1:5" x14ac:dyDescent="0.25">
      <c r="A16751" t="str">
        <f>HYPERLINK("https://www.773grp.com/globalSearch/CS5307GDWR24/page-1", "CS5307GDWR24")</f>
        <v>CS5307GDWR24</v>
      </c>
      <c r="B16751" s="3" t="s">
        <v>74</v>
      </c>
      <c r="C16751" s="6">
        <v>24000</v>
      </c>
      <c r="D16751" s="7">
        <v>5.63</v>
      </c>
      <c r="E16751" t="s">
        <v>5</v>
      </c>
    </row>
    <row r="16752" spans="1:5" x14ac:dyDescent="0.25">
      <c r="A16752" t="str">
        <f>HYPERLINK("https://www.773grp.com/globalSearch/LC71858750E/page-1", "LC71858750E")</f>
        <v>LC71858750E</v>
      </c>
      <c r="B16752" s="3" t="s">
        <v>74</v>
      </c>
      <c r="C16752" s="6">
        <v>10</v>
      </c>
      <c r="D16752" s="7">
        <v>5.63</v>
      </c>
    </row>
    <row r="16753" spans="1:5" x14ac:dyDescent="0.25">
      <c r="A16753" t="str">
        <f>HYPERLINK("https://www.773grp.com/globalSearch/MC100EL15DG/page-1", "MC100EL15DG")</f>
        <v>MC100EL15DG</v>
      </c>
      <c r="B16753" s="3" t="s">
        <v>74</v>
      </c>
      <c r="C16753" s="6">
        <v>3230</v>
      </c>
      <c r="D16753" s="7">
        <v>5.63</v>
      </c>
      <c r="E16753" t="s">
        <v>30</v>
      </c>
    </row>
    <row r="16754" spans="1:5" x14ac:dyDescent="0.25">
      <c r="A16754" t="str">
        <f>HYPERLINK("https://www.773grp.com/globalSearch/MC100EL17DW/page-1", "MC100EL17DW")</f>
        <v>MC100EL17DW</v>
      </c>
      <c r="B16754" s="3" t="s">
        <v>74</v>
      </c>
      <c r="C16754" s="6">
        <v>4311</v>
      </c>
      <c r="D16754" s="7">
        <v>5.63</v>
      </c>
      <c r="E16754" t="s">
        <v>17</v>
      </c>
    </row>
    <row r="16755" spans="1:5" x14ac:dyDescent="0.25">
      <c r="A16755" t="str">
        <f>HYPERLINK("https://www.773grp.com/globalSearch/MC100EL17DWR2/page-1", "MC100EL17DWR2")</f>
        <v>MC100EL17DWR2</v>
      </c>
      <c r="B16755" s="3" t="s">
        <v>74</v>
      </c>
      <c r="C16755" s="6">
        <v>4622</v>
      </c>
      <c r="D16755" s="7">
        <v>5.63</v>
      </c>
      <c r="E16755" t="s">
        <v>17</v>
      </c>
    </row>
    <row r="16756" spans="1:5" x14ac:dyDescent="0.25">
      <c r="A16756" t="str">
        <f>HYPERLINK("https://www.773grp.com/globalSearch/MC100EL56DW/page-1", "MC100EL56DW")</f>
        <v>MC100EL56DW</v>
      </c>
      <c r="B16756" s="3" t="s">
        <v>74</v>
      </c>
      <c r="C16756" s="6">
        <v>9159</v>
      </c>
      <c r="D16756" s="7">
        <v>5.63</v>
      </c>
      <c r="E16756" t="s">
        <v>16</v>
      </c>
    </row>
    <row r="16757" spans="1:5" x14ac:dyDescent="0.25">
      <c r="A16757" t="str">
        <f>HYPERLINK("https://www.773grp.com/globalSearch/MC100EP31D/page-1", "MC100EP31D")</f>
        <v>MC100EP31D</v>
      </c>
      <c r="B16757" s="3" t="s">
        <v>74</v>
      </c>
      <c r="C16757" s="6">
        <v>52009</v>
      </c>
      <c r="D16757" s="7">
        <v>5.63</v>
      </c>
      <c r="E16757" t="s">
        <v>31</v>
      </c>
    </row>
    <row r="16758" spans="1:5" x14ac:dyDescent="0.25">
      <c r="A16758" t="str">
        <f>HYPERLINK("https://www.773grp.com/globalSearch/MC100EP31DR2/page-1", "MC100EP31DR2")</f>
        <v>MC100EP31DR2</v>
      </c>
      <c r="B16758" s="3" t="s">
        <v>74</v>
      </c>
      <c r="C16758" s="6">
        <v>2478</v>
      </c>
      <c r="D16758" s="7">
        <v>5.63</v>
      </c>
      <c r="E16758" t="s">
        <v>31</v>
      </c>
    </row>
    <row r="16759" spans="1:5" x14ac:dyDescent="0.25">
      <c r="A16759" t="str">
        <f>HYPERLINK("https://www.773grp.com/globalSearch/MC100EP31DT/page-1", "MC100EP31DT")</f>
        <v>MC100EP31DT</v>
      </c>
      <c r="B16759" s="3" t="s">
        <v>74</v>
      </c>
      <c r="C16759" s="6">
        <v>5</v>
      </c>
      <c r="D16759" s="7">
        <v>5.63</v>
      </c>
      <c r="E16759" t="s">
        <v>31</v>
      </c>
    </row>
    <row r="16760" spans="1:5" x14ac:dyDescent="0.25">
      <c r="A16760" t="str">
        <f>HYPERLINK("https://www.773grp.com/globalSearch/MC100EP32D/page-1", "MC100EP32D")</f>
        <v>MC100EP32D</v>
      </c>
      <c r="B16760" s="3" t="s">
        <v>74</v>
      </c>
      <c r="C16760" s="6">
        <v>35122</v>
      </c>
      <c r="D16760" s="7">
        <v>5.63</v>
      </c>
      <c r="E16760" t="s">
        <v>44</v>
      </c>
    </row>
    <row r="16761" spans="1:5" x14ac:dyDescent="0.25">
      <c r="A16761" t="str">
        <f>HYPERLINK("https://www.773grp.com/globalSearch/MC100EP32DTR2/page-1", "MC100EP32DTR2")</f>
        <v>MC100EP32DTR2</v>
      </c>
      <c r="B16761" s="3" t="s">
        <v>74</v>
      </c>
      <c r="C16761" s="6">
        <v>7500</v>
      </c>
      <c r="D16761" s="7">
        <v>5.63</v>
      </c>
      <c r="E16761" t="s">
        <v>44</v>
      </c>
    </row>
    <row r="16762" spans="1:5" x14ac:dyDescent="0.25">
      <c r="A16762" t="str">
        <f>HYPERLINK("https://www.773grp.com/globalSearch/MC100EP32DTR2  REEL/page-1", "MC100EP32DTR2  REEL")</f>
        <v>MC100EP32DTR2  REEL</v>
      </c>
      <c r="B16762" s="3" t="s">
        <v>74</v>
      </c>
      <c r="C16762" s="6">
        <v>1603</v>
      </c>
      <c r="D16762" s="7">
        <v>5.63</v>
      </c>
    </row>
    <row r="16763" spans="1:5" x14ac:dyDescent="0.25">
      <c r="A16763" t="str">
        <f>HYPERLINK("https://www.773grp.com/globalSearch/MC100EP33D/page-1", "MC100EP33D")</f>
        <v>MC100EP33D</v>
      </c>
      <c r="B16763" s="3" t="s">
        <v>74</v>
      </c>
      <c r="C16763" s="6">
        <v>2271</v>
      </c>
      <c r="D16763" s="7">
        <v>5.63</v>
      </c>
      <c r="E16763" t="s">
        <v>44</v>
      </c>
    </row>
    <row r="16764" spans="1:5" x14ac:dyDescent="0.25">
      <c r="A16764" t="str">
        <f>HYPERLINK("https://www.773grp.com/globalSearch/MC100EP33DT/page-1", "MC100EP33DT")</f>
        <v>MC100EP33DT</v>
      </c>
      <c r="B16764" s="3" t="s">
        <v>74</v>
      </c>
      <c r="C16764" s="6">
        <v>35409</v>
      </c>
      <c r="D16764" s="7">
        <v>5.63</v>
      </c>
      <c r="E16764" t="s">
        <v>44</v>
      </c>
    </row>
    <row r="16765" spans="1:5" x14ac:dyDescent="0.25">
      <c r="A16765" t="str">
        <f>HYPERLINK("https://www.773grp.com/globalSearch/MC100EP33DTR2/page-1", "MC100EP33DTR2")</f>
        <v>MC100EP33DTR2</v>
      </c>
      <c r="B16765" s="3" t="s">
        <v>74</v>
      </c>
      <c r="C16765" s="6">
        <v>2500</v>
      </c>
      <c r="D16765" s="7">
        <v>5.63</v>
      </c>
      <c r="E16765" t="s">
        <v>44</v>
      </c>
    </row>
    <row r="16766" spans="1:5" x14ac:dyDescent="0.25">
      <c r="A16766" t="str">
        <f>HYPERLINK("https://www.773grp.com/globalSearch/MC100EP51D/page-1", "MC100EP51D")</f>
        <v>MC100EP51D</v>
      </c>
      <c r="B16766" s="3" t="s">
        <v>74</v>
      </c>
      <c r="C16766" s="6">
        <v>22178</v>
      </c>
      <c r="D16766" s="7">
        <v>5.63</v>
      </c>
      <c r="E16766" t="s">
        <v>31</v>
      </c>
    </row>
    <row r="16767" spans="1:5" x14ac:dyDescent="0.25">
      <c r="A16767" t="str">
        <f>HYPERLINK("https://www.773grp.com/globalSearch/MC100EP51DT/page-1", "MC100EP51DT")</f>
        <v>MC100EP51DT</v>
      </c>
      <c r="B16767" s="3" t="s">
        <v>74</v>
      </c>
      <c r="C16767" s="6">
        <v>9087</v>
      </c>
      <c r="D16767" s="7">
        <v>5.63</v>
      </c>
      <c r="E16767" t="s">
        <v>31</v>
      </c>
    </row>
    <row r="16768" spans="1:5" x14ac:dyDescent="0.25">
      <c r="A16768" t="str">
        <f>HYPERLINK("https://www.773grp.com/globalSearch/MC100EP52D/page-1", "MC100EP52D")</f>
        <v>MC100EP52D</v>
      </c>
      <c r="B16768" s="3" t="s">
        <v>74</v>
      </c>
      <c r="C16768" s="6">
        <v>27446</v>
      </c>
      <c r="D16768" s="7">
        <v>5.63</v>
      </c>
      <c r="E16768" t="s">
        <v>31</v>
      </c>
    </row>
    <row r="16769" spans="1:5" x14ac:dyDescent="0.25">
      <c r="A16769" t="str">
        <f>HYPERLINK("https://www.773grp.com/globalSearch/MC100EP52DT/page-1", "MC100EP52DT")</f>
        <v>MC100EP52DT</v>
      </c>
      <c r="B16769" s="3" t="s">
        <v>74</v>
      </c>
      <c r="C16769" s="6">
        <v>23448</v>
      </c>
      <c r="D16769" s="7">
        <v>5.63</v>
      </c>
      <c r="E16769" t="s">
        <v>31</v>
      </c>
    </row>
    <row r="16770" spans="1:5" x14ac:dyDescent="0.25">
      <c r="A16770" t="str">
        <f>HYPERLINK("https://www.773grp.com/globalSearch/MC100EP52DTR2/page-1", "MC100EP52DTR2")</f>
        <v>MC100EP52DTR2</v>
      </c>
      <c r="B16770" s="3" t="s">
        <v>74</v>
      </c>
      <c r="C16770" s="6">
        <v>2500</v>
      </c>
      <c r="D16770" s="7">
        <v>5.63</v>
      </c>
      <c r="E16770" t="s">
        <v>31</v>
      </c>
    </row>
    <row r="16771" spans="1:5" x14ac:dyDescent="0.25">
      <c r="A16771" t="str">
        <f>HYPERLINK("https://www.773grp.com/globalSearch/MC100EP58D/page-1", "MC100EP58D")</f>
        <v>MC100EP58D</v>
      </c>
      <c r="B16771" s="3" t="s">
        <v>74</v>
      </c>
      <c r="C16771" s="6">
        <v>2394</v>
      </c>
      <c r="D16771" s="7">
        <v>5.63</v>
      </c>
      <c r="E16771" t="s">
        <v>16</v>
      </c>
    </row>
    <row r="16772" spans="1:5" x14ac:dyDescent="0.25">
      <c r="A16772" t="str">
        <f>HYPERLINK("https://www.773grp.com/globalSearch/MC100EP58DT/page-1", "MC100EP58DT")</f>
        <v>MC100EP58DT</v>
      </c>
      <c r="B16772" s="3" t="s">
        <v>74</v>
      </c>
      <c r="C16772" s="6">
        <v>28856</v>
      </c>
      <c r="D16772" s="7">
        <v>5.63</v>
      </c>
      <c r="E16772" t="s">
        <v>16</v>
      </c>
    </row>
    <row r="16773" spans="1:5" x14ac:dyDescent="0.25">
      <c r="A16773" t="str">
        <f>HYPERLINK("https://www.773grp.com/globalSearch/MC100EPT24D/page-1", "MC100EPT24D")</f>
        <v>MC100EPT24D</v>
      </c>
      <c r="B16773" s="3" t="s">
        <v>74</v>
      </c>
      <c r="C16773" s="6">
        <v>40109</v>
      </c>
      <c r="D16773" s="7">
        <v>5.63</v>
      </c>
      <c r="E16773" t="s">
        <v>61</v>
      </c>
    </row>
    <row r="16774" spans="1:5" x14ac:dyDescent="0.25">
      <c r="A16774" t="str">
        <f>HYPERLINK("https://www.773grp.com/globalSearch/MC100EPT24DR2/page-1", "MC100EPT24DR2")</f>
        <v>MC100EPT24DR2</v>
      </c>
      <c r="B16774" s="3" t="s">
        <v>74</v>
      </c>
      <c r="C16774" s="6">
        <v>2500</v>
      </c>
      <c r="D16774" s="7">
        <v>5.63</v>
      </c>
      <c r="E16774" t="s">
        <v>61</v>
      </c>
    </row>
    <row r="16775" spans="1:5" x14ac:dyDescent="0.25">
      <c r="A16775" t="str">
        <f>HYPERLINK("https://www.773grp.com/globalSearch/MC100EPT24DT/page-1", "MC100EPT24DT")</f>
        <v>MC100EPT24DT</v>
      </c>
      <c r="B16775" s="3" t="s">
        <v>74</v>
      </c>
      <c r="C16775" s="6">
        <v>30087</v>
      </c>
      <c r="D16775" s="7">
        <v>5.63</v>
      </c>
      <c r="E16775" t="s">
        <v>61</v>
      </c>
    </row>
    <row r="16776" spans="1:5" x14ac:dyDescent="0.25">
      <c r="A16776" t="str">
        <f>HYPERLINK("https://www.773grp.com/globalSearch/MC100EPT25D/page-1", "MC100EPT25D")</f>
        <v>MC100EPT25D</v>
      </c>
      <c r="B16776" s="3" t="s">
        <v>74</v>
      </c>
      <c r="C16776" s="6">
        <v>40489</v>
      </c>
      <c r="D16776" s="7">
        <v>5.63</v>
      </c>
      <c r="E16776" t="s">
        <v>61</v>
      </c>
    </row>
    <row r="16777" spans="1:5" x14ac:dyDescent="0.25">
      <c r="A16777" t="str">
        <f>HYPERLINK("https://www.773grp.com/globalSearch/MC100EPT25DT/page-1", "MC100EPT25DT")</f>
        <v>MC100EPT25DT</v>
      </c>
      <c r="B16777" s="3" t="s">
        <v>74</v>
      </c>
      <c r="C16777" s="6">
        <v>8414</v>
      </c>
      <c r="D16777" s="7">
        <v>5.63</v>
      </c>
      <c r="E16777" t="s">
        <v>61</v>
      </c>
    </row>
    <row r="16778" spans="1:5" x14ac:dyDescent="0.25">
      <c r="A16778" t="str">
        <f>HYPERLINK("https://www.773grp.com/globalSearch/MC100EPT26D/page-1", "MC100EPT26D")</f>
        <v>MC100EPT26D</v>
      </c>
      <c r="B16778" s="3" t="s">
        <v>74</v>
      </c>
      <c r="C16778" s="6">
        <v>42499</v>
      </c>
      <c r="D16778" s="7">
        <v>5.63</v>
      </c>
      <c r="E16778" t="s">
        <v>61</v>
      </c>
    </row>
    <row r="16779" spans="1:5" x14ac:dyDescent="0.25">
      <c r="A16779" t="str">
        <f>HYPERLINK("https://www.773grp.com/globalSearch/MC100EPT26DR2/page-1", "MC100EPT26DR2")</f>
        <v>MC100EPT26DR2</v>
      </c>
      <c r="B16779" s="3" t="s">
        <v>74</v>
      </c>
      <c r="C16779" s="6">
        <v>22500</v>
      </c>
      <c r="D16779" s="7">
        <v>5.63</v>
      </c>
      <c r="E16779" t="s">
        <v>61</v>
      </c>
    </row>
    <row r="16780" spans="1:5" x14ac:dyDescent="0.25">
      <c r="A16780" t="str">
        <f>HYPERLINK("https://www.773grp.com/globalSearch/MC100EPT26DT/page-1", "MC100EPT26DT")</f>
        <v>MC100EPT26DT</v>
      </c>
      <c r="B16780" s="3" t="s">
        <v>74</v>
      </c>
      <c r="C16780" s="6">
        <v>7105</v>
      </c>
      <c r="D16780" s="7">
        <v>5.63</v>
      </c>
      <c r="E16780" t="s">
        <v>61</v>
      </c>
    </row>
    <row r="16781" spans="1:5" x14ac:dyDescent="0.25">
      <c r="A16781" t="str">
        <f>HYPERLINK("https://www.773grp.com/globalSearch/MC100LVEL16DR2/page-1", "MC100LVEL16DR2")</f>
        <v>MC100LVEL16DR2</v>
      </c>
      <c r="B16781" s="3" t="s">
        <v>74</v>
      </c>
      <c r="C16781" s="6">
        <v>8034</v>
      </c>
      <c r="D16781" s="7">
        <v>5.63</v>
      </c>
    </row>
    <row r="16782" spans="1:5" x14ac:dyDescent="0.25">
      <c r="A16782" t="str">
        <f>HYPERLINK("https://www.773grp.com/globalSearch/MC100LVEL16DTR2/page-1", "MC100LVEL16DTR2")</f>
        <v>MC100LVEL16DTR2</v>
      </c>
      <c r="B16782" s="3" t="s">
        <v>74</v>
      </c>
      <c r="C16782" s="6">
        <v>5672</v>
      </c>
      <c r="D16782" s="7">
        <v>5.63</v>
      </c>
      <c r="E16782" t="s">
        <v>17</v>
      </c>
    </row>
    <row r="16783" spans="1:5" x14ac:dyDescent="0.25">
      <c r="A16783" t="str">
        <f>HYPERLINK("https://www.773grp.com/globalSearch/MC100LVEL17DW/page-1", "MC100LVEL17DW")</f>
        <v>MC100LVEL17DW</v>
      </c>
      <c r="B16783" s="3" t="s">
        <v>74</v>
      </c>
      <c r="C16783" s="6">
        <v>1672</v>
      </c>
      <c r="D16783" s="7">
        <v>5.63</v>
      </c>
      <c r="E16783" t="s">
        <v>17</v>
      </c>
    </row>
    <row r="16784" spans="1:5" x14ac:dyDescent="0.25">
      <c r="A16784" t="str">
        <f>HYPERLINK("https://www.773grp.com/globalSearch/MC100LVEL56DW/page-1", "MC100LVEL56DW")</f>
        <v>MC100LVEL56DW</v>
      </c>
      <c r="B16784" s="3" t="s">
        <v>74</v>
      </c>
      <c r="C16784" s="6">
        <v>2286</v>
      </c>
      <c r="D16784" s="7">
        <v>5.63</v>
      </c>
      <c r="E16784" t="s">
        <v>16</v>
      </c>
    </row>
    <row r="16785" spans="1:5" x14ac:dyDescent="0.25">
      <c r="A16785" t="str">
        <f>HYPERLINK("https://www.773grp.com/globalSearch/MC10EL15DG/page-1", "MC10EL15DG")</f>
        <v>MC10EL15DG</v>
      </c>
      <c r="B16785" s="3" t="s">
        <v>74</v>
      </c>
      <c r="C16785" s="6">
        <v>7980</v>
      </c>
      <c r="D16785" s="7">
        <v>5.63</v>
      </c>
      <c r="E16785" t="s">
        <v>30</v>
      </c>
    </row>
    <row r="16786" spans="1:5" x14ac:dyDescent="0.25">
      <c r="A16786" t="str">
        <f>HYPERLINK("https://www.773grp.com/globalSearch/MC10EL15DR2G/page-1", "MC10EL15DR2G")</f>
        <v>MC10EL15DR2G</v>
      </c>
      <c r="B16786" s="3" t="s">
        <v>74</v>
      </c>
      <c r="C16786" s="6">
        <v>2380</v>
      </c>
      <c r="D16786" s="7">
        <v>5.63</v>
      </c>
      <c r="E16786" t="s">
        <v>30</v>
      </c>
    </row>
    <row r="16787" spans="1:5" x14ac:dyDescent="0.25">
      <c r="A16787" t="str">
        <f>HYPERLINK("https://www.773grp.com/globalSearch/MC10EL16DR2/page-1", "MC10EL16DR2")</f>
        <v>MC10EL16DR2</v>
      </c>
      <c r="B16787" s="3" t="s">
        <v>74</v>
      </c>
      <c r="C16787" s="6">
        <v>787</v>
      </c>
      <c r="D16787" s="7">
        <v>5.63</v>
      </c>
    </row>
    <row r="16788" spans="1:5" x14ac:dyDescent="0.25">
      <c r="A16788" t="str">
        <f>HYPERLINK("https://www.773grp.com/globalSearch/MC10EP31DT/page-1", "MC10EP31DT")</f>
        <v>MC10EP31DT</v>
      </c>
      <c r="B16788" s="3" t="s">
        <v>74</v>
      </c>
      <c r="C16788" s="6">
        <v>1440</v>
      </c>
      <c r="D16788" s="7">
        <v>5.63</v>
      </c>
      <c r="E16788" t="s">
        <v>31</v>
      </c>
    </row>
    <row r="16789" spans="1:5" x14ac:dyDescent="0.25">
      <c r="A16789" t="str">
        <f>HYPERLINK("https://www.773grp.com/globalSearch/MC10EP31D/page-1", "MC10EP31D")</f>
        <v>MC10EP31D</v>
      </c>
      <c r="B16789" s="3" t="s">
        <v>74</v>
      </c>
      <c r="C16789" s="6">
        <v>22397</v>
      </c>
      <c r="D16789" s="7">
        <v>5.63</v>
      </c>
      <c r="E16789" t="s">
        <v>31</v>
      </c>
    </row>
    <row r="16790" spans="1:5" x14ac:dyDescent="0.25">
      <c r="A16790" t="str">
        <f>HYPERLINK("https://www.773grp.com/globalSearch/MC10EP32D/page-1", "MC10EP32D")</f>
        <v>MC10EP32D</v>
      </c>
      <c r="B16790" s="3" t="s">
        <v>74</v>
      </c>
      <c r="C16790" s="6">
        <v>18532</v>
      </c>
      <c r="D16790" s="7">
        <v>5.63</v>
      </c>
      <c r="E16790" t="s">
        <v>44</v>
      </c>
    </row>
    <row r="16791" spans="1:5" x14ac:dyDescent="0.25">
      <c r="A16791" t="str">
        <f>HYPERLINK("https://www.773grp.com/globalSearch/MC10EP32DR2/page-1", "MC10EP32DR2")</f>
        <v>MC10EP32DR2</v>
      </c>
      <c r="B16791" s="3" t="s">
        <v>74</v>
      </c>
      <c r="C16791" s="6">
        <v>15000</v>
      </c>
      <c r="D16791" s="7">
        <v>5.63</v>
      </c>
      <c r="E16791" t="s">
        <v>44</v>
      </c>
    </row>
    <row r="16792" spans="1:5" x14ac:dyDescent="0.25">
      <c r="A16792" t="str">
        <f>HYPERLINK("https://www.773grp.com/globalSearch/MC10EP32DTR2/page-1", "MC10EP32DTR2")</f>
        <v>MC10EP32DTR2</v>
      </c>
      <c r="B16792" s="3" t="s">
        <v>74</v>
      </c>
      <c r="C16792" s="6">
        <v>3782</v>
      </c>
      <c r="D16792" s="7">
        <v>5.63</v>
      </c>
      <c r="E16792" t="s">
        <v>44</v>
      </c>
    </row>
    <row r="16793" spans="1:5" x14ac:dyDescent="0.25">
      <c r="A16793" t="str">
        <f>HYPERLINK("https://www.773grp.com/globalSearch/MC10EP33D/page-1", "MC10EP33D")</f>
        <v>MC10EP33D</v>
      </c>
      <c r="B16793" s="3" t="s">
        <v>74</v>
      </c>
      <c r="C16793" s="6">
        <v>8682</v>
      </c>
      <c r="D16793" s="7">
        <v>5.63</v>
      </c>
      <c r="E16793" t="s">
        <v>44</v>
      </c>
    </row>
    <row r="16794" spans="1:5" x14ac:dyDescent="0.25">
      <c r="A16794" t="str">
        <f>HYPERLINK("https://www.773grp.com/globalSearch/MC10EP51D/page-1", "MC10EP51D")</f>
        <v>MC10EP51D</v>
      </c>
      <c r="B16794" s="3" t="s">
        <v>74</v>
      </c>
      <c r="C16794" s="6">
        <v>2915</v>
      </c>
      <c r="D16794" s="7">
        <v>5.63</v>
      </c>
      <c r="E16794" t="s">
        <v>31</v>
      </c>
    </row>
    <row r="16795" spans="1:5" x14ac:dyDescent="0.25">
      <c r="A16795" t="str">
        <f>HYPERLINK("https://www.773grp.com/globalSearch/MC10EP51DT/page-1", "MC10EP51DT")</f>
        <v>MC10EP51DT</v>
      </c>
      <c r="B16795" s="3" t="s">
        <v>74</v>
      </c>
      <c r="C16795" s="6">
        <v>19575</v>
      </c>
      <c r="D16795" s="7">
        <v>5.63</v>
      </c>
      <c r="E16795" t="s">
        <v>31</v>
      </c>
    </row>
    <row r="16796" spans="1:5" x14ac:dyDescent="0.25">
      <c r="A16796" t="str">
        <f>HYPERLINK("https://www.773grp.com/globalSearch/MC10EP52D/page-1", "MC10EP52D")</f>
        <v>MC10EP52D</v>
      </c>
      <c r="B16796" s="3" t="s">
        <v>74</v>
      </c>
      <c r="C16796" s="6">
        <v>3073</v>
      </c>
      <c r="D16796" s="7">
        <v>5.63</v>
      </c>
      <c r="E16796" t="s">
        <v>31</v>
      </c>
    </row>
    <row r="16797" spans="1:5" x14ac:dyDescent="0.25">
      <c r="A16797" t="str">
        <f>HYPERLINK("https://www.773grp.com/globalSearch/MC10EP52DR2/page-1", "MC10EP52DR2")</f>
        <v>MC10EP52DR2</v>
      </c>
      <c r="B16797" s="3" t="s">
        <v>74</v>
      </c>
      <c r="C16797" s="6">
        <v>9978</v>
      </c>
      <c r="D16797" s="7">
        <v>5.63</v>
      </c>
      <c r="E16797" t="s">
        <v>31</v>
      </c>
    </row>
    <row r="16798" spans="1:5" x14ac:dyDescent="0.25">
      <c r="A16798" t="str">
        <f>HYPERLINK("https://www.773grp.com/globalSearch/MC10EP58D/page-1", "MC10EP58D")</f>
        <v>MC10EP58D</v>
      </c>
      <c r="B16798" s="3" t="s">
        <v>74</v>
      </c>
      <c r="C16798" s="6">
        <v>31929</v>
      </c>
      <c r="D16798" s="7">
        <v>5.63</v>
      </c>
      <c r="E16798" t="s">
        <v>16</v>
      </c>
    </row>
    <row r="16799" spans="1:5" x14ac:dyDescent="0.25">
      <c r="A16799" t="str">
        <f>HYPERLINK("https://www.773grp.com/globalSearch/MC10LVEP16DR2/page-1", "MC10LVEP16DR2")</f>
        <v>MC10LVEP16DR2</v>
      </c>
      <c r="B16799" s="3" t="s">
        <v>74</v>
      </c>
      <c r="C16799" s="6">
        <v>2497</v>
      </c>
      <c r="D16799" s="7">
        <v>5.63</v>
      </c>
      <c r="E16799" t="s">
        <v>17</v>
      </c>
    </row>
    <row r="16800" spans="1:5" x14ac:dyDescent="0.25">
      <c r="A16800" t="str">
        <f>HYPERLINK("https://www.773grp.com/globalSearch/MC10LVEP16DT/page-1", "MC10LVEP16DT")</f>
        <v>MC10LVEP16DT</v>
      </c>
      <c r="B16800" s="3" t="s">
        <v>74</v>
      </c>
      <c r="C16800" s="6">
        <v>6385</v>
      </c>
      <c r="D16800" s="7">
        <v>5.63</v>
      </c>
      <c r="E16800" t="s">
        <v>17</v>
      </c>
    </row>
    <row r="16801" spans="1:5" x14ac:dyDescent="0.25">
      <c r="A16801" t="str">
        <f>HYPERLINK("https://www.773grp.com/globalSearch/MC10LVEP16DTR2/page-1", "MC10LVEP16DTR2")</f>
        <v>MC10LVEP16DTR2</v>
      </c>
      <c r="B16801" s="3" t="s">
        <v>74</v>
      </c>
      <c r="C16801" s="6">
        <v>52250</v>
      </c>
      <c r="D16801" s="7">
        <v>5.63</v>
      </c>
      <c r="E16801" t="s">
        <v>17</v>
      </c>
    </row>
    <row r="16802" spans="1:5" x14ac:dyDescent="0.25">
      <c r="A16802" t="str">
        <f>HYPERLINK("https://www.773grp.com/globalSearch/NGTG50N60FWG/page-1", "NGTG50N60FWG")</f>
        <v>NGTG50N60FWG</v>
      </c>
      <c r="B16802" s="3" t="s">
        <v>74</v>
      </c>
      <c r="C16802" s="6">
        <v>180</v>
      </c>
      <c r="D16802" s="7">
        <v>5.63</v>
      </c>
    </row>
    <row r="16803" spans="1:5" x14ac:dyDescent="0.25">
      <c r="A16803" t="str">
        <f>HYPERLINK("https://www.773grp.com/globalSearch/SA571DG/page-1", "SA571DG")</f>
        <v>SA571DG</v>
      </c>
      <c r="B16803" s="3" t="s">
        <v>74</v>
      </c>
      <c r="C16803" s="6">
        <v>300</v>
      </c>
      <c r="D16803" s="7">
        <v>5.63</v>
      </c>
      <c r="E16803" t="s">
        <v>97</v>
      </c>
    </row>
    <row r="16804" spans="1:5" x14ac:dyDescent="0.25">
      <c r="A16804" t="str">
        <f>HYPERLINK("https://www.773grp.com/globalSearch/SA571DR2G/page-1", "SA571DR2G")</f>
        <v>SA571DR2G</v>
      </c>
      <c r="B16804" s="3" t="s">
        <v>74</v>
      </c>
      <c r="C16804" s="6">
        <v>20795</v>
      </c>
      <c r="D16804" s="7">
        <v>5.63</v>
      </c>
      <c r="E16804" t="s">
        <v>97</v>
      </c>
    </row>
    <row r="16805" spans="1:5" x14ac:dyDescent="0.25">
      <c r="A16805" t="str">
        <f>HYPERLINK("https://www.773grp.com/globalSearch/STK672-532/page-1", "STK672-532")</f>
        <v>STK672-532</v>
      </c>
      <c r="B16805" s="3" t="s">
        <v>74</v>
      </c>
      <c r="C16805" s="6">
        <v>150</v>
      </c>
      <c r="D16805" s="7">
        <v>5.63</v>
      </c>
    </row>
    <row r="16806" spans="1:5" x14ac:dyDescent="0.25">
      <c r="A16806" t="str">
        <f>HYPERLINK("https://www.773grp.com/globalSearch/CS8101YTVA5/page-1", "CS8101YTVA5")</f>
        <v>CS8101YTVA5</v>
      </c>
      <c r="B16806" s="3" t="s">
        <v>74</v>
      </c>
      <c r="C16806" s="6">
        <v>5950</v>
      </c>
      <c r="D16806" s="7">
        <v>5.65</v>
      </c>
      <c r="E16806" t="s">
        <v>15</v>
      </c>
    </row>
    <row r="16807" spans="1:5" x14ac:dyDescent="0.25">
      <c r="A16807" t="str">
        <f>HYPERLINK("https://www.773grp.com/globalSearch/CS8122YTHA5/page-1", "CS8122YTHA5")</f>
        <v>CS8122YTHA5</v>
      </c>
      <c r="B16807" s="3" t="s">
        <v>74</v>
      </c>
      <c r="C16807" s="6">
        <v>5000</v>
      </c>
      <c r="D16807" s="7">
        <v>5.65</v>
      </c>
      <c r="E16807" t="s">
        <v>15</v>
      </c>
    </row>
    <row r="16808" spans="1:5" x14ac:dyDescent="0.25">
      <c r="A16808" t="str">
        <f>HYPERLINK("https://www.773grp.com/globalSearch/CS8122YTVA5/page-1", "CS8122YTVA5")</f>
        <v>CS8122YTVA5</v>
      </c>
      <c r="B16808" s="3" t="s">
        <v>74</v>
      </c>
      <c r="C16808" s="6">
        <v>4950</v>
      </c>
      <c r="D16808" s="7">
        <v>5.65</v>
      </c>
      <c r="E16808" t="s">
        <v>15</v>
      </c>
    </row>
    <row r="16809" spans="1:5" x14ac:dyDescent="0.25">
      <c r="A16809" t="str">
        <f>HYPERLINK("https://www.773grp.com/globalSearch/LC75833E-E/page-1", "LC75833E-E")</f>
        <v>LC75833E-E</v>
      </c>
      <c r="B16809" s="3" t="s">
        <v>74</v>
      </c>
      <c r="C16809" s="6">
        <v>60</v>
      </c>
      <c r="D16809" s="7">
        <v>5.69</v>
      </c>
    </row>
    <row r="16810" spans="1:5" x14ac:dyDescent="0.25">
      <c r="A16810" t="str">
        <f>HYPERLINK("https://www.773grp.com/globalSearch/MC10SX1189D/page-1", "MC10SX1189D")</f>
        <v>MC10SX1189D</v>
      </c>
      <c r="B16810" s="3" t="s">
        <v>74</v>
      </c>
      <c r="C16810" s="6">
        <v>18038</v>
      </c>
      <c r="D16810" s="7">
        <v>5.69</v>
      </c>
      <c r="E16810" t="s">
        <v>17</v>
      </c>
    </row>
    <row r="16811" spans="1:5" x14ac:dyDescent="0.25">
      <c r="A16811" t="str">
        <f>HYPERLINK("https://www.773grp.com/globalSearch/FS6377-01G-XTD/page-1", "FS6377-01G-XTD")</f>
        <v>FS6377-01G-XTD</v>
      </c>
      <c r="B16811" s="3" t="s">
        <v>74</v>
      </c>
      <c r="C16811" s="6">
        <v>1464</v>
      </c>
      <c r="D16811" s="7">
        <v>5.7</v>
      </c>
      <c r="E16811" t="s">
        <v>65</v>
      </c>
    </row>
    <row r="16812" spans="1:5" x14ac:dyDescent="0.25">
      <c r="A16812" t="str">
        <f>HYPERLINK("https://www.773grp.com/globalSearch/FS6377-01G-XTP/page-1", "FS6377-01G-XTP")</f>
        <v>FS6377-01G-XTP</v>
      </c>
      <c r="B16812" s="3" t="s">
        <v>74</v>
      </c>
      <c r="C16812" s="6">
        <v>3000</v>
      </c>
      <c r="D16812" s="7">
        <v>5.7</v>
      </c>
    </row>
    <row r="16813" spans="1:5" x14ac:dyDescent="0.25">
      <c r="A16813" t="str">
        <f>HYPERLINK("https://www.773grp.com/globalSearch/MC10H135L/page-1", "MC10H135L")</f>
        <v>MC10H135L</v>
      </c>
      <c r="B16813" s="3" t="s">
        <v>74</v>
      </c>
      <c r="C16813" s="6">
        <v>355</v>
      </c>
      <c r="D16813" s="7">
        <v>5.7</v>
      </c>
      <c r="E16813" t="s">
        <v>31</v>
      </c>
    </row>
    <row r="16814" spans="1:5" x14ac:dyDescent="0.25">
      <c r="A16814" t="str">
        <f>HYPERLINK("https://www.773grp.com/globalSearch/MC14568BD/page-1", "MC14568BD")</f>
        <v>MC14568BD</v>
      </c>
      <c r="B16814" s="3" t="s">
        <v>74</v>
      </c>
      <c r="C16814" s="6">
        <v>448</v>
      </c>
      <c r="D16814" s="7">
        <v>5.7</v>
      </c>
      <c r="E16814" t="s">
        <v>22</v>
      </c>
    </row>
    <row r="16815" spans="1:5" x14ac:dyDescent="0.25">
      <c r="A16815" t="str">
        <f>HYPERLINK("https://www.773grp.com/globalSearch/MC14580BCP/page-1", "MC14580BCP")</f>
        <v>MC14580BCP</v>
      </c>
      <c r="B16815" s="3" t="s">
        <v>74</v>
      </c>
      <c r="C16815" s="6">
        <v>16</v>
      </c>
      <c r="D16815" s="7">
        <v>5.7</v>
      </c>
      <c r="E16815" t="s">
        <v>63</v>
      </c>
    </row>
    <row r="16816" spans="1:5" x14ac:dyDescent="0.25">
      <c r="A16816" t="str">
        <f>HYPERLINK("https://www.773grp.com/globalSearch/NE521D/page-1", "NE521D")</f>
        <v>NE521D</v>
      </c>
      <c r="B16816" s="3" t="s">
        <v>74</v>
      </c>
      <c r="C16816" s="6">
        <v>8011</v>
      </c>
      <c r="D16816" s="7">
        <v>5.7</v>
      </c>
      <c r="E16816" t="s">
        <v>6</v>
      </c>
    </row>
    <row r="16817" spans="1:5" x14ac:dyDescent="0.25">
      <c r="A16817" t="str">
        <f>HYPERLINK("https://www.773grp.com/globalSearch/NE521DG/page-1", "NE521DG")</f>
        <v>NE521DG</v>
      </c>
      <c r="B16817" s="3" t="s">
        <v>74</v>
      </c>
      <c r="C16817" s="6">
        <v>35</v>
      </c>
      <c r="D16817" s="7">
        <v>5.7</v>
      </c>
      <c r="E16817" t="s">
        <v>6</v>
      </c>
    </row>
    <row r="16818" spans="1:5" x14ac:dyDescent="0.25">
      <c r="A16818" t="str">
        <f>HYPERLINK("https://www.773grp.com/globalSearch/NE521DR2/page-1", "NE521DR2")</f>
        <v>NE521DR2</v>
      </c>
      <c r="B16818" s="3" t="s">
        <v>74</v>
      </c>
      <c r="C16818" s="6">
        <v>1209</v>
      </c>
      <c r="D16818" s="7">
        <v>5.7</v>
      </c>
      <c r="E16818" t="s">
        <v>6</v>
      </c>
    </row>
    <row r="16819" spans="1:5" x14ac:dyDescent="0.25">
      <c r="A16819" t="str">
        <f>HYPERLINK("https://www.773grp.com/globalSearch/NE521DR2G/page-1", "NE521DR2G")</f>
        <v>NE521DR2G</v>
      </c>
      <c r="B16819" s="3" t="s">
        <v>74</v>
      </c>
      <c r="C16819" s="6">
        <v>7053</v>
      </c>
      <c r="D16819" s="7">
        <v>5.7</v>
      </c>
      <c r="E16819" t="s">
        <v>6</v>
      </c>
    </row>
    <row r="16820" spans="1:5" x14ac:dyDescent="0.25">
      <c r="A16820" t="str">
        <f>HYPERLINK("https://www.773grp.com/globalSearch/MC10H174ML2/page-1", "MC10H174ML2")</f>
        <v>MC10H174ML2</v>
      </c>
      <c r="B16820" s="3" t="s">
        <v>74</v>
      </c>
      <c r="C16820" s="6">
        <v>1900</v>
      </c>
      <c r="D16820" s="7">
        <v>5.74</v>
      </c>
    </row>
    <row r="16821" spans="1:5" x14ac:dyDescent="0.25">
      <c r="A16821" t="str">
        <f>HYPERLINK("https://www.773grp.com/globalSearch/NCP4421P/page-1", "NCP4421P")</f>
        <v>NCP4421P</v>
      </c>
      <c r="B16821" s="3" t="s">
        <v>74</v>
      </c>
      <c r="C16821" s="6">
        <v>14518</v>
      </c>
      <c r="D16821" s="7">
        <v>5.74</v>
      </c>
      <c r="E16821" t="s">
        <v>12</v>
      </c>
    </row>
    <row r="16822" spans="1:5" x14ac:dyDescent="0.25">
      <c r="A16822" t="str">
        <f>HYPERLINK("https://www.773grp.com/globalSearch/NCP4422P/page-1", "NCP4422P")</f>
        <v>NCP4422P</v>
      </c>
      <c r="B16822" s="3" t="s">
        <v>74</v>
      </c>
      <c r="C16822" s="6">
        <v>13642</v>
      </c>
      <c r="D16822" s="7">
        <v>5.74</v>
      </c>
      <c r="E16822" t="s">
        <v>12</v>
      </c>
    </row>
    <row r="16823" spans="1:5" x14ac:dyDescent="0.25">
      <c r="A16823" t="str">
        <f>HYPERLINK("https://www.773grp.com/globalSearch/CAT5221WI00/page-1", "CAT5221WI00")</f>
        <v>CAT5221WI00</v>
      </c>
      <c r="B16823" s="3" t="s">
        <v>74</v>
      </c>
      <c r="C16823" s="6">
        <v>6048</v>
      </c>
      <c r="D16823" s="7">
        <v>5.78</v>
      </c>
      <c r="E16823" t="s">
        <v>78</v>
      </c>
    </row>
    <row r="16824" spans="1:5" x14ac:dyDescent="0.25">
      <c r="A16824" t="str">
        <f>HYPERLINK("https://www.773grp.com/globalSearch/CAT5221WI10/page-1", "CAT5221WI10")</f>
        <v>CAT5221WI10</v>
      </c>
      <c r="B16824" s="3" t="s">
        <v>74</v>
      </c>
      <c r="C16824" s="6">
        <v>735</v>
      </c>
      <c r="D16824" s="7">
        <v>5.78</v>
      </c>
      <c r="E16824" t="s">
        <v>78</v>
      </c>
    </row>
    <row r="16825" spans="1:5" x14ac:dyDescent="0.25">
      <c r="A16825" t="str">
        <f>HYPERLINK("https://www.773grp.com/globalSearch/CAT5221WI-25-T1/page-1", "CAT5221WI-25-T1")</f>
        <v>CAT5221WI-25-T1</v>
      </c>
      <c r="B16825" s="3" t="s">
        <v>74</v>
      </c>
      <c r="C16825" s="6">
        <v>2000</v>
      </c>
      <c r="D16825" s="7">
        <v>5.78</v>
      </c>
      <c r="E16825" t="s">
        <v>78</v>
      </c>
    </row>
    <row r="16826" spans="1:5" x14ac:dyDescent="0.25">
      <c r="A16826" t="str">
        <f>HYPERLINK("https://www.773grp.com/globalSearch/MC100LVE310FN/page-1", "MC100LVE310FN")</f>
        <v>MC100LVE310FN</v>
      </c>
      <c r="B16826" s="3" t="s">
        <v>74</v>
      </c>
      <c r="C16826" s="6">
        <v>3788</v>
      </c>
      <c r="D16826" s="7">
        <v>5.78</v>
      </c>
      <c r="E16826" t="s">
        <v>30</v>
      </c>
    </row>
    <row r="16827" spans="1:5" x14ac:dyDescent="0.25">
      <c r="A16827" t="str">
        <f>HYPERLINK("https://www.773grp.com/globalSearch/MC100LVE310FNR2/page-1", "MC100LVE310FNR2")</f>
        <v>MC100LVE310FNR2</v>
      </c>
      <c r="B16827" s="3" t="s">
        <v>74</v>
      </c>
      <c r="C16827" s="6">
        <v>13500</v>
      </c>
      <c r="D16827" s="7">
        <v>5.78</v>
      </c>
      <c r="E16827" t="s">
        <v>30</v>
      </c>
    </row>
    <row r="16828" spans="1:5" x14ac:dyDescent="0.25">
      <c r="A16828" t="str">
        <f>HYPERLINK("https://www.773grp.com/globalSearch/MC10131FN/page-1", "MC10131FN")</f>
        <v>MC10131FN</v>
      </c>
      <c r="B16828" s="3" t="s">
        <v>74</v>
      </c>
      <c r="C16828" s="6">
        <v>3747</v>
      </c>
      <c r="D16828" s="7">
        <v>5.79</v>
      </c>
      <c r="E16828" t="s">
        <v>31</v>
      </c>
    </row>
    <row r="16829" spans="1:5" x14ac:dyDescent="0.25">
      <c r="A16829" t="str">
        <f>HYPERLINK("https://www.773grp.com/globalSearch/MC10131FNR2/page-1", "MC10131FNR2")</f>
        <v>MC10131FNR2</v>
      </c>
      <c r="B16829" s="3" t="s">
        <v>74</v>
      </c>
      <c r="C16829" s="6">
        <v>3600</v>
      </c>
      <c r="D16829" s="7">
        <v>5.79</v>
      </c>
      <c r="E16829" t="s">
        <v>31</v>
      </c>
    </row>
    <row r="16830" spans="1:5" x14ac:dyDescent="0.25">
      <c r="A16830" t="str">
        <f>HYPERLINK("https://www.773grp.com/globalSearch/MC10159P/page-1", "MC10159P")</f>
        <v>MC10159P</v>
      </c>
      <c r="B16830" s="3" t="s">
        <v>74</v>
      </c>
      <c r="C16830" s="6">
        <v>1985</v>
      </c>
      <c r="D16830" s="7">
        <v>5.79</v>
      </c>
      <c r="E16830" t="s">
        <v>16</v>
      </c>
    </row>
    <row r="16831" spans="1:5" x14ac:dyDescent="0.25">
      <c r="A16831" t="str">
        <f>HYPERLINK("https://www.773grp.com/globalSearch/MC10161P/page-1", "MC10161P")</f>
        <v>MC10161P</v>
      </c>
      <c r="B16831" s="3" t="s">
        <v>74</v>
      </c>
      <c r="C16831" s="6">
        <v>2050</v>
      </c>
      <c r="D16831" s="7">
        <v>5.79</v>
      </c>
      <c r="E16831" t="s">
        <v>32</v>
      </c>
    </row>
    <row r="16832" spans="1:5" x14ac:dyDescent="0.25">
      <c r="A16832" t="str">
        <f>HYPERLINK("https://www.773grp.com/globalSearch/MC10164P/page-1", "MC10164P")</f>
        <v>MC10164P</v>
      </c>
      <c r="B16832" s="3" t="s">
        <v>74</v>
      </c>
      <c r="C16832" s="6">
        <v>110</v>
      </c>
      <c r="D16832" s="7">
        <v>5.79</v>
      </c>
      <c r="E16832" t="s">
        <v>16</v>
      </c>
    </row>
    <row r="16833" spans="1:5" x14ac:dyDescent="0.25">
      <c r="A16833" t="str">
        <f>HYPERLINK("https://www.773grp.com/globalSearch/MC10173P/page-1", "MC10173P")</f>
        <v>MC10173P</v>
      </c>
      <c r="B16833" s="3" t="s">
        <v>74</v>
      </c>
      <c r="C16833" s="6">
        <v>2795</v>
      </c>
      <c r="D16833" s="7">
        <v>5.79</v>
      </c>
      <c r="E16833" t="s">
        <v>31</v>
      </c>
    </row>
    <row r="16834" spans="1:5" x14ac:dyDescent="0.25">
      <c r="A16834" t="str">
        <f>HYPERLINK("https://www.773grp.com/globalSearch/MC10H123FNG/page-1", "MC10H123FNG")</f>
        <v>MC10H123FNG</v>
      </c>
      <c r="B16834" s="3" t="s">
        <v>74</v>
      </c>
      <c r="C16834" s="6">
        <v>445</v>
      </c>
      <c r="D16834" s="7">
        <v>5.79</v>
      </c>
      <c r="E16834" t="s">
        <v>11</v>
      </c>
    </row>
    <row r="16835" spans="1:5" x14ac:dyDescent="0.25">
      <c r="A16835" t="str">
        <f>HYPERLINK("https://www.773grp.com/globalSearch/MC10H123FNR2G/page-1", "MC10H123FNR2G")</f>
        <v>MC10H123FNR2G</v>
      </c>
      <c r="B16835" s="3" t="s">
        <v>74</v>
      </c>
      <c r="C16835" s="6">
        <v>1914</v>
      </c>
      <c r="D16835" s="7">
        <v>5.79</v>
      </c>
      <c r="E16835" t="s">
        <v>11</v>
      </c>
    </row>
    <row r="16836" spans="1:5" x14ac:dyDescent="0.25">
      <c r="A16836" t="str">
        <f>HYPERLINK("https://www.773grp.com/globalSearch/MC100LVEL11DR2/page-1", "MC100LVEL11DR2")</f>
        <v>MC100LVEL11DR2</v>
      </c>
      <c r="B16836" s="3" t="s">
        <v>74</v>
      </c>
      <c r="C16836" s="6">
        <v>40000</v>
      </c>
      <c r="D16836" s="7">
        <v>5.91</v>
      </c>
      <c r="E16836" t="s">
        <v>30</v>
      </c>
    </row>
    <row r="16837" spans="1:5" x14ac:dyDescent="0.25">
      <c r="A16837" t="str">
        <f>HYPERLINK("https://www.773grp.com/globalSearch/MC10158P/page-1", "MC10158P")</f>
        <v>MC10158P</v>
      </c>
      <c r="B16837" s="3" t="s">
        <v>74</v>
      </c>
      <c r="C16837" s="6">
        <v>2419</v>
      </c>
      <c r="D16837" s="7">
        <v>5.91</v>
      </c>
      <c r="E16837" t="s">
        <v>16</v>
      </c>
    </row>
    <row r="16838" spans="1:5" x14ac:dyDescent="0.25">
      <c r="A16838" t="str">
        <f>HYPERLINK("https://www.773grp.com/globalSearch/MC10H159ML2/page-1", "MC10H159ML2")</f>
        <v>MC10H159ML2</v>
      </c>
      <c r="B16838" s="3" t="s">
        <v>74</v>
      </c>
      <c r="C16838" s="6">
        <v>6000</v>
      </c>
      <c r="D16838" s="7">
        <v>5.91</v>
      </c>
    </row>
    <row r="16839" spans="1:5" x14ac:dyDescent="0.25">
      <c r="A16839" t="str">
        <f>HYPERLINK("https://www.773grp.com/globalSearch/MJ15022G/page-1", "MJ15022G")</f>
        <v>MJ15022G</v>
      </c>
      <c r="B16839" s="3" t="s">
        <v>74</v>
      </c>
      <c r="C16839" s="6">
        <v>20935</v>
      </c>
      <c r="D16839" s="7">
        <v>5.91</v>
      </c>
      <c r="E16839" t="s">
        <v>47</v>
      </c>
    </row>
    <row r="16840" spans="1:5" x14ac:dyDescent="0.25">
      <c r="A16840" t="str">
        <f>HYPERLINK("https://www.773grp.com/globalSearch/MJ15023G/page-1", "MJ15023G")</f>
        <v>MJ15023G</v>
      </c>
      <c r="B16840" s="3" t="s">
        <v>74</v>
      </c>
      <c r="C16840" s="6">
        <v>434</v>
      </c>
      <c r="D16840" s="7">
        <v>5.91</v>
      </c>
      <c r="E16840" t="s">
        <v>47</v>
      </c>
    </row>
    <row r="16841" spans="1:5" x14ac:dyDescent="0.25">
      <c r="A16841" t="str">
        <f>HYPERLINK("https://www.773grp.com/globalSearch/MJ15024G/page-1", "MJ15024G")</f>
        <v>MJ15024G</v>
      </c>
      <c r="B16841" s="3" t="s">
        <v>74</v>
      </c>
      <c r="C16841" s="6">
        <v>1000</v>
      </c>
      <c r="D16841" s="7">
        <v>5.91</v>
      </c>
    </row>
    <row r="16842" spans="1:5" x14ac:dyDescent="0.25">
      <c r="A16842" t="str">
        <f>HYPERLINK("https://www.773grp.com/globalSearch/MJ15025G/page-1", "MJ15025G")</f>
        <v>MJ15025G</v>
      </c>
      <c r="B16842" s="3" t="s">
        <v>74</v>
      </c>
      <c r="C16842" s="6">
        <v>15440</v>
      </c>
      <c r="D16842" s="7">
        <v>5.91</v>
      </c>
      <c r="E16842" t="s">
        <v>47</v>
      </c>
    </row>
    <row r="16843" spans="1:5" x14ac:dyDescent="0.25">
      <c r="A16843" t="str">
        <f>HYPERLINK("https://www.773grp.com/globalSearch/MJ21193G/page-1", "MJ21193G")</f>
        <v>MJ21193G</v>
      </c>
      <c r="B16843" s="3" t="s">
        <v>74</v>
      </c>
      <c r="C16843" s="6">
        <v>8983</v>
      </c>
      <c r="D16843" s="7">
        <v>5.91</v>
      </c>
      <c r="E16843" t="s">
        <v>47</v>
      </c>
    </row>
    <row r="16844" spans="1:5" x14ac:dyDescent="0.25">
      <c r="A16844" t="str">
        <f>HYPERLINK("https://www.773grp.com/globalSearch/MJ21194G/page-1", "MJ21194G")</f>
        <v>MJ21194G</v>
      </c>
      <c r="B16844" s="3" t="s">
        <v>74</v>
      </c>
      <c r="C16844" s="6">
        <v>1687</v>
      </c>
      <c r="D16844" s="7">
        <v>5.91</v>
      </c>
      <c r="E16844" t="s">
        <v>47</v>
      </c>
    </row>
    <row r="16845" spans="1:5" x14ac:dyDescent="0.25">
      <c r="A16845" t="str">
        <f>HYPERLINK("https://www.773grp.com/globalSearch/NCP3012DTBR2G/page-1", "NCP3012DTBR2G")</f>
        <v>NCP3012DTBR2G</v>
      </c>
      <c r="B16845" s="3" t="s">
        <v>74</v>
      </c>
      <c r="C16845" s="6">
        <v>8800</v>
      </c>
      <c r="D16845" s="7">
        <v>5.91</v>
      </c>
      <c r="E16845" t="s">
        <v>5</v>
      </c>
    </row>
    <row r="16846" spans="1:5" x14ac:dyDescent="0.25">
      <c r="A16846" t="str">
        <f>HYPERLINK("https://www.773grp.com/globalSearch/NCP4115VKR2/page-1", "NCP4115VKR2")</f>
        <v>NCP4115VKR2</v>
      </c>
      <c r="B16846" s="3" t="s">
        <v>74</v>
      </c>
      <c r="C16846" s="6">
        <v>119665</v>
      </c>
      <c r="D16846" s="7">
        <v>5.91</v>
      </c>
    </row>
    <row r="16847" spans="1:5" x14ac:dyDescent="0.25">
      <c r="A16847" t="str">
        <f>HYPERLINK("https://www.773grp.com/globalSearch/NCV33033DWR2G/page-1", "NCV33033DWR2G")</f>
        <v>NCV33033DWR2G</v>
      </c>
      <c r="B16847" s="3" t="s">
        <v>74</v>
      </c>
      <c r="C16847" s="6">
        <v>3082</v>
      </c>
      <c r="D16847" s="7">
        <v>5.91</v>
      </c>
      <c r="E16847" t="s">
        <v>50</v>
      </c>
    </row>
    <row r="16848" spans="1:5" x14ac:dyDescent="0.25">
      <c r="A16848" t="str">
        <f>HYPERLINK("https://www.773grp.com/globalSearch/SCV33033DWR2G/page-1", "SCV33033DWR2G")</f>
        <v>SCV33033DWR2G</v>
      </c>
      <c r="B16848" s="3" t="s">
        <v>74</v>
      </c>
      <c r="C16848" s="6">
        <v>1000</v>
      </c>
      <c r="D16848" s="7">
        <v>5.91</v>
      </c>
    </row>
    <row r="16849" spans="1:5" x14ac:dyDescent="0.25">
      <c r="A16849" t="str">
        <f>HYPERLINK("https://www.773grp.com/globalSearch/LC75833JE-E/page-1", "LC75833JE-E")</f>
        <v>LC75833JE-E</v>
      </c>
      <c r="B16849" s="3" t="s">
        <v>74</v>
      </c>
      <c r="C16849" s="6">
        <v>2151</v>
      </c>
      <c r="D16849" s="7">
        <v>5.99</v>
      </c>
    </row>
    <row r="16850" spans="1:5" x14ac:dyDescent="0.25">
      <c r="A16850" t="str">
        <f>HYPERLINK("https://www.773grp.com/globalSearch/LC75833JE-E/page-1", "LC75833JE-E")</f>
        <v>LC75833JE-E</v>
      </c>
      <c r="B16850" s="3" t="s">
        <v>74</v>
      </c>
      <c r="C16850" s="6">
        <v>1400</v>
      </c>
      <c r="D16850" s="7">
        <v>5.99</v>
      </c>
    </row>
    <row r="16851" spans="1:5" x14ac:dyDescent="0.25">
      <c r="A16851" t="str">
        <f>HYPERLINK("https://www.773grp.com/globalSearch/CS5302GDWR28/page-1", "CS5302GDWR28")</f>
        <v>CS5302GDWR28</v>
      </c>
      <c r="B16851" s="3" t="s">
        <v>74</v>
      </c>
      <c r="C16851" s="6">
        <v>18000</v>
      </c>
      <c r="D16851" s="7">
        <v>6.03</v>
      </c>
      <c r="E16851" t="s">
        <v>5</v>
      </c>
    </row>
    <row r="16852" spans="1:5" x14ac:dyDescent="0.25">
      <c r="A16852" t="str">
        <f>HYPERLINK("https://www.773grp.com/globalSearch/CS8190EDWF20/page-1", "CS8190EDWF20")</f>
        <v>CS8190EDWF20</v>
      </c>
      <c r="B16852" s="3" t="s">
        <v>74</v>
      </c>
      <c r="C16852" s="6">
        <v>798</v>
      </c>
      <c r="D16852" s="7">
        <v>6.03</v>
      </c>
      <c r="E16852" t="s">
        <v>8</v>
      </c>
    </row>
    <row r="16853" spans="1:5" x14ac:dyDescent="0.25">
      <c r="A16853" t="str">
        <f>HYPERLINK("https://www.773grp.com/globalSearch/MJW16206/page-1", "MJW16206")</f>
        <v>MJW16206</v>
      </c>
      <c r="B16853" s="3" t="s">
        <v>74</v>
      </c>
      <c r="C16853" s="6">
        <v>7869</v>
      </c>
      <c r="D16853" s="7">
        <v>6.03</v>
      </c>
      <c r="E16853" t="s">
        <v>47</v>
      </c>
    </row>
    <row r="16854" spans="1:5" x14ac:dyDescent="0.25">
      <c r="A16854" t="str">
        <f>HYPERLINK("https://www.773grp.com/globalSearch/LV56801P-E/page-1", "LV56801P-E")</f>
        <v>LV56801P-E</v>
      </c>
      <c r="B16854" s="3" t="s">
        <v>74</v>
      </c>
      <c r="C16854" s="6">
        <v>600</v>
      </c>
      <c r="D16854" s="7">
        <v>6.04</v>
      </c>
    </row>
    <row r="16855" spans="1:5" x14ac:dyDescent="0.25">
      <c r="A16855" t="str">
        <f>HYPERLINK("https://www.773grp.com/globalSearch/CS8151YTVA7G/page-1", "CS8151YTVA7G")</f>
        <v>CS8151YTVA7G</v>
      </c>
      <c r="B16855" s="3" t="s">
        <v>74</v>
      </c>
      <c r="C16855" s="6">
        <v>650</v>
      </c>
      <c r="D16855" s="7">
        <v>6.13</v>
      </c>
      <c r="E16855" t="s">
        <v>15</v>
      </c>
    </row>
    <row r="16856" spans="1:5" x14ac:dyDescent="0.25">
      <c r="A16856" t="str">
        <f>HYPERLINK("https://www.773grp.com/globalSearch/LB1946-E/page-1", "LB1946-E")</f>
        <v>LB1946-E</v>
      </c>
      <c r="B16856" s="3" t="s">
        <v>74</v>
      </c>
      <c r="C16856" s="6">
        <v>254</v>
      </c>
      <c r="D16856" s="7">
        <v>6.13</v>
      </c>
    </row>
    <row r="16857" spans="1:5" x14ac:dyDescent="0.25">
      <c r="A16857" t="str">
        <f>HYPERLINK("https://www.773grp.com/globalSearch/MC10H175FN/page-1", "MC10H175FN")</f>
        <v>MC10H175FN</v>
      </c>
      <c r="B16857" s="3" t="s">
        <v>74</v>
      </c>
      <c r="C16857" s="6">
        <v>2530</v>
      </c>
      <c r="D16857" s="7">
        <v>6.13</v>
      </c>
      <c r="E16857" t="s">
        <v>31</v>
      </c>
    </row>
    <row r="16858" spans="1:5" x14ac:dyDescent="0.25">
      <c r="A16858" t="str">
        <f>HYPERLINK("https://www.773grp.com/globalSearch/MC10H175FNR2/page-1", "MC10H175FNR2")</f>
        <v>MC10H175FNR2</v>
      </c>
      <c r="B16858" s="3" t="s">
        <v>74</v>
      </c>
      <c r="C16858" s="6">
        <v>2500</v>
      </c>
      <c r="D16858" s="7">
        <v>6.13</v>
      </c>
      <c r="E16858" t="s">
        <v>31</v>
      </c>
    </row>
    <row r="16859" spans="1:5" x14ac:dyDescent="0.25">
      <c r="A16859" t="str">
        <f>HYPERLINK("https://www.773grp.com/globalSearch/CS1084XN40/page-1", "CS1084XN40")</f>
        <v>CS1084XN40</v>
      </c>
      <c r="B16859" s="3" t="s">
        <v>74</v>
      </c>
      <c r="C16859" s="6">
        <v>189</v>
      </c>
      <c r="D16859" s="7">
        <v>6.16</v>
      </c>
      <c r="E16859" t="s">
        <v>7</v>
      </c>
    </row>
    <row r="16860" spans="1:5" x14ac:dyDescent="0.25">
      <c r="A16860" t="str">
        <f>HYPERLINK("https://www.773grp.com/globalSearch/2N3055AG/page-1", "2N3055AG")</f>
        <v>2N3055AG</v>
      </c>
      <c r="B16860" s="3" t="s">
        <v>74</v>
      </c>
      <c r="C16860" s="6">
        <v>576</v>
      </c>
      <c r="D16860" s="7">
        <v>6.19</v>
      </c>
      <c r="E16860" t="s">
        <v>47</v>
      </c>
    </row>
    <row r="16861" spans="1:5" x14ac:dyDescent="0.25">
      <c r="A16861" t="str">
        <f>HYPERLINK("https://www.773grp.com/globalSearch/2N3442G/page-1", "2N3442G")</f>
        <v>2N3442G</v>
      </c>
      <c r="B16861" s="3" t="s">
        <v>74</v>
      </c>
      <c r="C16861" s="6">
        <v>2363</v>
      </c>
      <c r="D16861" s="7">
        <v>6.19</v>
      </c>
      <c r="E16861" t="s">
        <v>47</v>
      </c>
    </row>
    <row r="16862" spans="1:5" x14ac:dyDescent="0.25">
      <c r="A16862" t="str">
        <f>HYPERLINK("https://www.773grp.com/globalSearch/CAT521WI/page-1", "CAT521WI")</f>
        <v>CAT521WI</v>
      </c>
      <c r="B16862" s="3" t="s">
        <v>74</v>
      </c>
      <c r="C16862" s="6">
        <v>2420</v>
      </c>
      <c r="D16862" s="7">
        <v>6.19</v>
      </c>
      <c r="E16862" t="s">
        <v>36</v>
      </c>
    </row>
    <row r="16863" spans="1:5" x14ac:dyDescent="0.25">
      <c r="A16863" t="str">
        <f>HYPERLINK("https://www.773grp.com/globalSearch/CS5322GDW28/page-1", "CS5322GDW28")</f>
        <v>CS5322GDW28</v>
      </c>
      <c r="B16863" s="3" t="s">
        <v>74</v>
      </c>
      <c r="C16863" s="6">
        <v>1092</v>
      </c>
      <c r="D16863" s="7">
        <v>6.19</v>
      </c>
      <c r="E16863" t="s">
        <v>5</v>
      </c>
    </row>
    <row r="16864" spans="1:5" x14ac:dyDescent="0.25">
      <c r="A16864" t="str">
        <f>HYPERLINK("https://www.773grp.com/globalSearch/MC10162P/page-1", "MC10162P")</f>
        <v>MC10162P</v>
      </c>
      <c r="B16864" s="3" t="s">
        <v>74</v>
      </c>
      <c r="C16864" s="6">
        <v>1875</v>
      </c>
      <c r="D16864" s="7">
        <v>6.19</v>
      </c>
      <c r="E16864" t="s">
        <v>32</v>
      </c>
    </row>
    <row r="16865" spans="1:5" x14ac:dyDescent="0.25">
      <c r="A16865" t="str">
        <f>HYPERLINK("https://www.773grp.com/globalSearch/MJ15015G/page-1", "MJ15015G")</f>
        <v>MJ15015G</v>
      </c>
      <c r="B16865" s="3" t="s">
        <v>74</v>
      </c>
      <c r="C16865" s="6">
        <v>1900</v>
      </c>
      <c r="D16865" s="7">
        <v>6.19</v>
      </c>
    </row>
    <row r="16866" spans="1:5" x14ac:dyDescent="0.25">
      <c r="A16866" t="str">
        <f>HYPERLINK("https://www.773grp.com/globalSearch/NJL4281DG/page-1", "NJL4281DG")</f>
        <v>NJL4281DG</v>
      </c>
      <c r="B16866" s="3" t="s">
        <v>74</v>
      </c>
      <c r="C16866" s="6">
        <v>3681</v>
      </c>
      <c r="D16866" s="7">
        <v>6.19</v>
      </c>
      <c r="E16866" t="s">
        <v>47</v>
      </c>
    </row>
    <row r="16867" spans="1:5" x14ac:dyDescent="0.25">
      <c r="A16867" t="str">
        <f>HYPERLINK("https://www.773grp.com/globalSearch/NJL4302DG/page-1", "NJL4302DG")</f>
        <v>NJL4302DG</v>
      </c>
      <c r="B16867" s="3" t="s">
        <v>74</v>
      </c>
      <c r="C16867" s="6">
        <v>8</v>
      </c>
      <c r="D16867" s="7">
        <v>6.19</v>
      </c>
      <c r="E16867" t="s">
        <v>47</v>
      </c>
    </row>
    <row r="16868" spans="1:5" x14ac:dyDescent="0.25">
      <c r="A16868" t="str">
        <f>HYPERLINK("https://www.773grp.com/globalSearch/SA572DG/page-1", "SA572DG")</f>
        <v>SA572DG</v>
      </c>
      <c r="B16868" s="3" t="s">
        <v>74</v>
      </c>
      <c r="C16868" s="6">
        <v>29</v>
      </c>
      <c r="D16868" s="7">
        <v>6.19</v>
      </c>
      <c r="E16868" t="s">
        <v>97</v>
      </c>
    </row>
    <row r="16869" spans="1:5" x14ac:dyDescent="0.25">
      <c r="A16869" t="str">
        <f>HYPERLINK("https://www.773grp.com/globalSearch/SA572DR2G/page-1", "SA572DR2G")</f>
        <v>SA572DR2G</v>
      </c>
      <c r="B16869" s="3" t="s">
        <v>74</v>
      </c>
      <c r="C16869" s="6">
        <v>25305</v>
      </c>
      <c r="D16869" s="7">
        <v>6.19</v>
      </c>
      <c r="E16869" t="s">
        <v>97</v>
      </c>
    </row>
    <row r="16870" spans="1:5" x14ac:dyDescent="0.25">
      <c r="A16870" t="str">
        <f>HYPERLINK("https://www.773grp.com/globalSearch/MC10216L/page-1", "MC10216L")</f>
        <v>MC10216L</v>
      </c>
      <c r="B16870" s="3" t="s">
        <v>74</v>
      </c>
      <c r="C16870" s="6">
        <v>1137</v>
      </c>
      <c r="D16870" s="7">
        <v>6.25</v>
      </c>
      <c r="E16870" t="s">
        <v>17</v>
      </c>
    </row>
    <row r="16871" spans="1:5" x14ac:dyDescent="0.25">
      <c r="A16871" t="str">
        <f>HYPERLINK("https://www.773grp.com/globalSearch/MC100E111FNR2/page-1", "MC100E111FNR2")</f>
        <v>MC100E111FNR2</v>
      </c>
      <c r="B16871" s="3" t="s">
        <v>74</v>
      </c>
      <c r="C16871" s="6">
        <v>21573</v>
      </c>
      <c r="D16871" s="7">
        <v>6.28</v>
      </c>
      <c r="E16871" t="s">
        <v>30</v>
      </c>
    </row>
    <row r="16872" spans="1:5" x14ac:dyDescent="0.25">
      <c r="A16872" t="str">
        <f>HYPERLINK("https://www.773grp.com/globalSearch/MC100LVE111FNR2/page-1", "MC100LVE111FNR2")</f>
        <v>MC100LVE111FNR2</v>
      </c>
      <c r="B16872" s="3" t="s">
        <v>74</v>
      </c>
      <c r="C16872" s="6">
        <v>6340</v>
      </c>
      <c r="D16872" s="7">
        <v>6.28</v>
      </c>
      <c r="E16872" t="s">
        <v>30</v>
      </c>
    </row>
    <row r="16873" spans="1:5" x14ac:dyDescent="0.25">
      <c r="A16873" t="str">
        <f>HYPERLINK("https://www.773grp.com/globalSearch/MC10161FN/page-1", "MC10161FN")</f>
        <v>MC10161FN</v>
      </c>
      <c r="B16873" s="3" t="s">
        <v>74</v>
      </c>
      <c r="C16873" s="6">
        <v>4561</v>
      </c>
      <c r="D16873" s="7">
        <v>6.28</v>
      </c>
      <c r="E16873" t="s">
        <v>32</v>
      </c>
    </row>
    <row r="16874" spans="1:5" x14ac:dyDescent="0.25">
      <c r="A16874" t="str">
        <f>HYPERLINK("https://www.773grp.com/globalSearch/MC10164FN/page-1", "MC10164FN")</f>
        <v>MC10164FN</v>
      </c>
      <c r="B16874" s="3" t="s">
        <v>74</v>
      </c>
      <c r="C16874" s="6">
        <v>2572</v>
      </c>
      <c r="D16874" s="7">
        <v>6.28</v>
      </c>
      <c r="E16874" t="s">
        <v>16</v>
      </c>
    </row>
    <row r="16875" spans="1:5" x14ac:dyDescent="0.25">
      <c r="A16875" t="str">
        <f>HYPERLINK("https://www.773grp.com/globalSearch/MC10E111FN/page-1", "MC10E111FN")</f>
        <v>MC10E111FN</v>
      </c>
      <c r="B16875" s="3" t="s">
        <v>74</v>
      </c>
      <c r="C16875" s="6">
        <v>2649</v>
      </c>
      <c r="D16875" s="7">
        <v>6.28</v>
      </c>
      <c r="E16875" t="s">
        <v>30</v>
      </c>
    </row>
    <row r="16876" spans="1:5" x14ac:dyDescent="0.25">
      <c r="A16876" t="str">
        <f>HYPERLINK("https://www.773grp.com/globalSearch/MC10E111FNR2/page-1", "MC10E111FNR2")</f>
        <v>MC10E111FNR2</v>
      </c>
      <c r="B16876" s="3" t="s">
        <v>74</v>
      </c>
      <c r="C16876" s="6">
        <v>8465</v>
      </c>
      <c r="D16876" s="7">
        <v>6.28</v>
      </c>
      <c r="E16876" t="s">
        <v>30</v>
      </c>
    </row>
    <row r="16877" spans="1:5" x14ac:dyDescent="0.25">
      <c r="A16877" t="str">
        <f>HYPERLINK("https://www.773grp.com/globalSearch/MC10E112FN/page-1", "MC10E112FN")</f>
        <v>MC10E112FN</v>
      </c>
      <c r="B16877" s="3" t="s">
        <v>74</v>
      </c>
      <c r="C16877" s="6">
        <v>4</v>
      </c>
      <c r="D16877" s="7">
        <v>6.28</v>
      </c>
      <c r="E16877" t="s">
        <v>27</v>
      </c>
    </row>
    <row r="16878" spans="1:5" x14ac:dyDescent="0.25">
      <c r="A16878" t="str">
        <f>HYPERLINK("https://www.773grp.com/globalSearch/MC10E112FNG/page-1", "MC10E112FNG")</f>
        <v>MC10E112FNG</v>
      </c>
      <c r="B16878" s="3" t="s">
        <v>74</v>
      </c>
      <c r="C16878" s="6">
        <v>2405</v>
      </c>
      <c r="D16878" s="7">
        <v>6.28</v>
      </c>
      <c r="E16878" t="s">
        <v>27</v>
      </c>
    </row>
    <row r="16879" spans="1:5" x14ac:dyDescent="0.25">
      <c r="A16879" t="str">
        <f>HYPERLINK("https://www.773grp.com/globalSearch/VMC10E111FNR2/page-1", "VMC10E111FNR2")</f>
        <v>VMC10E111FNR2</v>
      </c>
      <c r="B16879" s="3" t="s">
        <v>74</v>
      </c>
      <c r="C16879" s="6">
        <v>500</v>
      </c>
      <c r="D16879" s="7">
        <v>6.28</v>
      </c>
    </row>
    <row r="16880" spans="1:5" x14ac:dyDescent="0.25">
      <c r="A16880" t="str">
        <f>HYPERLINK("https://www.773grp.com/globalSearch/MC10135P/page-1", "MC10135P")</f>
        <v>MC10135P</v>
      </c>
      <c r="B16880" s="3" t="s">
        <v>74</v>
      </c>
      <c r="C16880" s="6">
        <v>7325</v>
      </c>
      <c r="D16880" s="7">
        <v>6.3</v>
      </c>
      <c r="E16880" t="s">
        <v>31</v>
      </c>
    </row>
    <row r="16881" spans="1:5" x14ac:dyDescent="0.25">
      <c r="A16881" t="str">
        <f>HYPERLINK("https://www.773grp.com/globalSearch/MC10158FN/page-1", "MC10158FN")</f>
        <v>MC10158FN</v>
      </c>
      <c r="B16881" s="3" t="s">
        <v>74</v>
      </c>
      <c r="C16881" s="6">
        <v>12</v>
      </c>
      <c r="D16881" s="7">
        <v>6.3</v>
      </c>
      <c r="E16881" t="s">
        <v>16</v>
      </c>
    </row>
    <row r="16882" spans="1:5" x14ac:dyDescent="0.25">
      <c r="A16882" t="str">
        <f>HYPERLINK("https://www.773grp.com/globalSearch/MC10158FNR2/page-1", "MC10158FNR2")</f>
        <v>MC10158FNR2</v>
      </c>
      <c r="B16882" s="3" t="s">
        <v>74</v>
      </c>
      <c r="C16882" s="6">
        <v>1700</v>
      </c>
      <c r="D16882" s="7">
        <v>6.3</v>
      </c>
      <c r="E16882" t="s">
        <v>16</v>
      </c>
    </row>
    <row r="16883" spans="1:5" x14ac:dyDescent="0.25">
      <c r="A16883" t="str">
        <f>HYPERLINK("https://www.773grp.com/globalSearch/MC10H176P/page-1", "MC10H176P")</f>
        <v>MC10H176P</v>
      </c>
      <c r="B16883" s="3" t="s">
        <v>74</v>
      </c>
      <c r="C16883" s="6">
        <v>1705</v>
      </c>
      <c r="D16883" s="7">
        <v>6.3</v>
      </c>
      <c r="E16883" t="s">
        <v>31</v>
      </c>
    </row>
    <row r="16884" spans="1:5" x14ac:dyDescent="0.25">
      <c r="A16884" t="str">
        <f>HYPERLINK("https://www.773grp.com/globalSearch/CS5301GDW32G/page-1", "CS5301GDW32G")</f>
        <v>CS5301GDW32G</v>
      </c>
      <c r="B16884" s="3" t="s">
        <v>74</v>
      </c>
      <c r="C16884" s="6">
        <v>316</v>
      </c>
      <c r="D16884" s="7">
        <v>6.33</v>
      </c>
      <c r="E16884" t="s">
        <v>5</v>
      </c>
    </row>
    <row r="16885" spans="1:5" x14ac:dyDescent="0.25">
      <c r="A16885" t="str">
        <f>HYPERLINK("https://www.773grp.com/globalSearch/MBR7030WT/page-1", "MBR7030WT")</f>
        <v>MBR7030WT</v>
      </c>
      <c r="B16885" s="3" t="s">
        <v>74</v>
      </c>
      <c r="C16885" s="6">
        <v>3940</v>
      </c>
      <c r="D16885" s="7">
        <v>6.33</v>
      </c>
      <c r="E16885" t="s">
        <v>82</v>
      </c>
    </row>
    <row r="16886" spans="1:5" x14ac:dyDescent="0.25">
      <c r="A16886" t="str">
        <f>HYPERLINK("https://www.773grp.com/globalSearch/MC100EL01DG/page-1", "MC100EL01DG")</f>
        <v>MC100EL01DG</v>
      </c>
      <c r="B16886" s="3" t="s">
        <v>74</v>
      </c>
      <c r="C16886" s="6">
        <v>449</v>
      </c>
      <c r="D16886" s="7">
        <v>6.33</v>
      </c>
      <c r="E16886" t="s">
        <v>27</v>
      </c>
    </row>
    <row r="16887" spans="1:5" x14ac:dyDescent="0.25">
      <c r="A16887" t="str">
        <f>HYPERLINK("https://www.773grp.com/globalSearch/MC100EL01DR2G/page-1", "MC100EL01DR2G")</f>
        <v>MC100EL01DR2G</v>
      </c>
      <c r="B16887" s="3" t="s">
        <v>74</v>
      </c>
      <c r="C16887" s="6">
        <v>5000</v>
      </c>
      <c r="D16887" s="7">
        <v>6.33</v>
      </c>
      <c r="E16887" t="s">
        <v>27</v>
      </c>
    </row>
    <row r="16888" spans="1:5" x14ac:dyDescent="0.25">
      <c r="A16888" t="str">
        <f>HYPERLINK("https://www.773grp.com/globalSearch/MC100EL01DTG/page-1", "MC100EL01DTG")</f>
        <v>MC100EL01DTG</v>
      </c>
      <c r="B16888" s="3" t="s">
        <v>74</v>
      </c>
      <c r="C16888" s="6">
        <v>2355</v>
      </c>
      <c r="D16888" s="7">
        <v>6.33</v>
      </c>
      <c r="E16888" t="s">
        <v>27</v>
      </c>
    </row>
    <row r="16889" spans="1:5" x14ac:dyDescent="0.25">
      <c r="A16889" t="str">
        <f>HYPERLINK("https://www.773grp.com/globalSearch/MC100EL01DTR2G/page-1", "MC100EL01DTR2G")</f>
        <v>MC100EL01DTR2G</v>
      </c>
      <c r="B16889" s="3" t="s">
        <v>74</v>
      </c>
      <c r="C16889" s="6">
        <v>2500</v>
      </c>
      <c r="D16889" s="7">
        <v>6.33</v>
      </c>
      <c r="E16889" t="s">
        <v>27</v>
      </c>
    </row>
    <row r="16890" spans="1:5" x14ac:dyDescent="0.25">
      <c r="A16890" t="str">
        <f>HYPERLINK("https://www.773grp.com/globalSearch/MC100EL04DG/page-1", "MC100EL04DG")</f>
        <v>MC100EL04DG</v>
      </c>
      <c r="B16890" s="3" t="s">
        <v>74</v>
      </c>
      <c r="C16890" s="6">
        <v>2261</v>
      </c>
      <c r="D16890" s="7">
        <v>6.33</v>
      </c>
      <c r="E16890" t="s">
        <v>27</v>
      </c>
    </row>
    <row r="16891" spans="1:5" x14ac:dyDescent="0.25">
      <c r="A16891" t="str">
        <f>HYPERLINK("https://www.773grp.com/globalSearch/MC100EL04DTG/page-1", "MC100EL04DTG")</f>
        <v>MC100EL04DTG</v>
      </c>
      <c r="B16891" s="3" t="s">
        <v>74</v>
      </c>
      <c r="C16891" s="6">
        <v>7615</v>
      </c>
      <c r="D16891" s="7">
        <v>6.33</v>
      </c>
      <c r="E16891" t="s">
        <v>27</v>
      </c>
    </row>
    <row r="16892" spans="1:5" x14ac:dyDescent="0.25">
      <c r="A16892" t="str">
        <f>HYPERLINK("https://www.773grp.com/globalSearch/MC100EL04DTR2G/page-1", "MC100EL04DTR2G")</f>
        <v>MC100EL04DTR2G</v>
      </c>
      <c r="B16892" s="3" t="s">
        <v>74</v>
      </c>
      <c r="C16892" s="6">
        <v>10000</v>
      </c>
      <c r="D16892" s="7">
        <v>6.33</v>
      </c>
      <c r="E16892" t="s">
        <v>27</v>
      </c>
    </row>
    <row r="16893" spans="1:5" x14ac:dyDescent="0.25">
      <c r="A16893" t="str">
        <f>HYPERLINK("https://www.773grp.com/globalSearch/MC100EL05DG/page-1", "MC100EL05DG")</f>
        <v>MC100EL05DG</v>
      </c>
      <c r="B16893" s="3" t="s">
        <v>74</v>
      </c>
      <c r="C16893" s="6">
        <v>1647</v>
      </c>
      <c r="D16893" s="7">
        <v>6.33</v>
      </c>
      <c r="E16893" t="s">
        <v>27</v>
      </c>
    </row>
    <row r="16894" spans="1:5" x14ac:dyDescent="0.25">
      <c r="A16894" t="str">
        <f>HYPERLINK("https://www.773grp.com/globalSearch/MC100EL05DR2G/page-1", "MC100EL05DR2G")</f>
        <v>MC100EL05DR2G</v>
      </c>
      <c r="B16894" s="3" t="s">
        <v>74</v>
      </c>
      <c r="C16894" s="6">
        <v>4020</v>
      </c>
      <c r="D16894" s="7">
        <v>6.33</v>
      </c>
      <c r="E16894" t="s">
        <v>27</v>
      </c>
    </row>
    <row r="16895" spans="1:5" x14ac:dyDescent="0.25">
      <c r="A16895" t="str">
        <f>HYPERLINK("https://www.773grp.com/globalSearch/MC100EL05DTG/page-1", "MC100EL05DTG")</f>
        <v>MC100EL05DTG</v>
      </c>
      <c r="B16895" s="3" t="s">
        <v>74</v>
      </c>
      <c r="C16895" s="6">
        <v>11542</v>
      </c>
      <c r="D16895" s="7">
        <v>6.33</v>
      </c>
      <c r="E16895" t="s">
        <v>27</v>
      </c>
    </row>
    <row r="16896" spans="1:5" x14ac:dyDescent="0.25">
      <c r="A16896" t="str">
        <f>HYPERLINK("https://www.773grp.com/globalSearch/MC100EL05DTR2G/page-1", "MC100EL05DTR2G")</f>
        <v>MC100EL05DTR2G</v>
      </c>
      <c r="B16896" s="3" t="s">
        <v>74</v>
      </c>
      <c r="C16896" s="6">
        <v>2360</v>
      </c>
      <c r="D16896" s="7">
        <v>6.33</v>
      </c>
      <c r="E16896" t="s">
        <v>27</v>
      </c>
    </row>
    <row r="16897" spans="1:5" x14ac:dyDescent="0.25">
      <c r="A16897" t="str">
        <f>HYPERLINK("https://www.773grp.com/globalSearch/MC100EL07DR2G/page-1", "MC100EL07DR2G")</f>
        <v>MC100EL07DR2G</v>
      </c>
      <c r="B16897" s="3" t="s">
        <v>74</v>
      </c>
      <c r="C16897" s="6">
        <v>2851</v>
      </c>
      <c r="D16897" s="7">
        <v>6.33</v>
      </c>
      <c r="E16897" t="s">
        <v>27</v>
      </c>
    </row>
    <row r="16898" spans="1:5" x14ac:dyDescent="0.25">
      <c r="A16898" t="str">
        <f>HYPERLINK("https://www.773grp.com/globalSearch/MC100EL07DTG/page-1", "MC100EL07DTG")</f>
        <v>MC100EL07DTG</v>
      </c>
      <c r="B16898" s="3" t="s">
        <v>74</v>
      </c>
      <c r="C16898" s="6">
        <v>22799</v>
      </c>
      <c r="D16898" s="7">
        <v>6.33</v>
      </c>
      <c r="E16898" t="s">
        <v>27</v>
      </c>
    </row>
    <row r="16899" spans="1:5" x14ac:dyDescent="0.25">
      <c r="A16899" t="str">
        <f>HYPERLINK("https://www.773grp.com/globalSearch/MC100EL07DTR2G/page-1", "MC100EL07DTR2G")</f>
        <v>MC100EL07DTR2G</v>
      </c>
      <c r="B16899" s="3" t="s">
        <v>74</v>
      </c>
      <c r="C16899" s="6">
        <v>2500</v>
      </c>
      <c r="D16899" s="7">
        <v>6.33</v>
      </c>
      <c r="E16899" t="s">
        <v>27</v>
      </c>
    </row>
    <row r="16900" spans="1:5" x14ac:dyDescent="0.25">
      <c r="A16900" t="str">
        <f>HYPERLINK("https://www.773grp.com/globalSearch/MC100EL07MNR4G/page-1", "MC100EL07MNR4G")</f>
        <v>MC100EL07MNR4G</v>
      </c>
      <c r="B16900" s="3" t="s">
        <v>74</v>
      </c>
      <c r="C16900" s="6">
        <v>10000</v>
      </c>
      <c r="D16900" s="7">
        <v>6.33</v>
      </c>
      <c r="E16900" t="s">
        <v>27</v>
      </c>
    </row>
    <row r="16901" spans="1:5" x14ac:dyDescent="0.25">
      <c r="A16901" t="str">
        <f>HYPERLINK("https://www.773grp.com/globalSearch/MC100EL12DG/page-1", "MC100EL12DG")</f>
        <v>MC100EL12DG</v>
      </c>
      <c r="B16901" s="3" t="s">
        <v>74</v>
      </c>
      <c r="C16901" s="6">
        <v>10874</v>
      </c>
      <c r="D16901" s="7">
        <v>6.33</v>
      </c>
      <c r="E16901" t="s">
        <v>27</v>
      </c>
    </row>
    <row r="16902" spans="1:5" x14ac:dyDescent="0.25">
      <c r="A16902" t="str">
        <f>HYPERLINK("https://www.773grp.com/globalSearch/MC100EL12DR2G/page-1", "MC100EL12DR2G")</f>
        <v>MC100EL12DR2G</v>
      </c>
      <c r="B16902" s="3" t="s">
        <v>74</v>
      </c>
      <c r="C16902" s="6">
        <v>5000</v>
      </c>
      <c r="D16902" s="7">
        <v>6.33</v>
      </c>
      <c r="E16902" t="s">
        <v>27</v>
      </c>
    </row>
    <row r="16903" spans="1:5" x14ac:dyDescent="0.25">
      <c r="A16903" t="str">
        <f>HYPERLINK("https://www.773grp.com/globalSearch/MC100EL12DTG/page-1", "MC100EL12DTG")</f>
        <v>MC100EL12DTG</v>
      </c>
      <c r="B16903" s="3" t="s">
        <v>74</v>
      </c>
      <c r="C16903" s="6">
        <v>295</v>
      </c>
      <c r="D16903" s="7">
        <v>6.33</v>
      </c>
      <c r="E16903" t="s">
        <v>27</v>
      </c>
    </row>
    <row r="16904" spans="1:5" x14ac:dyDescent="0.25">
      <c r="A16904" t="str">
        <f>HYPERLINK("https://www.773grp.com/globalSearch/MC100EL14DW/page-1", "MC100EL14DW")</f>
        <v>MC100EL14DW</v>
      </c>
      <c r="B16904" s="3" t="s">
        <v>74</v>
      </c>
      <c r="C16904" s="6">
        <v>1463</v>
      </c>
      <c r="D16904" s="7">
        <v>6.33</v>
      </c>
      <c r="E16904" t="s">
        <v>30</v>
      </c>
    </row>
    <row r="16905" spans="1:5" x14ac:dyDescent="0.25">
      <c r="A16905" t="str">
        <f>HYPERLINK("https://www.773grp.com/globalSearch/MC100EL16DG/page-1", "MC100EL16DG")</f>
        <v>MC100EL16DG</v>
      </c>
      <c r="B16905" s="3" t="s">
        <v>74</v>
      </c>
      <c r="C16905" s="6">
        <v>1980</v>
      </c>
      <c r="D16905" s="7">
        <v>6.33</v>
      </c>
      <c r="E16905" t="s">
        <v>17</v>
      </c>
    </row>
    <row r="16906" spans="1:5" x14ac:dyDescent="0.25">
      <c r="A16906" t="str">
        <f>HYPERLINK("https://www.773grp.com/globalSearch/MC100EL16DR2G/page-1", "MC100EL16DR2G")</f>
        <v>MC100EL16DR2G</v>
      </c>
      <c r="B16906" s="3" t="s">
        <v>74</v>
      </c>
      <c r="C16906" s="6">
        <v>7500</v>
      </c>
      <c r="D16906" s="7">
        <v>6.33</v>
      </c>
      <c r="E16906" t="s">
        <v>17</v>
      </c>
    </row>
    <row r="16907" spans="1:5" x14ac:dyDescent="0.25">
      <c r="A16907" t="str">
        <f>HYPERLINK("https://www.773grp.com/globalSearch/MC100EL16DTG/page-1", "MC100EL16DTG")</f>
        <v>MC100EL16DTG</v>
      </c>
      <c r="B16907" s="3" t="s">
        <v>74</v>
      </c>
      <c r="C16907" s="6">
        <v>276</v>
      </c>
      <c r="D16907" s="7">
        <v>6.33</v>
      </c>
      <c r="E16907" t="s">
        <v>17</v>
      </c>
    </row>
    <row r="16908" spans="1:5" x14ac:dyDescent="0.25">
      <c r="A16908" t="str">
        <f>HYPERLINK("https://www.773grp.com/globalSearch/MC100EL16DTR2G/page-1", "MC100EL16DTR2G")</f>
        <v>MC100EL16DTR2G</v>
      </c>
      <c r="B16908" s="3" t="s">
        <v>74</v>
      </c>
      <c r="C16908" s="6">
        <v>2400</v>
      </c>
      <c r="D16908" s="7">
        <v>6.33</v>
      </c>
      <c r="E16908" t="s">
        <v>17</v>
      </c>
    </row>
    <row r="16909" spans="1:5" x14ac:dyDescent="0.25">
      <c r="A16909" t="str">
        <f>HYPERLINK("https://www.773grp.com/globalSearch/MC100EL31DG/page-1", "MC100EL31DG")</f>
        <v>MC100EL31DG</v>
      </c>
      <c r="B16909" s="3" t="s">
        <v>74</v>
      </c>
      <c r="C16909" s="6">
        <v>1575</v>
      </c>
      <c r="D16909" s="7">
        <v>6.33</v>
      </c>
      <c r="E16909" t="s">
        <v>31</v>
      </c>
    </row>
    <row r="16910" spans="1:5" x14ac:dyDescent="0.25">
      <c r="A16910" t="str">
        <f>HYPERLINK("https://www.773grp.com/globalSearch/MC100EL31DR2G/page-1", "MC100EL31DR2G")</f>
        <v>MC100EL31DR2G</v>
      </c>
      <c r="B16910" s="3" t="s">
        <v>74</v>
      </c>
      <c r="C16910" s="6">
        <v>10000</v>
      </c>
      <c r="D16910" s="7">
        <v>6.33</v>
      </c>
      <c r="E16910" t="s">
        <v>31</v>
      </c>
    </row>
    <row r="16911" spans="1:5" x14ac:dyDescent="0.25">
      <c r="A16911" t="str">
        <f>HYPERLINK("https://www.773grp.com/globalSearch/MC100EL31DTG/page-1", "MC100EL31DTG")</f>
        <v>MC100EL31DTG</v>
      </c>
      <c r="B16911" s="3" t="s">
        <v>74</v>
      </c>
      <c r="C16911" s="6">
        <v>9375</v>
      </c>
      <c r="D16911" s="7">
        <v>6.33</v>
      </c>
      <c r="E16911" t="s">
        <v>31</v>
      </c>
    </row>
    <row r="16912" spans="1:5" x14ac:dyDescent="0.25">
      <c r="A16912" t="str">
        <f>HYPERLINK("https://www.773grp.com/globalSearch/MC100EL31DTR2G/page-1", "MC100EL31DTR2G")</f>
        <v>MC100EL31DTR2G</v>
      </c>
      <c r="B16912" s="3" t="s">
        <v>74</v>
      </c>
      <c r="C16912" s="6">
        <v>2300</v>
      </c>
      <c r="D16912" s="7">
        <v>6.33</v>
      </c>
      <c r="E16912" t="s">
        <v>31</v>
      </c>
    </row>
    <row r="16913" spans="1:5" x14ac:dyDescent="0.25">
      <c r="A16913" t="str">
        <f>HYPERLINK("https://www.773grp.com/globalSearch/MC100EL32DG/page-1", "MC100EL32DG")</f>
        <v>MC100EL32DG</v>
      </c>
      <c r="B16913" s="3" t="s">
        <v>74</v>
      </c>
      <c r="C16913" s="6">
        <v>1595</v>
      </c>
      <c r="D16913" s="7">
        <v>6.33</v>
      </c>
      <c r="E16913" t="s">
        <v>44</v>
      </c>
    </row>
    <row r="16914" spans="1:5" x14ac:dyDescent="0.25">
      <c r="A16914" t="str">
        <f>HYPERLINK("https://www.773grp.com/globalSearch/MC100EL32DR2G/page-1", "MC100EL32DR2G")</f>
        <v>MC100EL32DR2G</v>
      </c>
      <c r="B16914" s="3" t="s">
        <v>74</v>
      </c>
      <c r="C16914" s="6">
        <v>2400</v>
      </c>
      <c r="D16914" s="7">
        <v>6.33</v>
      </c>
      <c r="E16914" t="s">
        <v>44</v>
      </c>
    </row>
    <row r="16915" spans="1:5" x14ac:dyDescent="0.25">
      <c r="A16915" t="str">
        <f>HYPERLINK("https://www.773grp.com/globalSearch/MC100EL32DTG/page-1", "MC100EL32DTG")</f>
        <v>MC100EL32DTG</v>
      </c>
      <c r="B16915" s="3" t="s">
        <v>74</v>
      </c>
      <c r="C16915" s="6">
        <v>413</v>
      </c>
      <c r="D16915" s="7">
        <v>6.33</v>
      </c>
      <c r="E16915" t="s">
        <v>44</v>
      </c>
    </row>
    <row r="16916" spans="1:5" x14ac:dyDescent="0.25">
      <c r="A16916" t="str">
        <f>HYPERLINK("https://www.773grp.com/globalSearch/MC100EL32DTR2G/page-1", "MC100EL32DTR2G")</f>
        <v>MC100EL32DTR2G</v>
      </c>
      <c r="B16916" s="3" t="s">
        <v>74</v>
      </c>
      <c r="C16916" s="6">
        <v>2500</v>
      </c>
      <c r="D16916" s="7">
        <v>6.33</v>
      </c>
      <c r="E16916" t="s">
        <v>44</v>
      </c>
    </row>
    <row r="16917" spans="1:5" x14ac:dyDescent="0.25">
      <c r="A16917" t="str">
        <f>HYPERLINK("https://www.773grp.com/globalSearch/MC100EL33DG/page-1", "MC100EL33DG")</f>
        <v>MC100EL33DG</v>
      </c>
      <c r="B16917" s="3" t="s">
        <v>74</v>
      </c>
      <c r="C16917" s="6">
        <v>6064</v>
      </c>
      <c r="D16917" s="7">
        <v>6.33</v>
      </c>
      <c r="E16917" t="s">
        <v>44</v>
      </c>
    </row>
    <row r="16918" spans="1:5" x14ac:dyDescent="0.25">
      <c r="A16918" t="str">
        <f>HYPERLINK("https://www.773grp.com/globalSearch/MC100EL33DTG/page-1", "MC100EL33DTG")</f>
        <v>MC100EL33DTG</v>
      </c>
      <c r="B16918" s="3" t="s">
        <v>74</v>
      </c>
      <c r="C16918" s="6">
        <v>11162</v>
      </c>
      <c r="D16918" s="7">
        <v>6.33</v>
      </c>
      <c r="E16918" t="s">
        <v>44</v>
      </c>
    </row>
    <row r="16919" spans="1:5" x14ac:dyDescent="0.25">
      <c r="A16919" t="str">
        <f>HYPERLINK("https://www.773grp.com/globalSearch/MC100EL33DTR2G/page-1", "MC100EL33DTR2G")</f>
        <v>MC100EL33DTR2G</v>
      </c>
      <c r="B16919" s="3" t="s">
        <v>74</v>
      </c>
      <c r="C16919" s="6">
        <v>7500</v>
      </c>
      <c r="D16919" s="7">
        <v>6.33</v>
      </c>
      <c r="E16919" t="s">
        <v>44</v>
      </c>
    </row>
    <row r="16920" spans="1:5" x14ac:dyDescent="0.25">
      <c r="A16920" t="str">
        <f>HYPERLINK("https://www.773grp.com/globalSearch/MC100EL35DG/page-1", "MC100EL35DG")</f>
        <v>MC100EL35DG</v>
      </c>
      <c r="B16920" s="3" t="s">
        <v>74</v>
      </c>
      <c r="C16920" s="6">
        <v>11890</v>
      </c>
      <c r="D16920" s="7">
        <v>6.33</v>
      </c>
      <c r="E16920" t="s">
        <v>31</v>
      </c>
    </row>
    <row r="16921" spans="1:5" x14ac:dyDescent="0.25">
      <c r="A16921" t="str">
        <f>HYPERLINK("https://www.773grp.com/globalSearch/MC100EL35DR2G/page-1", "MC100EL35DR2G")</f>
        <v>MC100EL35DR2G</v>
      </c>
      <c r="B16921" s="3" t="s">
        <v>74</v>
      </c>
      <c r="C16921" s="6">
        <v>10000</v>
      </c>
      <c r="D16921" s="7">
        <v>6.33</v>
      </c>
      <c r="E16921" t="s">
        <v>31</v>
      </c>
    </row>
    <row r="16922" spans="1:5" x14ac:dyDescent="0.25">
      <c r="A16922" t="str">
        <f>HYPERLINK("https://www.773grp.com/globalSearch/MC100EL35DTG/page-1", "MC100EL35DTG")</f>
        <v>MC100EL35DTG</v>
      </c>
      <c r="B16922" s="3" t="s">
        <v>74</v>
      </c>
      <c r="C16922" s="6">
        <v>8380</v>
      </c>
      <c r="D16922" s="7">
        <v>6.33</v>
      </c>
      <c r="E16922" t="s">
        <v>31</v>
      </c>
    </row>
    <row r="16923" spans="1:5" x14ac:dyDescent="0.25">
      <c r="A16923" t="str">
        <f>HYPERLINK("https://www.773grp.com/globalSearch/MC100EL35DTR2G/page-1", "MC100EL35DTR2G")</f>
        <v>MC100EL35DTR2G</v>
      </c>
      <c r="B16923" s="3" t="s">
        <v>74</v>
      </c>
      <c r="C16923" s="6">
        <v>15366</v>
      </c>
      <c r="D16923" s="7">
        <v>6.33</v>
      </c>
      <c r="E16923" t="s">
        <v>31</v>
      </c>
    </row>
    <row r="16924" spans="1:5" x14ac:dyDescent="0.25">
      <c r="A16924" t="str">
        <f>HYPERLINK("https://www.773grp.com/globalSearch/MC100EL35MNR4G/page-1", "MC100EL35MNR4G")</f>
        <v>MC100EL35MNR4G</v>
      </c>
      <c r="B16924" s="3" t="s">
        <v>74</v>
      </c>
      <c r="C16924" s="6">
        <v>10000</v>
      </c>
      <c r="D16924" s="7">
        <v>6.33</v>
      </c>
      <c r="E16924" t="s">
        <v>31</v>
      </c>
    </row>
    <row r="16925" spans="1:5" x14ac:dyDescent="0.25">
      <c r="A16925" t="str">
        <f>HYPERLINK("https://www.773grp.com/globalSearch/MC100EL51DG/page-1", "MC100EL51DG")</f>
        <v>MC100EL51DG</v>
      </c>
      <c r="B16925" s="3" t="s">
        <v>74</v>
      </c>
      <c r="C16925" s="6">
        <v>5713</v>
      </c>
      <c r="D16925" s="7">
        <v>6.33</v>
      </c>
      <c r="E16925" t="s">
        <v>31</v>
      </c>
    </row>
    <row r="16926" spans="1:5" x14ac:dyDescent="0.25">
      <c r="A16926" t="str">
        <f>HYPERLINK("https://www.773grp.com/globalSearch/MC100EL51DR2G/page-1", "MC100EL51DR2G")</f>
        <v>MC100EL51DR2G</v>
      </c>
      <c r="B16926" s="3" t="s">
        <v>74</v>
      </c>
      <c r="C16926" s="6">
        <v>2500</v>
      </c>
      <c r="D16926" s="7">
        <v>6.33</v>
      </c>
      <c r="E16926" t="s">
        <v>31</v>
      </c>
    </row>
    <row r="16927" spans="1:5" x14ac:dyDescent="0.25">
      <c r="A16927" t="str">
        <f>HYPERLINK("https://www.773grp.com/globalSearch/MC100EL51DTG/page-1", "MC100EL51DTG")</f>
        <v>MC100EL51DTG</v>
      </c>
      <c r="B16927" s="3" t="s">
        <v>74</v>
      </c>
      <c r="C16927" s="6">
        <v>2580</v>
      </c>
      <c r="D16927" s="7">
        <v>6.33</v>
      </c>
      <c r="E16927" t="s">
        <v>31</v>
      </c>
    </row>
    <row r="16928" spans="1:5" x14ac:dyDescent="0.25">
      <c r="A16928" t="str">
        <f>HYPERLINK("https://www.773grp.com/globalSearch/MC100EL51DTR2G/page-1", "MC100EL51DTR2G")</f>
        <v>MC100EL51DTR2G</v>
      </c>
      <c r="B16928" s="3" t="s">
        <v>74</v>
      </c>
      <c r="C16928" s="6">
        <v>2330</v>
      </c>
      <c r="D16928" s="7">
        <v>6.33</v>
      </c>
      <c r="E16928" t="s">
        <v>31</v>
      </c>
    </row>
    <row r="16929" spans="1:5" x14ac:dyDescent="0.25">
      <c r="A16929" t="str">
        <f>HYPERLINK("https://www.773grp.com/globalSearch/MC100EL90DW/page-1", "MC100EL90DW")</f>
        <v>MC100EL90DW</v>
      </c>
      <c r="B16929" s="3" t="s">
        <v>74</v>
      </c>
      <c r="C16929" s="6">
        <v>4355</v>
      </c>
      <c r="D16929" s="7">
        <v>6.33</v>
      </c>
      <c r="E16929" t="s">
        <v>61</v>
      </c>
    </row>
    <row r="16930" spans="1:5" x14ac:dyDescent="0.25">
      <c r="A16930" t="str">
        <f>HYPERLINK("https://www.773grp.com/globalSearch/MC100EL90DWR2/page-1", "MC100EL90DWR2")</f>
        <v>MC100EL90DWR2</v>
      </c>
      <c r="B16930" s="3" t="s">
        <v>74</v>
      </c>
      <c r="C16930" s="6">
        <v>2000</v>
      </c>
      <c r="D16930" s="7">
        <v>6.33</v>
      </c>
      <c r="E16930" t="s">
        <v>61</v>
      </c>
    </row>
    <row r="16931" spans="1:5" x14ac:dyDescent="0.25">
      <c r="A16931" t="str">
        <f>HYPERLINK("https://www.773grp.com/globalSearch/MC100EL90DWR2G/page-1", "MC100EL90DWR2G")</f>
        <v>MC100EL90DWR2G</v>
      </c>
      <c r="B16931" s="3" t="s">
        <v>74</v>
      </c>
      <c r="C16931" s="6">
        <v>1000</v>
      </c>
      <c r="D16931" s="7">
        <v>6.33</v>
      </c>
      <c r="E16931" t="s">
        <v>61</v>
      </c>
    </row>
    <row r="16932" spans="1:5" x14ac:dyDescent="0.25">
      <c r="A16932" t="str">
        <f>HYPERLINK("https://www.773grp.com/globalSearch/MC100EL91DW/page-1", "MC100EL91DW")</f>
        <v>MC100EL91DW</v>
      </c>
      <c r="B16932" s="3" t="s">
        <v>74</v>
      </c>
      <c r="C16932" s="6">
        <v>3787</v>
      </c>
      <c r="D16932" s="7">
        <v>6.33</v>
      </c>
      <c r="E16932" t="s">
        <v>61</v>
      </c>
    </row>
    <row r="16933" spans="1:5" x14ac:dyDescent="0.25">
      <c r="A16933" t="str">
        <f>HYPERLINK("https://www.773grp.com/globalSearch/MC100EP16FD/page-1", "MC100EP16FD")</f>
        <v>MC100EP16FD</v>
      </c>
      <c r="B16933" s="3" t="s">
        <v>74</v>
      </c>
      <c r="C16933" s="6">
        <v>14578</v>
      </c>
      <c r="D16933" s="7">
        <v>6.33</v>
      </c>
      <c r="E16933" t="s">
        <v>17</v>
      </c>
    </row>
    <row r="16934" spans="1:5" x14ac:dyDescent="0.25">
      <c r="A16934" t="str">
        <f>HYPERLINK("https://www.773grp.com/globalSearch/MC100EP16FDT/page-1", "MC100EP16FDT")</f>
        <v>MC100EP16FDT</v>
      </c>
      <c r="B16934" s="3" t="s">
        <v>74</v>
      </c>
      <c r="C16934" s="6">
        <v>62</v>
      </c>
      <c r="D16934" s="7">
        <v>6.33</v>
      </c>
      <c r="E16934" t="s">
        <v>17</v>
      </c>
    </row>
    <row r="16935" spans="1:5" x14ac:dyDescent="0.25">
      <c r="A16935" t="str">
        <f>HYPERLINK("https://www.773grp.com/globalSearch/MC100EP16FDTR2/page-1", "MC100EP16FDTR2")</f>
        <v>MC100EP16FDTR2</v>
      </c>
      <c r="B16935" s="3" t="s">
        <v>74</v>
      </c>
      <c r="C16935" s="6">
        <v>10371</v>
      </c>
      <c r="D16935" s="7">
        <v>6.33</v>
      </c>
      <c r="E16935" t="s">
        <v>17</v>
      </c>
    </row>
    <row r="16936" spans="1:5" x14ac:dyDescent="0.25">
      <c r="A16936" t="str">
        <f>HYPERLINK("https://www.773grp.com/globalSearch/MC100EP16TD/page-1", "MC100EP16TD")</f>
        <v>MC100EP16TD</v>
      </c>
      <c r="B16936" s="3" t="s">
        <v>74</v>
      </c>
      <c r="C16936" s="6">
        <v>2175</v>
      </c>
      <c r="D16936" s="7">
        <v>6.33</v>
      </c>
      <c r="E16936" t="s">
        <v>17</v>
      </c>
    </row>
    <row r="16937" spans="1:5" x14ac:dyDescent="0.25">
      <c r="A16937" t="str">
        <f>HYPERLINK("https://www.773grp.com/globalSearch/MC100EP16TDT/page-1", "MC100EP16TDT")</f>
        <v>MC100EP16TDT</v>
      </c>
      <c r="B16937" s="3" t="s">
        <v>74</v>
      </c>
      <c r="C16937" s="6">
        <v>29175</v>
      </c>
      <c r="D16937" s="7">
        <v>6.33</v>
      </c>
      <c r="E16937" t="s">
        <v>17</v>
      </c>
    </row>
    <row r="16938" spans="1:5" x14ac:dyDescent="0.25">
      <c r="A16938" t="str">
        <f>HYPERLINK("https://www.773grp.com/globalSearch/MC100EP16VTD/page-1", "MC100EP16VTD")</f>
        <v>MC100EP16VTD</v>
      </c>
      <c r="B16938" s="3" t="s">
        <v>74</v>
      </c>
      <c r="C16938" s="6">
        <v>2450</v>
      </c>
      <c r="D16938" s="7">
        <v>6.33</v>
      </c>
      <c r="E16938" t="s">
        <v>17</v>
      </c>
    </row>
    <row r="16939" spans="1:5" x14ac:dyDescent="0.25">
      <c r="A16939" t="str">
        <f>HYPERLINK("https://www.773grp.com/globalSearch/MC100EP16VTDT/page-1", "MC100EP16VTDT")</f>
        <v>MC100EP16VTDT</v>
      </c>
      <c r="B16939" s="3" t="s">
        <v>74</v>
      </c>
      <c r="C16939" s="6">
        <v>3400</v>
      </c>
      <c r="D16939" s="7">
        <v>6.33</v>
      </c>
      <c r="E16939" t="s">
        <v>17</v>
      </c>
    </row>
    <row r="16940" spans="1:5" x14ac:dyDescent="0.25">
      <c r="A16940" t="str">
        <f>HYPERLINK("https://www.773grp.com/globalSearch/MC100LVEL16DG/page-1", "MC100LVEL16DG")</f>
        <v>MC100LVEL16DG</v>
      </c>
      <c r="B16940" s="3" t="s">
        <v>74</v>
      </c>
      <c r="C16940" s="6">
        <v>1248</v>
      </c>
      <c r="D16940" s="7">
        <v>6.33</v>
      </c>
      <c r="E16940" t="s">
        <v>17</v>
      </c>
    </row>
    <row r="16941" spans="1:5" x14ac:dyDescent="0.25">
      <c r="A16941" t="str">
        <f>HYPERLINK("https://www.773grp.com/globalSearch/MC100LVEL16DTG/page-1", "MC100LVEL16DTG")</f>
        <v>MC100LVEL16DTG</v>
      </c>
      <c r="B16941" s="3" t="s">
        <v>74</v>
      </c>
      <c r="C16941" s="6">
        <v>1140</v>
      </c>
      <c r="D16941" s="7">
        <v>6.33</v>
      </c>
      <c r="E16941" t="s">
        <v>17</v>
      </c>
    </row>
    <row r="16942" spans="1:5" x14ac:dyDescent="0.25">
      <c r="A16942" t="str">
        <f>HYPERLINK("https://www.773grp.com/globalSearch/MC100LVEL16DTR2G/page-1", "MC100LVEL16DTR2G")</f>
        <v>MC100LVEL16DTR2G</v>
      </c>
      <c r="B16942" s="3" t="s">
        <v>74</v>
      </c>
      <c r="C16942" s="6">
        <v>15000</v>
      </c>
      <c r="D16942" s="7">
        <v>6.33</v>
      </c>
      <c r="E16942" t="s">
        <v>17</v>
      </c>
    </row>
    <row r="16943" spans="1:5" x14ac:dyDescent="0.25">
      <c r="A16943" t="str">
        <f>HYPERLINK("https://www.773grp.com/globalSearch/MC100LVEL16MNR4G/page-1", "MC100LVEL16MNR4G")</f>
        <v>MC100LVEL16MNR4G</v>
      </c>
      <c r="B16943" s="3" t="s">
        <v>74</v>
      </c>
      <c r="C16943" s="6">
        <v>10950</v>
      </c>
      <c r="D16943" s="7">
        <v>6.33</v>
      </c>
      <c r="E16943" t="s">
        <v>17</v>
      </c>
    </row>
    <row r="16944" spans="1:5" x14ac:dyDescent="0.25">
      <c r="A16944" t="str">
        <f>HYPERLINK("https://www.773grp.com/globalSearch/MC100LVEL17DWR2G/page-1", "MC100LVEL17DWR2G")</f>
        <v>MC100LVEL17DWR2G</v>
      </c>
      <c r="B16944" s="3" t="s">
        <v>74</v>
      </c>
      <c r="C16944" s="6">
        <v>5000</v>
      </c>
      <c r="D16944" s="7">
        <v>6.33</v>
      </c>
      <c r="E16944" t="s">
        <v>17</v>
      </c>
    </row>
    <row r="16945" spans="1:5" x14ac:dyDescent="0.25">
      <c r="A16945" t="str">
        <f>HYPERLINK("https://www.773grp.com/globalSearch/MC100LVEL31DG/page-1", "MC100LVEL31DG")</f>
        <v>MC100LVEL31DG</v>
      </c>
      <c r="B16945" s="3" t="s">
        <v>74</v>
      </c>
      <c r="C16945" s="6">
        <v>8731</v>
      </c>
      <c r="D16945" s="7">
        <v>6.33</v>
      </c>
      <c r="E16945" t="s">
        <v>31</v>
      </c>
    </row>
    <row r="16946" spans="1:5" x14ac:dyDescent="0.25">
      <c r="A16946" t="str">
        <f>HYPERLINK("https://www.773grp.com/globalSearch/MC100LVEL31DR2G/page-1", "MC100LVEL31DR2G")</f>
        <v>MC100LVEL31DR2G</v>
      </c>
      <c r="B16946" s="3" t="s">
        <v>74</v>
      </c>
      <c r="C16946" s="6">
        <v>5000</v>
      </c>
      <c r="D16946" s="7">
        <v>6.33</v>
      </c>
      <c r="E16946" t="s">
        <v>31</v>
      </c>
    </row>
    <row r="16947" spans="1:5" x14ac:dyDescent="0.25">
      <c r="A16947" t="str">
        <f>HYPERLINK("https://www.773grp.com/globalSearch/MC100LVEL31DTG/page-1", "MC100LVEL31DTG")</f>
        <v>MC100LVEL31DTG</v>
      </c>
      <c r="B16947" s="3" t="s">
        <v>74</v>
      </c>
      <c r="C16947" s="6">
        <v>7712</v>
      </c>
      <c r="D16947" s="7">
        <v>6.33</v>
      </c>
      <c r="E16947" t="s">
        <v>31</v>
      </c>
    </row>
    <row r="16948" spans="1:5" x14ac:dyDescent="0.25">
      <c r="A16948" t="str">
        <f>HYPERLINK("https://www.773grp.com/globalSearch/MC100LVEL31DTR2G/page-1", "MC100LVEL31DTR2G")</f>
        <v>MC100LVEL31DTR2G</v>
      </c>
      <c r="B16948" s="3" t="s">
        <v>74</v>
      </c>
      <c r="C16948" s="6">
        <v>12312</v>
      </c>
      <c r="D16948" s="7">
        <v>6.33</v>
      </c>
      <c r="E16948" t="s">
        <v>31</v>
      </c>
    </row>
    <row r="16949" spans="1:5" x14ac:dyDescent="0.25">
      <c r="A16949" t="str">
        <f>HYPERLINK("https://www.773grp.com/globalSearch/MC100LVEL32DG/page-1", "MC100LVEL32DG")</f>
        <v>MC100LVEL32DG</v>
      </c>
      <c r="B16949" s="3" t="s">
        <v>74</v>
      </c>
      <c r="C16949" s="6">
        <v>4947</v>
      </c>
      <c r="D16949" s="7">
        <v>6.33</v>
      </c>
      <c r="E16949" t="s">
        <v>44</v>
      </c>
    </row>
    <row r="16950" spans="1:5" x14ac:dyDescent="0.25">
      <c r="A16950" t="str">
        <f>HYPERLINK("https://www.773grp.com/globalSearch/MC100LVEL32DR2G/page-1", "MC100LVEL32DR2G")</f>
        <v>MC100LVEL32DR2G</v>
      </c>
      <c r="B16950" s="3" t="s">
        <v>74</v>
      </c>
      <c r="C16950" s="6">
        <v>22465</v>
      </c>
      <c r="D16950" s="7">
        <v>6.33</v>
      </c>
      <c r="E16950" t="s">
        <v>44</v>
      </c>
    </row>
    <row r="16951" spans="1:5" x14ac:dyDescent="0.25">
      <c r="A16951" t="str">
        <f>HYPERLINK("https://www.773grp.com/globalSearch/MC100LVEL32DTG/page-1", "MC100LVEL32DTG")</f>
        <v>MC100LVEL32DTG</v>
      </c>
      <c r="B16951" s="3" t="s">
        <v>74</v>
      </c>
      <c r="C16951" s="6">
        <v>5586</v>
      </c>
      <c r="D16951" s="7">
        <v>6.33</v>
      </c>
      <c r="E16951" t="s">
        <v>44</v>
      </c>
    </row>
    <row r="16952" spans="1:5" x14ac:dyDescent="0.25">
      <c r="A16952" t="str">
        <f>HYPERLINK("https://www.773grp.com/globalSearch/MC100LVEL32DTR2G/page-1", "MC100LVEL32DTR2G")</f>
        <v>MC100LVEL32DTR2G</v>
      </c>
      <c r="B16952" s="3" t="s">
        <v>74</v>
      </c>
      <c r="C16952" s="6">
        <v>2500</v>
      </c>
      <c r="D16952" s="7">
        <v>6.33</v>
      </c>
      <c r="E16952" t="s">
        <v>44</v>
      </c>
    </row>
    <row r="16953" spans="1:5" x14ac:dyDescent="0.25">
      <c r="A16953" t="str">
        <f>HYPERLINK("https://www.773grp.com/globalSearch/MC100LVEL32MNR4G/page-1", "MC100LVEL32MNR4G")</f>
        <v>MC100LVEL32MNR4G</v>
      </c>
      <c r="B16953" s="3" t="s">
        <v>74</v>
      </c>
      <c r="C16953" s="6">
        <v>1000</v>
      </c>
      <c r="D16953" s="7">
        <v>6.33</v>
      </c>
    </row>
    <row r="16954" spans="1:5" x14ac:dyDescent="0.25">
      <c r="A16954" t="str">
        <f>HYPERLINK("https://www.773grp.com/globalSearch/MC100LVEL33DG/page-1", "MC100LVEL33DG")</f>
        <v>MC100LVEL33DG</v>
      </c>
      <c r="B16954" s="3" t="s">
        <v>74</v>
      </c>
      <c r="C16954" s="6">
        <v>436</v>
      </c>
      <c r="D16954" s="7">
        <v>6.33</v>
      </c>
      <c r="E16954" t="s">
        <v>44</v>
      </c>
    </row>
    <row r="16955" spans="1:5" x14ac:dyDescent="0.25">
      <c r="A16955" t="str">
        <f>HYPERLINK("https://www.773grp.com/globalSearch/MC100LVEL33DR2G/page-1", "MC100LVEL33DR2G")</f>
        <v>MC100LVEL33DR2G</v>
      </c>
      <c r="B16955" s="3" t="s">
        <v>74</v>
      </c>
      <c r="C16955" s="6">
        <v>52</v>
      </c>
      <c r="D16955" s="7">
        <v>6.33</v>
      </c>
    </row>
    <row r="16956" spans="1:5" x14ac:dyDescent="0.25">
      <c r="A16956" t="str">
        <f>HYPERLINK("https://www.773grp.com/globalSearch/MC100LVEL33DTG/page-1", "MC100LVEL33DTG")</f>
        <v>MC100LVEL33DTG</v>
      </c>
      <c r="B16956" s="3" t="s">
        <v>74</v>
      </c>
      <c r="C16956" s="6">
        <v>1584</v>
      </c>
      <c r="D16956" s="7">
        <v>6.33</v>
      </c>
      <c r="E16956" t="s">
        <v>44</v>
      </c>
    </row>
    <row r="16957" spans="1:5" x14ac:dyDescent="0.25">
      <c r="A16957" t="str">
        <f>HYPERLINK("https://www.773grp.com/globalSearch/MC100LVEL33DTR2G/page-1", "MC100LVEL33DTR2G")</f>
        <v>MC100LVEL33DTR2G</v>
      </c>
      <c r="B16957" s="3" t="s">
        <v>74</v>
      </c>
      <c r="C16957" s="6">
        <v>2500</v>
      </c>
      <c r="D16957" s="7">
        <v>6.33</v>
      </c>
      <c r="E16957" t="s">
        <v>44</v>
      </c>
    </row>
    <row r="16958" spans="1:5" x14ac:dyDescent="0.25">
      <c r="A16958" t="str">
        <f>HYPERLINK("https://www.773grp.com/globalSearch/MC100LVEL33MNR4G/page-1", "MC100LVEL33MNR4G")</f>
        <v>MC100LVEL33MNR4G</v>
      </c>
      <c r="B16958" s="3" t="s">
        <v>74</v>
      </c>
      <c r="C16958" s="6">
        <v>9000</v>
      </c>
      <c r="D16958" s="7">
        <v>6.33</v>
      </c>
      <c r="E16958" t="s">
        <v>44</v>
      </c>
    </row>
    <row r="16959" spans="1:5" x14ac:dyDescent="0.25">
      <c r="A16959" t="str">
        <f>HYPERLINK("https://www.773grp.com/globalSearch/MC100LVEL91DW/page-1", "MC100LVEL91DW")</f>
        <v>MC100LVEL91DW</v>
      </c>
      <c r="B16959" s="3" t="s">
        <v>74</v>
      </c>
      <c r="C16959" s="6">
        <v>7277</v>
      </c>
      <c r="D16959" s="7">
        <v>6.33</v>
      </c>
      <c r="E16959" t="s">
        <v>61</v>
      </c>
    </row>
    <row r="16960" spans="1:5" x14ac:dyDescent="0.25">
      <c r="A16960" t="str">
        <f>HYPERLINK("https://www.773grp.com/globalSearch/MC100LVEL91DWR2/page-1", "MC100LVEL91DWR2")</f>
        <v>MC100LVEL91DWR2</v>
      </c>
      <c r="B16960" s="3" t="s">
        <v>74</v>
      </c>
      <c r="C16960" s="6">
        <v>1728</v>
      </c>
      <c r="D16960" s="7">
        <v>6.33</v>
      </c>
      <c r="E16960" t="s">
        <v>61</v>
      </c>
    </row>
    <row r="16961" spans="1:5" x14ac:dyDescent="0.25">
      <c r="A16961" t="str">
        <f>HYPERLINK("https://www.773grp.com/globalSearch/MC100LVEL92DW/page-1", "MC100LVEL92DW")</f>
        <v>MC100LVEL92DW</v>
      </c>
      <c r="B16961" s="3" t="s">
        <v>74</v>
      </c>
      <c r="C16961" s="6">
        <v>10867</v>
      </c>
      <c r="D16961" s="7">
        <v>6.33</v>
      </c>
      <c r="E16961" t="s">
        <v>61</v>
      </c>
    </row>
    <row r="16962" spans="1:5" x14ac:dyDescent="0.25">
      <c r="A16962" t="str">
        <f>HYPERLINK("https://www.773grp.com/globalSearch/MC100LVEL92DWR2/page-1", "MC100LVEL92DWR2")</f>
        <v>MC100LVEL92DWR2</v>
      </c>
      <c r="B16962" s="3" t="s">
        <v>74</v>
      </c>
      <c r="C16962" s="6">
        <v>6259</v>
      </c>
      <c r="D16962" s="7">
        <v>6.33</v>
      </c>
      <c r="E16962" t="s">
        <v>61</v>
      </c>
    </row>
    <row r="16963" spans="1:5" x14ac:dyDescent="0.25">
      <c r="A16963" t="str">
        <f>HYPERLINK("https://www.773grp.com/globalSearch/MC100LVEP111FAG/page-1", "MC100LVEP111FAG")</f>
        <v>MC100LVEP111FAG</v>
      </c>
      <c r="B16963" s="3" t="s">
        <v>74</v>
      </c>
      <c r="C16963" s="6">
        <v>1467</v>
      </c>
      <c r="D16963" s="7">
        <v>6.33</v>
      </c>
    </row>
    <row r="16964" spans="1:5" x14ac:dyDescent="0.25">
      <c r="A16964" t="str">
        <f>HYPERLINK("https://www.773grp.com/globalSearch/MC100LVEP111MNRG/page-1", "MC100LVEP111MNRG")</f>
        <v>MC100LVEP111MNRG</v>
      </c>
      <c r="B16964" s="3" t="s">
        <v>74</v>
      </c>
      <c r="C16964" s="6">
        <v>1000</v>
      </c>
      <c r="D16964" s="7">
        <v>6.33</v>
      </c>
    </row>
    <row r="16965" spans="1:5" x14ac:dyDescent="0.25">
      <c r="A16965" t="str">
        <f>HYPERLINK("https://www.773grp.com/globalSearch/MC10EL01DG/page-1", "MC10EL01DG")</f>
        <v>MC10EL01DG</v>
      </c>
      <c r="B16965" s="3" t="s">
        <v>74</v>
      </c>
      <c r="C16965" s="6">
        <v>7705</v>
      </c>
      <c r="D16965" s="7">
        <v>6.33</v>
      </c>
      <c r="E16965" t="s">
        <v>27</v>
      </c>
    </row>
    <row r="16966" spans="1:5" x14ac:dyDescent="0.25">
      <c r="A16966" t="str">
        <f>HYPERLINK("https://www.773grp.com/globalSearch/MC10EL01DR2G/page-1", "MC10EL01DR2G")</f>
        <v>MC10EL01DR2G</v>
      </c>
      <c r="B16966" s="3" t="s">
        <v>74</v>
      </c>
      <c r="C16966" s="6">
        <v>4972</v>
      </c>
      <c r="D16966" s="7">
        <v>6.33</v>
      </c>
      <c r="E16966" t="s">
        <v>27</v>
      </c>
    </row>
    <row r="16967" spans="1:5" x14ac:dyDescent="0.25">
      <c r="A16967" t="str">
        <f>HYPERLINK("https://www.773grp.com/globalSearch/MC10EL01DTG/page-1", "MC10EL01DTG")</f>
        <v>MC10EL01DTG</v>
      </c>
      <c r="B16967" s="3" t="s">
        <v>74</v>
      </c>
      <c r="C16967" s="6">
        <v>2761</v>
      </c>
      <c r="D16967" s="7">
        <v>6.33</v>
      </c>
      <c r="E16967" t="s">
        <v>27</v>
      </c>
    </row>
    <row r="16968" spans="1:5" x14ac:dyDescent="0.25">
      <c r="A16968" t="str">
        <f>HYPERLINK("https://www.773grp.com/globalSearch/MC10EL01DTR2G/page-1", "MC10EL01DTR2G")</f>
        <v>MC10EL01DTR2G</v>
      </c>
      <c r="B16968" s="3" t="s">
        <v>74</v>
      </c>
      <c r="C16968" s="6">
        <v>2500</v>
      </c>
      <c r="D16968" s="7">
        <v>6.33</v>
      </c>
      <c r="E16968" t="s">
        <v>27</v>
      </c>
    </row>
    <row r="16969" spans="1:5" x14ac:dyDescent="0.25">
      <c r="A16969" t="str">
        <f>HYPERLINK("https://www.773grp.com/globalSearch/MC10EL04DG/page-1", "MC10EL04DG")</f>
        <v>MC10EL04DG</v>
      </c>
      <c r="B16969" s="3" t="s">
        <v>74</v>
      </c>
      <c r="C16969" s="6">
        <v>1821</v>
      </c>
      <c r="D16969" s="7">
        <v>6.33</v>
      </c>
      <c r="E16969" t="s">
        <v>27</v>
      </c>
    </row>
    <row r="16970" spans="1:5" x14ac:dyDescent="0.25">
      <c r="A16970" t="str">
        <f>HYPERLINK("https://www.773grp.com/globalSearch/MC10EL04DTG/page-1", "MC10EL04DTG")</f>
        <v>MC10EL04DTG</v>
      </c>
      <c r="B16970" s="3" t="s">
        <v>74</v>
      </c>
      <c r="C16970" s="6">
        <v>10018</v>
      </c>
      <c r="D16970" s="7">
        <v>6.33</v>
      </c>
      <c r="E16970" t="s">
        <v>27</v>
      </c>
    </row>
    <row r="16971" spans="1:5" x14ac:dyDescent="0.25">
      <c r="A16971" t="str">
        <f>HYPERLINK("https://www.773grp.com/globalSearch/MC10EL04DTR2G/page-1", "MC10EL04DTR2G")</f>
        <v>MC10EL04DTR2G</v>
      </c>
      <c r="B16971" s="3" t="s">
        <v>74</v>
      </c>
      <c r="C16971" s="6">
        <v>2500</v>
      </c>
      <c r="D16971" s="7">
        <v>6.33</v>
      </c>
      <c r="E16971" t="s">
        <v>27</v>
      </c>
    </row>
    <row r="16972" spans="1:5" x14ac:dyDescent="0.25">
      <c r="A16972" t="str">
        <f>HYPERLINK("https://www.773grp.com/globalSearch/MC10EL05DG/page-1", "MC10EL05DG")</f>
        <v>MC10EL05DG</v>
      </c>
      <c r="B16972" s="3" t="s">
        <v>74</v>
      </c>
      <c r="C16972" s="6">
        <v>2943</v>
      </c>
      <c r="D16972" s="7">
        <v>6.33</v>
      </c>
      <c r="E16972" t="s">
        <v>27</v>
      </c>
    </row>
    <row r="16973" spans="1:5" x14ac:dyDescent="0.25">
      <c r="A16973" t="str">
        <f>HYPERLINK("https://www.773grp.com/globalSearch/MC10EL05DTG/page-1", "MC10EL05DTG")</f>
        <v>MC10EL05DTG</v>
      </c>
      <c r="B16973" s="3" t="s">
        <v>74</v>
      </c>
      <c r="C16973" s="6">
        <v>19507</v>
      </c>
      <c r="D16973" s="7">
        <v>6.33</v>
      </c>
      <c r="E16973" t="s">
        <v>27</v>
      </c>
    </row>
    <row r="16974" spans="1:5" x14ac:dyDescent="0.25">
      <c r="A16974" t="str">
        <f>HYPERLINK("https://www.773grp.com/globalSearch/MC10EL05DTR2G/page-1", "MC10EL05DTR2G")</f>
        <v>MC10EL05DTR2G</v>
      </c>
      <c r="B16974" s="3" t="s">
        <v>74</v>
      </c>
      <c r="C16974" s="6">
        <v>10100</v>
      </c>
      <c r="D16974" s="7">
        <v>6.33</v>
      </c>
      <c r="E16974" t="s">
        <v>27</v>
      </c>
    </row>
    <row r="16975" spans="1:5" x14ac:dyDescent="0.25">
      <c r="A16975" t="str">
        <f>HYPERLINK("https://www.773grp.com/globalSearch/MC10EL07DG/page-1", "MC10EL07DG")</f>
        <v>MC10EL07DG</v>
      </c>
      <c r="B16975" s="3" t="s">
        <v>74</v>
      </c>
      <c r="C16975" s="6">
        <v>8445</v>
      </c>
      <c r="D16975" s="7">
        <v>6.33</v>
      </c>
      <c r="E16975" t="s">
        <v>27</v>
      </c>
    </row>
    <row r="16976" spans="1:5" x14ac:dyDescent="0.25">
      <c r="A16976" t="str">
        <f>HYPERLINK("https://www.773grp.com/globalSearch/MC10EL07DR2G/page-1", "MC10EL07DR2G")</f>
        <v>MC10EL07DR2G</v>
      </c>
      <c r="B16976" s="3" t="s">
        <v>74</v>
      </c>
      <c r="C16976" s="6">
        <v>6680</v>
      </c>
      <c r="D16976" s="7">
        <v>6.33</v>
      </c>
      <c r="E16976" t="s">
        <v>27</v>
      </c>
    </row>
    <row r="16977" spans="1:5" x14ac:dyDescent="0.25">
      <c r="A16977" t="str">
        <f>HYPERLINK("https://www.773grp.com/globalSearch/MC10EL07DTG/page-1", "MC10EL07DTG")</f>
        <v>MC10EL07DTG</v>
      </c>
      <c r="B16977" s="3" t="s">
        <v>74</v>
      </c>
      <c r="C16977" s="6">
        <v>24190</v>
      </c>
      <c r="D16977" s="7">
        <v>6.33</v>
      </c>
      <c r="E16977" t="s">
        <v>27</v>
      </c>
    </row>
    <row r="16978" spans="1:5" x14ac:dyDescent="0.25">
      <c r="A16978" t="str">
        <f>HYPERLINK("https://www.773grp.com/globalSearch/MC10EL07DTR2G/page-1", "MC10EL07DTR2G")</f>
        <v>MC10EL07DTR2G</v>
      </c>
      <c r="B16978" s="3" t="s">
        <v>74</v>
      </c>
      <c r="C16978" s="6">
        <v>5000</v>
      </c>
      <c r="D16978" s="7">
        <v>6.33</v>
      </c>
      <c r="E16978" t="s">
        <v>27</v>
      </c>
    </row>
    <row r="16979" spans="1:5" x14ac:dyDescent="0.25">
      <c r="A16979" t="str">
        <f>HYPERLINK("https://www.773grp.com/globalSearch/MC10EL12DG/page-1", "MC10EL12DG")</f>
        <v>MC10EL12DG</v>
      </c>
      <c r="B16979" s="3" t="s">
        <v>74</v>
      </c>
      <c r="C16979" s="6">
        <v>8579</v>
      </c>
      <c r="D16979" s="7">
        <v>6.33</v>
      </c>
      <c r="E16979" t="s">
        <v>27</v>
      </c>
    </row>
    <row r="16980" spans="1:5" x14ac:dyDescent="0.25">
      <c r="A16980" t="str">
        <f>HYPERLINK("https://www.773grp.com/globalSearch/MC10EL12DR2G/page-1", "MC10EL12DR2G")</f>
        <v>MC10EL12DR2G</v>
      </c>
      <c r="B16980" s="3" t="s">
        <v>74</v>
      </c>
      <c r="C16980" s="6">
        <v>2500</v>
      </c>
      <c r="D16980" s="7">
        <v>6.33</v>
      </c>
      <c r="E16980" t="s">
        <v>27</v>
      </c>
    </row>
    <row r="16981" spans="1:5" x14ac:dyDescent="0.25">
      <c r="A16981" t="str">
        <f>HYPERLINK("https://www.773grp.com/globalSearch/MC10EL12DTG/page-1", "MC10EL12DTG")</f>
        <v>MC10EL12DTG</v>
      </c>
      <c r="B16981" s="3" t="s">
        <v>74</v>
      </c>
      <c r="C16981" s="6">
        <v>9120</v>
      </c>
      <c r="D16981" s="7">
        <v>6.33</v>
      </c>
      <c r="E16981" t="s">
        <v>27</v>
      </c>
    </row>
    <row r="16982" spans="1:5" x14ac:dyDescent="0.25">
      <c r="A16982" t="str">
        <f>HYPERLINK("https://www.773grp.com/globalSearch/MC10EL12DTR2G/page-1", "MC10EL12DTR2G")</f>
        <v>MC10EL12DTR2G</v>
      </c>
      <c r="B16982" s="3" t="s">
        <v>74</v>
      </c>
      <c r="C16982" s="6">
        <v>2500</v>
      </c>
      <c r="D16982" s="7">
        <v>6.33</v>
      </c>
      <c r="E16982" t="s">
        <v>27</v>
      </c>
    </row>
    <row r="16983" spans="1:5" x14ac:dyDescent="0.25">
      <c r="A16983" t="str">
        <f>HYPERLINK("https://www.773grp.com/globalSearch/MC10EL16DG/page-1", "MC10EL16DG")</f>
        <v>MC10EL16DG</v>
      </c>
      <c r="B16983" s="3" t="s">
        <v>74</v>
      </c>
      <c r="C16983" s="6">
        <v>5682</v>
      </c>
      <c r="D16983" s="7">
        <v>6.33</v>
      </c>
      <c r="E16983" t="s">
        <v>17</v>
      </c>
    </row>
    <row r="16984" spans="1:5" x14ac:dyDescent="0.25">
      <c r="A16984" t="str">
        <f>HYPERLINK("https://www.773grp.com/globalSearch/MC10EL16DR2G/page-1", "MC10EL16DR2G")</f>
        <v>MC10EL16DR2G</v>
      </c>
      <c r="B16984" s="3" t="s">
        <v>74</v>
      </c>
      <c r="C16984" s="6">
        <v>31385</v>
      </c>
      <c r="D16984" s="7">
        <v>6.33</v>
      </c>
      <c r="E16984" t="s">
        <v>17</v>
      </c>
    </row>
    <row r="16985" spans="1:5" x14ac:dyDescent="0.25">
      <c r="A16985" t="str">
        <f>HYPERLINK("https://www.773grp.com/globalSearch/MC10EL16DTG/page-1", "MC10EL16DTG")</f>
        <v>MC10EL16DTG</v>
      </c>
      <c r="B16985" s="3" t="s">
        <v>74</v>
      </c>
      <c r="C16985" s="6">
        <v>3581</v>
      </c>
      <c r="D16985" s="7">
        <v>6.33</v>
      </c>
      <c r="E16985" t="s">
        <v>17</v>
      </c>
    </row>
    <row r="16986" spans="1:5" x14ac:dyDescent="0.25">
      <c r="A16986" t="str">
        <f>HYPERLINK("https://www.773grp.com/globalSearch/MC10EL31DG/page-1", "MC10EL31DG")</f>
        <v>MC10EL31DG</v>
      </c>
      <c r="B16986" s="3" t="s">
        <v>74</v>
      </c>
      <c r="C16986" s="6">
        <v>1506</v>
      </c>
      <c r="D16986" s="7">
        <v>6.33</v>
      </c>
      <c r="E16986" t="s">
        <v>31</v>
      </c>
    </row>
    <row r="16987" spans="1:5" x14ac:dyDescent="0.25">
      <c r="A16987" t="str">
        <f>HYPERLINK("https://www.773grp.com/globalSearch/MC10EL31DR2G/page-1", "MC10EL31DR2G")</f>
        <v>MC10EL31DR2G</v>
      </c>
      <c r="B16987" s="3" t="s">
        <v>74</v>
      </c>
      <c r="C16987" s="6">
        <v>7300</v>
      </c>
      <c r="D16987" s="7">
        <v>6.33</v>
      </c>
      <c r="E16987" t="s">
        <v>31</v>
      </c>
    </row>
    <row r="16988" spans="1:5" x14ac:dyDescent="0.25">
      <c r="A16988" t="str">
        <f>HYPERLINK("https://www.773grp.com/globalSearch/MC10EL31DTG/page-1", "MC10EL31DTG")</f>
        <v>MC10EL31DTG</v>
      </c>
      <c r="B16988" s="3" t="s">
        <v>74</v>
      </c>
      <c r="C16988" s="6">
        <v>3157</v>
      </c>
      <c r="D16988" s="7">
        <v>6.33</v>
      </c>
      <c r="E16988" t="s">
        <v>31</v>
      </c>
    </row>
    <row r="16989" spans="1:5" x14ac:dyDescent="0.25">
      <c r="A16989" t="str">
        <f>HYPERLINK("https://www.773grp.com/globalSearch/MC10EL32DG/page-1", "MC10EL32DG")</f>
        <v>MC10EL32DG</v>
      </c>
      <c r="B16989" s="3" t="s">
        <v>74</v>
      </c>
      <c r="C16989" s="6">
        <v>1446</v>
      </c>
      <c r="D16989" s="7">
        <v>6.33</v>
      </c>
      <c r="E16989" t="s">
        <v>44</v>
      </c>
    </row>
    <row r="16990" spans="1:5" x14ac:dyDescent="0.25">
      <c r="A16990" t="str">
        <f>HYPERLINK("https://www.773grp.com/globalSearch/MC10EL32DR2G/page-1", "MC10EL32DR2G")</f>
        <v>MC10EL32DR2G</v>
      </c>
      <c r="B16990" s="3" t="s">
        <v>74</v>
      </c>
      <c r="C16990" s="6">
        <v>2457</v>
      </c>
      <c r="D16990" s="7">
        <v>6.33</v>
      </c>
      <c r="E16990" t="s">
        <v>44</v>
      </c>
    </row>
    <row r="16991" spans="1:5" x14ac:dyDescent="0.25">
      <c r="A16991" t="str">
        <f>HYPERLINK("https://www.773grp.com/globalSearch/MC10EL32DTG/page-1", "MC10EL32DTG")</f>
        <v>MC10EL32DTG</v>
      </c>
      <c r="B16991" s="3" t="s">
        <v>74</v>
      </c>
      <c r="C16991" s="6">
        <v>12436</v>
      </c>
      <c r="D16991" s="7">
        <v>6.33</v>
      </c>
      <c r="E16991" t="s">
        <v>44</v>
      </c>
    </row>
    <row r="16992" spans="1:5" x14ac:dyDescent="0.25">
      <c r="A16992" t="str">
        <f>HYPERLINK("https://www.773grp.com/globalSearch/MC10EL32DTR2G/page-1", "MC10EL32DTR2G")</f>
        <v>MC10EL32DTR2G</v>
      </c>
      <c r="B16992" s="3" t="s">
        <v>74</v>
      </c>
      <c r="C16992" s="6">
        <v>9523</v>
      </c>
      <c r="D16992" s="7">
        <v>6.33</v>
      </c>
      <c r="E16992" t="s">
        <v>44</v>
      </c>
    </row>
    <row r="16993" spans="1:5" x14ac:dyDescent="0.25">
      <c r="A16993" t="str">
        <f>HYPERLINK("https://www.773grp.com/globalSearch/MC10EL33DG/page-1", "MC10EL33DG")</f>
        <v>MC10EL33DG</v>
      </c>
      <c r="B16993" s="3" t="s">
        <v>74</v>
      </c>
      <c r="C16993" s="6">
        <v>14563</v>
      </c>
      <c r="D16993" s="7">
        <v>6.33</v>
      </c>
      <c r="E16993" t="s">
        <v>44</v>
      </c>
    </row>
    <row r="16994" spans="1:5" x14ac:dyDescent="0.25">
      <c r="A16994" t="str">
        <f>HYPERLINK("https://www.773grp.com/globalSearch/MC10EL33DR2G/page-1", "MC10EL33DR2G")</f>
        <v>MC10EL33DR2G</v>
      </c>
      <c r="B16994" s="3" t="s">
        <v>74</v>
      </c>
      <c r="C16994" s="6">
        <v>4700</v>
      </c>
      <c r="D16994" s="7">
        <v>6.33</v>
      </c>
      <c r="E16994" t="s">
        <v>44</v>
      </c>
    </row>
    <row r="16995" spans="1:5" x14ac:dyDescent="0.25">
      <c r="A16995" t="str">
        <f>HYPERLINK("https://www.773grp.com/globalSearch/MC10EL33DTG/page-1", "MC10EL33DTG")</f>
        <v>MC10EL33DTG</v>
      </c>
      <c r="B16995" s="3" t="s">
        <v>74</v>
      </c>
      <c r="C16995" s="6">
        <v>9895</v>
      </c>
      <c r="D16995" s="7">
        <v>6.33</v>
      </c>
      <c r="E16995" t="s">
        <v>44</v>
      </c>
    </row>
    <row r="16996" spans="1:5" x14ac:dyDescent="0.25">
      <c r="A16996" t="str">
        <f>HYPERLINK("https://www.773grp.com/globalSearch/MC10EL33DTR2G/page-1", "MC10EL33DTR2G")</f>
        <v>MC10EL33DTR2G</v>
      </c>
      <c r="B16996" s="3" t="s">
        <v>74</v>
      </c>
      <c r="C16996" s="6">
        <v>31746</v>
      </c>
      <c r="D16996" s="7">
        <v>6.33</v>
      </c>
      <c r="E16996" t="s">
        <v>44</v>
      </c>
    </row>
    <row r="16997" spans="1:5" x14ac:dyDescent="0.25">
      <c r="A16997" t="str">
        <f>HYPERLINK("https://www.773grp.com/globalSearch/MC10EL35DG/page-1", "MC10EL35DG")</f>
        <v>MC10EL35DG</v>
      </c>
      <c r="B16997" s="3" t="s">
        <v>74</v>
      </c>
      <c r="C16997" s="6">
        <v>17056</v>
      </c>
      <c r="D16997" s="7">
        <v>6.33</v>
      </c>
      <c r="E16997" t="s">
        <v>31</v>
      </c>
    </row>
    <row r="16998" spans="1:5" x14ac:dyDescent="0.25">
      <c r="A16998" t="str">
        <f>HYPERLINK("https://www.773grp.com/globalSearch/MC10EL35DTG/page-1", "MC10EL35DTG")</f>
        <v>MC10EL35DTG</v>
      </c>
      <c r="B16998" s="3" t="s">
        <v>74</v>
      </c>
      <c r="C16998" s="6">
        <v>9151</v>
      </c>
      <c r="D16998" s="7">
        <v>6.33</v>
      </c>
      <c r="E16998" t="s">
        <v>31</v>
      </c>
    </row>
    <row r="16999" spans="1:5" x14ac:dyDescent="0.25">
      <c r="A16999" t="str">
        <f>HYPERLINK("https://www.773grp.com/globalSearch/MC10EL35DTR2G/page-1", "MC10EL35DTR2G")</f>
        <v>MC10EL35DTR2G</v>
      </c>
      <c r="B16999" s="3" t="s">
        <v>74</v>
      </c>
      <c r="C16999" s="6">
        <v>2500</v>
      </c>
      <c r="D16999" s="7">
        <v>6.33</v>
      </c>
      <c r="E16999" t="s">
        <v>31</v>
      </c>
    </row>
    <row r="17000" spans="1:5" x14ac:dyDescent="0.25">
      <c r="A17000" t="str">
        <f>HYPERLINK("https://www.773grp.com/globalSearch/MC10EL51DG/page-1", "MC10EL51DG")</f>
        <v>MC10EL51DG</v>
      </c>
      <c r="B17000" s="3" t="s">
        <v>74</v>
      </c>
      <c r="C17000" s="6">
        <v>1454</v>
      </c>
      <c r="D17000" s="7">
        <v>6.33</v>
      </c>
      <c r="E17000" t="s">
        <v>31</v>
      </c>
    </row>
    <row r="17001" spans="1:5" x14ac:dyDescent="0.25">
      <c r="A17001" t="str">
        <f>HYPERLINK("https://www.773grp.com/globalSearch/MC10EL51DR2G/page-1", "MC10EL51DR2G")</f>
        <v>MC10EL51DR2G</v>
      </c>
      <c r="B17001" s="3" t="s">
        <v>74</v>
      </c>
      <c r="C17001" s="6">
        <v>2585</v>
      </c>
      <c r="D17001" s="7">
        <v>6.33</v>
      </c>
      <c r="E17001" t="s">
        <v>31</v>
      </c>
    </row>
    <row r="17002" spans="1:5" x14ac:dyDescent="0.25">
      <c r="A17002" t="str">
        <f>HYPERLINK("https://www.773grp.com/globalSearch/MC10EL51DTG/page-1", "MC10EL51DTG")</f>
        <v>MC10EL51DTG</v>
      </c>
      <c r="B17002" s="3" t="s">
        <v>74</v>
      </c>
      <c r="C17002" s="6">
        <v>6880</v>
      </c>
      <c r="D17002" s="7">
        <v>6.33</v>
      </c>
      <c r="E17002" t="s">
        <v>31</v>
      </c>
    </row>
    <row r="17003" spans="1:5" x14ac:dyDescent="0.25">
      <c r="A17003" t="str">
        <f>HYPERLINK("https://www.773grp.com/globalSearch/MC10EL51DTR2G/page-1", "MC10EL51DTR2G")</f>
        <v>MC10EL51DTR2G</v>
      </c>
      <c r="B17003" s="3" t="s">
        <v>74</v>
      </c>
      <c r="C17003" s="6">
        <v>2500</v>
      </c>
      <c r="D17003" s="7">
        <v>6.33</v>
      </c>
      <c r="E17003" t="s">
        <v>31</v>
      </c>
    </row>
    <row r="17004" spans="1:5" x14ac:dyDescent="0.25">
      <c r="A17004" t="str">
        <f>HYPERLINK("https://www.773grp.com/globalSearch/MC10EP16TD/page-1", "MC10EP16TD")</f>
        <v>MC10EP16TD</v>
      </c>
      <c r="B17004" s="3" t="s">
        <v>74</v>
      </c>
      <c r="C17004" s="6">
        <v>16258</v>
      </c>
      <c r="D17004" s="7">
        <v>6.33</v>
      </c>
      <c r="E17004" t="s">
        <v>17</v>
      </c>
    </row>
    <row r="17005" spans="1:5" x14ac:dyDescent="0.25">
      <c r="A17005" t="str">
        <f>HYPERLINK("https://www.773grp.com/globalSearch/MC10EP16TDR2/page-1", "MC10EP16TDR2")</f>
        <v>MC10EP16TDR2</v>
      </c>
      <c r="B17005" s="3" t="s">
        <v>74</v>
      </c>
      <c r="C17005" s="6">
        <v>7500</v>
      </c>
      <c r="D17005" s="7">
        <v>6.33</v>
      </c>
      <c r="E17005" t="s">
        <v>17</v>
      </c>
    </row>
    <row r="17006" spans="1:5" x14ac:dyDescent="0.25">
      <c r="A17006" t="str">
        <f>HYPERLINK("https://www.773grp.com/globalSearch/MC10EP16TDT/page-1", "MC10EP16TDT")</f>
        <v>MC10EP16TDT</v>
      </c>
      <c r="B17006" s="3" t="s">
        <v>74</v>
      </c>
      <c r="C17006" s="6">
        <v>36</v>
      </c>
      <c r="D17006" s="7">
        <v>6.33</v>
      </c>
      <c r="E17006" t="s">
        <v>17</v>
      </c>
    </row>
    <row r="17007" spans="1:5" x14ac:dyDescent="0.25">
      <c r="A17007" t="str">
        <f>HYPERLINK("https://www.773grp.com/globalSearch/MC33560DWR2G/page-1", "MC33560DWR2G")</f>
        <v>MC33560DWR2G</v>
      </c>
      <c r="B17007" s="3" t="s">
        <v>74</v>
      </c>
      <c r="C17007" s="6">
        <v>4190</v>
      </c>
      <c r="D17007" s="7">
        <v>6.33</v>
      </c>
      <c r="E17007" t="s">
        <v>36</v>
      </c>
    </row>
    <row r="17008" spans="1:5" x14ac:dyDescent="0.25">
      <c r="A17008" t="str">
        <f>HYPERLINK("https://www.773grp.com/globalSearch/MJ15016G/page-1", "MJ15016G")</f>
        <v>MJ15016G</v>
      </c>
      <c r="B17008" s="3" t="s">
        <v>74</v>
      </c>
      <c r="C17008" s="6">
        <v>1200</v>
      </c>
      <c r="D17008" s="7">
        <v>6.33</v>
      </c>
      <c r="E17008" t="s">
        <v>47</v>
      </c>
    </row>
    <row r="17009" spans="1:5" x14ac:dyDescent="0.25">
      <c r="A17009" t="str">
        <f>HYPERLINK("https://www.773grp.com/globalSearch/NB4N316MDTG/page-1", "NB4N316MDTG")</f>
        <v>NB4N316MDTG</v>
      </c>
      <c r="B17009" s="3" t="s">
        <v>74</v>
      </c>
      <c r="C17009" s="6">
        <v>1543</v>
      </c>
      <c r="D17009" s="7">
        <v>6.33</v>
      </c>
      <c r="E17009" t="s">
        <v>61</v>
      </c>
    </row>
    <row r="17010" spans="1:5" x14ac:dyDescent="0.25">
      <c r="A17010" t="str">
        <f>HYPERLINK("https://www.773grp.com/globalSearch/NB4N316MDTR2G/page-1", "NB4N316MDTR2G")</f>
        <v>NB4N316MDTR2G</v>
      </c>
      <c r="B17010" s="3" t="s">
        <v>74</v>
      </c>
      <c r="C17010" s="6">
        <v>2029</v>
      </c>
      <c r="D17010" s="7">
        <v>6.33</v>
      </c>
      <c r="E17010" t="s">
        <v>61</v>
      </c>
    </row>
    <row r="17011" spans="1:5" x14ac:dyDescent="0.25">
      <c r="A17011" t="str">
        <f>HYPERLINK("https://www.773grp.com/globalSearch/NB6L14SMNG/page-1", "NB6L14SMNG")</f>
        <v>NB6L14SMNG</v>
      </c>
      <c r="B17011" s="3" t="s">
        <v>74</v>
      </c>
      <c r="C17011" s="6">
        <v>1353</v>
      </c>
      <c r="D17011" s="7">
        <v>6.33</v>
      </c>
      <c r="E17011" t="s">
        <v>30</v>
      </c>
    </row>
    <row r="17012" spans="1:5" x14ac:dyDescent="0.25">
      <c r="A17012" t="str">
        <f>HYPERLINK("https://www.773grp.com/globalSearch/NB6L14SMNTXG/page-1", "NB6L14SMNTXG")</f>
        <v>NB6L14SMNTXG</v>
      </c>
      <c r="B17012" s="3" t="s">
        <v>74</v>
      </c>
      <c r="C17012" s="6">
        <v>9000</v>
      </c>
      <c r="D17012" s="7">
        <v>6.33</v>
      </c>
      <c r="E17012" t="s">
        <v>30</v>
      </c>
    </row>
    <row r="17013" spans="1:5" x14ac:dyDescent="0.25">
      <c r="A17013" t="str">
        <f>HYPERLINK("https://www.773grp.com/globalSearch/CS8156YTVA5/page-1", "CS8156YTVA5")</f>
        <v>CS8156YTVA5</v>
      </c>
      <c r="B17013" s="3" t="s">
        <v>74</v>
      </c>
      <c r="C17013" s="6">
        <v>6450</v>
      </c>
      <c r="D17013" s="7">
        <v>6.36</v>
      </c>
      <c r="E17013" t="s">
        <v>39</v>
      </c>
    </row>
    <row r="17014" spans="1:5" x14ac:dyDescent="0.25">
      <c r="A17014" t="str">
        <f>HYPERLINK("https://www.773grp.com/globalSearch/SA572DTBG/page-1", "SA572DTBG")</f>
        <v>SA572DTBG</v>
      </c>
      <c r="B17014" s="3" t="s">
        <v>74</v>
      </c>
      <c r="C17014" s="6">
        <v>183</v>
      </c>
      <c r="D17014" s="7">
        <v>6.36</v>
      </c>
      <c r="E17014" t="s">
        <v>97</v>
      </c>
    </row>
    <row r="17015" spans="1:5" x14ac:dyDescent="0.25">
      <c r="A17015" t="str">
        <f>HYPERLINK("https://www.773grp.com/globalSearch/SA572DTBR2G/page-1", "SA572DTBR2G")</f>
        <v>SA572DTBR2G</v>
      </c>
      <c r="B17015" s="3" t="s">
        <v>74</v>
      </c>
      <c r="C17015" s="6">
        <v>8516</v>
      </c>
      <c r="D17015" s="7">
        <v>6.36</v>
      </c>
      <c r="E17015" t="s">
        <v>97</v>
      </c>
    </row>
    <row r="17016" spans="1:5" x14ac:dyDescent="0.25">
      <c r="A17016" t="str">
        <f>HYPERLINK("https://www.773grp.com/globalSearch/SA572NG/page-1", "SA572NG")</f>
        <v>SA572NG</v>
      </c>
      <c r="B17016" s="3" t="s">
        <v>74</v>
      </c>
      <c r="C17016" s="6">
        <v>1459</v>
      </c>
      <c r="D17016" s="7">
        <v>6.36</v>
      </c>
      <c r="E17016" t="s">
        <v>97</v>
      </c>
    </row>
    <row r="17017" spans="1:5" x14ac:dyDescent="0.25">
      <c r="A17017" t="str">
        <f>HYPERLINK("https://www.773grp.com/globalSearch/LV8746V-MPB-E/page-1", "LV8746V-MPB-E")</f>
        <v>LV8746V-MPB-E</v>
      </c>
      <c r="B17017" s="3" t="s">
        <v>74</v>
      </c>
      <c r="C17017" s="6">
        <v>320</v>
      </c>
      <c r="D17017" s="7">
        <v>6.41</v>
      </c>
    </row>
    <row r="17018" spans="1:5" x14ac:dyDescent="0.25">
      <c r="A17018" t="str">
        <f>HYPERLINK("https://www.773grp.com/globalSearch/MJ14003/page-1", "MJ14003")</f>
        <v>MJ14003</v>
      </c>
      <c r="B17018" s="3" t="s">
        <v>74</v>
      </c>
      <c r="C17018" s="6">
        <v>5266</v>
      </c>
      <c r="D17018" s="7">
        <v>6.41</v>
      </c>
      <c r="E17018" t="s">
        <v>47</v>
      </c>
    </row>
    <row r="17019" spans="1:5" x14ac:dyDescent="0.25">
      <c r="A17019" t="str">
        <f>HYPERLINK("https://www.773grp.com/globalSearch/MC10H161PG/page-1", "MC10H161PG")</f>
        <v>MC10H161PG</v>
      </c>
      <c r="B17019" s="3" t="s">
        <v>74</v>
      </c>
      <c r="C17019" s="6">
        <v>3375</v>
      </c>
      <c r="D17019" s="7">
        <v>6.45</v>
      </c>
      <c r="E17019" t="s">
        <v>32</v>
      </c>
    </row>
    <row r="17020" spans="1:5" x14ac:dyDescent="0.25">
      <c r="A17020" t="str">
        <f>HYPERLINK("https://www.773grp.com/globalSearch/MC10H162PG/page-1", "MC10H162PG")</f>
        <v>MC10H162PG</v>
      </c>
      <c r="B17020" s="3" t="s">
        <v>74</v>
      </c>
      <c r="C17020" s="6">
        <v>5000</v>
      </c>
      <c r="D17020" s="7">
        <v>6.45</v>
      </c>
      <c r="E17020" t="s">
        <v>32</v>
      </c>
    </row>
    <row r="17021" spans="1:5" x14ac:dyDescent="0.25">
      <c r="A17021" t="str">
        <f>HYPERLINK("https://www.773grp.com/globalSearch/CS8140YTVA7/page-1", "CS8140YTVA7")</f>
        <v>CS8140YTVA7</v>
      </c>
      <c r="B17021" s="3" t="s">
        <v>74</v>
      </c>
      <c r="C17021" s="6">
        <v>1450</v>
      </c>
      <c r="D17021" s="7">
        <v>6.46</v>
      </c>
      <c r="E17021" t="s">
        <v>15</v>
      </c>
    </row>
    <row r="17022" spans="1:5" x14ac:dyDescent="0.25">
      <c r="A17022" t="str">
        <f>HYPERLINK("https://www.773grp.com/globalSearch/NCV70521MN003G/page-1", "NCV70521MN003G")</f>
        <v>NCV70521MN003G</v>
      </c>
      <c r="B17022" s="3" t="s">
        <v>74</v>
      </c>
      <c r="C17022" s="6">
        <v>80</v>
      </c>
      <c r="D17022" s="7">
        <v>6.46</v>
      </c>
    </row>
    <row r="17023" spans="1:5" x14ac:dyDescent="0.25">
      <c r="A17023" t="str">
        <f>HYPERLINK("https://www.773grp.com/globalSearch/NCV70521MN003R2G/page-1", "NCV70521MN003R2G")</f>
        <v>NCV70521MN003R2G</v>
      </c>
      <c r="B17023" s="3" t="s">
        <v>74</v>
      </c>
      <c r="C17023" s="6">
        <v>2500</v>
      </c>
      <c r="D17023" s="7">
        <v>6.46</v>
      </c>
    </row>
    <row r="17024" spans="1:5" x14ac:dyDescent="0.25">
      <c r="A17024" t="str">
        <f>HYPERLINK("https://www.773grp.com/globalSearch/AMIS30421C4211G/page-1", "AMIS30421C4211G")</f>
        <v>AMIS30421C4211G</v>
      </c>
      <c r="B17024" s="3" t="s">
        <v>74</v>
      </c>
      <c r="C17024" s="6">
        <v>470</v>
      </c>
      <c r="D17024" s="7">
        <v>6.5</v>
      </c>
    </row>
    <row r="17025" spans="1:5" x14ac:dyDescent="0.25">
      <c r="A17025" t="str">
        <f>HYPERLINK("https://www.773grp.com/globalSearch/MC10189P/page-1", "MC10189P")</f>
        <v>MC10189P</v>
      </c>
      <c r="B17025" s="3" t="s">
        <v>74</v>
      </c>
      <c r="C17025" s="6">
        <v>6835</v>
      </c>
      <c r="D17025" s="7">
        <v>6.5</v>
      </c>
      <c r="E17025" t="s">
        <v>27</v>
      </c>
    </row>
    <row r="17026" spans="1:5" x14ac:dyDescent="0.25">
      <c r="A17026" t="str">
        <f>HYPERLINK("https://www.773grp.com/globalSearch/AMIS42770ICAW1RG/page-1", "AMIS42770ICAW1RG")</f>
        <v>AMIS42770ICAW1RG</v>
      </c>
      <c r="B17026" s="3" t="s">
        <v>74</v>
      </c>
      <c r="C17026" s="6">
        <v>9600</v>
      </c>
      <c r="D17026" s="7">
        <v>6.59</v>
      </c>
    </row>
    <row r="17027" spans="1:5" x14ac:dyDescent="0.25">
      <c r="A17027" t="str">
        <f>HYPERLINK("https://www.773grp.com/globalSearch/MC10162FN/page-1", "MC10162FN")</f>
        <v>MC10162FN</v>
      </c>
      <c r="B17027" s="3" t="s">
        <v>74</v>
      </c>
      <c r="C17027" s="6">
        <v>45</v>
      </c>
      <c r="D17027" s="7">
        <v>6.61</v>
      </c>
      <c r="E17027" t="s">
        <v>32</v>
      </c>
    </row>
    <row r="17028" spans="1:5" x14ac:dyDescent="0.25">
      <c r="A17028" t="str">
        <f>HYPERLINK("https://www.773grp.com/globalSearch/MC10162FNR2/page-1", "MC10162FNR2")</f>
        <v>MC10162FNR2</v>
      </c>
      <c r="B17028" s="3" t="s">
        <v>74</v>
      </c>
      <c r="C17028" s="6">
        <v>2000</v>
      </c>
      <c r="D17028" s="7">
        <v>6.61</v>
      </c>
      <c r="E17028" t="s">
        <v>32</v>
      </c>
    </row>
    <row r="17029" spans="1:5" x14ac:dyDescent="0.25">
      <c r="A17029" t="str">
        <f>HYPERLINK("https://www.773grp.com/globalSearch/MC10H176FN/page-1", "MC10H176FN")</f>
        <v>MC10H176FN</v>
      </c>
      <c r="B17029" s="3" t="s">
        <v>74</v>
      </c>
      <c r="C17029" s="6">
        <v>3423</v>
      </c>
      <c r="D17029" s="7">
        <v>6.61</v>
      </c>
      <c r="E17029" t="s">
        <v>31</v>
      </c>
    </row>
    <row r="17030" spans="1:5" x14ac:dyDescent="0.25">
      <c r="A17030" t="str">
        <f>HYPERLINK("https://www.773grp.com/globalSearch/MC10H176MEL/page-1", "MC10H176MEL")</f>
        <v>MC10H176MEL</v>
      </c>
      <c r="B17030" s="3" t="s">
        <v>74</v>
      </c>
      <c r="C17030" s="6">
        <v>1485</v>
      </c>
      <c r="D17030" s="7">
        <v>6.61</v>
      </c>
      <c r="E17030" t="s">
        <v>31</v>
      </c>
    </row>
    <row r="17031" spans="1:5" x14ac:dyDescent="0.25">
      <c r="A17031" t="str">
        <f>HYPERLINK("https://www.773grp.com/globalSearch/NGTB50N60FWG/page-1", "NGTB50N60FWG")</f>
        <v>NGTB50N60FWG</v>
      </c>
      <c r="B17031" s="3" t="s">
        <v>74</v>
      </c>
      <c r="C17031" s="6">
        <v>444</v>
      </c>
      <c r="D17031" s="7">
        <v>6.7</v>
      </c>
    </row>
    <row r="17032" spans="1:5" x14ac:dyDescent="0.25">
      <c r="A17032" t="str">
        <f>HYPERLINK("https://www.773grp.com/globalSearch/CS1084XFNR44/page-1", "CS1084XFNR44")</f>
        <v>CS1084XFNR44</v>
      </c>
      <c r="B17032" s="3" t="s">
        <v>74</v>
      </c>
      <c r="C17032" s="6">
        <v>2500</v>
      </c>
      <c r="D17032" s="7">
        <v>6.71</v>
      </c>
      <c r="E17032" t="s">
        <v>7</v>
      </c>
    </row>
    <row r="17033" spans="1:5" x14ac:dyDescent="0.25">
      <c r="A17033" t="str">
        <f>HYPERLINK("https://www.773grp.com/globalSearch/MC10159L/page-1", "MC10159L")</f>
        <v>MC10159L</v>
      </c>
      <c r="B17033" s="3" t="s">
        <v>74</v>
      </c>
      <c r="C17033" s="6">
        <v>145</v>
      </c>
      <c r="D17033" s="7">
        <v>6.71</v>
      </c>
      <c r="E17033" t="s">
        <v>16</v>
      </c>
    </row>
    <row r="17034" spans="1:5" x14ac:dyDescent="0.25">
      <c r="A17034" t="str">
        <f>HYPERLINK("https://www.773grp.com/globalSearch/MC10173L/page-1", "MC10173L")</f>
        <v>MC10173L</v>
      </c>
      <c r="B17034" s="3" t="s">
        <v>74</v>
      </c>
      <c r="C17034" s="6">
        <v>2288</v>
      </c>
      <c r="D17034" s="7">
        <v>6.71</v>
      </c>
      <c r="E17034" t="s">
        <v>31</v>
      </c>
    </row>
    <row r="17035" spans="1:5" x14ac:dyDescent="0.25">
      <c r="A17035" t="str">
        <f>HYPERLINK("https://www.773grp.com/globalSearch/MC10197P/page-1", "MC10197P")</f>
        <v>MC10197P</v>
      </c>
      <c r="B17035" s="3" t="s">
        <v>74</v>
      </c>
      <c r="C17035" s="6">
        <v>1941</v>
      </c>
      <c r="D17035" s="7">
        <v>6.71</v>
      </c>
      <c r="E17035" t="s">
        <v>27</v>
      </c>
    </row>
    <row r="17036" spans="1:5" x14ac:dyDescent="0.25">
      <c r="A17036" t="str">
        <f>HYPERLINK("https://www.773grp.com/globalSearch/LV8746V-TLM-E/page-1", "LV8746V-TLM-E")</f>
        <v>LV8746V-TLM-E</v>
      </c>
      <c r="B17036" s="3" t="s">
        <v>74</v>
      </c>
      <c r="C17036" s="6">
        <v>100</v>
      </c>
      <c r="D17036" s="7">
        <v>6.75</v>
      </c>
    </row>
    <row r="17037" spans="1:5" x14ac:dyDescent="0.25">
      <c r="A17037" t="str">
        <f>HYPERLINK("https://www.773grp.com/globalSearch/MC100EL15DR2/page-1", "MC100EL15DR2")</f>
        <v>MC100EL15DR2</v>
      </c>
      <c r="B17037" s="3" t="s">
        <v>74</v>
      </c>
      <c r="C17037" s="6">
        <v>2500</v>
      </c>
      <c r="D17037" s="7">
        <v>6.75</v>
      </c>
      <c r="E17037" t="s">
        <v>30</v>
      </c>
    </row>
    <row r="17038" spans="1:5" x14ac:dyDescent="0.25">
      <c r="A17038" t="str">
        <f>HYPERLINK("https://www.773grp.com/globalSearch/MC10161L/page-1", "MC10161L")</f>
        <v>MC10161L</v>
      </c>
      <c r="B17038" s="3" t="s">
        <v>74</v>
      </c>
      <c r="C17038" s="6">
        <v>1090</v>
      </c>
      <c r="D17038" s="7">
        <v>6.75</v>
      </c>
      <c r="E17038" t="s">
        <v>32</v>
      </c>
    </row>
    <row r="17039" spans="1:5" x14ac:dyDescent="0.25">
      <c r="A17039" t="str">
        <f>HYPERLINK("https://www.773grp.com/globalSearch/MC10164L/page-1", "MC10164L")</f>
        <v>MC10164L</v>
      </c>
      <c r="B17039" s="3" t="s">
        <v>74</v>
      </c>
      <c r="C17039" s="6">
        <v>640</v>
      </c>
      <c r="D17039" s="7">
        <v>6.75</v>
      </c>
      <c r="E17039" t="s">
        <v>16</v>
      </c>
    </row>
    <row r="17040" spans="1:5" x14ac:dyDescent="0.25">
      <c r="A17040" t="str">
        <f>HYPERLINK("https://www.773grp.com/globalSearch/MC10135FN/page-1", "MC10135FN")</f>
        <v>MC10135FN</v>
      </c>
      <c r="B17040" s="3" t="s">
        <v>74</v>
      </c>
      <c r="C17040" s="6">
        <v>7531</v>
      </c>
      <c r="D17040" s="7">
        <v>6.8</v>
      </c>
      <c r="E17040" t="s">
        <v>31</v>
      </c>
    </row>
    <row r="17041" spans="1:5" x14ac:dyDescent="0.25">
      <c r="A17041" t="str">
        <f>HYPERLINK("https://www.773grp.com/globalSearch/MC10158L/page-1", "MC10158L")</f>
        <v>MC10158L</v>
      </c>
      <c r="B17041" s="3" t="s">
        <v>74</v>
      </c>
      <c r="C17041" s="6">
        <v>4450</v>
      </c>
      <c r="D17041" s="7">
        <v>6.8</v>
      </c>
      <c r="E17041" t="s">
        <v>16</v>
      </c>
    </row>
    <row r="17042" spans="1:5" x14ac:dyDescent="0.25">
      <c r="A17042" t="str">
        <f>HYPERLINK("https://www.773grp.com/globalSearch/SA575D/page-1", "SA575D")</f>
        <v>SA575D</v>
      </c>
      <c r="B17042" s="3" t="s">
        <v>74</v>
      </c>
      <c r="C17042" s="6">
        <v>436</v>
      </c>
      <c r="D17042" s="7">
        <v>6.8</v>
      </c>
      <c r="E17042" t="s">
        <v>97</v>
      </c>
    </row>
    <row r="17043" spans="1:5" x14ac:dyDescent="0.25">
      <c r="A17043" t="str">
        <f>HYPERLINK("https://www.773grp.com/globalSearch/NB3N3001DTG/page-1", "NB3N3001DTG")</f>
        <v>NB3N3001DTG</v>
      </c>
      <c r="B17043" s="3" t="s">
        <v>74</v>
      </c>
      <c r="C17043" s="6">
        <v>6885</v>
      </c>
      <c r="D17043" s="7">
        <v>6.84</v>
      </c>
      <c r="E17043" t="s">
        <v>65</v>
      </c>
    </row>
    <row r="17044" spans="1:5" x14ac:dyDescent="0.25">
      <c r="A17044" t="str">
        <f>HYPERLINK("https://www.773grp.com/globalSearch/NB3N3001DTR2G/page-1", "NB3N3001DTR2G")</f>
        <v>NB3N3001DTR2G</v>
      </c>
      <c r="B17044" s="3" t="s">
        <v>74</v>
      </c>
      <c r="C17044" s="6">
        <v>44970</v>
      </c>
      <c r="D17044" s="7">
        <v>6.84</v>
      </c>
      <c r="E17044" t="s">
        <v>65</v>
      </c>
    </row>
    <row r="17045" spans="1:5" x14ac:dyDescent="0.25">
      <c r="A17045" t="str">
        <f>HYPERLINK("https://www.773grp.com/globalSearch/NB3N3011DTG/page-1", "NB3N3011DTG")</f>
        <v>NB3N3011DTG</v>
      </c>
      <c r="B17045" s="3" t="s">
        <v>74</v>
      </c>
      <c r="C17045" s="6">
        <v>40238</v>
      </c>
      <c r="D17045" s="7">
        <v>6.84</v>
      </c>
      <c r="E17045" t="s">
        <v>65</v>
      </c>
    </row>
    <row r="17046" spans="1:5" x14ac:dyDescent="0.25">
      <c r="A17046" t="str">
        <f>HYPERLINK("https://www.773grp.com/globalSearch/NB3N3011DTR2G/page-1", "NB3N3011DTR2G")</f>
        <v>NB3N3011DTR2G</v>
      </c>
      <c r="B17046" s="3" t="s">
        <v>74</v>
      </c>
      <c r="C17046" s="6">
        <v>34826</v>
      </c>
      <c r="D17046" s="7">
        <v>6.84</v>
      </c>
      <c r="E17046" t="s">
        <v>65</v>
      </c>
    </row>
    <row r="17047" spans="1:5" x14ac:dyDescent="0.25">
      <c r="A17047" t="str">
        <f>HYPERLINK("https://www.773grp.com/globalSearch/CAT8900B260TBGT3/page-1", "CAT8900B260TBGT3")</f>
        <v>CAT8900B260TBGT3</v>
      </c>
      <c r="B17047" s="3" t="s">
        <v>74</v>
      </c>
      <c r="C17047" s="6">
        <v>3000</v>
      </c>
      <c r="D17047" s="7">
        <v>6.89</v>
      </c>
    </row>
    <row r="17048" spans="1:5" x14ac:dyDescent="0.25">
      <c r="A17048" t="str">
        <f>HYPERLINK("https://www.773grp.com/globalSearch/CAT8900B300TBGT3/page-1", "CAT8900B300TBGT3")</f>
        <v>CAT8900B300TBGT3</v>
      </c>
      <c r="B17048" s="3" t="s">
        <v>74</v>
      </c>
      <c r="C17048" s="6">
        <v>3000</v>
      </c>
      <c r="D17048" s="7">
        <v>6.89</v>
      </c>
    </row>
    <row r="17049" spans="1:5" x14ac:dyDescent="0.25">
      <c r="A17049" t="str">
        <f>HYPERLINK("https://www.773grp.com/globalSearch/CAT8900B330TBGT3/page-1", "CAT8900B330TBGT3")</f>
        <v>CAT8900B330TBGT3</v>
      </c>
      <c r="B17049" s="3" t="s">
        <v>74</v>
      </c>
      <c r="C17049" s="6">
        <v>2889</v>
      </c>
      <c r="D17049" s="7">
        <v>6.89</v>
      </c>
    </row>
    <row r="17050" spans="1:5" x14ac:dyDescent="0.25">
      <c r="A17050" t="str">
        <f>HYPERLINK("https://www.773grp.com/globalSearch/STK672-640C-E/page-1", "STK672-640C-E")</f>
        <v>STK672-640C-E</v>
      </c>
      <c r="B17050" s="3" t="s">
        <v>74</v>
      </c>
      <c r="C17050" s="6">
        <v>30</v>
      </c>
      <c r="D17050" s="7">
        <v>6.89</v>
      </c>
    </row>
    <row r="17051" spans="1:5" x14ac:dyDescent="0.25">
      <c r="A17051" t="str">
        <f>HYPERLINK("https://www.773grp.com/globalSearch/2SC4110M/page-1", "2SC4110M")</f>
        <v>2SC4110M</v>
      </c>
      <c r="B17051" s="3" t="s">
        <v>74</v>
      </c>
      <c r="C17051" s="6">
        <v>11000</v>
      </c>
      <c r="D17051" s="7">
        <v>6.93</v>
      </c>
    </row>
    <row r="17052" spans="1:5" x14ac:dyDescent="0.25">
      <c r="A17052" t="str">
        <f>HYPERLINK("https://www.773grp.com/globalSearch/LB1845-E/page-1", "LB1845-E")</f>
        <v>LB1845-E</v>
      </c>
      <c r="B17052" s="3" t="s">
        <v>74</v>
      </c>
      <c r="C17052" s="6">
        <v>44</v>
      </c>
      <c r="D17052" s="7">
        <v>6.95</v>
      </c>
    </row>
    <row r="17053" spans="1:5" x14ac:dyDescent="0.25">
      <c r="A17053" t="str">
        <f>HYPERLINK("https://www.773grp.com/globalSearch/MC10174P/page-1", "MC10174P")</f>
        <v>MC10174P</v>
      </c>
      <c r="B17053" s="3" t="s">
        <v>74</v>
      </c>
      <c r="C17053" s="6">
        <v>2803</v>
      </c>
      <c r="D17053" s="7">
        <v>6.95</v>
      </c>
      <c r="E17053" t="s">
        <v>16</v>
      </c>
    </row>
    <row r="17054" spans="1:5" x14ac:dyDescent="0.25">
      <c r="A17054" t="str">
        <f>HYPERLINK("https://www.773grp.com/globalSearch/MC10175P/page-1", "MC10175P")</f>
        <v>MC10175P</v>
      </c>
      <c r="B17054" s="3" t="s">
        <v>74</v>
      </c>
      <c r="C17054" s="6">
        <v>2175</v>
      </c>
      <c r="D17054" s="7">
        <v>6.95</v>
      </c>
      <c r="E17054" t="s">
        <v>31</v>
      </c>
    </row>
    <row r="17055" spans="1:5" x14ac:dyDescent="0.25">
      <c r="A17055" t="str">
        <f>HYPERLINK("https://www.773grp.com/globalSearch/MC10176P/page-1", "MC10176P")</f>
        <v>MC10176P</v>
      </c>
      <c r="B17055" s="3" t="s">
        <v>74</v>
      </c>
      <c r="C17055" s="6">
        <v>1120</v>
      </c>
      <c r="D17055" s="7">
        <v>6.95</v>
      </c>
      <c r="E17055" t="s">
        <v>31</v>
      </c>
    </row>
    <row r="17056" spans="1:5" x14ac:dyDescent="0.25">
      <c r="A17056" t="str">
        <f>HYPERLINK("https://www.773grp.com/globalSearch/MC10H159M/page-1", "MC10H159M")</f>
        <v>MC10H159M</v>
      </c>
      <c r="B17056" s="3" t="s">
        <v>74</v>
      </c>
      <c r="C17056" s="6">
        <v>7100</v>
      </c>
      <c r="D17056" s="7">
        <v>6.98</v>
      </c>
      <c r="E17056" t="s">
        <v>16</v>
      </c>
    </row>
    <row r="17057" spans="1:5" x14ac:dyDescent="0.25">
      <c r="A17057" t="str">
        <f>HYPERLINK("https://www.773grp.com/globalSearch/MC10H160FN/page-1", "MC10H160FN")</f>
        <v>MC10H160FN</v>
      </c>
      <c r="B17057" s="3" t="s">
        <v>74</v>
      </c>
      <c r="C17057" s="6">
        <v>677</v>
      </c>
      <c r="D17057" s="7">
        <v>6.98</v>
      </c>
      <c r="E17057" t="s">
        <v>38</v>
      </c>
    </row>
    <row r="17058" spans="1:5" x14ac:dyDescent="0.25">
      <c r="A17058" t="str">
        <f>HYPERLINK("https://www.773grp.com/globalSearch/MC10H160FNG/page-1", "MC10H160FNG")</f>
        <v>MC10H160FNG</v>
      </c>
      <c r="B17058" s="3" t="s">
        <v>74</v>
      </c>
      <c r="C17058" s="6">
        <v>5198</v>
      </c>
      <c r="D17058" s="7">
        <v>6.98</v>
      </c>
      <c r="E17058" t="s">
        <v>38</v>
      </c>
    </row>
    <row r="17059" spans="1:5" x14ac:dyDescent="0.25">
      <c r="A17059" t="str">
        <f>HYPERLINK("https://www.773grp.com/globalSearch/MC10H160M/page-1", "MC10H160M")</f>
        <v>MC10H160M</v>
      </c>
      <c r="B17059" s="3" t="s">
        <v>74</v>
      </c>
      <c r="C17059" s="6">
        <v>5250</v>
      </c>
      <c r="D17059" s="7">
        <v>6.98</v>
      </c>
      <c r="E17059" t="s">
        <v>38</v>
      </c>
    </row>
    <row r="17060" spans="1:5" x14ac:dyDescent="0.25">
      <c r="A17060" t="str">
        <f>HYPERLINK("https://www.773grp.com/globalSearch/MC10H161FNR2/page-1", "MC10H161FNR2")</f>
        <v>MC10H161FNR2</v>
      </c>
      <c r="B17060" s="3" t="s">
        <v>74</v>
      </c>
      <c r="C17060" s="6">
        <v>2500</v>
      </c>
      <c r="D17060" s="7">
        <v>6.98</v>
      </c>
      <c r="E17060" t="s">
        <v>32</v>
      </c>
    </row>
    <row r="17061" spans="1:5" x14ac:dyDescent="0.25">
      <c r="A17061" t="str">
        <f>HYPERLINK("https://www.773grp.com/globalSearch/MC10H161M/page-1", "MC10H161M")</f>
        <v>MC10H161M</v>
      </c>
      <c r="B17061" s="3" t="s">
        <v>74</v>
      </c>
      <c r="C17061" s="6">
        <v>2250</v>
      </c>
      <c r="D17061" s="7">
        <v>6.98</v>
      </c>
      <c r="E17061" t="s">
        <v>32</v>
      </c>
    </row>
    <row r="17062" spans="1:5" x14ac:dyDescent="0.25">
      <c r="A17062" t="str">
        <f>HYPERLINK("https://www.773grp.com/globalSearch/MC10H161P/page-1", "MC10H161P")</f>
        <v>MC10H161P</v>
      </c>
      <c r="B17062" s="3" t="s">
        <v>74</v>
      </c>
      <c r="C17062" s="6">
        <v>3150</v>
      </c>
      <c r="D17062" s="7">
        <v>6.98</v>
      </c>
      <c r="E17062" t="s">
        <v>32</v>
      </c>
    </row>
    <row r="17063" spans="1:5" x14ac:dyDescent="0.25">
      <c r="A17063" t="str">
        <f>HYPERLINK("https://www.773grp.com/globalSearch/MC10H162FNG/page-1", "MC10H162FNG")</f>
        <v>MC10H162FNG</v>
      </c>
      <c r="B17063" s="3" t="s">
        <v>74</v>
      </c>
      <c r="C17063" s="6">
        <v>2990</v>
      </c>
      <c r="D17063" s="7">
        <v>6.98</v>
      </c>
      <c r="E17063" t="s">
        <v>32</v>
      </c>
    </row>
    <row r="17064" spans="1:5" x14ac:dyDescent="0.25">
      <c r="A17064" t="str">
        <f>HYPERLINK("https://www.773grp.com/globalSearch/MC10H162MG/page-1", "MC10H162MG")</f>
        <v>MC10H162MG</v>
      </c>
      <c r="B17064" s="3" t="s">
        <v>74</v>
      </c>
      <c r="C17064" s="6">
        <v>5495</v>
      </c>
      <c r="D17064" s="7">
        <v>6.98</v>
      </c>
      <c r="E17064" t="s">
        <v>32</v>
      </c>
    </row>
    <row r="17065" spans="1:5" x14ac:dyDescent="0.25">
      <c r="A17065" t="str">
        <f>HYPERLINK("https://www.773grp.com/globalSearch/MC10H164M/page-1", "MC10H164M")</f>
        <v>MC10H164M</v>
      </c>
      <c r="B17065" s="3" t="s">
        <v>74</v>
      </c>
      <c r="C17065" s="6">
        <v>3345</v>
      </c>
      <c r="D17065" s="7">
        <v>6.98</v>
      </c>
      <c r="E17065" t="s">
        <v>16</v>
      </c>
    </row>
    <row r="17066" spans="1:5" x14ac:dyDescent="0.25">
      <c r="A17066" t="str">
        <f>HYPERLINK("https://www.773grp.com/globalSearch/MC10H174M/page-1", "MC10H174M")</f>
        <v>MC10H174M</v>
      </c>
      <c r="B17066" s="3" t="s">
        <v>74</v>
      </c>
      <c r="C17066" s="6">
        <v>3000</v>
      </c>
      <c r="D17066" s="7">
        <v>6.98</v>
      </c>
      <c r="E17066" t="s">
        <v>16</v>
      </c>
    </row>
    <row r="17067" spans="1:5" x14ac:dyDescent="0.25">
      <c r="A17067" t="str">
        <f>HYPERLINK("https://www.773grp.com/globalSearch/NB6L16D/page-1", "NB6L16D")</f>
        <v>NB6L16D</v>
      </c>
      <c r="B17067" s="3" t="s">
        <v>74</v>
      </c>
      <c r="C17067" s="6">
        <v>490</v>
      </c>
      <c r="D17067" s="7">
        <v>6.98</v>
      </c>
      <c r="E17067" t="s">
        <v>30</v>
      </c>
    </row>
    <row r="17068" spans="1:5" x14ac:dyDescent="0.25">
      <c r="A17068" t="str">
        <f>HYPERLINK("https://www.773grp.com/globalSearch/ADT7481ARMZ/page-1", "ADT7481ARMZ")</f>
        <v>ADT7481ARMZ</v>
      </c>
      <c r="B17068" s="3" t="s">
        <v>74</v>
      </c>
      <c r="C17068" s="6">
        <v>350</v>
      </c>
      <c r="D17068" s="7">
        <v>7.04</v>
      </c>
      <c r="E17068" t="s">
        <v>9</v>
      </c>
    </row>
    <row r="17069" spans="1:5" x14ac:dyDescent="0.25">
      <c r="A17069" t="str">
        <f>HYPERLINK("https://www.773grp.com/globalSearch/ADT7481ARMZ-1RL/page-1", "ADT7481ARMZ-1RL")</f>
        <v>ADT7481ARMZ-1RL</v>
      </c>
      <c r="B17069" s="3" t="s">
        <v>74</v>
      </c>
      <c r="C17069" s="6">
        <v>410</v>
      </c>
      <c r="D17069" s="7">
        <v>7.04</v>
      </c>
    </row>
    <row r="17070" spans="1:5" x14ac:dyDescent="0.25">
      <c r="A17070" t="str">
        <f>HYPERLINK("https://www.773grp.com/globalSearch/ADT7481ARMZ-REEL/page-1", "ADT7481ARMZ-REEL")</f>
        <v>ADT7481ARMZ-REEL</v>
      </c>
      <c r="B17070" s="3" t="s">
        <v>74</v>
      </c>
      <c r="C17070" s="6">
        <v>8350</v>
      </c>
      <c r="D17070" s="7">
        <v>7.04</v>
      </c>
      <c r="E17070" t="s">
        <v>9</v>
      </c>
    </row>
    <row r="17071" spans="1:5" x14ac:dyDescent="0.25">
      <c r="A17071" t="str">
        <f>HYPERLINK("https://www.773grp.com/globalSearch/LV47011P-E/page-1", "LV47011P-E")</f>
        <v>LV47011P-E</v>
      </c>
      <c r="B17071" s="3" t="s">
        <v>74</v>
      </c>
      <c r="C17071" s="6">
        <v>15</v>
      </c>
      <c r="D17071" s="7">
        <v>7.04</v>
      </c>
    </row>
    <row r="17072" spans="1:5" x14ac:dyDescent="0.25">
      <c r="A17072" t="str">
        <f>HYPERLINK("https://www.773grp.com/globalSearch/MC100E016FN/page-1", "MC100E016FN")</f>
        <v>MC100E016FN</v>
      </c>
      <c r="B17072" s="3" t="s">
        <v>74</v>
      </c>
      <c r="C17072" s="6">
        <v>353</v>
      </c>
      <c r="D17072" s="7">
        <v>7.04</v>
      </c>
      <c r="E17072" t="s">
        <v>22</v>
      </c>
    </row>
    <row r="17073" spans="1:5" x14ac:dyDescent="0.25">
      <c r="A17073" t="str">
        <f>HYPERLINK("https://www.773grp.com/globalSearch/MC100E101FN/page-1", "MC100E101FN")</f>
        <v>MC100E101FN</v>
      </c>
      <c r="B17073" s="3" t="s">
        <v>74</v>
      </c>
      <c r="C17073" s="6">
        <v>352</v>
      </c>
      <c r="D17073" s="7">
        <v>7.04</v>
      </c>
      <c r="E17073" t="s">
        <v>27</v>
      </c>
    </row>
    <row r="17074" spans="1:5" x14ac:dyDescent="0.25">
      <c r="A17074" t="str">
        <f>HYPERLINK("https://www.773grp.com/globalSearch/MC100E101FNR2/page-1", "MC100E101FNR2")</f>
        <v>MC100E101FNR2</v>
      </c>
      <c r="B17074" s="3" t="s">
        <v>74</v>
      </c>
      <c r="C17074" s="6">
        <v>500</v>
      </c>
      <c r="D17074" s="7">
        <v>7.04</v>
      </c>
      <c r="E17074" t="s">
        <v>27</v>
      </c>
    </row>
    <row r="17075" spans="1:5" x14ac:dyDescent="0.25">
      <c r="A17075" t="str">
        <f>HYPERLINK("https://www.773grp.com/globalSearch/MC100E104FNG/page-1", "MC100E104FNG")</f>
        <v>MC100E104FNG</v>
      </c>
      <c r="B17075" s="3" t="s">
        <v>74</v>
      </c>
      <c r="C17075" s="6">
        <v>284</v>
      </c>
      <c r="D17075" s="7">
        <v>7.04</v>
      </c>
      <c r="E17075" t="s">
        <v>27</v>
      </c>
    </row>
    <row r="17076" spans="1:5" x14ac:dyDescent="0.25">
      <c r="A17076" t="str">
        <f>HYPERLINK("https://www.773grp.com/globalSearch/MC100E107FN/page-1", "MC100E107FN")</f>
        <v>MC100E107FN</v>
      </c>
      <c r="B17076" s="3" t="s">
        <v>74</v>
      </c>
      <c r="C17076" s="6">
        <v>565</v>
      </c>
      <c r="D17076" s="7">
        <v>7.04</v>
      </c>
      <c r="E17076" t="s">
        <v>27</v>
      </c>
    </row>
    <row r="17077" spans="1:5" x14ac:dyDescent="0.25">
      <c r="A17077" t="str">
        <f>HYPERLINK("https://www.773grp.com/globalSearch/MC100E107FNR2/page-1", "MC100E107FNR2")</f>
        <v>MC100E107FNR2</v>
      </c>
      <c r="B17077" s="3" t="s">
        <v>74</v>
      </c>
      <c r="C17077" s="6">
        <v>1000</v>
      </c>
      <c r="D17077" s="7">
        <v>7.04</v>
      </c>
      <c r="E17077" t="s">
        <v>27</v>
      </c>
    </row>
    <row r="17078" spans="1:5" x14ac:dyDescent="0.25">
      <c r="A17078" t="str">
        <f>HYPERLINK("https://www.773grp.com/globalSearch/MC100EL1648DT/page-1", "MC100EL1648DT")</f>
        <v>MC100EL1648DT</v>
      </c>
      <c r="B17078" s="3" t="s">
        <v>74</v>
      </c>
      <c r="C17078" s="6">
        <v>27179</v>
      </c>
      <c r="D17078" s="7">
        <v>7.04</v>
      </c>
      <c r="E17078" t="s">
        <v>36</v>
      </c>
    </row>
    <row r="17079" spans="1:5" x14ac:dyDescent="0.25">
      <c r="A17079" t="str">
        <f>HYPERLINK("https://www.773grp.com/globalSearch/MC100EL1648M/page-1", "MC100EL1648M")</f>
        <v>MC100EL1648M</v>
      </c>
      <c r="B17079" s="3" t="s">
        <v>74</v>
      </c>
      <c r="C17079" s="6">
        <v>11850</v>
      </c>
      <c r="D17079" s="7">
        <v>7.04</v>
      </c>
      <c r="E17079" t="s">
        <v>36</v>
      </c>
    </row>
    <row r="17080" spans="1:5" x14ac:dyDescent="0.25">
      <c r="A17080" t="str">
        <f>HYPERLINK("https://www.773grp.com/globalSearch/MC100EL52DG/page-1", "MC100EL52DG")</f>
        <v>MC100EL52DG</v>
      </c>
      <c r="B17080" s="3" t="s">
        <v>74</v>
      </c>
      <c r="C17080" s="6">
        <v>4444</v>
      </c>
      <c r="D17080" s="7">
        <v>7.04</v>
      </c>
      <c r="E17080" t="s">
        <v>31</v>
      </c>
    </row>
    <row r="17081" spans="1:5" x14ac:dyDescent="0.25">
      <c r="A17081" t="str">
        <f>HYPERLINK("https://www.773grp.com/globalSearch/MC100EL52DR2G/page-1", "MC100EL52DR2G")</f>
        <v>MC100EL52DR2G</v>
      </c>
      <c r="B17081" s="3" t="s">
        <v>74</v>
      </c>
      <c r="C17081" s="6">
        <v>2500</v>
      </c>
      <c r="D17081" s="7">
        <v>7.04</v>
      </c>
      <c r="E17081" t="s">
        <v>31</v>
      </c>
    </row>
    <row r="17082" spans="1:5" x14ac:dyDescent="0.25">
      <c r="A17082" t="str">
        <f>HYPERLINK("https://www.773grp.com/globalSearch/MC100EL52DTG/page-1", "MC100EL52DTG")</f>
        <v>MC100EL52DTG</v>
      </c>
      <c r="B17082" s="3" t="s">
        <v>74</v>
      </c>
      <c r="C17082" s="6">
        <v>295</v>
      </c>
      <c r="D17082" s="7">
        <v>7.04</v>
      </c>
      <c r="E17082" t="s">
        <v>31</v>
      </c>
    </row>
    <row r="17083" spans="1:5" x14ac:dyDescent="0.25">
      <c r="A17083" t="str">
        <f>HYPERLINK("https://www.773grp.com/globalSearch/MC100EL52DTR2G/page-1", "MC100EL52DTR2G")</f>
        <v>MC100EL52DTR2G</v>
      </c>
      <c r="B17083" s="3" t="s">
        <v>74</v>
      </c>
      <c r="C17083" s="6">
        <v>2500</v>
      </c>
      <c r="D17083" s="7">
        <v>7.04</v>
      </c>
      <c r="E17083" t="s">
        <v>31</v>
      </c>
    </row>
    <row r="17084" spans="1:5" x14ac:dyDescent="0.25">
      <c r="A17084" t="str">
        <f>HYPERLINK("https://www.773grp.com/globalSearch/MC100ELT28DG/page-1", "MC100ELT28DG")</f>
        <v>MC100ELT28DG</v>
      </c>
      <c r="B17084" s="3" t="s">
        <v>74</v>
      </c>
      <c r="C17084" s="6">
        <v>2569</v>
      </c>
      <c r="D17084" s="7">
        <v>7.04</v>
      </c>
      <c r="E17084" t="s">
        <v>61</v>
      </c>
    </row>
    <row r="17085" spans="1:5" x14ac:dyDescent="0.25">
      <c r="A17085" t="str">
        <f>HYPERLINK("https://www.773grp.com/globalSearch/MC100ELT28DR2G/page-1", "MC100ELT28DR2G")</f>
        <v>MC100ELT28DR2G</v>
      </c>
      <c r="B17085" s="3" t="s">
        <v>74</v>
      </c>
      <c r="C17085" s="6">
        <v>2642</v>
      </c>
      <c r="D17085" s="7">
        <v>7.04</v>
      </c>
      <c r="E17085" t="s">
        <v>61</v>
      </c>
    </row>
    <row r="17086" spans="1:5" x14ac:dyDescent="0.25">
      <c r="A17086" t="str">
        <f>HYPERLINK("https://www.773grp.com/globalSearch/MC100ELT28DTG/page-1", "MC100ELT28DTG")</f>
        <v>MC100ELT28DTG</v>
      </c>
      <c r="B17086" s="3" t="s">
        <v>74</v>
      </c>
      <c r="C17086" s="6">
        <v>82</v>
      </c>
      <c r="D17086" s="7">
        <v>7.04</v>
      </c>
      <c r="E17086" t="s">
        <v>61</v>
      </c>
    </row>
    <row r="17087" spans="1:5" x14ac:dyDescent="0.25">
      <c r="A17087" t="str">
        <f>HYPERLINK("https://www.773grp.com/globalSearch/MC100EP11DR2G/page-1", "MC100EP11DR2G")</f>
        <v>MC100EP11DR2G</v>
      </c>
      <c r="B17087" s="3" t="s">
        <v>74</v>
      </c>
      <c r="C17087" s="6">
        <v>11166</v>
      </c>
      <c r="D17087" s="7">
        <v>7.04</v>
      </c>
    </row>
    <row r="17088" spans="1:5" x14ac:dyDescent="0.25">
      <c r="A17088" t="str">
        <f>HYPERLINK("https://www.773grp.com/globalSearch/MC100EP140D/page-1", "MC100EP140D")</f>
        <v>MC100EP140D</v>
      </c>
      <c r="B17088" s="3" t="s">
        <v>74</v>
      </c>
      <c r="C17088" s="6">
        <v>10951</v>
      </c>
      <c r="D17088" s="7">
        <v>7.04</v>
      </c>
      <c r="E17088" t="s">
        <v>34</v>
      </c>
    </row>
    <row r="17089" spans="1:5" x14ac:dyDescent="0.25">
      <c r="A17089" t="str">
        <f>HYPERLINK("https://www.773grp.com/globalSearch/MC100EP51DTG/page-1", "MC100EP51DTG")</f>
        <v>MC100EP51DTG</v>
      </c>
      <c r="B17089" s="3" t="s">
        <v>74</v>
      </c>
      <c r="C17089" s="6">
        <v>9740</v>
      </c>
      <c r="D17089" s="7">
        <v>7.04</v>
      </c>
      <c r="E17089" t="s">
        <v>31</v>
      </c>
    </row>
    <row r="17090" spans="1:5" x14ac:dyDescent="0.25">
      <c r="A17090" t="str">
        <f>HYPERLINK("https://www.773grp.com/globalSearch/MC100EP51DTR2G/page-1", "MC100EP51DTR2G")</f>
        <v>MC100EP51DTR2G</v>
      </c>
      <c r="B17090" s="3" t="s">
        <v>74</v>
      </c>
      <c r="C17090" s="6">
        <v>42500</v>
      </c>
      <c r="D17090" s="7">
        <v>7.04</v>
      </c>
      <c r="E17090" t="s">
        <v>31</v>
      </c>
    </row>
    <row r="17091" spans="1:5" x14ac:dyDescent="0.25">
      <c r="A17091" t="str">
        <f>HYPERLINK("https://www.773grp.com/globalSearch/MC100EP51MNR4G/page-1", "MC100EP51MNR4G")</f>
        <v>MC100EP51MNR4G</v>
      </c>
      <c r="B17091" s="3" t="s">
        <v>74</v>
      </c>
      <c r="C17091" s="6">
        <v>52480</v>
      </c>
      <c r="D17091" s="7">
        <v>7.04</v>
      </c>
    </row>
    <row r="17092" spans="1:5" x14ac:dyDescent="0.25">
      <c r="A17092" t="str">
        <f>HYPERLINK("https://www.773grp.com/globalSearch/MC100EPT22DR2G/page-1", "MC100EPT22DR2G")</f>
        <v>MC100EPT22DR2G</v>
      </c>
      <c r="B17092" s="3" t="s">
        <v>74</v>
      </c>
      <c r="C17092" s="6">
        <v>2500</v>
      </c>
      <c r="D17092" s="7">
        <v>7.04</v>
      </c>
      <c r="E17092" t="s">
        <v>61</v>
      </c>
    </row>
    <row r="17093" spans="1:5" x14ac:dyDescent="0.25">
      <c r="A17093" t="str">
        <f>HYPERLINK("https://www.773grp.com/globalSearch/MC100LVEL01DG/page-1", "MC100LVEL01DG")</f>
        <v>MC100LVEL01DG</v>
      </c>
      <c r="B17093" s="3" t="s">
        <v>74</v>
      </c>
      <c r="C17093" s="6">
        <v>11039</v>
      </c>
      <c r="D17093" s="7">
        <v>7.04</v>
      </c>
      <c r="E17093" t="s">
        <v>27</v>
      </c>
    </row>
    <row r="17094" spans="1:5" x14ac:dyDescent="0.25">
      <c r="A17094" t="str">
        <f>HYPERLINK("https://www.773grp.com/globalSearch/MC100LVEL01DR2G/page-1", "MC100LVEL01DR2G")</f>
        <v>MC100LVEL01DR2G</v>
      </c>
      <c r="B17094" s="3" t="s">
        <v>74</v>
      </c>
      <c r="C17094" s="6">
        <v>3182</v>
      </c>
      <c r="D17094" s="7">
        <v>7.04</v>
      </c>
      <c r="E17094" t="s">
        <v>27</v>
      </c>
    </row>
    <row r="17095" spans="1:5" x14ac:dyDescent="0.25">
      <c r="A17095" t="str">
        <f>HYPERLINK("https://www.773grp.com/globalSearch/MC100LVEL01DTG/page-1", "MC100LVEL01DTG")</f>
        <v>MC100LVEL01DTG</v>
      </c>
      <c r="B17095" s="3" t="s">
        <v>74</v>
      </c>
      <c r="C17095" s="6">
        <v>7841</v>
      </c>
      <c r="D17095" s="7">
        <v>7.04</v>
      </c>
      <c r="E17095" t="s">
        <v>27</v>
      </c>
    </row>
    <row r="17096" spans="1:5" x14ac:dyDescent="0.25">
      <c r="A17096" t="str">
        <f>HYPERLINK("https://www.773grp.com/globalSearch/MC100LVEL01DTR2G/page-1", "MC100LVEL01DTR2G")</f>
        <v>MC100LVEL01DTR2G</v>
      </c>
      <c r="B17096" s="3" t="s">
        <v>74</v>
      </c>
      <c r="C17096" s="6">
        <v>2500</v>
      </c>
      <c r="D17096" s="7">
        <v>7.04</v>
      </c>
      <c r="E17096" t="s">
        <v>27</v>
      </c>
    </row>
    <row r="17097" spans="1:5" x14ac:dyDescent="0.25">
      <c r="A17097" t="str">
        <f>HYPERLINK("https://www.773grp.com/globalSearch/MC100LVEL05DG/page-1", "MC100LVEL05DG")</f>
        <v>MC100LVEL05DG</v>
      </c>
      <c r="B17097" s="3" t="s">
        <v>74</v>
      </c>
      <c r="C17097" s="6">
        <v>196</v>
      </c>
      <c r="D17097" s="7">
        <v>7.04</v>
      </c>
      <c r="E17097" t="s">
        <v>27</v>
      </c>
    </row>
    <row r="17098" spans="1:5" x14ac:dyDescent="0.25">
      <c r="A17098" t="str">
        <f>HYPERLINK("https://www.773grp.com/globalSearch/MC100LVEL05DR2G/page-1", "MC100LVEL05DR2G")</f>
        <v>MC100LVEL05DR2G</v>
      </c>
      <c r="B17098" s="3" t="s">
        <v>74</v>
      </c>
      <c r="C17098" s="6">
        <v>2500</v>
      </c>
      <c r="D17098" s="7">
        <v>7.04</v>
      </c>
    </row>
    <row r="17099" spans="1:5" x14ac:dyDescent="0.25">
      <c r="A17099" t="str">
        <f>HYPERLINK("https://www.773grp.com/globalSearch/MC100LVEL05DTG/page-1", "MC100LVEL05DTG")</f>
        <v>MC100LVEL05DTG</v>
      </c>
      <c r="B17099" s="3" t="s">
        <v>74</v>
      </c>
      <c r="C17099" s="6">
        <v>2975</v>
      </c>
      <c r="D17099" s="7">
        <v>7.04</v>
      </c>
      <c r="E17099" t="s">
        <v>27</v>
      </c>
    </row>
    <row r="17100" spans="1:5" x14ac:dyDescent="0.25">
      <c r="A17100" t="str">
        <f>HYPERLINK("https://www.773grp.com/globalSearch/MC100LVEL05DTR2G/page-1", "MC100LVEL05DTR2G")</f>
        <v>MC100LVEL05DTR2G</v>
      </c>
      <c r="B17100" s="3" t="s">
        <v>74</v>
      </c>
      <c r="C17100" s="6">
        <v>201</v>
      </c>
      <c r="D17100" s="7">
        <v>7.04</v>
      </c>
      <c r="E17100" t="s">
        <v>27</v>
      </c>
    </row>
    <row r="17101" spans="1:5" x14ac:dyDescent="0.25">
      <c r="A17101" t="str">
        <f>HYPERLINK("https://www.773grp.com/globalSearch/MC100LVEL12DG/page-1", "MC100LVEL12DG")</f>
        <v>MC100LVEL12DG</v>
      </c>
      <c r="B17101" s="3" t="s">
        <v>74</v>
      </c>
      <c r="C17101" s="6">
        <v>14635</v>
      </c>
      <c r="D17101" s="7">
        <v>7.04</v>
      </c>
      <c r="E17101" t="s">
        <v>27</v>
      </c>
    </row>
    <row r="17102" spans="1:5" x14ac:dyDescent="0.25">
      <c r="A17102" t="str">
        <f>HYPERLINK("https://www.773grp.com/globalSearch/MC100LVEL12DTG/page-1", "MC100LVEL12DTG")</f>
        <v>MC100LVEL12DTG</v>
      </c>
      <c r="B17102" s="3" t="s">
        <v>74</v>
      </c>
      <c r="C17102" s="6">
        <v>7586</v>
      </c>
      <c r="D17102" s="7">
        <v>7.04</v>
      </c>
      <c r="E17102" t="s">
        <v>27</v>
      </c>
    </row>
    <row r="17103" spans="1:5" x14ac:dyDescent="0.25">
      <c r="A17103" t="str">
        <f>HYPERLINK("https://www.773grp.com/globalSearch/MC100LVEL33D/page-1", "MC100LVEL33D")</f>
        <v>MC100LVEL33D</v>
      </c>
      <c r="B17103" s="3" t="s">
        <v>74</v>
      </c>
      <c r="C17103" s="6">
        <v>28445</v>
      </c>
      <c r="D17103" s="7">
        <v>7.04</v>
      </c>
      <c r="E17103" t="s">
        <v>44</v>
      </c>
    </row>
    <row r="17104" spans="1:5" x14ac:dyDescent="0.25">
      <c r="A17104" t="str">
        <f>HYPERLINK("https://www.773grp.com/globalSearch/MC100LVEL33DR2/page-1", "MC100LVEL33DR2")</f>
        <v>MC100LVEL33DR2</v>
      </c>
      <c r="B17104" s="3" t="s">
        <v>74</v>
      </c>
      <c r="C17104" s="6">
        <v>12500</v>
      </c>
      <c r="D17104" s="7">
        <v>7.04</v>
      </c>
      <c r="E17104" t="s">
        <v>44</v>
      </c>
    </row>
    <row r="17105" spans="1:5" x14ac:dyDescent="0.25">
      <c r="A17105" t="str">
        <f>HYPERLINK("https://www.773grp.com/globalSearch/MC100LVEL51DG/page-1", "MC100LVEL51DG")</f>
        <v>MC100LVEL51DG</v>
      </c>
      <c r="B17105" s="3" t="s">
        <v>74</v>
      </c>
      <c r="C17105" s="6">
        <v>8306</v>
      </c>
      <c r="D17105" s="7">
        <v>7.04</v>
      </c>
      <c r="E17105" t="s">
        <v>31</v>
      </c>
    </row>
    <row r="17106" spans="1:5" x14ac:dyDescent="0.25">
      <c r="A17106" t="str">
        <f>HYPERLINK("https://www.773grp.com/globalSearch/MC100LVEL51DR2G/page-1", "MC100LVEL51DR2G")</f>
        <v>MC100LVEL51DR2G</v>
      </c>
      <c r="B17106" s="3" t="s">
        <v>74</v>
      </c>
      <c r="C17106" s="6">
        <v>3905</v>
      </c>
      <c r="D17106" s="7">
        <v>7.04</v>
      </c>
      <c r="E17106" t="s">
        <v>31</v>
      </c>
    </row>
    <row r="17107" spans="1:5" x14ac:dyDescent="0.25">
      <c r="A17107" t="str">
        <f>HYPERLINK("https://www.773grp.com/globalSearch/MC100LVEL51DTG/page-1", "MC100LVEL51DTG")</f>
        <v>MC100LVEL51DTG</v>
      </c>
      <c r="B17107" s="3" t="s">
        <v>74</v>
      </c>
      <c r="C17107" s="6">
        <v>4574</v>
      </c>
      <c r="D17107" s="7">
        <v>7.04</v>
      </c>
      <c r="E17107" t="s">
        <v>31</v>
      </c>
    </row>
    <row r="17108" spans="1:5" x14ac:dyDescent="0.25">
      <c r="A17108" t="str">
        <f>HYPERLINK("https://www.773grp.com/globalSearch/MC100LVEL51MNR4G/page-1", "MC100LVEL51MNR4G")</f>
        <v>MC100LVEL51MNR4G</v>
      </c>
      <c r="B17108" s="3" t="s">
        <v>74</v>
      </c>
      <c r="C17108" s="6">
        <v>8802</v>
      </c>
      <c r="D17108" s="7">
        <v>7.04</v>
      </c>
      <c r="E17108" t="s">
        <v>31</v>
      </c>
    </row>
    <row r="17109" spans="1:5" x14ac:dyDescent="0.25">
      <c r="A17109" t="str">
        <f>HYPERLINK("https://www.773grp.com/globalSearch/MC100LVEL58DG/page-1", "MC100LVEL58DG")</f>
        <v>MC100LVEL58DG</v>
      </c>
      <c r="B17109" s="3" t="s">
        <v>74</v>
      </c>
      <c r="C17109" s="6">
        <v>3800</v>
      </c>
      <c r="D17109" s="7">
        <v>7.04</v>
      </c>
      <c r="E17109" t="s">
        <v>16</v>
      </c>
    </row>
    <row r="17110" spans="1:5" x14ac:dyDescent="0.25">
      <c r="A17110" t="str">
        <f>HYPERLINK("https://www.773grp.com/globalSearch/MC100LVEL58DTG/page-1", "MC100LVEL58DTG")</f>
        <v>MC100LVEL58DTG</v>
      </c>
      <c r="B17110" s="3" t="s">
        <v>74</v>
      </c>
      <c r="C17110" s="6">
        <v>542</v>
      </c>
      <c r="D17110" s="7">
        <v>7.04</v>
      </c>
      <c r="E17110" t="s">
        <v>16</v>
      </c>
    </row>
    <row r="17111" spans="1:5" x14ac:dyDescent="0.25">
      <c r="A17111" t="str">
        <f>HYPERLINK("https://www.773grp.com/globalSearch/MC100LVEL58DTR2G/page-1", "MC100LVEL58DTR2G")</f>
        <v>MC100LVEL58DTR2G</v>
      </c>
      <c r="B17111" s="3" t="s">
        <v>74</v>
      </c>
      <c r="C17111" s="6">
        <v>2500</v>
      </c>
      <c r="D17111" s="7">
        <v>7.04</v>
      </c>
    </row>
    <row r="17112" spans="1:5" x14ac:dyDescent="0.25">
      <c r="A17112" t="str">
        <f>HYPERLINK("https://www.773grp.com/globalSearch/MC100LVEP111FARG/page-1", "MC100LVEP111FARG")</f>
        <v>MC100LVEP111FARG</v>
      </c>
      <c r="B17112" s="3" t="s">
        <v>74</v>
      </c>
      <c r="C17112" s="6">
        <v>1800</v>
      </c>
      <c r="D17112" s="7">
        <v>7.04</v>
      </c>
      <c r="E17112" t="s">
        <v>30</v>
      </c>
    </row>
    <row r="17113" spans="1:5" x14ac:dyDescent="0.25">
      <c r="A17113" t="str">
        <f>HYPERLINK("https://www.773grp.com/globalSearch/MC10E101FNG/page-1", "MC10E101FNG")</f>
        <v>MC10E101FNG</v>
      </c>
      <c r="B17113" s="3" t="s">
        <v>74</v>
      </c>
      <c r="C17113" s="6">
        <v>7</v>
      </c>
      <c r="D17113" s="7">
        <v>7.04</v>
      </c>
      <c r="E17113" t="s">
        <v>27</v>
      </c>
    </row>
    <row r="17114" spans="1:5" x14ac:dyDescent="0.25">
      <c r="A17114" t="str">
        <f>HYPERLINK("https://www.773grp.com/globalSearch/MC10E101FNR2/page-1", "MC10E101FNR2")</f>
        <v>MC10E101FNR2</v>
      </c>
      <c r="B17114" s="3" t="s">
        <v>74</v>
      </c>
      <c r="C17114" s="6">
        <v>1000</v>
      </c>
      <c r="D17114" s="7">
        <v>7.04</v>
      </c>
      <c r="E17114" t="s">
        <v>27</v>
      </c>
    </row>
    <row r="17115" spans="1:5" x14ac:dyDescent="0.25">
      <c r="A17115" t="str">
        <f>HYPERLINK("https://www.773grp.com/globalSearch/MC10E104FN/page-1", "MC10E104FN")</f>
        <v>MC10E104FN</v>
      </c>
      <c r="B17115" s="3" t="s">
        <v>74</v>
      </c>
      <c r="C17115" s="6">
        <v>265</v>
      </c>
      <c r="D17115" s="7">
        <v>7.04</v>
      </c>
      <c r="E17115" t="s">
        <v>27</v>
      </c>
    </row>
    <row r="17116" spans="1:5" x14ac:dyDescent="0.25">
      <c r="A17116" t="str">
        <f>HYPERLINK("https://www.773grp.com/globalSearch/MC10E107FN/page-1", "MC10E107FN")</f>
        <v>MC10E107FN</v>
      </c>
      <c r="B17116" s="3" t="s">
        <v>74</v>
      </c>
      <c r="C17116" s="6">
        <v>1620</v>
      </c>
      <c r="D17116" s="7">
        <v>7.04</v>
      </c>
      <c r="E17116" t="s">
        <v>27</v>
      </c>
    </row>
    <row r="17117" spans="1:5" x14ac:dyDescent="0.25">
      <c r="A17117" t="str">
        <f>HYPERLINK("https://www.773grp.com/globalSearch/MC10E107FNR2/page-1", "MC10E107FNR2")</f>
        <v>MC10E107FNR2</v>
      </c>
      <c r="B17117" s="3" t="s">
        <v>74</v>
      </c>
      <c r="C17117" s="6">
        <v>500</v>
      </c>
      <c r="D17117" s="7">
        <v>7.04</v>
      </c>
      <c r="E17117" t="s">
        <v>27</v>
      </c>
    </row>
    <row r="17118" spans="1:5" x14ac:dyDescent="0.25">
      <c r="A17118" t="str">
        <f>HYPERLINK("https://www.773grp.com/globalSearch/MC10EL04DR2/page-1", "MC10EL04DR2")</f>
        <v>MC10EL04DR2</v>
      </c>
      <c r="B17118" s="3" t="s">
        <v>74</v>
      </c>
      <c r="C17118" s="6">
        <v>11785</v>
      </c>
      <c r="D17118" s="7">
        <v>7.04</v>
      </c>
      <c r="E17118" t="s">
        <v>27</v>
      </c>
    </row>
    <row r="17119" spans="1:5" x14ac:dyDescent="0.25">
      <c r="A17119" t="str">
        <f>HYPERLINK("https://www.773grp.com/globalSearch/MC10EL33DR2/page-1", "MC10EL33DR2")</f>
        <v>MC10EL33DR2</v>
      </c>
      <c r="B17119" s="3" t="s">
        <v>74</v>
      </c>
      <c r="C17119" s="6">
        <v>20000</v>
      </c>
      <c r="D17119" s="7">
        <v>7.04</v>
      </c>
      <c r="E17119" t="s">
        <v>44</v>
      </c>
    </row>
    <row r="17120" spans="1:5" x14ac:dyDescent="0.25">
      <c r="A17120" t="str">
        <f>HYPERLINK("https://www.773grp.com/globalSearch/MC10EL51DR2/page-1", "MC10EL51DR2")</f>
        <v>MC10EL51DR2</v>
      </c>
      <c r="B17120" s="3" t="s">
        <v>74</v>
      </c>
      <c r="C17120" s="6">
        <v>5000</v>
      </c>
      <c r="D17120" s="7">
        <v>7.04</v>
      </c>
      <c r="E17120" t="s">
        <v>31</v>
      </c>
    </row>
    <row r="17121" spans="1:5" x14ac:dyDescent="0.25">
      <c r="A17121" t="str">
        <f>HYPERLINK("https://www.773grp.com/globalSearch/MC10EL52DG/page-1", "MC10EL52DG")</f>
        <v>MC10EL52DG</v>
      </c>
      <c r="B17121" s="3" t="s">
        <v>74</v>
      </c>
      <c r="C17121" s="6">
        <v>10242</v>
      </c>
      <c r="D17121" s="7">
        <v>7.04</v>
      </c>
      <c r="E17121" t="s">
        <v>31</v>
      </c>
    </row>
    <row r="17122" spans="1:5" x14ac:dyDescent="0.25">
      <c r="A17122" t="str">
        <f>HYPERLINK("https://www.773grp.com/globalSearch/MC10EL52DR2G/page-1", "MC10EL52DR2G")</f>
        <v>MC10EL52DR2G</v>
      </c>
      <c r="B17122" s="3" t="s">
        <v>74</v>
      </c>
      <c r="C17122" s="6">
        <v>6600</v>
      </c>
      <c r="D17122" s="7">
        <v>7.04</v>
      </c>
      <c r="E17122" t="s">
        <v>31</v>
      </c>
    </row>
    <row r="17123" spans="1:5" x14ac:dyDescent="0.25">
      <c r="A17123" t="str">
        <f>HYPERLINK("https://www.773grp.com/globalSearch/MC10EL52DTG/page-1", "MC10EL52DTG")</f>
        <v>MC10EL52DTG</v>
      </c>
      <c r="B17123" s="3" t="s">
        <v>74</v>
      </c>
      <c r="C17123" s="6">
        <v>6300</v>
      </c>
      <c r="D17123" s="7">
        <v>7.04</v>
      </c>
      <c r="E17123" t="s">
        <v>31</v>
      </c>
    </row>
    <row r="17124" spans="1:5" x14ac:dyDescent="0.25">
      <c r="A17124" t="str">
        <f>HYPERLINK("https://www.773grp.com/globalSearch/MC10EL52DTR2G/page-1", "MC10EL52DTR2G")</f>
        <v>MC10EL52DTR2G</v>
      </c>
      <c r="B17124" s="3" t="s">
        <v>74</v>
      </c>
      <c r="C17124" s="6">
        <v>2500</v>
      </c>
      <c r="D17124" s="7">
        <v>7.04</v>
      </c>
      <c r="E17124" t="s">
        <v>31</v>
      </c>
    </row>
    <row r="17125" spans="1:5" x14ac:dyDescent="0.25">
      <c r="A17125" t="str">
        <f>HYPERLINK("https://www.773grp.com/globalSearch/MC10ELT28DG/page-1", "MC10ELT28DG")</f>
        <v>MC10ELT28DG</v>
      </c>
      <c r="B17125" s="3" t="s">
        <v>74</v>
      </c>
      <c r="C17125" s="6">
        <v>447</v>
      </c>
      <c r="D17125" s="7">
        <v>7.04</v>
      </c>
      <c r="E17125" t="s">
        <v>61</v>
      </c>
    </row>
    <row r="17126" spans="1:5" x14ac:dyDescent="0.25">
      <c r="A17126" t="str">
        <f>HYPERLINK("https://www.773grp.com/globalSearch/MC10ELT28DTG/page-1", "MC10ELT28DTG")</f>
        <v>MC10ELT28DTG</v>
      </c>
      <c r="B17126" s="3" t="s">
        <v>74</v>
      </c>
      <c r="C17126" s="6">
        <v>4387</v>
      </c>
      <c r="D17126" s="7">
        <v>7.04</v>
      </c>
      <c r="E17126" t="s">
        <v>61</v>
      </c>
    </row>
    <row r="17127" spans="1:5" x14ac:dyDescent="0.25">
      <c r="A17127" t="str">
        <f>HYPERLINK("https://www.773grp.com/globalSearch/MC10ELT28DTR2G/page-1", "MC10ELT28DTR2G")</f>
        <v>MC10ELT28DTR2G</v>
      </c>
      <c r="B17127" s="3" t="s">
        <v>74</v>
      </c>
      <c r="C17127" s="6">
        <v>2794</v>
      </c>
      <c r="D17127" s="7">
        <v>7.04</v>
      </c>
      <c r="E17127" t="s">
        <v>61</v>
      </c>
    </row>
    <row r="17128" spans="1:5" x14ac:dyDescent="0.25">
      <c r="A17128" t="str">
        <f>HYPERLINK("https://www.773grp.com/globalSearch/MC10H141P/page-1", "MC10H141P")</f>
        <v>MC10H141P</v>
      </c>
      <c r="B17128" s="3" t="s">
        <v>74</v>
      </c>
      <c r="C17128" s="6">
        <v>235</v>
      </c>
      <c r="D17128" s="7">
        <v>7.04</v>
      </c>
      <c r="E17128" t="s">
        <v>28</v>
      </c>
    </row>
    <row r="17129" spans="1:5" x14ac:dyDescent="0.25">
      <c r="A17129" t="str">
        <f>HYPERLINK("https://www.773grp.com/globalSearch/MC33560DTBR2G/page-1", "MC33560DTBR2G")</f>
        <v>MC33560DTBR2G</v>
      </c>
      <c r="B17129" s="3" t="s">
        <v>74</v>
      </c>
      <c r="C17129" s="6">
        <v>128932</v>
      </c>
      <c r="D17129" s="7">
        <v>7.04</v>
      </c>
    </row>
    <row r="17130" spans="1:5" x14ac:dyDescent="0.25">
      <c r="A17130" t="str">
        <f>HYPERLINK("https://www.773grp.com/globalSearch/MCH12140D/page-1", "MCH12140D")</f>
        <v>MCH12140D</v>
      </c>
      <c r="B17130" s="3" t="s">
        <v>74</v>
      </c>
      <c r="C17130" s="6">
        <v>24229</v>
      </c>
      <c r="D17130" s="7">
        <v>7.04</v>
      </c>
      <c r="E17130" t="s">
        <v>34</v>
      </c>
    </row>
    <row r="17131" spans="1:5" x14ac:dyDescent="0.25">
      <c r="A17131" t="str">
        <f>HYPERLINK("https://www.773grp.com/globalSearch/MCK12140D/page-1", "MCK12140D")</f>
        <v>MCK12140D</v>
      </c>
      <c r="B17131" s="3" t="s">
        <v>74</v>
      </c>
      <c r="C17131" s="6">
        <v>12332</v>
      </c>
      <c r="D17131" s="7">
        <v>7.04</v>
      </c>
      <c r="E17131" t="s">
        <v>34</v>
      </c>
    </row>
    <row r="17132" spans="1:5" x14ac:dyDescent="0.25">
      <c r="A17132" t="str">
        <f>HYPERLINK("https://www.773grp.com/globalSearch/MCK12140DR2/page-1", "MCK12140DR2")</f>
        <v>MCK12140DR2</v>
      </c>
      <c r="B17132" s="3" t="s">
        <v>74</v>
      </c>
      <c r="C17132" s="6">
        <v>11807</v>
      </c>
      <c r="D17132" s="7">
        <v>7.04</v>
      </c>
      <c r="E17132" t="s">
        <v>34</v>
      </c>
    </row>
    <row r="17133" spans="1:5" x14ac:dyDescent="0.25">
      <c r="A17133" t="str">
        <f>HYPERLINK("https://www.773grp.com/globalSearch/MJL4281AG/page-1", "MJL4281AG")</f>
        <v>MJL4281AG</v>
      </c>
      <c r="B17133" s="3" t="s">
        <v>74</v>
      </c>
      <c r="C17133" s="6">
        <v>302</v>
      </c>
      <c r="D17133" s="7">
        <v>7.04</v>
      </c>
      <c r="E17133" t="s">
        <v>47</v>
      </c>
    </row>
    <row r="17134" spans="1:5" x14ac:dyDescent="0.25">
      <c r="A17134" t="str">
        <f>HYPERLINK("https://www.773grp.com/globalSearch/NB4N1158DTG/page-1", "NB4N1158DTG")</f>
        <v>NB4N1158DTG</v>
      </c>
      <c r="B17134" s="3" t="s">
        <v>74</v>
      </c>
      <c r="C17134" s="6">
        <v>1373</v>
      </c>
      <c r="D17134" s="7">
        <v>7.04</v>
      </c>
      <c r="E17134" t="s">
        <v>45</v>
      </c>
    </row>
    <row r="17135" spans="1:5" x14ac:dyDescent="0.25">
      <c r="A17135" t="str">
        <f>HYPERLINK("https://www.773grp.com/globalSearch/NB4N1158DTR2G/page-1", "NB4N1158DTR2G")</f>
        <v>NB4N1158DTR2G</v>
      </c>
      <c r="B17135" s="3" t="s">
        <v>74</v>
      </c>
      <c r="C17135" s="6">
        <v>17480</v>
      </c>
      <c r="D17135" s="7">
        <v>7.04</v>
      </c>
      <c r="E17135" t="s">
        <v>45</v>
      </c>
    </row>
    <row r="17136" spans="1:5" x14ac:dyDescent="0.25">
      <c r="A17136" t="str">
        <f>HYPERLINK("https://www.773grp.com/globalSearch/AMIS30512C5122G/page-1", "AMIS30512C5122G")</f>
        <v>AMIS30512C5122G</v>
      </c>
      <c r="B17136" s="3" t="s">
        <v>74</v>
      </c>
      <c r="C17136" s="6">
        <v>20</v>
      </c>
      <c r="D17136" s="7">
        <v>7.13</v>
      </c>
    </row>
    <row r="17137" spans="1:5" x14ac:dyDescent="0.25">
      <c r="A17137" t="str">
        <f>HYPERLINK("https://www.773grp.com/globalSearch/AMIS30512C5122RG/page-1", "AMIS30512C5122RG")</f>
        <v>AMIS30512C5122RG</v>
      </c>
      <c r="B17137" s="3" t="s">
        <v>74</v>
      </c>
      <c r="C17137" s="6">
        <v>2900</v>
      </c>
      <c r="D17137" s="7">
        <v>7.13</v>
      </c>
    </row>
    <row r="17138" spans="1:5" x14ac:dyDescent="0.25">
      <c r="A17138" t="str">
        <f>HYPERLINK("https://www.773grp.com/globalSearch/MC10162L/page-1", "MC10162L")</f>
        <v>MC10162L</v>
      </c>
      <c r="B17138" s="3" t="s">
        <v>74</v>
      </c>
      <c r="C17138" s="6">
        <v>334</v>
      </c>
      <c r="D17138" s="7">
        <v>7.13</v>
      </c>
      <c r="E17138" t="s">
        <v>32</v>
      </c>
    </row>
    <row r="17139" spans="1:5" x14ac:dyDescent="0.25">
      <c r="A17139" t="str">
        <f>HYPERLINK("https://www.773grp.com/globalSearch/MC10189FN/page-1", "MC10189FN")</f>
        <v>MC10189FN</v>
      </c>
      <c r="B17139" s="3" t="s">
        <v>74</v>
      </c>
      <c r="C17139" s="6">
        <v>3772</v>
      </c>
      <c r="D17139" s="7">
        <v>7.13</v>
      </c>
      <c r="E17139" t="s">
        <v>27</v>
      </c>
    </row>
    <row r="17140" spans="1:5" x14ac:dyDescent="0.25">
      <c r="A17140" t="str">
        <f>HYPERLINK("https://www.773grp.com/globalSearch/MC10H160PG/page-1", "MC10H160PG")</f>
        <v>MC10H160PG</v>
      </c>
      <c r="B17140" s="3" t="s">
        <v>74</v>
      </c>
      <c r="C17140" s="6">
        <v>2394</v>
      </c>
      <c r="D17140" s="7">
        <v>7.14</v>
      </c>
      <c r="E17140" t="s">
        <v>38</v>
      </c>
    </row>
    <row r="17141" spans="1:5" x14ac:dyDescent="0.25">
      <c r="A17141" t="str">
        <f>HYPERLINK("https://www.773grp.com/globalSearch/MC10H164PG/page-1", "MC10H164PG")</f>
        <v>MC10H164PG</v>
      </c>
      <c r="B17141" s="3" t="s">
        <v>74</v>
      </c>
      <c r="C17141" s="6">
        <v>5025</v>
      </c>
      <c r="D17141" s="7">
        <v>7.14</v>
      </c>
      <c r="E17141" t="s">
        <v>16</v>
      </c>
    </row>
    <row r="17142" spans="1:5" x14ac:dyDescent="0.25">
      <c r="A17142" t="str">
        <f>HYPERLINK("https://www.773grp.com/globalSearch/MC10H174PG/page-1", "MC10H174PG")</f>
        <v>MC10H174PG</v>
      </c>
      <c r="B17142" s="3" t="s">
        <v>74</v>
      </c>
      <c r="C17142" s="6">
        <v>6706</v>
      </c>
      <c r="D17142" s="7">
        <v>7.14</v>
      </c>
      <c r="E17142" t="s">
        <v>16</v>
      </c>
    </row>
    <row r="17143" spans="1:5" x14ac:dyDescent="0.25">
      <c r="A17143" t="str">
        <f>HYPERLINK("https://www.773grp.com/globalSearch/MC10135L/page-1", "MC10135L")</f>
        <v>MC10135L</v>
      </c>
      <c r="B17143" s="3" t="s">
        <v>74</v>
      </c>
      <c r="C17143" s="6">
        <v>242</v>
      </c>
      <c r="D17143" s="7">
        <v>7.26</v>
      </c>
      <c r="E17143" t="s">
        <v>31</v>
      </c>
    </row>
    <row r="17144" spans="1:5" x14ac:dyDescent="0.25">
      <c r="A17144" t="str">
        <f>HYPERLINK("https://www.773grp.com/globalSearch/MC10171P/page-1", "MC10171P")</f>
        <v>MC10171P</v>
      </c>
      <c r="B17144" s="3" t="s">
        <v>74</v>
      </c>
      <c r="C17144" s="6">
        <v>2625</v>
      </c>
      <c r="D17144" s="7">
        <v>7.26</v>
      </c>
      <c r="E17144" t="s">
        <v>32</v>
      </c>
    </row>
    <row r="17145" spans="1:5" x14ac:dyDescent="0.25">
      <c r="A17145" t="str">
        <f>HYPERLINK("https://www.773grp.com/globalSearch/MTW7N80E/page-1", "MTW7N80E")</f>
        <v>MTW7N80E</v>
      </c>
      <c r="B17145" s="3" t="s">
        <v>74</v>
      </c>
      <c r="C17145" s="6">
        <v>575</v>
      </c>
      <c r="D17145" s="7">
        <v>7.26</v>
      </c>
      <c r="E17145" t="s">
        <v>84</v>
      </c>
    </row>
    <row r="17146" spans="1:5" x14ac:dyDescent="0.25">
      <c r="A17146" t="str">
        <f>HYPERLINK("https://www.773grp.com/globalSearch/NBC12429FAR2/page-1", "NBC12429FAR2")</f>
        <v>NBC12429FAR2</v>
      </c>
      <c r="B17146" s="3" t="s">
        <v>74</v>
      </c>
      <c r="C17146" s="6">
        <v>290</v>
      </c>
      <c r="D17146" s="7">
        <v>7.26</v>
      </c>
      <c r="E17146" t="s">
        <v>65</v>
      </c>
    </row>
    <row r="17147" spans="1:5" x14ac:dyDescent="0.25">
      <c r="A17147" t="str">
        <f>HYPERLINK("https://www.773grp.com/globalSearch/NBC12430FAR2/page-1", "NBC12430FAR2")</f>
        <v>NBC12430FAR2</v>
      </c>
      <c r="B17147" s="3" t="s">
        <v>74</v>
      </c>
      <c r="C17147" s="6">
        <v>18000</v>
      </c>
      <c r="D17147" s="7">
        <v>7.26</v>
      </c>
      <c r="E17147" t="s">
        <v>65</v>
      </c>
    </row>
    <row r="17148" spans="1:5" x14ac:dyDescent="0.25">
      <c r="A17148" t="str">
        <f>HYPERLINK("https://www.773grp.com/globalSearch/NBC12439FA/page-1", "NBC12439FA")</f>
        <v>NBC12439FA</v>
      </c>
      <c r="B17148" s="3" t="s">
        <v>74</v>
      </c>
      <c r="C17148" s="6">
        <v>4938</v>
      </c>
      <c r="D17148" s="7">
        <v>7.26</v>
      </c>
      <c r="E17148" t="s">
        <v>65</v>
      </c>
    </row>
    <row r="17149" spans="1:5" x14ac:dyDescent="0.25">
      <c r="A17149" t="str">
        <f>HYPERLINK("https://www.773grp.com/globalSearch/NBC12439FN/page-1", "NBC12439FN")</f>
        <v>NBC12439FN</v>
      </c>
      <c r="B17149" s="3" t="s">
        <v>74</v>
      </c>
      <c r="C17149" s="6">
        <v>2008</v>
      </c>
      <c r="D17149" s="7">
        <v>7.26</v>
      </c>
      <c r="E17149" t="s">
        <v>65</v>
      </c>
    </row>
    <row r="17150" spans="1:5" x14ac:dyDescent="0.25">
      <c r="A17150" t="str">
        <f>HYPERLINK("https://www.773grp.com/globalSearch/MC14490DW/page-1", "MC14490DW")</f>
        <v>MC14490DW</v>
      </c>
      <c r="B17150" s="3" t="s">
        <v>74</v>
      </c>
      <c r="C17150" s="6">
        <v>5388</v>
      </c>
      <c r="D17150" s="7">
        <v>7.31</v>
      </c>
      <c r="E17150" t="s">
        <v>28</v>
      </c>
    </row>
    <row r="17151" spans="1:5" x14ac:dyDescent="0.25">
      <c r="A17151" t="str">
        <f>HYPERLINK("https://www.773grp.com/globalSearch/MC14490DWG/page-1", "MC14490DWG")</f>
        <v>MC14490DWG</v>
      </c>
      <c r="B17151" s="3" t="s">
        <v>74</v>
      </c>
      <c r="C17151" s="6">
        <v>814</v>
      </c>
      <c r="D17151" s="7">
        <v>7.31</v>
      </c>
      <c r="E17151" t="s">
        <v>28</v>
      </c>
    </row>
    <row r="17152" spans="1:5" x14ac:dyDescent="0.25">
      <c r="A17152" t="str">
        <f>HYPERLINK("https://www.773grp.com/globalSearch/MC14490DWR2G/page-1", "MC14490DWR2G")</f>
        <v>MC14490DWR2G</v>
      </c>
      <c r="B17152" s="3" t="s">
        <v>74</v>
      </c>
      <c r="C17152" s="6">
        <v>1923</v>
      </c>
      <c r="D17152" s="7">
        <v>7.31</v>
      </c>
      <c r="E17152" t="s">
        <v>28</v>
      </c>
    </row>
    <row r="17153" spans="1:5" x14ac:dyDescent="0.25">
      <c r="A17153" t="str">
        <f>HYPERLINK("https://www.773grp.com/globalSearch/MTV32N20E/page-1", "MTV32N20E")</f>
        <v>MTV32N20E</v>
      </c>
      <c r="B17153" s="3" t="s">
        <v>74</v>
      </c>
      <c r="C17153" s="6">
        <v>6325</v>
      </c>
      <c r="D17153" s="7">
        <v>7.31</v>
      </c>
      <c r="E17153" t="s">
        <v>84</v>
      </c>
    </row>
    <row r="17154" spans="1:5" x14ac:dyDescent="0.25">
      <c r="A17154" t="str">
        <f>HYPERLINK("https://www.773grp.com/globalSearch/NCN6804MNR2G/page-1", "NCN6804MNR2G")</f>
        <v>NCN6804MNR2G</v>
      </c>
      <c r="B17154" s="3" t="s">
        <v>74</v>
      </c>
      <c r="C17154" s="6">
        <v>2825</v>
      </c>
      <c r="D17154" s="7">
        <v>7.31</v>
      </c>
      <c r="E17154" t="s">
        <v>19</v>
      </c>
    </row>
    <row r="17155" spans="1:5" x14ac:dyDescent="0.25">
      <c r="A17155" t="str">
        <f>HYPERLINK("https://www.773grp.com/globalSearch/LB1929-E/page-1", "LB1929-E")</f>
        <v>LB1929-E</v>
      </c>
      <c r="B17155" s="3" t="s">
        <v>74</v>
      </c>
      <c r="C17155" s="6">
        <v>60</v>
      </c>
      <c r="D17155" s="7">
        <v>7.34</v>
      </c>
    </row>
    <row r="17156" spans="1:5" x14ac:dyDescent="0.25">
      <c r="A17156" t="str">
        <f>HYPERLINK("https://www.773grp.com/globalSearch/MC10H141FN/page-1", "MC10H141FN")</f>
        <v>MC10H141FN</v>
      </c>
      <c r="B17156" s="3" t="s">
        <v>74</v>
      </c>
      <c r="C17156" s="6">
        <v>1024</v>
      </c>
      <c r="D17156" s="7">
        <v>7.38</v>
      </c>
      <c r="E17156" t="s">
        <v>28</v>
      </c>
    </row>
    <row r="17157" spans="1:5" x14ac:dyDescent="0.25">
      <c r="A17157" t="str">
        <f>HYPERLINK("https://www.773grp.com/globalSearch/LV8747T-TLM-E/page-1", "LV8747T-TLM-E")</f>
        <v>LV8747T-TLM-E</v>
      </c>
      <c r="B17157" s="3" t="s">
        <v>74</v>
      </c>
      <c r="C17157" s="6">
        <v>1000</v>
      </c>
      <c r="D17157" s="7">
        <v>7.39</v>
      </c>
    </row>
    <row r="17158" spans="1:5" x14ac:dyDescent="0.25">
      <c r="A17158" t="str">
        <f>HYPERLINK("https://www.773grp.com/globalSearch/MC10174FN/page-1", "MC10174FN")</f>
        <v>MC10174FN</v>
      </c>
      <c r="B17158" s="3" t="s">
        <v>74</v>
      </c>
      <c r="C17158" s="6">
        <v>1196</v>
      </c>
      <c r="D17158" s="7">
        <v>7.39</v>
      </c>
      <c r="E17158" t="s">
        <v>16</v>
      </c>
    </row>
    <row r="17159" spans="1:5" x14ac:dyDescent="0.25">
      <c r="A17159" t="str">
        <f>HYPERLINK("https://www.773grp.com/globalSearch/MC10175FN/page-1", "MC10175FN")</f>
        <v>MC10175FN</v>
      </c>
      <c r="B17159" s="3" t="s">
        <v>74</v>
      </c>
      <c r="C17159" s="6">
        <v>1978</v>
      </c>
      <c r="D17159" s="7">
        <v>7.39</v>
      </c>
      <c r="E17159" t="s">
        <v>31</v>
      </c>
    </row>
    <row r="17160" spans="1:5" x14ac:dyDescent="0.25">
      <c r="A17160" t="str">
        <f>HYPERLINK("https://www.773grp.com/globalSearch/ADM1021AARQZ-R/page-1", "ADM1021AARQZ-R")</f>
        <v>ADM1021AARQZ-R</v>
      </c>
      <c r="B17160" s="3" t="s">
        <v>74</v>
      </c>
      <c r="C17160" s="6">
        <v>21075</v>
      </c>
      <c r="D17160" s="7">
        <v>7.46</v>
      </c>
      <c r="E17160" t="s">
        <v>36</v>
      </c>
    </row>
    <row r="17161" spans="1:5" x14ac:dyDescent="0.25">
      <c r="A17161" t="str">
        <f>HYPERLINK("https://www.773grp.com/globalSearch/MC100LVEP11DR2G/page-1", "MC100LVEP11DR2G")</f>
        <v>MC100LVEP11DR2G</v>
      </c>
      <c r="B17161" s="3" t="s">
        <v>74</v>
      </c>
      <c r="C17161" s="6">
        <v>3800</v>
      </c>
      <c r="D17161" s="7">
        <v>7.46</v>
      </c>
    </row>
    <row r="17162" spans="1:5" x14ac:dyDescent="0.25">
      <c r="A17162" t="str">
        <f>HYPERLINK("https://www.773grp.com/globalSearch/MC10189L/page-1", "MC10189L")</f>
        <v>MC10189L</v>
      </c>
      <c r="B17162" s="3" t="s">
        <v>74</v>
      </c>
      <c r="C17162" s="6">
        <v>100</v>
      </c>
      <c r="D17162" s="7">
        <v>7.46</v>
      </c>
      <c r="E17162" t="s">
        <v>27</v>
      </c>
    </row>
    <row r="17163" spans="1:5" x14ac:dyDescent="0.25">
      <c r="A17163" t="str">
        <f>HYPERLINK("https://www.773grp.com/globalSearch/ADT7460ARQ/page-1", "ADT7460ARQ")</f>
        <v>ADT7460ARQ</v>
      </c>
      <c r="B17163" s="3" t="s">
        <v>74</v>
      </c>
      <c r="C17163" s="6">
        <v>7931</v>
      </c>
      <c r="D17163" s="7">
        <v>7.48</v>
      </c>
      <c r="E17163" t="s">
        <v>36</v>
      </c>
    </row>
    <row r="17164" spans="1:5" x14ac:dyDescent="0.25">
      <c r="A17164" t="str">
        <f>HYPERLINK("https://www.773grp.com/globalSearch/LV8732V-MPB-H/page-1", "LV8732V-MPB-H")</f>
        <v>LV8732V-MPB-H</v>
      </c>
      <c r="B17164" s="3" t="s">
        <v>74</v>
      </c>
      <c r="C17164" s="6">
        <v>87</v>
      </c>
      <c r="D17164" s="7">
        <v>7.48</v>
      </c>
    </row>
    <row r="17165" spans="1:5" x14ac:dyDescent="0.25">
      <c r="A17165" t="str">
        <f>HYPERLINK("https://www.773grp.com/globalSearch/LV8732V-TLM-H/page-1", "LV8732V-TLM-H")</f>
        <v>LV8732V-TLM-H</v>
      </c>
      <c r="B17165" s="3" t="s">
        <v>74</v>
      </c>
      <c r="C17165" s="6">
        <v>100</v>
      </c>
      <c r="D17165" s="7">
        <v>7.48</v>
      </c>
    </row>
    <row r="17166" spans="1:5" x14ac:dyDescent="0.25">
      <c r="A17166" t="str">
        <f>HYPERLINK("https://www.773grp.com/globalSearch/MC10188P/page-1", "MC10188P")</f>
        <v>MC10188P</v>
      </c>
      <c r="B17166" s="3" t="s">
        <v>74</v>
      </c>
      <c r="C17166" s="6">
        <v>4250</v>
      </c>
      <c r="D17166" s="7">
        <v>7.48</v>
      </c>
      <c r="E17166" t="s">
        <v>27</v>
      </c>
    </row>
    <row r="17167" spans="1:5" x14ac:dyDescent="0.25">
      <c r="A17167" t="str">
        <f>HYPERLINK("https://www.773grp.com/globalSearch/MTW24N40E/page-1", "MTW24N40E")</f>
        <v>MTW24N40E</v>
      </c>
      <c r="B17167" s="3" t="s">
        <v>74</v>
      </c>
      <c r="C17167" s="6">
        <v>5</v>
      </c>
      <c r="D17167" s="7">
        <v>7.48</v>
      </c>
      <c r="E17167" t="s">
        <v>84</v>
      </c>
    </row>
    <row r="17168" spans="1:5" x14ac:dyDescent="0.25">
      <c r="A17168" t="str">
        <f>HYPERLINK("https://www.773grp.com/globalSearch/CS5305GDW28/page-1", "CS5305GDW28")</f>
        <v>CS5305GDW28</v>
      </c>
      <c r="B17168" s="3" t="s">
        <v>74</v>
      </c>
      <c r="C17168" s="6">
        <v>881</v>
      </c>
      <c r="D17168" s="7">
        <v>7.51</v>
      </c>
      <c r="E17168" t="s">
        <v>5</v>
      </c>
    </row>
    <row r="17169" spans="1:5" x14ac:dyDescent="0.25">
      <c r="A17169" t="str">
        <f>HYPERLINK("https://www.773grp.com/globalSearch/MC10H188P/page-1", "MC10H188P")</f>
        <v>MC10H188P</v>
      </c>
      <c r="B17169" s="3" t="s">
        <v>74</v>
      </c>
      <c r="C17169" s="6">
        <v>4716</v>
      </c>
      <c r="D17169" s="7">
        <v>7.51</v>
      </c>
      <c r="E17169" t="s">
        <v>27</v>
      </c>
    </row>
    <row r="17170" spans="1:5" x14ac:dyDescent="0.25">
      <c r="A17170" t="str">
        <f>HYPERLINK("https://www.773grp.com/globalSearch/MC10H189P/page-1", "MC10H189P")</f>
        <v>MC10H189P</v>
      </c>
      <c r="B17170" s="3" t="s">
        <v>74</v>
      </c>
      <c r="C17170" s="6">
        <v>4050</v>
      </c>
      <c r="D17170" s="7">
        <v>7.51</v>
      </c>
      <c r="E17170" t="s">
        <v>27</v>
      </c>
    </row>
    <row r="17171" spans="1:5" x14ac:dyDescent="0.25">
      <c r="A17171" t="str">
        <f>HYPERLINK("https://www.773grp.com/globalSearch/N04L163WC2AT27I/page-1", "N04L163WC2AT27I")</f>
        <v>N04L163WC2AT27I</v>
      </c>
      <c r="B17171" s="3" t="s">
        <v>74</v>
      </c>
      <c r="C17171" s="6">
        <v>135</v>
      </c>
      <c r="D17171" s="7">
        <v>7.51</v>
      </c>
    </row>
    <row r="17172" spans="1:5" x14ac:dyDescent="0.25">
      <c r="A17172" t="str">
        <f>HYPERLINK("https://www.773grp.com/globalSearch/N04L63W1AT27I/page-1", "N04L63W1AT27I")</f>
        <v>N04L63W1AT27I</v>
      </c>
      <c r="B17172" s="3" t="s">
        <v>74</v>
      </c>
      <c r="C17172" s="6">
        <v>4674</v>
      </c>
      <c r="D17172" s="7">
        <v>7.51</v>
      </c>
      <c r="E17172" t="s">
        <v>63</v>
      </c>
    </row>
    <row r="17173" spans="1:5" x14ac:dyDescent="0.25">
      <c r="A17173" t="str">
        <f>HYPERLINK("https://www.773grp.com/globalSearch/N04L63W2AT27I/page-1", "N04L63W2AT27I")</f>
        <v>N04L63W2AT27I</v>
      </c>
      <c r="B17173" s="3" t="s">
        <v>74</v>
      </c>
      <c r="C17173" s="6">
        <v>99</v>
      </c>
      <c r="D17173" s="7">
        <v>7.51</v>
      </c>
      <c r="E17173" t="s">
        <v>63</v>
      </c>
    </row>
    <row r="17174" spans="1:5" x14ac:dyDescent="0.25">
      <c r="A17174" t="str">
        <f>HYPERLINK("https://www.773grp.com/globalSearch/LA1781MA-MPB-E/page-1", "LA1781MA-MPB-E")</f>
        <v>LA1781MA-MPB-E</v>
      </c>
      <c r="B17174" s="3" t="s">
        <v>74</v>
      </c>
      <c r="C17174" s="6">
        <v>300</v>
      </c>
      <c r="D17174" s="7">
        <v>7.54</v>
      </c>
    </row>
    <row r="17175" spans="1:5" x14ac:dyDescent="0.25">
      <c r="A17175" t="str">
        <f>HYPERLINK("https://www.773grp.com/globalSearch/MC10H166FN/page-1", "MC10H166FN")</f>
        <v>MC10H166FN</v>
      </c>
      <c r="B17175" s="3" t="s">
        <v>74</v>
      </c>
      <c r="C17175" s="6">
        <v>1922</v>
      </c>
      <c r="D17175" s="7">
        <v>7.56</v>
      </c>
      <c r="E17175" t="s">
        <v>38</v>
      </c>
    </row>
    <row r="17176" spans="1:5" x14ac:dyDescent="0.25">
      <c r="A17176" t="str">
        <f>HYPERLINK("https://www.773grp.com/globalSearch/MC10H166FNR2/page-1", "MC10H166FNR2")</f>
        <v>MC10H166FNR2</v>
      </c>
      <c r="B17176" s="3" t="s">
        <v>74</v>
      </c>
      <c r="C17176" s="6">
        <v>500</v>
      </c>
      <c r="D17176" s="7">
        <v>7.56</v>
      </c>
      <c r="E17176" t="s">
        <v>38</v>
      </c>
    </row>
    <row r="17177" spans="1:5" x14ac:dyDescent="0.25">
      <c r="A17177" t="str">
        <f>HYPERLINK("https://www.773grp.com/globalSearch/SA575DG/page-1", "SA575DG")</f>
        <v>SA575DG</v>
      </c>
      <c r="B17177" s="3" t="s">
        <v>74</v>
      </c>
      <c r="C17177" s="6">
        <v>1449</v>
      </c>
      <c r="D17177" s="7">
        <v>7.56</v>
      </c>
      <c r="E17177" t="s">
        <v>97</v>
      </c>
    </row>
    <row r="17178" spans="1:5" x14ac:dyDescent="0.25">
      <c r="A17178" t="str">
        <f>HYPERLINK("https://www.773grp.com/globalSearch/SA575DR2G/page-1", "SA575DR2G")</f>
        <v>SA575DR2G</v>
      </c>
      <c r="B17178" s="3" t="s">
        <v>74</v>
      </c>
      <c r="C17178" s="6">
        <v>1293</v>
      </c>
      <c r="D17178" s="7">
        <v>7.56</v>
      </c>
      <c r="E17178" t="s">
        <v>97</v>
      </c>
    </row>
    <row r="17179" spans="1:5" x14ac:dyDescent="0.25">
      <c r="A17179" t="str">
        <f>HYPERLINK("https://www.773grp.com/globalSearch/LC87F7J32AU-QIP-E/page-1", "LC87F7J32AU-QIP-E")</f>
        <v>LC87F7J32AU-QIP-E</v>
      </c>
      <c r="B17179" s="3" t="s">
        <v>74</v>
      </c>
      <c r="C17179" s="6">
        <v>1100</v>
      </c>
      <c r="D17179" s="7">
        <v>7.6</v>
      </c>
    </row>
    <row r="17180" spans="1:5" x14ac:dyDescent="0.25">
      <c r="A17180" t="str">
        <f>HYPERLINK("https://www.773grp.com/globalSearch/MBR40H100WTG/page-1", "MBR40H100WTG")</f>
        <v>MBR40H100WTG</v>
      </c>
      <c r="B17180" s="3" t="s">
        <v>74</v>
      </c>
      <c r="C17180" s="6">
        <v>115</v>
      </c>
      <c r="D17180" s="7">
        <v>7.6</v>
      </c>
      <c r="E17180" t="s">
        <v>82</v>
      </c>
    </row>
    <row r="17181" spans="1:5" x14ac:dyDescent="0.25">
      <c r="A17181" t="str">
        <f>HYPERLINK("https://www.773grp.com/globalSearch/MC100EP16DG/page-1", "MC100EP16DG")</f>
        <v>MC100EP16DG</v>
      </c>
      <c r="B17181" s="3" t="s">
        <v>74</v>
      </c>
      <c r="C17181" s="6">
        <v>189</v>
      </c>
      <c r="D17181" s="7">
        <v>7.6</v>
      </c>
      <c r="E17181" t="s">
        <v>17</v>
      </c>
    </row>
    <row r="17182" spans="1:5" x14ac:dyDescent="0.25">
      <c r="A17182" t="str">
        <f>HYPERLINK("https://www.773grp.com/globalSearch/MC100EP16DR2G/page-1", "MC100EP16DR2G")</f>
        <v>MC100EP16DR2G</v>
      </c>
      <c r="B17182" s="3" t="s">
        <v>74</v>
      </c>
      <c r="C17182" s="6">
        <v>3383</v>
      </c>
      <c r="D17182" s="7">
        <v>7.6</v>
      </c>
      <c r="E17182" t="s">
        <v>17</v>
      </c>
    </row>
    <row r="17183" spans="1:5" x14ac:dyDescent="0.25">
      <c r="A17183" t="str">
        <f>HYPERLINK("https://www.773grp.com/globalSearch/MC100EP16DT/page-1", "MC100EP16DT")</f>
        <v>MC100EP16DT</v>
      </c>
      <c r="B17183" s="3" t="s">
        <v>74</v>
      </c>
      <c r="C17183" s="6">
        <v>10592</v>
      </c>
      <c r="D17183" s="7">
        <v>7.6</v>
      </c>
      <c r="E17183" t="s">
        <v>17</v>
      </c>
    </row>
    <row r="17184" spans="1:5" x14ac:dyDescent="0.25">
      <c r="A17184" t="str">
        <f>HYPERLINK("https://www.773grp.com/globalSearch/MC100EP16DTG/page-1", "MC100EP16DTG")</f>
        <v>MC100EP16DTG</v>
      </c>
      <c r="B17184" s="3" t="s">
        <v>74</v>
      </c>
      <c r="C17184" s="6">
        <v>2817</v>
      </c>
      <c r="D17184" s="7">
        <v>7.6</v>
      </c>
      <c r="E17184" t="s">
        <v>17</v>
      </c>
    </row>
    <row r="17185" spans="1:5" x14ac:dyDescent="0.25">
      <c r="A17185" t="str">
        <f>HYPERLINK("https://www.773grp.com/globalSearch/MC100EP16DTR2G/page-1", "MC100EP16DTR2G")</f>
        <v>MC100EP16DTR2G</v>
      </c>
      <c r="B17185" s="3" t="s">
        <v>74</v>
      </c>
      <c r="C17185" s="6">
        <v>7500</v>
      </c>
      <c r="D17185" s="7">
        <v>7.6</v>
      </c>
      <c r="E17185" t="s">
        <v>17</v>
      </c>
    </row>
    <row r="17186" spans="1:5" x14ac:dyDescent="0.25">
      <c r="A17186" t="str">
        <f>HYPERLINK("https://www.773grp.com/globalSearch/MC100EP16VAD/page-1", "MC100EP16VAD")</f>
        <v>MC100EP16VAD</v>
      </c>
      <c r="B17186" s="3" t="s">
        <v>74</v>
      </c>
      <c r="C17186" s="6">
        <v>24466</v>
      </c>
      <c r="D17186" s="7">
        <v>7.6</v>
      </c>
      <c r="E17186" t="s">
        <v>17</v>
      </c>
    </row>
    <row r="17187" spans="1:5" x14ac:dyDescent="0.25">
      <c r="A17187" t="str">
        <f>HYPERLINK("https://www.773grp.com/globalSearch/MC100EP16VSDG/page-1", "MC100EP16VSDG")</f>
        <v>MC100EP16VSDG</v>
      </c>
      <c r="B17187" s="3" t="s">
        <v>74</v>
      </c>
      <c r="C17187" s="6">
        <v>29223</v>
      </c>
      <c r="D17187" s="7">
        <v>7.6</v>
      </c>
      <c r="E17187" t="s">
        <v>17</v>
      </c>
    </row>
    <row r="17188" spans="1:5" x14ac:dyDescent="0.25">
      <c r="A17188" t="str">
        <f>HYPERLINK("https://www.773grp.com/globalSearch/MC100EP16VSDTG/page-1", "MC100EP16VSDTG")</f>
        <v>MC100EP16VSDTG</v>
      </c>
      <c r="B17188" s="3" t="s">
        <v>74</v>
      </c>
      <c r="C17188" s="6">
        <v>995</v>
      </c>
      <c r="D17188" s="7">
        <v>7.6</v>
      </c>
      <c r="E17188" t="s">
        <v>17</v>
      </c>
    </row>
    <row r="17189" spans="1:5" x14ac:dyDescent="0.25">
      <c r="A17189" t="str">
        <f>HYPERLINK("https://www.773grp.com/globalSearch/MC100EP16VSDTR2G/page-1", "MC100EP16VSDTR2G")</f>
        <v>MC100EP16VSDTR2G</v>
      </c>
      <c r="B17189" s="3" t="s">
        <v>74</v>
      </c>
      <c r="C17189" s="6">
        <v>2500</v>
      </c>
      <c r="D17189" s="7">
        <v>7.6</v>
      </c>
      <c r="E17189" t="s">
        <v>17</v>
      </c>
    </row>
    <row r="17190" spans="1:5" x14ac:dyDescent="0.25">
      <c r="A17190" t="str">
        <f>HYPERLINK("https://www.773grp.com/globalSearch/MC100EPT20DR2G/page-1", "MC100EPT20DR2G")</f>
        <v>MC100EPT20DR2G</v>
      </c>
      <c r="B17190" s="3" t="s">
        <v>74</v>
      </c>
      <c r="C17190" s="6">
        <v>10000</v>
      </c>
      <c r="D17190" s="7">
        <v>7.6</v>
      </c>
      <c r="E17190" t="s">
        <v>61</v>
      </c>
    </row>
    <row r="17191" spans="1:5" x14ac:dyDescent="0.25">
      <c r="A17191" t="str">
        <f>HYPERLINK("https://www.773grp.com/globalSearch/MC100EPT20DTR2G/page-1", "MC100EPT20DTR2G")</f>
        <v>MC100EPT20DTR2G</v>
      </c>
      <c r="B17191" s="3" t="s">
        <v>74</v>
      </c>
      <c r="C17191" s="6">
        <v>1983</v>
      </c>
      <c r="D17191" s="7">
        <v>7.6</v>
      </c>
      <c r="E17191" t="s">
        <v>61</v>
      </c>
    </row>
    <row r="17192" spans="1:5" x14ac:dyDescent="0.25">
      <c r="A17192" t="str">
        <f>HYPERLINK("https://www.773grp.com/globalSearch/MC100EPT21DTR2G/page-1", "MC100EPT21DTR2G")</f>
        <v>MC100EPT21DTR2G</v>
      </c>
      <c r="B17192" s="3" t="s">
        <v>74</v>
      </c>
      <c r="C17192" s="6">
        <v>6212</v>
      </c>
      <c r="D17192" s="7">
        <v>7.6</v>
      </c>
      <c r="E17192" t="s">
        <v>61</v>
      </c>
    </row>
    <row r="17193" spans="1:5" x14ac:dyDescent="0.25">
      <c r="A17193" t="str">
        <f>HYPERLINK("https://www.773grp.com/globalSearch/MC100EPT22DTR2G/page-1", "MC100EPT22DTR2G")</f>
        <v>MC100EPT22DTR2G</v>
      </c>
      <c r="B17193" s="3" t="s">
        <v>74</v>
      </c>
      <c r="C17193" s="6">
        <v>2450</v>
      </c>
      <c r="D17193" s="7">
        <v>7.6</v>
      </c>
    </row>
    <row r="17194" spans="1:5" x14ac:dyDescent="0.25">
      <c r="A17194" t="str">
        <f>HYPERLINK("https://www.773grp.com/globalSearch/MC100EPT23DR2G/page-1", "MC100EPT23DR2G")</f>
        <v>MC100EPT23DR2G</v>
      </c>
      <c r="B17194" s="3" t="s">
        <v>74</v>
      </c>
      <c r="C17194" s="6">
        <v>4800</v>
      </c>
      <c r="D17194" s="7">
        <v>7.6</v>
      </c>
      <c r="E17194" t="s">
        <v>61</v>
      </c>
    </row>
    <row r="17195" spans="1:5" x14ac:dyDescent="0.25">
      <c r="A17195" t="str">
        <f>HYPERLINK("https://www.773grp.com/globalSearch/MC10EL07DR2/page-1", "MC10EL07DR2")</f>
        <v>MC10EL07DR2</v>
      </c>
      <c r="B17195" s="3" t="s">
        <v>74</v>
      </c>
      <c r="C17195" s="6">
        <v>1845</v>
      </c>
      <c r="D17195" s="7">
        <v>7.6</v>
      </c>
      <c r="E17195" t="s">
        <v>27</v>
      </c>
    </row>
    <row r="17196" spans="1:5" x14ac:dyDescent="0.25">
      <c r="A17196" t="str">
        <f>HYPERLINK("https://www.773grp.com/globalSearch/MC10EP16DG/page-1", "MC10EP16DG")</f>
        <v>MC10EP16DG</v>
      </c>
      <c r="B17196" s="3" t="s">
        <v>74</v>
      </c>
      <c r="C17196" s="6">
        <v>1367</v>
      </c>
      <c r="D17196" s="7">
        <v>7.6</v>
      </c>
      <c r="E17196" t="s">
        <v>17</v>
      </c>
    </row>
    <row r="17197" spans="1:5" x14ac:dyDescent="0.25">
      <c r="A17197" t="str">
        <f>HYPERLINK("https://www.773grp.com/globalSearch/MC10EP16DR2G/page-1", "MC10EP16DR2G")</f>
        <v>MC10EP16DR2G</v>
      </c>
      <c r="B17197" s="3" t="s">
        <v>74</v>
      </c>
      <c r="C17197" s="6">
        <v>24680</v>
      </c>
      <c r="D17197" s="7">
        <v>7.6</v>
      </c>
      <c r="E17197" t="s">
        <v>17</v>
      </c>
    </row>
    <row r="17198" spans="1:5" x14ac:dyDescent="0.25">
      <c r="A17198" t="str">
        <f>HYPERLINK("https://www.773grp.com/globalSearch/MC10EP16DTG/page-1", "MC10EP16DTG")</f>
        <v>MC10EP16DTG</v>
      </c>
      <c r="B17198" s="3" t="s">
        <v>74</v>
      </c>
      <c r="C17198" s="6">
        <v>597</v>
      </c>
      <c r="D17198" s="7">
        <v>7.6</v>
      </c>
      <c r="E17198" t="s">
        <v>17</v>
      </c>
    </row>
    <row r="17199" spans="1:5" x14ac:dyDescent="0.25">
      <c r="A17199" t="str">
        <f>HYPERLINK("https://www.773grp.com/globalSearch/MC10EP16DTR2G/page-1", "MC10EP16DTR2G")</f>
        <v>MC10EP16DTR2G</v>
      </c>
      <c r="B17199" s="3" t="s">
        <v>74</v>
      </c>
      <c r="C17199" s="6">
        <v>7468</v>
      </c>
      <c r="D17199" s="7">
        <v>7.6</v>
      </c>
      <c r="E17199" t="s">
        <v>17</v>
      </c>
    </row>
    <row r="17200" spans="1:5" x14ac:dyDescent="0.25">
      <c r="A17200" t="str">
        <f>HYPERLINK("https://www.773grp.com/globalSearch/MC10EPT20DR2G/page-1", "MC10EPT20DR2G")</f>
        <v>MC10EPT20DR2G</v>
      </c>
      <c r="B17200" s="3" t="s">
        <v>74</v>
      </c>
      <c r="C17200" s="6">
        <v>18070</v>
      </c>
      <c r="D17200" s="7">
        <v>7.6</v>
      </c>
      <c r="E17200" t="s">
        <v>61</v>
      </c>
    </row>
    <row r="17201" spans="1:5" x14ac:dyDescent="0.25">
      <c r="A17201" t="str">
        <f>HYPERLINK("https://www.773grp.com/globalSearch/MC10EPT20DTR2G/page-1", "MC10EPT20DTR2G")</f>
        <v>MC10EPT20DTR2G</v>
      </c>
      <c r="B17201" s="3" t="s">
        <v>74</v>
      </c>
      <c r="C17201" s="6">
        <v>22380</v>
      </c>
      <c r="D17201" s="7">
        <v>7.6</v>
      </c>
      <c r="E17201" t="s">
        <v>61</v>
      </c>
    </row>
    <row r="17202" spans="1:5" x14ac:dyDescent="0.25">
      <c r="A17202" t="str">
        <f>HYPERLINK("https://www.773grp.com/globalSearch/FS7145-01-XTD/page-1", "FS7145-01-XTD")</f>
        <v>FS7145-01-XTD</v>
      </c>
      <c r="B17202" s="3" t="s">
        <v>74</v>
      </c>
      <c r="C17202" s="6">
        <v>17</v>
      </c>
      <c r="D17202" s="7">
        <v>7.68</v>
      </c>
      <c r="E17202" t="s">
        <v>65</v>
      </c>
    </row>
    <row r="17203" spans="1:5" x14ac:dyDescent="0.25">
      <c r="A17203" t="str">
        <f>HYPERLINK("https://www.773grp.com/globalSearch/2N6338/page-1", "2N6338")</f>
        <v>2N6338</v>
      </c>
      <c r="B17203" s="3" t="s">
        <v>74</v>
      </c>
      <c r="C17203" s="6">
        <v>100</v>
      </c>
      <c r="D17203" s="7">
        <v>7.73</v>
      </c>
      <c r="E17203" t="s">
        <v>47</v>
      </c>
    </row>
    <row r="17204" spans="1:5" x14ac:dyDescent="0.25">
      <c r="A17204" t="str">
        <f>HYPERLINK("https://www.773grp.com/globalSearch/MC100E116FN/page-1", "MC100E116FN")</f>
        <v>MC100E116FN</v>
      </c>
      <c r="B17204" s="3" t="s">
        <v>74</v>
      </c>
      <c r="C17204" s="6">
        <v>2065</v>
      </c>
      <c r="D17204" s="7">
        <v>7.73</v>
      </c>
      <c r="E17204" t="s">
        <v>17</v>
      </c>
    </row>
    <row r="17205" spans="1:5" x14ac:dyDescent="0.25">
      <c r="A17205" t="str">
        <f>HYPERLINK("https://www.773grp.com/globalSearch/MC100E116FNR2/page-1", "MC100E116FNR2")</f>
        <v>MC100E116FNR2</v>
      </c>
      <c r="B17205" s="3" t="s">
        <v>74</v>
      </c>
      <c r="C17205" s="6">
        <v>500</v>
      </c>
      <c r="D17205" s="7">
        <v>7.73</v>
      </c>
      <c r="E17205" t="s">
        <v>17</v>
      </c>
    </row>
    <row r="17206" spans="1:5" x14ac:dyDescent="0.25">
      <c r="A17206" t="str">
        <f>HYPERLINK("https://www.773grp.com/globalSearch/MC100E136FN/page-1", "MC100E136FN")</f>
        <v>MC100E136FN</v>
      </c>
      <c r="B17206" s="3" t="s">
        <v>74</v>
      </c>
      <c r="C17206" s="6">
        <v>218</v>
      </c>
      <c r="D17206" s="7">
        <v>7.73</v>
      </c>
      <c r="E17206" t="s">
        <v>22</v>
      </c>
    </row>
    <row r="17207" spans="1:5" x14ac:dyDescent="0.25">
      <c r="A17207" t="str">
        <f>HYPERLINK("https://www.773grp.com/globalSearch/MC100E137FN/page-1", "MC100E137FN")</f>
        <v>MC100E137FN</v>
      </c>
      <c r="B17207" s="3" t="s">
        <v>74</v>
      </c>
      <c r="C17207" s="6">
        <v>2244</v>
      </c>
      <c r="D17207" s="7">
        <v>7.73</v>
      </c>
      <c r="E17207" t="s">
        <v>22</v>
      </c>
    </row>
    <row r="17208" spans="1:5" x14ac:dyDescent="0.25">
      <c r="A17208" t="str">
        <f>HYPERLINK("https://www.773grp.com/globalSearch/MC100E137FNR2/page-1", "MC100E137FNR2")</f>
        <v>MC100E137FNR2</v>
      </c>
      <c r="B17208" s="3" t="s">
        <v>74</v>
      </c>
      <c r="C17208" s="6">
        <v>2000</v>
      </c>
      <c r="D17208" s="7">
        <v>7.73</v>
      </c>
      <c r="E17208" t="s">
        <v>22</v>
      </c>
    </row>
    <row r="17209" spans="1:5" x14ac:dyDescent="0.25">
      <c r="A17209" t="str">
        <f>HYPERLINK("https://www.773grp.com/globalSearch/MC100E142FN/page-1", "MC100E142FN")</f>
        <v>MC100E142FN</v>
      </c>
      <c r="B17209" s="3" t="s">
        <v>74</v>
      </c>
      <c r="C17209" s="6">
        <v>196</v>
      </c>
      <c r="D17209" s="7">
        <v>7.73</v>
      </c>
      <c r="E17209" t="s">
        <v>28</v>
      </c>
    </row>
    <row r="17210" spans="1:5" x14ac:dyDescent="0.25">
      <c r="A17210" t="str">
        <f>HYPERLINK("https://www.773grp.com/globalSearch/MC100E142FNR2/page-1", "MC100E142FNR2")</f>
        <v>MC100E142FNR2</v>
      </c>
      <c r="B17210" s="3" t="s">
        <v>74</v>
      </c>
      <c r="C17210" s="6">
        <v>500</v>
      </c>
      <c r="D17210" s="7">
        <v>7.73</v>
      </c>
      <c r="E17210" t="s">
        <v>28</v>
      </c>
    </row>
    <row r="17211" spans="1:5" x14ac:dyDescent="0.25">
      <c r="A17211" t="str">
        <f>HYPERLINK("https://www.773grp.com/globalSearch/MC100E142FNR2G/page-1", "MC100E142FNR2G")</f>
        <v>MC100E142FNR2G</v>
      </c>
      <c r="B17211" s="3" t="s">
        <v>74</v>
      </c>
      <c r="C17211" s="6">
        <v>500</v>
      </c>
      <c r="D17211" s="7">
        <v>7.73</v>
      </c>
      <c r="E17211" t="s">
        <v>28</v>
      </c>
    </row>
    <row r="17212" spans="1:5" x14ac:dyDescent="0.25">
      <c r="A17212" t="str">
        <f>HYPERLINK("https://www.773grp.com/globalSearch/MC100E143FN/page-1", "MC100E143FN")</f>
        <v>MC100E143FN</v>
      </c>
      <c r="B17212" s="3" t="s">
        <v>74</v>
      </c>
      <c r="C17212" s="6">
        <v>2357</v>
      </c>
      <c r="D17212" s="7">
        <v>7.73</v>
      </c>
      <c r="E17212" t="s">
        <v>31</v>
      </c>
    </row>
    <row r="17213" spans="1:5" x14ac:dyDescent="0.25">
      <c r="A17213" t="str">
        <f>HYPERLINK("https://www.773grp.com/globalSearch/MC100E150FN/page-1", "MC100E150FN")</f>
        <v>MC100E150FN</v>
      </c>
      <c r="B17213" s="3" t="s">
        <v>74</v>
      </c>
      <c r="C17213" s="6">
        <v>1832</v>
      </c>
      <c r="D17213" s="7">
        <v>7.73</v>
      </c>
      <c r="E17213" t="s">
        <v>31</v>
      </c>
    </row>
    <row r="17214" spans="1:5" x14ac:dyDescent="0.25">
      <c r="A17214" t="str">
        <f>HYPERLINK("https://www.773grp.com/globalSearch/MC100E157FN/page-1", "MC100E157FN")</f>
        <v>MC100E157FN</v>
      </c>
      <c r="B17214" s="3" t="s">
        <v>74</v>
      </c>
      <c r="C17214" s="6">
        <v>151</v>
      </c>
      <c r="D17214" s="7">
        <v>7.73</v>
      </c>
      <c r="E17214" t="s">
        <v>16</v>
      </c>
    </row>
    <row r="17215" spans="1:5" x14ac:dyDescent="0.25">
      <c r="A17215" t="str">
        <f>HYPERLINK("https://www.773grp.com/globalSearch/MC100E158FN/page-1", "MC100E158FN")</f>
        <v>MC100E158FN</v>
      </c>
      <c r="B17215" s="3" t="s">
        <v>74</v>
      </c>
      <c r="C17215" s="6">
        <v>703</v>
      </c>
      <c r="D17215" s="7">
        <v>7.73</v>
      </c>
      <c r="E17215" t="s">
        <v>16</v>
      </c>
    </row>
    <row r="17216" spans="1:5" x14ac:dyDescent="0.25">
      <c r="A17216" t="str">
        <f>HYPERLINK("https://www.773grp.com/globalSearch/MC100E158FNR2/page-1", "MC100E158FNR2")</f>
        <v>MC100E158FNR2</v>
      </c>
      <c r="B17216" s="3" t="s">
        <v>74</v>
      </c>
      <c r="C17216" s="6">
        <v>1000</v>
      </c>
      <c r="D17216" s="7">
        <v>7.73</v>
      </c>
      <c r="E17216" t="s">
        <v>16</v>
      </c>
    </row>
    <row r="17217" spans="1:5" x14ac:dyDescent="0.25">
      <c r="A17217" t="str">
        <f>HYPERLINK("https://www.773grp.com/globalSearch/MC100E163FN/page-1", "MC100E163FN")</f>
        <v>MC100E163FN</v>
      </c>
      <c r="B17217" s="3" t="s">
        <v>74</v>
      </c>
      <c r="C17217" s="6">
        <v>615</v>
      </c>
      <c r="D17217" s="7">
        <v>7.73</v>
      </c>
      <c r="E17217" t="s">
        <v>16</v>
      </c>
    </row>
    <row r="17218" spans="1:5" x14ac:dyDescent="0.25">
      <c r="A17218" t="str">
        <f>HYPERLINK("https://www.773grp.com/globalSearch/MC100E163FNG/page-1", "MC100E163FNG")</f>
        <v>MC100E163FNG</v>
      </c>
      <c r="B17218" s="3" t="s">
        <v>74</v>
      </c>
      <c r="C17218" s="6">
        <v>4501</v>
      </c>
      <c r="D17218" s="7">
        <v>7.73</v>
      </c>
      <c r="E17218" t="s">
        <v>16</v>
      </c>
    </row>
    <row r="17219" spans="1:5" x14ac:dyDescent="0.25">
      <c r="A17219" t="str">
        <f>HYPERLINK("https://www.773grp.com/globalSearch/MC100E171FN/page-1", "MC100E171FN")</f>
        <v>MC100E171FN</v>
      </c>
      <c r="B17219" s="3" t="s">
        <v>74</v>
      </c>
      <c r="C17219" s="6">
        <v>354</v>
      </c>
      <c r="D17219" s="7">
        <v>7.73</v>
      </c>
      <c r="E17219" t="s">
        <v>16</v>
      </c>
    </row>
    <row r="17220" spans="1:5" x14ac:dyDescent="0.25">
      <c r="A17220" t="str">
        <f>HYPERLINK("https://www.773grp.com/globalSearch/MC100E196FN/page-1", "MC100E196FN")</f>
        <v>MC100E196FN</v>
      </c>
      <c r="B17220" s="3" t="s">
        <v>74</v>
      </c>
      <c r="C17220" s="6">
        <v>17</v>
      </c>
      <c r="D17220" s="7">
        <v>7.73</v>
      </c>
      <c r="E17220" t="s">
        <v>98</v>
      </c>
    </row>
    <row r="17221" spans="1:5" x14ac:dyDescent="0.25">
      <c r="A17221" t="str">
        <f>HYPERLINK("https://www.773grp.com/globalSearch/MC100E196FNG/page-1", "MC100E196FNG")</f>
        <v>MC100E196FNG</v>
      </c>
      <c r="B17221" s="3" t="s">
        <v>74</v>
      </c>
      <c r="C17221" s="6">
        <v>13</v>
      </c>
      <c r="D17221" s="7">
        <v>7.73</v>
      </c>
      <c r="E17221" t="s">
        <v>98</v>
      </c>
    </row>
    <row r="17222" spans="1:5" x14ac:dyDescent="0.25">
      <c r="A17222" t="str">
        <f>HYPERLINK("https://www.773grp.com/globalSearch/MC100E241FN/page-1", "MC100E241FN")</f>
        <v>MC100E241FN</v>
      </c>
      <c r="B17222" s="3" t="s">
        <v>74</v>
      </c>
      <c r="C17222" s="6">
        <v>851</v>
      </c>
      <c r="D17222" s="7">
        <v>7.73</v>
      </c>
      <c r="E17222" t="s">
        <v>28</v>
      </c>
    </row>
    <row r="17223" spans="1:5" x14ac:dyDescent="0.25">
      <c r="A17223" t="str">
        <f>HYPERLINK("https://www.773grp.com/globalSearch/MC100E404FNR2/page-1", "MC100E404FNR2")</f>
        <v>MC100E404FNR2</v>
      </c>
      <c r="B17223" s="3" t="s">
        <v>74</v>
      </c>
      <c r="C17223" s="6">
        <v>4000</v>
      </c>
      <c r="D17223" s="7">
        <v>7.73</v>
      </c>
      <c r="E17223" t="s">
        <v>27</v>
      </c>
    </row>
    <row r="17224" spans="1:5" x14ac:dyDescent="0.25">
      <c r="A17224" t="str">
        <f>HYPERLINK("https://www.773grp.com/globalSearch/MC100E416FN/page-1", "MC100E416FN")</f>
        <v>MC100E416FN</v>
      </c>
      <c r="B17224" s="3" t="s">
        <v>74</v>
      </c>
      <c r="C17224" s="6">
        <v>1718</v>
      </c>
      <c r="D17224" s="7">
        <v>7.73</v>
      </c>
      <c r="E17224" t="s">
        <v>17</v>
      </c>
    </row>
    <row r="17225" spans="1:5" x14ac:dyDescent="0.25">
      <c r="A17225" t="str">
        <f>HYPERLINK("https://www.773grp.com/globalSearch/MC100E446FN/page-1", "MC100E446FN")</f>
        <v>MC100E446FN</v>
      </c>
      <c r="B17225" s="3" t="s">
        <v>74</v>
      </c>
      <c r="C17225" s="6">
        <v>1739</v>
      </c>
      <c r="D17225" s="7">
        <v>7.73</v>
      </c>
      <c r="E17225" t="s">
        <v>28</v>
      </c>
    </row>
    <row r="17226" spans="1:5" x14ac:dyDescent="0.25">
      <c r="A17226" t="str">
        <f>HYPERLINK("https://www.773grp.com/globalSearch/MC100E452FNR2/page-1", "MC100E452FNR2")</f>
        <v>MC100E452FNR2</v>
      </c>
      <c r="B17226" s="3" t="s">
        <v>74</v>
      </c>
      <c r="C17226" s="6">
        <v>2671</v>
      </c>
      <c r="D17226" s="7">
        <v>7.73</v>
      </c>
      <c r="E17226" t="s">
        <v>31</v>
      </c>
    </row>
    <row r="17227" spans="1:5" x14ac:dyDescent="0.25">
      <c r="A17227" t="str">
        <f>HYPERLINK("https://www.773grp.com/globalSearch/MC100E457FNR2/page-1", "MC100E457FNR2")</f>
        <v>MC100E457FNR2</v>
      </c>
      <c r="B17227" s="3" t="s">
        <v>74</v>
      </c>
      <c r="C17227" s="6">
        <v>2142</v>
      </c>
      <c r="D17227" s="7">
        <v>7.73</v>
      </c>
      <c r="E17227" t="s">
        <v>16</v>
      </c>
    </row>
    <row r="17228" spans="1:5" x14ac:dyDescent="0.25">
      <c r="A17228" t="str">
        <f>HYPERLINK("https://www.773grp.com/globalSearch/MC100EL17DWG/page-1", "MC100EL17DWG")</f>
        <v>MC100EL17DWG</v>
      </c>
      <c r="B17228" s="3" t="s">
        <v>74</v>
      </c>
      <c r="C17228" s="6">
        <v>880</v>
      </c>
      <c r="D17228" s="7">
        <v>7.73</v>
      </c>
      <c r="E17228" t="s">
        <v>17</v>
      </c>
    </row>
    <row r="17229" spans="1:5" x14ac:dyDescent="0.25">
      <c r="A17229" t="str">
        <f>HYPERLINK("https://www.773grp.com/globalSearch/MC100EL17DWR2G/page-1", "MC100EL17DWR2G")</f>
        <v>MC100EL17DWR2G</v>
      </c>
      <c r="B17229" s="3" t="s">
        <v>74</v>
      </c>
      <c r="C17229" s="6">
        <v>1000</v>
      </c>
      <c r="D17229" s="7">
        <v>7.73</v>
      </c>
      <c r="E17229" t="s">
        <v>17</v>
      </c>
    </row>
    <row r="17230" spans="1:5" x14ac:dyDescent="0.25">
      <c r="A17230" t="str">
        <f>HYPERLINK("https://www.773grp.com/globalSearch/MC100LVEL17DWG/page-1", "MC100LVEL17DWG")</f>
        <v>MC100LVEL17DWG</v>
      </c>
      <c r="B17230" s="3" t="s">
        <v>74</v>
      </c>
      <c r="C17230" s="6">
        <v>5366</v>
      </c>
      <c r="D17230" s="7">
        <v>7.73</v>
      </c>
      <c r="E17230" t="s">
        <v>17</v>
      </c>
    </row>
    <row r="17231" spans="1:5" x14ac:dyDescent="0.25">
      <c r="A17231" t="str">
        <f>HYPERLINK("https://www.773grp.com/globalSearch/MC100LVEL37DW/page-1", "MC100LVEL37DW")</f>
        <v>MC100LVEL37DW</v>
      </c>
      <c r="B17231" s="3" t="s">
        <v>74</v>
      </c>
      <c r="C17231" s="6">
        <v>3545</v>
      </c>
      <c r="D17231" s="7">
        <v>7.73</v>
      </c>
      <c r="E17231" t="s">
        <v>30</v>
      </c>
    </row>
    <row r="17232" spans="1:5" x14ac:dyDescent="0.25">
      <c r="A17232" t="str">
        <f>HYPERLINK("https://www.773grp.com/globalSearch/MC100LVEL37DWR2/page-1", "MC100LVEL37DWR2")</f>
        <v>MC100LVEL37DWR2</v>
      </c>
      <c r="B17232" s="3" t="s">
        <v>74</v>
      </c>
      <c r="C17232" s="6">
        <v>1000</v>
      </c>
      <c r="D17232" s="7">
        <v>7.73</v>
      </c>
      <c r="E17232" t="s">
        <v>30</v>
      </c>
    </row>
    <row r="17233" spans="1:5" x14ac:dyDescent="0.25">
      <c r="A17233" t="str">
        <f>HYPERLINK("https://www.773grp.com/globalSearch/MC10E116FN/page-1", "MC10E116FN")</f>
        <v>MC10E116FN</v>
      </c>
      <c r="B17233" s="3" t="s">
        <v>74</v>
      </c>
      <c r="C17233" s="6">
        <v>1427</v>
      </c>
      <c r="D17233" s="7">
        <v>7.73</v>
      </c>
      <c r="E17233" t="s">
        <v>17</v>
      </c>
    </row>
    <row r="17234" spans="1:5" x14ac:dyDescent="0.25">
      <c r="A17234" t="str">
        <f>HYPERLINK("https://www.773grp.com/globalSearch/MC10E122FNR2/page-1", "MC10E122FNR2")</f>
        <v>MC10E122FNR2</v>
      </c>
      <c r="B17234" s="3" t="s">
        <v>74</v>
      </c>
      <c r="C17234" s="6">
        <v>500</v>
      </c>
      <c r="D17234" s="7">
        <v>7.73</v>
      </c>
      <c r="E17234" t="s">
        <v>27</v>
      </c>
    </row>
    <row r="17235" spans="1:5" x14ac:dyDescent="0.25">
      <c r="A17235" t="str">
        <f>HYPERLINK("https://www.773grp.com/globalSearch/MC10E131FN/page-1", "MC10E131FN")</f>
        <v>MC10E131FN</v>
      </c>
      <c r="B17235" s="3" t="s">
        <v>74</v>
      </c>
      <c r="C17235" s="6">
        <v>1720</v>
      </c>
      <c r="D17235" s="7">
        <v>7.73</v>
      </c>
      <c r="E17235" t="s">
        <v>31</v>
      </c>
    </row>
    <row r="17236" spans="1:5" x14ac:dyDescent="0.25">
      <c r="A17236" t="str">
        <f>HYPERLINK("https://www.773grp.com/globalSearch/MC10E131FNR2/page-1", "MC10E131FNR2")</f>
        <v>MC10E131FNR2</v>
      </c>
      <c r="B17236" s="3" t="s">
        <v>74</v>
      </c>
      <c r="C17236" s="6">
        <v>16200</v>
      </c>
      <c r="D17236" s="7">
        <v>7.73</v>
      </c>
      <c r="E17236" t="s">
        <v>31</v>
      </c>
    </row>
    <row r="17237" spans="1:5" x14ac:dyDescent="0.25">
      <c r="A17237" t="str">
        <f>HYPERLINK("https://www.773grp.com/globalSearch/MC10E136FN/page-1", "MC10E136FN")</f>
        <v>MC10E136FN</v>
      </c>
      <c r="B17237" s="3" t="s">
        <v>74</v>
      </c>
      <c r="C17237" s="6">
        <v>148</v>
      </c>
      <c r="D17237" s="7">
        <v>7.73</v>
      </c>
      <c r="E17237" t="s">
        <v>22</v>
      </c>
    </row>
    <row r="17238" spans="1:5" x14ac:dyDescent="0.25">
      <c r="A17238" t="str">
        <f>HYPERLINK("https://www.773grp.com/globalSearch/MC10E136FNR2/page-1", "MC10E136FNR2")</f>
        <v>MC10E136FNR2</v>
      </c>
      <c r="B17238" s="3" t="s">
        <v>74</v>
      </c>
      <c r="C17238" s="6">
        <v>500</v>
      </c>
      <c r="D17238" s="7">
        <v>7.73</v>
      </c>
      <c r="E17238" t="s">
        <v>22</v>
      </c>
    </row>
    <row r="17239" spans="1:5" x14ac:dyDescent="0.25">
      <c r="A17239" t="str">
        <f>HYPERLINK("https://www.773grp.com/globalSearch/MC10E141FN/page-1", "MC10E141FN")</f>
        <v>MC10E141FN</v>
      </c>
      <c r="B17239" s="3" t="s">
        <v>74</v>
      </c>
      <c r="C17239" s="6">
        <v>1544</v>
      </c>
      <c r="D17239" s="7">
        <v>7.73</v>
      </c>
      <c r="E17239" t="s">
        <v>28</v>
      </c>
    </row>
    <row r="17240" spans="1:5" x14ac:dyDescent="0.25">
      <c r="A17240" t="str">
        <f>HYPERLINK("https://www.773grp.com/globalSearch/MC10E142FN/page-1", "MC10E142FN")</f>
        <v>MC10E142FN</v>
      </c>
      <c r="B17240" s="3" t="s">
        <v>74</v>
      </c>
      <c r="C17240" s="6">
        <v>5514</v>
      </c>
      <c r="D17240" s="7">
        <v>7.73</v>
      </c>
      <c r="E17240" t="s">
        <v>28</v>
      </c>
    </row>
    <row r="17241" spans="1:5" x14ac:dyDescent="0.25">
      <c r="A17241" t="str">
        <f>HYPERLINK("https://www.773grp.com/globalSearch/MC10E142FNR2/page-1", "MC10E142FNR2")</f>
        <v>MC10E142FNR2</v>
      </c>
      <c r="B17241" s="3" t="s">
        <v>74</v>
      </c>
      <c r="C17241" s="6">
        <v>500</v>
      </c>
      <c r="D17241" s="7">
        <v>7.73</v>
      </c>
      <c r="E17241" t="s">
        <v>28</v>
      </c>
    </row>
    <row r="17242" spans="1:5" x14ac:dyDescent="0.25">
      <c r="A17242" t="str">
        <f>HYPERLINK("https://www.773grp.com/globalSearch/MC10E143FN/page-1", "MC10E143FN")</f>
        <v>MC10E143FN</v>
      </c>
      <c r="B17242" s="3" t="s">
        <v>74</v>
      </c>
      <c r="C17242" s="6">
        <v>3921</v>
      </c>
      <c r="D17242" s="7">
        <v>7.73</v>
      </c>
      <c r="E17242" t="s">
        <v>31</v>
      </c>
    </row>
    <row r="17243" spans="1:5" x14ac:dyDescent="0.25">
      <c r="A17243" t="str">
        <f>HYPERLINK("https://www.773grp.com/globalSearch/MC10E143FNR2/page-1", "MC10E143FNR2")</f>
        <v>MC10E143FNR2</v>
      </c>
      <c r="B17243" s="3" t="s">
        <v>74</v>
      </c>
      <c r="C17243" s="6">
        <v>7500</v>
      </c>
      <c r="D17243" s="7">
        <v>7.73</v>
      </c>
      <c r="E17243" t="s">
        <v>31</v>
      </c>
    </row>
    <row r="17244" spans="1:5" x14ac:dyDescent="0.25">
      <c r="A17244" t="str">
        <f>HYPERLINK("https://www.773grp.com/globalSearch/MC10E151FNR2/page-1", "MC10E151FNR2")</f>
        <v>MC10E151FNR2</v>
      </c>
      <c r="B17244" s="3" t="s">
        <v>74</v>
      </c>
      <c r="C17244" s="6">
        <v>4010</v>
      </c>
      <c r="D17244" s="7">
        <v>7.73</v>
      </c>
      <c r="E17244" t="s">
        <v>31</v>
      </c>
    </row>
    <row r="17245" spans="1:5" x14ac:dyDescent="0.25">
      <c r="A17245" t="str">
        <f>HYPERLINK("https://www.773grp.com/globalSearch/MC10E154FN/page-1", "MC10E154FN")</f>
        <v>MC10E154FN</v>
      </c>
      <c r="B17245" s="3" t="s">
        <v>74</v>
      </c>
      <c r="C17245" s="6">
        <v>222</v>
      </c>
      <c r="D17245" s="7">
        <v>7.73</v>
      </c>
      <c r="E17245" t="s">
        <v>31</v>
      </c>
    </row>
    <row r="17246" spans="1:5" x14ac:dyDescent="0.25">
      <c r="A17246" t="str">
        <f>HYPERLINK("https://www.773grp.com/globalSearch/MC10E156FN/page-1", "MC10E156FN")</f>
        <v>MC10E156FN</v>
      </c>
      <c r="B17246" s="3" t="s">
        <v>74</v>
      </c>
      <c r="C17246" s="6">
        <v>5789</v>
      </c>
      <c r="D17246" s="7">
        <v>7.73</v>
      </c>
      <c r="E17246" t="s">
        <v>31</v>
      </c>
    </row>
    <row r="17247" spans="1:5" x14ac:dyDescent="0.25">
      <c r="A17247" t="str">
        <f>HYPERLINK("https://www.773grp.com/globalSearch/MC10E156FNR2/page-1", "MC10E156FNR2")</f>
        <v>MC10E156FNR2</v>
      </c>
      <c r="B17247" s="3" t="s">
        <v>74</v>
      </c>
      <c r="C17247" s="6">
        <v>500</v>
      </c>
      <c r="D17247" s="7">
        <v>7.73</v>
      </c>
      <c r="E17247" t="s">
        <v>31</v>
      </c>
    </row>
    <row r="17248" spans="1:5" x14ac:dyDescent="0.25">
      <c r="A17248" t="str">
        <f>HYPERLINK("https://www.773grp.com/globalSearch/MC10E157FNR2/page-1", "MC10E157FNR2")</f>
        <v>MC10E157FNR2</v>
      </c>
      <c r="B17248" s="3" t="s">
        <v>74</v>
      </c>
      <c r="C17248" s="6">
        <v>500</v>
      </c>
      <c r="D17248" s="7">
        <v>7.73</v>
      </c>
      <c r="E17248" t="s">
        <v>16</v>
      </c>
    </row>
    <row r="17249" spans="1:5" x14ac:dyDescent="0.25">
      <c r="A17249" t="str">
        <f>HYPERLINK("https://www.773grp.com/globalSearch/MC10E157FNR2G/page-1", "MC10E157FNR2G")</f>
        <v>MC10E157FNR2G</v>
      </c>
      <c r="B17249" s="3" t="s">
        <v>74</v>
      </c>
      <c r="C17249" s="6">
        <v>1000</v>
      </c>
      <c r="D17249" s="7">
        <v>7.73</v>
      </c>
      <c r="E17249" t="s">
        <v>16</v>
      </c>
    </row>
    <row r="17250" spans="1:5" x14ac:dyDescent="0.25">
      <c r="A17250" t="str">
        <f>HYPERLINK("https://www.773grp.com/globalSearch/MC10E158FN/page-1", "MC10E158FN")</f>
        <v>MC10E158FN</v>
      </c>
      <c r="B17250" s="3" t="s">
        <v>74</v>
      </c>
      <c r="C17250" s="6">
        <v>3663</v>
      </c>
      <c r="D17250" s="7">
        <v>7.73</v>
      </c>
      <c r="E17250" t="s">
        <v>16</v>
      </c>
    </row>
    <row r="17251" spans="1:5" x14ac:dyDescent="0.25">
      <c r="A17251" t="str">
        <f>HYPERLINK("https://www.773grp.com/globalSearch/MC10E163FNG/page-1", "MC10E163FNG")</f>
        <v>MC10E163FNG</v>
      </c>
      <c r="B17251" s="3" t="s">
        <v>74</v>
      </c>
      <c r="C17251" s="6">
        <v>1275</v>
      </c>
      <c r="D17251" s="7">
        <v>7.73</v>
      </c>
      <c r="E17251" t="s">
        <v>16</v>
      </c>
    </row>
    <row r="17252" spans="1:5" x14ac:dyDescent="0.25">
      <c r="A17252" t="str">
        <f>HYPERLINK("https://www.773grp.com/globalSearch/MC10E164FNR2/page-1", "MC10E164FNR2")</f>
        <v>MC10E164FNR2</v>
      </c>
      <c r="B17252" s="3" t="s">
        <v>74</v>
      </c>
      <c r="C17252" s="6">
        <v>5425</v>
      </c>
      <c r="D17252" s="7">
        <v>7.73</v>
      </c>
      <c r="E17252" t="s">
        <v>16</v>
      </c>
    </row>
    <row r="17253" spans="1:5" x14ac:dyDescent="0.25">
      <c r="A17253" t="str">
        <f>HYPERLINK("https://www.773grp.com/globalSearch/MC10E166FN/page-1", "MC10E166FN")</f>
        <v>MC10E166FN</v>
      </c>
      <c r="B17253" s="3" t="s">
        <v>74</v>
      </c>
      <c r="C17253" s="6">
        <v>2098</v>
      </c>
      <c r="D17253" s="7">
        <v>7.73</v>
      </c>
      <c r="E17253" t="s">
        <v>38</v>
      </c>
    </row>
    <row r="17254" spans="1:5" x14ac:dyDescent="0.25">
      <c r="A17254" t="str">
        <f>HYPERLINK("https://www.773grp.com/globalSearch/MC10E167FN/page-1", "MC10E167FN")</f>
        <v>MC10E167FN</v>
      </c>
      <c r="B17254" s="3" t="s">
        <v>74</v>
      </c>
      <c r="C17254" s="6">
        <v>3139</v>
      </c>
      <c r="D17254" s="7">
        <v>7.73</v>
      </c>
      <c r="E17254" t="s">
        <v>31</v>
      </c>
    </row>
    <row r="17255" spans="1:5" x14ac:dyDescent="0.25">
      <c r="A17255" t="str">
        <f>HYPERLINK("https://www.773grp.com/globalSearch/MC10E171FN/page-1", "MC10E171FN")</f>
        <v>MC10E171FN</v>
      </c>
      <c r="B17255" s="3" t="s">
        <v>74</v>
      </c>
      <c r="C17255" s="6">
        <v>335</v>
      </c>
      <c r="D17255" s="7">
        <v>7.73</v>
      </c>
      <c r="E17255" t="s">
        <v>16</v>
      </c>
    </row>
    <row r="17256" spans="1:5" x14ac:dyDescent="0.25">
      <c r="A17256" t="str">
        <f>HYPERLINK("https://www.773grp.com/globalSearch/MC10E171FNR2/page-1", "MC10E171FNR2")</f>
        <v>MC10E171FNR2</v>
      </c>
      <c r="B17256" s="3" t="s">
        <v>74</v>
      </c>
      <c r="C17256" s="6">
        <v>1500</v>
      </c>
      <c r="D17256" s="7">
        <v>7.73</v>
      </c>
      <c r="E17256" t="s">
        <v>16</v>
      </c>
    </row>
    <row r="17257" spans="1:5" x14ac:dyDescent="0.25">
      <c r="A17257" t="str">
        <f>HYPERLINK("https://www.773grp.com/globalSearch/MC10E175FN/page-1", "MC10E175FN")</f>
        <v>MC10E175FN</v>
      </c>
      <c r="B17257" s="3" t="s">
        <v>74</v>
      </c>
      <c r="C17257" s="6">
        <v>344</v>
      </c>
      <c r="D17257" s="7">
        <v>7.73</v>
      </c>
      <c r="E17257" t="s">
        <v>31</v>
      </c>
    </row>
    <row r="17258" spans="1:5" x14ac:dyDescent="0.25">
      <c r="A17258" t="str">
        <f>HYPERLINK("https://www.773grp.com/globalSearch/MC10E195FN/page-1", "MC10E195FN")</f>
        <v>MC10E195FN</v>
      </c>
      <c r="B17258" s="3" t="s">
        <v>74</v>
      </c>
      <c r="C17258" s="6">
        <v>152</v>
      </c>
      <c r="D17258" s="7">
        <v>7.73</v>
      </c>
      <c r="E17258" t="s">
        <v>98</v>
      </c>
    </row>
    <row r="17259" spans="1:5" x14ac:dyDescent="0.25">
      <c r="A17259" t="str">
        <f>HYPERLINK("https://www.773grp.com/globalSearch/MC10E195FNR2/page-1", "MC10E195FNR2")</f>
        <v>MC10E195FNR2</v>
      </c>
      <c r="B17259" s="3" t="s">
        <v>74</v>
      </c>
      <c r="C17259" s="6">
        <v>1500</v>
      </c>
      <c r="D17259" s="7">
        <v>7.73</v>
      </c>
      <c r="E17259" t="s">
        <v>98</v>
      </c>
    </row>
    <row r="17260" spans="1:5" x14ac:dyDescent="0.25">
      <c r="A17260" t="str">
        <f>HYPERLINK("https://www.773grp.com/globalSearch/MC10E196FN/page-1", "MC10E196FN")</f>
        <v>MC10E196FN</v>
      </c>
      <c r="B17260" s="3" t="s">
        <v>74</v>
      </c>
      <c r="C17260" s="6">
        <v>36</v>
      </c>
      <c r="D17260" s="7">
        <v>7.73</v>
      </c>
      <c r="E17260" t="s">
        <v>98</v>
      </c>
    </row>
    <row r="17261" spans="1:5" x14ac:dyDescent="0.25">
      <c r="A17261" t="str">
        <f>HYPERLINK("https://www.773grp.com/globalSearch/MC10E196FNR2/page-1", "MC10E196FNR2")</f>
        <v>MC10E196FNR2</v>
      </c>
      <c r="B17261" s="3" t="s">
        <v>74</v>
      </c>
      <c r="C17261" s="6">
        <v>500</v>
      </c>
      <c r="D17261" s="7">
        <v>7.73</v>
      </c>
      <c r="E17261" t="s">
        <v>98</v>
      </c>
    </row>
    <row r="17262" spans="1:5" x14ac:dyDescent="0.25">
      <c r="A17262" t="str">
        <f>HYPERLINK("https://www.773grp.com/globalSearch/MC10E197FN/page-1", "MC10E197FN")</f>
        <v>MC10E197FN</v>
      </c>
      <c r="B17262" s="3" t="s">
        <v>74</v>
      </c>
      <c r="C17262" s="6">
        <v>56</v>
      </c>
      <c r="D17262" s="7">
        <v>7.73</v>
      </c>
      <c r="E17262" t="s">
        <v>64</v>
      </c>
    </row>
    <row r="17263" spans="1:5" x14ac:dyDescent="0.25">
      <c r="A17263" t="str">
        <f>HYPERLINK("https://www.773grp.com/globalSearch/MC10E404FN/page-1", "MC10E404FN")</f>
        <v>MC10E404FN</v>
      </c>
      <c r="B17263" s="3" t="s">
        <v>74</v>
      </c>
      <c r="C17263" s="6">
        <v>1681</v>
      </c>
      <c r="D17263" s="7">
        <v>7.73</v>
      </c>
      <c r="E17263" t="s">
        <v>27</v>
      </c>
    </row>
    <row r="17264" spans="1:5" x14ac:dyDescent="0.25">
      <c r="A17264" t="str">
        <f>HYPERLINK("https://www.773grp.com/globalSearch/MC10E416FN/page-1", "MC10E416FN")</f>
        <v>MC10E416FN</v>
      </c>
      <c r="B17264" s="3" t="s">
        <v>74</v>
      </c>
      <c r="C17264" s="6">
        <v>1468</v>
      </c>
      <c r="D17264" s="7">
        <v>7.73</v>
      </c>
      <c r="E17264" t="s">
        <v>17</v>
      </c>
    </row>
    <row r="17265" spans="1:5" x14ac:dyDescent="0.25">
      <c r="A17265" t="str">
        <f>HYPERLINK("https://www.773grp.com/globalSearch/MC10E416FNR2/page-1", "MC10E416FNR2")</f>
        <v>MC10E416FNR2</v>
      </c>
      <c r="B17265" s="3" t="s">
        <v>74</v>
      </c>
      <c r="C17265" s="6">
        <v>2000</v>
      </c>
      <c r="D17265" s="7">
        <v>7.73</v>
      </c>
      <c r="E17265" t="s">
        <v>17</v>
      </c>
    </row>
    <row r="17266" spans="1:5" x14ac:dyDescent="0.25">
      <c r="A17266" t="str">
        <f>HYPERLINK("https://www.773grp.com/globalSearch/MC10E431FNR2/page-1", "MC10E431FNR2")</f>
        <v>MC10E431FNR2</v>
      </c>
      <c r="B17266" s="3" t="s">
        <v>74</v>
      </c>
      <c r="C17266" s="6">
        <v>1000</v>
      </c>
      <c r="D17266" s="7">
        <v>7.73</v>
      </c>
      <c r="E17266" t="s">
        <v>31</v>
      </c>
    </row>
    <row r="17267" spans="1:5" x14ac:dyDescent="0.25">
      <c r="A17267" t="str">
        <f>HYPERLINK("https://www.773grp.com/globalSearch/MC10E446FN/page-1", "MC10E446FN")</f>
        <v>MC10E446FN</v>
      </c>
      <c r="B17267" s="3" t="s">
        <v>74</v>
      </c>
      <c r="C17267" s="6">
        <v>370</v>
      </c>
      <c r="D17267" s="7">
        <v>7.73</v>
      </c>
      <c r="E17267" t="s">
        <v>28</v>
      </c>
    </row>
    <row r="17268" spans="1:5" x14ac:dyDescent="0.25">
      <c r="A17268" t="str">
        <f>HYPERLINK("https://www.773grp.com/globalSearch/MC10E446FNR2/page-1", "MC10E446FNR2")</f>
        <v>MC10E446FNR2</v>
      </c>
      <c r="B17268" s="3" t="s">
        <v>74</v>
      </c>
      <c r="C17268" s="6">
        <v>1000</v>
      </c>
      <c r="D17268" s="7">
        <v>7.73</v>
      </c>
      <c r="E17268" t="s">
        <v>28</v>
      </c>
    </row>
    <row r="17269" spans="1:5" x14ac:dyDescent="0.25">
      <c r="A17269" t="str">
        <f>HYPERLINK("https://www.773grp.com/globalSearch/MC10E451FN/page-1", "MC10E451FN")</f>
        <v>MC10E451FN</v>
      </c>
      <c r="B17269" s="3" t="s">
        <v>74</v>
      </c>
      <c r="C17269" s="6">
        <v>1235</v>
      </c>
      <c r="D17269" s="7">
        <v>7.73</v>
      </c>
      <c r="E17269" t="s">
        <v>31</v>
      </c>
    </row>
    <row r="17270" spans="1:5" x14ac:dyDescent="0.25">
      <c r="A17270" t="str">
        <f>HYPERLINK("https://www.773grp.com/globalSearch/MC10E452FN/page-1", "MC10E452FN")</f>
        <v>MC10E452FN</v>
      </c>
      <c r="B17270" s="3" t="s">
        <v>74</v>
      </c>
      <c r="C17270" s="6">
        <v>3613</v>
      </c>
      <c r="D17270" s="7">
        <v>7.73</v>
      </c>
      <c r="E17270" t="s">
        <v>31</v>
      </c>
    </row>
    <row r="17271" spans="1:5" x14ac:dyDescent="0.25">
      <c r="A17271" t="str">
        <f>HYPERLINK("https://www.773grp.com/globalSearch/MC10E452FNR2/page-1", "MC10E452FNR2")</f>
        <v>MC10E452FNR2</v>
      </c>
      <c r="B17271" s="3" t="s">
        <v>74</v>
      </c>
      <c r="C17271" s="6">
        <v>10000</v>
      </c>
      <c r="D17271" s="7">
        <v>7.73</v>
      </c>
      <c r="E17271" t="s">
        <v>31</v>
      </c>
    </row>
    <row r="17272" spans="1:5" x14ac:dyDescent="0.25">
      <c r="A17272" t="str">
        <f>HYPERLINK("https://www.773grp.com/globalSearch/MC10E457FN/page-1", "MC10E457FN")</f>
        <v>MC10E457FN</v>
      </c>
      <c r="B17272" s="3" t="s">
        <v>74</v>
      </c>
      <c r="C17272" s="6">
        <v>4292</v>
      </c>
      <c r="D17272" s="7">
        <v>7.73</v>
      </c>
      <c r="E17272" t="s">
        <v>16</v>
      </c>
    </row>
    <row r="17273" spans="1:5" x14ac:dyDescent="0.25">
      <c r="A17273" t="str">
        <f>HYPERLINK("https://www.773grp.com/globalSearch/MC10E457FNG/page-1", "MC10E457FNG")</f>
        <v>MC10E457FNG</v>
      </c>
      <c r="B17273" s="3" t="s">
        <v>74</v>
      </c>
      <c r="C17273" s="6">
        <v>1790</v>
      </c>
      <c r="D17273" s="7">
        <v>7.73</v>
      </c>
      <c r="E17273" t="s">
        <v>16</v>
      </c>
    </row>
    <row r="17274" spans="1:5" x14ac:dyDescent="0.25">
      <c r="A17274" t="str">
        <f>HYPERLINK("https://www.773grp.com/globalSearch/MC10E457FNR2/page-1", "MC10E457FNR2")</f>
        <v>MC10E457FNR2</v>
      </c>
      <c r="B17274" s="3" t="s">
        <v>74</v>
      </c>
      <c r="C17274" s="6">
        <v>1000</v>
      </c>
      <c r="D17274" s="7">
        <v>7.73</v>
      </c>
      <c r="E17274" t="s">
        <v>16</v>
      </c>
    </row>
    <row r="17275" spans="1:5" x14ac:dyDescent="0.25">
      <c r="A17275" t="str">
        <f>HYPERLINK("https://www.773grp.com/globalSearch/MC10EL31DR2/page-1", "MC10EL31DR2")</f>
        <v>MC10EL31DR2</v>
      </c>
      <c r="B17275" s="3" t="s">
        <v>74</v>
      </c>
      <c r="C17275" s="6">
        <v>8861</v>
      </c>
      <c r="D17275" s="7">
        <v>7.73</v>
      </c>
      <c r="E17275" t="s">
        <v>31</v>
      </c>
    </row>
    <row r="17276" spans="1:5" x14ac:dyDescent="0.25">
      <c r="A17276" t="str">
        <f>HYPERLINK("https://www.773grp.com/globalSearch/MC10EL89DG/page-1", "MC10EL89DG")</f>
        <v>MC10EL89DG</v>
      </c>
      <c r="B17276" s="3" t="s">
        <v>74</v>
      </c>
      <c r="C17276" s="6">
        <v>1539</v>
      </c>
      <c r="D17276" s="7">
        <v>7.73</v>
      </c>
      <c r="E17276" t="s">
        <v>17</v>
      </c>
    </row>
    <row r="17277" spans="1:5" x14ac:dyDescent="0.25">
      <c r="A17277" t="str">
        <f>HYPERLINK("https://www.773grp.com/globalSearch/MC10EL89DR2G/page-1", "MC10EL89DR2G")</f>
        <v>MC10EL89DR2G</v>
      </c>
      <c r="B17277" s="3" t="s">
        <v>74</v>
      </c>
      <c r="C17277" s="6">
        <v>9000</v>
      </c>
      <c r="D17277" s="7">
        <v>7.73</v>
      </c>
      <c r="E17277" t="s">
        <v>17</v>
      </c>
    </row>
    <row r="17278" spans="1:5" x14ac:dyDescent="0.25">
      <c r="A17278" t="str">
        <f>HYPERLINK("https://www.773grp.com/globalSearch/MC10EL89DTG/page-1", "MC10EL89DTG")</f>
        <v>MC10EL89DTG</v>
      </c>
      <c r="B17278" s="3" t="s">
        <v>74</v>
      </c>
      <c r="C17278" s="6">
        <v>7240</v>
      </c>
      <c r="D17278" s="7">
        <v>7.73</v>
      </c>
      <c r="E17278" t="s">
        <v>17</v>
      </c>
    </row>
    <row r="17279" spans="1:5" x14ac:dyDescent="0.25">
      <c r="A17279" t="str">
        <f>HYPERLINK("https://www.773grp.com/globalSearch/MC10EL89DTR2G/page-1", "MC10EL89DTR2G")</f>
        <v>MC10EL89DTR2G</v>
      </c>
      <c r="B17279" s="3" t="s">
        <v>74</v>
      </c>
      <c r="C17279" s="6">
        <v>10000</v>
      </c>
      <c r="D17279" s="7">
        <v>7.73</v>
      </c>
      <c r="E17279" t="s">
        <v>17</v>
      </c>
    </row>
    <row r="17280" spans="1:5" x14ac:dyDescent="0.25">
      <c r="A17280" t="str">
        <f>HYPERLINK("https://www.773grp.com/globalSearch/MC10H179L/page-1", "MC10H179L")</f>
        <v>MC10H179L</v>
      </c>
      <c r="B17280" s="3" t="s">
        <v>74</v>
      </c>
      <c r="C17280" s="6">
        <v>475</v>
      </c>
      <c r="D17280" s="7">
        <v>7.73</v>
      </c>
      <c r="E17280" t="s">
        <v>38</v>
      </c>
    </row>
    <row r="17281" spans="1:5" x14ac:dyDescent="0.25">
      <c r="A17281" t="str">
        <f>HYPERLINK("https://www.773grp.com/globalSearch/NB4N7132DTG/page-1", "NB4N7132DTG")</f>
        <v>NB4N7132DTG</v>
      </c>
      <c r="B17281" s="3" t="s">
        <v>74</v>
      </c>
      <c r="C17281" s="6">
        <v>934</v>
      </c>
      <c r="D17281" s="7">
        <v>7.73</v>
      </c>
      <c r="E17281" t="s">
        <v>45</v>
      </c>
    </row>
    <row r="17282" spans="1:5" x14ac:dyDescent="0.25">
      <c r="A17282" t="str">
        <f>HYPERLINK("https://www.773grp.com/globalSearch/NB4N7132DTR2G/page-1", "NB4N7132DTR2G")</f>
        <v>NB4N7132DTR2G</v>
      </c>
      <c r="B17282" s="3" t="s">
        <v>74</v>
      </c>
      <c r="C17282" s="6">
        <v>28221</v>
      </c>
      <c r="D17282" s="7">
        <v>7.73</v>
      </c>
      <c r="E17282" t="s">
        <v>45</v>
      </c>
    </row>
    <row r="17283" spans="1:5" x14ac:dyDescent="0.25">
      <c r="A17283" t="str">
        <f>HYPERLINK("https://www.773grp.com/globalSearch/NB6L611MNG/page-1", "NB6L611MNG")</f>
        <v>NB6L611MNG</v>
      </c>
      <c r="B17283" s="3" t="s">
        <v>74</v>
      </c>
      <c r="C17283" s="6">
        <v>3489</v>
      </c>
      <c r="D17283" s="7">
        <v>7.73</v>
      </c>
      <c r="E17283" t="s">
        <v>30</v>
      </c>
    </row>
    <row r="17284" spans="1:5" x14ac:dyDescent="0.25">
      <c r="A17284" t="str">
        <f>HYPERLINK("https://www.773grp.com/globalSearch/NB6L611MNR2G/page-1", "NB6L611MNR2G")</f>
        <v>NB6L611MNR2G</v>
      </c>
      <c r="B17284" s="3" t="s">
        <v>74</v>
      </c>
      <c r="C17284" s="6">
        <v>8902</v>
      </c>
      <c r="D17284" s="7">
        <v>7.73</v>
      </c>
      <c r="E17284" t="s">
        <v>30</v>
      </c>
    </row>
    <row r="17285" spans="1:5" x14ac:dyDescent="0.25">
      <c r="A17285" t="str">
        <f>HYPERLINK("https://www.773grp.com/globalSearch/MBR4015LWTG/page-1", "MBR4015LWTG")</f>
        <v>MBR4015LWTG</v>
      </c>
      <c r="B17285" s="3" t="s">
        <v>74</v>
      </c>
      <c r="C17285" s="6">
        <v>1145</v>
      </c>
      <c r="D17285" s="7">
        <v>7.76</v>
      </c>
      <c r="E17285" t="s">
        <v>82</v>
      </c>
    </row>
    <row r="17286" spans="1:5" x14ac:dyDescent="0.25">
      <c r="A17286" t="str">
        <f>HYPERLINK("https://www.773grp.com/globalSearch/MBR6045WTG/page-1", "MBR6045WTG")</f>
        <v>MBR6045WTG</v>
      </c>
      <c r="B17286" s="3" t="s">
        <v>74</v>
      </c>
      <c r="C17286" s="6">
        <v>1021</v>
      </c>
      <c r="D17286" s="7">
        <v>7.76</v>
      </c>
      <c r="E17286" t="s">
        <v>82</v>
      </c>
    </row>
    <row r="17287" spans="1:5" x14ac:dyDescent="0.25">
      <c r="A17287" t="str">
        <f>HYPERLINK("https://www.773grp.com/globalSearch/MC10H158FNG/page-1", "MC10H158FNG")</f>
        <v>MC10H158FNG</v>
      </c>
      <c r="B17287" s="3" t="s">
        <v>74</v>
      </c>
      <c r="C17287" s="6">
        <v>2934</v>
      </c>
      <c r="D17287" s="7">
        <v>7.76</v>
      </c>
      <c r="E17287" t="s">
        <v>16</v>
      </c>
    </row>
    <row r="17288" spans="1:5" x14ac:dyDescent="0.25">
      <c r="A17288" t="str">
        <f>HYPERLINK("https://www.773grp.com/globalSearch/MC10H158MELG/page-1", "MC10H158MELG")</f>
        <v>MC10H158MELG</v>
      </c>
      <c r="B17288" s="3" t="s">
        <v>74</v>
      </c>
      <c r="C17288" s="6">
        <v>3259</v>
      </c>
      <c r="D17288" s="7">
        <v>7.76</v>
      </c>
      <c r="E17288" t="s">
        <v>16</v>
      </c>
    </row>
    <row r="17289" spans="1:5" x14ac:dyDescent="0.25">
      <c r="A17289" t="str">
        <f>HYPERLINK("https://www.773grp.com/globalSearch/MC10H158MG/page-1", "MC10H158MG")</f>
        <v>MC10H158MG</v>
      </c>
      <c r="B17289" s="3" t="s">
        <v>74</v>
      </c>
      <c r="C17289" s="6">
        <v>4887</v>
      </c>
      <c r="D17289" s="7">
        <v>7.76</v>
      </c>
      <c r="E17289" t="s">
        <v>16</v>
      </c>
    </row>
    <row r="17290" spans="1:5" x14ac:dyDescent="0.25">
      <c r="A17290" t="str">
        <f>HYPERLINK("https://www.773grp.com/globalSearch/MC10H159MG/page-1", "MC10H159MG")</f>
        <v>MC10H159MG</v>
      </c>
      <c r="B17290" s="3" t="s">
        <v>74</v>
      </c>
      <c r="C17290" s="6">
        <v>3700</v>
      </c>
      <c r="D17290" s="7">
        <v>7.76</v>
      </c>
      <c r="E17290" t="s">
        <v>16</v>
      </c>
    </row>
    <row r="17291" spans="1:5" x14ac:dyDescent="0.25">
      <c r="A17291" t="str">
        <f>HYPERLINK("https://www.773grp.com/globalSearch/MC10H161FNG/page-1", "MC10H161FNG")</f>
        <v>MC10H161FNG</v>
      </c>
      <c r="B17291" s="3" t="s">
        <v>74</v>
      </c>
      <c r="C17291" s="6">
        <v>1714</v>
      </c>
      <c r="D17291" s="7">
        <v>7.76</v>
      </c>
      <c r="E17291" t="s">
        <v>32</v>
      </c>
    </row>
    <row r="17292" spans="1:5" x14ac:dyDescent="0.25">
      <c r="A17292" t="str">
        <f>HYPERLINK("https://www.773grp.com/globalSearch/MC10H161MELG/page-1", "MC10H161MELG")</f>
        <v>MC10H161MELG</v>
      </c>
      <c r="B17292" s="3" t="s">
        <v>74</v>
      </c>
      <c r="C17292" s="6">
        <v>8000</v>
      </c>
      <c r="D17292" s="7">
        <v>7.76</v>
      </c>
      <c r="E17292" t="s">
        <v>32</v>
      </c>
    </row>
    <row r="17293" spans="1:5" x14ac:dyDescent="0.25">
      <c r="A17293" t="str">
        <f>HYPERLINK("https://www.773grp.com/globalSearch/MC10H161MG/page-1", "MC10H161MG")</f>
        <v>MC10H161MG</v>
      </c>
      <c r="B17293" s="3" t="s">
        <v>74</v>
      </c>
      <c r="C17293" s="6">
        <v>1100</v>
      </c>
      <c r="D17293" s="7">
        <v>7.76</v>
      </c>
      <c r="E17293" t="s">
        <v>32</v>
      </c>
    </row>
    <row r="17294" spans="1:5" x14ac:dyDescent="0.25">
      <c r="A17294" t="str">
        <f>HYPERLINK("https://www.773grp.com/globalSearch/MC10H162MELG/page-1", "MC10H162MELG")</f>
        <v>MC10H162MELG</v>
      </c>
      <c r="B17294" s="3" t="s">
        <v>74</v>
      </c>
      <c r="C17294" s="6">
        <v>2000</v>
      </c>
      <c r="D17294" s="7">
        <v>7.76</v>
      </c>
      <c r="E17294" t="s">
        <v>32</v>
      </c>
    </row>
    <row r="17295" spans="1:5" x14ac:dyDescent="0.25">
      <c r="A17295" t="str">
        <f>HYPERLINK("https://www.773grp.com/globalSearch/MC10H164FNG/page-1", "MC10H164FNG")</f>
        <v>MC10H164FNG</v>
      </c>
      <c r="B17295" s="3" t="s">
        <v>74</v>
      </c>
      <c r="C17295" s="6">
        <v>5915</v>
      </c>
      <c r="D17295" s="7">
        <v>7.76</v>
      </c>
      <c r="E17295" t="s">
        <v>16</v>
      </c>
    </row>
    <row r="17296" spans="1:5" x14ac:dyDescent="0.25">
      <c r="A17296" t="str">
        <f>HYPERLINK("https://www.773grp.com/globalSearch/MC10H164FNR2G/page-1", "MC10H164FNR2G")</f>
        <v>MC10H164FNR2G</v>
      </c>
      <c r="B17296" s="3" t="s">
        <v>74</v>
      </c>
      <c r="C17296" s="6">
        <v>2000</v>
      </c>
      <c r="D17296" s="7">
        <v>7.76</v>
      </c>
      <c r="E17296" t="s">
        <v>16</v>
      </c>
    </row>
    <row r="17297" spans="1:5" x14ac:dyDescent="0.25">
      <c r="A17297" t="str">
        <f>HYPERLINK("https://www.773grp.com/globalSearch/MC10H164MG/page-1", "MC10H164MG")</f>
        <v>MC10H164MG</v>
      </c>
      <c r="B17297" s="3" t="s">
        <v>74</v>
      </c>
      <c r="C17297" s="6">
        <v>2800</v>
      </c>
      <c r="D17297" s="7">
        <v>7.76</v>
      </c>
      <c r="E17297" t="s">
        <v>16</v>
      </c>
    </row>
    <row r="17298" spans="1:5" x14ac:dyDescent="0.25">
      <c r="A17298" t="str">
        <f>HYPERLINK("https://www.773grp.com/globalSearch/MC10H174FN/page-1", "MC10H174FN")</f>
        <v>MC10H174FN</v>
      </c>
      <c r="B17298" s="3" t="s">
        <v>74</v>
      </c>
      <c r="C17298" s="6">
        <v>3174</v>
      </c>
      <c r="D17298" s="7">
        <v>7.76</v>
      </c>
      <c r="E17298" t="s">
        <v>16</v>
      </c>
    </row>
    <row r="17299" spans="1:5" x14ac:dyDescent="0.25">
      <c r="A17299" t="str">
        <f>HYPERLINK("https://www.773grp.com/globalSearch/MC10H174FNG/page-1", "MC10H174FNG")</f>
        <v>MC10H174FNG</v>
      </c>
      <c r="B17299" s="3" t="s">
        <v>74</v>
      </c>
      <c r="C17299" s="6">
        <v>5233</v>
      </c>
      <c r="D17299" s="7">
        <v>7.76</v>
      </c>
      <c r="E17299" t="s">
        <v>16</v>
      </c>
    </row>
    <row r="17300" spans="1:5" x14ac:dyDescent="0.25">
      <c r="A17300" t="str">
        <f>HYPERLINK("https://www.773grp.com/globalSearch/MC10H174MG/page-1", "MC10H174MG")</f>
        <v>MC10H174MG</v>
      </c>
      <c r="B17300" s="3" t="s">
        <v>74</v>
      </c>
      <c r="C17300" s="6">
        <v>4750</v>
      </c>
      <c r="D17300" s="7">
        <v>7.76</v>
      </c>
      <c r="E17300" t="s">
        <v>16</v>
      </c>
    </row>
    <row r="17301" spans="1:5" x14ac:dyDescent="0.25">
      <c r="A17301" t="str">
        <f>HYPERLINK("https://www.773grp.com/globalSearch/CAT28C16AXI20/page-1", "CAT28C16AXI20")</f>
        <v>CAT28C16AXI20</v>
      </c>
      <c r="B17301" s="3" t="s">
        <v>74</v>
      </c>
      <c r="C17301" s="6">
        <v>1</v>
      </c>
      <c r="D17301" s="7">
        <v>7.8</v>
      </c>
      <c r="E17301" t="s">
        <v>52</v>
      </c>
    </row>
    <row r="17302" spans="1:5" x14ac:dyDescent="0.25">
      <c r="A17302" t="str">
        <f>HYPERLINK("https://www.773grp.com/globalSearch/LV47009P-E/page-1", "LV47009P-E")</f>
        <v>LV47009P-E</v>
      </c>
      <c r="B17302" s="3" t="s">
        <v>74</v>
      </c>
      <c r="C17302" s="6">
        <v>120</v>
      </c>
      <c r="D17302" s="7">
        <v>7.81</v>
      </c>
    </row>
    <row r="17303" spans="1:5" x14ac:dyDescent="0.25">
      <c r="A17303" t="str">
        <f>HYPERLINK("https://www.773grp.com/globalSearch/MC10H188FN/page-1", "MC10H188FN")</f>
        <v>MC10H188FN</v>
      </c>
      <c r="B17303" s="3" t="s">
        <v>74</v>
      </c>
      <c r="C17303" s="6">
        <v>4053</v>
      </c>
      <c r="D17303" s="7">
        <v>7.81</v>
      </c>
      <c r="E17303" t="s">
        <v>27</v>
      </c>
    </row>
    <row r="17304" spans="1:5" x14ac:dyDescent="0.25">
      <c r="A17304" t="str">
        <f>HYPERLINK("https://www.773grp.com/globalSearch/MC10H188FNR2/page-1", "MC10H188FNR2")</f>
        <v>MC10H188FNR2</v>
      </c>
      <c r="B17304" s="3" t="s">
        <v>74</v>
      </c>
      <c r="C17304" s="6">
        <v>6500</v>
      </c>
      <c r="D17304" s="7">
        <v>7.81</v>
      </c>
      <c r="E17304" t="s">
        <v>27</v>
      </c>
    </row>
    <row r="17305" spans="1:5" x14ac:dyDescent="0.25">
      <c r="A17305" t="str">
        <f>HYPERLINK("https://www.773grp.com/globalSearch/MC10H188MEL/page-1", "MC10H188MEL")</f>
        <v>MC10H188MEL</v>
      </c>
      <c r="B17305" s="3" t="s">
        <v>74</v>
      </c>
      <c r="C17305" s="6">
        <v>2000</v>
      </c>
      <c r="D17305" s="7">
        <v>7.81</v>
      </c>
      <c r="E17305" t="s">
        <v>27</v>
      </c>
    </row>
    <row r="17306" spans="1:5" x14ac:dyDescent="0.25">
      <c r="A17306" t="str">
        <f>HYPERLINK("https://www.773grp.com/globalSearch/MC10H189FN/page-1", "MC10H189FN")</f>
        <v>MC10H189FN</v>
      </c>
      <c r="B17306" s="3" t="s">
        <v>74</v>
      </c>
      <c r="C17306" s="6">
        <v>3914</v>
      </c>
      <c r="D17306" s="7">
        <v>7.81</v>
      </c>
      <c r="E17306" t="s">
        <v>27</v>
      </c>
    </row>
    <row r="17307" spans="1:5" x14ac:dyDescent="0.25">
      <c r="A17307" t="str">
        <f>HYPERLINK("https://www.773grp.com/globalSearch/MC10H189M/page-1", "MC10H189M")</f>
        <v>MC10H189M</v>
      </c>
      <c r="B17307" s="3" t="s">
        <v>74</v>
      </c>
      <c r="C17307" s="6">
        <v>1250</v>
      </c>
      <c r="D17307" s="7">
        <v>7.81</v>
      </c>
      <c r="E17307" t="s">
        <v>27</v>
      </c>
    </row>
    <row r="17308" spans="1:5" x14ac:dyDescent="0.25">
      <c r="A17308" t="str">
        <f>HYPERLINK("https://www.773grp.com/globalSearch/MC14598BCPG/page-1", "MC14598BCPG")</f>
        <v>MC14598BCPG</v>
      </c>
      <c r="B17308" s="3" t="s">
        <v>74</v>
      </c>
      <c r="C17308" s="6">
        <v>2915</v>
      </c>
      <c r="D17308" s="7">
        <v>7.81</v>
      </c>
      <c r="E17308" t="s">
        <v>31</v>
      </c>
    </row>
    <row r="17309" spans="1:5" x14ac:dyDescent="0.25">
      <c r="A17309" t="str">
        <f>HYPERLINK("https://www.773grp.com/globalSearch/LV49157V-MPB-H/page-1", "LV49157V-MPB-H")</f>
        <v>LV49157V-MPB-H</v>
      </c>
      <c r="B17309" s="3" t="s">
        <v>74</v>
      </c>
      <c r="C17309" s="6">
        <v>120</v>
      </c>
      <c r="D17309" s="7">
        <v>7.85</v>
      </c>
    </row>
    <row r="17310" spans="1:5" x14ac:dyDescent="0.25">
      <c r="A17310" t="str">
        <f>HYPERLINK("https://www.773grp.com/globalSearch/MC10H124P/page-1", "MC10H124P")</f>
        <v>MC10H124P</v>
      </c>
      <c r="B17310" s="3" t="s">
        <v>74</v>
      </c>
      <c r="C17310" s="6">
        <v>1750</v>
      </c>
      <c r="D17310" s="7">
        <v>7.85</v>
      </c>
    </row>
    <row r="17311" spans="1:5" x14ac:dyDescent="0.25">
      <c r="A17311" t="str">
        <f>HYPERLINK("https://www.773grp.com/globalSearch/MC10H124PG/page-1", "MC10H124PG")</f>
        <v>MC10H124PG</v>
      </c>
      <c r="B17311" s="3" t="s">
        <v>74</v>
      </c>
      <c r="C17311" s="6">
        <v>25</v>
      </c>
      <c r="D17311" s="7">
        <v>7.85</v>
      </c>
    </row>
    <row r="17312" spans="1:5" x14ac:dyDescent="0.25">
      <c r="A17312" t="str">
        <f>HYPERLINK("https://www.773grp.com/globalSearch/MC10H125PG/page-1", "MC10H125PG")</f>
        <v>MC10H125PG</v>
      </c>
      <c r="B17312" s="3" t="s">
        <v>74</v>
      </c>
      <c r="C17312" s="6">
        <v>15440</v>
      </c>
      <c r="D17312" s="7">
        <v>7.85</v>
      </c>
      <c r="E17312" t="s">
        <v>61</v>
      </c>
    </row>
    <row r="17313" spans="1:5" x14ac:dyDescent="0.25">
      <c r="A17313" t="str">
        <f>HYPERLINK("https://www.773grp.com/globalSearch/MC10H131PG/page-1", "MC10H131PG")</f>
        <v>MC10H131PG</v>
      </c>
      <c r="B17313" s="3" t="s">
        <v>74</v>
      </c>
      <c r="C17313" s="6">
        <v>4782</v>
      </c>
      <c r="D17313" s="7">
        <v>7.85</v>
      </c>
      <c r="E17313" t="s">
        <v>31</v>
      </c>
    </row>
    <row r="17314" spans="1:5" x14ac:dyDescent="0.25">
      <c r="A17314" t="str">
        <f>HYPERLINK("https://www.773grp.com/globalSearch/LC75813TS-E/page-1", "LC75813TS-E")</f>
        <v>LC75813TS-E</v>
      </c>
      <c r="B17314" s="3" t="s">
        <v>74</v>
      </c>
      <c r="C17314" s="6">
        <v>270</v>
      </c>
      <c r="D17314" s="7">
        <v>7.88</v>
      </c>
    </row>
    <row r="17315" spans="1:5" x14ac:dyDescent="0.25">
      <c r="A17315" t="str">
        <f>HYPERLINK("https://www.773grp.com/globalSearch/MC100H601FN/page-1", "MC100H601FN")</f>
        <v>MC100H601FN</v>
      </c>
      <c r="B17315" s="3" t="s">
        <v>74</v>
      </c>
      <c r="C17315" s="6">
        <v>22</v>
      </c>
      <c r="D17315" s="7">
        <v>7.88</v>
      </c>
      <c r="E17315" t="s">
        <v>61</v>
      </c>
    </row>
    <row r="17316" spans="1:5" x14ac:dyDescent="0.25">
      <c r="A17316" t="str">
        <f>HYPERLINK("https://www.773grp.com/globalSearch/MC100H603FN/page-1", "MC100H603FN")</f>
        <v>MC100H603FN</v>
      </c>
      <c r="B17316" s="3" t="s">
        <v>74</v>
      </c>
      <c r="C17316" s="6">
        <v>1679</v>
      </c>
      <c r="D17316" s="7">
        <v>7.88</v>
      </c>
      <c r="E17316" t="s">
        <v>61</v>
      </c>
    </row>
    <row r="17317" spans="1:5" x14ac:dyDescent="0.25">
      <c r="A17317" t="str">
        <f>HYPERLINK("https://www.773grp.com/globalSearch/MC100H606FN/page-1", "MC100H606FN")</f>
        <v>MC100H606FN</v>
      </c>
      <c r="B17317" s="3" t="s">
        <v>74</v>
      </c>
      <c r="C17317" s="6">
        <v>37</v>
      </c>
      <c r="D17317" s="7">
        <v>7.88</v>
      </c>
      <c r="E17317" t="s">
        <v>61</v>
      </c>
    </row>
    <row r="17318" spans="1:5" x14ac:dyDescent="0.25">
      <c r="A17318" t="str">
        <f>HYPERLINK("https://www.773grp.com/globalSearch/MC100H607FN/page-1", "MC100H607FN")</f>
        <v>MC100H607FN</v>
      </c>
      <c r="B17318" s="3" t="s">
        <v>74</v>
      </c>
      <c r="C17318" s="6">
        <v>1050</v>
      </c>
      <c r="D17318" s="7">
        <v>7.88</v>
      </c>
      <c r="E17318" t="s">
        <v>61</v>
      </c>
    </row>
    <row r="17319" spans="1:5" x14ac:dyDescent="0.25">
      <c r="A17319" t="str">
        <f>HYPERLINK("https://www.773grp.com/globalSearch/MC100H607FNG/page-1", "MC100H607FNG")</f>
        <v>MC100H607FNG</v>
      </c>
      <c r="B17319" s="3" t="s">
        <v>74</v>
      </c>
      <c r="C17319" s="6">
        <v>565</v>
      </c>
      <c r="D17319" s="7">
        <v>7.88</v>
      </c>
      <c r="E17319" t="s">
        <v>61</v>
      </c>
    </row>
    <row r="17320" spans="1:5" x14ac:dyDescent="0.25">
      <c r="A17320" t="str">
        <f>HYPERLINK("https://www.773grp.com/globalSearch/MC100H641FN/page-1", "MC100H641FN")</f>
        <v>MC100H641FN</v>
      </c>
      <c r="B17320" s="3" t="s">
        <v>74</v>
      </c>
      <c r="C17320" s="6">
        <v>88</v>
      </c>
      <c r="D17320" s="7">
        <v>7.88</v>
      </c>
      <c r="E17320" t="s">
        <v>30</v>
      </c>
    </row>
    <row r="17321" spans="1:5" x14ac:dyDescent="0.25">
      <c r="A17321" t="str">
        <f>HYPERLINK("https://www.773grp.com/globalSearch/MC100H646FN/page-1", "MC100H646FN")</f>
        <v>MC100H646FN</v>
      </c>
      <c r="B17321" s="3" t="s">
        <v>74</v>
      </c>
      <c r="C17321" s="6">
        <v>37</v>
      </c>
      <c r="D17321" s="7">
        <v>7.88</v>
      </c>
      <c r="E17321" t="s">
        <v>30</v>
      </c>
    </row>
    <row r="17322" spans="1:5" x14ac:dyDescent="0.25">
      <c r="A17322" t="str">
        <f>HYPERLINK("https://www.773grp.com/globalSearch/MC100H646FNR2/page-1", "MC100H646FNR2")</f>
        <v>MC100H646FNR2</v>
      </c>
      <c r="B17322" s="3" t="s">
        <v>74</v>
      </c>
      <c r="C17322" s="6">
        <v>2500</v>
      </c>
      <c r="D17322" s="7">
        <v>7.88</v>
      </c>
      <c r="E17322" t="s">
        <v>30</v>
      </c>
    </row>
    <row r="17323" spans="1:5" x14ac:dyDescent="0.25">
      <c r="A17323" t="str">
        <f>HYPERLINK("https://www.773grp.com/globalSearch/MC10175L/page-1", "MC10175L")</f>
        <v>MC10175L</v>
      </c>
      <c r="B17323" s="3" t="s">
        <v>74</v>
      </c>
      <c r="C17323" s="6">
        <v>400</v>
      </c>
      <c r="D17323" s="7">
        <v>7.88</v>
      </c>
      <c r="E17323" t="s">
        <v>31</v>
      </c>
    </row>
    <row r="17324" spans="1:5" x14ac:dyDescent="0.25">
      <c r="A17324" t="str">
        <f>HYPERLINK("https://www.773grp.com/globalSearch/MC10H600FN/page-1", "MC10H600FN")</f>
        <v>MC10H600FN</v>
      </c>
      <c r="B17324" s="3" t="s">
        <v>74</v>
      </c>
      <c r="C17324" s="6">
        <v>1603</v>
      </c>
      <c r="D17324" s="7">
        <v>7.88</v>
      </c>
      <c r="E17324" t="s">
        <v>61</v>
      </c>
    </row>
    <row r="17325" spans="1:5" x14ac:dyDescent="0.25">
      <c r="A17325" t="str">
        <f>HYPERLINK("https://www.773grp.com/globalSearch/MC10H600FNR2/page-1", "MC10H600FNR2")</f>
        <v>MC10H600FNR2</v>
      </c>
      <c r="B17325" s="3" t="s">
        <v>74</v>
      </c>
      <c r="C17325" s="6">
        <v>500</v>
      </c>
      <c r="D17325" s="7">
        <v>7.88</v>
      </c>
      <c r="E17325" t="s">
        <v>61</v>
      </c>
    </row>
    <row r="17326" spans="1:5" x14ac:dyDescent="0.25">
      <c r="A17326" t="str">
        <f>HYPERLINK("https://www.773grp.com/globalSearch/MC10H601FN/page-1", "MC10H601FN")</f>
        <v>MC10H601FN</v>
      </c>
      <c r="B17326" s="3" t="s">
        <v>74</v>
      </c>
      <c r="C17326" s="6">
        <v>1750</v>
      </c>
      <c r="D17326" s="7">
        <v>7.88</v>
      </c>
      <c r="E17326" t="s">
        <v>61</v>
      </c>
    </row>
    <row r="17327" spans="1:5" x14ac:dyDescent="0.25">
      <c r="A17327" t="str">
        <f>HYPERLINK("https://www.773grp.com/globalSearch/MC10H601FNR2/page-1", "MC10H601FNR2")</f>
        <v>MC10H601FNR2</v>
      </c>
      <c r="B17327" s="3" t="s">
        <v>74</v>
      </c>
      <c r="C17327" s="6">
        <v>15000</v>
      </c>
      <c r="D17327" s="7">
        <v>7.88</v>
      </c>
      <c r="E17327" t="s">
        <v>61</v>
      </c>
    </row>
    <row r="17328" spans="1:5" x14ac:dyDescent="0.25">
      <c r="A17328" t="str">
        <f>HYPERLINK("https://www.773grp.com/globalSearch/MC10H603FN/page-1", "MC10H603FN")</f>
        <v>MC10H603FN</v>
      </c>
      <c r="B17328" s="3" t="s">
        <v>74</v>
      </c>
      <c r="C17328" s="6">
        <v>619</v>
      </c>
      <c r="D17328" s="7">
        <v>7.88</v>
      </c>
      <c r="E17328" t="s">
        <v>61</v>
      </c>
    </row>
    <row r="17329" spans="1:5" x14ac:dyDescent="0.25">
      <c r="A17329" t="str">
        <f>HYPERLINK("https://www.773grp.com/globalSearch/MC10H607FN/page-1", "MC10H607FN")</f>
        <v>MC10H607FN</v>
      </c>
      <c r="B17329" s="3" t="s">
        <v>74</v>
      </c>
      <c r="C17329" s="6">
        <v>9938</v>
      </c>
      <c r="D17329" s="7">
        <v>7.88</v>
      </c>
      <c r="E17329" t="s">
        <v>61</v>
      </c>
    </row>
    <row r="17330" spans="1:5" x14ac:dyDescent="0.25">
      <c r="A17330" t="str">
        <f>HYPERLINK("https://www.773grp.com/globalSearch/MC10H641FN/page-1", "MC10H641FN")</f>
        <v>MC10H641FN</v>
      </c>
      <c r="B17330" s="3" t="s">
        <v>74</v>
      </c>
      <c r="C17330" s="6">
        <v>2539</v>
      </c>
      <c r="D17330" s="7">
        <v>7.88</v>
      </c>
      <c r="E17330" t="s">
        <v>30</v>
      </c>
    </row>
    <row r="17331" spans="1:5" x14ac:dyDescent="0.25">
      <c r="A17331" t="str">
        <f>HYPERLINK("https://www.773grp.com/globalSearch/MC10H641FNR2/page-1", "MC10H641FNR2")</f>
        <v>MC10H641FNR2</v>
      </c>
      <c r="B17331" s="3" t="s">
        <v>74</v>
      </c>
      <c r="C17331" s="6">
        <v>15500</v>
      </c>
      <c r="D17331" s="7">
        <v>7.88</v>
      </c>
      <c r="E17331" t="s">
        <v>30</v>
      </c>
    </row>
    <row r="17332" spans="1:5" x14ac:dyDescent="0.25">
      <c r="A17332" t="str">
        <f>HYPERLINK("https://www.773grp.com/globalSearch/MC10H646FN/page-1", "MC10H646FN")</f>
        <v>MC10H646FN</v>
      </c>
      <c r="B17332" s="3" t="s">
        <v>74</v>
      </c>
      <c r="C17332" s="6">
        <v>1393</v>
      </c>
      <c r="D17332" s="7">
        <v>7.88</v>
      </c>
      <c r="E17332" t="s">
        <v>30</v>
      </c>
    </row>
    <row r="17333" spans="1:5" x14ac:dyDescent="0.25">
      <c r="A17333" t="str">
        <f>HYPERLINK("https://www.773grp.com/globalSearch/MC10H646FNR2/page-1", "MC10H646FNR2")</f>
        <v>MC10H646FNR2</v>
      </c>
      <c r="B17333" s="3" t="s">
        <v>74</v>
      </c>
      <c r="C17333" s="6">
        <v>2488</v>
      </c>
      <c r="D17333" s="7">
        <v>7.88</v>
      </c>
      <c r="E17333" t="s">
        <v>30</v>
      </c>
    </row>
    <row r="17334" spans="1:5" x14ac:dyDescent="0.25">
      <c r="A17334" t="str">
        <f>HYPERLINK("https://www.773grp.com/globalSearch/LA4705NA-E/page-1", "LA4705NA-E")</f>
        <v>LA4705NA-E</v>
      </c>
      <c r="B17334" s="3" t="s">
        <v>74</v>
      </c>
      <c r="C17334" s="6">
        <v>600</v>
      </c>
      <c r="D17334" s="7">
        <v>7.9</v>
      </c>
    </row>
    <row r="17335" spans="1:5" x14ac:dyDescent="0.25">
      <c r="A17335" t="str">
        <f>HYPERLINK("https://www.773grp.com/globalSearch/LC898113-TBM-H/page-1", "LC898113-TBM-H")</f>
        <v>LC898113-TBM-H</v>
      </c>
      <c r="B17335" s="3" t="s">
        <v>74</v>
      </c>
      <c r="C17335" s="6">
        <v>144000</v>
      </c>
      <c r="D17335" s="7">
        <v>7.9</v>
      </c>
    </row>
    <row r="17336" spans="1:5" x14ac:dyDescent="0.25">
      <c r="A17336" t="str">
        <f>HYPERLINK("https://www.773grp.com/globalSearch/STK404-070N-E/page-1", "STK404-070N-E")</f>
        <v>STK404-070N-E</v>
      </c>
      <c r="B17336" s="3" t="s">
        <v>74</v>
      </c>
      <c r="C17336" s="6">
        <v>250</v>
      </c>
      <c r="D17336" s="7">
        <v>7.9</v>
      </c>
    </row>
    <row r="17337" spans="1:5" x14ac:dyDescent="0.25">
      <c r="A17337" t="str">
        <f>HYPERLINK("https://www.773grp.com/globalSearch/MC10188FN/page-1", "MC10188FN")</f>
        <v>MC10188FN</v>
      </c>
      <c r="B17337" s="3" t="s">
        <v>74</v>
      </c>
      <c r="C17337" s="6">
        <v>2430</v>
      </c>
      <c r="D17337" s="7">
        <v>7.94</v>
      </c>
      <c r="E17337" t="s">
        <v>27</v>
      </c>
    </row>
    <row r="17338" spans="1:5" x14ac:dyDescent="0.25">
      <c r="A17338" t="str">
        <f>HYPERLINK("https://www.773grp.com/globalSearch/MR10120E/page-1", "MR10120E")</f>
        <v>MR10120E</v>
      </c>
      <c r="B17338" s="3" t="s">
        <v>74</v>
      </c>
      <c r="C17338" s="6">
        <v>2166</v>
      </c>
      <c r="D17338" s="7">
        <v>7.94</v>
      </c>
    </row>
    <row r="17339" spans="1:5" x14ac:dyDescent="0.25">
      <c r="A17339" t="str">
        <f>HYPERLINK("https://www.773grp.com/globalSearch/MC10186FN/page-1", "MC10186FN")</f>
        <v>MC10186FN</v>
      </c>
      <c r="B17339" s="3" t="s">
        <v>74</v>
      </c>
      <c r="C17339" s="6">
        <v>1840</v>
      </c>
      <c r="D17339" s="7">
        <v>8.01</v>
      </c>
      <c r="E17339" t="s">
        <v>31</v>
      </c>
    </row>
    <row r="17340" spans="1:5" x14ac:dyDescent="0.25">
      <c r="A17340" t="str">
        <f>HYPERLINK("https://www.773grp.com/globalSearch/MJW18020G/page-1", "MJW18020G")</f>
        <v>MJW18020G</v>
      </c>
      <c r="B17340" s="3" t="s">
        <v>74</v>
      </c>
      <c r="C17340" s="6">
        <v>7</v>
      </c>
      <c r="D17340" s="7">
        <v>8.01</v>
      </c>
      <c r="E17340" t="s">
        <v>47</v>
      </c>
    </row>
    <row r="17341" spans="1:5" x14ac:dyDescent="0.25">
      <c r="A17341" t="str">
        <f>HYPERLINK("https://www.773grp.com/globalSearch/NBC12429FA/page-1", "NBC12429FA")</f>
        <v>NBC12429FA</v>
      </c>
      <c r="B17341" s="3" t="s">
        <v>74</v>
      </c>
      <c r="C17341" s="6">
        <v>3</v>
      </c>
      <c r="D17341" s="7">
        <v>8.01</v>
      </c>
      <c r="E17341" t="s">
        <v>65</v>
      </c>
    </row>
    <row r="17342" spans="1:5" x14ac:dyDescent="0.25">
      <c r="A17342" t="str">
        <f>HYPERLINK("https://www.773grp.com/globalSearch/NBC12430FA/page-1", "NBC12430FA")</f>
        <v>NBC12430FA</v>
      </c>
      <c r="B17342" s="3" t="s">
        <v>74</v>
      </c>
      <c r="C17342" s="6">
        <v>3424</v>
      </c>
      <c r="D17342" s="7">
        <v>8.01</v>
      </c>
      <c r="E17342" t="s">
        <v>65</v>
      </c>
    </row>
    <row r="17343" spans="1:5" x14ac:dyDescent="0.25">
      <c r="A17343" t="str">
        <f>HYPERLINK("https://www.773grp.com/globalSearch/FS7145-02G-XTD/page-1", "FS7145-02G-XTD")</f>
        <v>FS7145-02G-XTD</v>
      </c>
      <c r="B17343" s="3" t="s">
        <v>74</v>
      </c>
      <c r="C17343" s="6">
        <v>138</v>
      </c>
      <c r="D17343" s="7">
        <v>8.0500000000000007</v>
      </c>
    </row>
    <row r="17344" spans="1:5" x14ac:dyDescent="0.25">
      <c r="A17344" t="str">
        <f>HYPERLINK("https://www.773grp.com/globalSearch/FS7140-01G-XTP/page-1", "FS7140-01G-XTP")</f>
        <v>FS7140-01G-XTP</v>
      </c>
      <c r="B17344" s="3" t="s">
        <v>74</v>
      </c>
      <c r="C17344" s="6">
        <v>2725</v>
      </c>
      <c r="D17344" s="7">
        <v>8.06</v>
      </c>
    </row>
    <row r="17345" spans="1:5" x14ac:dyDescent="0.25">
      <c r="A17345" t="str">
        <f>HYPERLINK("https://www.773grp.com/globalSearch/MC10SX1130D/page-1", "MC10SX1130D")</f>
        <v>MC10SX1130D</v>
      </c>
      <c r="B17345" s="3" t="s">
        <v>74</v>
      </c>
      <c r="C17345" s="6">
        <v>6500</v>
      </c>
      <c r="D17345" s="7">
        <v>8.1</v>
      </c>
      <c r="E17345" t="s">
        <v>7</v>
      </c>
    </row>
    <row r="17346" spans="1:5" x14ac:dyDescent="0.25">
      <c r="A17346" t="str">
        <f>HYPERLINK("https://www.773grp.com/globalSearch/ADT7462ACPZ-REEL/page-1", "ADT7462ACPZ-REEL")</f>
        <v>ADT7462ACPZ-REEL</v>
      </c>
      <c r="B17346" s="3" t="s">
        <v>74</v>
      </c>
      <c r="C17346" s="6">
        <v>6202</v>
      </c>
      <c r="D17346" s="7">
        <v>8.14</v>
      </c>
    </row>
    <row r="17347" spans="1:5" x14ac:dyDescent="0.25">
      <c r="A17347" t="str">
        <f>HYPERLINK("https://www.773grp.com/globalSearch/ADT7467ARQZ-REEL/page-1", "ADT7467ARQZ-REEL")</f>
        <v>ADT7467ARQZ-REEL</v>
      </c>
      <c r="B17347" s="3" t="s">
        <v>74</v>
      </c>
      <c r="C17347" s="6">
        <v>6938</v>
      </c>
      <c r="D17347" s="7">
        <v>8.15</v>
      </c>
      <c r="E17347" t="s">
        <v>36</v>
      </c>
    </row>
    <row r="17348" spans="1:5" x14ac:dyDescent="0.25">
      <c r="A17348" t="str">
        <f>HYPERLINK("https://www.773grp.com/globalSearch/JANTXV2N2907A/page-1", "JANTXV2N2907A")</f>
        <v>JANTXV2N2907A</v>
      </c>
      <c r="B17348" s="3" t="s">
        <v>74</v>
      </c>
      <c r="C17348" s="6">
        <v>3000</v>
      </c>
      <c r="D17348" s="7">
        <v>8.15</v>
      </c>
      <c r="E17348" t="s">
        <v>57</v>
      </c>
    </row>
    <row r="17349" spans="1:5" x14ac:dyDescent="0.25">
      <c r="A17349" t="str">
        <f>HYPERLINK("https://www.773grp.com/globalSearch/LB11920-E/page-1", "LB11920-E")</f>
        <v>LB11920-E</v>
      </c>
      <c r="B17349" s="3" t="s">
        <v>74</v>
      </c>
      <c r="C17349" s="6">
        <v>818</v>
      </c>
      <c r="D17349" s="7">
        <v>8.15</v>
      </c>
    </row>
    <row r="17350" spans="1:5" x14ac:dyDescent="0.25">
      <c r="A17350" t="str">
        <f>HYPERLINK("https://www.773grp.com/globalSearch/LC75812PTS-8565-H/page-1", "LC75812PTS-8565-H")</f>
        <v>LC75812PTS-8565-H</v>
      </c>
      <c r="B17350" s="3" t="s">
        <v>74</v>
      </c>
      <c r="C17350" s="6">
        <v>79</v>
      </c>
      <c r="D17350" s="7">
        <v>8.15</v>
      </c>
    </row>
    <row r="17351" spans="1:5" x14ac:dyDescent="0.25">
      <c r="A17351" t="str">
        <f>HYPERLINK("https://www.773grp.com/globalSearch/MC100EP35D/page-1", "MC100EP35D")</f>
        <v>MC100EP35D</v>
      </c>
      <c r="B17351" s="3" t="s">
        <v>74</v>
      </c>
      <c r="C17351" s="6">
        <v>8828</v>
      </c>
      <c r="D17351" s="7">
        <v>8.15</v>
      </c>
      <c r="E17351" t="s">
        <v>31</v>
      </c>
    </row>
    <row r="17352" spans="1:5" x14ac:dyDescent="0.25">
      <c r="A17352" t="str">
        <f>HYPERLINK("https://www.773grp.com/globalSearch/MC100EP35DR2/page-1", "MC100EP35DR2")</f>
        <v>MC100EP35DR2</v>
      </c>
      <c r="B17352" s="3" t="s">
        <v>74</v>
      </c>
      <c r="C17352" s="6">
        <v>12500</v>
      </c>
      <c r="D17352" s="7">
        <v>8.15</v>
      </c>
      <c r="E17352" t="s">
        <v>31</v>
      </c>
    </row>
    <row r="17353" spans="1:5" x14ac:dyDescent="0.25">
      <c r="A17353" t="str">
        <f>HYPERLINK("https://www.773grp.com/globalSearch/MC100EP35DT/page-1", "MC100EP35DT")</f>
        <v>MC100EP35DT</v>
      </c>
      <c r="B17353" s="3" t="s">
        <v>74</v>
      </c>
      <c r="C17353" s="6">
        <v>1175</v>
      </c>
      <c r="D17353" s="7">
        <v>8.15</v>
      </c>
      <c r="E17353" t="s">
        <v>31</v>
      </c>
    </row>
    <row r="17354" spans="1:5" x14ac:dyDescent="0.25">
      <c r="A17354" t="str">
        <f>HYPERLINK("https://www.773grp.com/globalSearch/MC10EP35D/page-1", "MC10EP35D")</f>
        <v>MC10EP35D</v>
      </c>
      <c r="B17354" s="3" t="s">
        <v>74</v>
      </c>
      <c r="C17354" s="6">
        <v>13610</v>
      </c>
      <c r="D17354" s="7">
        <v>8.15</v>
      </c>
      <c r="E17354" t="s">
        <v>31</v>
      </c>
    </row>
    <row r="17355" spans="1:5" x14ac:dyDescent="0.25">
      <c r="A17355" t="str">
        <f>HYPERLINK("https://www.773grp.com/globalSearch/MC10EP35DT/page-1", "MC10EP35DT")</f>
        <v>MC10EP35DT</v>
      </c>
      <c r="B17355" s="3" t="s">
        <v>74</v>
      </c>
      <c r="C17355" s="6">
        <v>3995</v>
      </c>
      <c r="D17355" s="7">
        <v>8.15</v>
      </c>
      <c r="E17355" t="s">
        <v>31</v>
      </c>
    </row>
    <row r="17356" spans="1:5" x14ac:dyDescent="0.25">
      <c r="A17356" t="str">
        <f>HYPERLINK("https://www.773grp.com/globalSearch/MBR6045PTG/page-1", "MBR6045PTG")</f>
        <v>MBR6045PTG</v>
      </c>
      <c r="B17356" s="3" t="s">
        <v>74</v>
      </c>
      <c r="C17356" s="6">
        <v>10</v>
      </c>
      <c r="D17356" s="7">
        <v>8.19</v>
      </c>
    </row>
    <row r="17357" spans="1:5" x14ac:dyDescent="0.25">
      <c r="A17357" t="str">
        <f>HYPERLINK("https://www.773grp.com/globalSearch/MC10170L/page-1", "MC10170L")</f>
        <v>MC10170L</v>
      </c>
      <c r="B17357" s="3" t="s">
        <v>74</v>
      </c>
      <c r="C17357" s="6">
        <v>500</v>
      </c>
      <c r="D17357" s="7">
        <v>8.19</v>
      </c>
      <c r="E17357" t="s">
        <v>38</v>
      </c>
    </row>
    <row r="17358" spans="1:5" x14ac:dyDescent="0.25">
      <c r="A17358" t="str">
        <f>HYPERLINK("https://www.773grp.com/globalSearch/MC10H189L/page-1", "MC10H189L")</f>
        <v>MC10H189L</v>
      </c>
      <c r="B17358" s="3" t="s">
        <v>74</v>
      </c>
      <c r="C17358" s="6">
        <v>45</v>
      </c>
      <c r="D17358" s="7">
        <v>8.19</v>
      </c>
      <c r="E17358" t="s">
        <v>27</v>
      </c>
    </row>
    <row r="17359" spans="1:5" x14ac:dyDescent="0.25">
      <c r="A17359" t="str">
        <f>HYPERLINK("https://www.773grp.com/globalSearch/MC10H350ML1/page-1", "MC10H350ML1")</f>
        <v>MC10H350ML1</v>
      </c>
      <c r="B17359" s="3" t="s">
        <v>74</v>
      </c>
      <c r="C17359" s="6">
        <v>1000</v>
      </c>
      <c r="D17359" s="7">
        <v>8.19</v>
      </c>
    </row>
    <row r="17360" spans="1:5" x14ac:dyDescent="0.25">
      <c r="A17360" t="str">
        <f>HYPERLINK("https://www.773grp.com/globalSearch/MC10H130FNG/page-1", "MC10H130FNG")</f>
        <v>MC10H130FNG</v>
      </c>
      <c r="B17360" s="3" t="s">
        <v>74</v>
      </c>
      <c r="C17360" s="6">
        <v>3170</v>
      </c>
      <c r="D17360" s="7">
        <v>8.24</v>
      </c>
      <c r="E17360" t="s">
        <v>31</v>
      </c>
    </row>
    <row r="17361" spans="1:5" x14ac:dyDescent="0.25">
      <c r="A17361" t="str">
        <f>HYPERLINK("https://www.773grp.com/globalSearch/MC10H130FNR2/page-1", "MC10H130FNR2")</f>
        <v>MC10H130FNR2</v>
      </c>
      <c r="B17361" s="3" t="s">
        <v>74</v>
      </c>
      <c r="C17361" s="6">
        <v>3000</v>
      </c>
      <c r="D17361" s="7">
        <v>8.24</v>
      </c>
      <c r="E17361" t="s">
        <v>31</v>
      </c>
    </row>
    <row r="17362" spans="1:5" x14ac:dyDescent="0.25">
      <c r="A17362" t="str">
        <f>HYPERLINK("https://www.773grp.com/globalSearch/MC14490FELG/page-1", "MC14490FELG")</f>
        <v>MC14490FELG</v>
      </c>
      <c r="B17362" s="3" t="s">
        <v>74</v>
      </c>
      <c r="C17362" s="6">
        <v>5230</v>
      </c>
      <c r="D17362" s="7">
        <v>8.24</v>
      </c>
      <c r="E17362" t="s">
        <v>28</v>
      </c>
    </row>
    <row r="17363" spans="1:5" x14ac:dyDescent="0.25">
      <c r="A17363" t="str">
        <f>HYPERLINK("https://www.773grp.com/globalSearch/MC10H158PG/page-1", "MC10H158PG")</f>
        <v>MC10H158PG</v>
      </c>
      <c r="B17363" s="3" t="s">
        <v>74</v>
      </c>
      <c r="C17363" s="6">
        <v>8238</v>
      </c>
      <c r="D17363" s="7">
        <v>8.2799999999999994</v>
      </c>
      <c r="E17363" t="s">
        <v>16</v>
      </c>
    </row>
    <row r="17364" spans="1:5" x14ac:dyDescent="0.25">
      <c r="A17364" t="str">
        <f>HYPERLINK("https://www.773grp.com/globalSearch/ADT7460ARQ-REEL/page-1", "ADT7460ARQ-REEL")</f>
        <v>ADT7460ARQ-REEL</v>
      </c>
      <c r="B17364" s="3" t="s">
        <v>74</v>
      </c>
      <c r="C17364" s="6">
        <v>40000</v>
      </c>
      <c r="D17364" s="7">
        <v>8.3000000000000007</v>
      </c>
      <c r="E17364" t="s">
        <v>36</v>
      </c>
    </row>
    <row r="17365" spans="1:5" x14ac:dyDescent="0.25">
      <c r="A17365" t="str">
        <f>HYPERLINK("https://www.773grp.com/globalSearch/ADT7460ARQ-REEL7/page-1", "ADT7460ARQ-REEL7")</f>
        <v>ADT7460ARQ-REEL7</v>
      </c>
      <c r="B17365" s="3" t="s">
        <v>74</v>
      </c>
      <c r="C17365" s="6">
        <v>4000</v>
      </c>
      <c r="D17365" s="7">
        <v>8.3000000000000007</v>
      </c>
      <c r="E17365" t="s">
        <v>36</v>
      </c>
    </row>
    <row r="17366" spans="1:5" x14ac:dyDescent="0.25">
      <c r="A17366" t="str">
        <f>HYPERLINK("https://www.773grp.com/globalSearch/ADT7460ARQZ-REEL/page-1", "ADT7460ARQZ-REEL")</f>
        <v>ADT7460ARQZ-REEL</v>
      </c>
      <c r="B17366" s="3" t="s">
        <v>74</v>
      </c>
      <c r="C17366" s="6">
        <v>332</v>
      </c>
      <c r="D17366" s="7">
        <v>8.3000000000000007</v>
      </c>
    </row>
    <row r="17367" spans="1:5" x14ac:dyDescent="0.25">
      <c r="A17367" t="str">
        <f>HYPERLINK("https://www.773grp.com/globalSearch/LV762213C5BJ1-E/page-1", "LV762213C5BJ1-E")</f>
        <v>LV762213C5BJ1-E</v>
      </c>
      <c r="B17367" s="3" t="s">
        <v>74</v>
      </c>
      <c r="C17367" s="6">
        <v>1800</v>
      </c>
      <c r="D17367" s="7">
        <v>8.33</v>
      </c>
    </row>
    <row r="17368" spans="1:5" x14ac:dyDescent="0.25">
      <c r="A17368" t="str">
        <f>HYPERLINK("https://www.773grp.com/globalSearch/MC100EL30DW/page-1", "MC100EL30DW")</f>
        <v>MC100EL30DW</v>
      </c>
      <c r="B17368" s="3" t="s">
        <v>74</v>
      </c>
      <c r="C17368" s="6">
        <v>5342</v>
      </c>
      <c r="D17368" s="7">
        <v>8.33</v>
      </c>
      <c r="E17368" t="s">
        <v>31</v>
      </c>
    </row>
    <row r="17369" spans="1:5" x14ac:dyDescent="0.25">
      <c r="A17369" t="str">
        <f>HYPERLINK("https://www.773grp.com/globalSearch/MC10192L/page-1", "MC10192L")</f>
        <v>MC10192L</v>
      </c>
      <c r="B17369" s="3" t="s">
        <v>74</v>
      </c>
      <c r="C17369" s="6">
        <v>370</v>
      </c>
      <c r="D17369" s="7">
        <v>8.33</v>
      </c>
      <c r="E17369" t="s">
        <v>11</v>
      </c>
    </row>
    <row r="17370" spans="1:5" x14ac:dyDescent="0.25">
      <c r="A17370" t="str">
        <f>HYPERLINK("https://www.773grp.com/globalSearch/LV8740V-MPB-E/page-1", "LV8740V-MPB-E")</f>
        <v>LV8740V-MPB-E</v>
      </c>
      <c r="B17370" s="3" t="s">
        <v>74</v>
      </c>
      <c r="C17370" s="6">
        <v>60</v>
      </c>
      <c r="D17370" s="7">
        <v>8.35</v>
      </c>
    </row>
    <row r="17371" spans="1:5" x14ac:dyDescent="0.25">
      <c r="A17371" t="str">
        <f>HYPERLINK("https://www.773grp.com/globalSearch/LV8740V-TLM-E/page-1", "LV8740V-TLM-E")</f>
        <v>LV8740V-TLM-E</v>
      </c>
      <c r="B17371" s="3" t="s">
        <v>74</v>
      </c>
      <c r="C17371" s="6">
        <v>100</v>
      </c>
      <c r="D17371" s="7">
        <v>8.35</v>
      </c>
    </row>
    <row r="17372" spans="1:5" x14ac:dyDescent="0.25">
      <c r="A17372" t="str">
        <f>HYPERLINK("https://www.773grp.com/globalSearch/AMIS30521C5212G/page-1", "AMIS30521C5212G")</f>
        <v>AMIS30521C5212G</v>
      </c>
      <c r="B17372" s="3" t="s">
        <v>74</v>
      </c>
      <c r="C17372" s="6">
        <v>195</v>
      </c>
      <c r="D17372" s="7">
        <v>8.39</v>
      </c>
    </row>
    <row r="17373" spans="1:5" x14ac:dyDescent="0.25">
      <c r="A17373" t="str">
        <f>HYPERLINK("https://www.773grp.com/globalSearch/AMIS30522C5222G/page-1", "AMIS30522C5222G")</f>
        <v>AMIS30522C5222G</v>
      </c>
      <c r="B17373" s="3" t="s">
        <v>74</v>
      </c>
      <c r="C17373" s="6">
        <v>85</v>
      </c>
      <c r="D17373" s="7">
        <v>8.39</v>
      </c>
    </row>
    <row r="17374" spans="1:5" x14ac:dyDescent="0.25">
      <c r="A17374" t="str">
        <f>HYPERLINK("https://www.773grp.com/globalSearch/MC100EP56DW/page-1", "MC100EP56DW")</f>
        <v>MC100EP56DW</v>
      </c>
      <c r="B17374" s="3" t="s">
        <v>74</v>
      </c>
      <c r="C17374" s="6">
        <v>3198</v>
      </c>
      <c r="D17374" s="7">
        <v>8.39</v>
      </c>
      <c r="E17374" t="s">
        <v>16</v>
      </c>
    </row>
    <row r="17375" spans="1:5" x14ac:dyDescent="0.25">
      <c r="A17375" t="str">
        <f>HYPERLINK("https://www.773grp.com/globalSearch/MC100EP56DWR2/page-1", "MC100EP56DWR2")</f>
        <v>MC100EP56DWR2</v>
      </c>
      <c r="B17375" s="3" t="s">
        <v>74</v>
      </c>
      <c r="C17375" s="6">
        <v>3000</v>
      </c>
      <c r="D17375" s="7">
        <v>8.39</v>
      </c>
      <c r="E17375" t="s">
        <v>16</v>
      </c>
    </row>
    <row r="17376" spans="1:5" x14ac:dyDescent="0.25">
      <c r="A17376" t="str">
        <f>HYPERLINK("https://www.773grp.com/globalSearch/MC10EP56DTR2/page-1", "MC10EP56DTR2")</f>
        <v>MC10EP56DTR2</v>
      </c>
      <c r="B17376" s="3" t="s">
        <v>74</v>
      </c>
      <c r="C17376" s="6">
        <v>7500</v>
      </c>
      <c r="D17376" s="7">
        <v>8.39</v>
      </c>
      <c r="E17376" t="s">
        <v>16</v>
      </c>
    </row>
    <row r="17377" spans="1:5" x14ac:dyDescent="0.25">
      <c r="A17377" t="str">
        <f>HYPERLINK("https://www.773grp.com/globalSearch/MC10EP57DTR2/page-1", "MC10EP57DTR2")</f>
        <v>MC10EP57DTR2</v>
      </c>
      <c r="B17377" s="3" t="s">
        <v>74</v>
      </c>
      <c r="C17377" s="6">
        <v>2250</v>
      </c>
      <c r="D17377" s="7">
        <v>8.39</v>
      </c>
      <c r="E17377" t="s">
        <v>16</v>
      </c>
    </row>
    <row r="17378" spans="1:5" x14ac:dyDescent="0.25">
      <c r="A17378" t="str">
        <f>HYPERLINK("https://www.773grp.com/globalSearch/MC10H209P/page-1", "MC10H209P")</f>
        <v>MC10H209P</v>
      </c>
      <c r="B17378" s="3" t="s">
        <v>74</v>
      </c>
      <c r="C17378" s="6">
        <v>13428</v>
      </c>
      <c r="D17378" s="7">
        <v>8.39</v>
      </c>
      <c r="E17378" t="s">
        <v>27</v>
      </c>
    </row>
    <row r="17379" spans="1:5" x14ac:dyDescent="0.25">
      <c r="A17379" t="str">
        <f>HYPERLINK("https://www.773grp.com/globalSearch/MC10H210PG/page-1", "MC10H210PG")</f>
        <v>MC10H210PG</v>
      </c>
      <c r="B17379" s="3" t="s">
        <v>74</v>
      </c>
      <c r="C17379" s="6">
        <v>21100</v>
      </c>
      <c r="D17379" s="7">
        <v>8.39</v>
      </c>
      <c r="E17379" t="s">
        <v>27</v>
      </c>
    </row>
    <row r="17380" spans="1:5" x14ac:dyDescent="0.25">
      <c r="A17380" t="str">
        <f>HYPERLINK("https://www.773grp.com/globalSearch/FS7140-02G-XTD/page-1", "FS7140-02G-XTD")</f>
        <v>FS7140-02G-XTD</v>
      </c>
      <c r="B17380" s="3" t="s">
        <v>74</v>
      </c>
      <c r="C17380" s="6">
        <v>945</v>
      </c>
      <c r="D17380" s="7">
        <v>8.44</v>
      </c>
      <c r="E17380" t="s">
        <v>65</v>
      </c>
    </row>
    <row r="17381" spans="1:5" x14ac:dyDescent="0.25">
      <c r="A17381" t="str">
        <f>HYPERLINK("https://www.773grp.com/globalSearch/MC100EL58DG/page-1", "MC100EL58DG")</f>
        <v>MC100EL58DG</v>
      </c>
      <c r="B17381" s="3" t="s">
        <v>74</v>
      </c>
      <c r="C17381" s="6">
        <v>2780</v>
      </c>
      <c r="D17381" s="7">
        <v>8.44</v>
      </c>
      <c r="E17381" t="s">
        <v>16</v>
      </c>
    </row>
    <row r="17382" spans="1:5" x14ac:dyDescent="0.25">
      <c r="A17382" t="str">
        <f>HYPERLINK("https://www.773grp.com/globalSearch/MC100EL58DTG/page-1", "MC100EL58DTG")</f>
        <v>MC100EL58DTG</v>
      </c>
      <c r="B17382" s="3" t="s">
        <v>74</v>
      </c>
      <c r="C17382" s="6">
        <v>5695</v>
      </c>
      <c r="D17382" s="7">
        <v>8.44</v>
      </c>
      <c r="E17382" t="s">
        <v>16</v>
      </c>
    </row>
    <row r="17383" spans="1:5" x14ac:dyDescent="0.25">
      <c r="A17383" t="str">
        <f>HYPERLINK("https://www.773grp.com/globalSearch/MC100EL58DTR2G/page-1", "MC100EL58DTR2G")</f>
        <v>MC100EL58DTR2G</v>
      </c>
      <c r="B17383" s="3" t="s">
        <v>74</v>
      </c>
      <c r="C17383" s="6">
        <v>5000</v>
      </c>
      <c r="D17383" s="7">
        <v>8.44</v>
      </c>
      <c r="E17383" t="s">
        <v>16</v>
      </c>
    </row>
    <row r="17384" spans="1:5" x14ac:dyDescent="0.25">
      <c r="A17384" t="str">
        <f>HYPERLINK("https://www.773grp.com/globalSearch/MC100EP11DG/page-1", "MC100EP11DG")</f>
        <v>MC100EP11DG</v>
      </c>
      <c r="B17384" s="3" t="s">
        <v>74</v>
      </c>
      <c r="C17384" s="6">
        <v>6550</v>
      </c>
      <c r="D17384" s="7">
        <v>8.44</v>
      </c>
    </row>
    <row r="17385" spans="1:5" x14ac:dyDescent="0.25">
      <c r="A17385" t="str">
        <f>HYPERLINK("https://www.773grp.com/globalSearch/MC100EP11DTG/page-1", "MC100EP11DTG")</f>
        <v>MC100EP11DTG</v>
      </c>
      <c r="B17385" s="3" t="s">
        <v>74</v>
      </c>
      <c r="C17385" s="6">
        <v>7</v>
      </c>
      <c r="D17385" s="7">
        <v>8.44</v>
      </c>
    </row>
    <row r="17386" spans="1:5" x14ac:dyDescent="0.25">
      <c r="A17386" t="str">
        <f>HYPERLINK("https://www.773grp.com/globalSearch/MC100EP11MNR4G/page-1", "MC100EP11MNR4G")</f>
        <v>MC100EP11MNR4G</v>
      </c>
      <c r="B17386" s="3" t="s">
        <v>74</v>
      </c>
      <c r="C17386" s="6">
        <v>15000</v>
      </c>
      <c r="D17386" s="7">
        <v>8.44</v>
      </c>
      <c r="E17386" t="s">
        <v>30</v>
      </c>
    </row>
    <row r="17387" spans="1:5" x14ac:dyDescent="0.25">
      <c r="A17387" t="str">
        <f>HYPERLINK("https://www.773grp.com/globalSearch/MC100EP16FDG/page-1", "MC100EP16FDG")</f>
        <v>MC100EP16FDG</v>
      </c>
      <c r="B17387" s="3" t="s">
        <v>74</v>
      </c>
      <c r="C17387" s="6">
        <v>11211</v>
      </c>
      <c r="D17387" s="7">
        <v>8.44</v>
      </c>
      <c r="E17387" t="s">
        <v>17</v>
      </c>
    </row>
    <row r="17388" spans="1:5" x14ac:dyDescent="0.25">
      <c r="A17388" t="str">
        <f>HYPERLINK("https://www.773grp.com/globalSearch/MC100EP16VADG/page-1", "MC100EP16VADG")</f>
        <v>MC100EP16VADG</v>
      </c>
      <c r="B17388" s="3" t="s">
        <v>74</v>
      </c>
      <c r="C17388" s="6">
        <v>3053</v>
      </c>
      <c r="D17388" s="7">
        <v>8.44</v>
      </c>
      <c r="E17388" t="s">
        <v>17</v>
      </c>
    </row>
    <row r="17389" spans="1:5" x14ac:dyDescent="0.25">
      <c r="A17389" t="str">
        <f>HYPERLINK("https://www.773grp.com/globalSearch/MC100EP16VADR2G/page-1", "MC100EP16VADR2G")</f>
        <v>MC100EP16VADR2G</v>
      </c>
      <c r="B17389" s="3" t="s">
        <v>74</v>
      </c>
      <c r="C17389" s="6">
        <v>12340</v>
      </c>
      <c r="D17389" s="7">
        <v>8.44</v>
      </c>
      <c r="E17389" t="s">
        <v>17</v>
      </c>
    </row>
    <row r="17390" spans="1:5" x14ac:dyDescent="0.25">
      <c r="A17390" t="str">
        <f>HYPERLINK("https://www.773grp.com/globalSearch/MC100EP16VADTG/page-1", "MC100EP16VADTG")</f>
        <v>MC100EP16VADTG</v>
      </c>
      <c r="B17390" s="3" t="s">
        <v>74</v>
      </c>
      <c r="C17390" s="6">
        <v>2640</v>
      </c>
      <c r="D17390" s="7">
        <v>8.44</v>
      </c>
      <c r="E17390" t="s">
        <v>17</v>
      </c>
    </row>
    <row r="17391" spans="1:5" x14ac:dyDescent="0.25">
      <c r="A17391" t="str">
        <f>HYPERLINK("https://www.773grp.com/globalSearch/MC100EP16VADTR2G/page-1", "MC100EP16VADTR2G")</f>
        <v>MC100EP16VADTR2G</v>
      </c>
      <c r="B17391" s="3" t="s">
        <v>74</v>
      </c>
      <c r="C17391" s="6">
        <v>15000</v>
      </c>
      <c r="D17391" s="7">
        <v>8.44</v>
      </c>
      <c r="E17391" t="s">
        <v>17</v>
      </c>
    </row>
    <row r="17392" spans="1:5" x14ac:dyDescent="0.25">
      <c r="A17392" t="str">
        <f>HYPERLINK("https://www.773grp.com/globalSearch/MC100EP16VAMNR4G/page-1", "MC100EP16VAMNR4G")</f>
        <v>MC100EP16VAMNR4G</v>
      </c>
      <c r="B17392" s="3" t="s">
        <v>74</v>
      </c>
      <c r="C17392" s="6">
        <v>7532</v>
      </c>
      <c r="D17392" s="7">
        <v>8.44</v>
      </c>
      <c r="E17392" t="s">
        <v>17</v>
      </c>
    </row>
    <row r="17393" spans="1:5" x14ac:dyDescent="0.25">
      <c r="A17393" t="str">
        <f>HYPERLINK("https://www.773grp.com/globalSearch/MC100EP16VBDG/page-1", "MC100EP16VBDG")</f>
        <v>MC100EP16VBDG</v>
      </c>
      <c r="B17393" s="3" t="s">
        <v>74</v>
      </c>
      <c r="C17393" s="6">
        <v>13500</v>
      </c>
      <c r="D17393" s="7">
        <v>8.44</v>
      </c>
      <c r="E17393" t="s">
        <v>17</v>
      </c>
    </row>
    <row r="17394" spans="1:5" x14ac:dyDescent="0.25">
      <c r="A17394" t="str">
        <f>HYPERLINK("https://www.773grp.com/globalSearch/MC100EP16VBDTG/page-1", "MC100EP16VBDTG")</f>
        <v>MC100EP16VBDTG</v>
      </c>
      <c r="B17394" s="3" t="s">
        <v>74</v>
      </c>
      <c r="C17394" s="6">
        <v>292</v>
      </c>
      <c r="D17394" s="7">
        <v>8.44</v>
      </c>
      <c r="E17394" t="s">
        <v>17</v>
      </c>
    </row>
    <row r="17395" spans="1:5" x14ac:dyDescent="0.25">
      <c r="A17395" t="str">
        <f>HYPERLINK("https://www.773grp.com/globalSearch/MC100EP16VCDG/page-1", "MC100EP16VCDG")</f>
        <v>MC100EP16VCDG</v>
      </c>
      <c r="B17395" s="3" t="s">
        <v>74</v>
      </c>
      <c r="C17395" s="6">
        <v>25208</v>
      </c>
      <c r="D17395" s="7">
        <v>8.44</v>
      </c>
      <c r="E17395" t="s">
        <v>17</v>
      </c>
    </row>
    <row r="17396" spans="1:5" x14ac:dyDescent="0.25">
      <c r="A17396" t="str">
        <f>HYPERLINK("https://www.773grp.com/globalSearch/MC100EP16VCDR2G/page-1", "MC100EP16VCDR2G")</f>
        <v>MC100EP16VCDR2G</v>
      </c>
      <c r="B17396" s="3" t="s">
        <v>74</v>
      </c>
      <c r="C17396" s="6">
        <v>10000</v>
      </c>
      <c r="D17396" s="7">
        <v>8.44</v>
      </c>
      <c r="E17396" t="s">
        <v>17</v>
      </c>
    </row>
    <row r="17397" spans="1:5" x14ac:dyDescent="0.25">
      <c r="A17397" t="str">
        <f>HYPERLINK("https://www.773grp.com/globalSearch/MC100EP16VCDTG/page-1", "MC100EP16VCDTG")</f>
        <v>MC100EP16VCDTG</v>
      </c>
      <c r="B17397" s="3" t="s">
        <v>74</v>
      </c>
      <c r="C17397" s="6">
        <v>21640</v>
      </c>
      <c r="D17397" s="7">
        <v>8.44</v>
      </c>
      <c r="E17397" t="s">
        <v>17</v>
      </c>
    </row>
    <row r="17398" spans="1:5" x14ac:dyDescent="0.25">
      <c r="A17398" t="str">
        <f>HYPERLINK("https://www.773grp.com/globalSearch/MC100EP16VCDTR2G/page-1", "MC100EP16VCDTR2G")</f>
        <v>MC100EP16VCDTR2G</v>
      </c>
      <c r="B17398" s="3" t="s">
        <v>74</v>
      </c>
      <c r="C17398" s="6">
        <v>4594</v>
      </c>
      <c r="D17398" s="7">
        <v>8.44</v>
      </c>
      <c r="E17398" t="s">
        <v>17</v>
      </c>
    </row>
    <row r="17399" spans="1:5" x14ac:dyDescent="0.25">
      <c r="A17399" t="str">
        <f>HYPERLINK("https://www.773grp.com/globalSearch/MC100EP16VCMNR4G/page-1", "MC100EP16VCMNR4G")</f>
        <v>MC100EP16VCMNR4G</v>
      </c>
      <c r="B17399" s="3" t="s">
        <v>74</v>
      </c>
      <c r="C17399" s="6">
        <v>13990</v>
      </c>
      <c r="D17399" s="7">
        <v>8.44</v>
      </c>
      <c r="E17399" t="s">
        <v>17</v>
      </c>
    </row>
    <row r="17400" spans="1:5" x14ac:dyDescent="0.25">
      <c r="A17400" t="str">
        <f>HYPERLINK("https://www.773grp.com/globalSearch/MC100EP32DG/page-1", "MC100EP32DG")</f>
        <v>MC100EP32DG</v>
      </c>
      <c r="B17400" s="3" t="s">
        <v>74</v>
      </c>
      <c r="C17400" s="6">
        <v>9841</v>
      </c>
      <c r="D17400" s="7">
        <v>8.44</v>
      </c>
      <c r="E17400" t="s">
        <v>44</v>
      </c>
    </row>
    <row r="17401" spans="1:5" x14ac:dyDescent="0.25">
      <c r="A17401" t="str">
        <f>HYPERLINK("https://www.773grp.com/globalSearch/MC100EP32DR2G/page-1", "MC100EP32DR2G")</f>
        <v>MC100EP32DR2G</v>
      </c>
      <c r="B17401" s="3" t="s">
        <v>74</v>
      </c>
      <c r="C17401" s="6">
        <v>2250</v>
      </c>
      <c r="D17401" s="7">
        <v>8.44</v>
      </c>
      <c r="E17401" t="s">
        <v>44</v>
      </c>
    </row>
    <row r="17402" spans="1:5" x14ac:dyDescent="0.25">
      <c r="A17402" t="str">
        <f>HYPERLINK("https://www.773grp.com/globalSearch/MC100EP32DTG/page-1", "MC100EP32DTG")</f>
        <v>MC100EP32DTG</v>
      </c>
      <c r="B17402" s="3" t="s">
        <v>74</v>
      </c>
      <c r="C17402" s="6">
        <v>2347</v>
      </c>
      <c r="D17402" s="7">
        <v>8.44</v>
      </c>
      <c r="E17402" t="s">
        <v>44</v>
      </c>
    </row>
    <row r="17403" spans="1:5" x14ac:dyDescent="0.25">
      <c r="A17403" t="str">
        <f>HYPERLINK("https://www.773grp.com/globalSearch/MC100EP32DTR2G/page-1", "MC100EP32DTR2G")</f>
        <v>MC100EP32DTR2G</v>
      </c>
      <c r="B17403" s="3" t="s">
        <v>74</v>
      </c>
      <c r="C17403" s="6">
        <v>6979</v>
      </c>
      <c r="D17403" s="7">
        <v>8.44</v>
      </c>
      <c r="E17403" t="s">
        <v>44</v>
      </c>
    </row>
    <row r="17404" spans="1:5" x14ac:dyDescent="0.25">
      <c r="A17404" t="str">
        <f>HYPERLINK("https://www.773grp.com/globalSearch/MC100EP32MNR4G/page-1", "MC100EP32MNR4G")</f>
        <v>MC100EP32MNR4G</v>
      </c>
      <c r="B17404" s="3" t="s">
        <v>74</v>
      </c>
      <c r="C17404" s="6">
        <v>15022</v>
      </c>
      <c r="D17404" s="7">
        <v>8.44</v>
      </c>
      <c r="E17404" t="s">
        <v>44</v>
      </c>
    </row>
    <row r="17405" spans="1:5" x14ac:dyDescent="0.25">
      <c r="A17405" t="str">
        <f>HYPERLINK("https://www.773grp.com/globalSearch/MC100EP33DG/page-1", "MC100EP33DG")</f>
        <v>MC100EP33DG</v>
      </c>
      <c r="B17405" s="3" t="s">
        <v>74</v>
      </c>
      <c r="C17405" s="6">
        <v>28760</v>
      </c>
      <c r="D17405" s="7">
        <v>8.44</v>
      </c>
      <c r="E17405" t="s">
        <v>44</v>
      </c>
    </row>
    <row r="17406" spans="1:5" x14ac:dyDescent="0.25">
      <c r="A17406" t="str">
        <f>HYPERLINK("https://www.773grp.com/globalSearch/MC100EP33DR2G/page-1", "MC100EP33DR2G")</f>
        <v>MC100EP33DR2G</v>
      </c>
      <c r="B17406" s="3" t="s">
        <v>74</v>
      </c>
      <c r="C17406" s="6">
        <v>2500</v>
      </c>
      <c r="D17406" s="7">
        <v>8.44</v>
      </c>
      <c r="E17406" t="s">
        <v>44</v>
      </c>
    </row>
    <row r="17407" spans="1:5" x14ac:dyDescent="0.25">
      <c r="A17407" t="str">
        <f>HYPERLINK("https://www.773grp.com/globalSearch/MC100EP33DTG/page-1", "MC100EP33DTG")</f>
        <v>MC100EP33DTG</v>
      </c>
      <c r="B17407" s="3" t="s">
        <v>74</v>
      </c>
      <c r="C17407" s="6">
        <v>1890</v>
      </c>
      <c r="D17407" s="7">
        <v>8.44</v>
      </c>
      <c r="E17407" t="s">
        <v>44</v>
      </c>
    </row>
    <row r="17408" spans="1:5" x14ac:dyDescent="0.25">
      <c r="A17408" t="str">
        <f>HYPERLINK("https://www.773grp.com/globalSearch/MC100EP33DTR2G/page-1", "MC100EP33DTR2G")</f>
        <v>MC100EP33DTR2G</v>
      </c>
      <c r="B17408" s="3" t="s">
        <v>74</v>
      </c>
      <c r="C17408" s="6">
        <v>54</v>
      </c>
      <c r="D17408" s="7">
        <v>8.44</v>
      </c>
      <c r="E17408" t="s">
        <v>44</v>
      </c>
    </row>
    <row r="17409" spans="1:5" x14ac:dyDescent="0.25">
      <c r="A17409" t="str">
        <f>HYPERLINK("https://www.773grp.com/globalSearch/MC100EP33MNR4G/page-1", "MC100EP33MNR4G")</f>
        <v>MC100EP33MNR4G</v>
      </c>
      <c r="B17409" s="3" t="s">
        <v>74</v>
      </c>
      <c r="C17409" s="6">
        <v>4453</v>
      </c>
      <c r="D17409" s="7">
        <v>8.44</v>
      </c>
      <c r="E17409" t="s">
        <v>44</v>
      </c>
    </row>
    <row r="17410" spans="1:5" x14ac:dyDescent="0.25">
      <c r="A17410" t="str">
        <f>HYPERLINK("https://www.773grp.com/globalSearch/MC100EP52DG/page-1", "MC100EP52DG")</f>
        <v>MC100EP52DG</v>
      </c>
      <c r="B17410" s="3" t="s">
        <v>74</v>
      </c>
      <c r="C17410" s="6">
        <v>950</v>
      </c>
      <c r="D17410" s="7">
        <v>8.44</v>
      </c>
    </row>
    <row r="17411" spans="1:5" x14ac:dyDescent="0.25">
      <c r="A17411" t="str">
        <f>HYPERLINK("https://www.773grp.com/globalSearch/MC100EP52DR2G/page-1", "MC100EP52DR2G")</f>
        <v>MC100EP52DR2G</v>
      </c>
      <c r="B17411" s="3" t="s">
        <v>74</v>
      </c>
      <c r="C17411" s="6">
        <v>9800</v>
      </c>
      <c r="D17411" s="7">
        <v>8.44</v>
      </c>
      <c r="E17411" t="s">
        <v>31</v>
      </c>
    </row>
    <row r="17412" spans="1:5" x14ac:dyDescent="0.25">
      <c r="A17412" t="str">
        <f>HYPERLINK("https://www.773grp.com/globalSearch/MC100EP52DTG/page-1", "MC100EP52DTG")</f>
        <v>MC100EP52DTG</v>
      </c>
      <c r="B17412" s="3" t="s">
        <v>74</v>
      </c>
      <c r="C17412" s="6">
        <v>345</v>
      </c>
      <c r="D17412" s="7">
        <v>8.44</v>
      </c>
    </row>
    <row r="17413" spans="1:5" x14ac:dyDescent="0.25">
      <c r="A17413" t="str">
        <f>HYPERLINK("https://www.773grp.com/globalSearch/MC100EP52DTR2G/page-1", "MC100EP52DTR2G")</f>
        <v>MC100EP52DTR2G</v>
      </c>
      <c r="B17413" s="3" t="s">
        <v>74</v>
      </c>
      <c r="C17413" s="6">
        <v>343</v>
      </c>
      <c r="D17413" s="7">
        <v>8.44</v>
      </c>
      <c r="E17413" t="s">
        <v>31</v>
      </c>
    </row>
    <row r="17414" spans="1:5" x14ac:dyDescent="0.25">
      <c r="A17414" t="str">
        <f>HYPERLINK("https://www.773grp.com/globalSearch/MC100EP52MNR4G/page-1", "MC100EP52MNR4G")</f>
        <v>MC100EP52MNR4G</v>
      </c>
      <c r="B17414" s="3" t="s">
        <v>74</v>
      </c>
      <c r="C17414" s="6">
        <v>7865</v>
      </c>
      <c r="D17414" s="7">
        <v>8.44</v>
      </c>
      <c r="E17414" t="s">
        <v>31</v>
      </c>
    </row>
    <row r="17415" spans="1:5" x14ac:dyDescent="0.25">
      <c r="A17415" t="str">
        <f>HYPERLINK("https://www.773grp.com/globalSearch/MC100EP58DG/page-1", "MC100EP58DG")</f>
        <v>MC100EP58DG</v>
      </c>
      <c r="B17415" s="3" t="s">
        <v>74</v>
      </c>
      <c r="C17415" s="6">
        <v>35924</v>
      </c>
      <c r="D17415" s="7">
        <v>8.44</v>
      </c>
      <c r="E17415" t="s">
        <v>16</v>
      </c>
    </row>
    <row r="17416" spans="1:5" x14ac:dyDescent="0.25">
      <c r="A17416" t="str">
        <f>HYPERLINK("https://www.773grp.com/globalSearch/MC100EP58DR2G/page-1", "MC100EP58DR2G")</f>
        <v>MC100EP58DR2G</v>
      </c>
      <c r="B17416" s="3" t="s">
        <v>74</v>
      </c>
      <c r="C17416" s="6">
        <v>5000</v>
      </c>
      <c r="D17416" s="7">
        <v>8.44</v>
      </c>
    </row>
    <row r="17417" spans="1:5" x14ac:dyDescent="0.25">
      <c r="A17417" t="str">
        <f>HYPERLINK("https://www.773grp.com/globalSearch/MC100EP58DTG/page-1", "MC100EP58DTG")</f>
        <v>MC100EP58DTG</v>
      </c>
      <c r="B17417" s="3" t="s">
        <v>74</v>
      </c>
      <c r="C17417" s="6">
        <v>6337</v>
      </c>
      <c r="D17417" s="7">
        <v>8.44</v>
      </c>
      <c r="E17417" t="s">
        <v>16</v>
      </c>
    </row>
    <row r="17418" spans="1:5" x14ac:dyDescent="0.25">
      <c r="A17418" t="str">
        <f>HYPERLINK("https://www.773grp.com/globalSearch/MC100EP58DTR2G/page-1", "MC100EP58DTR2G")</f>
        <v>MC100EP58DTR2G</v>
      </c>
      <c r="B17418" s="3" t="s">
        <v>74</v>
      </c>
      <c r="C17418" s="6">
        <v>10022</v>
      </c>
      <c r="D17418" s="7">
        <v>8.44</v>
      </c>
      <c r="E17418" t="s">
        <v>16</v>
      </c>
    </row>
    <row r="17419" spans="1:5" x14ac:dyDescent="0.25">
      <c r="A17419" t="str">
        <f>HYPERLINK("https://www.773grp.com/globalSearch/MC100LVE222FA/page-1", "MC100LVE222FA")</f>
        <v>MC100LVE222FA</v>
      </c>
      <c r="B17419" s="3" t="s">
        <v>74</v>
      </c>
      <c r="C17419" s="6">
        <v>305</v>
      </c>
      <c r="D17419" s="7">
        <v>8.44</v>
      </c>
      <c r="E17419" t="s">
        <v>30</v>
      </c>
    </row>
    <row r="17420" spans="1:5" x14ac:dyDescent="0.25">
      <c r="A17420" t="str">
        <f>HYPERLINK("https://www.773grp.com/globalSearch/MC100LVE222FAR2/page-1", "MC100LVE222FAR2")</f>
        <v>MC100LVE222FAR2</v>
      </c>
      <c r="B17420" s="3" t="s">
        <v>74</v>
      </c>
      <c r="C17420" s="6">
        <v>1500</v>
      </c>
      <c r="D17420" s="7">
        <v>8.44</v>
      </c>
      <c r="E17420" t="s">
        <v>30</v>
      </c>
    </row>
    <row r="17421" spans="1:5" x14ac:dyDescent="0.25">
      <c r="A17421" t="str">
        <f>HYPERLINK("https://www.773grp.com/globalSearch/MC100LVEL58MNR4G/page-1", "MC100LVEL58MNR4G")</f>
        <v>MC100LVEL58MNR4G</v>
      </c>
      <c r="B17421" s="3" t="s">
        <v>74</v>
      </c>
      <c r="C17421" s="6">
        <v>3000</v>
      </c>
      <c r="D17421" s="7">
        <v>8.44</v>
      </c>
      <c r="E17421" t="s">
        <v>16</v>
      </c>
    </row>
    <row r="17422" spans="1:5" x14ac:dyDescent="0.25">
      <c r="A17422" t="str">
        <f>HYPERLINK("https://www.773grp.com/globalSearch/MC100LVEP11DG/page-1", "MC100LVEP11DG")</f>
        <v>MC100LVEP11DG</v>
      </c>
      <c r="B17422" s="3" t="s">
        <v>74</v>
      </c>
      <c r="C17422" s="6">
        <v>635</v>
      </c>
      <c r="D17422" s="7">
        <v>8.44</v>
      </c>
    </row>
    <row r="17423" spans="1:5" x14ac:dyDescent="0.25">
      <c r="A17423" t="str">
        <f>HYPERLINK("https://www.773grp.com/globalSearch/MC100LVEP11DTG/page-1", "MC100LVEP11DTG")</f>
        <v>MC100LVEP11DTG</v>
      </c>
      <c r="B17423" s="3" t="s">
        <v>74</v>
      </c>
      <c r="C17423" s="6">
        <v>1091</v>
      </c>
      <c r="D17423" s="7">
        <v>8.44</v>
      </c>
      <c r="E17423" t="s">
        <v>30</v>
      </c>
    </row>
    <row r="17424" spans="1:5" x14ac:dyDescent="0.25">
      <c r="A17424" t="str">
        <f>HYPERLINK("https://www.773grp.com/globalSearch/MC100LVEP11MNR4G/page-1", "MC100LVEP11MNR4G")</f>
        <v>MC100LVEP11MNR4G</v>
      </c>
      <c r="B17424" s="3" t="s">
        <v>74</v>
      </c>
      <c r="C17424" s="6">
        <v>3904</v>
      </c>
      <c r="D17424" s="7">
        <v>8.44</v>
      </c>
      <c r="E17424" t="s">
        <v>30</v>
      </c>
    </row>
    <row r="17425" spans="1:5" x14ac:dyDescent="0.25">
      <c r="A17425" t="str">
        <f>HYPERLINK("https://www.773grp.com/globalSearch/MC100LVEP16DG/page-1", "MC100LVEP16DG")</f>
        <v>MC100LVEP16DG</v>
      </c>
      <c r="B17425" s="3" t="s">
        <v>74</v>
      </c>
      <c r="C17425" s="6">
        <v>21507</v>
      </c>
      <c r="D17425" s="7">
        <v>8.44</v>
      </c>
      <c r="E17425" t="s">
        <v>17</v>
      </c>
    </row>
    <row r="17426" spans="1:5" x14ac:dyDescent="0.25">
      <c r="A17426" t="str">
        <f>HYPERLINK("https://www.773grp.com/globalSearch/MC100LVEP16DR2G/page-1", "MC100LVEP16DR2G")</f>
        <v>MC100LVEP16DR2G</v>
      </c>
      <c r="B17426" s="3" t="s">
        <v>74</v>
      </c>
      <c r="C17426" s="6">
        <v>15000</v>
      </c>
      <c r="D17426" s="7">
        <v>8.44</v>
      </c>
    </row>
    <row r="17427" spans="1:5" x14ac:dyDescent="0.25">
      <c r="A17427" t="str">
        <f>HYPERLINK("https://www.773grp.com/globalSearch/MC100LVEP16DTG/page-1", "MC100LVEP16DTG")</f>
        <v>MC100LVEP16DTG</v>
      </c>
      <c r="B17427" s="3" t="s">
        <v>74</v>
      </c>
      <c r="C17427" s="6">
        <v>18474</v>
      </c>
      <c r="D17427" s="7">
        <v>8.44</v>
      </c>
      <c r="E17427" t="s">
        <v>17</v>
      </c>
    </row>
    <row r="17428" spans="1:5" x14ac:dyDescent="0.25">
      <c r="A17428" t="str">
        <f>HYPERLINK("https://www.773grp.com/globalSearch/MC100LVEP16DTR2G/page-1", "MC100LVEP16DTR2G")</f>
        <v>MC100LVEP16DTR2G</v>
      </c>
      <c r="B17428" s="3" t="s">
        <v>74</v>
      </c>
      <c r="C17428" s="6">
        <v>4677</v>
      </c>
      <c r="D17428" s="7">
        <v>8.44</v>
      </c>
      <c r="E17428" t="s">
        <v>17</v>
      </c>
    </row>
    <row r="17429" spans="1:5" x14ac:dyDescent="0.25">
      <c r="A17429" t="str">
        <f>HYPERLINK("https://www.773grp.com/globalSearch/MC100LVEP16MNR4G/page-1", "MC100LVEP16MNR4G")</f>
        <v>MC100LVEP16MNR4G</v>
      </c>
      <c r="B17429" s="3" t="s">
        <v>74</v>
      </c>
      <c r="C17429" s="6">
        <v>13869</v>
      </c>
      <c r="D17429" s="7">
        <v>8.44</v>
      </c>
      <c r="E17429" t="s">
        <v>17</v>
      </c>
    </row>
    <row r="17430" spans="1:5" x14ac:dyDescent="0.25">
      <c r="A17430" t="str">
        <f>HYPERLINK("https://www.773grp.com/globalSearch/MC10188L/page-1", "MC10188L")</f>
        <v>MC10188L</v>
      </c>
      <c r="B17430" s="3" t="s">
        <v>74</v>
      </c>
      <c r="C17430" s="6">
        <v>54</v>
      </c>
      <c r="D17430" s="7">
        <v>8.44</v>
      </c>
      <c r="E17430" t="s">
        <v>27</v>
      </c>
    </row>
    <row r="17431" spans="1:5" x14ac:dyDescent="0.25">
      <c r="A17431" t="str">
        <f>HYPERLINK("https://www.773grp.com/globalSearch/MC10EL58DG/page-1", "MC10EL58DG")</f>
        <v>MC10EL58DG</v>
      </c>
      <c r="B17431" s="3" t="s">
        <v>74</v>
      </c>
      <c r="C17431" s="6">
        <v>1156</v>
      </c>
      <c r="D17431" s="7">
        <v>8.44</v>
      </c>
      <c r="E17431" t="s">
        <v>16</v>
      </c>
    </row>
    <row r="17432" spans="1:5" x14ac:dyDescent="0.25">
      <c r="A17432" t="str">
        <f>HYPERLINK("https://www.773grp.com/globalSearch/MC10EL58DR2G/page-1", "MC10EL58DR2G")</f>
        <v>MC10EL58DR2G</v>
      </c>
      <c r="B17432" s="3" t="s">
        <v>74</v>
      </c>
      <c r="C17432" s="6">
        <v>5000</v>
      </c>
      <c r="D17432" s="7">
        <v>8.44</v>
      </c>
      <c r="E17432" t="s">
        <v>16</v>
      </c>
    </row>
    <row r="17433" spans="1:5" x14ac:dyDescent="0.25">
      <c r="A17433" t="str">
        <f>HYPERLINK("https://www.773grp.com/globalSearch/MC10EL58DTG/page-1", "MC10EL58DTG")</f>
        <v>MC10EL58DTG</v>
      </c>
      <c r="B17433" s="3" t="s">
        <v>74</v>
      </c>
      <c r="C17433" s="6">
        <v>5621</v>
      </c>
      <c r="D17433" s="7">
        <v>8.44</v>
      </c>
      <c r="E17433" t="s">
        <v>16</v>
      </c>
    </row>
    <row r="17434" spans="1:5" x14ac:dyDescent="0.25">
      <c r="A17434" t="str">
        <f>HYPERLINK("https://www.773grp.com/globalSearch/MC10EL58DTR2/page-1", "MC10EL58DTR2")</f>
        <v>MC10EL58DTR2</v>
      </c>
      <c r="B17434" s="3" t="s">
        <v>74</v>
      </c>
      <c r="C17434" s="6">
        <v>2393</v>
      </c>
      <c r="D17434" s="7">
        <v>8.44</v>
      </c>
      <c r="E17434" t="s">
        <v>16</v>
      </c>
    </row>
    <row r="17435" spans="1:5" x14ac:dyDescent="0.25">
      <c r="A17435" t="str">
        <f>HYPERLINK("https://www.773grp.com/globalSearch/MC10EL58DTR2G/page-1", "MC10EL58DTR2G")</f>
        <v>MC10EL58DTR2G</v>
      </c>
      <c r="B17435" s="3" t="s">
        <v>74</v>
      </c>
      <c r="C17435" s="6">
        <v>7264</v>
      </c>
      <c r="D17435" s="7">
        <v>8.44</v>
      </c>
      <c r="E17435" t="s">
        <v>16</v>
      </c>
    </row>
    <row r="17436" spans="1:5" x14ac:dyDescent="0.25">
      <c r="A17436" t="str">
        <f>HYPERLINK("https://www.773grp.com/globalSearch/MC10EP01DG/page-1", "MC10EP01DG")</f>
        <v>MC10EP01DG</v>
      </c>
      <c r="B17436" s="3" t="s">
        <v>74</v>
      </c>
      <c r="C17436" s="6">
        <v>18757</v>
      </c>
      <c r="D17436" s="7">
        <v>8.44</v>
      </c>
      <c r="E17436" t="s">
        <v>27</v>
      </c>
    </row>
    <row r="17437" spans="1:5" x14ac:dyDescent="0.25">
      <c r="A17437" t="str">
        <f>HYPERLINK("https://www.773grp.com/globalSearch/MC10EP01DTG/page-1", "MC10EP01DTG")</f>
        <v>MC10EP01DTG</v>
      </c>
      <c r="B17437" s="3" t="s">
        <v>74</v>
      </c>
      <c r="C17437" s="6">
        <v>8917</v>
      </c>
      <c r="D17437" s="7">
        <v>8.44</v>
      </c>
      <c r="E17437" t="s">
        <v>27</v>
      </c>
    </row>
    <row r="17438" spans="1:5" x14ac:dyDescent="0.25">
      <c r="A17438" t="str">
        <f>HYPERLINK("https://www.773grp.com/globalSearch/MC10EP01DTR2G/page-1", "MC10EP01DTR2G")</f>
        <v>MC10EP01DTR2G</v>
      </c>
      <c r="B17438" s="3" t="s">
        <v>74</v>
      </c>
      <c r="C17438" s="6">
        <v>7500</v>
      </c>
      <c r="D17438" s="7">
        <v>8.44</v>
      </c>
      <c r="E17438" t="s">
        <v>27</v>
      </c>
    </row>
    <row r="17439" spans="1:5" x14ac:dyDescent="0.25">
      <c r="A17439" t="str">
        <f>HYPERLINK("https://www.773grp.com/globalSearch/MC10EP01MNR4G/page-1", "MC10EP01MNR4G")</f>
        <v>MC10EP01MNR4G</v>
      </c>
      <c r="B17439" s="3" t="s">
        <v>74</v>
      </c>
      <c r="C17439" s="6">
        <v>12931</v>
      </c>
      <c r="D17439" s="7">
        <v>8.44</v>
      </c>
      <c r="E17439" t="s">
        <v>27</v>
      </c>
    </row>
    <row r="17440" spans="1:5" x14ac:dyDescent="0.25">
      <c r="A17440" t="str">
        <f>HYPERLINK("https://www.773grp.com/globalSearch/MC10EP05DG/page-1", "MC10EP05DG")</f>
        <v>MC10EP05DG</v>
      </c>
      <c r="B17440" s="3" t="s">
        <v>74</v>
      </c>
      <c r="C17440" s="6">
        <v>23536</v>
      </c>
      <c r="D17440" s="7">
        <v>8.44</v>
      </c>
      <c r="E17440" t="s">
        <v>27</v>
      </c>
    </row>
    <row r="17441" spans="1:5" x14ac:dyDescent="0.25">
      <c r="A17441" t="str">
        <f>HYPERLINK("https://www.773grp.com/globalSearch/MC10EP05DR2G/page-1", "MC10EP05DR2G")</f>
        <v>MC10EP05DR2G</v>
      </c>
      <c r="B17441" s="3" t="s">
        <v>74</v>
      </c>
      <c r="C17441" s="6">
        <v>39200</v>
      </c>
      <c r="D17441" s="7">
        <v>8.44</v>
      </c>
      <c r="E17441" t="s">
        <v>27</v>
      </c>
    </row>
    <row r="17442" spans="1:5" x14ac:dyDescent="0.25">
      <c r="A17442" t="str">
        <f>HYPERLINK("https://www.773grp.com/globalSearch/MC10EP05DTG/page-1", "MC10EP05DTG")</f>
        <v>MC10EP05DTG</v>
      </c>
      <c r="B17442" s="3" t="s">
        <v>74</v>
      </c>
      <c r="C17442" s="6">
        <v>15219</v>
      </c>
      <c r="D17442" s="7">
        <v>8.44</v>
      </c>
      <c r="E17442" t="s">
        <v>27</v>
      </c>
    </row>
    <row r="17443" spans="1:5" x14ac:dyDescent="0.25">
      <c r="A17443" t="str">
        <f>HYPERLINK("https://www.773grp.com/globalSearch/MC10EP05DTR2G/page-1", "MC10EP05DTR2G")</f>
        <v>MC10EP05DTR2G</v>
      </c>
      <c r="B17443" s="3" t="s">
        <v>74</v>
      </c>
      <c r="C17443" s="6">
        <v>4160</v>
      </c>
      <c r="D17443" s="7">
        <v>8.44</v>
      </c>
      <c r="E17443" t="s">
        <v>27</v>
      </c>
    </row>
    <row r="17444" spans="1:5" x14ac:dyDescent="0.25">
      <c r="A17444" t="str">
        <f>HYPERLINK("https://www.773grp.com/globalSearch/MC10EP08DG/page-1", "MC10EP08DG")</f>
        <v>MC10EP08DG</v>
      </c>
      <c r="B17444" s="3" t="s">
        <v>74</v>
      </c>
      <c r="C17444" s="6">
        <v>3900</v>
      </c>
      <c r="D17444" s="7">
        <v>8.44</v>
      </c>
      <c r="E17444" t="s">
        <v>27</v>
      </c>
    </row>
    <row r="17445" spans="1:5" x14ac:dyDescent="0.25">
      <c r="A17445" t="str">
        <f>HYPERLINK("https://www.773grp.com/globalSearch/MC10EP08DR2G/page-1", "MC10EP08DR2G")</f>
        <v>MC10EP08DR2G</v>
      </c>
      <c r="B17445" s="3" t="s">
        <v>74</v>
      </c>
      <c r="C17445" s="6">
        <v>10400</v>
      </c>
      <c r="D17445" s="7">
        <v>8.44</v>
      </c>
      <c r="E17445" t="s">
        <v>27</v>
      </c>
    </row>
    <row r="17446" spans="1:5" x14ac:dyDescent="0.25">
      <c r="A17446" t="str">
        <f>HYPERLINK("https://www.773grp.com/globalSearch/MC10EP08DTG/page-1", "MC10EP08DTG")</f>
        <v>MC10EP08DTG</v>
      </c>
      <c r="B17446" s="3" t="s">
        <v>74</v>
      </c>
      <c r="C17446" s="6">
        <v>23890</v>
      </c>
      <c r="D17446" s="7">
        <v>8.44</v>
      </c>
      <c r="E17446" t="s">
        <v>27</v>
      </c>
    </row>
    <row r="17447" spans="1:5" x14ac:dyDescent="0.25">
      <c r="A17447" t="str">
        <f>HYPERLINK("https://www.773grp.com/globalSearch/MC10EP08DTR2G/page-1", "MC10EP08DTR2G")</f>
        <v>MC10EP08DTR2G</v>
      </c>
      <c r="B17447" s="3" t="s">
        <v>74</v>
      </c>
      <c r="C17447" s="6">
        <v>2683</v>
      </c>
      <c r="D17447" s="7">
        <v>8.44</v>
      </c>
      <c r="E17447" t="s">
        <v>27</v>
      </c>
    </row>
    <row r="17448" spans="1:5" x14ac:dyDescent="0.25">
      <c r="A17448" t="str">
        <f>HYPERLINK("https://www.773grp.com/globalSearch/MC10EP11DG/page-1", "MC10EP11DG")</f>
        <v>MC10EP11DG</v>
      </c>
      <c r="B17448" s="3" t="s">
        <v>74</v>
      </c>
      <c r="C17448" s="6">
        <v>266</v>
      </c>
      <c r="D17448" s="7">
        <v>8.44</v>
      </c>
      <c r="E17448" t="s">
        <v>30</v>
      </c>
    </row>
    <row r="17449" spans="1:5" x14ac:dyDescent="0.25">
      <c r="A17449" t="str">
        <f>HYPERLINK("https://www.773grp.com/globalSearch/MC10EP11DTG/page-1", "MC10EP11DTG")</f>
        <v>MC10EP11DTG</v>
      </c>
      <c r="B17449" s="3" t="s">
        <v>74</v>
      </c>
      <c r="C17449" s="6">
        <v>15086</v>
      </c>
      <c r="D17449" s="7">
        <v>8.44</v>
      </c>
      <c r="E17449" t="s">
        <v>30</v>
      </c>
    </row>
    <row r="17450" spans="1:5" x14ac:dyDescent="0.25">
      <c r="A17450" t="str">
        <f>HYPERLINK("https://www.773grp.com/globalSearch/MC10EP11DTR2G/page-1", "MC10EP11DTR2G")</f>
        <v>MC10EP11DTR2G</v>
      </c>
      <c r="B17450" s="3" t="s">
        <v>74</v>
      </c>
      <c r="C17450" s="6">
        <v>4411</v>
      </c>
      <c r="D17450" s="7">
        <v>8.44</v>
      </c>
      <c r="E17450" t="s">
        <v>30</v>
      </c>
    </row>
    <row r="17451" spans="1:5" x14ac:dyDescent="0.25">
      <c r="A17451" t="str">
        <f>HYPERLINK("https://www.773grp.com/globalSearch/MC10EP16VADG/page-1", "MC10EP16VADG")</f>
        <v>MC10EP16VADG</v>
      </c>
      <c r="B17451" s="3" t="s">
        <v>74</v>
      </c>
      <c r="C17451" s="6">
        <v>15171</v>
      </c>
      <c r="D17451" s="7">
        <v>8.44</v>
      </c>
      <c r="E17451" t="s">
        <v>17</v>
      </c>
    </row>
    <row r="17452" spans="1:5" x14ac:dyDescent="0.25">
      <c r="A17452" t="str">
        <f>HYPERLINK("https://www.773grp.com/globalSearch/MC10EP16VADTG/page-1", "MC10EP16VADTG")</f>
        <v>MC10EP16VADTG</v>
      </c>
      <c r="B17452" s="3" t="s">
        <v>74</v>
      </c>
      <c r="C17452" s="6">
        <v>15351</v>
      </c>
      <c r="D17452" s="7">
        <v>8.44</v>
      </c>
      <c r="E17452" t="s">
        <v>17</v>
      </c>
    </row>
    <row r="17453" spans="1:5" x14ac:dyDescent="0.25">
      <c r="A17453" t="str">
        <f>HYPERLINK("https://www.773grp.com/globalSearch/MC10EP16VADTR2G/page-1", "MC10EP16VADTR2G")</f>
        <v>MC10EP16VADTR2G</v>
      </c>
      <c r="B17453" s="3" t="s">
        <v>74</v>
      </c>
      <c r="C17453" s="6">
        <v>5000</v>
      </c>
      <c r="D17453" s="7">
        <v>8.44</v>
      </c>
      <c r="E17453" t="s">
        <v>17</v>
      </c>
    </row>
    <row r="17454" spans="1:5" x14ac:dyDescent="0.25">
      <c r="A17454" t="str">
        <f>HYPERLINK("https://www.773grp.com/globalSearch/MC10EP16VAMNR4G/page-1", "MC10EP16VAMNR4G")</f>
        <v>MC10EP16VAMNR4G</v>
      </c>
      <c r="B17454" s="3" t="s">
        <v>74</v>
      </c>
      <c r="C17454" s="6">
        <v>14026</v>
      </c>
      <c r="D17454" s="7">
        <v>8.44</v>
      </c>
      <c r="E17454" t="s">
        <v>17</v>
      </c>
    </row>
    <row r="17455" spans="1:5" x14ac:dyDescent="0.25">
      <c r="A17455" t="str">
        <f>HYPERLINK("https://www.773grp.com/globalSearch/MC10EP32DG/page-1", "MC10EP32DG")</f>
        <v>MC10EP32DG</v>
      </c>
      <c r="B17455" s="3" t="s">
        <v>74</v>
      </c>
      <c r="C17455" s="6">
        <v>2766</v>
      </c>
      <c r="D17455" s="7">
        <v>8.44</v>
      </c>
      <c r="E17455" t="s">
        <v>44</v>
      </c>
    </row>
    <row r="17456" spans="1:5" x14ac:dyDescent="0.25">
      <c r="A17456" t="str">
        <f>HYPERLINK("https://www.773grp.com/globalSearch/MC10EP32DR2G/page-1", "MC10EP32DR2G")</f>
        <v>MC10EP32DR2G</v>
      </c>
      <c r="B17456" s="3" t="s">
        <v>74</v>
      </c>
      <c r="C17456" s="6">
        <v>3881</v>
      </c>
      <c r="D17456" s="7">
        <v>8.44</v>
      </c>
      <c r="E17456" t="s">
        <v>44</v>
      </c>
    </row>
    <row r="17457" spans="1:5" x14ac:dyDescent="0.25">
      <c r="A17457" t="str">
        <f>HYPERLINK("https://www.773grp.com/globalSearch/MC10EP32DTG/page-1", "MC10EP32DTG")</f>
        <v>MC10EP32DTG</v>
      </c>
      <c r="B17457" s="3" t="s">
        <v>74</v>
      </c>
      <c r="C17457" s="6">
        <v>10649</v>
      </c>
      <c r="D17457" s="7">
        <v>8.44</v>
      </c>
      <c r="E17457" t="s">
        <v>44</v>
      </c>
    </row>
    <row r="17458" spans="1:5" x14ac:dyDescent="0.25">
      <c r="A17458" t="str">
        <f>HYPERLINK("https://www.773grp.com/globalSearch/MC10EP32DTR2G/page-1", "MC10EP32DTR2G")</f>
        <v>MC10EP32DTR2G</v>
      </c>
      <c r="B17458" s="3" t="s">
        <v>74</v>
      </c>
      <c r="C17458" s="6">
        <v>1250</v>
      </c>
      <c r="D17458" s="7">
        <v>8.44</v>
      </c>
      <c r="E17458" t="s">
        <v>44</v>
      </c>
    </row>
    <row r="17459" spans="1:5" x14ac:dyDescent="0.25">
      <c r="A17459" t="str">
        <f>HYPERLINK("https://www.773grp.com/globalSearch/MC10EP32MNR4G/page-1", "MC10EP32MNR4G")</f>
        <v>MC10EP32MNR4G</v>
      </c>
      <c r="B17459" s="3" t="s">
        <v>74</v>
      </c>
      <c r="C17459" s="6">
        <v>11040</v>
      </c>
      <c r="D17459" s="7">
        <v>8.44</v>
      </c>
      <c r="E17459" t="s">
        <v>44</v>
      </c>
    </row>
    <row r="17460" spans="1:5" x14ac:dyDescent="0.25">
      <c r="A17460" t="str">
        <f>HYPERLINK("https://www.773grp.com/globalSearch/MC10EP33DG/page-1", "MC10EP33DG")</f>
        <v>MC10EP33DG</v>
      </c>
      <c r="B17460" s="3" t="s">
        <v>74</v>
      </c>
      <c r="C17460" s="6">
        <v>10323</v>
      </c>
      <c r="D17460" s="7">
        <v>8.44</v>
      </c>
      <c r="E17460" t="s">
        <v>44</v>
      </c>
    </row>
    <row r="17461" spans="1:5" x14ac:dyDescent="0.25">
      <c r="A17461" t="str">
        <f>HYPERLINK("https://www.773grp.com/globalSearch/MC10EP33DR2G/page-1", "MC10EP33DR2G")</f>
        <v>MC10EP33DR2G</v>
      </c>
      <c r="B17461" s="3" t="s">
        <v>74</v>
      </c>
      <c r="C17461" s="6">
        <v>999</v>
      </c>
      <c r="D17461" s="7">
        <v>8.44</v>
      </c>
      <c r="E17461" t="s">
        <v>44</v>
      </c>
    </row>
    <row r="17462" spans="1:5" x14ac:dyDescent="0.25">
      <c r="A17462" t="str">
        <f>HYPERLINK("https://www.773grp.com/globalSearch/MC10EP33DTG/page-1", "MC10EP33DTG")</f>
        <v>MC10EP33DTG</v>
      </c>
      <c r="B17462" s="3" t="s">
        <v>74</v>
      </c>
      <c r="C17462" s="6">
        <v>15867</v>
      </c>
      <c r="D17462" s="7">
        <v>8.44</v>
      </c>
      <c r="E17462" t="s">
        <v>44</v>
      </c>
    </row>
    <row r="17463" spans="1:5" x14ac:dyDescent="0.25">
      <c r="A17463" t="str">
        <f>HYPERLINK("https://www.773grp.com/globalSearch/MC10EP51DG/page-1", "MC10EP51DG")</f>
        <v>MC10EP51DG</v>
      </c>
      <c r="B17463" s="3" t="s">
        <v>74</v>
      </c>
      <c r="C17463" s="6">
        <v>18777</v>
      </c>
      <c r="D17463" s="7">
        <v>8.44</v>
      </c>
      <c r="E17463" t="s">
        <v>31</v>
      </c>
    </row>
    <row r="17464" spans="1:5" x14ac:dyDescent="0.25">
      <c r="A17464" t="str">
        <f>HYPERLINK("https://www.773grp.com/globalSearch/MC10EP51DR2G/page-1", "MC10EP51DR2G")</f>
        <v>MC10EP51DR2G</v>
      </c>
      <c r="B17464" s="3" t="s">
        <v>74</v>
      </c>
      <c r="C17464" s="6">
        <v>30000</v>
      </c>
      <c r="D17464" s="7">
        <v>8.44</v>
      </c>
      <c r="E17464" t="s">
        <v>31</v>
      </c>
    </row>
    <row r="17465" spans="1:5" x14ac:dyDescent="0.25">
      <c r="A17465" t="str">
        <f>HYPERLINK("https://www.773grp.com/globalSearch/MC10EP51DTG/page-1", "MC10EP51DTG")</f>
        <v>MC10EP51DTG</v>
      </c>
      <c r="B17465" s="3" t="s">
        <v>74</v>
      </c>
      <c r="C17465" s="6">
        <v>28990</v>
      </c>
      <c r="D17465" s="7">
        <v>8.44</v>
      </c>
      <c r="E17465" t="s">
        <v>31</v>
      </c>
    </row>
    <row r="17466" spans="1:5" x14ac:dyDescent="0.25">
      <c r="A17466" t="str">
        <f>HYPERLINK("https://www.773grp.com/globalSearch/MC10EP51DTR2G/page-1", "MC10EP51DTR2G")</f>
        <v>MC10EP51DTR2G</v>
      </c>
      <c r="B17466" s="3" t="s">
        <v>74</v>
      </c>
      <c r="C17466" s="6">
        <v>2500</v>
      </c>
      <c r="D17466" s="7">
        <v>8.44</v>
      </c>
      <c r="E17466" t="s">
        <v>31</v>
      </c>
    </row>
    <row r="17467" spans="1:5" x14ac:dyDescent="0.25">
      <c r="A17467" t="str">
        <f>HYPERLINK("https://www.773grp.com/globalSearch/MC10EP52DG/page-1", "MC10EP52DG")</f>
        <v>MC10EP52DG</v>
      </c>
      <c r="B17467" s="3" t="s">
        <v>74</v>
      </c>
      <c r="C17467" s="6">
        <v>14596</v>
      </c>
      <c r="D17467" s="7">
        <v>8.44</v>
      </c>
      <c r="E17467" t="s">
        <v>31</v>
      </c>
    </row>
    <row r="17468" spans="1:5" x14ac:dyDescent="0.25">
      <c r="A17468" t="str">
        <f>HYPERLINK("https://www.773grp.com/globalSearch/MC10EP52DR2G/page-1", "MC10EP52DR2G")</f>
        <v>MC10EP52DR2G</v>
      </c>
      <c r="B17468" s="3" t="s">
        <v>74</v>
      </c>
      <c r="C17468" s="6">
        <v>16276</v>
      </c>
      <c r="D17468" s="7">
        <v>8.44</v>
      </c>
      <c r="E17468" t="s">
        <v>31</v>
      </c>
    </row>
    <row r="17469" spans="1:5" x14ac:dyDescent="0.25">
      <c r="A17469" t="str">
        <f>HYPERLINK("https://www.773grp.com/globalSearch/MC10EP52DTG/page-1", "MC10EP52DTG")</f>
        <v>MC10EP52DTG</v>
      </c>
      <c r="B17469" s="3" t="s">
        <v>74</v>
      </c>
      <c r="C17469" s="6">
        <v>4646</v>
      </c>
      <c r="D17469" s="7">
        <v>8.44</v>
      </c>
      <c r="E17469" t="s">
        <v>31</v>
      </c>
    </row>
    <row r="17470" spans="1:5" x14ac:dyDescent="0.25">
      <c r="A17470" t="str">
        <f>HYPERLINK("https://www.773grp.com/globalSearch/MC10EP52DTR2G/page-1", "MC10EP52DTR2G")</f>
        <v>MC10EP52DTR2G</v>
      </c>
      <c r="B17470" s="3" t="s">
        <v>74</v>
      </c>
      <c r="C17470" s="6">
        <v>10000</v>
      </c>
      <c r="D17470" s="7">
        <v>8.44</v>
      </c>
      <c r="E17470" t="s">
        <v>31</v>
      </c>
    </row>
    <row r="17471" spans="1:5" x14ac:dyDescent="0.25">
      <c r="A17471" t="str">
        <f>HYPERLINK("https://www.773grp.com/globalSearch/MC10EP58DG/page-1", "MC10EP58DG")</f>
        <v>MC10EP58DG</v>
      </c>
      <c r="B17471" s="3" t="s">
        <v>74</v>
      </c>
      <c r="C17471" s="6">
        <v>6214</v>
      </c>
      <c r="D17471" s="7">
        <v>8.44</v>
      </c>
      <c r="E17471" t="s">
        <v>16</v>
      </c>
    </row>
    <row r="17472" spans="1:5" x14ac:dyDescent="0.25">
      <c r="A17472" t="str">
        <f>HYPERLINK("https://www.773grp.com/globalSearch/MC10EP58DTG/page-1", "MC10EP58DTG")</f>
        <v>MC10EP58DTG</v>
      </c>
      <c r="B17472" s="3" t="s">
        <v>74</v>
      </c>
      <c r="C17472" s="6">
        <v>470</v>
      </c>
      <c r="D17472" s="7">
        <v>8.44</v>
      </c>
      <c r="E17472" t="s">
        <v>16</v>
      </c>
    </row>
    <row r="17473" spans="1:5" x14ac:dyDescent="0.25">
      <c r="A17473" t="str">
        <f>HYPERLINK("https://www.773grp.com/globalSearch/MC10EP58DTR2G/page-1", "MC10EP58DTR2G")</f>
        <v>MC10EP58DTR2G</v>
      </c>
      <c r="B17473" s="3" t="s">
        <v>74</v>
      </c>
      <c r="C17473" s="6">
        <v>2500</v>
      </c>
      <c r="D17473" s="7">
        <v>8.44</v>
      </c>
      <c r="E17473" t="s">
        <v>16</v>
      </c>
    </row>
    <row r="17474" spans="1:5" x14ac:dyDescent="0.25">
      <c r="A17474" t="str">
        <f>HYPERLINK("https://www.773grp.com/globalSearch/MC10LVEP11DG/page-1", "MC10LVEP11DG")</f>
        <v>MC10LVEP11DG</v>
      </c>
      <c r="B17474" s="3" t="s">
        <v>74</v>
      </c>
      <c r="C17474" s="6">
        <v>6352</v>
      </c>
      <c r="D17474" s="7">
        <v>8.44</v>
      </c>
      <c r="E17474" t="s">
        <v>30</v>
      </c>
    </row>
    <row r="17475" spans="1:5" x14ac:dyDescent="0.25">
      <c r="A17475" t="str">
        <f>HYPERLINK("https://www.773grp.com/globalSearch/MC10LVEP11DR2G/page-1", "MC10LVEP11DR2G")</f>
        <v>MC10LVEP11DR2G</v>
      </c>
      <c r="B17475" s="3" t="s">
        <v>74</v>
      </c>
      <c r="C17475" s="6">
        <v>27467</v>
      </c>
      <c r="D17475" s="7">
        <v>8.44</v>
      </c>
      <c r="E17475" t="s">
        <v>30</v>
      </c>
    </row>
    <row r="17476" spans="1:5" x14ac:dyDescent="0.25">
      <c r="A17476" t="str">
        <f>HYPERLINK("https://www.773grp.com/globalSearch/MC10LVEP11DTG/page-1", "MC10LVEP11DTG")</f>
        <v>MC10LVEP11DTG</v>
      </c>
      <c r="B17476" s="3" t="s">
        <v>74</v>
      </c>
      <c r="C17476" s="6">
        <v>8701</v>
      </c>
      <c r="D17476" s="7">
        <v>8.44</v>
      </c>
      <c r="E17476" t="s">
        <v>30</v>
      </c>
    </row>
    <row r="17477" spans="1:5" x14ac:dyDescent="0.25">
      <c r="A17477" t="str">
        <f>HYPERLINK("https://www.773grp.com/globalSearch/MC10LVEP16DG/page-1", "MC10LVEP16DG")</f>
        <v>MC10LVEP16DG</v>
      </c>
      <c r="B17477" s="3" t="s">
        <v>74</v>
      </c>
      <c r="C17477" s="6">
        <v>9443</v>
      </c>
      <c r="D17477" s="7">
        <v>8.44</v>
      </c>
      <c r="E17477" t="s">
        <v>17</v>
      </c>
    </row>
    <row r="17478" spans="1:5" x14ac:dyDescent="0.25">
      <c r="A17478" t="str">
        <f>HYPERLINK("https://www.773grp.com/globalSearch/MC10LVEP16DTG/page-1", "MC10LVEP16DTG")</f>
        <v>MC10LVEP16DTG</v>
      </c>
      <c r="B17478" s="3" t="s">
        <v>74</v>
      </c>
      <c r="C17478" s="6">
        <v>6806</v>
      </c>
      <c r="D17478" s="7">
        <v>8.44</v>
      </c>
      <c r="E17478" t="s">
        <v>17</v>
      </c>
    </row>
    <row r="17479" spans="1:5" x14ac:dyDescent="0.25">
      <c r="A17479" t="str">
        <f>HYPERLINK("https://www.773grp.com/globalSearch/MC10LVEP16DTR2G/page-1", "MC10LVEP16DTR2G")</f>
        <v>MC10LVEP16DTR2G</v>
      </c>
      <c r="B17479" s="3" t="s">
        <v>74</v>
      </c>
      <c r="C17479" s="6">
        <v>7207</v>
      </c>
      <c r="D17479" s="7">
        <v>8.44</v>
      </c>
      <c r="E17479" t="s">
        <v>17</v>
      </c>
    </row>
    <row r="17480" spans="1:5" x14ac:dyDescent="0.25">
      <c r="A17480" t="str">
        <f>HYPERLINK("https://www.773grp.com/globalSearch/MJ11032/page-1", "MJ11032")</f>
        <v>MJ11032</v>
      </c>
      <c r="B17480" s="3" t="s">
        <v>74</v>
      </c>
      <c r="C17480" s="6">
        <v>200</v>
      </c>
      <c r="D17480" s="7">
        <v>8.44</v>
      </c>
    </row>
    <row r="17481" spans="1:5" x14ac:dyDescent="0.25">
      <c r="A17481" t="str">
        <f>HYPERLINK("https://www.773grp.com/globalSearch/NCV7729BPPR2G/page-1", "NCV7729BPPR2G")</f>
        <v>NCV7729BPPR2G</v>
      </c>
      <c r="B17481" s="3" t="s">
        <v>74</v>
      </c>
      <c r="C17481" s="6">
        <v>1468</v>
      </c>
      <c r="D17481" s="7">
        <v>8.44</v>
      </c>
    </row>
    <row r="17482" spans="1:5" x14ac:dyDescent="0.25">
      <c r="A17482" t="str">
        <f>HYPERLINK("https://www.773grp.com/globalSearch/CAT28F001N-12B/page-1", "CAT28F001N-12B")</f>
        <v>CAT28F001N-12B</v>
      </c>
      <c r="B17482" s="3" t="s">
        <v>74</v>
      </c>
      <c r="C17482" s="6">
        <v>1928</v>
      </c>
      <c r="D17482" s="7">
        <v>8.5299999999999994</v>
      </c>
      <c r="E17482" t="s">
        <v>52</v>
      </c>
    </row>
    <row r="17483" spans="1:5" x14ac:dyDescent="0.25">
      <c r="A17483" t="str">
        <f>HYPERLINK("https://www.773grp.com/globalSearch/CAT28F020HI-12T/page-1", "CAT28F020HI-12T")</f>
        <v>CAT28F020HI-12T</v>
      </c>
      <c r="B17483" s="3" t="s">
        <v>74</v>
      </c>
      <c r="C17483" s="6">
        <v>500</v>
      </c>
      <c r="D17483" s="7">
        <v>8.5299999999999994</v>
      </c>
      <c r="E17483" t="s">
        <v>52</v>
      </c>
    </row>
    <row r="17484" spans="1:5" x14ac:dyDescent="0.25">
      <c r="A17484" t="str">
        <f>HYPERLINK("https://www.773grp.com/globalSearch/MC10H124FN/page-1", "MC10H124FN")</f>
        <v>MC10H124FN</v>
      </c>
      <c r="B17484" s="3" t="s">
        <v>74</v>
      </c>
      <c r="C17484" s="6">
        <v>3443</v>
      </c>
      <c r="D17484" s="7">
        <v>8.5500000000000007</v>
      </c>
      <c r="E17484" t="s">
        <v>61</v>
      </c>
    </row>
    <row r="17485" spans="1:5" x14ac:dyDescent="0.25">
      <c r="A17485" t="str">
        <f>HYPERLINK("https://www.773grp.com/globalSearch/MC10H124FNG/page-1", "MC10H124FNG")</f>
        <v>MC10H124FNG</v>
      </c>
      <c r="B17485" s="3" t="s">
        <v>74</v>
      </c>
      <c r="C17485" s="6">
        <v>835</v>
      </c>
      <c r="D17485" s="7">
        <v>8.5500000000000007</v>
      </c>
      <c r="E17485" t="s">
        <v>61</v>
      </c>
    </row>
    <row r="17486" spans="1:5" x14ac:dyDescent="0.25">
      <c r="A17486" t="str">
        <f>HYPERLINK("https://www.773grp.com/globalSearch/MC10H124FNR2/page-1", "MC10H124FNR2")</f>
        <v>MC10H124FNR2</v>
      </c>
      <c r="B17486" s="3" t="s">
        <v>74</v>
      </c>
      <c r="C17486" s="6">
        <v>2250</v>
      </c>
      <c r="D17486" s="7">
        <v>8.5500000000000007</v>
      </c>
      <c r="E17486" t="s">
        <v>61</v>
      </c>
    </row>
    <row r="17487" spans="1:5" x14ac:dyDescent="0.25">
      <c r="A17487" t="str">
        <f>HYPERLINK("https://www.773grp.com/globalSearch/MC10H124FNR2G/page-1", "MC10H124FNR2G")</f>
        <v>MC10H124FNR2G</v>
      </c>
      <c r="B17487" s="3" t="s">
        <v>74</v>
      </c>
      <c r="C17487" s="6">
        <v>3904</v>
      </c>
      <c r="D17487" s="7">
        <v>8.5500000000000007</v>
      </c>
      <c r="E17487" t="s">
        <v>61</v>
      </c>
    </row>
    <row r="17488" spans="1:5" x14ac:dyDescent="0.25">
      <c r="A17488" t="str">
        <f>HYPERLINK("https://www.773grp.com/globalSearch/MC10H124M/page-1", "MC10H124M")</f>
        <v>MC10H124M</v>
      </c>
      <c r="B17488" s="3" t="s">
        <v>74</v>
      </c>
      <c r="C17488" s="6">
        <v>9830</v>
      </c>
      <c r="D17488" s="7">
        <v>8.5500000000000007</v>
      </c>
      <c r="E17488" t="s">
        <v>61</v>
      </c>
    </row>
    <row r="17489" spans="1:5" x14ac:dyDescent="0.25">
      <c r="A17489" t="str">
        <f>HYPERLINK("https://www.773grp.com/globalSearch/MC10H124MEL/page-1", "MC10H124MEL")</f>
        <v>MC10H124MEL</v>
      </c>
      <c r="B17489" s="3" t="s">
        <v>74</v>
      </c>
      <c r="C17489" s="6">
        <v>810</v>
      </c>
      <c r="D17489" s="7">
        <v>8.5500000000000007</v>
      </c>
      <c r="E17489" t="s">
        <v>61</v>
      </c>
    </row>
    <row r="17490" spans="1:5" x14ac:dyDescent="0.25">
      <c r="A17490" t="str">
        <f>HYPERLINK("https://www.773grp.com/globalSearch/MC10H124MG/page-1", "MC10H124MG")</f>
        <v>MC10H124MG</v>
      </c>
      <c r="B17490" s="3" t="s">
        <v>74</v>
      </c>
      <c r="C17490" s="6">
        <v>765</v>
      </c>
      <c r="D17490" s="7">
        <v>8.5500000000000007</v>
      </c>
      <c r="E17490" t="s">
        <v>61</v>
      </c>
    </row>
    <row r="17491" spans="1:5" x14ac:dyDescent="0.25">
      <c r="A17491" t="str">
        <f>HYPERLINK("https://www.773grp.com/globalSearch/MC10H125FN/page-1", "MC10H125FN")</f>
        <v>MC10H125FN</v>
      </c>
      <c r="B17491" s="3" t="s">
        <v>74</v>
      </c>
      <c r="C17491" s="6">
        <v>6841</v>
      </c>
      <c r="D17491" s="7">
        <v>8.5500000000000007</v>
      </c>
      <c r="E17491" t="s">
        <v>61</v>
      </c>
    </row>
    <row r="17492" spans="1:5" x14ac:dyDescent="0.25">
      <c r="A17492" t="str">
        <f>HYPERLINK("https://www.773grp.com/globalSearch/MC10H125FNG/page-1", "MC10H125FNG")</f>
        <v>MC10H125FNG</v>
      </c>
      <c r="B17492" s="3" t="s">
        <v>74</v>
      </c>
      <c r="C17492" s="6">
        <v>973</v>
      </c>
      <c r="D17492" s="7">
        <v>8.5500000000000007</v>
      </c>
      <c r="E17492" t="s">
        <v>61</v>
      </c>
    </row>
    <row r="17493" spans="1:5" x14ac:dyDescent="0.25">
      <c r="A17493" t="str">
        <f>HYPERLINK("https://www.773grp.com/globalSearch/MC10H125FNR2/page-1", "MC10H125FNR2")</f>
        <v>MC10H125FNR2</v>
      </c>
      <c r="B17493" s="3" t="s">
        <v>74</v>
      </c>
      <c r="C17493" s="6">
        <v>727</v>
      </c>
      <c r="D17493" s="7">
        <v>8.5500000000000007</v>
      </c>
      <c r="E17493" t="s">
        <v>61</v>
      </c>
    </row>
    <row r="17494" spans="1:5" x14ac:dyDescent="0.25">
      <c r="A17494" t="str">
        <f>HYPERLINK("https://www.773grp.com/globalSearch/MC10H125FNR2G/page-1", "MC10H125FNR2G")</f>
        <v>MC10H125FNR2G</v>
      </c>
      <c r="B17494" s="3" t="s">
        <v>74</v>
      </c>
      <c r="C17494" s="6">
        <v>1500</v>
      </c>
      <c r="D17494" s="7">
        <v>8.5500000000000007</v>
      </c>
      <c r="E17494" t="s">
        <v>61</v>
      </c>
    </row>
    <row r="17495" spans="1:5" x14ac:dyDescent="0.25">
      <c r="A17495" t="str">
        <f>HYPERLINK("https://www.773grp.com/globalSearch/N04L63W1AT27IT/page-1", "N04L63W1AT27IT")</f>
        <v>N04L63W1AT27IT</v>
      </c>
      <c r="B17495" s="3" t="s">
        <v>74</v>
      </c>
      <c r="C17495" s="6">
        <v>3677</v>
      </c>
      <c r="D17495" s="7">
        <v>8.5500000000000007</v>
      </c>
      <c r="E17495" t="s">
        <v>63</v>
      </c>
    </row>
    <row r="17496" spans="1:5" x14ac:dyDescent="0.25">
      <c r="A17496" t="str">
        <f>HYPERLINK("https://www.773grp.com/globalSearch/LC75883E-E/page-1", "LC75883E-E")</f>
        <v>LC75883E-E</v>
      </c>
      <c r="B17496" s="3" t="s">
        <v>74</v>
      </c>
      <c r="C17496" s="6">
        <v>250</v>
      </c>
      <c r="D17496" s="7">
        <v>8.58</v>
      </c>
    </row>
    <row r="17497" spans="1:5" x14ac:dyDescent="0.25">
      <c r="A17497" t="str">
        <f>HYPERLINK("https://www.773grp.com/globalSearch/CS5301GDWR32/page-1", "CS5301GDWR32")</f>
        <v>CS5301GDWR32</v>
      </c>
      <c r="B17497" s="3" t="s">
        <v>74</v>
      </c>
      <c r="C17497" s="6">
        <v>998</v>
      </c>
      <c r="D17497" s="7">
        <v>8.61</v>
      </c>
      <c r="E17497" t="s">
        <v>5</v>
      </c>
    </row>
    <row r="17498" spans="1:5" x14ac:dyDescent="0.25">
      <c r="A17498" t="str">
        <f>HYPERLINK("https://www.773grp.com/globalSearch/MC10H130PG/page-1", "MC10H130PG")</f>
        <v>MC10H130PG</v>
      </c>
      <c r="B17498" s="3" t="s">
        <v>74</v>
      </c>
      <c r="C17498" s="6">
        <v>2920</v>
      </c>
      <c r="D17498" s="7">
        <v>8.69</v>
      </c>
      <c r="E17498" t="s">
        <v>31</v>
      </c>
    </row>
    <row r="17499" spans="1:5" x14ac:dyDescent="0.25">
      <c r="A17499" t="str">
        <f>HYPERLINK("https://www.773grp.com/globalSearch/MV1403/page-1", "MV1403")</f>
        <v>MV1403</v>
      </c>
      <c r="B17499" s="3" t="s">
        <v>74</v>
      </c>
      <c r="C17499" s="6">
        <v>5741</v>
      </c>
      <c r="D17499" s="7">
        <v>8.69</v>
      </c>
      <c r="E17499" t="s">
        <v>80</v>
      </c>
    </row>
    <row r="17500" spans="1:5" x14ac:dyDescent="0.25">
      <c r="A17500" t="str">
        <f>HYPERLINK("https://www.773grp.com/globalSearch/MC10EP11DT/page-1", "MC10EP11DT")</f>
        <v>MC10EP11DT</v>
      </c>
      <c r="B17500" s="3" t="s">
        <v>74</v>
      </c>
      <c r="C17500" s="6">
        <v>28670</v>
      </c>
      <c r="D17500" s="7">
        <v>8.73</v>
      </c>
      <c r="E17500" t="s">
        <v>30</v>
      </c>
    </row>
    <row r="17501" spans="1:5" x14ac:dyDescent="0.25">
      <c r="A17501" t="str">
        <f>HYPERLINK("https://www.773grp.com/globalSearch/MC10H135FNG/page-1", "MC10H135FNG")</f>
        <v>MC10H135FNG</v>
      </c>
      <c r="B17501" s="3" t="s">
        <v>74</v>
      </c>
      <c r="C17501" s="6">
        <v>1457</v>
      </c>
      <c r="D17501" s="7">
        <v>8.73</v>
      </c>
      <c r="E17501" t="s">
        <v>31</v>
      </c>
    </row>
    <row r="17502" spans="1:5" x14ac:dyDescent="0.25">
      <c r="A17502" t="str">
        <f>HYPERLINK("https://www.773grp.com/globalSearch/NB4N11MDTG/page-1", "NB4N11MDTG")</f>
        <v>NB4N11MDTG</v>
      </c>
      <c r="B17502" s="3" t="s">
        <v>74</v>
      </c>
      <c r="C17502" s="6">
        <v>4760</v>
      </c>
      <c r="D17502" s="7">
        <v>8.73</v>
      </c>
      <c r="E17502" t="s">
        <v>61</v>
      </c>
    </row>
    <row r="17503" spans="1:5" x14ac:dyDescent="0.25">
      <c r="A17503" t="str">
        <f>HYPERLINK("https://www.773grp.com/globalSearch/NB4N11MDTR2G/page-1", "NB4N11MDTR2G")</f>
        <v>NB4N11MDTR2G</v>
      </c>
      <c r="B17503" s="3" t="s">
        <v>74</v>
      </c>
      <c r="C17503" s="6">
        <v>5977</v>
      </c>
      <c r="D17503" s="7">
        <v>8.73</v>
      </c>
      <c r="E17503" t="s">
        <v>61</v>
      </c>
    </row>
    <row r="17504" spans="1:5" x14ac:dyDescent="0.25">
      <c r="A17504" t="str">
        <f>HYPERLINK("https://www.773grp.com/globalSearch/MJ11021G/page-1", "MJ11021G")</f>
        <v>MJ11021G</v>
      </c>
      <c r="B17504" s="3" t="s">
        <v>74</v>
      </c>
      <c r="C17504" s="6">
        <v>299</v>
      </c>
      <c r="D17504" s="7">
        <v>8.74</v>
      </c>
      <c r="E17504" t="s">
        <v>47</v>
      </c>
    </row>
    <row r="17505" spans="1:5" x14ac:dyDescent="0.25">
      <c r="A17505" t="str">
        <f>HYPERLINK("https://www.773grp.com/globalSearch/MJ11022G/page-1", "MJ11022G")</f>
        <v>MJ11022G</v>
      </c>
      <c r="B17505" s="3" t="s">
        <v>74</v>
      </c>
      <c r="C17505" s="6">
        <v>735</v>
      </c>
      <c r="D17505" s="7">
        <v>8.74</v>
      </c>
      <c r="E17505" t="s">
        <v>47</v>
      </c>
    </row>
    <row r="17506" spans="1:5" x14ac:dyDescent="0.25">
      <c r="A17506" t="str">
        <f>HYPERLINK("https://www.773grp.com/globalSearch/VMC100E111FN/page-1", "VMC100E111FN")</f>
        <v>VMC100E111FN</v>
      </c>
      <c r="B17506" s="3" t="s">
        <v>74</v>
      </c>
      <c r="C17506" s="6">
        <v>49</v>
      </c>
      <c r="D17506" s="7">
        <v>8.7799999999999994</v>
      </c>
    </row>
    <row r="17507" spans="1:5" x14ac:dyDescent="0.25">
      <c r="A17507" t="str">
        <f>HYPERLINK("https://www.773grp.com/globalSearch/VMC10E111FN/page-1", "VMC10E111FN")</f>
        <v>VMC10E111FN</v>
      </c>
      <c r="B17507" s="3" t="s">
        <v>74</v>
      </c>
      <c r="C17507" s="6">
        <v>150</v>
      </c>
      <c r="D17507" s="7">
        <v>8.7799999999999994</v>
      </c>
    </row>
    <row r="17508" spans="1:5" x14ac:dyDescent="0.25">
      <c r="A17508" t="str">
        <f>HYPERLINK("https://www.773grp.com/globalSearch/LV47022PH/page-1", "LV47022PH")</f>
        <v>LV47022PH</v>
      </c>
      <c r="B17508" s="3" t="s">
        <v>74</v>
      </c>
      <c r="C17508" s="6">
        <v>45</v>
      </c>
      <c r="D17508" s="7">
        <v>8.81</v>
      </c>
    </row>
    <row r="17509" spans="1:5" x14ac:dyDescent="0.25">
      <c r="A17509" t="str">
        <f>HYPERLINK("https://www.773grp.com/globalSearch/MC100LVEP210FA/page-1", "MC100LVEP210FA")</f>
        <v>MC100LVEP210FA</v>
      </c>
      <c r="B17509" s="3" t="s">
        <v>74</v>
      </c>
      <c r="C17509" s="6">
        <v>1233</v>
      </c>
      <c r="D17509" s="7">
        <v>8.86</v>
      </c>
      <c r="E17509" t="s">
        <v>30</v>
      </c>
    </row>
    <row r="17510" spans="1:5" x14ac:dyDescent="0.25">
      <c r="A17510" t="str">
        <f>HYPERLINK("https://www.773grp.com/globalSearch/MC10H210MG/page-1", "MC10H210MG")</f>
        <v>MC10H210MG</v>
      </c>
      <c r="B17510" s="3" t="s">
        <v>74</v>
      </c>
      <c r="C17510" s="6">
        <v>5839</v>
      </c>
      <c r="D17510" s="7">
        <v>9</v>
      </c>
      <c r="E17510" t="s">
        <v>27</v>
      </c>
    </row>
    <row r="17511" spans="1:5" x14ac:dyDescent="0.25">
      <c r="A17511" t="str">
        <f>HYPERLINK("https://www.773grp.com/globalSearch/MC14490FG/page-1", "MC14490FG")</f>
        <v>MC14490FG</v>
      </c>
      <c r="B17511" s="3" t="s">
        <v>74</v>
      </c>
      <c r="C17511" s="6">
        <v>20</v>
      </c>
      <c r="D17511" s="7">
        <v>9</v>
      </c>
      <c r="E17511" t="s">
        <v>28</v>
      </c>
    </row>
    <row r="17512" spans="1:5" x14ac:dyDescent="0.25">
      <c r="A17512" t="str">
        <f>HYPERLINK("https://www.773grp.com/globalSearch/MC100EL13DW/page-1", "MC100EL13DW")</f>
        <v>MC100EL13DW</v>
      </c>
      <c r="B17512" s="3" t="s">
        <v>74</v>
      </c>
      <c r="C17512" s="6">
        <v>7744</v>
      </c>
      <c r="D17512" s="7">
        <v>9.0299999999999994</v>
      </c>
      <c r="E17512" t="s">
        <v>30</v>
      </c>
    </row>
    <row r="17513" spans="1:5" x14ac:dyDescent="0.25">
      <c r="A17513" t="str">
        <f>HYPERLINK("https://www.773grp.com/globalSearch/MC100EL13DWR2/page-1", "MC100EL13DWR2")</f>
        <v>MC100EL13DWR2</v>
      </c>
      <c r="B17513" s="3" t="s">
        <v>74</v>
      </c>
      <c r="C17513" s="6">
        <v>1359</v>
      </c>
      <c r="D17513" s="7">
        <v>9.0299999999999994</v>
      </c>
      <c r="E17513" t="s">
        <v>30</v>
      </c>
    </row>
    <row r="17514" spans="1:5" x14ac:dyDescent="0.25">
      <c r="A17514" t="str">
        <f>HYPERLINK("https://www.773grp.com/globalSearch/MC100EL39DW/page-1", "MC100EL39DW")</f>
        <v>MC100EL39DW</v>
      </c>
      <c r="B17514" s="3" t="s">
        <v>74</v>
      </c>
      <c r="C17514" s="6">
        <v>124</v>
      </c>
      <c r="D17514" s="7">
        <v>9.0299999999999994</v>
      </c>
      <c r="E17514" t="s">
        <v>30</v>
      </c>
    </row>
    <row r="17515" spans="1:5" x14ac:dyDescent="0.25">
      <c r="A17515" t="str">
        <f>HYPERLINK("https://www.773grp.com/globalSearch/MC100EL39DWR2/page-1", "MC100EL39DWR2")</f>
        <v>MC100EL39DWR2</v>
      </c>
      <c r="B17515" s="3" t="s">
        <v>74</v>
      </c>
      <c r="C17515" s="6">
        <v>1000</v>
      </c>
      <c r="D17515" s="7">
        <v>9.0299999999999994</v>
      </c>
      <c r="E17515" t="s">
        <v>30</v>
      </c>
    </row>
    <row r="17516" spans="1:5" x14ac:dyDescent="0.25">
      <c r="A17516" t="str">
        <f>HYPERLINK("https://www.773grp.com/globalSearch/MC100EL59DW/page-1", "MC100EL59DW")</f>
        <v>MC100EL59DW</v>
      </c>
      <c r="B17516" s="3" t="s">
        <v>74</v>
      </c>
      <c r="C17516" s="6">
        <v>4066</v>
      </c>
      <c r="D17516" s="7">
        <v>9.0299999999999994</v>
      </c>
      <c r="E17516" t="s">
        <v>16</v>
      </c>
    </row>
    <row r="17517" spans="1:5" x14ac:dyDescent="0.25">
      <c r="A17517" t="str">
        <f>HYPERLINK("https://www.773grp.com/globalSearch/MC100LVEL13DW/page-1", "MC100LVEL13DW")</f>
        <v>MC100LVEL13DW</v>
      </c>
      <c r="B17517" s="3" t="s">
        <v>74</v>
      </c>
      <c r="C17517" s="6">
        <v>4061</v>
      </c>
      <c r="D17517" s="7">
        <v>9.0299999999999994</v>
      </c>
      <c r="E17517" t="s">
        <v>30</v>
      </c>
    </row>
    <row r="17518" spans="1:5" x14ac:dyDescent="0.25">
      <c r="A17518" t="str">
        <f>HYPERLINK("https://www.773grp.com/globalSearch/MC100LVEL39DW/page-1", "MC100LVEL39DW")</f>
        <v>MC100LVEL39DW</v>
      </c>
      <c r="B17518" s="3" t="s">
        <v>74</v>
      </c>
      <c r="C17518" s="6">
        <v>3177</v>
      </c>
      <c r="D17518" s="7">
        <v>9.0299999999999994</v>
      </c>
      <c r="E17518" t="s">
        <v>30</v>
      </c>
    </row>
    <row r="17519" spans="1:5" x14ac:dyDescent="0.25">
      <c r="A17519" t="str">
        <f>HYPERLINK("https://www.773grp.com/globalSearch/MC100LVEL39DWG/page-1", "MC100LVEL39DWG")</f>
        <v>MC100LVEL39DWG</v>
      </c>
      <c r="B17519" s="3" t="s">
        <v>74</v>
      </c>
      <c r="C17519" s="6">
        <v>305</v>
      </c>
      <c r="D17519" s="7">
        <v>9.0299999999999994</v>
      </c>
      <c r="E17519" t="s">
        <v>30</v>
      </c>
    </row>
    <row r="17520" spans="1:5" x14ac:dyDescent="0.25">
      <c r="A17520" t="str">
        <f>HYPERLINK("https://www.773grp.com/globalSearch/MC100LVEL40DW/page-1", "MC100LVEL40DW")</f>
        <v>MC100LVEL40DW</v>
      </c>
      <c r="B17520" s="3" t="s">
        <v>74</v>
      </c>
      <c r="C17520" s="6">
        <v>2733</v>
      </c>
      <c r="D17520" s="7">
        <v>9.0299999999999994</v>
      </c>
      <c r="E17520" t="s">
        <v>34</v>
      </c>
    </row>
    <row r="17521" spans="1:5" x14ac:dyDescent="0.25">
      <c r="A17521" t="str">
        <f>HYPERLINK("https://www.773grp.com/globalSearch/MC100LVEL59DWR2/page-1", "MC100LVEL59DWR2")</f>
        <v>MC100LVEL59DWR2</v>
      </c>
      <c r="B17521" s="3" t="s">
        <v>74</v>
      </c>
      <c r="C17521" s="6">
        <v>4000</v>
      </c>
      <c r="D17521" s="7">
        <v>9.0299999999999994</v>
      </c>
      <c r="E17521" t="s">
        <v>16</v>
      </c>
    </row>
    <row r="17522" spans="1:5" x14ac:dyDescent="0.25">
      <c r="A17522" t="str">
        <f>HYPERLINK("https://www.773grp.com/globalSearch/STK672-630A-E/page-1", "STK672-630A-E")</f>
        <v>STK672-630A-E</v>
      </c>
      <c r="B17522" s="3" t="s">
        <v>74</v>
      </c>
      <c r="C17522" s="6">
        <v>60</v>
      </c>
      <c r="D17522" s="7">
        <v>9.0299999999999994</v>
      </c>
    </row>
    <row r="17523" spans="1:5" x14ac:dyDescent="0.25">
      <c r="A17523" t="str">
        <f>HYPERLINK("https://www.773grp.com/globalSearch/MC100EL39DWG/page-1", "MC100EL39DWG")</f>
        <v>MC100EL39DWG</v>
      </c>
      <c r="B17523" s="3" t="s">
        <v>74</v>
      </c>
      <c r="C17523" s="6">
        <v>735</v>
      </c>
      <c r="D17523" s="7">
        <v>9.06</v>
      </c>
      <c r="E17523" t="s">
        <v>30</v>
      </c>
    </row>
    <row r="17524" spans="1:5" x14ac:dyDescent="0.25">
      <c r="A17524" t="str">
        <f>HYPERLINK("https://www.773grp.com/globalSearch/MC100LVEL40DWR2/page-1", "MC100LVEL40DWR2")</f>
        <v>MC100LVEL40DWR2</v>
      </c>
      <c r="B17524" s="3" t="s">
        <v>74</v>
      </c>
      <c r="C17524" s="6">
        <v>1000</v>
      </c>
      <c r="D17524" s="7">
        <v>9.06</v>
      </c>
      <c r="E17524" t="s">
        <v>34</v>
      </c>
    </row>
    <row r="17525" spans="1:5" x14ac:dyDescent="0.25">
      <c r="A17525" t="str">
        <f>HYPERLINK("https://www.773grp.com/globalSearch/MC100LVEL59DW/page-1", "MC100LVEL59DW")</f>
        <v>MC100LVEL59DW</v>
      </c>
      <c r="B17525" s="3" t="s">
        <v>74</v>
      </c>
      <c r="C17525" s="6">
        <v>1472</v>
      </c>
      <c r="D17525" s="7">
        <v>9.06</v>
      </c>
      <c r="E17525" t="s">
        <v>16</v>
      </c>
    </row>
    <row r="17526" spans="1:5" x14ac:dyDescent="0.25">
      <c r="A17526" t="str">
        <f>HYPERLINK("https://www.773grp.com/globalSearch/MTV16N50E/page-1", "MTV16N50E")</f>
        <v>MTV16N50E</v>
      </c>
      <c r="B17526" s="3" t="s">
        <v>74</v>
      </c>
      <c r="C17526" s="6">
        <v>1257</v>
      </c>
      <c r="D17526" s="7">
        <v>9.06</v>
      </c>
      <c r="E17526" t="s">
        <v>84</v>
      </c>
    </row>
    <row r="17527" spans="1:5" x14ac:dyDescent="0.25">
      <c r="A17527" t="str">
        <f>HYPERLINK("https://www.773grp.com/globalSearch/MTV32N25E/page-1", "MTV32N25E")</f>
        <v>MTV32N25E</v>
      </c>
      <c r="B17527" s="3" t="s">
        <v>74</v>
      </c>
      <c r="C17527" s="6">
        <v>20</v>
      </c>
      <c r="D17527" s="7">
        <v>9.06</v>
      </c>
      <c r="E17527" t="s">
        <v>84</v>
      </c>
    </row>
    <row r="17528" spans="1:5" x14ac:dyDescent="0.25">
      <c r="A17528" t="str">
        <f>HYPERLINK("https://www.773grp.com/globalSearch/MC100EP32DT/page-1", "MC100EP32DT")</f>
        <v>MC100EP32DT</v>
      </c>
      <c r="B17528" s="3" t="s">
        <v>74</v>
      </c>
      <c r="C17528" s="6">
        <v>33018</v>
      </c>
      <c r="D17528" s="7">
        <v>9.11</v>
      </c>
      <c r="E17528" t="s">
        <v>44</v>
      </c>
    </row>
    <row r="17529" spans="1:5" x14ac:dyDescent="0.25">
      <c r="A17529" t="str">
        <f>HYPERLINK("https://www.773grp.com/globalSearch/CAT28F001N-12BT/page-1", "CAT28F001N-12BT")</f>
        <v>CAT28F001N-12BT</v>
      </c>
      <c r="B17529" s="3" t="s">
        <v>74</v>
      </c>
      <c r="C17529" s="6">
        <v>1000</v>
      </c>
      <c r="D17529" s="7">
        <v>9.15</v>
      </c>
      <c r="E17529" t="s">
        <v>52</v>
      </c>
    </row>
    <row r="17530" spans="1:5" x14ac:dyDescent="0.25">
      <c r="A17530" t="str">
        <f>HYPERLINK("https://www.773grp.com/globalSearch/CAT5241YI25/page-1", "CAT5241YI25")</f>
        <v>CAT5241YI25</v>
      </c>
      <c r="B17530" s="3" t="s">
        <v>74</v>
      </c>
      <c r="C17530" s="6">
        <v>185</v>
      </c>
      <c r="D17530" s="7">
        <v>9.15</v>
      </c>
      <c r="E17530" t="s">
        <v>78</v>
      </c>
    </row>
    <row r="17531" spans="1:5" x14ac:dyDescent="0.25">
      <c r="A17531" t="str">
        <f>HYPERLINK("https://www.773grp.com/globalSearch/CAT5241YI-50-T2/page-1", "CAT5241YI-50-T2")</f>
        <v>CAT5241YI-50-T2</v>
      </c>
      <c r="B17531" s="3" t="s">
        <v>74</v>
      </c>
      <c r="C17531" s="6">
        <v>2000</v>
      </c>
      <c r="D17531" s="7">
        <v>9.15</v>
      </c>
    </row>
    <row r="17532" spans="1:5" x14ac:dyDescent="0.25">
      <c r="A17532" t="str">
        <f>HYPERLINK("https://www.773grp.com/globalSearch/MC100EL34DG/page-1", "MC100EL34DG")</f>
        <v>MC100EL34DG</v>
      </c>
      <c r="B17532" s="3" t="s">
        <v>74</v>
      </c>
      <c r="C17532" s="6">
        <v>733</v>
      </c>
      <c r="D17532" s="7">
        <v>9.15</v>
      </c>
      <c r="E17532" t="s">
        <v>30</v>
      </c>
    </row>
    <row r="17533" spans="1:5" x14ac:dyDescent="0.25">
      <c r="A17533" t="str">
        <f>HYPERLINK("https://www.773grp.com/globalSearch/MC100EL34DR2G/page-1", "MC100EL34DR2G")</f>
        <v>MC100EL34DR2G</v>
      </c>
      <c r="B17533" s="3" t="s">
        <v>74</v>
      </c>
      <c r="C17533" s="6">
        <v>4683</v>
      </c>
      <c r="D17533" s="7">
        <v>9.15</v>
      </c>
      <c r="E17533" t="s">
        <v>30</v>
      </c>
    </row>
    <row r="17534" spans="1:5" x14ac:dyDescent="0.25">
      <c r="A17534" t="str">
        <f>HYPERLINK("https://www.773grp.com/globalSearch/MC100EL56DWG/page-1", "MC100EL56DWG")</f>
        <v>MC100EL56DWG</v>
      </c>
      <c r="B17534" s="3" t="s">
        <v>74</v>
      </c>
      <c r="C17534" s="6">
        <v>2327</v>
      </c>
      <c r="D17534" s="7">
        <v>9.15</v>
      </c>
      <c r="E17534" t="s">
        <v>16</v>
      </c>
    </row>
    <row r="17535" spans="1:5" x14ac:dyDescent="0.25">
      <c r="A17535" t="str">
        <f>HYPERLINK("https://www.773grp.com/globalSearch/MC100EL56DWR2G/page-1", "MC100EL56DWR2G")</f>
        <v>MC100EL56DWR2G</v>
      </c>
      <c r="B17535" s="3" t="s">
        <v>74</v>
      </c>
      <c r="C17535" s="6">
        <v>12076</v>
      </c>
      <c r="D17535" s="7">
        <v>9.15</v>
      </c>
      <c r="E17535" t="s">
        <v>16</v>
      </c>
    </row>
    <row r="17536" spans="1:5" x14ac:dyDescent="0.25">
      <c r="A17536" t="str">
        <f>HYPERLINK("https://www.773grp.com/globalSearch/MC100EL57DG/page-1", "MC100EL57DG")</f>
        <v>MC100EL57DG</v>
      </c>
      <c r="B17536" s="3" t="s">
        <v>74</v>
      </c>
      <c r="C17536" s="6">
        <v>2700</v>
      </c>
      <c r="D17536" s="7">
        <v>9.15</v>
      </c>
      <c r="E17536" t="s">
        <v>16</v>
      </c>
    </row>
    <row r="17537" spans="1:5" x14ac:dyDescent="0.25">
      <c r="A17537" t="str">
        <f>HYPERLINK("https://www.773grp.com/globalSearch/MC100EL57DR2G/page-1", "MC100EL57DR2G")</f>
        <v>MC100EL57DR2G</v>
      </c>
      <c r="B17537" s="3" t="s">
        <v>74</v>
      </c>
      <c r="C17537" s="6">
        <v>7500</v>
      </c>
      <c r="D17537" s="7">
        <v>9.15</v>
      </c>
      <c r="E17537" t="s">
        <v>16</v>
      </c>
    </row>
    <row r="17538" spans="1:5" x14ac:dyDescent="0.25">
      <c r="A17538" t="str">
        <f>HYPERLINK("https://www.773grp.com/globalSearch/MC100EP01DG/page-1", "MC100EP01DG")</f>
        <v>MC100EP01DG</v>
      </c>
      <c r="B17538" s="3" t="s">
        <v>74</v>
      </c>
      <c r="C17538" s="6">
        <v>55047</v>
      </c>
      <c r="D17538" s="7">
        <v>9.15</v>
      </c>
      <c r="E17538" t="s">
        <v>27</v>
      </c>
    </row>
    <row r="17539" spans="1:5" x14ac:dyDescent="0.25">
      <c r="A17539" t="str">
        <f>HYPERLINK("https://www.773grp.com/globalSearch/MC100EP01DR2G/page-1", "MC100EP01DR2G")</f>
        <v>MC100EP01DR2G</v>
      </c>
      <c r="B17539" s="3" t="s">
        <v>74</v>
      </c>
      <c r="C17539" s="6">
        <v>14449</v>
      </c>
      <c r="D17539" s="7">
        <v>9.15</v>
      </c>
      <c r="E17539" t="s">
        <v>27</v>
      </c>
    </row>
    <row r="17540" spans="1:5" x14ac:dyDescent="0.25">
      <c r="A17540" t="str">
        <f>HYPERLINK("https://www.773grp.com/globalSearch/MC100EP01DTG/page-1", "MC100EP01DTG")</f>
        <v>MC100EP01DTG</v>
      </c>
      <c r="B17540" s="3" t="s">
        <v>74</v>
      </c>
      <c r="C17540" s="6">
        <v>11655</v>
      </c>
      <c r="D17540" s="7">
        <v>9.15</v>
      </c>
      <c r="E17540" t="s">
        <v>27</v>
      </c>
    </row>
    <row r="17541" spans="1:5" x14ac:dyDescent="0.25">
      <c r="A17541" t="str">
        <f>HYPERLINK("https://www.773grp.com/globalSearch/MC100EP01MNR4G/page-1", "MC100EP01MNR4G")</f>
        <v>MC100EP01MNR4G</v>
      </c>
      <c r="B17541" s="3" t="s">
        <v>74</v>
      </c>
      <c r="C17541" s="6">
        <v>12415</v>
      </c>
      <c r="D17541" s="7">
        <v>9.15</v>
      </c>
      <c r="E17541" t="s">
        <v>27</v>
      </c>
    </row>
    <row r="17542" spans="1:5" x14ac:dyDescent="0.25">
      <c r="A17542" t="str">
        <f>HYPERLINK("https://www.773grp.com/globalSearch/MC100EP05DG/page-1", "MC100EP05DG")</f>
        <v>MC100EP05DG</v>
      </c>
      <c r="B17542" s="3" t="s">
        <v>74</v>
      </c>
      <c r="C17542" s="6">
        <v>21416</v>
      </c>
      <c r="D17542" s="7">
        <v>9.15</v>
      </c>
      <c r="E17542" t="s">
        <v>27</v>
      </c>
    </row>
    <row r="17543" spans="1:5" x14ac:dyDescent="0.25">
      <c r="A17543" t="str">
        <f>HYPERLINK("https://www.773grp.com/globalSearch/MC100EP05DR2G/page-1", "MC100EP05DR2G")</f>
        <v>MC100EP05DR2G</v>
      </c>
      <c r="B17543" s="3" t="s">
        <v>74</v>
      </c>
      <c r="C17543" s="6">
        <v>19990</v>
      </c>
      <c r="D17543" s="7">
        <v>9.15</v>
      </c>
      <c r="E17543" t="s">
        <v>27</v>
      </c>
    </row>
    <row r="17544" spans="1:5" x14ac:dyDescent="0.25">
      <c r="A17544" t="str">
        <f>HYPERLINK("https://www.773grp.com/globalSearch/MC100EP05DTG/page-1", "MC100EP05DTG")</f>
        <v>MC100EP05DTG</v>
      </c>
      <c r="B17544" s="3" t="s">
        <v>74</v>
      </c>
      <c r="C17544" s="6">
        <v>6760</v>
      </c>
      <c r="D17544" s="7">
        <v>9.15</v>
      </c>
      <c r="E17544" t="s">
        <v>27</v>
      </c>
    </row>
    <row r="17545" spans="1:5" x14ac:dyDescent="0.25">
      <c r="A17545" t="str">
        <f>HYPERLINK("https://www.773grp.com/globalSearch/MC100EP05MNR4G/page-1", "MC100EP05MNR4G")</f>
        <v>MC100EP05MNR4G</v>
      </c>
      <c r="B17545" s="3" t="s">
        <v>74</v>
      </c>
      <c r="C17545" s="6">
        <v>15000</v>
      </c>
      <c r="D17545" s="7">
        <v>9.15</v>
      </c>
      <c r="E17545" t="s">
        <v>27</v>
      </c>
    </row>
    <row r="17546" spans="1:5" x14ac:dyDescent="0.25">
      <c r="A17546" t="str">
        <f>HYPERLINK("https://www.773grp.com/globalSearch/MC100EP08DG/page-1", "MC100EP08DG")</f>
        <v>MC100EP08DG</v>
      </c>
      <c r="B17546" s="3" t="s">
        <v>74</v>
      </c>
      <c r="C17546" s="6">
        <v>1862</v>
      </c>
      <c r="D17546" s="7">
        <v>9.15</v>
      </c>
      <c r="E17546" t="s">
        <v>27</v>
      </c>
    </row>
    <row r="17547" spans="1:5" x14ac:dyDescent="0.25">
      <c r="A17547" t="str">
        <f>HYPERLINK("https://www.773grp.com/globalSearch/MC100EP08DTG/page-1", "MC100EP08DTG")</f>
        <v>MC100EP08DTG</v>
      </c>
      <c r="B17547" s="3" t="s">
        <v>74</v>
      </c>
      <c r="C17547" s="6">
        <v>3192</v>
      </c>
      <c r="D17547" s="7">
        <v>9.15</v>
      </c>
      <c r="E17547" t="s">
        <v>27</v>
      </c>
    </row>
    <row r="17548" spans="1:5" x14ac:dyDescent="0.25">
      <c r="A17548" t="str">
        <f>HYPERLINK("https://www.773grp.com/globalSearch/MC100EP08DTR2G/page-1", "MC100EP08DTR2G")</f>
        <v>MC100EP08DTR2G</v>
      </c>
      <c r="B17548" s="3" t="s">
        <v>74</v>
      </c>
      <c r="C17548" s="6">
        <v>7480</v>
      </c>
      <c r="D17548" s="7">
        <v>9.15</v>
      </c>
      <c r="E17548" t="s">
        <v>27</v>
      </c>
    </row>
    <row r="17549" spans="1:5" x14ac:dyDescent="0.25">
      <c r="A17549" t="str">
        <f>HYPERLINK("https://www.773grp.com/globalSearch/MC100EP809FA/page-1", "MC100EP809FA")</f>
        <v>MC100EP809FA</v>
      </c>
      <c r="B17549" s="3" t="s">
        <v>74</v>
      </c>
      <c r="C17549" s="6">
        <v>2485</v>
      </c>
      <c r="D17549" s="7">
        <v>9.15</v>
      </c>
      <c r="E17549" t="s">
        <v>30</v>
      </c>
    </row>
    <row r="17550" spans="1:5" x14ac:dyDescent="0.25">
      <c r="A17550" t="str">
        <f>HYPERLINK("https://www.773grp.com/globalSearch/MC100EPT23MNR4G/page-1", "MC100EPT23MNR4G")</f>
        <v>MC100EPT23MNR4G</v>
      </c>
      <c r="B17550" s="3" t="s">
        <v>74</v>
      </c>
      <c r="C17550" s="6">
        <v>1200</v>
      </c>
      <c r="D17550" s="7">
        <v>9.15</v>
      </c>
      <c r="E17550" t="s">
        <v>61</v>
      </c>
    </row>
    <row r="17551" spans="1:5" x14ac:dyDescent="0.25">
      <c r="A17551" t="str">
        <f>HYPERLINK("https://www.773grp.com/globalSearch/MC100LVEL34DG/page-1", "MC100LVEL34DG")</f>
        <v>MC100LVEL34DG</v>
      </c>
      <c r="B17551" s="3" t="s">
        <v>74</v>
      </c>
      <c r="C17551" s="6">
        <v>1559</v>
      </c>
      <c r="D17551" s="7">
        <v>9.15</v>
      </c>
      <c r="E17551" t="s">
        <v>30</v>
      </c>
    </row>
    <row r="17552" spans="1:5" x14ac:dyDescent="0.25">
      <c r="A17552" t="str">
        <f>HYPERLINK("https://www.773grp.com/globalSearch/MC100LVEL34DTG/page-1", "MC100LVEL34DTG")</f>
        <v>MC100LVEL34DTG</v>
      </c>
      <c r="B17552" s="3" t="s">
        <v>74</v>
      </c>
      <c r="C17552" s="6">
        <v>296</v>
      </c>
      <c r="D17552" s="7">
        <v>9.15</v>
      </c>
      <c r="E17552" t="s">
        <v>30</v>
      </c>
    </row>
    <row r="17553" spans="1:5" x14ac:dyDescent="0.25">
      <c r="A17553" t="str">
        <f>HYPERLINK("https://www.773grp.com/globalSearch/MC100LVEL56DWG/page-1", "MC100LVEL56DWG")</f>
        <v>MC100LVEL56DWG</v>
      </c>
      <c r="B17553" s="3" t="s">
        <v>74</v>
      </c>
      <c r="C17553" s="6">
        <v>1635</v>
      </c>
      <c r="D17553" s="7">
        <v>9.15</v>
      </c>
      <c r="E17553" t="s">
        <v>16</v>
      </c>
    </row>
    <row r="17554" spans="1:5" x14ac:dyDescent="0.25">
      <c r="A17554" t="str">
        <f>HYPERLINK("https://www.773grp.com/globalSearch/MC100LVEL56DWR2G/page-1", "MC100LVEL56DWR2G")</f>
        <v>MC100LVEL56DWR2G</v>
      </c>
      <c r="B17554" s="3" t="s">
        <v>74</v>
      </c>
      <c r="C17554" s="6">
        <v>2000</v>
      </c>
      <c r="D17554" s="7">
        <v>9.15</v>
      </c>
      <c r="E17554" t="s">
        <v>16</v>
      </c>
    </row>
    <row r="17555" spans="1:5" x14ac:dyDescent="0.25">
      <c r="A17555" t="str">
        <f>HYPERLINK("https://www.773grp.com/globalSearch/MC10EL34DG/page-1", "MC10EL34DG")</f>
        <v>MC10EL34DG</v>
      </c>
      <c r="B17555" s="3" t="s">
        <v>74</v>
      </c>
      <c r="C17555" s="6">
        <v>16621</v>
      </c>
      <c r="D17555" s="7">
        <v>9.15</v>
      </c>
      <c r="E17555" t="s">
        <v>30</v>
      </c>
    </row>
    <row r="17556" spans="1:5" x14ac:dyDescent="0.25">
      <c r="A17556" t="str">
        <f>HYPERLINK("https://www.773grp.com/globalSearch/MC10EL34DR2G/page-1", "MC10EL34DR2G")</f>
        <v>MC10EL34DR2G</v>
      </c>
      <c r="B17556" s="3" t="s">
        <v>74</v>
      </c>
      <c r="C17556" s="6">
        <v>5000</v>
      </c>
      <c r="D17556" s="7">
        <v>9.15</v>
      </c>
    </row>
    <row r="17557" spans="1:5" x14ac:dyDescent="0.25">
      <c r="A17557" t="str">
        <f>HYPERLINK("https://www.773grp.com/globalSearch/MC10EL57DG/page-1", "MC10EL57DG")</f>
        <v>MC10EL57DG</v>
      </c>
      <c r="B17557" s="3" t="s">
        <v>74</v>
      </c>
      <c r="C17557" s="6">
        <v>413</v>
      </c>
      <c r="D17557" s="7">
        <v>9.15</v>
      </c>
      <c r="E17557" t="s">
        <v>16</v>
      </c>
    </row>
    <row r="17558" spans="1:5" x14ac:dyDescent="0.25">
      <c r="A17558" t="str">
        <f>HYPERLINK("https://www.773grp.com/globalSearch/MC10EP89DG/page-1", "MC10EP89DG")</f>
        <v>MC10EP89DG</v>
      </c>
      <c r="B17558" s="3" t="s">
        <v>74</v>
      </c>
      <c r="C17558" s="6">
        <v>314</v>
      </c>
      <c r="D17558" s="7">
        <v>9.15</v>
      </c>
      <c r="E17558" t="s">
        <v>17</v>
      </c>
    </row>
    <row r="17559" spans="1:5" x14ac:dyDescent="0.25">
      <c r="A17559" t="str">
        <f>HYPERLINK("https://www.773grp.com/globalSearch/MC10EP89DTG/page-1", "MC10EP89DTG")</f>
        <v>MC10EP89DTG</v>
      </c>
      <c r="B17559" s="3" t="s">
        <v>74</v>
      </c>
      <c r="C17559" s="6">
        <v>983</v>
      </c>
      <c r="D17559" s="7">
        <v>9.15</v>
      </c>
      <c r="E17559" t="s">
        <v>17</v>
      </c>
    </row>
    <row r="17560" spans="1:5" x14ac:dyDescent="0.25">
      <c r="A17560" t="str">
        <f>HYPERLINK("https://www.773grp.com/globalSearch/MC10EP89DTR2G/page-1", "MC10EP89DTR2G")</f>
        <v>MC10EP89DTR2G</v>
      </c>
      <c r="B17560" s="3" t="s">
        <v>74</v>
      </c>
      <c r="C17560" s="6">
        <v>8900</v>
      </c>
      <c r="D17560" s="7">
        <v>9.15</v>
      </c>
      <c r="E17560" t="s">
        <v>17</v>
      </c>
    </row>
    <row r="17561" spans="1:5" x14ac:dyDescent="0.25">
      <c r="A17561" t="str">
        <f>HYPERLINK("https://www.773grp.com/globalSearch/MC10EP89MNR4G/page-1", "MC10EP89MNR4G")</f>
        <v>MC10EP89MNR4G</v>
      </c>
      <c r="B17561" s="3" t="s">
        <v>74</v>
      </c>
      <c r="C17561" s="6">
        <v>26895</v>
      </c>
      <c r="D17561" s="7">
        <v>9.15</v>
      </c>
      <c r="E17561" t="s">
        <v>17</v>
      </c>
    </row>
    <row r="17562" spans="1:5" x14ac:dyDescent="0.25">
      <c r="A17562" t="str">
        <f>HYPERLINK("https://www.773grp.com/globalSearch/MC10H135PG/page-1", "MC10H135PG")</f>
        <v>MC10H135PG</v>
      </c>
      <c r="B17562" s="3" t="s">
        <v>74</v>
      </c>
      <c r="C17562" s="6">
        <v>3899</v>
      </c>
      <c r="D17562" s="7">
        <v>9.15</v>
      </c>
      <c r="E17562" t="s">
        <v>31</v>
      </c>
    </row>
    <row r="17563" spans="1:5" x14ac:dyDescent="0.25">
      <c r="A17563" t="str">
        <f>HYPERLINK("https://www.773grp.com/globalSearch/NB3F8L3010CMNG/page-1", "NB3F8L3010CMNG")</f>
        <v>NB3F8L3010CMNG</v>
      </c>
      <c r="B17563" s="3" t="s">
        <v>74</v>
      </c>
      <c r="C17563" s="6">
        <v>45</v>
      </c>
      <c r="D17563" s="7">
        <v>9.15</v>
      </c>
    </row>
    <row r="17564" spans="1:5" x14ac:dyDescent="0.25">
      <c r="A17564" t="str">
        <f>HYPERLINK("https://www.773grp.com/globalSearch/NB3N15552MNG/page-1", "NB3N15552MNG")</f>
        <v>NB3N15552MNG</v>
      </c>
      <c r="B17564" s="3" t="s">
        <v>74</v>
      </c>
      <c r="C17564" s="6">
        <v>184</v>
      </c>
      <c r="D17564" s="7">
        <v>9.15</v>
      </c>
    </row>
    <row r="17565" spans="1:5" x14ac:dyDescent="0.25">
      <c r="A17565" t="str">
        <f>HYPERLINK("https://www.773grp.com/globalSearch/NB3N15625MNG/page-1", "NB3N15625MNG")</f>
        <v>NB3N15625MNG</v>
      </c>
      <c r="B17565" s="3" t="s">
        <v>74</v>
      </c>
      <c r="C17565" s="6">
        <v>184</v>
      </c>
      <c r="D17565" s="7">
        <v>9.15</v>
      </c>
    </row>
    <row r="17566" spans="1:5" x14ac:dyDescent="0.25">
      <c r="A17566" t="str">
        <f>HYPERLINK("https://www.773grp.com/globalSearch/NB3N49152MNG/page-1", "NB3N49152MNG")</f>
        <v>NB3N49152MNG</v>
      </c>
      <c r="B17566" s="3" t="s">
        <v>74</v>
      </c>
      <c r="C17566" s="6">
        <v>184</v>
      </c>
      <c r="D17566" s="7">
        <v>9.15</v>
      </c>
    </row>
    <row r="17567" spans="1:5" x14ac:dyDescent="0.25">
      <c r="A17567" t="str">
        <f>HYPERLINK("https://www.773grp.com/globalSearch/MC10H131FNG/page-1", "MC10H131FNG")</f>
        <v>MC10H131FNG</v>
      </c>
      <c r="B17567" s="3" t="s">
        <v>74</v>
      </c>
      <c r="C17567" s="6">
        <v>30</v>
      </c>
      <c r="D17567" s="7">
        <v>9.16</v>
      </c>
      <c r="E17567" t="s">
        <v>31</v>
      </c>
    </row>
    <row r="17568" spans="1:5" x14ac:dyDescent="0.25">
      <c r="A17568" t="str">
        <f>HYPERLINK("https://www.773grp.com/globalSearch/MC10H131FNR2/page-1", "MC10H131FNR2")</f>
        <v>MC10H131FNR2</v>
      </c>
      <c r="B17568" s="3" t="s">
        <v>74</v>
      </c>
      <c r="C17568" s="6">
        <v>1564</v>
      </c>
      <c r="D17568" s="7">
        <v>9.16</v>
      </c>
      <c r="E17568" t="s">
        <v>31</v>
      </c>
    </row>
    <row r="17569" spans="1:5" x14ac:dyDescent="0.25">
      <c r="A17569" t="str">
        <f>HYPERLINK("https://www.773grp.com/globalSearch/MC10H131FNR2G/page-1", "MC10H131FNR2G")</f>
        <v>MC10H131FNR2G</v>
      </c>
      <c r="B17569" s="3" t="s">
        <v>74</v>
      </c>
      <c r="C17569" s="6">
        <v>223</v>
      </c>
      <c r="D17569" s="7">
        <v>9.16</v>
      </c>
    </row>
    <row r="17570" spans="1:5" x14ac:dyDescent="0.25">
      <c r="A17570" t="str">
        <f>HYPERLINK("https://www.773grp.com/globalSearch/MC10H131MELG/page-1", "MC10H131MELG")</f>
        <v>MC10H131MELG</v>
      </c>
      <c r="B17570" s="3" t="s">
        <v>74</v>
      </c>
      <c r="C17570" s="6">
        <v>640</v>
      </c>
      <c r="D17570" s="7">
        <v>9.16</v>
      </c>
      <c r="E17570" t="s">
        <v>31</v>
      </c>
    </row>
    <row r="17571" spans="1:5" x14ac:dyDescent="0.25">
      <c r="A17571" t="str">
        <f>HYPERLINK("https://www.773grp.com/globalSearch/MC10141FN/page-1", "MC10141FN")</f>
        <v>MC10141FN</v>
      </c>
      <c r="B17571" s="3" t="s">
        <v>74</v>
      </c>
      <c r="C17571" s="6">
        <v>1380</v>
      </c>
      <c r="D17571" s="7">
        <v>9.25</v>
      </c>
      <c r="E17571" t="s">
        <v>28</v>
      </c>
    </row>
    <row r="17572" spans="1:5" x14ac:dyDescent="0.25">
      <c r="A17572" t="str">
        <f>HYPERLINK("https://www.773grp.com/globalSearch/WPH4003-1E/page-1", "WPH4003-1E")</f>
        <v>WPH4003-1E</v>
      </c>
      <c r="B17572" s="3" t="s">
        <v>74</v>
      </c>
      <c r="C17572" s="6">
        <v>60</v>
      </c>
      <c r="D17572" s="7">
        <v>9.31</v>
      </c>
    </row>
    <row r="17573" spans="1:5" x14ac:dyDescent="0.25">
      <c r="A17573" t="str">
        <f>HYPERLINK("https://www.773grp.com/globalSearch/LC75812PT-8565-H/page-1", "LC75812PT-8565-H")</f>
        <v>LC75812PT-8565-H</v>
      </c>
      <c r="B17573" s="3" t="s">
        <v>74</v>
      </c>
      <c r="C17573" s="6">
        <v>90</v>
      </c>
      <c r="D17573" s="7">
        <v>9.49</v>
      </c>
    </row>
    <row r="17574" spans="1:5" x14ac:dyDescent="0.25">
      <c r="A17574" t="str">
        <f>HYPERLINK("https://www.773grp.com/globalSearch/LV8772-E/page-1", "LV8772-E")</f>
        <v>LV8772-E</v>
      </c>
      <c r="B17574" s="3" t="s">
        <v>74</v>
      </c>
      <c r="C17574" s="6">
        <v>40</v>
      </c>
      <c r="D17574" s="7">
        <v>9.5</v>
      </c>
    </row>
    <row r="17575" spans="1:5" x14ac:dyDescent="0.25">
      <c r="A17575" t="str">
        <f>HYPERLINK("https://www.773grp.com/globalSearch/MC10H186FN/page-1", "MC10H186FN")</f>
        <v>MC10H186FN</v>
      </c>
      <c r="B17575" s="3" t="s">
        <v>74</v>
      </c>
      <c r="C17575" s="6">
        <v>25675</v>
      </c>
      <c r="D17575" s="7">
        <v>9.5399999999999991</v>
      </c>
      <c r="E17575" t="s">
        <v>31</v>
      </c>
    </row>
    <row r="17576" spans="1:5" x14ac:dyDescent="0.25">
      <c r="A17576" t="str">
        <f>HYPERLINK("https://www.773grp.com/globalSearch/MC10H186FNR2/page-1", "MC10H186FNR2")</f>
        <v>MC10H186FNR2</v>
      </c>
      <c r="B17576" s="3" t="s">
        <v>74</v>
      </c>
      <c r="C17576" s="6">
        <v>2000</v>
      </c>
      <c r="D17576" s="7">
        <v>9.5399999999999991</v>
      </c>
      <c r="E17576" t="s">
        <v>31</v>
      </c>
    </row>
    <row r="17577" spans="1:5" x14ac:dyDescent="0.25">
      <c r="A17577" t="str">
        <f>HYPERLINK("https://www.773grp.com/globalSearch/MC10H186P/page-1", "MC10H186P")</f>
        <v>MC10H186P</v>
      </c>
      <c r="B17577" s="3" t="s">
        <v>74</v>
      </c>
      <c r="C17577" s="6">
        <v>2337</v>
      </c>
      <c r="D17577" s="7">
        <v>9.5399999999999991</v>
      </c>
      <c r="E17577" t="s">
        <v>31</v>
      </c>
    </row>
    <row r="17578" spans="1:5" x14ac:dyDescent="0.25">
      <c r="A17578" t="str">
        <f>HYPERLINK("https://www.773grp.com/globalSearch/FS6370-01G-XTD/page-1", "FS6370-01G-XTD")</f>
        <v>FS6370-01G-XTD</v>
      </c>
      <c r="B17578" s="3" t="s">
        <v>74</v>
      </c>
      <c r="C17578" s="6">
        <v>1011</v>
      </c>
      <c r="D17578" s="7">
        <v>9.56</v>
      </c>
      <c r="E17578" t="s">
        <v>65</v>
      </c>
    </row>
    <row r="17579" spans="1:5" x14ac:dyDescent="0.25">
      <c r="A17579" t="str">
        <f>HYPERLINK("https://www.773grp.com/globalSearch/NBC12430AFA/page-1", "NBC12430AFA")</f>
        <v>NBC12430AFA</v>
      </c>
      <c r="B17579" s="3" t="s">
        <v>74</v>
      </c>
      <c r="C17579" s="6">
        <v>4187</v>
      </c>
      <c r="D17579" s="7">
        <v>9.6300000000000008</v>
      </c>
      <c r="E17579" t="s">
        <v>65</v>
      </c>
    </row>
    <row r="17580" spans="1:5" x14ac:dyDescent="0.25">
      <c r="A17580" t="str">
        <f>HYPERLINK("https://www.773grp.com/globalSearch/NBC12439AFN/page-1", "NBC12439AFN")</f>
        <v>NBC12439AFN</v>
      </c>
      <c r="B17580" s="3" t="s">
        <v>74</v>
      </c>
      <c r="C17580" s="6">
        <v>74</v>
      </c>
      <c r="D17580" s="7">
        <v>9.6300000000000008</v>
      </c>
      <c r="E17580" t="s">
        <v>65</v>
      </c>
    </row>
    <row r="17581" spans="1:5" x14ac:dyDescent="0.25">
      <c r="A17581" t="str">
        <f>HYPERLINK("https://www.773grp.com/globalSearch/NBC12439AFNR2/page-1", "NBC12439AFNR2")</f>
        <v>NBC12439AFNR2</v>
      </c>
      <c r="B17581" s="3" t="s">
        <v>74</v>
      </c>
      <c r="C17581" s="6">
        <v>1000</v>
      </c>
      <c r="D17581" s="7">
        <v>9.6300000000000008</v>
      </c>
      <c r="E17581" t="s">
        <v>65</v>
      </c>
    </row>
    <row r="17582" spans="1:5" x14ac:dyDescent="0.25">
      <c r="A17582" t="str">
        <f>HYPERLINK("https://www.773grp.com/globalSearch/MC10H135M/page-1", "MC10H135M")</f>
        <v>MC10H135M</v>
      </c>
      <c r="B17582" s="3" t="s">
        <v>74</v>
      </c>
      <c r="C17582" s="6">
        <v>2500</v>
      </c>
      <c r="D17582" s="7">
        <v>9.65</v>
      </c>
      <c r="E17582" t="s">
        <v>31</v>
      </c>
    </row>
    <row r="17583" spans="1:5" x14ac:dyDescent="0.25">
      <c r="A17583" t="str">
        <f>HYPERLINK("https://www.773grp.com/globalSearch/MC10176L/page-1", "MC10176L")</f>
        <v>MC10176L</v>
      </c>
      <c r="B17583" s="3" t="s">
        <v>74</v>
      </c>
      <c r="C17583" s="6">
        <v>1667</v>
      </c>
      <c r="D17583" s="7">
        <v>9.68</v>
      </c>
      <c r="E17583" t="s">
        <v>31</v>
      </c>
    </row>
    <row r="17584" spans="1:5" x14ac:dyDescent="0.25">
      <c r="A17584" t="str">
        <f>HYPERLINK("https://www.773grp.com/globalSearch/ADT7463ARQZ/page-1", "ADT7463ARQZ")</f>
        <v>ADT7463ARQZ</v>
      </c>
      <c r="B17584" s="3" t="s">
        <v>74</v>
      </c>
      <c r="C17584" s="6">
        <v>4142</v>
      </c>
      <c r="D17584" s="7">
        <v>9.6999999999999993</v>
      </c>
      <c r="E17584" t="s">
        <v>36</v>
      </c>
    </row>
    <row r="17585" spans="1:5" x14ac:dyDescent="0.25">
      <c r="A17585" t="str">
        <f>HYPERLINK("https://www.773grp.com/globalSearch/CAT5419WI00/page-1", "CAT5419WI00")</f>
        <v>CAT5419WI00</v>
      </c>
      <c r="B17585" s="3" t="s">
        <v>74</v>
      </c>
      <c r="C17585" s="6">
        <v>3007</v>
      </c>
      <c r="D17585" s="7">
        <v>9.6999999999999993</v>
      </c>
      <c r="E17585" t="s">
        <v>78</v>
      </c>
    </row>
    <row r="17586" spans="1:5" x14ac:dyDescent="0.25">
      <c r="A17586" t="str">
        <f>HYPERLINK("https://www.773grp.com/globalSearch/CAT5419YI10/page-1", "CAT5419YI10")</f>
        <v>CAT5419YI10</v>
      </c>
      <c r="B17586" s="3" t="s">
        <v>74</v>
      </c>
      <c r="C17586" s="6">
        <v>11780</v>
      </c>
      <c r="D17586" s="7">
        <v>9.6999999999999993</v>
      </c>
      <c r="E17586" t="s">
        <v>78</v>
      </c>
    </row>
    <row r="17587" spans="1:5" x14ac:dyDescent="0.25">
      <c r="A17587" t="str">
        <f>HYPERLINK("https://www.773grp.com/globalSearch/CS4122XDWF24G/page-1", "CS4122XDWF24G")</f>
        <v>CS4122XDWF24G</v>
      </c>
      <c r="B17587" s="3" t="s">
        <v>74</v>
      </c>
      <c r="C17587" s="6">
        <v>2876</v>
      </c>
      <c r="D17587" s="7">
        <v>9.6999999999999993</v>
      </c>
      <c r="E17587" t="s">
        <v>8</v>
      </c>
    </row>
    <row r="17588" spans="1:5" x14ac:dyDescent="0.25">
      <c r="A17588" t="str">
        <f>HYPERLINK("https://www.773grp.com/globalSearch/STK432-050-E/page-1", "STK432-050-E")</f>
        <v>STK432-050-E</v>
      </c>
      <c r="B17588" s="3" t="s">
        <v>74</v>
      </c>
      <c r="C17588" s="6">
        <v>200</v>
      </c>
      <c r="D17588" s="7">
        <v>9.6999999999999993</v>
      </c>
    </row>
    <row r="17589" spans="1:5" x14ac:dyDescent="0.25">
      <c r="A17589" t="str">
        <f>HYPERLINK("https://www.773grp.com/globalSearch/MC10141L/page-1", "MC10141L")</f>
        <v>MC10141L</v>
      </c>
      <c r="B17589" s="3" t="s">
        <v>74</v>
      </c>
      <c r="C17589" s="6">
        <v>520</v>
      </c>
      <c r="D17589" s="7">
        <v>9.75</v>
      </c>
      <c r="E17589" t="s">
        <v>28</v>
      </c>
    </row>
    <row r="17590" spans="1:5" x14ac:dyDescent="0.25">
      <c r="A17590" t="str">
        <f>HYPERLINK("https://www.773grp.com/globalSearch/ADT7468ARQZ/page-1", "ADT7468ARQZ")</f>
        <v>ADT7468ARQZ</v>
      </c>
      <c r="B17590" s="3" t="s">
        <v>74</v>
      </c>
      <c r="C17590" s="6">
        <v>230</v>
      </c>
      <c r="D17590" s="7">
        <v>9.84</v>
      </c>
      <c r="E17590" t="s">
        <v>36</v>
      </c>
    </row>
    <row r="17591" spans="1:5" x14ac:dyDescent="0.25">
      <c r="A17591" t="str">
        <f>HYPERLINK("https://www.773grp.com/globalSearch/ADT7468ARQZ/page-1", "ADT7468ARQZ")</f>
        <v>ADT7468ARQZ</v>
      </c>
      <c r="B17591" s="3" t="s">
        <v>74</v>
      </c>
      <c r="C17591" s="6">
        <v>112</v>
      </c>
      <c r="D17591" s="7">
        <v>9.84</v>
      </c>
      <c r="E17591" t="s">
        <v>36</v>
      </c>
    </row>
    <row r="17592" spans="1:5" x14ac:dyDescent="0.25">
      <c r="A17592" t="str">
        <f>HYPERLINK("https://www.773grp.com/globalSearch/LC87F1HC8BU-SQFP-E/page-1", "LC87F1HC8BU-SQFP-E")</f>
        <v>LC87F1HC8BU-SQFP-E</v>
      </c>
      <c r="B17592" s="3" t="s">
        <v>74</v>
      </c>
      <c r="C17592" s="6">
        <v>4188</v>
      </c>
      <c r="D17592" s="7">
        <v>9.84</v>
      </c>
    </row>
    <row r="17593" spans="1:5" x14ac:dyDescent="0.25">
      <c r="A17593" t="str">
        <f>HYPERLINK("https://www.773grp.com/globalSearch/MC100EP31DG/page-1", "MC100EP31DG")</f>
        <v>MC100EP31DG</v>
      </c>
      <c r="B17593" s="3" t="s">
        <v>74</v>
      </c>
      <c r="C17593" s="6">
        <v>7482</v>
      </c>
      <c r="D17593" s="7">
        <v>9.84</v>
      </c>
      <c r="E17593" t="s">
        <v>31</v>
      </c>
    </row>
    <row r="17594" spans="1:5" x14ac:dyDescent="0.25">
      <c r="A17594" t="str">
        <f>HYPERLINK("https://www.773grp.com/globalSearch/MC100EP31DR2G/page-1", "MC100EP31DR2G")</f>
        <v>MC100EP31DR2G</v>
      </c>
      <c r="B17594" s="3" t="s">
        <v>74</v>
      </c>
      <c r="C17594" s="6">
        <v>12500</v>
      </c>
      <c r="D17594" s="7">
        <v>9.84</v>
      </c>
      <c r="E17594" t="s">
        <v>31</v>
      </c>
    </row>
    <row r="17595" spans="1:5" x14ac:dyDescent="0.25">
      <c r="A17595" t="str">
        <f>HYPERLINK("https://www.773grp.com/globalSearch/MC100EP31DTG/page-1", "MC100EP31DTG")</f>
        <v>MC100EP31DTG</v>
      </c>
      <c r="B17595" s="3" t="s">
        <v>74</v>
      </c>
      <c r="C17595" s="6">
        <v>16522</v>
      </c>
      <c r="D17595" s="7">
        <v>9.84</v>
      </c>
      <c r="E17595" t="s">
        <v>31</v>
      </c>
    </row>
    <row r="17596" spans="1:5" x14ac:dyDescent="0.25">
      <c r="A17596" t="str">
        <f>HYPERLINK("https://www.773grp.com/globalSearch/MC100EP31DTR2G/page-1", "MC100EP31DTR2G")</f>
        <v>MC100EP31DTR2G</v>
      </c>
      <c r="B17596" s="3" t="s">
        <v>74</v>
      </c>
      <c r="C17596" s="6">
        <v>4314</v>
      </c>
      <c r="D17596" s="7">
        <v>9.84</v>
      </c>
      <c r="E17596" t="s">
        <v>31</v>
      </c>
    </row>
    <row r="17597" spans="1:5" x14ac:dyDescent="0.25">
      <c r="A17597" t="str">
        <f>HYPERLINK("https://www.773grp.com/globalSearch/MC100EP31MNR4G/page-1", "MC100EP31MNR4G")</f>
        <v>MC100EP31MNR4G</v>
      </c>
      <c r="B17597" s="3" t="s">
        <v>74</v>
      </c>
      <c r="C17597" s="6">
        <v>5790</v>
      </c>
      <c r="D17597" s="7">
        <v>9.84</v>
      </c>
      <c r="E17597" t="s">
        <v>31</v>
      </c>
    </row>
    <row r="17598" spans="1:5" x14ac:dyDescent="0.25">
      <c r="A17598" t="str">
        <f>HYPERLINK("https://www.773grp.com/globalSearch/MC100EP51DG/page-1", "MC100EP51DG")</f>
        <v>MC100EP51DG</v>
      </c>
      <c r="B17598" s="3" t="s">
        <v>74</v>
      </c>
      <c r="C17598" s="6">
        <v>5038</v>
      </c>
      <c r="D17598" s="7">
        <v>9.84</v>
      </c>
      <c r="E17598" t="s">
        <v>31</v>
      </c>
    </row>
    <row r="17599" spans="1:5" x14ac:dyDescent="0.25">
      <c r="A17599" t="str">
        <f>HYPERLINK("https://www.773grp.com/globalSearch/MC10EP31DG/page-1", "MC10EP31DG")</f>
        <v>MC10EP31DG</v>
      </c>
      <c r="B17599" s="3" t="s">
        <v>74</v>
      </c>
      <c r="C17599" s="6">
        <v>11606</v>
      </c>
      <c r="D17599" s="7">
        <v>9.84</v>
      </c>
      <c r="E17599" t="s">
        <v>31</v>
      </c>
    </row>
    <row r="17600" spans="1:5" x14ac:dyDescent="0.25">
      <c r="A17600" t="str">
        <f>HYPERLINK("https://www.773grp.com/globalSearch/MC10EP31DTG/page-1", "MC10EP31DTG")</f>
        <v>MC10EP31DTG</v>
      </c>
      <c r="B17600" s="3" t="s">
        <v>74</v>
      </c>
      <c r="C17600" s="6">
        <v>2404</v>
      </c>
      <c r="D17600" s="7">
        <v>9.84</v>
      </c>
      <c r="E17600" t="s">
        <v>31</v>
      </c>
    </row>
    <row r="17601" spans="1:5" x14ac:dyDescent="0.25">
      <c r="A17601" t="str">
        <f>HYPERLINK("https://www.773grp.com/globalSearch/NB3N3020DTG/page-1", "NB3N3020DTG")</f>
        <v>NB3N3020DTG</v>
      </c>
      <c r="B17601" s="3" t="s">
        <v>74</v>
      </c>
      <c r="C17601" s="6">
        <v>100</v>
      </c>
      <c r="D17601" s="7">
        <v>9.84</v>
      </c>
    </row>
    <row r="17602" spans="1:5" x14ac:dyDescent="0.25">
      <c r="A17602" t="str">
        <f>HYPERLINK("https://www.773grp.com/globalSearch/NB3N3020DTR2G/page-1", "NB3N3020DTR2G")</f>
        <v>NB3N3020DTR2G</v>
      </c>
      <c r="B17602" s="3" t="s">
        <v>74</v>
      </c>
      <c r="C17602" s="6">
        <v>30000</v>
      </c>
      <c r="D17602" s="7">
        <v>9.84</v>
      </c>
      <c r="E17602" t="s">
        <v>30</v>
      </c>
    </row>
    <row r="17603" spans="1:5" x14ac:dyDescent="0.25">
      <c r="A17603" t="str">
        <f>HYPERLINK("https://www.773grp.com/globalSearch/NB4N11SMNG/page-1", "NB4N11SMNG")</f>
        <v>NB4N11SMNG</v>
      </c>
      <c r="B17603" s="3" t="s">
        <v>74</v>
      </c>
      <c r="C17603" s="6">
        <v>14453</v>
      </c>
      <c r="D17603" s="7">
        <v>9.84</v>
      </c>
      <c r="E17603" t="s">
        <v>61</v>
      </c>
    </row>
    <row r="17604" spans="1:5" x14ac:dyDescent="0.25">
      <c r="A17604" t="str">
        <f>HYPERLINK("https://www.773grp.com/globalSearch/NB4N11SMNR2G/page-1", "NB4N11SMNR2G")</f>
        <v>NB4N11SMNR2G</v>
      </c>
      <c r="B17604" s="3" t="s">
        <v>74</v>
      </c>
      <c r="C17604" s="6">
        <v>2750</v>
      </c>
      <c r="D17604" s="7">
        <v>9.84</v>
      </c>
      <c r="E17604" t="s">
        <v>61</v>
      </c>
    </row>
    <row r="17605" spans="1:5" x14ac:dyDescent="0.25">
      <c r="A17605" t="str">
        <f>HYPERLINK("https://www.773grp.com/globalSearch/NB6L11SMNG/page-1", "NB6L11SMNG")</f>
        <v>NB6L11SMNG</v>
      </c>
      <c r="B17605" s="3" t="s">
        <v>74</v>
      </c>
      <c r="C17605" s="6">
        <v>1290</v>
      </c>
      <c r="D17605" s="7">
        <v>9.84</v>
      </c>
      <c r="E17605" t="s">
        <v>30</v>
      </c>
    </row>
    <row r="17606" spans="1:5" x14ac:dyDescent="0.25">
      <c r="A17606" t="str">
        <f>HYPERLINK("https://www.773grp.com/globalSearch/CAT28C256H1315/page-1", "CAT28C256H1315")</f>
        <v>CAT28C256H1315</v>
      </c>
      <c r="B17606" s="3" t="s">
        <v>74</v>
      </c>
      <c r="C17606" s="6">
        <v>511</v>
      </c>
      <c r="D17606" s="7">
        <v>9.8800000000000008</v>
      </c>
      <c r="E17606" t="s">
        <v>52</v>
      </c>
    </row>
    <row r="17607" spans="1:5" x14ac:dyDescent="0.25">
      <c r="A17607" t="str">
        <f>HYPERLINK("https://www.773grp.com/globalSearch/LC75804W-E/page-1", "LC75804W-E")</f>
        <v>LC75804W-E</v>
      </c>
      <c r="B17607" s="3" t="s">
        <v>74</v>
      </c>
      <c r="C17607" s="6">
        <v>27040</v>
      </c>
      <c r="D17607" s="7">
        <v>9.8800000000000008</v>
      </c>
    </row>
    <row r="17608" spans="1:5" x14ac:dyDescent="0.25">
      <c r="A17608" t="str">
        <f>HYPERLINK("https://www.773grp.com/globalSearch/MC100E210FN/page-1", "MC100E210FN")</f>
        <v>MC100E210FN</v>
      </c>
      <c r="B17608" s="3" t="s">
        <v>74</v>
      </c>
      <c r="C17608" s="6">
        <v>429</v>
      </c>
      <c r="D17608" s="7">
        <v>9.8800000000000008</v>
      </c>
      <c r="E17608" t="s">
        <v>30</v>
      </c>
    </row>
    <row r="17609" spans="1:5" x14ac:dyDescent="0.25">
      <c r="A17609" t="str">
        <f>HYPERLINK("https://www.773grp.com/globalSearch/MC100E211FNR2/page-1", "MC100E211FNR2")</f>
        <v>MC100E211FNR2</v>
      </c>
      <c r="B17609" s="3" t="s">
        <v>74</v>
      </c>
      <c r="C17609" s="6">
        <v>4000</v>
      </c>
      <c r="D17609" s="7">
        <v>9.8800000000000008</v>
      </c>
      <c r="E17609" t="s">
        <v>30</v>
      </c>
    </row>
    <row r="17610" spans="1:5" x14ac:dyDescent="0.25">
      <c r="A17610" t="str">
        <f>HYPERLINK("https://www.773grp.com/globalSearch/MC100E310FNR2/page-1", "MC100E310FNR2")</f>
        <v>MC100E310FNR2</v>
      </c>
      <c r="B17610" s="3" t="s">
        <v>74</v>
      </c>
      <c r="C17610" s="6">
        <v>500</v>
      </c>
      <c r="D17610" s="7">
        <v>9.8800000000000008</v>
      </c>
      <c r="E17610" t="s">
        <v>30</v>
      </c>
    </row>
    <row r="17611" spans="1:5" x14ac:dyDescent="0.25">
      <c r="A17611" t="str">
        <f>HYPERLINK("https://www.773grp.com/globalSearch/MC100LVE210FNR2/page-1", "MC100LVE210FNR2")</f>
        <v>MC100LVE210FNR2</v>
      </c>
      <c r="B17611" s="3" t="s">
        <v>74</v>
      </c>
      <c r="C17611" s="6">
        <v>1997</v>
      </c>
      <c r="D17611" s="7">
        <v>9.8800000000000008</v>
      </c>
      <c r="E17611" t="s">
        <v>30</v>
      </c>
    </row>
    <row r="17612" spans="1:5" x14ac:dyDescent="0.25">
      <c r="A17612" t="str">
        <f>HYPERLINK("https://www.773grp.com/globalSearch/MC10E411FN/page-1", "MC10E411FN")</f>
        <v>MC10E411FN</v>
      </c>
      <c r="B17612" s="3" t="s">
        <v>74</v>
      </c>
      <c r="C17612" s="6">
        <v>383</v>
      </c>
      <c r="D17612" s="7">
        <v>9.8800000000000008</v>
      </c>
      <c r="E17612" t="s">
        <v>30</v>
      </c>
    </row>
    <row r="17613" spans="1:5" x14ac:dyDescent="0.25">
      <c r="A17613" t="str">
        <f>HYPERLINK("https://www.773grp.com/globalSearch/LC749402BG-TLM-H/page-1", "LC749402BG-TLM-H")</f>
        <v>LC749402BG-TLM-H</v>
      </c>
      <c r="B17613" s="3" t="s">
        <v>74</v>
      </c>
      <c r="C17613" s="6">
        <v>9000</v>
      </c>
      <c r="D17613" s="7">
        <v>9.9</v>
      </c>
    </row>
    <row r="17614" spans="1:5" x14ac:dyDescent="0.25">
      <c r="A17614" t="str">
        <f>HYPERLINK("https://www.773grp.com/globalSearch/MC10H186L/page-1", "MC10H186L")</f>
        <v>MC10H186L</v>
      </c>
      <c r="B17614" s="3" t="s">
        <v>74</v>
      </c>
      <c r="C17614" s="6">
        <v>4488</v>
      </c>
      <c r="D17614" s="7">
        <v>9.9</v>
      </c>
      <c r="E17614" t="s">
        <v>31</v>
      </c>
    </row>
    <row r="17615" spans="1:5" x14ac:dyDescent="0.25">
      <c r="A17615" t="str">
        <f>HYPERLINK("https://www.773grp.com/globalSearch/MC10EP08DR2/page-1", "MC10EP08DR2")</f>
        <v>MC10EP08DR2</v>
      </c>
      <c r="B17615" s="3" t="s">
        <v>74</v>
      </c>
      <c r="C17615" s="6">
        <v>40000</v>
      </c>
      <c r="D17615" s="7">
        <v>9.99</v>
      </c>
      <c r="E17615" t="s">
        <v>27</v>
      </c>
    </row>
    <row r="17616" spans="1:5" x14ac:dyDescent="0.25">
      <c r="A17616" t="str">
        <f>HYPERLINK("https://www.773grp.com/globalSearch/MC10EP08DTR2/page-1", "MC10EP08DTR2")</f>
        <v>MC10EP08DTR2</v>
      </c>
      <c r="B17616" s="3" t="s">
        <v>74</v>
      </c>
      <c r="C17616" s="6">
        <v>2214</v>
      </c>
      <c r="D17616" s="7">
        <v>9.99</v>
      </c>
      <c r="E17616" t="s">
        <v>27</v>
      </c>
    </row>
    <row r="17617" spans="1:5" x14ac:dyDescent="0.25">
      <c r="A17617" t="str">
        <f>HYPERLINK("https://www.773grp.com/globalSearch/AMIS30621C6213G/page-1", "AMIS30621C6213G")</f>
        <v>AMIS30621C6213G</v>
      </c>
      <c r="B17617" s="3" t="s">
        <v>74</v>
      </c>
      <c r="C17617" s="6">
        <v>18</v>
      </c>
      <c r="D17617" s="7">
        <v>10.01</v>
      </c>
    </row>
    <row r="17618" spans="1:5" x14ac:dyDescent="0.25">
      <c r="A17618" t="str">
        <f>HYPERLINK("https://www.773grp.com/globalSearch/AMIS30622C6223G/page-1", "AMIS30622C6223G")</f>
        <v>AMIS30622C6223G</v>
      </c>
      <c r="B17618" s="3" t="s">
        <v>74</v>
      </c>
      <c r="C17618" s="6">
        <v>254</v>
      </c>
      <c r="D17618" s="7">
        <v>10.01</v>
      </c>
      <c r="E17618" t="s">
        <v>50</v>
      </c>
    </row>
    <row r="17619" spans="1:5" x14ac:dyDescent="0.25">
      <c r="A17619" t="str">
        <f>HYPERLINK("https://www.773grp.com/globalSearch/MJ11030G/page-1", "MJ11030G")</f>
        <v>MJ11030G</v>
      </c>
      <c r="B17619" s="3" t="s">
        <v>74</v>
      </c>
      <c r="C17619" s="6">
        <v>86</v>
      </c>
      <c r="D17619" s="7">
        <v>10.08</v>
      </c>
    </row>
    <row r="17620" spans="1:5" x14ac:dyDescent="0.25">
      <c r="A17620" t="str">
        <f>HYPERLINK("https://www.773grp.com/globalSearch/MC100EPT23D/page-1", "MC100EPT23D")</f>
        <v>MC100EPT23D</v>
      </c>
      <c r="B17620" s="3" t="s">
        <v>74</v>
      </c>
      <c r="C17620" s="6">
        <v>1470</v>
      </c>
      <c r="D17620" s="7">
        <v>10.130000000000001</v>
      </c>
    </row>
    <row r="17621" spans="1:5" x14ac:dyDescent="0.25">
      <c r="A17621" t="str">
        <f>HYPERLINK("https://www.773grp.com/globalSearch/MC100LVEP05DTG/page-1", "MC100LVEP05DTG")</f>
        <v>MC100LVEP05DTG</v>
      </c>
      <c r="B17621" s="3" t="s">
        <v>74</v>
      </c>
      <c r="C17621" s="6">
        <v>8260</v>
      </c>
      <c r="D17621" s="7">
        <v>10.130000000000001</v>
      </c>
      <c r="E17621" t="s">
        <v>27</v>
      </c>
    </row>
    <row r="17622" spans="1:5" x14ac:dyDescent="0.25">
      <c r="A17622" t="str">
        <f>HYPERLINK("https://www.773grp.com/globalSearch/MC100LVEP05DTR2G/page-1", "MC100LVEP05DTR2G")</f>
        <v>MC100LVEP05DTR2G</v>
      </c>
      <c r="B17622" s="3" t="s">
        <v>74</v>
      </c>
      <c r="C17622" s="6">
        <v>10008</v>
      </c>
      <c r="D17622" s="7">
        <v>10.130000000000001</v>
      </c>
      <c r="E17622" t="s">
        <v>27</v>
      </c>
    </row>
    <row r="17623" spans="1:5" x14ac:dyDescent="0.25">
      <c r="A17623" t="str">
        <f>HYPERLINK("https://www.773grp.com/globalSearch/MC100LVEP05MNTXG/page-1", "MC100LVEP05MNTXG")</f>
        <v>MC100LVEP05MNTXG</v>
      </c>
      <c r="B17623" s="3" t="s">
        <v>74</v>
      </c>
      <c r="C17623" s="6">
        <v>13940</v>
      </c>
      <c r="D17623" s="7">
        <v>10.130000000000001</v>
      </c>
      <c r="E17623" t="s">
        <v>27</v>
      </c>
    </row>
    <row r="17624" spans="1:5" x14ac:dyDescent="0.25">
      <c r="A17624" t="str">
        <f>HYPERLINK("https://www.773grp.com/globalSearch/MC10EP52DT/page-1", "MC10EP52DT")</f>
        <v>MC10EP52DT</v>
      </c>
      <c r="B17624" s="3" t="s">
        <v>74</v>
      </c>
      <c r="C17624" s="6">
        <v>71</v>
      </c>
      <c r="D17624" s="7">
        <v>10.130000000000001</v>
      </c>
      <c r="E17624" t="s">
        <v>31</v>
      </c>
    </row>
    <row r="17625" spans="1:5" x14ac:dyDescent="0.25">
      <c r="A17625" t="str">
        <f>HYPERLINK("https://www.773grp.com/globalSearch/MC10EP58DT/page-1", "MC10EP58DT")</f>
        <v>MC10EP58DT</v>
      </c>
      <c r="B17625" s="3" t="s">
        <v>74</v>
      </c>
      <c r="C17625" s="6">
        <v>5592</v>
      </c>
      <c r="D17625" s="7">
        <v>10.130000000000001</v>
      </c>
      <c r="E17625" t="s">
        <v>16</v>
      </c>
    </row>
    <row r="17626" spans="1:5" x14ac:dyDescent="0.25">
      <c r="A17626" t="str">
        <f>HYPERLINK("https://www.773grp.com/globalSearch/MC10EP89DTR2/page-1", "MC10EP89DTR2")</f>
        <v>MC10EP89DTR2</v>
      </c>
      <c r="B17626" s="3" t="s">
        <v>74</v>
      </c>
      <c r="C17626" s="6">
        <v>3978</v>
      </c>
      <c r="D17626" s="7">
        <v>10.130000000000001</v>
      </c>
      <c r="E17626" t="s">
        <v>17</v>
      </c>
    </row>
    <row r="17627" spans="1:5" x14ac:dyDescent="0.25">
      <c r="A17627" t="str">
        <f>HYPERLINK("https://www.773grp.com/globalSearch/MJ11033/page-1", "MJ11033")</f>
        <v>MJ11033</v>
      </c>
      <c r="B17627" s="3" t="s">
        <v>74</v>
      </c>
      <c r="C17627" s="6">
        <v>100</v>
      </c>
      <c r="D17627" s="7">
        <v>10.130000000000001</v>
      </c>
    </row>
    <row r="17628" spans="1:5" x14ac:dyDescent="0.25">
      <c r="A17628" t="str">
        <f>HYPERLINK("https://www.773grp.com/globalSearch/NB100LVEP56DTR2/page-1", "NB100LVEP56DTR2")</f>
        <v>NB100LVEP56DTR2</v>
      </c>
      <c r="B17628" s="3" t="s">
        <v>74</v>
      </c>
      <c r="C17628" s="6">
        <v>9970</v>
      </c>
      <c r="D17628" s="7">
        <v>10.130000000000001</v>
      </c>
      <c r="E17628" t="s">
        <v>16</v>
      </c>
    </row>
    <row r="17629" spans="1:5" x14ac:dyDescent="0.25">
      <c r="A17629" t="str">
        <f>HYPERLINK("https://www.773grp.com/globalSearch/NB100LVEP56MN/page-1", "NB100LVEP56MN")</f>
        <v>NB100LVEP56MN</v>
      </c>
      <c r="B17629" s="3" t="s">
        <v>74</v>
      </c>
      <c r="C17629" s="6">
        <v>2057</v>
      </c>
      <c r="D17629" s="7">
        <v>10.130000000000001</v>
      </c>
      <c r="E17629" t="s">
        <v>16</v>
      </c>
    </row>
    <row r="17630" spans="1:5" x14ac:dyDescent="0.25">
      <c r="A17630" t="str">
        <f>HYPERLINK("https://www.773grp.com/globalSearch/NB100LVEP56MNR2/page-1", "NB100LVEP56MNR2")</f>
        <v>NB100LVEP56MNR2</v>
      </c>
      <c r="B17630" s="3" t="s">
        <v>74</v>
      </c>
      <c r="C17630" s="6">
        <v>48000</v>
      </c>
      <c r="D17630" s="7">
        <v>10.130000000000001</v>
      </c>
      <c r="E17630" t="s">
        <v>16</v>
      </c>
    </row>
    <row r="17631" spans="1:5" x14ac:dyDescent="0.25">
      <c r="A17631" t="str">
        <f>HYPERLINK("https://www.773grp.com/globalSearch/LC75883WHS-E/page-1", "LC75883WHS-E")</f>
        <v>LC75883WHS-E</v>
      </c>
      <c r="B17631" s="3" t="s">
        <v>74</v>
      </c>
      <c r="C17631" s="6">
        <v>300</v>
      </c>
      <c r="D17631" s="7">
        <v>10.18</v>
      </c>
    </row>
    <row r="17632" spans="1:5" x14ac:dyDescent="0.25">
      <c r="A17632" t="str">
        <f>HYPERLINK("https://www.773grp.com/globalSearch/AMIS30523C5231RG/page-1", "AMIS30523C5231RG")</f>
        <v>AMIS30523C5231RG</v>
      </c>
      <c r="B17632" s="3" t="s">
        <v>74</v>
      </c>
      <c r="C17632" s="6">
        <v>49</v>
      </c>
      <c r="D17632" s="7">
        <v>10.24</v>
      </c>
    </row>
    <row r="17633" spans="1:5" x14ac:dyDescent="0.25">
      <c r="A17633" t="str">
        <f>HYPERLINK("https://www.773grp.com/globalSearch/CAT5251WI00/page-1", "CAT5251WI00")</f>
        <v>CAT5251WI00</v>
      </c>
      <c r="B17633" s="3" t="s">
        <v>74</v>
      </c>
      <c r="C17633" s="6">
        <v>2299</v>
      </c>
      <c r="D17633" s="7">
        <v>10.26</v>
      </c>
      <c r="E17633" t="s">
        <v>78</v>
      </c>
    </row>
    <row r="17634" spans="1:5" x14ac:dyDescent="0.25">
      <c r="A17634" t="str">
        <f>HYPERLINK("https://www.773grp.com/globalSearch/CAT5251YI00/page-1", "CAT5251YI00")</f>
        <v>CAT5251YI00</v>
      </c>
      <c r="B17634" s="3" t="s">
        <v>74</v>
      </c>
      <c r="C17634" s="6">
        <v>1240</v>
      </c>
      <c r="D17634" s="7">
        <v>10.26</v>
      </c>
      <c r="E17634" t="s">
        <v>78</v>
      </c>
    </row>
    <row r="17635" spans="1:5" x14ac:dyDescent="0.25">
      <c r="A17635" t="str">
        <f>HYPERLINK("https://www.773grp.com/globalSearch/CAT5251YI-00-T2/page-1", "CAT5251YI-00-T2")</f>
        <v>CAT5251YI-00-T2</v>
      </c>
      <c r="B17635" s="3" t="s">
        <v>74</v>
      </c>
      <c r="C17635" s="6">
        <v>4000</v>
      </c>
      <c r="D17635" s="7">
        <v>10.26</v>
      </c>
      <c r="E17635" t="s">
        <v>78</v>
      </c>
    </row>
    <row r="17636" spans="1:5" x14ac:dyDescent="0.25">
      <c r="A17636" t="str">
        <f>HYPERLINK("https://www.773grp.com/globalSearch/CAT5251YI50/page-1", "CAT5251YI50")</f>
        <v>CAT5251YI50</v>
      </c>
      <c r="B17636" s="3" t="s">
        <v>74</v>
      </c>
      <c r="C17636" s="6">
        <v>93</v>
      </c>
      <c r="D17636" s="7">
        <v>10.26</v>
      </c>
      <c r="E17636" t="s">
        <v>78</v>
      </c>
    </row>
    <row r="17637" spans="1:5" x14ac:dyDescent="0.25">
      <c r="A17637" t="str">
        <f>HYPERLINK("https://www.773grp.com/globalSearch/CAT5259WI50/page-1", "CAT5259WI50")</f>
        <v>CAT5259WI50</v>
      </c>
      <c r="B17637" s="3" t="s">
        <v>74</v>
      </c>
      <c r="C17637" s="6">
        <v>434</v>
      </c>
      <c r="D17637" s="7">
        <v>10.26</v>
      </c>
      <c r="E17637" t="s">
        <v>78</v>
      </c>
    </row>
    <row r="17638" spans="1:5" x14ac:dyDescent="0.25">
      <c r="A17638" t="str">
        <f>HYPERLINK("https://www.773grp.com/globalSearch/CAT5259YI00/page-1", "CAT5259YI00")</f>
        <v>CAT5259YI00</v>
      </c>
      <c r="B17638" s="3" t="s">
        <v>74</v>
      </c>
      <c r="C17638" s="6">
        <v>6879</v>
      </c>
      <c r="D17638" s="7">
        <v>10.26</v>
      </c>
      <c r="E17638" t="s">
        <v>78</v>
      </c>
    </row>
    <row r="17639" spans="1:5" x14ac:dyDescent="0.25">
      <c r="A17639" t="str">
        <f>HYPERLINK("https://www.773grp.com/globalSearch/CAT5259YI50/page-1", "CAT5259YI50")</f>
        <v>CAT5259YI50</v>
      </c>
      <c r="B17639" s="3" t="s">
        <v>74</v>
      </c>
      <c r="C17639" s="6">
        <v>571</v>
      </c>
      <c r="D17639" s="7">
        <v>10.26</v>
      </c>
      <c r="E17639" t="s">
        <v>78</v>
      </c>
    </row>
    <row r="17640" spans="1:5" x14ac:dyDescent="0.25">
      <c r="A17640" t="str">
        <f>HYPERLINK("https://www.773grp.com/globalSearch/CAT5259YI-50-T2/page-1", "CAT5259YI-50-T2")</f>
        <v>CAT5259YI-50-T2</v>
      </c>
      <c r="B17640" s="3" t="s">
        <v>74</v>
      </c>
      <c r="C17640" s="6">
        <v>4000</v>
      </c>
      <c r="D17640" s="7">
        <v>10.26</v>
      </c>
    </row>
    <row r="17641" spans="1:5" x14ac:dyDescent="0.25">
      <c r="A17641" t="str">
        <f>HYPERLINK("https://www.773grp.com/globalSearch/CAT5261WI00/page-1", "CAT5261WI00")</f>
        <v>CAT5261WI00</v>
      </c>
      <c r="B17641" s="3" t="s">
        <v>74</v>
      </c>
      <c r="C17641" s="6">
        <v>1178</v>
      </c>
      <c r="D17641" s="7">
        <v>10.26</v>
      </c>
      <c r="E17641" t="s">
        <v>78</v>
      </c>
    </row>
    <row r="17642" spans="1:5" x14ac:dyDescent="0.25">
      <c r="A17642" t="str">
        <f>HYPERLINK("https://www.773grp.com/globalSearch/MC100LVEL38DWG/page-1", "MC100LVEL38DWG")</f>
        <v>MC100LVEL38DWG</v>
      </c>
      <c r="B17642" s="3" t="s">
        <v>74</v>
      </c>
      <c r="C17642" s="6">
        <v>1387</v>
      </c>
      <c r="D17642" s="7">
        <v>10.26</v>
      </c>
      <c r="E17642" t="s">
        <v>30</v>
      </c>
    </row>
    <row r="17643" spans="1:5" x14ac:dyDescent="0.25">
      <c r="A17643" t="str">
        <f>HYPERLINK("https://www.773grp.com/globalSearch/MC100LVEL38DWR2/page-1", "MC100LVEL38DWR2")</f>
        <v>MC100LVEL38DWR2</v>
      </c>
      <c r="B17643" s="3" t="s">
        <v>74</v>
      </c>
      <c r="C17643" s="6">
        <v>181</v>
      </c>
      <c r="D17643" s="7">
        <v>10.26</v>
      </c>
      <c r="E17643" t="s">
        <v>30</v>
      </c>
    </row>
    <row r="17644" spans="1:5" x14ac:dyDescent="0.25">
      <c r="A17644" t="str">
        <f>HYPERLINK("https://www.773grp.com/globalSearch/MC100LVEL38DWR2G/page-1", "MC100LVEL38DWR2G")</f>
        <v>MC100LVEL38DWR2G</v>
      </c>
      <c r="B17644" s="3" t="s">
        <v>74</v>
      </c>
      <c r="C17644" s="6">
        <v>3000</v>
      </c>
      <c r="D17644" s="7">
        <v>10.26</v>
      </c>
      <c r="E17644" t="s">
        <v>30</v>
      </c>
    </row>
    <row r="17645" spans="1:5" x14ac:dyDescent="0.25">
      <c r="A17645" t="str">
        <f>HYPERLINK("https://www.773grp.com/globalSearch/2N5684G/page-1", "2N5684G")</f>
        <v>2N5684G</v>
      </c>
      <c r="B17645" s="3" t="s">
        <v>74</v>
      </c>
      <c r="C17645" s="6">
        <v>2900</v>
      </c>
      <c r="D17645" s="7">
        <v>10.33</v>
      </c>
      <c r="E17645" t="s">
        <v>47</v>
      </c>
    </row>
    <row r="17646" spans="1:5" x14ac:dyDescent="0.25">
      <c r="A17646" t="str">
        <f>HYPERLINK("https://www.773grp.com/globalSearch/MC100EP17DW/page-1", "MC100EP17DW")</f>
        <v>MC100EP17DW</v>
      </c>
      <c r="B17646" s="3" t="s">
        <v>74</v>
      </c>
      <c r="C17646" s="6">
        <v>3470</v>
      </c>
      <c r="D17646" s="7">
        <v>10.33</v>
      </c>
      <c r="E17646" t="s">
        <v>17</v>
      </c>
    </row>
    <row r="17647" spans="1:5" x14ac:dyDescent="0.25">
      <c r="A17647" t="str">
        <f>HYPERLINK("https://www.773grp.com/globalSearch/MC100EPT20DG/page-1", "MC100EPT20DG")</f>
        <v>MC100EPT20DG</v>
      </c>
      <c r="B17647" s="3" t="s">
        <v>74</v>
      </c>
      <c r="C17647" s="6">
        <v>5219</v>
      </c>
      <c r="D17647" s="7">
        <v>10.41</v>
      </c>
      <c r="E17647" t="s">
        <v>61</v>
      </c>
    </row>
    <row r="17648" spans="1:5" x14ac:dyDescent="0.25">
      <c r="A17648" t="str">
        <f>HYPERLINK("https://www.773grp.com/globalSearch/MC100EPT20DTG/page-1", "MC100EPT20DTG")</f>
        <v>MC100EPT20DTG</v>
      </c>
      <c r="B17648" s="3" t="s">
        <v>74</v>
      </c>
      <c r="C17648" s="6">
        <v>143</v>
      </c>
      <c r="D17648" s="7">
        <v>10.41</v>
      </c>
      <c r="E17648" t="s">
        <v>61</v>
      </c>
    </row>
    <row r="17649" spans="1:5" x14ac:dyDescent="0.25">
      <c r="A17649" t="str">
        <f>HYPERLINK("https://www.773grp.com/globalSearch/MC100EPT20MNR4G/page-1", "MC100EPT20MNR4G")</f>
        <v>MC100EPT20MNR4G</v>
      </c>
      <c r="B17649" s="3" t="s">
        <v>74</v>
      </c>
      <c r="C17649" s="6">
        <v>12535</v>
      </c>
      <c r="D17649" s="7">
        <v>10.41</v>
      </c>
      <c r="E17649" t="s">
        <v>61</v>
      </c>
    </row>
    <row r="17650" spans="1:5" x14ac:dyDescent="0.25">
      <c r="A17650" t="str">
        <f>HYPERLINK("https://www.773grp.com/globalSearch/MC100EPT21D/page-1", "MC100EPT21D")</f>
        <v>MC100EPT21D</v>
      </c>
      <c r="B17650" s="3" t="s">
        <v>74</v>
      </c>
      <c r="C17650" s="6">
        <v>8160</v>
      </c>
      <c r="D17650" s="7">
        <v>10.41</v>
      </c>
      <c r="E17650" t="s">
        <v>61</v>
      </c>
    </row>
    <row r="17651" spans="1:5" x14ac:dyDescent="0.25">
      <c r="A17651" t="str">
        <f>HYPERLINK("https://www.773grp.com/globalSearch/MC100EPT21DG/page-1", "MC100EPT21DG")</f>
        <v>MC100EPT21DG</v>
      </c>
      <c r="B17651" s="3" t="s">
        <v>74</v>
      </c>
      <c r="C17651" s="6">
        <v>984</v>
      </c>
      <c r="D17651" s="7">
        <v>10.41</v>
      </c>
      <c r="E17651" t="s">
        <v>61</v>
      </c>
    </row>
    <row r="17652" spans="1:5" x14ac:dyDescent="0.25">
      <c r="A17652" t="str">
        <f>HYPERLINK("https://www.773grp.com/globalSearch/MC100EPT21DR2/page-1", "MC100EPT21DR2")</f>
        <v>MC100EPT21DR2</v>
      </c>
      <c r="B17652" s="3" t="s">
        <v>74</v>
      </c>
      <c r="C17652" s="6">
        <v>394</v>
      </c>
      <c r="D17652" s="7">
        <v>10.41</v>
      </c>
      <c r="E17652" t="s">
        <v>61</v>
      </c>
    </row>
    <row r="17653" spans="1:5" x14ac:dyDescent="0.25">
      <c r="A17653" t="str">
        <f>HYPERLINK("https://www.773grp.com/globalSearch/MC100EPT21DTG/page-1", "MC100EPT21DTG")</f>
        <v>MC100EPT21DTG</v>
      </c>
      <c r="B17653" s="3" t="s">
        <v>74</v>
      </c>
      <c r="C17653" s="6">
        <v>369</v>
      </c>
      <c r="D17653" s="7">
        <v>10.41</v>
      </c>
    </row>
    <row r="17654" spans="1:5" x14ac:dyDescent="0.25">
      <c r="A17654" t="str">
        <f>HYPERLINK("https://www.773grp.com/globalSearch/MC100EPT21MNR4G/page-1", "MC100EPT21MNR4G")</f>
        <v>MC100EPT21MNR4G</v>
      </c>
      <c r="B17654" s="3" t="s">
        <v>74</v>
      </c>
      <c r="C17654" s="6">
        <v>31900</v>
      </c>
      <c r="D17654" s="7">
        <v>10.41</v>
      </c>
      <c r="E17654" t="s">
        <v>61</v>
      </c>
    </row>
    <row r="17655" spans="1:5" x14ac:dyDescent="0.25">
      <c r="A17655" t="str">
        <f>HYPERLINK("https://www.773grp.com/globalSearch/MC100EPT22DG/page-1", "MC100EPT22DG")</f>
        <v>MC100EPT22DG</v>
      </c>
      <c r="B17655" s="3" t="s">
        <v>74</v>
      </c>
      <c r="C17655" s="6">
        <v>801</v>
      </c>
      <c r="D17655" s="7">
        <v>10.41</v>
      </c>
    </row>
    <row r="17656" spans="1:5" x14ac:dyDescent="0.25">
      <c r="A17656" t="str">
        <f>HYPERLINK("https://www.773grp.com/globalSearch/MC100EPT22MNR4G/page-1", "MC100EPT22MNR4G")</f>
        <v>MC100EPT22MNR4G</v>
      </c>
      <c r="B17656" s="3" t="s">
        <v>74</v>
      </c>
      <c r="C17656" s="6">
        <v>15000</v>
      </c>
      <c r="D17656" s="7">
        <v>10.41</v>
      </c>
      <c r="E17656" t="s">
        <v>61</v>
      </c>
    </row>
    <row r="17657" spans="1:5" x14ac:dyDescent="0.25">
      <c r="A17657" t="str">
        <f>HYPERLINK("https://www.773grp.com/globalSearch/MC100EPT23DG/page-1", "MC100EPT23DG")</f>
        <v>MC100EPT23DG</v>
      </c>
      <c r="B17657" s="3" t="s">
        <v>74</v>
      </c>
      <c r="C17657" s="6">
        <v>175</v>
      </c>
      <c r="D17657" s="7">
        <v>10.41</v>
      </c>
    </row>
    <row r="17658" spans="1:5" x14ac:dyDescent="0.25">
      <c r="A17658" t="str">
        <f>HYPERLINK("https://www.773grp.com/globalSearch/MC100EPT23DTG/page-1", "MC100EPT23DTG")</f>
        <v>MC100EPT23DTG</v>
      </c>
      <c r="B17658" s="3" t="s">
        <v>74</v>
      </c>
      <c r="C17658" s="6">
        <v>1698</v>
      </c>
      <c r="D17658" s="7">
        <v>10.41</v>
      </c>
      <c r="E17658" t="s">
        <v>61</v>
      </c>
    </row>
    <row r="17659" spans="1:5" x14ac:dyDescent="0.25">
      <c r="A17659" t="str">
        <f>HYPERLINK("https://www.773grp.com/globalSearch/MC10EPT20DG/page-1", "MC10EPT20DG")</f>
        <v>MC10EPT20DG</v>
      </c>
      <c r="B17659" s="3" t="s">
        <v>74</v>
      </c>
      <c r="C17659" s="6">
        <v>776</v>
      </c>
      <c r="D17659" s="7">
        <v>10.41</v>
      </c>
      <c r="E17659" t="s">
        <v>61</v>
      </c>
    </row>
    <row r="17660" spans="1:5" x14ac:dyDescent="0.25">
      <c r="A17660" t="str">
        <f>HYPERLINK("https://www.773grp.com/globalSearch/MC10EPT20DTG/page-1", "MC10EPT20DTG")</f>
        <v>MC10EPT20DTG</v>
      </c>
      <c r="B17660" s="3" t="s">
        <v>74</v>
      </c>
      <c r="C17660" s="6">
        <v>6083</v>
      </c>
      <c r="D17660" s="7">
        <v>10.41</v>
      </c>
      <c r="E17660" t="s">
        <v>61</v>
      </c>
    </row>
    <row r="17661" spans="1:5" x14ac:dyDescent="0.25">
      <c r="A17661" t="str">
        <f>HYPERLINK("https://www.773grp.com/globalSearch/MC10EPT20MNR4G/page-1", "MC10EPT20MNR4G")</f>
        <v>MC10EPT20MNR4G</v>
      </c>
      <c r="B17661" s="3" t="s">
        <v>74</v>
      </c>
      <c r="C17661" s="6">
        <v>10000</v>
      </c>
      <c r="D17661" s="7">
        <v>10.41</v>
      </c>
      <c r="E17661" t="s">
        <v>61</v>
      </c>
    </row>
    <row r="17662" spans="1:5" x14ac:dyDescent="0.25">
      <c r="A17662" t="str">
        <f>HYPERLINK("https://www.773grp.com/globalSearch/MC10H171PG/page-1", "MC10H171PG")</f>
        <v>MC10H171PG</v>
      </c>
      <c r="B17662" s="3" t="s">
        <v>74</v>
      </c>
      <c r="C17662" s="6">
        <v>3300</v>
      </c>
      <c r="D17662" s="7">
        <v>10.41</v>
      </c>
      <c r="E17662" t="s">
        <v>32</v>
      </c>
    </row>
    <row r="17663" spans="1:5" x14ac:dyDescent="0.25">
      <c r="A17663" t="str">
        <f>HYPERLINK("https://www.773grp.com/globalSearch/MC10H175PG/page-1", "MC10H175PG")</f>
        <v>MC10H175PG</v>
      </c>
      <c r="B17663" s="3" t="s">
        <v>74</v>
      </c>
      <c r="C17663" s="6">
        <v>5195</v>
      </c>
      <c r="D17663" s="7">
        <v>10.5</v>
      </c>
      <c r="E17663" t="s">
        <v>31</v>
      </c>
    </row>
    <row r="17664" spans="1:5" x14ac:dyDescent="0.25">
      <c r="A17664" t="str">
        <f>HYPERLINK("https://www.773grp.com/globalSearch/MC100EPT24DG/page-1", "MC100EPT24DG")</f>
        <v>MC100EPT24DG</v>
      </c>
      <c r="B17664" s="3" t="s">
        <v>74</v>
      </c>
      <c r="C17664" s="6">
        <v>2398</v>
      </c>
      <c r="D17664" s="7">
        <v>10.55</v>
      </c>
      <c r="E17664" t="s">
        <v>61</v>
      </c>
    </row>
    <row r="17665" spans="1:5" x14ac:dyDescent="0.25">
      <c r="A17665" t="str">
        <f>HYPERLINK("https://www.773grp.com/globalSearch/MC100EPT24DR2G/page-1", "MC100EPT24DR2G")</f>
        <v>MC100EPT24DR2G</v>
      </c>
      <c r="B17665" s="3" t="s">
        <v>74</v>
      </c>
      <c r="C17665" s="6">
        <v>5000</v>
      </c>
      <c r="D17665" s="7">
        <v>10.55</v>
      </c>
      <c r="E17665" t="s">
        <v>61</v>
      </c>
    </row>
    <row r="17666" spans="1:5" x14ac:dyDescent="0.25">
      <c r="A17666" t="str">
        <f>HYPERLINK("https://www.773grp.com/globalSearch/MC100EPT24DTG/page-1", "MC100EPT24DTG")</f>
        <v>MC100EPT24DTG</v>
      </c>
      <c r="B17666" s="3" t="s">
        <v>74</v>
      </c>
      <c r="C17666" s="6">
        <v>792</v>
      </c>
      <c r="D17666" s="7">
        <v>10.55</v>
      </c>
      <c r="E17666" t="s">
        <v>61</v>
      </c>
    </row>
    <row r="17667" spans="1:5" x14ac:dyDescent="0.25">
      <c r="A17667" t="str">
        <f>HYPERLINK("https://www.773grp.com/globalSearch/MC100EPT24MNR4G/page-1", "MC100EPT24MNR4G")</f>
        <v>MC100EPT24MNR4G</v>
      </c>
      <c r="B17667" s="3" t="s">
        <v>74</v>
      </c>
      <c r="C17667" s="6">
        <v>11800</v>
      </c>
      <c r="D17667" s="7">
        <v>10.55</v>
      </c>
      <c r="E17667" t="s">
        <v>61</v>
      </c>
    </row>
    <row r="17668" spans="1:5" x14ac:dyDescent="0.25">
      <c r="A17668" t="str">
        <f>HYPERLINK("https://www.773grp.com/globalSearch/MC100EPT25DG/page-1", "MC100EPT25DG")</f>
        <v>MC100EPT25DG</v>
      </c>
      <c r="B17668" s="3" t="s">
        <v>74</v>
      </c>
      <c r="C17668" s="6">
        <v>7610</v>
      </c>
      <c r="D17668" s="7">
        <v>10.55</v>
      </c>
      <c r="E17668" t="s">
        <v>61</v>
      </c>
    </row>
    <row r="17669" spans="1:5" x14ac:dyDescent="0.25">
      <c r="A17669" t="str">
        <f>HYPERLINK("https://www.773grp.com/globalSearch/MC100EPT25DR2G/page-1", "MC100EPT25DR2G")</f>
        <v>MC100EPT25DR2G</v>
      </c>
      <c r="B17669" s="3" t="s">
        <v>74</v>
      </c>
      <c r="C17669" s="6">
        <v>7500</v>
      </c>
      <c r="D17669" s="7">
        <v>10.55</v>
      </c>
      <c r="E17669" t="s">
        <v>61</v>
      </c>
    </row>
    <row r="17670" spans="1:5" x14ac:dyDescent="0.25">
      <c r="A17670" t="str">
        <f>HYPERLINK("https://www.773grp.com/globalSearch/MC100EPT25DTG/page-1", "MC100EPT25DTG")</f>
        <v>MC100EPT25DTG</v>
      </c>
      <c r="B17670" s="3" t="s">
        <v>74</v>
      </c>
      <c r="C17670" s="6">
        <v>100</v>
      </c>
      <c r="D17670" s="7">
        <v>10.55</v>
      </c>
      <c r="E17670" t="s">
        <v>61</v>
      </c>
    </row>
    <row r="17671" spans="1:5" x14ac:dyDescent="0.25">
      <c r="A17671" t="str">
        <f>HYPERLINK("https://www.773grp.com/globalSearch/MC100EPT25DTR2G/page-1", "MC100EPT25DTR2G")</f>
        <v>MC100EPT25DTR2G</v>
      </c>
      <c r="B17671" s="3" t="s">
        <v>74</v>
      </c>
      <c r="C17671" s="6">
        <v>1750</v>
      </c>
      <c r="D17671" s="7">
        <v>10.55</v>
      </c>
      <c r="E17671" t="s">
        <v>61</v>
      </c>
    </row>
    <row r="17672" spans="1:5" x14ac:dyDescent="0.25">
      <c r="A17672" t="str">
        <f>HYPERLINK("https://www.773grp.com/globalSearch/MC100EPT25MNR4G/page-1", "MC100EPT25MNR4G")</f>
        <v>MC100EPT25MNR4G</v>
      </c>
      <c r="B17672" s="3" t="s">
        <v>74</v>
      </c>
      <c r="C17672" s="6">
        <v>8900</v>
      </c>
      <c r="D17672" s="7">
        <v>10.55</v>
      </c>
      <c r="E17672" t="s">
        <v>61</v>
      </c>
    </row>
    <row r="17673" spans="1:5" x14ac:dyDescent="0.25">
      <c r="A17673" t="str">
        <f>HYPERLINK("https://www.773grp.com/globalSearch/MC100EPT26DG/page-1", "MC100EPT26DG")</f>
        <v>MC100EPT26DG</v>
      </c>
      <c r="B17673" s="3" t="s">
        <v>74</v>
      </c>
      <c r="C17673" s="6">
        <v>37088</v>
      </c>
      <c r="D17673" s="7">
        <v>10.55</v>
      </c>
      <c r="E17673" t="s">
        <v>61</v>
      </c>
    </row>
    <row r="17674" spans="1:5" x14ac:dyDescent="0.25">
      <c r="A17674" t="str">
        <f>HYPERLINK("https://www.773grp.com/globalSearch/MC100EPT26DR2G/page-1", "MC100EPT26DR2G")</f>
        <v>MC100EPT26DR2G</v>
      </c>
      <c r="B17674" s="3" t="s">
        <v>74</v>
      </c>
      <c r="C17674" s="6">
        <v>15000</v>
      </c>
      <c r="D17674" s="7">
        <v>10.55</v>
      </c>
      <c r="E17674" t="s">
        <v>61</v>
      </c>
    </row>
    <row r="17675" spans="1:5" x14ac:dyDescent="0.25">
      <c r="A17675" t="str">
        <f>HYPERLINK("https://www.773grp.com/globalSearch/MC100EPT26DTG/page-1", "MC100EPT26DTG")</f>
        <v>MC100EPT26DTG</v>
      </c>
      <c r="B17675" s="3" t="s">
        <v>74</v>
      </c>
      <c r="C17675" s="6">
        <v>923</v>
      </c>
      <c r="D17675" s="7">
        <v>10.55</v>
      </c>
    </row>
    <row r="17676" spans="1:5" x14ac:dyDescent="0.25">
      <c r="A17676" t="str">
        <f>HYPERLINK("https://www.773grp.com/globalSearch/MC100EPT26DTR2G/page-1", "MC100EPT26DTR2G")</f>
        <v>MC100EPT26DTR2G</v>
      </c>
      <c r="B17676" s="3" t="s">
        <v>74</v>
      </c>
      <c r="C17676" s="6">
        <v>2500</v>
      </c>
      <c r="D17676" s="7">
        <v>10.55</v>
      </c>
      <c r="E17676" t="s">
        <v>61</v>
      </c>
    </row>
    <row r="17677" spans="1:5" x14ac:dyDescent="0.25">
      <c r="A17677" t="str">
        <f>HYPERLINK("https://www.773grp.com/globalSearch/MC100EPT26MNR4G/page-1", "MC100EPT26MNR4G")</f>
        <v>MC100EPT26MNR4G</v>
      </c>
      <c r="B17677" s="3" t="s">
        <v>74</v>
      </c>
      <c r="C17677" s="6">
        <v>45710</v>
      </c>
      <c r="D17677" s="7">
        <v>10.55</v>
      </c>
      <c r="E17677" t="s">
        <v>61</v>
      </c>
    </row>
    <row r="17678" spans="1:5" x14ac:dyDescent="0.25">
      <c r="A17678" t="str">
        <f>HYPERLINK("https://www.773grp.com/globalSearch/MC10H125L/page-1", "MC10H125L")</f>
        <v>MC10H125L</v>
      </c>
      <c r="B17678" s="3" t="s">
        <v>74</v>
      </c>
      <c r="C17678" s="6">
        <v>1113</v>
      </c>
      <c r="D17678" s="7">
        <v>10.55</v>
      </c>
      <c r="E17678" t="s">
        <v>61</v>
      </c>
    </row>
    <row r="17679" spans="1:5" x14ac:dyDescent="0.25">
      <c r="A17679" t="str">
        <f>HYPERLINK("https://www.773grp.com/globalSearch/MC10H188M/page-1", "MC10H188M")</f>
        <v>MC10H188M</v>
      </c>
      <c r="B17679" s="3" t="s">
        <v>74</v>
      </c>
      <c r="C17679" s="6">
        <v>511</v>
      </c>
      <c r="D17679" s="7">
        <v>10.55</v>
      </c>
      <c r="E17679" t="s">
        <v>27</v>
      </c>
    </row>
    <row r="17680" spans="1:5" x14ac:dyDescent="0.25">
      <c r="A17680" t="str">
        <f>HYPERLINK("https://www.773grp.com/globalSearch/MC10H350FN/page-1", "MC10H350FN")</f>
        <v>MC10H350FN</v>
      </c>
      <c r="B17680" s="3" t="s">
        <v>74</v>
      </c>
      <c r="C17680" s="6">
        <v>1760</v>
      </c>
      <c r="D17680" s="7">
        <v>10.55</v>
      </c>
      <c r="E17680" t="s">
        <v>61</v>
      </c>
    </row>
    <row r="17681" spans="1:5" x14ac:dyDescent="0.25">
      <c r="A17681" t="str">
        <f>HYPERLINK("https://www.773grp.com/globalSearch/MC10H350FNR2/page-1", "MC10H350FNR2")</f>
        <v>MC10H350FNR2</v>
      </c>
      <c r="B17681" s="3" t="s">
        <v>74</v>
      </c>
      <c r="C17681" s="6">
        <v>5000</v>
      </c>
      <c r="D17681" s="7">
        <v>10.55</v>
      </c>
      <c r="E17681" t="s">
        <v>61</v>
      </c>
    </row>
    <row r="17682" spans="1:5" x14ac:dyDescent="0.25">
      <c r="A17682" t="str">
        <f>HYPERLINK("https://www.773grp.com/globalSearch/MC10H351FN/page-1", "MC10H351FN")</f>
        <v>MC10H351FN</v>
      </c>
      <c r="B17682" s="3" t="s">
        <v>74</v>
      </c>
      <c r="C17682" s="6">
        <v>6337</v>
      </c>
      <c r="D17682" s="7">
        <v>10.55</v>
      </c>
      <c r="E17682" t="s">
        <v>61</v>
      </c>
    </row>
    <row r="17683" spans="1:5" x14ac:dyDescent="0.25">
      <c r="A17683" t="str">
        <f>HYPERLINK("https://www.773grp.com/globalSearch/MC10H351FNR2/page-1", "MC10H351FNR2")</f>
        <v>MC10H351FNR2</v>
      </c>
      <c r="B17683" s="3" t="s">
        <v>74</v>
      </c>
      <c r="C17683" s="6">
        <v>645</v>
      </c>
      <c r="D17683" s="7">
        <v>10.55</v>
      </c>
      <c r="E17683" t="s">
        <v>61</v>
      </c>
    </row>
    <row r="17684" spans="1:5" x14ac:dyDescent="0.25">
      <c r="A17684" t="str">
        <f>HYPERLINK("https://www.773grp.com/globalSearch/MC10H352FN/page-1", "MC10H352FN")</f>
        <v>MC10H352FN</v>
      </c>
      <c r="B17684" s="3" t="s">
        <v>74</v>
      </c>
      <c r="C17684" s="6">
        <v>2162</v>
      </c>
      <c r="D17684" s="7">
        <v>10.55</v>
      </c>
      <c r="E17684" t="s">
        <v>61</v>
      </c>
    </row>
    <row r="17685" spans="1:5" x14ac:dyDescent="0.25">
      <c r="A17685" t="str">
        <f>HYPERLINK("https://www.773grp.com/globalSearch/MC10H352FNR2/page-1", "MC10H352FNR2")</f>
        <v>MC10H352FNR2</v>
      </c>
      <c r="B17685" s="3" t="s">
        <v>74</v>
      </c>
      <c r="C17685" s="6">
        <v>11000</v>
      </c>
      <c r="D17685" s="7">
        <v>10.55</v>
      </c>
      <c r="E17685" t="s">
        <v>61</v>
      </c>
    </row>
    <row r="17686" spans="1:5" x14ac:dyDescent="0.25">
      <c r="A17686" t="str">
        <f>HYPERLINK("https://www.773grp.com/globalSearch/MC10E107FNR/page-1", "MC10E107FNR")</f>
        <v>MC10E107FNR</v>
      </c>
      <c r="B17686" s="3" t="s">
        <v>74</v>
      </c>
      <c r="C17686" s="6">
        <v>500</v>
      </c>
      <c r="D17686" s="7">
        <v>10.58</v>
      </c>
    </row>
    <row r="17687" spans="1:5" x14ac:dyDescent="0.25">
      <c r="A17687" t="str">
        <f>HYPERLINK("https://www.773grp.com/globalSearch/MC1658L/page-1", "MC1658L")</f>
        <v>MC1658L</v>
      </c>
      <c r="B17687" s="3" t="s">
        <v>74</v>
      </c>
      <c r="C17687" s="6">
        <v>626</v>
      </c>
      <c r="D17687" s="7">
        <v>10.58</v>
      </c>
      <c r="E17687" t="s">
        <v>36</v>
      </c>
    </row>
    <row r="17688" spans="1:5" x14ac:dyDescent="0.25">
      <c r="A17688" t="str">
        <f>HYPERLINK("https://www.773grp.com/globalSearch/LC75813T-E/page-1", "LC75813T-E")</f>
        <v>LC75813T-E</v>
      </c>
      <c r="B17688" s="3" t="s">
        <v>74</v>
      </c>
      <c r="C17688" s="6">
        <v>5240</v>
      </c>
      <c r="D17688" s="7">
        <v>10.69</v>
      </c>
    </row>
    <row r="17689" spans="1:5" x14ac:dyDescent="0.25">
      <c r="A17689" t="str">
        <f>HYPERLINK("https://www.773grp.com/globalSearch/MTY30N50E/page-1", "MTY30N50E")</f>
        <v>MTY30N50E</v>
      </c>
      <c r="B17689" s="3" t="s">
        <v>74</v>
      </c>
      <c r="C17689" s="6">
        <v>9391</v>
      </c>
      <c r="D17689" s="7">
        <v>10.69</v>
      </c>
      <c r="E17689" t="s">
        <v>84</v>
      </c>
    </row>
    <row r="17690" spans="1:5" x14ac:dyDescent="0.25">
      <c r="A17690" t="str">
        <f>HYPERLINK("https://www.773grp.com/globalSearch/LC75808W-E/page-1", "LC75808W-E")</f>
        <v>LC75808W-E</v>
      </c>
      <c r="B17690" s="3" t="s">
        <v>74</v>
      </c>
      <c r="C17690" s="6">
        <v>4800</v>
      </c>
      <c r="D17690" s="7">
        <v>10.71</v>
      </c>
    </row>
    <row r="17691" spans="1:5" x14ac:dyDescent="0.25">
      <c r="A17691" t="str">
        <f>HYPERLINK("https://www.773grp.com/globalSearch/MC10H135MG/page-1", "MC10H135MG")</f>
        <v>MC10H135MG</v>
      </c>
      <c r="B17691" s="3" t="s">
        <v>74</v>
      </c>
      <c r="C17691" s="6">
        <v>8984</v>
      </c>
      <c r="D17691" s="7">
        <v>10.71</v>
      </c>
      <c r="E17691" t="s">
        <v>31</v>
      </c>
    </row>
    <row r="17692" spans="1:5" x14ac:dyDescent="0.25">
      <c r="A17692" t="str">
        <f>HYPERLINK("https://www.773grp.com/globalSearch/LC75878W-E/page-1", "LC75878W-E")</f>
        <v>LC75878W-E</v>
      </c>
      <c r="B17692" s="3" t="s">
        <v>74</v>
      </c>
      <c r="C17692" s="6">
        <v>480</v>
      </c>
      <c r="D17692" s="7">
        <v>10.75</v>
      </c>
    </row>
    <row r="17693" spans="1:5" x14ac:dyDescent="0.25">
      <c r="A17693" t="str">
        <f>HYPERLINK("https://www.773grp.com/globalSearch/MC10231P/page-1", "MC10231P")</f>
        <v>MC10231P</v>
      </c>
      <c r="B17693" s="3" t="s">
        <v>74</v>
      </c>
      <c r="C17693" s="6">
        <v>761</v>
      </c>
      <c r="D17693" s="7">
        <v>10.76</v>
      </c>
      <c r="E17693" t="s">
        <v>31</v>
      </c>
    </row>
    <row r="17694" spans="1:5" x14ac:dyDescent="0.25">
      <c r="A17694" t="str">
        <f>HYPERLINK("https://www.773grp.com/globalSearch/STK681-300/page-1", "STK681-300")</f>
        <v>STK681-300</v>
      </c>
      <c r="B17694" s="3" t="s">
        <v>74</v>
      </c>
      <c r="C17694" s="6">
        <v>330</v>
      </c>
      <c r="D17694" s="7">
        <v>10.8</v>
      </c>
    </row>
    <row r="17695" spans="1:5" x14ac:dyDescent="0.25">
      <c r="A17695" t="str">
        <f>HYPERLINK("https://www.773grp.com/globalSearch/ADM1029ARQZ/page-1", "ADM1029ARQZ")</f>
        <v>ADM1029ARQZ</v>
      </c>
      <c r="B17695" s="3" t="s">
        <v>74</v>
      </c>
      <c r="C17695" s="6">
        <v>1792</v>
      </c>
      <c r="D17695" s="7">
        <v>10.84</v>
      </c>
    </row>
    <row r="17696" spans="1:5" x14ac:dyDescent="0.25">
      <c r="A17696" t="str">
        <f>HYPERLINK("https://www.773grp.com/globalSearch/ADM1029ARQZ-R7/page-1", "ADM1029ARQZ-R7")</f>
        <v>ADM1029ARQZ-R7</v>
      </c>
      <c r="B17696" s="3" t="s">
        <v>74</v>
      </c>
      <c r="C17696" s="6">
        <v>1000</v>
      </c>
      <c r="D17696" s="7">
        <v>10.84</v>
      </c>
    </row>
    <row r="17697" spans="1:5" x14ac:dyDescent="0.25">
      <c r="A17697" t="str">
        <f>HYPERLINK("https://www.773grp.com/globalSearch/MC100E122FNR2/page-1", "MC100E122FNR2")</f>
        <v>MC100E122FNR2</v>
      </c>
      <c r="B17697" s="3" t="s">
        <v>74</v>
      </c>
      <c r="C17697" s="6">
        <v>449</v>
      </c>
      <c r="D17697" s="7">
        <v>10.84</v>
      </c>
      <c r="E17697" t="s">
        <v>27</v>
      </c>
    </row>
    <row r="17698" spans="1:5" x14ac:dyDescent="0.25">
      <c r="A17698" t="str">
        <f>HYPERLINK("https://www.773grp.com/globalSearch/MC100EP196FA/page-1", "MC100EP196FA")</f>
        <v>MC100EP196FA</v>
      </c>
      <c r="B17698" s="3" t="s">
        <v>74</v>
      </c>
      <c r="C17698" s="6">
        <v>15649</v>
      </c>
      <c r="D17698" s="7">
        <v>10.84</v>
      </c>
      <c r="E17698" t="s">
        <v>98</v>
      </c>
    </row>
    <row r="17699" spans="1:5" x14ac:dyDescent="0.25">
      <c r="A17699" t="str">
        <f>HYPERLINK("https://www.773grp.com/globalSearch/MC100H643FN/page-1", "MC100H643FN")</f>
        <v>MC100H643FN</v>
      </c>
      <c r="B17699" s="3" t="s">
        <v>74</v>
      </c>
      <c r="C17699" s="6">
        <v>244</v>
      </c>
      <c r="D17699" s="7">
        <v>10.84</v>
      </c>
      <c r="E17699" t="s">
        <v>30</v>
      </c>
    </row>
    <row r="17700" spans="1:5" x14ac:dyDescent="0.25">
      <c r="A17700" t="str">
        <f>HYPERLINK("https://www.773grp.com/globalSearch/MC10E212FN/page-1", "MC10E212FN")</f>
        <v>MC10E212FN</v>
      </c>
      <c r="B17700" s="3" t="s">
        <v>74</v>
      </c>
      <c r="C17700" s="6">
        <v>418</v>
      </c>
      <c r="D17700" s="7">
        <v>10.84</v>
      </c>
      <c r="E17700" t="s">
        <v>31</v>
      </c>
    </row>
    <row r="17701" spans="1:5" x14ac:dyDescent="0.25">
      <c r="A17701" t="str">
        <f>HYPERLINK("https://www.773grp.com/globalSearch/MC10E212FN/page-1", "MC10E212FN")</f>
        <v>MC10E212FN</v>
      </c>
      <c r="B17701" s="3" t="s">
        <v>74</v>
      </c>
      <c r="C17701" s="6">
        <v>2960</v>
      </c>
      <c r="D17701" s="7">
        <v>10.84</v>
      </c>
      <c r="E17701" t="s">
        <v>31</v>
      </c>
    </row>
    <row r="17702" spans="1:5" x14ac:dyDescent="0.25">
      <c r="A17702" t="str">
        <f>HYPERLINK("https://www.773grp.com/globalSearch/MC10E212FNR2/page-1", "MC10E212FNR2")</f>
        <v>MC10E212FNR2</v>
      </c>
      <c r="B17702" s="3" t="s">
        <v>74</v>
      </c>
      <c r="C17702" s="6">
        <v>4000</v>
      </c>
      <c r="D17702" s="7">
        <v>10.84</v>
      </c>
      <c r="E17702" t="s">
        <v>31</v>
      </c>
    </row>
    <row r="17703" spans="1:5" x14ac:dyDescent="0.25">
      <c r="A17703" t="str">
        <f>HYPERLINK("https://www.773grp.com/globalSearch/NB100LVEP221FA/page-1", "NB100LVEP221FA")</f>
        <v>NB100LVEP221FA</v>
      </c>
      <c r="B17703" s="3" t="s">
        <v>74</v>
      </c>
      <c r="C17703" s="6">
        <v>30</v>
      </c>
      <c r="D17703" s="7">
        <v>10.84</v>
      </c>
      <c r="E17703" t="s">
        <v>30</v>
      </c>
    </row>
    <row r="17704" spans="1:5" x14ac:dyDescent="0.25">
      <c r="A17704" t="str">
        <f>HYPERLINK("https://www.773grp.com/globalSearch/MJ11028G/page-1", "MJ11028G")</f>
        <v>MJ11028G</v>
      </c>
      <c r="B17704" s="3" t="s">
        <v>74</v>
      </c>
      <c r="C17704" s="6">
        <v>284</v>
      </c>
      <c r="D17704" s="7">
        <v>10.85</v>
      </c>
      <c r="E17704" t="s">
        <v>47</v>
      </c>
    </row>
    <row r="17705" spans="1:5" x14ac:dyDescent="0.25">
      <c r="A17705" t="str">
        <f>HYPERLINK("https://www.773grp.com/globalSearch/MJ11032G/page-1", "MJ11032G")</f>
        <v>MJ11032G</v>
      </c>
      <c r="B17705" s="3" t="s">
        <v>74</v>
      </c>
      <c r="C17705" s="6">
        <v>2717</v>
      </c>
      <c r="D17705" s="7">
        <v>10.85</v>
      </c>
      <c r="E17705" t="s">
        <v>47</v>
      </c>
    </row>
    <row r="17706" spans="1:5" x14ac:dyDescent="0.25">
      <c r="A17706" t="str">
        <f>HYPERLINK("https://www.773grp.com/globalSearch/2N5038G/page-1", "2N5038G")</f>
        <v>2N5038G</v>
      </c>
      <c r="B17706" s="3" t="s">
        <v>74</v>
      </c>
      <c r="C17706" s="6">
        <v>1987</v>
      </c>
      <c r="D17706" s="7">
        <v>10.94</v>
      </c>
      <c r="E17706" t="s">
        <v>47</v>
      </c>
    </row>
    <row r="17707" spans="1:5" x14ac:dyDescent="0.25">
      <c r="A17707" t="str">
        <f>HYPERLINK("https://www.773grp.com/globalSearch/MC10H171FNG/page-1", "MC10H171FNG")</f>
        <v>MC10H171FNG</v>
      </c>
      <c r="B17707" s="3" t="s">
        <v>74</v>
      </c>
      <c r="C17707" s="6">
        <v>2346</v>
      </c>
      <c r="D17707" s="7">
        <v>11.05</v>
      </c>
      <c r="E17707" t="s">
        <v>32</v>
      </c>
    </row>
    <row r="17708" spans="1:5" x14ac:dyDescent="0.25">
      <c r="A17708" t="str">
        <f>HYPERLINK("https://www.773grp.com/globalSearch/AD7887ARZ/page-1", "AD7887ARZ")</f>
        <v>AD7887ARZ</v>
      </c>
      <c r="B17708" s="3" t="s">
        <v>74</v>
      </c>
      <c r="C17708" s="6">
        <v>231</v>
      </c>
      <c r="D17708" s="7">
        <v>11.23</v>
      </c>
    </row>
    <row r="17709" spans="1:5" x14ac:dyDescent="0.25">
      <c r="A17709" t="str">
        <f>HYPERLINK("https://www.773grp.com/globalSearch/STK681-310/page-1", "STK681-310")</f>
        <v>STK681-310</v>
      </c>
      <c r="B17709" s="3" t="s">
        <v>74</v>
      </c>
      <c r="C17709" s="6">
        <v>30</v>
      </c>
      <c r="D17709" s="7">
        <v>11.23</v>
      </c>
    </row>
    <row r="17710" spans="1:5" x14ac:dyDescent="0.25">
      <c r="A17710" t="str">
        <f>HYPERLINK("https://www.773grp.com/globalSearch/AMIS49587C5872G/page-1", "AMIS49587C5872G")</f>
        <v>AMIS49587C5872G</v>
      </c>
      <c r="B17710" s="3" t="s">
        <v>74</v>
      </c>
      <c r="C17710" s="6">
        <v>28540</v>
      </c>
      <c r="D17710" s="7">
        <v>11.25</v>
      </c>
      <c r="E17710" t="s">
        <v>55</v>
      </c>
    </row>
    <row r="17711" spans="1:5" x14ac:dyDescent="0.25">
      <c r="A17711" t="str">
        <f>HYPERLINK("https://www.773grp.com/globalSearch/AMIS49587C5872RG/page-1", "AMIS49587C5872RG")</f>
        <v>AMIS49587C5872RG</v>
      </c>
      <c r="B17711" s="3" t="s">
        <v>74</v>
      </c>
      <c r="C17711" s="6">
        <v>7500</v>
      </c>
      <c r="D17711" s="7">
        <v>11.25</v>
      </c>
    </row>
    <row r="17712" spans="1:5" x14ac:dyDescent="0.25">
      <c r="A17712" t="str">
        <f>HYPERLINK("https://www.773grp.com/globalSearch/MC100E210FNG/page-1", "MC100E210FNG")</f>
        <v>MC100E210FNG</v>
      </c>
      <c r="B17712" s="3" t="s">
        <v>74</v>
      </c>
      <c r="C17712" s="6">
        <v>724</v>
      </c>
      <c r="D17712" s="7">
        <v>11.25</v>
      </c>
      <c r="E17712" t="s">
        <v>30</v>
      </c>
    </row>
    <row r="17713" spans="1:5" x14ac:dyDescent="0.25">
      <c r="A17713" t="str">
        <f>HYPERLINK("https://www.773grp.com/globalSearch/MC100E210FNR2G/page-1", "MC100E210FNR2G")</f>
        <v>MC100E210FNR2G</v>
      </c>
      <c r="B17713" s="3" t="s">
        <v>74</v>
      </c>
      <c r="C17713" s="6">
        <v>5000</v>
      </c>
      <c r="D17713" s="7">
        <v>11.25</v>
      </c>
      <c r="E17713" t="s">
        <v>30</v>
      </c>
    </row>
    <row r="17714" spans="1:5" x14ac:dyDescent="0.25">
      <c r="A17714" t="str">
        <f>HYPERLINK("https://www.773grp.com/globalSearch/MC100E211FNG/page-1", "MC100E211FNG")</f>
        <v>MC100E211FNG</v>
      </c>
      <c r="B17714" s="3" t="s">
        <v>74</v>
      </c>
      <c r="C17714" s="6">
        <v>1426</v>
      </c>
      <c r="D17714" s="7">
        <v>11.25</v>
      </c>
      <c r="E17714" t="s">
        <v>30</v>
      </c>
    </row>
    <row r="17715" spans="1:5" x14ac:dyDescent="0.25">
      <c r="A17715" t="str">
        <f>HYPERLINK("https://www.773grp.com/globalSearch/MC100E310FNG/page-1", "MC100E310FNG")</f>
        <v>MC100E310FNG</v>
      </c>
      <c r="B17715" s="3" t="s">
        <v>74</v>
      </c>
      <c r="C17715" s="6">
        <v>4764</v>
      </c>
      <c r="D17715" s="7">
        <v>11.25</v>
      </c>
      <c r="E17715" t="s">
        <v>30</v>
      </c>
    </row>
    <row r="17716" spans="1:5" x14ac:dyDescent="0.25">
      <c r="A17716" t="str">
        <f>HYPERLINK("https://www.773grp.com/globalSearch/MC100E310FNR2G/page-1", "MC100E310FNR2G")</f>
        <v>MC100E310FNR2G</v>
      </c>
      <c r="B17716" s="3" t="s">
        <v>74</v>
      </c>
      <c r="C17716" s="6">
        <v>2500</v>
      </c>
      <c r="D17716" s="7">
        <v>11.25</v>
      </c>
    </row>
    <row r="17717" spans="1:5" x14ac:dyDescent="0.25">
      <c r="A17717" t="str">
        <f>HYPERLINK("https://www.773grp.com/globalSearch/MC100EL14DWG/page-1", "MC100EL14DWG")</f>
        <v>MC100EL14DWG</v>
      </c>
      <c r="B17717" s="3" t="s">
        <v>74</v>
      </c>
      <c r="C17717" s="6">
        <v>2461</v>
      </c>
      <c r="D17717" s="7">
        <v>11.25</v>
      </c>
      <c r="E17717" t="s">
        <v>30</v>
      </c>
    </row>
    <row r="17718" spans="1:5" x14ac:dyDescent="0.25">
      <c r="A17718" t="str">
        <f>HYPERLINK("https://www.773grp.com/globalSearch/MC100EL14DWR2G/page-1", "MC100EL14DWR2G")</f>
        <v>MC100EL14DWR2G</v>
      </c>
      <c r="B17718" s="3" t="s">
        <v>74</v>
      </c>
      <c r="C17718" s="6">
        <v>1000</v>
      </c>
      <c r="D17718" s="7">
        <v>11.25</v>
      </c>
      <c r="E17718" t="s">
        <v>30</v>
      </c>
    </row>
    <row r="17719" spans="1:5" x14ac:dyDescent="0.25">
      <c r="A17719" t="str">
        <f>HYPERLINK("https://www.773grp.com/globalSearch/MC100EL90DWG/page-1", "MC100EL90DWG")</f>
        <v>MC100EL90DWG</v>
      </c>
      <c r="B17719" s="3" t="s">
        <v>74</v>
      </c>
      <c r="C17719" s="6">
        <v>4958</v>
      </c>
      <c r="D17719" s="7">
        <v>11.25</v>
      </c>
      <c r="E17719" t="s">
        <v>61</v>
      </c>
    </row>
    <row r="17720" spans="1:5" x14ac:dyDescent="0.25">
      <c r="A17720" t="str">
        <f>HYPERLINK("https://www.773grp.com/globalSearch/MC100EL91DWG/page-1", "MC100EL91DWG")</f>
        <v>MC100EL91DWG</v>
      </c>
      <c r="B17720" s="3" t="s">
        <v>74</v>
      </c>
      <c r="C17720" s="6">
        <v>444</v>
      </c>
      <c r="D17720" s="7">
        <v>11.25</v>
      </c>
      <c r="E17720" t="s">
        <v>61</v>
      </c>
    </row>
    <row r="17721" spans="1:5" x14ac:dyDescent="0.25">
      <c r="A17721" t="str">
        <f>HYPERLINK("https://www.773grp.com/globalSearch/MC100EL91DWR2G/page-1", "MC100EL91DWR2G")</f>
        <v>MC100EL91DWR2G</v>
      </c>
      <c r="B17721" s="3" t="s">
        <v>74</v>
      </c>
      <c r="C17721" s="6">
        <v>3233</v>
      </c>
      <c r="D17721" s="7">
        <v>11.25</v>
      </c>
      <c r="E17721" t="s">
        <v>61</v>
      </c>
    </row>
    <row r="17722" spans="1:5" x14ac:dyDescent="0.25">
      <c r="A17722" t="str">
        <f>HYPERLINK("https://www.773grp.com/globalSearch/MC100EP14DTG/page-1", "MC100EP14DTG")</f>
        <v>MC100EP14DTG</v>
      </c>
      <c r="B17722" s="3" t="s">
        <v>74</v>
      </c>
      <c r="C17722" s="6">
        <v>3226</v>
      </c>
      <c r="D17722" s="7">
        <v>11.25</v>
      </c>
    </row>
    <row r="17723" spans="1:5" x14ac:dyDescent="0.25">
      <c r="A17723" t="str">
        <f>HYPERLINK("https://www.773grp.com/globalSearch/MC100EP16FDR2G/page-1", "MC100EP16FDR2G")</f>
        <v>MC100EP16FDR2G</v>
      </c>
      <c r="B17723" s="3" t="s">
        <v>74</v>
      </c>
      <c r="C17723" s="6">
        <v>2500</v>
      </c>
      <c r="D17723" s="7">
        <v>11.25</v>
      </c>
      <c r="E17723" t="s">
        <v>17</v>
      </c>
    </row>
    <row r="17724" spans="1:5" x14ac:dyDescent="0.25">
      <c r="A17724" t="str">
        <f>HYPERLINK("https://www.773grp.com/globalSearch/MC100EP16FDTG/page-1", "MC100EP16FDTG")</f>
        <v>MC100EP16FDTG</v>
      </c>
      <c r="B17724" s="3" t="s">
        <v>74</v>
      </c>
      <c r="C17724" s="6">
        <v>55</v>
      </c>
      <c r="D17724" s="7">
        <v>11.25</v>
      </c>
      <c r="E17724" t="s">
        <v>17</v>
      </c>
    </row>
    <row r="17725" spans="1:5" x14ac:dyDescent="0.25">
      <c r="A17725" t="str">
        <f>HYPERLINK("https://www.773grp.com/globalSearch/MC100EP16FDTR2G/page-1", "MC100EP16FDTR2G")</f>
        <v>MC100EP16FDTR2G</v>
      </c>
      <c r="B17725" s="3" t="s">
        <v>74</v>
      </c>
      <c r="C17725" s="6">
        <v>7675</v>
      </c>
      <c r="D17725" s="7">
        <v>11.25</v>
      </c>
      <c r="E17725" t="s">
        <v>17</v>
      </c>
    </row>
    <row r="17726" spans="1:5" x14ac:dyDescent="0.25">
      <c r="A17726" t="str">
        <f>HYPERLINK("https://www.773grp.com/globalSearch/MC100EP16MNR4G/page-1", "MC100EP16MNR4G")</f>
        <v>MC100EP16MNR4G</v>
      </c>
      <c r="B17726" s="3" t="s">
        <v>74</v>
      </c>
      <c r="C17726" s="6">
        <v>1900</v>
      </c>
      <c r="D17726" s="7">
        <v>11.25</v>
      </c>
      <c r="E17726" t="s">
        <v>17</v>
      </c>
    </row>
    <row r="17727" spans="1:5" x14ac:dyDescent="0.25">
      <c r="A17727" t="str">
        <f>HYPERLINK("https://www.773grp.com/globalSearch/MC100EP51DTR2/page-1", "MC100EP51DTR2")</f>
        <v>MC100EP51DTR2</v>
      </c>
      <c r="B17727" s="3" t="s">
        <v>74</v>
      </c>
      <c r="C17727" s="6">
        <v>128</v>
      </c>
      <c r="D17727" s="7">
        <v>11.25</v>
      </c>
      <c r="E17727" t="s">
        <v>31</v>
      </c>
    </row>
    <row r="17728" spans="1:5" x14ac:dyDescent="0.25">
      <c r="A17728" t="str">
        <f>HYPERLINK("https://www.773grp.com/globalSearch/MC100EPT23DT/page-1", "MC100EPT23DT")</f>
        <v>MC100EPT23DT</v>
      </c>
      <c r="B17728" s="3" t="s">
        <v>74</v>
      </c>
      <c r="C17728" s="6">
        <v>13276</v>
      </c>
      <c r="D17728" s="7">
        <v>11.25</v>
      </c>
      <c r="E17728" t="s">
        <v>61</v>
      </c>
    </row>
    <row r="17729" spans="1:5" x14ac:dyDescent="0.25">
      <c r="A17729" t="str">
        <f>HYPERLINK("https://www.773grp.com/globalSearch/MC100EPT25DR2/page-1", "MC100EPT25DR2")</f>
        <v>MC100EPT25DR2</v>
      </c>
      <c r="B17729" s="3" t="s">
        <v>74</v>
      </c>
      <c r="C17729" s="6">
        <v>8904</v>
      </c>
      <c r="D17729" s="7">
        <v>11.25</v>
      </c>
      <c r="E17729" t="s">
        <v>61</v>
      </c>
    </row>
    <row r="17730" spans="1:5" x14ac:dyDescent="0.25">
      <c r="A17730" t="str">
        <f>HYPERLINK("https://www.773grp.com/globalSearch/MC100EPT26MNR4/page-1", "MC100EPT26MNR4")</f>
        <v>MC100EPT26MNR4</v>
      </c>
      <c r="B17730" s="3" t="s">
        <v>74</v>
      </c>
      <c r="C17730" s="6">
        <v>2000</v>
      </c>
      <c r="D17730" s="7">
        <v>11.25</v>
      </c>
      <c r="E17730" t="s">
        <v>61</v>
      </c>
    </row>
    <row r="17731" spans="1:5" x14ac:dyDescent="0.25">
      <c r="A17731" t="str">
        <f>HYPERLINK("https://www.773grp.com/globalSearch/MC100LVE210FNG/page-1", "MC100LVE210FNG")</f>
        <v>MC100LVE210FNG</v>
      </c>
      <c r="B17731" s="3" t="s">
        <v>74</v>
      </c>
      <c r="C17731" s="6">
        <v>854</v>
      </c>
      <c r="D17731" s="7">
        <v>11.25</v>
      </c>
      <c r="E17731" t="s">
        <v>30</v>
      </c>
    </row>
    <row r="17732" spans="1:5" x14ac:dyDescent="0.25">
      <c r="A17732" t="str">
        <f>HYPERLINK("https://www.773grp.com/globalSearch/MC100LVE210FNR2G/page-1", "MC100LVE210FNR2G")</f>
        <v>MC100LVE210FNR2G</v>
      </c>
      <c r="B17732" s="3" t="s">
        <v>74</v>
      </c>
      <c r="C17732" s="6">
        <v>808</v>
      </c>
      <c r="D17732" s="7">
        <v>11.25</v>
      </c>
      <c r="E17732" t="s">
        <v>30</v>
      </c>
    </row>
    <row r="17733" spans="1:5" x14ac:dyDescent="0.25">
      <c r="A17733" t="str">
        <f>HYPERLINK("https://www.773grp.com/globalSearch/MC100LVEL14DWG/page-1", "MC100LVEL14DWG")</f>
        <v>MC100LVEL14DWG</v>
      </c>
      <c r="B17733" s="3" t="s">
        <v>74</v>
      </c>
      <c r="C17733" s="6">
        <v>512</v>
      </c>
      <c r="D17733" s="7">
        <v>11.25</v>
      </c>
      <c r="E17733" t="s">
        <v>30</v>
      </c>
    </row>
    <row r="17734" spans="1:5" x14ac:dyDescent="0.25">
      <c r="A17734" t="str">
        <f>HYPERLINK("https://www.773grp.com/globalSearch/MC100LVEL56DWR2/page-1", "MC100LVEL56DWR2")</f>
        <v>MC100LVEL56DWR2</v>
      </c>
      <c r="B17734" s="3" t="s">
        <v>74</v>
      </c>
      <c r="C17734" s="6">
        <v>2000</v>
      </c>
      <c r="D17734" s="7">
        <v>11.25</v>
      </c>
      <c r="E17734" t="s">
        <v>16</v>
      </c>
    </row>
    <row r="17735" spans="1:5" x14ac:dyDescent="0.25">
      <c r="A17735" t="str">
        <f>HYPERLINK("https://www.773grp.com/globalSearch/MC100LVEL90DWG/page-1", "MC100LVEL90DWG")</f>
        <v>MC100LVEL90DWG</v>
      </c>
      <c r="B17735" s="3" t="s">
        <v>74</v>
      </c>
      <c r="C17735" s="6">
        <v>95</v>
      </c>
      <c r="D17735" s="7">
        <v>11.25</v>
      </c>
    </row>
    <row r="17736" spans="1:5" x14ac:dyDescent="0.25">
      <c r="A17736" t="str">
        <f>HYPERLINK("https://www.773grp.com/globalSearch/MC100LVEL90DWR2G/page-1", "MC100LVEL90DWR2G")</f>
        <v>MC100LVEL90DWR2G</v>
      </c>
      <c r="B17736" s="3" t="s">
        <v>74</v>
      </c>
      <c r="C17736" s="6">
        <v>18</v>
      </c>
      <c r="D17736" s="7">
        <v>11.25</v>
      </c>
    </row>
    <row r="17737" spans="1:5" x14ac:dyDescent="0.25">
      <c r="A17737" t="str">
        <f>HYPERLINK("https://www.773grp.com/globalSearch/MC100LVEL91DWG/page-1", "MC100LVEL91DWG")</f>
        <v>MC100LVEL91DWG</v>
      </c>
      <c r="B17737" s="3" t="s">
        <v>74</v>
      </c>
      <c r="C17737" s="6">
        <v>566</v>
      </c>
      <c r="D17737" s="7">
        <v>11.25</v>
      </c>
      <c r="E17737" t="s">
        <v>61</v>
      </c>
    </row>
    <row r="17738" spans="1:5" x14ac:dyDescent="0.25">
      <c r="A17738" t="str">
        <f>HYPERLINK("https://www.773grp.com/globalSearch/MC100LVEL91DWR2G/page-1", "MC100LVEL91DWR2G")</f>
        <v>MC100LVEL91DWR2G</v>
      </c>
      <c r="B17738" s="3" t="s">
        <v>74</v>
      </c>
      <c r="C17738" s="6">
        <v>2000</v>
      </c>
      <c r="D17738" s="7">
        <v>11.25</v>
      </c>
      <c r="E17738" t="s">
        <v>61</v>
      </c>
    </row>
    <row r="17739" spans="1:5" x14ac:dyDescent="0.25">
      <c r="A17739" t="str">
        <f>HYPERLINK("https://www.773grp.com/globalSearch/MC100LVEL92DWR2G/page-1", "MC100LVEL92DWR2G")</f>
        <v>MC100LVEL92DWR2G</v>
      </c>
      <c r="B17739" s="3" t="s">
        <v>74</v>
      </c>
      <c r="C17739" s="6">
        <v>700</v>
      </c>
      <c r="D17739" s="7">
        <v>11.25</v>
      </c>
      <c r="E17739" t="s">
        <v>61</v>
      </c>
    </row>
    <row r="17740" spans="1:5" x14ac:dyDescent="0.25">
      <c r="A17740" t="str">
        <f>HYPERLINK("https://www.773grp.com/globalSearch/MC100LVEP14DTG/page-1", "MC100LVEP14DTG")</f>
        <v>MC100LVEP14DTG</v>
      </c>
      <c r="B17740" s="3" t="s">
        <v>74</v>
      </c>
      <c r="C17740" s="6">
        <v>1250</v>
      </c>
      <c r="D17740" s="7">
        <v>11.25</v>
      </c>
    </row>
    <row r="17741" spans="1:5" x14ac:dyDescent="0.25">
      <c r="A17741" t="str">
        <f>HYPERLINK("https://www.773grp.com/globalSearch/MC10EP32DT/page-1", "MC10EP32DT")</f>
        <v>MC10EP32DT</v>
      </c>
      <c r="B17741" s="3" t="s">
        <v>74</v>
      </c>
      <c r="C17741" s="6">
        <v>10630</v>
      </c>
      <c r="D17741" s="7">
        <v>11.25</v>
      </c>
      <c r="E17741" t="s">
        <v>44</v>
      </c>
    </row>
    <row r="17742" spans="1:5" x14ac:dyDescent="0.25">
      <c r="A17742" t="str">
        <f>HYPERLINK("https://www.773grp.com/globalSearch/MC10EP33DT/page-1", "MC10EP33DT")</f>
        <v>MC10EP33DT</v>
      </c>
      <c r="B17742" s="3" t="s">
        <v>74</v>
      </c>
      <c r="C17742" s="6">
        <v>1048</v>
      </c>
      <c r="D17742" s="7">
        <v>11.25</v>
      </c>
      <c r="E17742" t="s">
        <v>44</v>
      </c>
    </row>
    <row r="17743" spans="1:5" x14ac:dyDescent="0.25">
      <c r="A17743" t="str">
        <f>HYPERLINK("https://www.773grp.com/globalSearch/MC10EP33DTR2/page-1", "MC10EP33DTR2")</f>
        <v>MC10EP33DTR2</v>
      </c>
      <c r="B17743" s="3" t="s">
        <v>74</v>
      </c>
      <c r="C17743" s="6">
        <v>12500</v>
      </c>
      <c r="D17743" s="7">
        <v>11.25</v>
      </c>
      <c r="E17743" t="s">
        <v>44</v>
      </c>
    </row>
    <row r="17744" spans="1:5" x14ac:dyDescent="0.25">
      <c r="A17744" t="str">
        <f>HYPERLINK("https://www.773grp.com/globalSearch/MC14559BDWR2/page-1", "MC14559BDWR2")</f>
        <v>MC14559BDWR2</v>
      </c>
      <c r="B17744" s="3" t="s">
        <v>74</v>
      </c>
      <c r="C17744" s="6">
        <v>501</v>
      </c>
      <c r="D17744" s="7">
        <v>11.25</v>
      </c>
      <c r="E17744" t="s">
        <v>68</v>
      </c>
    </row>
    <row r="17745" spans="1:5" x14ac:dyDescent="0.25">
      <c r="A17745" t="str">
        <f>HYPERLINK("https://www.773grp.com/globalSearch/MC14559BDWR2G/page-1", "MC14559BDWR2G")</f>
        <v>MC14559BDWR2G</v>
      </c>
      <c r="B17745" s="3" t="s">
        <v>74</v>
      </c>
      <c r="C17745" s="6">
        <v>1000</v>
      </c>
      <c r="D17745" s="7">
        <v>11.25</v>
      </c>
      <c r="E17745" t="s">
        <v>68</v>
      </c>
    </row>
    <row r="17746" spans="1:5" x14ac:dyDescent="0.25">
      <c r="A17746" t="str">
        <f>HYPERLINK("https://www.773grp.com/globalSearch/NB3N111KMNG/page-1", "NB3N111KMNG")</f>
        <v>NB3N111KMNG</v>
      </c>
      <c r="B17746" s="3" t="s">
        <v>74</v>
      </c>
      <c r="C17746" s="6">
        <v>148</v>
      </c>
      <c r="D17746" s="7">
        <v>11.25</v>
      </c>
    </row>
    <row r="17747" spans="1:5" x14ac:dyDescent="0.25">
      <c r="A17747" t="str">
        <f>HYPERLINK("https://www.773grp.com/globalSearch/NB3N121KMNG/page-1", "NB3N121KMNG")</f>
        <v>NB3N121KMNG</v>
      </c>
      <c r="B17747" s="3" t="s">
        <v>74</v>
      </c>
      <c r="C17747" s="6">
        <v>240</v>
      </c>
      <c r="D17747" s="7">
        <v>11.25</v>
      </c>
    </row>
    <row r="17748" spans="1:5" x14ac:dyDescent="0.25">
      <c r="A17748" t="str">
        <f>HYPERLINK("https://www.773grp.com/globalSearch/NB4N121KMNG/page-1", "NB4N121KMNG")</f>
        <v>NB4N121KMNG</v>
      </c>
      <c r="B17748" s="3" t="s">
        <v>74</v>
      </c>
      <c r="C17748" s="6">
        <v>955</v>
      </c>
      <c r="D17748" s="7">
        <v>11.25</v>
      </c>
      <c r="E17748" t="s">
        <v>61</v>
      </c>
    </row>
    <row r="17749" spans="1:5" x14ac:dyDescent="0.25">
      <c r="A17749" t="str">
        <f>HYPERLINK("https://www.773grp.com/globalSearch/NB6L11MMNG/page-1", "NB6L11MMNG")</f>
        <v>NB6L11MMNG</v>
      </c>
      <c r="B17749" s="3" t="s">
        <v>74</v>
      </c>
      <c r="C17749" s="6">
        <v>2</v>
      </c>
      <c r="D17749" s="7">
        <v>11.25</v>
      </c>
      <c r="E17749" t="s">
        <v>30</v>
      </c>
    </row>
    <row r="17750" spans="1:5" x14ac:dyDescent="0.25">
      <c r="A17750" t="str">
        <f>HYPERLINK("https://www.773grp.com/globalSearch/NB6L11MMNR2G/page-1", "NB6L11MMNR2G")</f>
        <v>NB6L11MMNR2G</v>
      </c>
      <c r="B17750" s="3" t="s">
        <v>74</v>
      </c>
      <c r="C17750" s="6">
        <v>14491</v>
      </c>
      <c r="D17750" s="7">
        <v>11.25</v>
      </c>
      <c r="E17750" t="s">
        <v>30</v>
      </c>
    </row>
    <row r="17751" spans="1:5" x14ac:dyDescent="0.25">
      <c r="A17751" t="str">
        <f>HYPERLINK("https://www.773grp.com/globalSearch/NB6N14SMNG/page-1", "NB6N14SMNG")</f>
        <v>NB6N14SMNG</v>
      </c>
      <c r="B17751" s="3" t="s">
        <v>74</v>
      </c>
      <c r="C17751" s="6">
        <v>46</v>
      </c>
      <c r="D17751" s="7">
        <v>11.25</v>
      </c>
      <c r="E17751" t="s">
        <v>30</v>
      </c>
    </row>
    <row r="17752" spans="1:5" x14ac:dyDescent="0.25">
      <c r="A17752" t="str">
        <f>HYPERLINK("https://www.773grp.com/globalSearch/NB7V58MMNG/page-1", "NB7V58MMNG")</f>
        <v>NB7V58MMNG</v>
      </c>
      <c r="B17752" s="3" t="s">
        <v>74</v>
      </c>
      <c r="C17752" s="6">
        <v>291</v>
      </c>
      <c r="D17752" s="7">
        <v>11.25</v>
      </c>
      <c r="E17752" t="s">
        <v>16</v>
      </c>
    </row>
    <row r="17753" spans="1:5" x14ac:dyDescent="0.25">
      <c r="A17753" t="str">
        <f>HYPERLINK("https://www.773grp.com/globalSearch/NB7V58MMNHTBG/page-1", "NB7V58MMNHTBG")</f>
        <v>NB7V58MMNHTBG</v>
      </c>
      <c r="B17753" s="3" t="s">
        <v>74</v>
      </c>
      <c r="C17753" s="6">
        <v>1360</v>
      </c>
      <c r="D17753" s="7">
        <v>11.25</v>
      </c>
      <c r="E17753" t="s">
        <v>16</v>
      </c>
    </row>
    <row r="17754" spans="1:5" x14ac:dyDescent="0.25">
      <c r="A17754" t="str">
        <f>HYPERLINK("https://www.773grp.com/globalSearch/NB7VQ58MMNG/page-1", "NB7VQ58MMNG")</f>
        <v>NB7VQ58MMNG</v>
      </c>
      <c r="B17754" s="3" t="s">
        <v>74</v>
      </c>
      <c r="C17754" s="6">
        <v>246</v>
      </c>
      <c r="D17754" s="7">
        <v>11.25</v>
      </c>
      <c r="E17754" t="s">
        <v>16</v>
      </c>
    </row>
    <row r="17755" spans="1:5" x14ac:dyDescent="0.25">
      <c r="A17755" t="str">
        <f>HYPERLINK("https://www.773grp.com/globalSearch/NB7VQ58MMNHTBG/page-1", "NB7VQ58MMNHTBG")</f>
        <v>NB7VQ58MMNHTBG</v>
      </c>
      <c r="B17755" s="3" t="s">
        <v>74</v>
      </c>
      <c r="C17755" s="6">
        <v>1000</v>
      </c>
      <c r="D17755" s="7">
        <v>11.25</v>
      </c>
      <c r="E17755" t="s">
        <v>16</v>
      </c>
    </row>
    <row r="17756" spans="1:5" x14ac:dyDescent="0.25">
      <c r="A17756" t="str">
        <f>HYPERLINK("https://www.773grp.com/globalSearch/NBC12429FNR2G/page-1", "NBC12429FNR2G")</f>
        <v>NBC12429FNR2G</v>
      </c>
      <c r="B17756" s="3" t="s">
        <v>74</v>
      </c>
      <c r="C17756" s="6">
        <v>12000</v>
      </c>
      <c r="D17756" s="7">
        <v>11.25</v>
      </c>
    </row>
    <row r="17757" spans="1:5" x14ac:dyDescent="0.25">
      <c r="A17757" t="str">
        <f>HYPERLINK("https://www.773grp.com/globalSearch/STK433-060N-E/page-1", "STK433-060N-E")</f>
        <v>STK433-060N-E</v>
      </c>
      <c r="B17757" s="3" t="s">
        <v>74</v>
      </c>
      <c r="C17757" s="6">
        <v>25</v>
      </c>
      <c r="D17757" s="7">
        <v>11.25</v>
      </c>
    </row>
    <row r="17758" spans="1:5" x14ac:dyDescent="0.25">
      <c r="A17758" t="str">
        <f>HYPERLINK("https://www.773grp.com/globalSearch/STK681-332-E/page-1", "STK681-332-E")</f>
        <v>STK681-332-E</v>
      </c>
      <c r="B17758" s="3" t="s">
        <v>74</v>
      </c>
      <c r="C17758" s="6">
        <v>40</v>
      </c>
      <c r="D17758" s="7">
        <v>11.25</v>
      </c>
    </row>
    <row r="17759" spans="1:5" x14ac:dyDescent="0.25">
      <c r="A17759" t="str">
        <f>HYPERLINK("https://www.773grp.com/globalSearch/STY30N50E/page-1", "STY30N50E")</f>
        <v>STY30N50E</v>
      </c>
      <c r="B17759" s="3" t="s">
        <v>74</v>
      </c>
      <c r="C17759" s="6">
        <v>35100</v>
      </c>
      <c r="D17759" s="7">
        <v>11.25</v>
      </c>
    </row>
    <row r="17760" spans="1:5" x14ac:dyDescent="0.25">
      <c r="A17760" t="str">
        <f>HYPERLINK("https://www.773grp.com/globalSearch/WIRF9150/page-1", "WIRF9150")</f>
        <v>WIRF9150</v>
      </c>
      <c r="B17760" s="3" t="s">
        <v>74</v>
      </c>
      <c r="C17760" s="6">
        <v>215</v>
      </c>
      <c r="D17760" s="7">
        <v>11.25</v>
      </c>
    </row>
    <row r="17761" spans="1:5" x14ac:dyDescent="0.25">
      <c r="A17761" t="str">
        <f>HYPERLINK("https://www.773grp.com/globalSearch/MC14559BCPG/page-1", "MC14559BCPG")</f>
        <v>MC14559BCPG</v>
      </c>
      <c r="B17761" s="3" t="s">
        <v>74</v>
      </c>
      <c r="C17761" s="6">
        <v>900</v>
      </c>
      <c r="D17761" s="7">
        <v>11.28</v>
      </c>
      <c r="E17761" t="s">
        <v>68</v>
      </c>
    </row>
    <row r="17762" spans="1:5" x14ac:dyDescent="0.25">
      <c r="A17762" t="str">
        <f>HYPERLINK("https://www.773grp.com/globalSearch/CAT28LV64G20/page-1", "CAT28LV64G20")</f>
        <v>CAT28LV64G20</v>
      </c>
      <c r="B17762" s="3" t="s">
        <v>74</v>
      </c>
      <c r="C17762" s="6">
        <v>166</v>
      </c>
      <c r="D17762" s="7">
        <v>11.39</v>
      </c>
      <c r="E17762" t="s">
        <v>52</v>
      </c>
    </row>
    <row r="17763" spans="1:5" x14ac:dyDescent="0.25">
      <c r="A17763" t="str">
        <f>HYPERLINK("https://www.773grp.com/globalSearch/CAT28LV64GI20/page-1", "CAT28LV64GI20")</f>
        <v>CAT28LV64GI20</v>
      </c>
      <c r="B17763" s="3" t="s">
        <v>74</v>
      </c>
      <c r="C17763" s="6">
        <v>672</v>
      </c>
      <c r="D17763" s="7">
        <v>11.39</v>
      </c>
      <c r="E17763" t="s">
        <v>52</v>
      </c>
    </row>
    <row r="17764" spans="1:5" x14ac:dyDescent="0.25">
      <c r="A17764" t="str">
        <f>HYPERLINK("https://www.773grp.com/globalSearch/CAT28LV64W25/page-1", "CAT28LV64W25")</f>
        <v>CAT28LV64W25</v>
      </c>
      <c r="B17764" s="3" t="s">
        <v>74</v>
      </c>
      <c r="C17764" s="6">
        <v>1053</v>
      </c>
      <c r="D17764" s="7">
        <v>11.39</v>
      </c>
    </row>
    <row r="17765" spans="1:5" x14ac:dyDescent="0.25">
      <c r="A17765" t="str">
        <f>HYPERLINK("https://www.773grp.com/globalSearch/CAT28LV65W25/page-1", "CAT28LV65W25")</f>
        <v>CAT28LV65W25</v>
      </c>
      <c r="B17765" s="3" t="s">
        <v>74</v>
      </c>
      <c r="C17765" s="6">
        <v>105</v>
      </c>
      <c r="D17765" s="7">
        <v>11.39</v>
      </c>
      <c r="E17765" t="s">
        <v>52</v>
      </c>
    </row>
    <row r="17766" spans="1:5" x14ac:dyDescent="0.25">
      <c r="A17766" t="str">
        <f>HYPERLINK("https://www.773grp.com/globalSearch/MC10SX1189DG/page-1", "MC10SX1189DG")</f>
        <v>MC10SX1189DG</v>
      </c>
      <c r="B17766" s="3" t="s">
        <v>74</v>
      </c>
      <c r="C17766" s="6">
        <v>4520</v>
      </c>
      <c r="D17766" s="7">
        <v>11.39</v>
      </c>
      <c r="E17766" t="s">
        <v>17</v>
      </c>
    </row>
    <row r="17767" spans="1:5" x14ac:dyDescent="0.25">
      <c r="A17767" t="str">
        <f>HYPERLINK("https://www.773grp.com/globalSearch/MC10SX1189DR2G/page-1", "MC10SX1189DR2G")</f>
        <v>MC10SX1189DR2G</v>
      </c>
      <c r="B17767" s="3" t="s">
        <v>74</v>
      </c>
      <c r="C17767" s="6">
        <v>2500</v>
      </c>
      <c r="D17767" s="7">
        <v>11.39</v>
      </c>
      <c r="E17767" t="s">
        <v>17</v>
      </c>
    </row>
    <row r="17768" spans="1:5" x14ac:dyDescent="0.25">
      <c r="A17768" t="str">
        <f>HYPERLINK("https://www.773grp.com/globalSearch/MC10231FN/page-1", "MC10231FN")</f>
        <v>MC10231FN</v>
      </c>
      <c r="B17768" s="3" t="s">
        <v>74</v>
      </c>
      <c r="C17768" s="6">
        <v>1886</v>
      </c>
      <c r="D17768" s="7">
        <v>11.43</v>
      </c>
      <c r="E17768" t="s">
        <v>31</v>
      </c>
    </row>
    <row r="17769" spans="1:5" x14ac:dyDescent="0.25">
      <c r="A17769" t="str">
        <f>HYPERLINK("https://www.773grp.com/globalSearch/MC100EP17DT/page-1", "MC100EP17DT")</f>
        <v>MC100EP17DT</v>
      </c>
      <c r="B17769" s="3" t="s">
        <v>74</v>
      </c>
      <c r="C17769" s="6">
        <v>12124</v>
      </c>
      <c r="D17769" s="7">
        <v>11.48</v>
      </c>
      <c r="E17769" t="s">
        <v>17</v>
      </c>
    </row>
    <row r="17770" spans="1:5" x14ac:dyDescent="0.25">
      <c r="A17770" t="str">
        <f>HYPERLINK("https://www.773grp.com/globalSearch/MC10EP17DT/page-1", "MC10EP17DT")</f>
        <v>MC10EP17DT</v>
      </c>
      <c r="B17770" s="3" t="s">
        <v>74</v>
      </c>
      <c r="C17770" s="6">
        <v>7374</v>
      </c>
      <c r="D17770" s="7">
        <v>11.48</v>
      </c>
      <c r="E17770" t="s">
        <v>17</v>
      </c>
    </row>
    <row r="17771" spans="1:5" x14ac:dyDescent="0.25">
      <c r="A17771" t="str">
        <f>HYPERLINK("https://www.773grp.com/globalSearch/MC10EP17DW/page-1", "MC10EP17DW")</f>
        <v>MC10EP17DW</v>
      </c>
      <c r="B17771" s="3" t="s">
        <v>74</v>
      </c>
      <c r="C17771" s="6">
        <v>2528</v>
      </c>
      <c r="D17771" s="7">
        <v>11.48</v>
      </c>
      <c r="E17771" t="s">
        <v>17</v>
      </c>
    </row>
    <row r="17772" spans="1:5" x14ac:dyDescent="0.25">
      <c r="A17772" t="str">
        <f>HYPERLINK("https://www.773grp.com/globalSearch/NB100LVEP17DT/page-1", "NB100LVEP17DT")</f>
        <v>NB100LVEP17DT</v>
      </c>
      <c r="B17772" s="3" t="s">
        <v>74</v>
      </c>
      <c r="C17772" s="6">
        <v>5571</v>
      </c>
      <c r="D17772" s="7">
        <v>11.48</v>
      </c>
      <c r="E17772" t="s">
        <v>17</v>
      </c>
    </row>
    <row r="17773" spans="1:5" x14ac:dyDescent="0.25">
      <c r="A17773" t="str">
        <f>HYPERLINK("https://www.773grp.com/globalSearch/NB100LVEP17DTR2/page-1", "NB100LVEP17DTR2")</f>
        <v>NB100LVEP17DTR2</v>
      </c>
      <c r="B17773" s="3" t="s">
        <v>74</v>
      </c>
      <c r="C17773" s="6">
        <v>2500</v>
      </c>
      <c r="D17773" s="7">
        <v>11.48</v>
      </c>
      <c r="E17773" t="s">
        <v>17</v>
      </c>
    </row>
    <row r="17774" spans="1:5" x14ac:dyDescent="0.25">
      <c r="A17774" t="str">
        <f>HYPERLINK("https://www.773grp.com/globalSearch/NB100LVEP17MN/page-1", "NB100LVEP17MN")</f>
        <v>NB100LVEP17MN</v>
      </c>
      <c r="B17774" s="3" t="s">
        <v>74</v>
      </c>
      <c r="C17774" s="6">
        <v>2501</v>
      </c>
      <c r="D17774" s="7">
        <v>11.48</v>
      </c>
      <c r="E17774" t="s">
        <v>17</v>
      </c>
    </row>
    <row r="17775" spans="1:5" x14ac:dyDescent="0.25">
      <c r="A17775" t="str">
        <f>HYPERLINK("https://www.773grp.com/globalSearch/MC100LVE310FNG/page-1", "MC100LVE310FNG")</f>
        <v>MC100LVE310FNG</v>
      </c>
      <c r="B17775" s="3" t="s">
        <v>74</v>
      </c>
      <c r="C17775" s="6">
        <v>2290</v>
      </c>
      <c r="D17775" s="7">
        <v>11.53</v>
      </c>
      <c r="E17775" t="s">
        <v>30</v>
      </c>
    </row>
    <row r="17776" spans="1:5" x14ac:dyDescent="0.25">
      <c r="A17776" t="str">
        <f>HYPERLINK("https://www.773grp.com/globalSearch/MC100LVE310FNR2G/page-1", "MC100LVE310FNR2G")</f>
        <v>MC100LVE310FNR2G</v>
      </c>
      <c r="B17776" s="3" t="s">
        <v>74</v>
      </c>
      <c r="C17776" s="6">
        <v>9705</v>
      </c>
      <c r="D17776" s="7">
        <v>11.53</v>
      </c>
      <c r="E17776" t="s">
        <v>30</v>
      </c>
    </row>
    <row r="17777" spans="1:5" x14ac:dyDescent="0.25">
      <c r="A17777" t="str">
        <f>HYPERLINK("https://www.773grp.com/globalSearch/STK433-760-E/page-1", "STK433-760-E")</f>
        <v>STK433-760-E</v>
      </c>
      <c r="B17777" s="3" t="s">
        <v>74</v>
      </c>
      <c r="C17777" s="6">
        <v>1388</v>
      </c>
      <c r="D17777" s="7">
        <v>11.53</v>
      </c>
    </row>
    <row r="17778" spans="1:5" x14ac:dyDescent="0.25">
      <c r="A17778" t="str">
        <f>HYPERLINK("https://www.773grp.com/globalSearch/LC75804WS-E/page-1", "LC75804WS-E")</f>
        <v>LC75804WS-E</v>
      </c>
      <c r="B17778" s="3" t="s">
        <v>74</v>
      </c>
      <c r="C17778" s="6">
        <v>9540</v>
      </c>
      <c r="D17778" s="7">
        <v>11.59</v>
      </c>
    </row>
    <row r="17779" spans="1:5" x14ac:dyDescent="0.25">
      <c r="A17779" t="str">
        <f>HYPERLINK("https://www.773grp.com/globalSearch/MJ11033G/page-1", "MJ11033G")</f>
        <v>MJ11033G</v>
      </c>
      <c r="B17779" s="3" t="s">
        <v>74</v>
      </c>
      <c r="C17779" s="6">
        <v>1700</v>
      </c>
      <c r="D17779" s="7">
        <v>11.59</v>
      </c>
      <c r="E17779" t="s">
        <v>47</v>
      </c>
    </row>
    <row r="17780" spans="1:5" x14ac:dyDescent="0.25">
      <c r="A17780" t="str">
        <f>HYPERLINK("https://www.773grp.com/globalSearch/AD790JRZ/page-1", "AD790JRZ")</f>
        <v>AD790JRZ</v>
      </c>
      <c r="B17780" s="3" t="s">
        <v>74</v>
      </c>
      <c r="C17780" s="6">
        <v>4</v>
      </c>
      <c r="D17780" s="7">
        <v>11.61</v>
      </c>
    </row>
    <row r="17781" spans="1:5" x14ac:dyDescent="0.25">
      <c r="A17781" t="str">
        <f>HYPERLINK("https://www.773grp.com/globalSearch/AMIS30624C6244G/page-1", "AMIS30624C6244G")</f>
        <v>AMIS30624C6244G</v>
      </c>
      <c r="B17781" s="3" t="s">
        <v>74</v>
      </c>
      <c r="C17781" s="6">
        <v>130</v>
      </c>
      <c r="D17781" s="7">
        <v>11.61</v>
      </c>
    </row>
    <row r="17782" spans="1:5" x14ac:dyDescent="0.25">
      <c r="A17782" t="str">
        <f>HYPERLINK("https://www.773grp.com/globalSearch/AMIS30624C6245G/page-1", "AMIS30624C6245G")</f>
        <v>AMIS30624C6245G</v>
      </c>
      <c r="B17782" s="3" t="s">
        <v>74</v>
      </c>
      <c r="C17782" s="6">
        <v>27</v>
      </c>
      <c r="D17782" s="7">
        <v>11.61</v>
      </c>
    </row>
    <row r="17783" spans="1:5" x14ac:dyDescent="0.25">
      <c r="A17783" t="str">
        <f>HYPERLINK("https://www.773grp.com/globalSearch/AMIS30624C6245RG/page-1", "AMIS30624C6245RG")</f>
        <v>AMIS30624C6245RG</v>
      </c>
      <c r="B17783" s="3" t="s">
        <v>74</v>
      </c>
      <c r="C17783" s="6">
        <v>2500</v>
      </c>
      <c r="D17783" s="7">
        <v>11.61</v>
      </c>
      <c r="E17783" t="s">
        <v>50</v>
      </c>
    </row>
    <row r="17784" spans="1:5" x14ac:dyDescent="0.25">
      <c r="A17784" t="str">
        <f>HYPERLINK("https://www.773grp.com/globalSearch/MC100EP139DW/page-1", "MC100EP139DW")</f>
        <v>MC100EP139DW</v>
      </c>
      <c r="B17784" s="3" t="s">
        <v>74</v>
      </c>
      <c r="C17784" s="6">
        <v>1921</v>
      </c>
      <c r="D17784" s="7">
        <v>11.61</v>
      </c>
      <c r="E17784" t="s">
        <v>30</v>
      </c>
    </row>
    <row r="17785" spans="1:5" x14ac:dyDescent="0.25">
      <c r="A17785" t="str">
        <f>HYPERLINK("https://www.773grp.com/globalSearch/MC10EP139DT/page-1", "MC10EP139DT")</f>
        <v>MC10EP139DT</v>
      </c>
      <c r="B17785" s="3" t="s">
        <v>74</v>
      </c>
      <c r="C17785" s="6">
        <v>4458</v>
      </c>
      <c r="D17785" s="7">
        <v>11.61</v>
      </c>
      <c r="E17785" t="s">
        <v>30</v>
      </c>
    </row>
    <row r="17786" spans="1:5" x14ac:dyDescent="0.25">
      <c r="A17786" t="str">
        <f>HYPERLINK("https://www.773grp.com/globalSearch/MC10EP139DW/page-1", "MC10EP139DW")</f>
        <v>MC10EP139DW</v>
      </c>
      <c r="B17786" s="3" t="s">
        <v>74</v>
      </c>
      <c r="C17786" s="6">
        <v>10136</v>
      </c>
      <c r="D17786" s="7">
        <v>11.61</v>
      </c>
      <c r="E17786" t="s">
        <v>30</v>
      </c>
    </row>
    <row r="17787" spans="1:5" x14ac:dyDescent="0.25">
      <c r="A17787" t="str">
        <f>HYPERLINK("https://www.773grp.com/globalSearch/MC10138P/page-1", "MC10138P")</f>
        <v>MC10138P</v>
      </c>
      <c r="B17787" s="3" t="s">
        <v>74</v>
      </c>
      <c r="C17787" s="6">
        <v>3</v>
      </c>
      <c r="D17787" s="7">
        <v>11.65</v>
      </c>
      <c r="E17787" t="s">
        <v>22</v>
      </c>
    </row>
    <row r="17788" spans="1:5" x14ac:dyDescent="0.25">
      <c r="A17788" t="str">
        <f>HYPERLINK("https://www.773grp.com/globalSearch/AD7940BRJZ-REEL7/page-1", "AD7940BRJZ-REEL7")</f>
        <v>AD7940BRJZ-REEL7</v>
      </c>
      <c r="B17788" s="3" t="s">
        <v>74</v>
      </c>
      <c r="C17788" s="6">
        <v>1507</v>
      </c>
      <c r="D17788" s="7">
        <v>11.68</v>
      </c>
    </row>
    <row r="17789" spans="1:5" x14ac:dyDescent="0.25">
      <c r="A17789" t="str">
        <f>HYPERLINK("https://www.773grp.com/globalSearch/LC75808WS-E/page-1", "LC75808WS-E")</f>
        <v>LC75808WS-E</v>
      </c>
      <c r="B17789" s="3" t="s">
        <v>74</v>
      </c>
      <c r="C17789" s="6">
        <v>23460</v>
      </c>
      <c r="D17789" s="7">
        <v>11.85</v>
      </c>
    </row>
    <row r="17790" spans="1:5" x14ac:dyDescent="0.25">
      <c r="A17790" t="str">
        <f>HYPERLINK("https://www.773grp.com/globalSearch/LV4904V-MPB-E/page-1", "LV4904V-MPB-E")</f>
        <v>LV4904V-MPB-E</v>
      </c>
      <c r="B17790" s="3" t="s">
        <v>74</v>
      </c>
      <c r="C17790" s="6">
        <v>140</v>
      </c>
      <c r="D17790" s="7">
        <v>11.86</v>
      </c>
    </row>
    <row r="17791" spans="1:5" x14ac:dyDescent="0.25">
      <c r="A17791" t="str">
        <f>HYPERLINK("https://www.773grp.com/globalSearch/MC100EP195FA/page-1", "MC100EP195FA")</f>
        <v>MC100EP195FA</v>
      </c>
      <c r="B17791" s="3" t="s">
        <v>74</v>
      </c>
      <c r="C17791" s="6">
        <v>4884</v>
      </c>
      <c r="D17791" s="7">
        <v>11.95</v>
      </c>
      <c r="E17791" t="s">
        <v>98</v>
      </c>
    </row>
    <row r="17792" spans="1:5" x14ac:dyDescent="0.25">
      <c r="A17792" t="str">
        <f>HYPERLINK("https://www.773grp.com/globalSearch/MC10EP195FA/page-1", "MC10EP195FA")</f>
        <v>MC10EP195FA</v>
      </c>
      <c r="B17792" s="3" t="s">
        <v>74</v>
      </c>
      <c r="C17792" s="6">
        <v>12731</v>
      </c>
      <c r="D17792" s="7">
        <v>11.95</v>
      </c>
      <c r="E17792" t="s">
        <v>98</v>
      </c>
    </row>
    <row r="17793" spans="1:5" x14ac:dyDescent="0.25">
      <c r="A17793" t="str">
        <f>HYPERLINK("https://www.773grp.com/globalSearch/MC10EP195FAR2/page-1", "MC10EP195FAR2")</f>
        <v>MC10EP195FAR2</v>
      </c>
      <c r="B17793" s="3" t="s">
        <v>74</v>
      </c>
      <c r="C17793" s="6">
        <v>7900</v>
      </c>
      <c r="D17793" s="7">
        <v>11.95</v>
      </c>
      <c r="E17793" t="s">
        <v>98</v>
      </c>
    </row>
    <row r="17794" spans="1:5" x14ac:dyDescent="0.25">
      <c r="A17794" t="str">
        <f>HYPERLINK("https://www.773grp.com/globalSearch/LC75847T-E/page-1", "LC75847T-E")</f>
        <v>LC75847T-E</v>
      </c>
      <c r="B17794" s="3" t="s">
        <v>74</v>
      </c>
      <c r="C17794" s="6">
        <v>90</v>
      </c>
      <c r="D17794" s="7">
        <v>11.99</v>
      </c>
    </row>
    <row r="17795" spans="1:5" x14ac:dyDescent="0.25">
      <c r="A17795" t="str">
        <f>HYPERLINK("https://www.773grp.com/globalSearch/MC10231L/page-1", "MC10231L")</f>
        <v>MC10231L</v>
      </c>
      <c r="B17795" s="3" t="s">
        <v>74</v>
      </c>
      <c r="C17795" s="6">
        <v>1208</v>
      </c>
      <c r="D17795" s="7">
        <v>12.04</v>
      </c>
      <c r="E17795" t="s">
        <v>31</v>
      </c>
    </row>
    <row r="17796" spans="1:5" x14ac:dyDescent="0.25">
      <c r="A17796" t="str">
        <f>HYPERLINK("https://www.773grp.com/globalSearch/MC10H145P/page-1", "MC10H145P")</f>
        <v>MC10H145P</v>
      </c>
      <c r="B17796" s="3" t="s">
        <v>74</v>
      </c>
      <c r="C17796" s="6">
        <v>1</v>
      </c>
      <c r="D17796" s="7">
        <v>12.04</v>
      </c>
      <c r="E17796" t="s">
        <v>63</v>
      </c>
    </row>
    <row r="17797" spans="1:5" x14ac:dyDescent="0.25">
      <c r="A17797" t="str">
        <f>HYPERLINK("https://www.773grp.com/globalSearch/NB3N106KMNG/page-1", "NB3N106KMNG")</f>
        <v>NB3N106KMNG</v>
      </c>
      <c r="B17797" s="3" t="s">
        <v>74</v>
      </c>
      <c r="C17797" s="6">
        <v>92</v>
      </c>
      <c r="D17797" s="7">
        <v>12.1</v>
      </c>
    </row>
    <row r="17798" spans="1:5" x14ac:dyDescent="0.25">
      <c r="A17798" t="str">
        <f>HYPERLINK("https://www.773grp.com/globalSearch/A5191HRTLG-XTD/page-1", "A5191HRTLG-XTD")</f>
        <v>A5191HRTLG-XTD</v>
      </c>
      <c r="B17798" s="3" t="s">
        <v>74</v>
      </c>
      <c r="C17798" s="6">
        <v>677</v>
      </c>
      <c r="D17798" s="7">
        <v>12.11</v>
      </c>
      <c r="E17798" t="s">
        <v>99</v>
      </c>
    </row>
    <row r="17799" spans="1:5" x14ac:dyDescent="0.25">
      <c r="A17799" t="str">
        <f>HYPERLINK("https://www.773grp.com/globalSearch/A5191HRTPG-XTP/page-1", "A5191HRTPG-XTP")</f>
        <v>A5191HRTPG-XTP</v>
      </c>
      <c r="B17799" s="3" t="s">
        <v>74</v>
      </c>
      <c r="C17799" s="6">
        <v>450</v>
      </c>
      <c r="D17799" s="7">
        <v>12.11</v>
      </c>
      <c r="E17799" t="s">
        <v>99</v>
      </c>
    </row>
    <row r="17800" spans="1:5" x14ac:dyDescent="0.25">
      <c r="A17800" t="str">
        <f>HYPERLINK("https://www.773grp.com/globalSearch/AMIS30542C5421G/page-1", "AMIS30542C5421G")</f>
        <v>AMIS30542C5421G</v>
      </c>
      <c r="B17800" s="3" t="s">
        <v>74</v>
      </c>
      <c r="C17800" s="6">
        <v>610</v>
      </c>
      <c r="D17800" s="7">
        <v>12.11</v>
      </c>
    </row>
    <row r="17801" spans="1:5" x14ac:dyDescent="0.25">
      <c r="A17801" t="str">
        <f>HYPERLINK("https://www.773grp.com/globalSearch/AD7887BRZ-REEL7/page-1", "AD7887BRZ-REEL7")</f>
        <v>AD7887BRZ-REEL7</v>
      </c>
      <c r="B17801" s="3" t="s">
        <v>74</v>
      </c>
      <c r="C17801" s="6">
        <v>64</v>
      </c>
      <c r="D17801" s="7">
        <v>12.24</v>
      </c>
    </row>
    <row r="17802" spans="1:5" x14ac:dyDescent="0.25">
      <c r="A17802" t="str">
        <f>HYPERLINK("https://www.773grp.com/globalSearch/MC100LVEP34D/page-1", "MC100LVEP34D")</f>
        <v>MC100LVEP34D</v>
      </c>
      <c r="B17802" s="3" t="s">
        <v>74</v>
      </c>
      <c r="C17802" s="6">
        <v>5520</v>
      </c>
      <c r="D17802" s="7">
        <v>12.24</v>
      </c>
      <c r="E17802" t="s">
        <v>30</v>
      </c>
    </row>
    <row r="17803" spans="1:5" x14ac:dyDescent="0.25">
      <c r="A17803" t="str">
        <f>HYPERLINK("https://www.773grp.com/globalSearch/NB4L16MMNG/page-1", "NB4L16MMNG")</f>
        <v>NB4L16MMNG</v>
      </c>
      <c r="B17803" s="3" t="s">
        <v>74</v>
      </c>
      <c r="C17803" s="6">
        <v>6850</v>
      </c>
      <c r="D17803" s="7">
        <v>12.24</v>
      </c>
      <c r="E17803" t="s">
        <v>62</v>
      </c>
    </row>
    <row r="17804" spans="1:5" x14ac:dyDescent="0.25">
      <c r="A17804" t="str">
        <f>HYPERLINK("https://www.773grp.com/globalSearch/MC10H175MG/page-1", "MC10H175MG")</f>
        <v>MC10H175MG</v>
      </c>
      <c r="B17804" s="3" t="s">
        <v>74</v>
      </c>
      <c r="C17804" s="6">
        <v>3300</v>
      </c>
      <c r="D17804" s="7">
        <v>12.26</v>
      </c>
    </row>
    <row r="17805" spans="1:5" x14ac:dyDescent="0.25">
      <c r="A17805" t="str">
        <f>HYPERLINK("https://www.773grp.com/globalSearch/ADM1031ARQZ/page-1", "ADM1031ARQZ")</f>
        <v>ADM1031ARQZ</v>
      </c>
      <c r="B17805" s="3" t="s">
        <v>74</v>
      </c>
      <c r="C17805" s="6">
        <v>45</v>
      </c>
      <c r="D17805" s="7">
        <v>12.38</v>
      </c>
    </row>
    <row r="17806" spans="1:5" x14ac:dyDescent="0.25">
      <c r="A17806" t="str">
        <f>HYPERLINK("https://www.773grp.com/globalSearch/ADM1031ARQZ-R7/page-1", "ADM1031ARQZ-R7")</f>
        <v>ADM1031ARQZ-R7</v>
      </c>
      <c r="B17806" s="3" t="s">
        <v>74</v>
      </c>
      <c r="C17806" s="6">
        <v>365</v>
      </c>
      <c r="D17806" s="7">
        <v>12.38</v>
      </c>
      <c r="E17806" t="s">
        <v>9</v>
      </c>
    </row>
    <row r="17807" spans="1:5" x14ac:dyDescent="0.25">
      <c r="A17807" t="str">
        <f>HYPERLINK("https://www.773grp.com/globalSearch/CAT28C256G15/page-1", "CAT28C256G15")</f>
        <v>CAT28C256G15</v>
      </c>
      <c r="B17807" s="3" t="s">
        <v>74</v>
      </c>
      <c r="C17807" s="6">
        <v>22</v>
      </c>
      <c r="D17807" s="7">
        <v>12.38</v>
      </c>
      <c r="E17807" t="s">
        <v>52</v>
      </c>
    </row>
    <row r="17808" spans="1:5" x14ac:dyDescent="0.25">
      <c r="A17808" t="str">
        <f>HYPERLINK("https://www.773grp.com/globalSearch/STK433-040N-E/page-1", "STK433-040N-E")</f>
        <v>STK433-040N-E</v>
      </c>
      <c r="B17808" s="3" t="s">
        <v>74</v>
      </c>
      <c r="C17808" s="6">
        <v>105</v>
      </c>
      <c r="D17808" s="7">
        <v>12.38</v>
      </c>
    </row>
    <row r="17809" spans="1:5" x14ac:dyDescent="0.25">
      <c r="A17809" t="str">
        <f>HYPERLINK("https://www.773grp.com/globalSearch/STK672-220-E/page-1", "STK672-220-E")</f>
        <v>STK672-220-E</v>
      </c>
      <c r="B17809" s="3" t="s">
        <v>74</v>
      </c>
      <c r="C17809" s="6">
        <v>1399</v>
      </c>
      <c r="D17809" s="7">
        <v>12.38</v>
      </c>
    </row>
    <row r="17810" spans="1:5" x14ac:dyDescent="0.25">
      <c r="A17810" t="str">
        <f>HYPERLINK("https://www.773grp.com/globalSearch/MGY30N60D/page-1", "MGY30N60D")</f>
        <v>MGY30N60D</v>
      </c>
      <c r="B17810" s="3" t="s">
        <v>74</v>
      </c>
      <c r="C17810" s="6">
        <v>3098</v>
      </c>
      <c r="D17810" s="7">
        <v>12.4</v>
      </c>
      <c r="E17810" t="s">
        <v>94</v>
      </c>
    </row>
    <row r="17811" spans="1:5" x14ac:dyDescent="0.25">
      <c r="A17811" t="str">
        <f>HYPERLINK("https://www.773grp.com/globalSearch/STK681-320/page-1", "STK681-320")</f>
        <v>STK681-320</v>
      </c>
      <c r="B17811" s="3" t="s">
        <v>74</v>
      </c>
      <c r="C17811" s="6">
        <v>30</v>
      </c>
      <c r="D17811" s="7">
        <v>12.4</v>
      </c>
    </row>
    <row r="17812" spans="1:5" x14ac:dyDescent="0.25">
      <c r="A17812" t="str">
        <f>HYPERLINK("https://www.773grp.com/globalSearch/MC10SX1190DT/page-1", "MC10SX1190DT")</f>
        <v>MC10SX1190DT</v>
      </c>
      <c r="B17812" s="3" t="s">
        <v>74</v>
      </c>
      <c r="C17812" s="6">
        <v>9550</v>
      </c>
      <c r="D17812" s="7">
        <v>12.44</v>
      </c>
      <c r="E17812" t="s">
        <v>17</v>
      </c>
    </row>
    <row r="17813" spans="1:5" x14ac:dyDescent="0.25">
      <c r="A17813" t="str">
        <f>HYPERLINK("https://www.773grp.com/globalSearch/ADM1031ARQ/page-1", "ADM1031ARQ")</f>
        <v>ADM1031ARQ</v>
      </c>
      <c r="B17813" s="3" t="s">
        <v>74</v>
      </c>
      <c r="C17813" s="6">
        <v>1492</v>
      </c>
      <c r="D17813" s="7">
        <v>12.49</v>
      </c>
      <c r="E17813" t="s">
        <v>9</v>
      </c>
    </row>
    <row r="17814" spans="1:5" x14ac:dyDescent="0.25">
      <c r="A17814" t="str">
        <f>HYPERLINK("https://www.773grp.com/globalSearch/MC100EP52DR2/page-1", "MC100EP52DR2")</f>
        <v>MC100EP52DR2</v>
      </c>
      <c r="B17814" s="3" t="s">
        <v>74</v>
      </c>
      <c r="C17814" s="6">
        <v>163</v>
      </c>
      <c r="D17814" s="7">
        <v>12.49</v>
      </c>
      <c r="E17814" t="s">
        <v>31</v>
      </c>
    </row>
    <row r="17815" spans="1:5" x14ac:dyDescent="0.25">
      <c r="A17815" t="str">
        <f>HYPERLINK("https://www.773grp.com/globalSearch/MC100H642FN/page-1", "MC100H642FN")</f>
        <v>MC100H642FN</v>
      </c>
      <c r="B17815" s="3" t="s">
        <v>74</v>
      </c>
      <c r="C17815" s="6">
        <v>481</v>
      </c>
      <c r="D17815" s="7">
        <v>12.49</v>
      </c>
      <c r="E17815" t="s">
        <v>30</v>
      </c>
    </row>
    <row r="17816" spans="1:5" x14ac:dyDescent="0.25">
      <c r="A17816" t="str">
        <f>HYPERLINK("https://www.773grp.com/globalSearch/MC10H642FN/page-1", "MC10H642FN")</f>
        <v>MC10H642FN</v>
      </c>
      <c r="B17816" s="3" t="s">
        <v>74</v>
      </c>
      <c r="C17816" s="6">
        <v>247</v>
      </c>
      <c r="D17816" s="7">
        <v>12.49</v>
      </c>
      <c r="E17816" t="s">
        <v>30</v>
      </c>
    </row>
    <row r="17817" spans="1:5" x14ac:dyDescent="0.25">
      <c r="A17817" t="str">
        <f>HYPERLINK("https://www.773grp.com/globalSearch/MC10H642FNR2/page-1", "MC10H642FNR2")</f>
        <v>MC10H642FNR2</v>
      </c>
      <c r="B17817" s="3" t="s">
        <v>74</v>
      </c>
      <c r="C17817" s="6">
        <v>500</v>
      </c>
      <c r="D17817" s="7">
        <v>12.49</v>
      </c>
      <c r="E17817" t="s">
        <v>30</v>
      </c>
    </row>
    <row r="17818" spans="1:5" x14ac:dyDescent="0.25">
      <c r="A17818" t="str">
        <f>HYPERLINK("https://www.773grp.com/globalSearch/MC100E016FNG/page-1", "MC100E016FNG")</f>
        <v>MC100E016FNG</v>
      </c>
      <c r="B17818" s="3" t="s">
        <v>74</v>
      </c>
      <c r="C17818" s="6">
        <v>329</v>
      </c>
      <c r="D17818" s="7">
        <v>12.53</v>
      </c>
      <c r="E17818" t="s">
        <v>22</v>
      </c>
    </row>
    <row r="17819" spans="1:5" x14ac:dyDescent="0.25">
      <c r="A17819" t="str">
        <f>HYPERLINK("https://www.773grp.com/globalSearch/MC100E016FNR2G/page-1", "MC100E016FNR2G")</f>
        <v>MC100E016FNR2G</v>
      </c>
      <c r="B17819" s="3" t="s">
        <v>74</v>
      </c>
      <c r="C17819" s="6">
        <v>500</v>
      </c>
      <c r="D17819" s="7">
        <v>12.53</v>
      </c>
    </row>
    <row r="17820" spans="1:5" x14ac:dyDescent="0.25">
      <c r="A17820" t="str">
        <f>HYPERLINK("https://www.773grp.com/globalSearch/MC100E101FNR2G/page-1", "MC100E101FNR2G")</f>
        <v>MC100E101FNR2G</v>
      </c>
      <c r="B17820" s="3" t="s">
        <v>74</v>
      </c>
      <c r="C17820" s="6">
        <v>1854</v>
      </c>
      <c r="D17820" s="7">
        <v>12.53</v>
      </c>
      <c r="E17820" t="s">
        <v>27</v>
      </c>
    </row>
    <row r="17821" spans="1:5" x14ac:dyDescent="0.25">
      <c r="A17821" t="str">
        <f>HYPERLINK("https://www.773grp.com/globalSearch/MC100E104FNR2G/page-1", "MC100E104FNR2G")</f>
        <v>MC100E104FNR2G</v>
      </c>
      <c r="B17821" s="3" t="s">
        <v>74</v>
      </c>
      <c r="C17821" s="6">
        <v>1448</v>
      </c>
      <c r="D17821" s="7">
        <v>12.53</v>
      </c>
      <c r="E17821" t="s">
        <v>27</v>
      </c>
    </row>
    <row r="17822" spans="1:5" x14ac:dyDescent="0.25">
      <c r="A17822" t="str">
        <f>HYPERLINK("https://www.773grp.com/globalSearch/MC100E107FNR2G/page-1", "MC100E107FNR2G")</f>
        <v>MC100E107FNR2G</v>
      </c>
      <c r="B17822" s="3" t="s">
        <v>74</v>
      </c>
      <c r="C17822" s="6">
        <v>2500</v>
      </c>
      <c r="D17822" s="7">
        <v>12.53</v>
      </c>
      <c r="E17822" t="s">
        <v>27</v>
      </c>
    </row>
    <row r="17823" spans="1:5" x14ac:dyDescent="0.25">
      <c r="A17823" t="str">
        <f>HYPERLINK("https://www.773grp.com/globalSearch/MC100E111FN/page-1", "MC100E111FN")</f>
        <v>MC100E111FN</v>
      </c>
      <c r="B17823" s="3" t="s">
        <v>74</v>
      </c>
      <c r="C17823" s="6">
        <v>4502</v>
      </c>
      <c r="D17823" s="7">
        <v>12.53</v>
      </c>
      <c r="E17823" t="s">
        <v>30</v>
      </c>
    </row>
    <row r="17824" spans="1:5" x14ac:dyDescent="0.25">
      <c r="A17824" t="str">
        <f>HYPERLINK("https://www.773grp.com/globalSearch/MC100E111FNG/page-1", "MC100E111FNG")</f>
        <v>MC100E111FNG</v>
      </c>
      <c r="B17824" s="3" t="s">
        <v>74</v>
      </c>
      <c r="C17824" s="6">
        <v>185</v>
      </c>
      <c r="D17824" s="7">
        <v>12.53</v>
      </c>
      <c r="E17824" t="s">
        <v>30</v>
      </c>
    </row>
    <row r="17825" spans="1:5" x14ac:dyDescent="0.25">
      <c r="A17825" t="str">
        <f>HYPERLINK("https://www.773grp.com/globalSearch/MC100E111FNR2G/page-1", "MC100E111FNR2G")</f>
        <v>MC100E111FNR2G</v>
      </c>
      <c r="B17825" s="3" t="s">
        <v>74</v>
      </c>
      <c r="C17825" s="6">
        <v>1000</v>
      </c>
      <c r="D17825" s="7">
        <v>12.53</v>
      </c>
    </row>
    <row r="17826" spans="1:5" x14ac:dyDescent="0.25">
      <c r="A17826" t="str">
        <f>HYPERLINK("https://www.773grp.com/globalSearch/MC100E112FNR2G/page-1", "MC100E112FNR2G")</f>
        <v>MC100E112FNR2G</v>
      </c>
      <c r="B17826" s="3" t="s">
        <v>74</v>
      </c>
      <c r="C17826" s="6">
        <v>496</v>
      </c>
      <c r="D17826" s="7">
        <v>12.53</v>
      </c>
      <c r="E17826" t="s">
        <v>27</v>
      </c>
    </row>
    <row r="17827" spans="1:5" x14ac:dyDescent="0.25">
      <c r="A17827" t="str">
        <f>HYPERLINK("https://www.773grp.com/globalSearch/MC100E116FNG/page-1", "MC100E116FNG")</f>
        <v>MC100E116FNG</v>
      </c>
      <c r="B17827" s="3" t="s">
        <v>74</v>
      </c>
      <c r="C17827" s="6">
        <v>642</v>
      </c>
      <c r="D17827" s="7">
        <v>12.53</v>
      </c>
      <c r="E17827" t="s">
        <v>17</v>
      </c>
    </row>
    <row r="17828" spans="1:5" x14ac:dyDescent="0.25">
      <c r="A17828" t="str">
        <f>HYPERLINK("https://www.773grp.com/globalSearch/MC100E116FNR2G/page-1", "MC100E116FNR2G")</f>
        <v>MC100E116FNR2G</v>
      </c>
      <c r="B17828" s="3" t="s">
        <v>74</v>
      </c>
      <c r="C17828" s="6">
        <v>2000</v>
      </c>
      <c r="D17828" s="7">
        <v>12.53</v>
      </c>
      <c r="E17828" t="s">
        <v>17</v>
      </c>
    </row>
    <row r="17829" spans="1:5" x14ac:dyDescent="0.25">
      <c r="A17829" t="str">
        <f>HYPERLINK("https://www.773grp.com/globalSearch/MC100E131FNG/page-1", "MC100E131FNG")</f>
        <v>MC100E131FNG</v>
      </c>
      <c r="B17829" s="3" t="s">
        <v>74</v>
      </c>
      <c r="C17829" s="6">
        <v>37</v>
      </c>
      <c r="D17829" s="7">
        <v>12.53</v>
      </c>
      <c r="E17829" t="s">
        <v>31</v>
      </c>
    </row>
    <row r="17830" spans="1:5" x14ac:dyDescent="0.25">
      <c r="A17830" t="str">
        <f>HYPERLINK("https://www.773grp.com/globalSearch/MC100E136FNG/page-1", "MC100E136FNG")</f>
        <v>MC100E136FNG</v>
      </c>
      <c r="B17830" s="3" t="s">
        <v>74</v>
      </c>
      <c r="C17830" s="6">
        <v>4789</v>
      </c>
      <c r="D17830" s="7">
        <v>12.53</v>
      </c>
      <c r="E17830" t="s">
        <v>22</v>
      </c>
    </row>
    <row r="17831" spans="1:5" x14ac:dyDescent="0.25">
      <c r="A17831" t="str">
        <f>HYPERLINK("https://www.773grp.com/globalSearch/MC100E136FNR2G/page-1", "MC100E136FNR2G")</f>
        <v>MC100E136FNR2G</v>
      </c>
      <c r="B17831" s="3" t="s">
        <v>74</v>
      </c>
      <c r="C17831" s="6">
        <v>2000</v>
      </c>
      <c r="D17831" s="7">
        <v>12.53</v>
      </c>
      <c r="E17831" t="s">
        <v>22</v>
      </c>
    </row>
    <row r="17832" spans="1:5" x14ac:dyDescent="0.25">
      <c r="A17832" t="str">
        <f>HYPERLINK("https://www.773grp.com/globalSearch/MC100E137FNG/page-1", "MC100E137FNG")</f>
        <v>MC100E137FNG</v>
      </c>
      <c r="B17832" s="3" t="s">
        <v>74</v>
      </c>
      <c r="C17832" s="6">
        <v>3866</v>
      </c>
      <c r="D17832" s="7">
        <v>12.53</v>
      </c>
      <c r="E17832" t="s">
        <v>22</v>
      </c>
    </row>
    <row r="17833" spans="1:5" x14ac:dyDescent="0.25">
      <c r="A17833" t="str">
        <f>HYPERLINK("https://www.773grp.com/globalSearch/MC100E137FNR2G/page-1", "MC100E137FNR2G")</f>
        <v>MC100E137FNR2G</v>
      </c>
      <c r="B17833" s="3" t="s">
        <v>74</v>
      </c>
      <c r="C17833" s="6">
        <v>3990</v>
      </c>
      <c r="D17833" s="7">
        <v>12.53</v>
      </c>
      <c r="E17833" t="s">
        <v>22</v>
      </c>
    </row>
    <row r="17834" spans="1:5" x14ac:dyDescent="0.25">
      <c r="A17834" t="str">
        <f>HYPERLINK("https://www.773grp.com/globalSearch/MC100E143FNG/page-1", "MC100E143FNG")</f>
        <v>MC100E143FNG</v>
      </c>
      <c r="B17834" s="3" t="s">
        <v>74</v>
      </c>
      <c r="C17834" s="6">
        <v>4534</v>
      </c>
      <c r="D17834" s="7">
        <v>12.53</v>
      </c>
      <c r="E17834" t="s">
        <v>31</v>
      </c>
    </row>
    <row r="17835" spans="1:5" x14ac:dyDescent="0.25">
      <c r="A17835" t="str">
        <f>HYPERLINK("https://www.773grp.com/globalSearch/MC100E143FNR2G/page-1", "MC100E143FNR2G")</f>
        <v>MC100E143FNR2G</v>
      </c>
      <c r="B17835" s="3" t="s">
        <v>74</v>
      </c>
      <c r="C17835" s="6">
        <v>1234</v>
      </c>
      <c r="D17835" s="7">
        <v>12.53</v>
      </c>
      <c r="E17835" t="s">
        <v>31</v>
      </c>
    </row>
    <row r="17836" spans="1:5" x14ac:dyDescent="0.25">
      <c r="A17836" t="str">
        <f>HYPERLINK("https://www.773grp.com/globalSearch/MC100E150FNG/page-1", "MC100E150FNG")</f>
        <v>MC100E150FNG</v>
      </c>
      <c r="B17836" s="3" t="s">
        <v>74</v>
      </c>
      <c r="C17836" s="6">
        <v>4139</v>
      </c>
      <c r="D17836" s="7">
        <v>12.53</v>
      </c>
      <c r="E17836" t="s">
        <v>31</v>
      </c>
    </row>
    <row r="17837" spans="1:5" x14ac:dyDescent="0.25">
      <c r="A17837" t="str">
        <f>HYPERLINK("https://www.773grp.com/globalSearch/MC100E151FNG/page-1", "MC100E151FNG")</f>
        <v>MC100E151FNG</v>
      </c>
      <c r="B17837" s="3" t="s">
        <v>74</v>
      </c>
      <c r="C17837" s="6">
        <v>1195</v>
      </c>
      <c r="D17837" s="7">
        <v>12.53</v>
      </c>
      <c r="E17837" t="s">
        <v>31</v>
      </c>
    </row>
    <row r="17838" spans="1:5" x14ac:dyDescent="0.25">
      <c r="A17838" t="str">
        <f>HYPERLINK("https://www.773grp.com/globalSearch/MC100E158FNG/page-1", "MC100E158FNG")</f>
        <v>MC100E158FNG</v>
      </c>
      <c r="B17838" s="3" t="s">
        <v>74</v>
      </c>
      <c r="C17838" s="6">
        <v>2462</v>
      </c>
      <c r="D17838" s="7">
        <v>12.53</v>
      </c>
      <c r="E17838" t="s">
        <v>16</v>
      </c>
    </row>
    <row r="17839" spans="1:5" x14ac:dyDescent="0.25">
      <c r="A17839" t="str">
        <f>HYPERLINK("https://www.773grp.com/globalSearch/MC100E163FNR2G/page-1", "MC100E163FNR2G")</f>
        <v>MC100E163FNR2G</v>
      </c>
      <c r="B17839" s="3" t="s">
        <v>74</v>
      </c>
      <c r="C17839" s="6">
        <v>1465</v>
      </c>
      <c r="D17839" s="7">
        <v>12.53</v>
      </c>
      <c r="E17839" t="s">
        <v>16</v>
      </c>
    </row>
    <row r="17840" spans="1:5" x14ac:dyDescent="0.25">
      <c r="A17840" t="str">
        <f>HYPERLINK("https://www.773grp.com/globalSearch/MC100E164FNR2G/page-1", "MC100E164FNR2G")</f>
        <v>MC100E164FNR2G</v>
      </c>
      <c r="B17840" s="3" t="s">
        <v>74</v>
      </c>
      <c r="C17840" s="6">
        <v>227</v>
      </c>
      <c r="D17840" s="7">
        <v>12.53</v>
      </c>
      <c r="E17840" t="s">
        <v>16</v>
      </c>
    </row>
    <row r="17841" spans="1:5" x14ac:dyDescent="0.25">
      <c r="A17841" t="str">
        <f>HYPERLINK("https://www.773grp.com/globalSearch/MC100E171FNG/page-1", "MC100E171FNG")</f>
        <v>MC100E171FNG</v>
      </c>
      <c r="B17841" s="3" t="s">
        <v>74</v>
      </c>
      <c r="C17841" s="6">
        <v>12</v>
      </c>
      <c r="D17841" s="7">
        <v>12.53</v>
      </c>
      <c r="E17841" t="s">
        <v>16</v>
      </c>
    </row>
    <row r="17842" spans="1:5" x14ac:dyDescent="0.25">
      <c r="A17842" t="str">
        <f>HYPERLINK("https://www.773grp.com/globalSearch/MC100E175FNG/page-1", "MC100E175FNG")</f>
        <v>MC100E175FNG</v>
      </c>
      <c r="B17842" s="3" t="s">
        <v>74</v>
      </c>
      <c r="C17842" s="6">
        <v>5007</v>
      </c>
      <c r="D17842" s="7">
        <v>12.53</v>
      </c>
      <c r="E17842" t="s">
        <v>31</v>
      </c>
    </row>
    <row r="17843" spans="1:5" x14ac:dyDescent="0.25">
      <c r="A17843" t="str">
        <f>HYPERLINK("https://www.773grp.com/globalSearch/MC100E195FNG/page-1", "MC100E195FNG")</f>
        <v>MC100E195FNG</v>
      </c>
      <c r="B17843" s="3" t="s">
        <v>74</v>
      </c>
      <c r="C17843" s="6">
        <v>1268</v>
      </c>
      <c r="D17843" s="7">
        <v>12.53</v>
      </c>
      <c r="E17843" t="s">
        <v>98</v>
      </c>
    </row>
    <row r="17844" spans="1:5" x14ac:dyDescent="0.25">
      <c r="A17844" t="str">
        <f>HYPERLINK("https://www.773grp.com/globalSearch/MC100E195FNR2G/page-1", "MC100E195FNR2G")</f>
        <v>MC100E195FNR2G</v>
      </c>
      <c r="B17844" s="3" t="s">
        <v>74</v>
      </c>
      <c r="C17844" s="6">
        <v>500</v>
      </c>
      <c r="D17844" s="7">
        <v>12.53</v>
      </c>
      <c r="E17844" t="s">
        <v>98</v>
      </c>
    </row>
    <row r="17845" spans="1:5" x14ac:dyDescent="0.25">
      <c r="A17845" t="str">
        <f>HYPERLINK("https://www.773grp.com/globalSearch/MC100E196FNR2G/page-1", "MC100E196FNR2G")</f>
        <v>MC100E196FNR2G</v>
      </c>
      <c r="B17845" s="3" t="s">
        <v>74</v>
      </c>
      <c r="C17845" s="6">
        <v>1677</v>
      </c>
      <c r="D17845" s="7">
        <v>12.53</v>
      </c>
      <c r="E17845" t="s">
        <v>98</v>
      </c>
    </row>
    <row r="17846" spans="1:5" x14ac:dyDescent="0.25">
      <c r="A17846" t="str">
        <f>HYPERLINK("https://www.773grp.com/globalSearch/MC100E241FNG/page-1", "MC100E241FNG")</f>
        <v>MC100E241FNG</v>
      </c>
      <c r="B17846" s="3" t="s">
        <v>74</v>
      </c>
      <c r="C17846" s="6">
        <v>2016</v>
      </c>
      <c r="D17846" s="7">
        <v>12.53</v>
      </c>
      <c r="E17846" t="s">
        <v>28</v>
      </c>
    </row>
    <row r="17847" spans="1:5" x14ac:dyDescent="0.25">
      <c r="A17847" t="str">
        <f>HYPERLINK("https://www.773grp.com/globalSearch/MC100E404FNG/page-1", "MC100E404FNG")</f>
        <v>MC100E404FNG</v>
      </c>
      <c r="B17847" s="3" t="s">
        <v>74</v>
      </c>
      <c r="C17847" s="6">
        <v>2199</v>
      </c>
      <c r="D17847" s="7">
        <v>12.53</v>
      </c>
    </row>
    <row r="17848" spans="1:5" x14ac:dyDescent="0.25">
      <c r="A17848" t="str">
        <f>HYPERLINK("https://www.773grp.com/globalSearch/MC100E431FNR2G/page-1", "MC100E431FNR2G")</f>
        <v>MC100E431FNR2G</v>
      </c>
      <c r="B17848" s="3" t="s">
        <v>74</v>
      </c>
      <c r="C17848" s="6">
        <v>500</v>
      </c>
      <c r="D17848" s="7">
        <v>12.53</v>
      </c>
      <c r="E17848" t="s">
        <v>31</v>
      </c>
    </row>
    <row r="17849" spans="1:5" x14ac:dyDescent="0.25">
      <c r="A17849" t="str">
        <f>HYPERLINK("https://www.773grp.com/globalSearch/MC100E446FNG/page-1", "MC100E446FNG")</f>
        <v>MC100E446FNG</v>
      </c>
      <c r="B17849" s="3" t="s">
        <v>74</v>
      </c>
      <c r="C17849" s="6">
        <v>259</v>
      </c>
      <c r="D17849" s="7">
        <v>12.53</v>
      </c>
      <c r="E17849" t="s">
        <v>28</v>
      </c>
    </row>
    <row r="17850" spans="1:5" x14ac:dyDescent="0.25">
      <c r="A17850" t="str">
        <f>HYPERLINK("https://www.773grp.com/globalSearch/MC100E446FNR2G/page-1", "MC100E446FNR2G")</f>
        <v>MC100E446FNR2G</v>
      </c>
      <c r="B17850" s="3" t="s">
        <v>74</v>
      </c>
      <c r="C17850" s="6">
        <v>1500</v>
      </c>
      <c r="D17850" s="7">
        <v>12.53</v>
      </c>
      <c r="E17850" t="s">
        <v>28</v>
      </c>
    </row>
    <row r="17851" spans="1:5" x14ac:dyDescent="0.25">
      <c r="A17851" t="str">
        <f>HYPERLINK("https://www.773grp.com/globalSearch/MC100E451FNG/page-1", "MC100E451FNG")</f>
        <v>MC100E451FNG</v>
      </c>
      <c r="B17851" s="3" t="s">
        <v>74</v>
      </c>
      <c r="C17851" s="6">
        <v>24</v>
      </c>
      <c r="D17851" s="7">
        <v>12.53</v>
      </c>
    </row>
    <row r="17852" spans="1:5" x14ac:dyDescent="0.25">
      <c r="A17852" t="str">
        <f>HYPERLINK("https://www.773grp.com/globalSearch/MC100E452FNG/page-1", "MC100E452FNG")</f>
        <v>MC100E452FNG</v>
      </c>
      <c r="B17852" s="3" t="s">
        <v>74</v>
      </c>
      <c r="C17852" s="6">
        <v>3126</v>
      </c>
      <c r="D17852" s="7">
        <v>12.53</v>
      </c>
      <c r="E17852" t="s">
        <v>31</v>
      </c>
    </row>
    <row r="17853" spans="1:5" x14ac:dyDescent="0.25">
      <c r="A17853" t="str">
        <f>HYPERLINK("https://www.773grp.com/globalSearch/MC100E457FNG/page-1", "MC100E457FNG")</f>
        <v>MC100E457FNG</v>
      </c>
      <c r="B17853" s="3" t="s">
        <v>74</v>
      </c>
      <c r="C17853" s="6">
        <v>2566</v>
      </c>
      <c r="D17853" s="7">
        <v>12.53</v>
      </c>
      <c r="E17853" t="s">
        <v>16</v>
      </c>
    </row>
    <row r="17854" spans="1:5" x14ac:dyDescent="0.25">
      <c r="A17854" t="str">
        <f>HYPERLINK("https://www.773grp.com/globalSearch/MC100E457FNR2G/page-1", "MC100E457FNR2G")</f>
        <v>MC100E457FNR2G</v>
      </c>
      <c r="B17854" s="3" t="s">
        <v>74</v>
      </c>
      <c r="C17854" s="6">
        <v>1000</v>
      </c>
      <c r="D17854" s="7">
        <v>12.53</v>
      </c>
      <c r="E17854" t="s">
        <v>16</v>
      </c>
    </row>
    <row r="17855" spans="1:5" x14ac:dyDescent="0.25">
      <c r="A17855" t="str">
        <f>HYPERLINK("https://www.773grp.com/globalSearch/MC100EL1648DG/page-1", "MC100EL1648DG")</f>
        <v>MC100EL1648DG</v>
      </c>
      <c r="B17855" s="3" t="s">
        <v>74</v>
      </c>
      <c r="C17855" s="6">
        <v>1329</v>
      </c>
      <c r="D17855" s="7">
        <v>12.53</v>
      </c>
      <c r="E17855" t="s">
        <v>36</v>
      </c>
    </row>
    <row r="17856" spans="1:5" x14ac:dyDescent="0.25">
      <c r="A17856" t="str">
        <f>HYPERLINK("https://www.773grp.com/globalSearch/MC100EL1648DR2G/page-1", "MC100EL1648DR2G")</f>
        <v>MC100EL1648DR2G</v>
      </c>
      <c r="B17856" s="3" t="s">
        <v>74</v>
      </c>
      <c r="C17856" s="6">
        <v>10342</v>
      </c>
      <c r="D17856" s="7">
        <v>12.53</v>
      </c>
      <c r="E17856" t="s">
        <v>36</v>
      </c>
    </row>
    <row r="17857" spans="1:5" x14ac:dyDescent="0.25">
      <c r="A17857" t="str">
        <f>HYPERLINK("https://www.773grp.com/globalSearch/MC100EL1648DTG/page-1", "MC100EL1648DTG")</f>
        <v>MC100EL1648DTG</v>
      </c>
      <c r="B17857" s="3" t="s">
        <v>74</v>
      </c>
      <c r="C17857" s="6">
        <v>8705</v>
      </c>
      <c r="D17857" s="7">
        <v>12.53</v>
      </c>
      <c r="E17857" t="s">
        <v>36</v>
      </c>
    </row>
    <row r="17858" spans="1:5" x14ac:dyDescent="0.25">
      <c r="A17858" t="str">
        <f>HYPERLINK("https://www.773grp.com/globalSearch/MC100EL1648DTR2G/page-1", "MC100EL1648DTR2G")</f>
        <v>MC100EL1648DTR2G</v>
      </c>
      <c r="B17858" s="3" t="s">
        <v>74</v>
      </c>
      <c r="C17858" s="6">
        <v>10084</v>
      </c>
      <c r="D17858" s="7">
        <v>12.53</v>
      </c>
      <c r="E17858" t="s">
        <v>36</v>
      </c>
    </row>
    <row r="17859" spans="1:5" x14ac:dyDescent="0.25">
      <c r="A17859" t="str">
        <f>HYPERLINK("https://www.773grp.com/globalSearch/MC100EL1648MNR4G/page-1", "MC100EL1648MNR4G")</f>
        <v>MC100EL1648MNR4G</v>
      </c>
      <c r="B17859" s="3" t="s">
        <v>74</v>
      </c>
      <c r="C17859" s="6">
        <v>13950</v>
      </c>
      <c r="D17859" s="7">
        <v>12.53</v>
      </c>
      <c r="E17859" t="s">
        <v>36</v>
      </c>
    </row>
    <row r="17860" spans="1:5" x14ac:dyDescent="0.25">
      <c r="A17860" t="str">
        <f>HYPERLINK("https://www.773grp.com/globalSearch/MC100EL29DWG/page-1", "MC100EL29DWG")</f>
        <v>MC100EL29DWG</v>
      </c>
      <c r="B17860" s="3" t="s">
        <v>74</v>
      </c>
      <c r="C17860" s="6">
        <v>887</v>
      </c>
      <c r="D17860" s="7">
        <v>12.53</v>
      </c>
      <c r="E17860" t="s">
        <v>31</v>
      </c>
    </row>
    <row r="17861" spans="1:5" x14ac:dyDescent="0.25">
      <c r="A17861" t="str">
        <f>HYPERLINK("https://www.773grp.com/globalSearch/MC100EL29DWR2G/page-1", "MC100EL29DWR2G")</f>
        <v>MC100EL29DWR2G</v>
      </c>
      <c r="B17861" s="3" t="s">
        <v>74</v>
      </c>
      <c r="C17861" s="6">
        <v>314</v>
      </c>
      <c r="D17861" s="7">
        <v>12.53</v>
      </c>
      <c r="E17861" t="s">
        <v>31</v>
      </c>
    </row>
    <row r="17862" spans="1:5" x14ac:dyDescent="0.25">
      <c r="A17862" t="str">
        <f>HYPERLINK("https://www.773grp.com/globalSearch/MC100EP140DG/page-1", "MC100EP140DG")</f>
        <v>MC100EP140DG</v>
      </c>
      <c r="B17862" s="3" t="s">
        <v>74</v>
      </c>
      <c r="C17862" s="6">
        <v>299</v>
      </c>
      <c r="D17862" s="7">
        <v>12.53</v>
      </c>
    </row>
    <row r="17863" spans="1:5" x14ac:dyDescent="0.25">
      <c r="A17863" t="str">
        <f>HYPERLINK("https://www.773grp.com/globalSearch/MC100EP140DR2G/page-1", "MC100EP140DR2G")</f>
        <v>MC100EP140DR2G</v>
      </c>
      <c r="B17863" s="3" t="s">
        <v>74</v>
      </c>
      <c r="C17863" s="6">
        <v>2000</v>
      </c>
      <c r="D17863" s="7">
        <v>12.53</v>
      </c>
    </row>
    <row r="17864" spans="1:5" x14ac:dyDescent="0.25">
      <c r="A17864" t="str">
        <f>HYPERLINK("https://www.773grp.com/globalSearch/MC100EP56DWG/page-1", "MC100EP56DWG")</f>
        <v>MC100EP56DWG</v>
      </c>
      <c r="B17864" s="3" t="s">
        <v>74</v>
      </c>
      <c r="C17864" s="6">
        <v>468</v>
      </c>
      <c r="D17864" s="7">
        <v>12.53</v>
      </c>
      <c r="E17864" t="s">
        <v>16</v>
      </c>
    </row>
    <row r="17865" spans="1:5" x14ac:dyDescent="0.25">
      <c r="A17865" t="str">
        <f>HYPERLINK("https://www.773grp.com/globalSearch/MC100EP56DWR2G/page-1", "MC100EP56DWR2G")</f>
        <v>MC100EP56DWR2G</v>
      </c>
      <c r="B17865" s="3" t="s">
        <v>74</v>
      </c>
      <c r="C17865" s="6">
        <v>16000</v>
      </c>
      <c r="D17865" s="7">
        <v>12.53</v>
      </c>
      <c r="E17865" t="s">
        <v>16</v>
      </c>
    </row>
    <row r="17866" spans="1:5" x14ac:dyDescent="0.25">
      <c r="A17866" t="str">
        <f>HYPERLINK("https://www.773grp.com/globalSearch/MC100EP56MNG/page-1", "MC100EP56MNG")</f>
        <v>MC100EP56MNG</v>
      </c>
      <c r="B17866" s="3" t="s">
        <v>74</v>
      </c>
      <c r="C17866" s="6">
        <v>4440</v>
      </c>
      <c r="D17866" s="7">
        <v>12.53</v>
      </c>
      <c r="E17866" t="s">
        <v>16</v>
      </c>
    </row>
    <row r="17867" spans="1:5" x14ac:dyDescent="0.25">
      <c r="A17867" t="str">
        <f>HYPERLINK("https://www.773grp.com/globalSearch/MC100EP57DTG/page-1", "MC100EP57DTG")</f>
        <v>MC100EP57DTG</v>
      </c>
      <c r="B17867" s="3" t="s">
        <v>74</v>
      </c>
      <c r="C17867" s="6">
        <v>874</v>
      </c>
      <c r="D17867" s="7">
        <v>12.53</v>
      </c>
      <c r="E17867" t="s">
        <v>16</v>
      </c>
    </row>
    <row r="17868" spans="1:5" x14ac:dyDescent="0.25">
      <c r="A17868" t="str">
        <f>HYPERLINK("https://www.773grp.com/globalSearch/MC100EP57DTR2G/page-1", "MC100EP57DTR2G")</f>
        <v>MC100EP57DTR2G</v>
      </c>
      <c r="B17868" s="3" t="s">
        <v>74</v>
      </c>
      <c r="C17868" s="6">
        <v>450</v>
      </c>
      <c r="D17868" s="7">
        <v>12.53</v>
      </c>
      <c r="E17868" t="s">
        <v>16</v>
      </c>
    </row>
    <row r="17869" spans="1:5" x14ac:dyDescent="0.25">
      <c r="A17869" t="str">
        <f>HYPERLINK("https://www.773grp.com/globalSearch/MC100LVE111FN/page-1", "MC100LVE111FN")</f>
        <v>MC100LVE111FN</v>
      </c>
      <c r="B17869" s="3" t="s">
        <v>74</v>
      </c>
      <c r="C17869" s="6">
        <v>83</v>
      </c>
      <c r="D17869" s="7">
        <v>12.53</v>
      </c>
      <c r="E17869" t="s">
        <v>30</v>
      </c>
    </row>
    <row r="17870" spans="1:5" x14ac:dyDescent="0.25">
      <c r="A17870" t="str">
        <f>HYPERLINK("https://www.773grp.com/globalSearch/MC100LVE111FNG/page-1", "MC100LVE111FNG")</f>
        <v>MC100LVE111FNG</v>
      </c>
      <c r="B17870" s="3" t="s">
        <v>74</v>
      </c>
      <c r="C17870" s="6">
        <v>264</v>
      </c>
      <c r="D17870" s="7">
        <v>12.53</v>
      </c>
      <c r="E17870" t="s">
        <v>30</v>
      </c>
    </row>
    <row r="17871" spans="1:5" x14ac:dyDescent="0.25">
      <c r="A17871" t="str">
        <f>HYPERLINK("https://www.773grp.com/globalSearch/MC100LVE111FNR2G/page-1", "MC100LVE111FNR2G")</f>
        <v>MC100LVE111FNR2G</v>
      </c>
      <c r="B17871" s="3" t="s">
        <v>74</v>
      </c>
      <c r="C17871" s="6">
        <v>500</v>
      </c>
      <c r="D17871" s="7">
        <v>12.53</v>
      </c>
    </row>
    <row r="17872" spans="1:5" x14ac:dyDescent="0.25">
      <c r="A17872" t="str">
        <f>HYPERLINK("https://www.773grp.com/globalSearch/MC100LVEL29DWG/page-1", "MC100LVEL29DWG")</f>
        <v>MC100LVEL29DWG</v>
      </c>
      <c r="B17872" s="3" t="s">
        <v>74</v>
      </c>
      <c r="C17872" s="6">
        <v>572</v>
      </c>
      <c r="D17872" s="7">
        <v>12.53</v>
      </c>
    </row>
    <row r="17873" spans="1:5" x14ac:dyDescent="0.25">
      <c r="A17873" t="str">
        <f>HYPERLINK("https://www.773grp.com/globalSearch/MC100LVEL37DWG/page-1", "MC100LVEL37DWG")</f>
        <v>MC100LVEL37DWG</v>
      </c>
      <c r="B17873" s="3" t="s">
        <v>74</v>
      </c>
      <c r="C17873" s="6">
        <v>1063</v>
      </c>
      <c r="D17873" s="7">
        <v>12.53</v>
      </c>
      <c r="E17873" t="s">
        <v>30</v>
      </c>
    </row>
    <row r="17874" spans="1:5" x14ac:dyDescent="0.25">
      <c r="A17874" t="str">
        <f>HYPERLINK("https://www.773grp.com/globalSearch/MC10E016FNG/page-1", "MC10E016FNG")</f>
        <v>MC10E016FNG</v>
      </c>
      <c r="B17874" s="3" t="s">
        <v>74</v>
      </c>
      <c r="C17874" s="6">
        <v>68</v>
      </c>
      <c r="D17874" s="7">
        <v>12.53</v>
      </c>
      <c r="E17874" t="s">
        <v>22</v>
      </c>
    </row>
    <row r="17875" spans="1:5" x14ac:dyDescent="0.25">
      <c r="A17875" t="str">
        <f>HYPERLINK("https://www.773grp.com/globalSearch/MC10E016FNR2G/page-1", "MC10E016FNR2G")</f>
        <v>MC10E016FNR2G</v>
      </c>
      <c r="B17875" s="3" t="s">
        <v>74</v>
      </c>
      <c r="C17875" s="6">
        <v>2500</v>
      </c>
      <c r="D17875" s="7">
        <v>12.53</v>
      </c>
      <c r="E17875" t="s">
        <v>22</v>
      </c>
    </row>
    <row r="17876" spans="1:5" x14ac:dyDescent="0.25">
      <c r="A17876" t="str">
        <f>HYPERLINK("https://www.773grp.com/globalSearch/MC10E101FNR2G/page-1", "MC10E101FNR2G")</f>
        <v>MC10E101FNR2G</v>
      </c>
      <c r="B17876" s="3" t="s">
        <v>74</v>
      </c>
      <c r="C17876" s="6">
        <v>110</v>
      </c>
      <c r="D17876" s="7">
        <v>12.53</v>
      </c>
      <c r="E17876" t="s">
        <v>27</v>
      </c>
    </row>
    <row r="17877" spans="1:5" x14ac:dyDescent="0.25">
      <c r="A17877" t="str">
        <f>HYPERLINK("https://www.773grp.com/globalSearch/MC10E104FNG/page-1", "MC10E104FNG")</f>
        <v>MC10E104FNG</v>
      </c>
      <c r="B17877" s="3" t="s">
        <v>74</v>
      </c>
      <c r="C17877" s="6">
        <v>175</v>
      </c>
      <c r="D17877" s="7">
        <v>12.53</v>
      </c>
      <c r="E17877" t="s">
        <v>27</v>
      </c>
    </row>
    <row r="17878" spans="1:5" x14ac:dyDescent="0.25">
      <c r="A17878" t="str">
        <f>HYPERLINK("https://www.773grp.com/globalSearch/MC10E104FNR2G/page-1", "MC10E104FNR2G")</f>
        <v>MC10E104FNR2G</v>
      </c>
      <c r="B17878" s="3" t="s">
        <v>74</v>
      </c>
      <c r="C17878" s="6">
        <v>254</v>
      </c>
      <c r="D17878" s="7">
        <v>12.53</v>
      </c>
      <c r="E17878" t="s">
        <v>27</v>
      </c>
    </row>
    <row r="17879" spans="1:5" x14ac:dyDescent="0.25">
      <c r="A17879" t="str">
        <f>HYPERLINK("https://www.773grp.com/globalSearch/MC10E107FNG/page-1", "MC10E107FNG")</f>
        <v>MC10E107FNG</v>
      </c>
      <c r="B17879" s="3" t="s">
        <v>74</v>
      </c>
      <c r="C17879" s="6">
        <v>5455</v>
      </c>
      <c r="D17879" s="7">
        <v>12.53</v>
      </c>
      <c r="E17879" t="s">
        <v>27</v>
      </c>
    </row>
    <row r="17880" spans="1:5" x14ac:dyDescent="0.25">
      <c r="A17880" t="str">
        <f>HYPERLINK("https://www.773grp.com/globalSearch/MC10E107FNR2G/page-1", "MC10E107FNR2G")</f>
        <v>MC10E107FNR2G</v>
      </c>
      <c r="B17880" s="3" t="s">
        <v>74</v>
      </c>
      <c r="C17880" s="6">
        <v>1000</v>
      </c>
      <c r="D17880" s="7">
        <v>12.53</v>
      </c>
      <c r="E17880" t="s">
        <v>27</v>
      </c>
    </row>
    <row r="17881" spans="1:5" x14ac:dyDescent="0.25">
      <c r="A17881" t="str">
        <f>HYPERLINK("https://www.773grp.com/globalSearch/MC10E111FNG/page-1", "MC10E111FNG")</f>
        <v>MC10E111FNG</v>
      </c>
      <c r="B17881" s="3" t="s">
        <v>74</v>
      </c>
      <c r="C17881" s="6">
        <v>5553</v>
      </c>
      <c r="D17881" s="7">
        <v>12.53</v>
      </c>
      <c r="E17881" t="s">
        <v>30</v>
      </c>
    </row>
    <row r="17882" spans="1:5" x14ac:dyDescent="0.25">
      <c r="A17882" t="str">
        <f>HYPERLINK("https://www.773grp.com/globalSearch/MC10E111FNR2G/page-1", "MC10E111FNR2G")</f>
        <v>MC10E111FNR2G</v>
      </c>
      <c r="B17882" s="3" t="s">
        <v>74</v>
      </c>
      <c r="C17882" s="6">
        <v>2840</v>
      </c>
      <c r="D17882" s="7">
        <v>12.53</v>
      </c>
      <c r="E17882" t="s">
        <v>30</v>
      </c>
    </row>
    <row r="17883" spans="1:5" x14ac:dyDescent="0.25">
      <c r="A17883" t="str">
        <f>HYPERLINK("https://www.773grp.com/globalSearch/MC10E112FNR2G/page-1", "MC10E112FNR2G")</f>
        <v>MC10E112FNR2G</v>
      </c>
      <c r="B17883" s="3" t="s">
        <v>74</v>
      </c>
      <c r="C17883" s="6">
        <v>1229</v>
      </c>
      <c r="D17883" s="7">
        <v>12.53</v>
      </c>
      <c r="E17883" t="s">
        <v>27</v>
      </c>
    </row>
    <row r="17884" spans="1:5" x14ac:dyDescent="0.25">
      <c r="A17884" t="str">
        <f>HYPERLINK("https://www.773grp.com/globalSearch/MC10E116FNG/page-1", "MC10E116FNG")</f>
        <v>MC10E116FNG</v>
      </c>
      <c r="B17884" s="3" t="s">
        <v>74</v>
      </c>
      <c r="C17884" s="6">
        <v>804</v>
      </c>
      <c r="D17884" s="7">
        <v>12.53</v>
      </c>
      <c r="E17884" t="s">
        <v>17</v>
      </c>
    </row>
    <row r="17885" spans="1:5" x14ac:dyDescent="0.25">
      <c r="A17885" t="str">
        <f>HYPERLINK("https://www.773grp.com/globalSearch/MC10E116FNR2G/page-1", "MC10E116FNR2G")</f>
        <v>MC10E116FNR2G</v>
      </c>
      <c r="B17885" s="3" t="s">
        <v>74</v>
      </c>
      <c r="C17885" s="6">
        <v>8500</v>
      </c>
      <c r="D17885" s="7">
        <v>12.53</v>
      </c>
      <c r="E17885" t="s">
        <v>17</v>
      </c>
    </row>
    <row r="17886" spans="1:5" x14ac:dyDescent="0.25">
      <c r="A17886" t="str">
        <f>HYPERLINK("https://www.773grp.com/globalSearch/MC10E122FNG/page-1", "MC10E122FNG")</f>
        <v>MC10E122FNG</v>
      </c>
      <c r="B17886" s="3" t="s">
        <v>74</v>
      </c>
      <c r="C17886" s="6">
        <v>298</v>
      </c>
      <c r="D17886" s="7">
        <v>12.53</v>
      </c>
      <c r="E17886" t="s">
        <v>27</v>
      </c>
    </row>
    <row r="17887" spans="1:5" x14ac:dyDescent="0.25">
      <c r="A17887" t="str">
        <f>HYPERLINK("https://www.773grp.com/globalSearch/MC10E122FNR2G/page-1", "MC10E122FNR2G")</f>
        <v>MC10E122FNR2G</v>
      </c>
      <c r="B17887" s="3" t="s">
        <v>74</v>
      </c>
      <c r="C17887" s="6">
        <v>12000</v>
      </c>
      <c r="D17887" s="7">
        <v>12.53</v>
      </c>
      <c r="E17887" t="s">
        <v>27</v>
      </c>
    </row>
    <row r="17888" spans="1:5" x14ac:dyDescent="0.25">
      <c r="A17888" t="str">
        <f>HYPERLINK("https://www.773grp.com/globalSearch/MC10E131FNG/page-1", "MC10E131FNG")</f>
        <v>MC10E131FNG</v>
      </c>
      <c r="B17888" s="3" t="s">
        <v>74</v>
      </c>
      <c r="C17888" s="6">
        <v>704</v>
      </c>
      <c r="D17888" s="7">
        <v>12.53</v>
      </c>
      <c r="E17888" t="s">
        <v>31</v>
      </c>
    </row>
    <row r="17889" spans="1:5" x14ac:dyDescent="0.25">
      <c r="A17889" t="str">
        <f>HYPERLINK("https://www.773grp.com/globalSearch/MC10E131FNR2G/page-1", "MC10E131FNR2G")</f>
        <v>MC10E131FNR2G</v>
      </c>
      <c r="B17889" s="3" t="s">
        <v>74</v>
      </c>
      <c r="C17889" s="6">
        <v>1981</v>
      </c>
      <c r="D17889" s="7">
        <v>12.53</v>
      </c>
      <c r="E17889" t="s">
        <v>31</v>
      </c>
    </row>
    <row r="17890" spans="1:5" x14ac:dyDescent="0.25">
      <c r="A17890" t="str">
        <f>HYPERLINK("https://www.773grp.com/globalSearch/MC10E136FNG/page-1", "MC10E136FNG")</f>
        <v>MC10E136FNG</v>
      </c>
      <c r="B17890" s="3" t="s">
        <v>74</v>
      </c>
      <c r="C17890" s="6">
        <v>2617</v>
      </c>
      <c r="D17890" s="7">
        <v>12.53</v>
      </c>
      <c r="E17890" t="s">
        <v>22</v>
      </c>
    </row>
    <row r="17891" spans="1:5" x14ac:dyDescent="0.25">
      <c r="A17891" t="str">
        <f>HYPERLINK("https://www.773grp.com/globalSearch/MC10E136FNR2G/page-1", "MC10E136FNR2G")</f>
        <v>MC10E136FNR2G</v>
      </c>
      <c r="B17891" s="3" t="s">
        <v>74</v>
      </c>
      <c r="C17891" s="6">
        <v>1426</v>
      </c>
      <c r="D17891" s="7">
        <v>12.53</v>
      </c>
      <c r="E17891" t="s">
        <v>22</v>
      </c>
    </row>
    <row r="17892" spans="1:5" x14ac:dyDescent="0.25">
      <c r="A17892" t="str">
        <f>HYPERLINK("https://www.773grp.com/globalSearch/MC10E137FNG/page-1", "MC10E137FNG")</f>
        <v>MC10E137FNG</v>
      </c>
      <c r="B17892" s="3" t="s">
        <v>74</v>
      </c>
      <c r="C17892" s="6">
        <v>6743</v>
      </c>
      <c r="D17892" s="7">
        <v>12.53</v>
      </c>
      <c r="E17892" t="s">
        <v>22</v>
      </c>
    </row>
    <row r="17893" spans="1:5" x14ac:dyDescent="0.25">
      <c r="A17893" t="str">
        <f>HYPERLINK("https://www.773grp.com/globalSearch/MC10E137FNR2G/page-1", "MC10E137FNR2G")</f>
        <v>MC10E137FNR2G</v>
      </c>
      <c r="B17893" s="3" t="s">
        <v>74</v>
      </c>
      <c r="C17893" s="6">
        <v>4475</v>
      </c>
      <c r="D17893" s="7">
        <v>12.53</v>
      </c>
      <c r="E17893" t="s">
        <v>22</v>
      </c>
    </row>
    <row r="17894" spans="1:5" x14ac:dyDescent="0.25">
      <c r="A17894" t="str">
        <f>HYPERLINK("https://www.773grp.com/globalSearch/MC10E141FNG/page-1", "MC10E141FNG")</f>
        <v>MC10E141FNG</v>
      </c>
      <c r="B17894" s="3" t="s">
        <v>74</v>
      </c>
      <c r="C17894" s="6">
        <v>27</v>
      </c>
      <c r="D17894" s="7">
        <v>12.53</v>
      </c>
      <c r="E17894" t="s">
        <v>28</v>
      </c>
    </row>
    <row r="17895" spans="1:5" x14ac:dyDescent="0.25">
      <c r="A17895" t="str">
        <f>HYPERLINK("https://www.773grp.com/globalSearch/MC10E141FNR2G/page-1", "MC10E141FNR2G")</f>
        <v>MC10E141FNR2G</v>
      </c>
      <c r="B17895" s="3" t="s">
        <v>74</v>
      </c>
      <c r="C17895" s="6">
        <v>5000</v>
      </c>
      <c r="D17895" s="7">
        <v>12.53</v>
      </c>
      <c r="E17895" t="s">
        <v>28</v>
      </c>
    </row>
    <row r="17896" spans="1:5" x14ac:dyDescent="0.25">
      <c r="A17896" t="str">
        <f>HYPERLINK("https://www.773grp.com/globalSearch/MC10E142FNG/page-1", "MC10E142FNG")</f>
        <v>MC10E142FNG</v>
      </c>
      <c r="B17896" s="3" t="s">
        <v>74</v>
      </c>
      <c r="C17896" s="6">
        <v>326</v>
      </c>
      <c r="D17896" s="7">
        <v>12.53</v>
      </c>
      <c r="E17896" t="s">
        <v>28</v>
      </c>
    </row>
    <row r="17897" spans="1:5" x14ac:dyDescent="0.25">
      <c r="A17897" t="str">
        <f>HYPERLINK("https://www.773grp.com/globalSearch/MC10E142FNR2G/page-1", "MC10E142FNR2G")</f>
        <v>MC10E142FNR2G</v>
      </c>
      <c r="B17897" s="3" t="s">
        <v>74</v>
      </c>
      <c r="C17897" s="6">
        <v>2862</v>
      </c>
      <c r="D17897" s="7">
        <v>12.53</v>
      </c>
      <c r="E17897" t="s">
        <v>28</v>
      </c>
    </row>
    <row r="17898" spans="1:5" x14ac:dyDescent="0.25">
      <c r="A17898" t="str">
        <f>HYPERLINK("https://www.773grp.com/globalSearch/MC10E143FNR2G/page-1", "MC10E143FNR2G")</f>
        <v>MC10E143FNR2G</v>
      </c>
      <c r="B17898" s="3" t="s">
        <v>74</v>
      </c>
      <c r="C17898" s="6">
        <v>583</v>
      </c>
      <c r="D17898" s="7">
        <v>12.53</v>
      </c>
    </row>
    <row r="17899" spans="1:5" x14ac:dyDescent="0.25">
      <c r="A17899" t="str">
        <f>HYPERLINK("https://www.773grp.com/globalSearch/MC10E150FNG/page-1", "MC10E150FNG")</f>
        <v>MC10E150FNG</v>
      </c>
      <c r="B17899" s="3" t="s">
        <v>74</v>
      </c>
      <c r="C17899" s="6">
        <v>4366</v>
      </c>
      <c r="D17899" s="7">
        <v>12.53</v>
      </c>
      <c r="E17899" t="s">
        <v>31</v>
      </c>
    </row>
    <row r="17900" spans="1:5" x14ac:dyDescent="0.25">
      <c r="A17900" t="str">
        <f>HYPERLINK("https://www.773grp.com/globalSearch/MC10E151FNG/page-1", "MC10E151FNG")</f>
        <v>MC10E151FNG</v>
      </c>
      <c r="B17900" s="3" t="s">
        <v>74</v>
      </c>
      <c r="C17900" s="6">
        <v>2609</v>
      </c>
      <c r="D17900" s="7">
        <v>12.53</v>
      </c>
      <c r="E17900" t="s">
        <v>31</v>
      </c>
    </row>
    <row r="17901" spans="1:5" x14ac:dyDescent="0.25">
      <c r="A17901" t="str">
        <f>HYPERLINK("https://www.773grp.com/globalSearch/MC10E151FNR2G/page-1", "MC10E151FNR2G")</f>
        <v>MC10E151FNR2G</v>
      </c>
      <c r="B17901" s="3" t="s">
        <v>74</v>
      </c>
      <c r="C17901" s="6">
        <v>15092</v>
      </c>
      <c r="D17901" s="7">
        <v>12.53</v>
      </c>
      <c r="E17901" t="s">
        <v>31</v>
      </c>
    </row>
    <row r="17902" spans="1:5" x14ac:dyDescent="0.25">
      <c r="A17902" t="str">
        <f>HYPERLINK("https://www.773grp.com/globalSearch/MC10E154FNG/page-1", "MC10E154FNG")</f>
        <v>MC10E154FNG</v>
      </c>
      <c r="B17902" s="3" t="s">
        <v>74</v>
      </c>
      <c r="C17902" s="6">
        <v>1863</v>
      </c>
      <c r="D17902" s="7">
        <v>12.53</v>
      </c>
      <c r="E17902" t="s">
        <v>31</v>
      </c>
    </row>
    <row r="17903" spans="1:5" x14ac:dyDescent="0.25">
      <c r="A17903" t="str">
        <f>HYPERLINK("https://www.773grp.com/globalSearch/MC10E154FNR2G/page-1", "MC10E154FNR2G")</f>
        <v>MC10E154FNR2G</v>
      </c>
      <c r="B17903" s="3" t="s">
        <v>74</v>
      </c>
      <c r="C17903" s="6">
        <v>232</v>
      </c>
      <c r="D17903" s="7">
        <v>12.53</v>
      </c>
      <c r="E17903" t="s">
        <v>31</v>
      </c>
    </row>
    <row r="17904" spans="1:5" x14ac:dyDescent="0.25">
      <c r="A17904" t="str">
        <f>HYPERLINK("https://www.773grp.com/globalSearch/MC10E155FNR2G/page-1", "MC10E155FNR2G")</f>
        <v>MC10E155FNR2G</v>
      </c>
      <c r="B17904" s="3" t="s">
        <v>74</v>
      </c>
      <c r="C17904" s="6">
        <v>2000</v>
      </c>
      <c r="D17904" s="7">
        <v>12.53</v>
      </c>
      <c r="E17904" t="s">
        <v>31</v>
      </c>
    </row>
    <row r="17905" spans="1:5" x14ac:dyDescent="0.25">
      <c r="A17905" t="str">
        <f>HYPERLINK("https://www.773grp.com/globalSearch/MC10E156FNG/page-1", "MC10E156FNG")</f>
        <v>MC10E156FNG</v>
      </c>
      <c r="B17905" s="3" t="s">
        <v>74</v>
      </c>
      <c r="C17905" s="6">
        <v>2463</v>
      </c>
      <c r="D17905" s="7">
        <v>12.53</v>
      </c>
      <c r="E17905" t="s">
        <v>31</v>
      </c>
    </row>
    <row r="17906" spans="1:5" x14ac:dyDescent="0.25">
      <c r="A17906" t="str">
        <f>HYPERLINK("https://www.773grp.com/globalSearch/MC10E156FNR2G/page-1", "MC10E156FNR2G")</f>
        <v>MC10E156FNR2G</v>
      </c>
      <c r="B17906" s="3" t="s">
        <v>74</v>
      </c>
      <c r="C17906" s="6">
        <v>232</v>
      </c>
      <c r="D17906" s="7">
        <v>12.53</v>
      </c>
      <c r="E17906" t="s">
        <v>31</v>
      </c>
    </row>
    <row r="17907" spans="1:5" x14ac:dyDescent="0.25">
      <c r="A17907" t="str">
        <f>HYPERLINK("https://www.773grp.com/globalSearch/MC10E157FNG/page-1", "MC10E157FNG")</f>
        <v>MC10E157FNG</v>
      </c>
      <c r="B17907" s="3" t="s">
        <v>74</v>
      </c>
      <c r="C17907" s="6">
        <v>3504</v>
      </c>
      <c r="D17907" s="7">
        <v>12.53</v>
      </c>
      <c r="E17907" t="s">
        <v>16</v>
      </c>
    </row>
    <row r="17908" spans="1:5" x14ac:dyDescent="0.25">
      <c r="A17908" t="str">
        <f>HYPERLINK("https://www.773grp.com/globalSearch/MC10E158FNG/page-1", "MC10E158FNG")</f>
        <v>MC10E158FNG</v>
      </c>
      <c r="B17908" s="3" t="s">
        <v>74</v>
      </c>
      <c r="C17908" s="6">
        <v>1898</v>
      </c>
      <c r="D17908" s="7">
        <v>12.53</v>
      </c>
      <c r="E17908" t="s">
        <v>16</v>
      </c>
    </row>
    <row r="17909" spans="1:5" x14ac:dyDescent="0.25">
      <c r="A17909" t="str">
        <f>HYPERLINK("https://www.773grp.com/globalSearch/MC10E158FNR2G/page-1", "MC10E158FNR2G")</f>
        <v>MC10E158FNR2G</v>
      </c>
      <c r="B17909" s="3" t="s">
        <v>74</v>
      </c>
      <c r="C17909" s="6">
        <v>1278</v>
      </c>
      <c r="D17909" s="7">
        <v>12.53</v>
      </c>
      <c r="E17909" t="s">
        <v>16</v>
      </c>
    </row>
    <row r="17910" spans="1:5" x14ac:dyDescent="0.25">
      <c r="A17910" t="str">
        <f>HYPERLINK("https://www.773grp.com/globalSearch/MC10E163FNR2G/page-1", "MC10E163FNR2G")</f>
        <v>MC10E163FNR2G</v>
      </c>
      <c r="B17910" s="3" t="s">
        <v>74</v>
      </c>
      <c r="C17910" s="6">
        <v>981</v>
      </c>
      <c r="D17910" s="7">
        <v>12.53</v>
      </c>
      <c r="E17910" t="s">
        <v>16</v>
      </c>
    </row>
    <row r="17911" spans="1:5" x14ac:dyDescent="0.25">
      <c r="A17911" t="str">
        <f>HYPERLINK("https://www.773grp.com/globalSearch/MC10E164FNG/page-1", "MC10E164FNG")</f>
        <v>MC10E164FNG</v>
      </c>
      <c r="B17911" s="3" t="s">
        <v>74</v>
      </c>
      <c r="C17911" s="6">
        <v>8264</v>
      </c>
      <c r="D17911" s="7">
        <v>12.53</v>
      </c>
      <c r="E17911" t="s">
        <v>16</v>
      </c>
    </row>
    <row r="17912" spans="1:5" x14ac:dyDescent="0.25">
      <c r="A17912" t="str">
        <f>HYPERLINK("https://www.773grp.com/globalSearch/MC10E164FNR2G/page-1", "MC10E164FNR2G")</f>
        <v>MC10E164FNR2G</v>
      </c>
      <c r="B17912" s="3" t="s">
        <v>74</v>
      </c>
      <c r="C17912" s="6">
        <v>1000</v>
      </c>
      <c r="D17912" s="7">
        <v>12.53</v>
      </c>
      <c r="E17912" t="s">
        <v>16</v>
      </c>
    </row>
    <row r="17913" spans="1:5" x14ac:dyDescent="0.25">
      <c r="A17913" t="str">
        <f>HYPERLINK("https://www.773grp.com/globalSearch/MC10E167FNG/page-1", "MC10E167FNG")</f>
        <v>MC10E167FNG</v>
      </c>
      <c r="B17913" s="3" t="s">
        <v>74</v>
      </c>
      <c r="C17913" s="6">
        <v>2015</v>
      </c>
      <c r="D17913" s="7">
        <v>12.53</v>
      </c>
      <c r="E17913" t="s">
        <v>31</v>
      </c>
    </row>
    <row r="17914" spans="1:5" x14ac:dyDescent="0.25">
      <c r="A17914" t="str">
        <f>HYPERLINK("https://www.773grp.com/globalSearch/MC10E171FNG/page-1", "MC10E171FNG")</f>
        <v>MC10E171FNG</v>
      </c>
      <c r="B17914" s="3" t="s">
        <v>74</v>
      </c>
      <c r="C17914" s="6">
        <v>444</v>
      </c>
      <c r="D17914" s="7">
        <v>12.53</v>
      </c>
      <c r="E17914" t="s">
        <v>16</v>
      </c>
    </row>
    <row r="17915" spans="1:5" x14ac:dyDescent="0.25">
      <c r="A17915" t="str">
        <f>HYPERLINK("https://www.773grp.com/globalSearch/MC10E175FNG/page-1", "MC10E175FNG")</f>
        <v>MC10E175FNG</v>
      </c>
      <c r="B17915" s="3" t="s">
        <v>74</v>
      </c>
      <c r="C17915" s="6">
        <v>1850</v>
      </c>
      <c r="D17915" s="7">
        <v>12.53</v>
      </c>
      <c r="E17915" t="s">
        <v>31</v>
      </c>
    </row>
    <row r="17916" spans="1:5" x14ac:dyDescent="0.25">
      <c r="A17916" t="str">
        <f>HYPERLINK("https://www.773grp.com/globalSearch/MC10E175FNR2G/page-1", "MC10E175FNR2G")</f>
        <v>MC10E175FNR2G</v>
      </c>
      <c r="B17916" s="3" t="s">
        <v>74</v>
      </c>
      <c r="C17916" s="6">
        <v>1460</v>
      </c>
      <c r="D17916" s="7">
        <v>12.53</v>
      </c>
      <c r="E17916" t="s">
        <v>31</v>
      </c>
    </row>
    <row r="17917" spans="1:5" x14ac:dyDescent="0.25">
      <c r="A17917" t="str">
        <f>HYPERLINK("https://www.773grp.com/globalSearch/MC10E195FNR2G/page-1", "MC10E195FNR2G")</f>
        <v>MC10E195FNR2G</v>
      </c>
      <c r="B17917" s="3" t="s">
        <v>74</v>
      </c>
      <c r="C17917" s="6">
        <v>729</v>
      </c>
      <c r="D17917" s="7">
        <v>12.53</v>
      </c>
      <c r="E17917" t="s">
        <v>98</v>
      </c>
    </row>
    <row r="17918" spans="1:5" x14ac:dyDescent="0.25">
      <c r="A17918" t="str">
        <f>HYPERLINK("https://www.773grp.com/globalSearch/MC10E196FNG/page-1", "MC10E196FNG")</f>
        <v>MC10E196FNG</v>
      </c>
      <c r="B17918" s="3" t="s">
        <v>74</v>
      </c>
      <c r="C17918" s="6">
        <v>752</v>
      </c>
      <c r="D17918" s="7">
        <v>12.53</v>
      </c>
      <c r="E17918" t="s">
        <v>98</v>
      </c>
    </row>
    <row r="17919" spans="1:5" x14ac:dyDescent="0.25">
      <c r="A17919" t="str">
        <f>HYPERLINK("https://www.773grp.com/globalSearch/MC10E404FNG/page-1", "MC10E404FNG")</f>
        <v>MC10E404FNG</v>
      </c>
      <c r="B17919" s="3" t="s">
        <v>74</v>
      </c>
      <c r="C17919" s="6">
        <v>864</v>
      </c>
      <c r="D17919" s="7">
        <v>12.53</v>
      </c>
      <c r="E17919" t="s">
        <v>27</v>
      </c>
    </row>
    <row r="17920" spans="1:5" x14ac:dyDescent="0.25">
      <c r="A17920" t="str">
        <f>HYPERLINK("https://www.773grp.com/globalSearch/MC10E404FNR2G/page-1", "MC10E404FNR2G")</f>
        <v>MC10E404FNR2G</v>
      </c>
      <c r="B17920" s="3" t="s">
        <v>74</v>
      </c>
      <c r="C17920" s="6">
        <v>1000</v>
      </c>
      <c r="D17920" s="7">
        <v>12.53</v>
      </c>
      <c r="E17920" t="s">
        <v>27</v>
      </c>
    </row>
    <row r="17921" spans="1:5" x14ac:dyDescent="0.25">
      <c r="A17921" t="str">
        <f>HYPERLINK("https://www.773grp.com/globalSearch/MC10E416FNG/page-1", "MC10E416FNG")</f>
        <v>MC10E416FNG</v>
      </c>
      <c r="B17921" s="3" t="s">
        <v>74</v>
      </c>
      <c r="C17921" s="6">
        <v>1958</v>
      </c>
      <c r="D17921" s="7">
        <v>12.53</v>
      </c>
      <c r="E17921" t="s">
        <v>17</v>
      </c>
    </row>
    <row r="17922" spans="1:5" x14ac:dyDescent="0.25">
      <c r="A17922" t="str">
        <f>HYPERLINK("https://www.773grp.com/globalSearch/MC10E416FNR2G/page-1", "MC10E416FNR2G")</f>
        <v>MC10E416FNR2G</v>
      </c>
      <c r="B17922" s="3" t="s">
        <v>74</v>
      </c>
      <c r="C17922" s="6">
        <v>500</v>
      </c>
      <c r="D17922" s="7">
        <v>12.53</v>
      </c>
      <c r="E17922" t="s">
        <v>17</v>
      </c>
    </row>
    <row r="17923" spans="1:5" x14ac:dyDescent="0.25">
      <c r="A17923" t="str">
        <f>HYPERLINK("https://www.773grp.com/globalSearch/MC10E431FNG/page-1", "MC10E431FNG")</f>
        <v>MC10E431FNG</v>
      </c>
      <c r="B17923" s="3" t="s">
        <v>74</v>
      </c>
      <c r="C17923" s="6">
        <v>311</v>
      </c>
      <c r="D17923" s="7">
        <v>12.53</v>
      </c>
      <c r="E17923" t="s">
        <v>31</v>
      </c>
    </row>
    <row r="17924" spans="1:5" x14ac:dyDescent="0.25">
      <c r="A17924" t="str">
        <f>HYPERLINK("https://www.773grp.com/globalSearch/MC10E431FNR2G/page-1", "MC10E431FNR2G")</f>
        <v>MC10E431FNR2G</v>
      </c>
      <c r="B17924" s="3" t="s">
        <v>74</v>
      </c>
      <c r="C17924" s="6">
        <v>1500</v>
      </c>
      <c r="D17924" s="7">
        <v>12.53</v>
      </c>
      <c r="E17924" t="s">
        <v>31</v>
      </c>
    </row>
    <row r="17925" spans="1:5" x14ac:dyDescent="0.25">
      <c r="A17925" t="str">
        <f>HYPERLINK("https://www.773grp.com/globalSearch/MC10E446FNG/page-1", "MC10E446FNG")</f>
        <v>MC10E446FNG</v>
      </c>
      <c r="B17925" s="3" t="s">
        <v>74</v>
      </c>
      <c r="C17925" s="6">
        <v>111</v>
      </c>
      <c r="D17925" s="7">
        <v>12.53</v>
      </c>
      <c r="E17925" t="s">
        <v>28</v>
      </c>
    </row>
    <row r="17926" spans="1:5" x14ac:dyDescent="0.25">
      <c r="A17926" t="str">
        <f>HYPERLINK("https://www.773grp.com/globalSearch/MC10E446FNR2G/page-1", "MC10E446FNR2G")</f>
        <v>MC10E446FNR2G</v>
      </c>
      <c r="B17926" s="3" t="s">
        <v>74</v>
      </c>
      <c r="C17926" s="6">
        <v>1000</v>
      </c>
      <c r="D17926" s="7">
        <v>12.53</v>
      </c>
      <c r="E17926" t="s">
        <v>28</v>
      </c>
    </row>
    <row r="17927" spans="1:5" x14ac:dyDescent="0.25">
      <c r="A17927" t="str">
        <f>HYPERLINK("https://www.773grp.com/globalSearch/MC10E451FNG/page-1", "MC10E451FNG")</f>
        <v>MC10E451FNG</v>
      </c>
      <c r="B17927" s="3" t="s">
        <v>74</v>
      </c>
      <c r="C17927" s="6">
        <v>1888</v>
      </c>
      <c r="D17927" s="7">
        <v>12.53</v>
      </c>
      <c r="E17927" t="s">
        <v>31</v>
      </c>
    </row>
    <row r="17928" spans="1:5" x14ac:dyDescent="0.25">
      <c r="A17928" t="str">
        <f>HYPERLINK("https://www.773grp.com/globalSearch/MC10E451FNR2G/page-1", "MC10E451FNR2G")</f>
        <v>MC10E451FNR2G</v>
      </c>
      <c r="B17928" s="3" t="s">
        <v>74</v>
      </c>
      <c r="C17928" s="6">
        <v>1500</v>
      </c>
      <c r="D17928" s="7">
        <v>12.53</v>
      </c>
      <c r="E17928" t="s">
        <v>31</v>
      </c>
    </row>
    <row r="17929" spans="1:5" x14ac:dyDescent="0.25">
      <c r="A17929" t="str">
        <f>HYPERLINK("https://www.773grp.com/globalSearch/MC10E452FNR2G/page-1", "MC10E452FNR2G")</f>
        <v>MC10E452FNR2G</v>
      </c>
      <c r="B17929" s="3" t="s">
        <v>74</v>
      </c>
      <c r="C17929" s="6">
        <v>2601</v>
      </c>
      <c r="D17929" s="7">
        <v>12.53</v>
      </c>
      <c r="E17929" t="s">
        <v>31</v>
      </c>
    </row>
    <row r="17930" spans="1:5" x14ac:dyDescent="0.25">
      <c r="A17930" t="str">
        <f>HYPERLINK("https://www.773grp.com/globalSearch/MC10E457FNR2G/page-1", "MC10E457FNR2G")</f>
        <v>MC10E457FNR2G</v>
      </c>
      <c r="B17930" s="3" t="s">
        <v>74</v>
      </c>
      <c r="C17930" s="6">
        <v>998</v>
      </c>
      <c r="D17930" s="7">
        <v>12.53</v>
      </c>
      <c r="E17930" t="s">
        <v>16</v>
      </c>
    </row>
    <row r="17931" spans="1:5" x14ac:dyDescent="0.25">
      <c r="A17931" t="str">
        <f>HYPERLINK("https://www.773grp.com/globalSearch/MC10EP56DTG/page-1", "MC10EP56DTG")</f>
        <v>MC10EP56DTG</v>
      </c>
      <c r="B17931" s="3" t="s">
        <v>74</v>
      </c>
      <c r="C17931" s="6">
        <v>1350</v>
      </c>
      <c r="D17931" s="7">
        <v>12.53</v>
      </c>
      <c r="E17931" t="s">
        <v>16</v>
      </c>
    </row>
    <row r="17932" spans="1:5" x14ac:dyDescent="0.25">
      <c r="A17932" t="str">
        <f>HYPERLINK("https://www.773grp.com/globalSearch/MC10EP56MNG/page-1", "MC10EP56MNG")</f>
        <v>MC10EP56MNG</v>
      </c>
      <c r="B17932" s="3" t="s">
        <v>74</v>
      </c>
      <c r="C17932" s="6">
        <v>4500</v>
      </c>
      <c r="D17932" s="7">
        <v>12.53</v>
      </c>
      <c r="E17932" t="s">
        <v>16</v>
      </c>
    </row>
    <row r="17933" spans="1:5" x14ac:dyDescent="0.25">
      <c r="A17933" t="str">
        <f>HYPERLINK("https://www.773grp.com/globalSearch/MC1672L/page-1", "MC1672L")</f>
        <v>MC1672L</v>
      </c>
      <c r="B17933" s="3" t="s">
        <v>74</v>
      </c>
      <c r="C17933" s="6">
        <v>11</v>
      </c>
      <c r="D17933" s="7">
        <v>12.58</v>
      </c>
      <c r="E17933" t="s">
        <v>27</v>
      </c>
    </row>
    <row r="17934" spans="1:5" x14ac:dyDescent="0.25">
      <c r="A17934" t="str">
        <f>HYPERLINK("https://www.773grp.com/globalSearch/MC1692L/page-1", "MC1692L")</f>
        <v>MC1692L</v>
      </c>
      <c r="B17934" s="3" t="s">
        <v>74</v>
      </c>
      <c r="C17934" s="6">
        <v>161</v>
      </c>
      <c r="D17934" s="7">
        <v>12.58</v>
      </c>
      <c r="E17934" t="s">
        <v>17</v>
      </c>
    </row>
    <row r="17935" spans="1:5" x14ac:dyDescent="0.25">
      <c r="A17935" t="str">
        <f>HYPERLINK("https://www.773grp.com/globalSearch/BUV21G/page-1", "BUV21G")</f>
        <v>BUV21G</v>
      </c>
      <c r="B17935" s="3" t="s">
        <v>74</v>
      </c>
      <c r="C17935" s="6">
        <v>139</v>
      </c>
      <c r="D17935" s="7">
        <v>12.6</v>
      </c>
      <c r="E17935" t="s">
        <v>47</v>
      </c>
    </row>
    <row r="17936" spans="1:5" x14ac:dyDescent="0.25">
      <c r="A17936" t="str">
        <f>HYPERLINK("https://www.773grp.com/globalSearch/MC10H176PG/page-1", "MC10H176PG")</f>
        <v>MC10H176PG</v>
      </c>
      <c r="B17936" s="3" t="s">
        <v>74</v>
      </c>
      <c r="C17936" s="6">
        <v>3660</v>
      </c>
      <c r="D17936" s="7">
        <v>12.6</v>
      </c>
      <c r="E17936" t="s">
        <v>31</v>
      </c>
    </row>
    <row r="17937" spans="1:5" x14ac:dyDescent="0.25">
      <c r="A17937" t="str">
        <f>HYPERLINK("https://www.773grp.com/globalSearch/MC100E104FN/page-1", "MC100E104FN")</f>
        <v>MC100E104FN</v>
      </c>
      <c r="B17937" s="3" t="s">
        <v>74</v>
      </c>
      <c r="C17937" s="6">
        <v>3794</v>
      </c>
      <c r="D17937" s="7">
        <v>12.66</v>
      </c>
      <c r="E17937" t="s">
        <v>27</v>
      </c>
    </row>
    <row r="17938" spans="1:5" x14ac:dyDescent="0.25">
      <c r="A17938" t="str">
        <f>HYPERLINK("https://www.773grp.com/globalSearch/MC100E107FNG/page-1", "MC100E107FNG")</f>
        <v>MC100E107FNG</v>
      </c>
      <c r="B17938" s="3" t="s">
        <v>74</v>
      </c>
      <c r="C17938" s="6">
        <v>397</v>
      </c>
      <c r="D17938" s="7">
        <v>12.66</v>
      </c>
      <c r="E17938" t="s">
        <v>27</v>
      </c>
    </row>
    <row r="17939" spans="1:5" x14ac:dyDescent="0.25">
      <c r="A17939" t="str">
        <f>HYPERLINK("https://www.773grp.com/globalSearch/MC100EL14DWR2/page-1", "MC100EL14DWR2")</f>
        <v>MC100EL14DWR2</v>
      </c>
      <c r="B17939" s="3" t="s">
        <v>74</v>
      </c>
      <c r="C17939" s="6">
        <v>2910</v>
      </c>
      <c r="D17939" s="7">
        <v>12.66</v>
      </c>
      <c r="E17939" t="s">
        <v>30</v>
      </c>
    </row>
    <row r="17940" spans="1:5" x14ac:dyDescent="0.25">
      <c r="A17940" t="str">
        <f>HYPERLINK("https://www.773grp.com/globalSearch/MC100EL91DWR2/page-1", "MC100EL91DWR2")</f>
        <v>MC100EL91DWR2</v>
      </c>
      <c r="B17940" s="3" t="s">
        <v>74</v>
      </c>
      <c r="C17940" s="6">
        <v>1000</v>
      </c>
      <c r="D17940" s="7">
        <v>12.66</v>
      </c>
      <c r="E17940" t="s">
        <v>61</v>
      </c>
    </row>
    <row r="17941" spans="1:5" x14ac:dyDescent="0.25">
      <c r="A17941" t="str">
        <f>HYPERLINK("https://www.773grp.com/globalSearch/MC100EP16TDG/page-1", "MC100EP16TDG")</f>
        <v>MC100EP16TDG</v>
      </c>
      <c r="B17941" s="3" t="s">
        <v>74</v>
      </c>
      <c r="C17941" s="6">
        <v>29059</v>
      </c>
      <c r="D17941" s="7">
        <v>12.66</v>
      </c>
      <c r="E17941" t="s">
        <v>17</v>
      </c>
    </row>
    <row r="17942" spans="1:5" x14ac:dyDescent="0.25">
      <c r="A17942" t="str">
        <f>HYPERLINK("https://www.773grp.com/globalSearch/MC100EP16TDTG/page-1", "MC100EP16TDTG")</f>
        <v>MC100EP16TDTG</v>
      </c>
      <c r="B17942" s="3" t="s">
        <v>74</v>
      </c>
      <c r="C17942" s="6">
        <v>9700</v>
      </c>
      <c r="D17942" s="7">
        <v>12.66</v>
      </c>
      <c r="E17942" t="s">
        <v>17</v>
      </c>
    </row>
    <row r="17943" spans="1:5" x14ac:dyDescent="0.25">
      <c r="A17943" t="str">
        <f>HYPERLINK("https://www.773grp.com/globalSearch/MC100EP16TDTR2/page-1", "MC100EP16TDTR2")</f>
        <v>MC100EP16TDTR2</v>
      </c>
      <c r="B17943" s="3" t="s">
        <v>74</v>
      </c>
      <c r="C17943" s="6">
        <v>15000</v>
      </c>
      <c r="D17943" s="7">
        <v>12.66</v>
      </c>
      <c r="E17943" t="s">
        <v>17</v>
      </c>
    </row>
    <row r="17944" spans="1:5" x14ac:dyDescent="0.25">
      <c r="A17944" t="str">
        <f>HYPERLINK("https://www.773grp.com/globalSearch/MC100EP16TMNR4G/page-1", "MC100EP16TMNR4G")</f>
        <v>MC100EP16TMNR4G</v>
      </c>
      <c r="B17944" s="3" t="s">
        <v>74</v>
      </c>
      <c r="C17944" s="6">
        <v>13750</v>
      </c>
      <c r="D17944" s="7">
        <v>12.66</v>
      </c>
      <c r="E17944" t="s">
        <v>17</v>
      </c>
    </row>
    <row r="17945" spans="1:5" x14ac:dyDescent="0.25">
      <c r="A17945" t="str">
        <f>HYPERLINK("https://www.773grp.com/globalSearch/MC100EP16VTDG/page-1", "MC100EP16VTDG")</f>
        <v>MC100EP16VTDG</v>
      </c>
      <c r="B17945" s="3" t="s">
        <v>74</v>
      </c>
      <c r="C17945" s="6">
        <v>542</v>
      </c>
      <c r="D17945" s="7">
        <v>12.66</v>
      </c>
      <c r="E17945" t="s">
        <v>17</v>
      </c>
    </row>
    <row r="17946" spans="1:5" x14ac:dyDescent="0.25">
      <c r="A17946" t="str">
        <f>HYPERLINK("https://www.773grp.com/globalSearch/MC100EP16VTDR2G/page-1", "MC100EP16VTDR2G")</f>
        <v>MC100EP16VTDR2G</v>
      </c>
      <c r="B17946" s="3" t="s">
        <v>74</v>
      </c>
      <c r="C17946" s="6">
        <v>12465</v>
      </c>
      <c r="D17946" s="7">
        <v>12.66</v>
      </c>
      <c r="E17946" t="s">
        <v>17</v>
      </c>
    </row>
    <row r="17947" spans="1:5" x14ac:dyDescent="0.25">
      <c r="A17947" t="str">
        <f>HYPERLINK("https://www.773grp.com/globalSearch/MC100EP16VTDTG/page-1", "MC100EP16VTDTG")</f>
        <v>MC100EP16VTDTG</v>
      </c>
      <c r="B17947" s="3" t="s">
        <v>74</v>
      </c>
      <c r="C17947" s="6">
        <v>5361</v>
      </c>
      <c r="D17947" s="7">
        <v>12.66</v>
      </c>
      <c r="E17947" t="s">
        <v>17</v>
      </c>
    </row>
    <row r="17948" spans="1:5" x14ac:dyDescent="0.25">
      <c r="A17948" t="str">
        <f>HYPERLINK("https://www.773grp.com/globalSearch/MC100EP16VTDTR2G/page-1", "MC100EP16VTDTR2G")</f>
        <v>MC100EP16VTDTR2G</v>
      </c>
      <c r="B17948" s="3" t="s">
        <v>74</v>
      </c>
      <c r="C17948" s="6">
        <v>7500</v>
      </c>
      <c r="D17948" s="7">
        <v>12.66</v>
      </c>
      <c r="E17948" t="s">
        <v>17</v>
      </c>
    </row>
    <row r="17949" spans="1:5" x14ac:dyDescent="0.25">
      <c r="A17949" t="str">
        <f>HYPERLINK("https://www.773grp.com/globalSearch/MC100EP56DTG/page-1", "MC100EP56DTG")</f>
        <v>MC100EP56DTG</v>
      </c>
      <c r="B17949" s="3" t="s">
        <v>74</v>
      </c>
      <c r="C17949" s="6">
        <v>1650</v>
      </c>
      <c r="D17949" s="7">
        <v>12.66</v>
      </c>
    </row>
    <row r="17950" spans="1:5" x14ac:dyDescent="0.25">
      <c r="A17950" t="str">
        <f>HYPERLINK("https://www.773grp.com/globalSearch/MC100EP56DTR2G/page-1", "MC100EP56DTR2G")</f>
        <v>MC100EP56DTR2G</v>
      </c>
      <c r="B17950" s="3" t="s">
        <v>74</v>
      </c>
      <c r="C17950" s="6">
        <v>5000</v>
      </c>
      <c r="D17950" s="7">
        <v>12.66</v>
      </c>
    </row>
    <row r="17951" spans="1:5" x14ac:dyDescent="0.25">
      <c r="A17951" t="str">
        <f>HYPERLINK("https://www.773grp.com/globalSearch/MC100H646FNG/page-1", "MC100H646FNG")</f>
        <v>MC100H646FNG</v>
      </c>
      <c r="B17951" s="3" t="s">
        <v>74</v>
      </c>
      <c r="C17951" s="6">
        <v>29</v>
      </c>
      <c r="D17951" s="7">
        <v>12.66</v>
      </c>
      <c r="E17951" t="s">
        <v>30</v>
      </c>
    </row>
    <row r="17952" spans="1:5" x14ac:dyDescent="0.25">
      <c r="A17952" t="str">
        <f>HYPERLINK("https://www.773grp.com/globalSearch/MC100H646FNR2G/page-1", "MC100H646FNR2G")</f>
        <v>MC100H646FNR2G</v>
      </c>
      <c r="B17952" s="3" t="s">
        <v>74</v>
      </c>
      <c r="C17952" s="6">
        <v>3650</v>
      </c>
      <c r="D17952" s="7">
        <v>12.66</v>
      </c>
      <c r="E17952" t="s">
        <v>30</v>
      </c>
    </row>
    <row r="17953" spans="1:5" x14ac:dyDescent="0.25">
      <c r="A17953" t="str">
        <f>HYPERLINK("https://www.773grp.com/globalSearch/MC100LVEL14DW/page-1", "MC100LVEL14DW")</f>
        <v>MC100LVEL14DW</v>
      </c>
      <c r="B17953" s="3" t="s">
        <v>74</v>
      </c>
      <c r="C17953" s="6">
        <v>2422</v>
      </c>
      <c r="D17953" s="7">
        <v>12.66</v>
      </c>
    </row>
    <row r="17954" spans="1:5" x14ac:dyDescent="0.25">
      <c r="A17954" t="str">
        <f>HYPERLINK("https://www.773grp.com/globalSearch/MC100LVEL90DW/page-1", "MC100LVEL90DW")</f>
        <v>MC100LVEL90DW</v>
      </c>
      <c r="B17954" s="3" t="s">
        <v>74</v>
      </c>
      <c r="C17954" s="6">
        <v>5875</v>
      </c>
      <c r="D17954" s="7">
        <v>12.66</v>
      </c>
      <c r="E17954" t="s">
        <v>61</v>
      </c>
    </row>
    <row r="17955" spans="1:5" x14ac:dyDescent="0.25">
      <c r="A17955" t="str">
        <f>HYPERLINK("https://www.773grp.com/globalSearch/MC100LVEL90DWR2/page-1", "MC100LVEL90DWR2")</f>
        <v>MC100LVEL90DWR2</v>
      </c>
      <c r="B17955" s="3" t="s">
        <v>74</v>
      </c>
      <c r="C17955" s="6">
        <v>1698</v>
      </c>
      <c r="D17955" s="7">
        <v>12.66</v>
      </c>
      <c r="E17955" t="s">
        <v>61</v>
      </c>
    </row>
    <row r="17956" spans="1:5" x14ac:dyDescent="0.25">
      <c r="A17956" t="str">
        <f>HYPERLINK("https://www.773grp.com/globalSearch/MC10EP16TDG/page-1", "MC10EP16TDG")</f>
        <v>MC10EP16TDG</v>
      </c>
      <c r="B17956" s="3" t="s">
        <v>74</v>
      </c>
      <c r="C17956" s="6">
        <v>1208</v>
      </c>
      <c r="D17956" s="7">
        <v>12.66</v>
      </c>
      <c r="E17956" t="s">
        <v>17</v>
      </c>
    </row>
    <row r="17957" spans="1:5" x14ac:dyDescent="0.25">
      <c r="A17957" t="str">
        <f>HYPERLINK("https://www.773grp.com/globalSearch/MC10EP16TDR2G/page-1", "MC10EP16TDR2G")</f>
        <v>MC10EP16TDR2G</v>
      </c>
      <c r="B17957" s="3" t="s">
        <v>74</v>
      </c>
      <c r="C17957" s="6">
        <v>15000</v>
      </c>
      <c r="D17957" s="7">
        <v>12.66</v>
      </c>
      <c r="E17957" t="s">
        <v>17</v>
      </c>
    </row>
    <row r="17958" spans="1:5" x14ac:dyDescent="0.25">
      <c r="A17958" t="str">
        <f>HYPERLINK("https://www.773grp.com/globalSearch/MC10EP16TDTG/page-1", "MC10EP16TDTG")</f>
        <v>MC10EP16TDTG</v>
      </c>
      <c r="B17958" s="3" t="s">
        <v>74</v>
      </c>
      <c r="C17958" s="6">
        <v>2755</v>
      </c>
      <c r="D17958" s="7">
        <v>12.66</v>
      </c>
      <c r="E17958" t="s">
        <v>17</v>
      </c>
    </row>
    <row r="17959" spans="1:5" x14ac:dyDescent="0.25">
      <c r="A17959" t="str">
        <f>HYPERLINK("https://www.773grp.com/globalSearch/MC10EP16TDTR2G/page-1", "MC10EP16TDTR2G")</f>
        <v>MC10EP16TDTR2G</v>
      </c>
      <c r="B17959" s="3" t="s">
        <v>74</v>
      </c>
      <c r="C17959" s="6">
        <v>2361</v>
      </c>
      <c r="D17959" s="7">
        <v>12.66</v>
      </c>
      <c r="E17959" t="s">
        <v>17</v>
      </c>
    </row>
    <row r="17960" spans="1:5" x14ac:dyDescent="0.25">
      <c r="A17960" t="str">
        <f>HYPERLINK("https://www.773grp.com/globalSearch/MC10H641FNG/page-1", "MC10H641FNG")</f>
        <v>MC10H641FNG</v>
      </c>
      <c r="B17960" s="3" t="s">
        <v>74</v>
      </c>
      <c r="C17960" s="6">
        <v>929</v>
      </c>
      <c r="D17960" s="7">
        <v>12.66</v>
      </c>
      <c r="E17960" t="s">
        <v>30</v>
      </c>
    </row>
    <row r="17961" spans="1:5" x14ac:dyDescent="0.25">
      <c r="A17961" t="str">
        <f>HYPERLINK("https://www.773grp.com/globalSearch/MC10H641FNR2G/page-1", "MC10H641FNR2G")</f>
        <v>MC10H641FNR2G</v>
      </c>
      <c r="B17961" s="3" t="s">
        <v>74</v>
      </c>
      <c r="C17961" s="6">
        <v>2512</v>
      </c>
      <c r="D17961" s="7">
        <v>12.66</v>
      </c>
      <c r="E17961" t="s">
        <v>30</v>
      </c>
    </row>
    <row r="17962" spans="1:5" x14ac:dyDescent="0.25">
      <c r="A17962" t="str">
        <f>HYPERLINK("https://www.773grp.com/globalSearch/MC10H646FNG/page-1", "MC10H646FNG")</f>
        <v>MC10H646FNG</v>
      </c>
      <c r="B17962" s="3" t="s">
        <v>74</v>
      </c>
      <c r="C17962" s="6">
        <v>663</v>
      </c>
      <c r="D17962" s="7">
        <v>12.66</v>
      </c>
      <c r="E17962" t="s">
        <v>30</v>
      </c>
    </row>
    <row r="17963" spans="1:5" x14ac:dyDescent="0.25">
      <c r="A17963" t="str">
        <f>HYPERLINK("https://www.773grp.com/globalSearch/MC10H646FNR2G/page-1", "MC10H646FNR2G")</f>
        <v>MC10H646FNR2G</v>
      </c>
      <c r="B17963" s="3" t="s">
        <v>74</v>
      </c>
      <c r="C17963" s="6">
        <v>19</v>
      </c>
      <c r="D17963" s="7">
        <v>12.66</v>
      </c>
      <c r="E17963" t="s">
        <v>30</v>
      </c>
    </row>
    <row r="17964" spans="1:5" x14ac:dyDescent="0.25">
      <c r="A17964" t="str">
        <f>HYPERLINK("https://www.773grp.com/globalSearch/NB7L14MNG/page-1", "NB7L14MNG")</f>
        <v>NB7L14MNG</v>
      </c>
      <c r="B17964" s="3" t="s">
        <v>74</v>
      </c>
      <c r="C17964" s="6">
        <v>624</v>
      </c>
      <c r="D17964" s="7">
        <v>12.66</v>
      </c>
      <c r="E17964" t="s">
        <v>30</v>
      </c>
    </row>
    <row r="17965" spans="1:5" x14ac:dyDescent="0.25">
      <c r="A17965" t="str">
        <f>HYPERLINK("https://www.773grp.com/globalSearch/NBXDBA012LN1TAG/page-1", "NBXDBA012LN1TAG")</f>
        <v>NBXDBA012LN1TAG</v>
      </c>
      <c r="B17965" s="3" t="s">
        <v>74</v>
      </c>
      <c r="C17965" s="6">
        <v>1910</v>
      </c>
      <c r="D17965" s="7">
        <v>12.66</v>
      </c>
    </row>
    <row r="17966" spans="1:5" x14ac:dyDescent="0.25">
      <c r="A17966" t="str">
        <f>HYPERLINK("https://www.773grp.com/globalSearch/NBXDBA014LN1TAG/page-1", "NBXDBA014LN1TAG")</f>
        <v>NBXDBA014LN1TAG</v>
      </c>
      <c r="B17966" s="3" t="s">
        <v>74</v>
      </c>
      <c r="C17966" s="6">
        <v>13679</v>
      </c>
      <c r="D17966" s="7">
        <v>12.66</v>
      </c>
      <c r="E17966" t="s">
        <v>65</v>
      </c>
    </row>
    <row r="17967" spans="1:5" x14ac:dyDescent="0.25">
      <c r="A17967" t="str">
        <f>HYPERLINK("https://www.773grp.com/globalSearch/NBXDBA014LNHTAG/page-1", "NBXDBA014LNHTAG")</f>
        <v>NBXDBA014LNHTAG</v>
      </c>
      <c r="B17967" s="3" t="s">
        <v>74</v>
      </c>
      <c r="C17967" s="6">
        <v>30</v>
      </c>
      <c r="D17967" s="7">
        <v>12.66</v>
      </c>
    </row>
    <row r="17968" spans="1:5" x14ac:dyDescent="0.25">
      <c r="A17968" t="str">
        <f>HYPERLINK("https://www.773grp.com/globalSearch/NBXDBA015LN1TAG/page-1", "NBXDBA015LN1TAG")</f>
        <v>NBXDBA015LN1TAG</v>
      </c>
      <c r="B17968" s="3" t="s">
        <v>74</v>
      </c>
      <c r="C17968" s="6">
        <v>2389</v>
      </c>
      <c r="D17968" s="7">
        <v>12.66</v>
      </c>
      <c r="E17968" t="s">
        <v>65</v>
      </c>
    </row>
    <row r="17969" spans="1:5" x14ac:dyDescent="0.25">
      <c r="A17969" t="str">
        <f>HYPERLINK("https://www.773grp.com/globalSearch/NBXDBA015LNHTAG/page-1", "NBXDBA015LNHTAG")</f>
        <v>NBXDBA015LNHTAG</v>
      </c>
      <c r="B17969" s="3" t="s">
        <v>74</v>
      </c>
      <c r="C17969" s="6">
        <v>134</v>
      </c>
      <c r="D17969" s="7">
        <v>12.66</v>
      </c>
      <c r="E17969" t="s">
        <v>65</v>
      </c>
    </row>
    <row r="17970" spans="1:5" x14ac:dyDescent="0.25">
      <c r="A17970" t="str">
        <f>HYPERLINK("https://www.773grp.com/globalSearch/NBXDBA017LN1TAG/page-1", "NBXDBA017LN1TAG")</f>
        <v>NBXDBA017LN1TAG</v>
      </c>
      <c r="B17970" s="3" t="s">
        <v>74</v>
      </c>
      <c r="C17970" s="6">
        <v>19862</v>
      </c>
      <c r="D17970" s="7">
        <v>12.66</v>
      </c>
      <c r="E17970" t="s">
        <v>65</v>
      </c>
    </row>
    <row r="17971" spans="1:5" x14ac:dyDescent="0.25">
      <c r="A17971" t="str">
        <f>HYPERLINK("https://www.773grp.com/globalSearch/NBXDBA017LNHTAG/page-1", "NBXDBA017LNHTAG")</f>
        <v>NBXDBA017LNHTAG</v>
      </c>
      <c r="B17971" s="3" t="s">
        <v>74</v>
      </c>
      <c r="C17971" s="6">
        <v>16</v>
      </c>
      <c r="D17971" s="7">
        <v>12.66</v>
      </c>
      <c r="E17971" t="s">
        <v>65</v>
      </c>
    </row>
    <row r="17972" spans="1:5" x14ac:dyDescent="0.25">
      <c r="A17972" t="str">
        <f>HYPERLINK("https://www.773grp.com/globalSearch/NBXDBA018LN1TAG/page-1", "NBXDBA018LN1TAG")</f>
        <v>NBXDBA018LN1TAG</v>
      </c>
      <c r="B17972" s="3" t="s">
        <v>74</v>
      </c>
      <c r="C17972" s="6">
        <v>3496</v>
      </c>
      <c r="D17972" s="7">
        <v>12.66</v>
      </c>
      <c r="E17972" t="s">
        <v>65</v>
      </c>
    </row>
    <row r="17973" spans="1:5" x14ac:dyDescent="0.25">
      <c r="A17973" t="str">
        <f>HYPERLINK("https://www.773grp.com/globalSearch/NBXDBA019LN1TAG/page-1", "NBXDBA019LN1TAG")</f>
        <v>NBXDBA019LN1TAG</v>
      </c>
      <c r="B17973" s="3" t="s">
        <v>74</v>
      </c>
      <c r="C17973" s="6">
        <v>14131</v>
      </c>
      <c r="D17973" s="7">
        <v>12.66</v>
      </c>
      <c r="E17973" t="s">
        <v>65</v>
      </c>
    </row>
    <row r="17974" spans="1:5" x14ac:dyDescent="0.25">
      <c r="A17974" t="str">
        <f>HYPERLINK("https://www.773grp.com/globalSearch/NBXDBA019LNHTAG/page-1", "NBXDBA019LNHTAG")</f>
        <v>NBXDBA019LNHTAG</v>
      </c>
      <c r="B17974" s="3" t="s">
        <v>74</v>
      </c>
      <c r="C17974" s="6">
        <v>343</v>
      </c>
      <c r="D17974" s="7">
        <v>12.66</v>
      </c>
      <c r="E17974" t="s">
        <v>65</v>
      </c>
    </row>
    <row r="17975" spans="1:5" x14ac:dyDescent="0.25">
      <c r="A17975" t="str">
        <f>HYPERLINK("https://www.773grp.com/globalSearch/NBXDDA016LN1TAG/page-1", "NBXDDA016LN1TAG")</f>
        <v>NBXDDA016LN1TAG</v>
      </c>
      <c r="B17975" s="3" t="s">
        <v>74</v>
      </c>
      <c r="C17975" s="6">
        <v>621</v>
      </c>
      <c r="D17975" s="7">
        <v>12.66</v>
      </c>
      <c r="E17975" t="s">
        <v>65</v>
      </c>
    </row>
    <row r="17976" spans="1:5" x14ac:dyDescent="0.25">
      <c r="A17976" t="str">
        <f>HYPERLINK("https://www.773grp.com/globalSearch/NBXDDA016LNHTAG/page-1", "NBXDDA016LNHTAG")</f>
        <v>NBXDDA016LNHTAG</v>
      </c>
      <c r="B17976" s="3" t="s">
        <v>74</v>
      </c>
      <c r="C17976" s="6">
        <v>953</v>
      </c>
      <c r="D17976" s="7">
        <v>12.66</v>
      </c>
      <c r="E17976" t="s">
        <v>65</v>
      </c>
    </row>
    <row r="17977" spans="1:5" x14ac:dyDescent="0.25">
      <c r="A17977" t="str">
        <f>HYPERLINK("https://www.773grp.com/globalSearch/NBXDPA018LNHTAG/page-1", "NBXDPA018LNHTAG")</f>
        <v>NBXDPA018LNHTAG</v>
      </c>
      <c r="B17977" s="3" t="s">
        <v>74</v>
      </c>
      <c r="C17977" s="6">
        <v>395</v>
      </c>
      <c r="D17977" s="7">
        <v>12.66</v>
      </c>
    </row>
    <row r="17978" spans="1:5" x14ac:dyDescent="0.25">
      <c r="A17978" t="str">
        <f>HYPERLINK("https://www.773grp.com/globalSearch/NBXHBA017LN1TAG/page-1", "NBXHBA017LN1TAG")</f>
        <v>NBXHBA017LN1TAG</v>
      </c>
      <c r="B17978" s="3" t="s">
        <v>74</v>
      </c>
      <c r="C17978" s="6">
        <v>2091</v>
      </c>
      <c r="D17978" s="7">
        <v>12.66</v>
      </c>
      <c r="E17978" t="s">
        <v>65</v>
      </c>
    </row>
    <row r="17979" spans="1:5" x14ac:dyDescent="0.25">
      <c r="A17979" t="str">
        <f>HYPERLINK("https://www.773grp.com/globalSearch/NBXHBA017LNHTAG/page-1", "NBXHBA017LNHTAG")</f>
        <v>NBXHBA017LNHTAG</v>
      </c>
      <c r="B17979" s="3" t="s">
        <v>74</v>
      </c>
      <c r="C17979" s="6">
        <v>478</v>
      </c>
      <c r="D17979" s="7">
        <v>12.66</v>
      </c>
      <c r="E17979" t="s">
        <v>65</v>
      </c>
    </row>
    <row r="17980" spans="1:5" x14ac:dyDescent="0.25">
      <c r="A17980" t="str">
        <f>HYPERLINK("https://www.773grp.com/globalSearch/NBXHBA019LN1TAG/page-1", "NBXHBA019LN1TAG")</f>
        <v>NBXHBA019LN1TAG</v>
      </c>
      <c r="B17980" s="3" t="s">
        <v>74</v>
      </c>
      <c r="C17980" s="6">
        <v>6330</v>
      </c>
      <c r="D17980" s="7">
        <v>12.66</v>
      </c>
      <c r="E17980" t="s">
        <v>65</v>
      </c>
    </row>
    <row r="17981" spans="1:5" x14ac:dyDescent="0.25">
      <c r="A17981" t="str">
        <f>HYPERLINK("https://www.773grp.com/globalSearch/NBXMBA024LNHTAG/page-1", "NBXMBA024LNHTAG")</f>
        <v>NBXMBA024LNHTAG</v>
      </c>
      <c r="B17981" s="3" t="s">
        <v>74</v>
      </c>
      <c r="C17981" s="6">
        <v>247</v>
      </c>
      <c r="D17981" s="7">
        <v>12.66</v>
      </c>
      <c r="E17981" t="s">
        <v>100</v>
      </c>
    </row>
    <row r="17982" spans="1:5" x14ac:dyDescent="0.25">
      <c r="A17982" t="str">
        <f>HYPERLINK("https://www.773grp.com/globalSearch/NBXSBA007LN1TAG/page-1", "NBXSBA007LN1TAG")</f>
        <v>NBXSBA007LN1TAG</v>
      </c>
      <c r="B17982" s="3" t="s">
        <v>74</v>
      </c>
      <c r="C17982" s="6">
        <v>1883</v>
      </c>
      <c r="D17982" s="7">
        <v>12.66</v>
      </c>
    </row>
    <row r="17983" spans="1:5" x14ac:dyDescent="0.25">
      <c r="A17983" t="str">
        <f>HYPERLINK("https://www.773grp.com/globalSearch/NBXSBA007LNHTAG/page-1", "NBXSBA007LNHTAG")</f>
        <v>NBXSBA007LNHTAG</v>
      </c>
      <c r="B17983" s="3" t="s">
        <v>74</v>
      </c>
      <c r="C17983" s="6">
        <v>995</v>
      </c>
      <c r="D17983" s="7">
        <v>12.66</v>
      </c>
      <c r="E17983" t="s">
        <v>65</v>
      </c>
    </row>
    <row r="17984" spans="1:5" x14ac:dyDescent="0.25">
      <c r="A17984" t="str">
        <f>HYPERLINK("https://www.773grp.com/globalSearch/NBXSBA008LN1TAG/page-1", "NBXSBA008LN1TAG")</f>
        <v>NBXSBA008LN1TAG</v>
      </c>
      <c r="B17984" s="3" t="s">
        <v>74</v>
      </c>
      <c r="C17984" s="6">
        <v>6833</v>
      </c>
      <c r="D17984" s="7">
        <v>12.66</v>
      </c>
      <c r="E17984" t="s">
        <v>65</v>
      </c>
    </row>
    <row r="17985" spans="1:5" x14ac:dyDescent="0.25">
      <c r="A17985" t="str">
        <f>HYPERLINK("https://www.773grp.com/globalSearch/NBXSBA008LNHTAG/page-1", "NBXSBA008LNHTAG")</f>
        <v>NBXSBA008LNHTAG</v>
      </c>
      <c r="B17985" s="3" t="s">
        <v>74</v>
      </c>
      <c r="C17985" s="6">
        <v>400</v>
      </c>
      <c r="D17985" s="7">
        <v>12.66</v>
      </c>
      <c r="E17985" t="s">
        <v>65</v>
      </c>
    </row>
    <row r="17986" spans="1:5" x14ac:dyDescent="0.25">
      <c r="A17986" t="str">
        <f>HYPERLINK("https://www.773grp.com/globalSearch/NBXSBA010LN1TAG/page-1", "NBXSBA010LN1TAG")</f>
        <v>NBXSBA010LN1TAG</v>
      </c>
      <c r="B17986" s="3" t="s">
        <v>74</v>
      </c>
      <c r="C17986" s="6">
        <v>10791</v>
      </c>
      <c r="D17986" s="7">
        <v>12.66</v>
      </c>
      <c r="E17986" t="s">
        <v>100</v>
      </c>
    </row>
    <row r="17987" spans="1:5" x14ac:dyDescent="0.25">
      <c r="A17987" t="str">
        <f>HYPERLINK("https://www.773grp.com/globalSearch/NBXSBA010LNHTAG/page-1", "NBXSBA010LNHTAG")</f>
        <v>NBXSBA010LNHTAG</v>
      </c>
      <c r="B17987" s="3" t="s">
        <v>74</v>
      </c>
      <c r="C17987" s="6">
        <v>308</v>
      </c>
      <c r="D17987" s="7">
        <v>12.66</v>
      </c>
      <c r="E17987" t="s">
        <v>100</v>
      </c>
    </row>
    <row r="17988" spans="1:5" x14ac:dyDescent="0.25">
      <c r="A17988" t="str">
        <f>HYPERLINK("https://www.773grp.com/globalSearch/NBXSBA017LNHTAG/page-1", "NBXSBA017LNHTAG")</f>
        <v>NBXSBA017LNHTAG</v>
      </c>
      <c r="B17988" s="3" t="s">
        <v>74</v>
      </c>
      <c r="C17988" s="6">
        <v>730</v>
      </c>
      <c r="D17988" s="7">
        <v>12.66</v>
      </c>
      <c r="E17988" t="s">
        <v>65</v>
      </c>
    </row>
    <row r="17989" spans="1:5" x14ac:dyDescent="0.25">
      <c r="A17989" t="str">
        <f>HYPERLINK("https://www.773grp.com/globalSearch/NBXSBA019LN1TAG/page-1", "NBXSBA019LN1TAG")</f>
        <v>NBXSBA019LN1TAG</v>
      </c>
      <c r="B17989" s="3" t="s">
        <v>74</v>
      </c>
      <c r="C17989" s="6">
        <v>11784</v>
      </c>
      <c r="D17989" s="7">
        <v>12.66</v>
      </c>
      <c r="E17989" t="s">
        <v>65</v>
      </c>
    </row>
    <row r="17990" spans="1:5" x14ac:dyDescent="0.25">
      <c r="A17990" t="str">
        <f>HYPERLINK("https://www.773grp.com/globalSearch/NBXSBA019LNHTAG/page-1", "NBXSBA019LNHTAG")</f>
        <v>NBXSBA019LNHTAG</v>
      </c>
      <c r="B17990" s="3" t="s">
        <v>74</v>
      </c>
      <c r="C17990" s="6">
        <v>1600</v>
      </c>
      <c r="D17990" s="7">
        <v>12.66</v>
      </c>
      <c r="E17990" t="s">
        <v>65</v>
      </c>
    </row>
    <row r="17991" spans="1:5" x14ac:dyDescent="0.25">
      <c r="A17991" t="str">
        <f>HYPERLINK("https://www.773grp.com/globalSearch/NBXSBA020LN1TAG/page-1", "NBXSBA020LN1TAG")</f>
        <v>NBXSBA020LN1TAG</v>
      </c>
      <c r="B17991" s="3" t="s">
        <v>74</v>
      </c>
      <c r="C17991" s="6">
        <v>10172</v>
      </c>
      <c r="D17991" s="7">
        <v>12.66</v>
      </c>
      <c r="E17991" t="s">
        <v>65</v>
      </c>
    </row>
    <row r="17992" spans="1:5" x14ac:dyDescent="0.25">
      <c r="A17992" t="str">
        <f>HYPERLINK("https://www.773grp.com/globalSearch/NBXSBA021LN1TAG/page-1", "NBXSBA021LN1TAG")</f>
        <v>NBXSBA021LN1TAG</v>
      </c>
      <c r="B17992" s="3" t="s">
        <v>74</v>
      </c>
      <c r="C17992" s="6">
        <v>17941</v>
      </c>
      <c r="D17992" s="7">
        <v>12.66</v>
      </c>
      <c r="E17992" t="s">
        <v>65</v>
      </c>
    </row>
    <row r="17993" spans="1:5" x14ac:dyDescent="0.25">
      <c r="A17993" t="str">
        <f>HYPERLINK("https://www.773grp.com/globalSearch/NBXSBA021LNHTAG/page-1", "NBXSBA021LNHTAG")</f>
        <v>NBXSBA021LNHTAG</v>
      </c>
      <c r="B17993" s="3" t="s">
        <v>74</v>
      </c>
      <c r="C17993" s="6">
        <v>800</v>
      </c>
      <c r="D17993" s="7">
        <v>12.66</v>
      </c>
      <c r="E17993" t="s">
        <v>65</v>
      </c>
    </row>
    <row r="17994" spans="1:5" x14ac:dyDescent="0.25">
      <c r="A17994" t="str">
        <f>HYPERLINK("https://www.773grp.com/globalSearch/NBXSBA022LN1TAG/page-1", "NBXSBA022LN1TAG")</f>
        <v>NBXSBA022LN1TAG</v>
      </c>
      <c r="B17994" s="3" t="s">
        <v>74</v>
      </c>
      <c r="C17994" s="6">
        <v>2000</v>
      </c>
      <c r="D17994" s="7">
        <v>12.66</v>
      </c>
    </row>
    <row r="17995" spans="1:5" x14ac:dyDescent="0.25">
      <c r="A17995" t="str">
        <f>HYPERLINK("https://www.773grp.com/globalSearch/NBXSBA022LNHTAG/page-1", "NBXSBA022LNHTAG")</f>
        <v>NBXSBA022LNHTAG</v>
      </c>
      <c r="B17995" s="3" t="s">
        <v>74</v>
      </c>
      <c r="C17995" s="6">
        <v>400</v>
      </c>
      <c r="D17995" s="7">
        <v>12.66</v>
      </c>
    </row>
    <row r="17996" spans="1:5" x14ac:dyDescent="0.25">
      <c r="A17996" t="str">
        <f>HYPERLINK("https://www.773grp.com/globalSearch/NBXSBA023LN1TAG/page-1", "NBXSBA023LN1TAG")</f>
        <v>NBXSBA023LN1TAG</v>
      </c>
      <c r="B17996" s="3" t="s">
        <v>74</v>
      </c>
      <c r="C17996" s="6">
        <v>753</v>
      </c>
      <c r="D17996" s="7">
        <v>12.66</v>
      </c>
    </row>
    <row r="17997" spans="1:5" x14ac:dyDescent="0.25">
      <c r="A17997" t="str">
        <f>HYPERLINK("https://www.773grp.com/globalSearch/NBXSBA023LNHTAG/page-1", "NBXSBA023LNHTAG")</f>
        <v>NBXSBA023LNHTAG</v>
      </c>
      <c r="B17997" s="3" t="s">
        <v>74</v>
      </c>
      <c r="C17997" s="6">
        <v>600</v>
      </c>
      <c r="D17997" s="7">
        <v>12.66</v>
      </c>
      <c r="E17997" t="s">
        <v>65</v>
      </c>
    </row>
    <row r="17998" spans="1:5" x14ac:dyDescent="0.25">
      <c r="A17998" t="str">
        <f>HYPERLINK("https://www.773grp.com/globalSearch/NBXSBA024LN1TAG/page-1", "NBXSBA024LN1TAG")</f>
        <v>NBXSBA024LN1TAG</v>
      </c>
      <c r="B17998" s="3" t="s">
        <v>74</v>
      </c>
      <c r="C17998" s="6">
        <v>819</v>
      </c>
      <c r="D17998" s="7">
        <v>12.66</v>
      </c>
    </row>
    <row r="17999" spans="1:5" x14ac:dyDescent="0.25">
      <c r="A17999" t="str">
        <f>HYPERLINK("https://www.773grp.com/globalSearch/NBXSBA024LNHTAG/page-1", "NBXSBA024LNHTAG")</f>
        <v>NBXSBA024LNHTAG</v>
      </c>
      <c r="B17999" s="3" t="s">
        <v>74</v>
      </c>
      <c r="C17999" s="6">
        <v>232</v>
      </c>
      <c r="D17999" s="7">
        <v>12.66</v>
      </c>
      <c r="E17999" t="s">
        <v>100</v>
      </c>
    </row>
    <row r="18000" spans="1:5" x14ac:dyDescent="0.25">
      <c r="A18000" t="str">
        <f>HYPERLINK("https://www.773grp.com/globalSearch/NBXSBA025LNHTAG/page-1", "NBXSBA025LNHTAG")</f>
        <v>NBXSBA025LNHTAG</v>
      </c>
      <c r="B18000" s="3" t="s">
        <v>74</v>
      </c>
      <c r="C18000" s="6">
        <v>100</v>
      </c>
      <c r="D18000" s="7">
        <v>12.66</v>
      </c>
    </row>
    <row r="18001" spans="1:5" x14ac:dyDescent="0.25">
      <c r="A18001" t="str">
        <f>HYPERLINK("https://www.773grp.com/globalSearch/NBXSBA031LN1TAG/page-1", "NBXSBA031LN1TAG")</f>
        <v>NBXSBA031LN1TAG</v>
      </c>
      <c r="B18001" s="3" t="s">
        <v>74</v>
      </c>
      <c r="C18001" s="6">
        <v>3000</v>
      </c>
      <c r="D18001" s="7">
        <v>12.66</v>
      </c>
      <c r="E18001" t="s">
        <v>100</v>
      </c>
    </row>
    <row r="18002" spans="1:5" x14ac:dyDescent="0.25">
      <c r="A18002" t="str">
        <f>HYPERLINK("https://www.773grp.com/globalSearch/NBXSBA031LNHTAG/page-1", "NBXSBA031LNHTAG")</f>
        <v>NBXSBA031LNHTAG</v>
      </c>
      <c r="B18002" s="3" t="s">
        <v>74</v>
      </c>
      <c r="C18002" s="6">
        <v>287</v>
      </c>
      <c r="D18002" s="7">
        <v>12.66</v>
      </c>
      <c r="E18002" t="s">
        <v>100</v>
      </c>
    </row>
    <row r="18003" spans="1:5" x14ac:dyDescent="0.25">
      <c r="A18003" t="str">
        <f>HYPERLINK("https://www.773grp.com/globalSearch/NBXSBA045LN1TAG/page-1", "NBXSBA045LN1TAG")</f>
        <v>NBXSBA045LN1TAG</v>
      </c>
      <c r="B18003" s="3" t="s">
        <v>74</v>
      </c>
      <c r="C18003" s="6">
        <v>7930</v>
      </c>
      <c r="D18003" s="7">
        <v>12.66</v>
      </c>
    </row>
    <row r="18004" spans="1:5" x14ac:dyDescent="0.25">
      <c r="A18004" t="str">
        <f>HYPERLINK("https://www.773grp.com/globalSearch/NBXSBA045LNHTAG/page-1", "NBXSBA045LNHTAG")</f>
        <v>NBXSBA045LNHTAG</v>
      </c>
      <c r="B18004" s="3" t="s">
        <v>74</v>
      </c>
      <c r="C18004" s="6">
        <v>775</v>
      </c>
      <c r="D18004" s="7">
        <v>12.66</v>
      </c>
      <c r="E18004" t="s">
        <v>65</v>
      </c>
    </row>
    <row r="18005" spans="1:5" x14ac:dyDescent="0.25">
      <c r="A18005" t="str">
        <f>HYPERLINK("https://www.773grp.com/globalSearch/NBXSBA046LNHTAG/page-1", "NBXSBA046LNHTAG")</f>
        <v>NBXSBA046LNHTAG</v>
      </c>
      <c r="B18005" s="3" t="s">
        <v>74</v>
      </c>
      <c r="C18005" s="6">
        <v>1300</v>
      </c>
      <c r="D18005" s="7">
        <v>12.66</v>
      </c>
      <c r="E18005" t="s">
        <v>65</v>
      </c>
    </row>
    <row r="18006" spans="1:5" x14ac:dyDescent="0.25">
      <c r="A18006" t="str">
        <f>HYPERLINK("https://www.773grp.com/globalSearch/STK404-120N-E/page-1", "STK404-120N-E")</f>
        <v>STK404-120N-E</v>
      </c>
      <c r="B18006" s="3" t="s">
        <v>74</v>
      </c>
      <c r="C18006" s="6">
        <v>25</v>
      </c>
      <c r="D18006" s="7">
        <v>12.66</v>
      </c>
    </row>
    <row r="18007" spans="1:5" x14ac:dyDescent="0.25">
      <c r="A18007" t="str">
        <f>HYPERLINK("https://www.773grp.com/globalSearch/STK681-352-E/page-1", "STK681-352-E")</f>
        <v>STK681-352-E</v>
      </c>
      <c r="B18007" s="3" t="s">
        <v>74</v>
      </c>
      <c r="C18007" s="6">
        <v>40</v>
      </c>
      <c r="D18007" s="7">
        <v>12.66</v>
      </c>
    </row>
    <row r="18008" spans="1:5" x14ac:dyDescent="0.25">
      <c r="A18008" t="str">
        <f>HYPERLINK("https://www.773grp.com/globalSearch/MC10137P/page-1", "MC10137P")</f>
        <v>MC10137P</v>
      </c>
      <c r="B18008" s="3" t="s">
        <v>74</v>
      </c>
      <c r="C18008" s="6">
        <v>87</v>
      </c>
      <c r="D18008" s="7">
        <v>12.71</v>
      </c>
      <c r="E18008" t="s">
        <v>22</v>
      </c>
    </row>
    <row r="18009" spans="1:5" x14ac:dyDescent="0.25">
      <c r="A18009" t="str">
        <f>HYPERLINK("https://www.773grp.com/globalSearch/NB100LVEP222FA/page-1", "NB100LVEP222FA")</f>
        <v>NB100LVEP222FA</v>
      </c>
      <c r="B18009" s="3" t="s">
        <v>74</v>
      </c>
      <c r="C18009" s="6">
        <v>2767</v>
      </c>
      <c r="D18009" s="7">
        <v>12.74</v>
      </c>
      <c r="E18009" t="s">
        <v>30</v>
      </c>
    </row>
    <row r="18010" spans="1:5" x14ac:dyDescent="0.25">
      <c r="A18010" t="str">
        <f>HYPERLINK("https://www.773grp.com/globalSearch/N08L63W2AB27I/page-1", "N08L63W2AB27I")</f>
        <v>N08L63W2AB27I</v>
      </c>
      <c r="B18010" s="3" t="s">
        <v>74</v>
      </c>
      <c r="C18010" s="6">
        <v>11264</v>
      </c>
      <c r="D18010" s="7">
        <v>12.83</v>
      </c>
      <c r="E18010" t="s">
        <v>63</v>
      </c>
    </row>
    <row r="18011" spans="1:5" x14ac:dyDescent="0.25">
      <c r="A18011" t="str">
        <f>HYPERLINK("https://www.773grp.com/globalSearch/MC74F3893AFN/page-1", "MC74F3893AFN")</f>
        <v>MC74F3893AFN</v>
      </c>
      <c r="B18011" s="3" t="s">
        <v>74</v>
      </c>
      <c r="C18011" s="6">
        <v>5693</v>
      </c>
      <c r="D18011" s="7">
        <v>12.91</v>
      </c>
      <c r="E18011" t="s">
        <v>11</v>
      </c>
    </row>
    <row r="18012" spans="1:5" x14ac:dyDescent="0.25">
      <c r="A18012" t="str">
        <f>HYPERLINK("https://www.773grp.com/globalSearch/MC10138FN/page-1", "MC10138FN")</f>
        <v>MC10138FN</v>
      </c>
      <c r="B18012" s="3" t="s">
        <v>74</v>
      </c>
      <c r="C18012" s="6">
        <v>2408</v>
      </c>
      <c r="D18012" s="7">
        <v>12.96</v>
      </c>
      <c r="E18012" t="s">
        <v>22</v>
      </c>
    </row>
    <row r="18013" spans="1:5" x14ac:dyDescent="0.25">
      <c r="A18013" t="str">
        <f>HYPERLINK("https://www.773grp.com/globalSearch/NCP4326DR2G/page-1", "NCP4326DR2G")</f>
        <v>NCP4326DR2G</v>
      </c>
      <c r="B18013" s="3" t="s">
        <v>74</v>
      </c>
      <c r="C18013" s="6">
        <v>102500</v>
      </c>
      <c r="D18013" s="7">
        <v>12.96</v>
      </c>
      <c r="E18013" t="s">
        <v>36</v>
      </c>
    </row>
    <row r="18014" spans="1:5" x14ac:dyDescent="0.25">
      <c r="A18014" t="str">
        <f>HYPERLINK("https://www.773grp.com/globalSearch/AD7888ARUZ/page-1", "AD7888ARUZ")</f>
        <v>AD7888ARUZ</v>
      </c>
      <c r="B18014" s="3" t="s">
        <v>74</v>
      </c>
      <c r="C18014" s="6">
        <v>147</v>
      </c>
      <c r="D18014" s="7">
        <v>13.11</v>
      </c>
    </row>
    <row r="18015" spans="1:5" x14ac:dyDescent="0.25">
      <c r="A18015" t="str">
        <f>HYPERLINK("https://www.773grp.com/globalSearch/LC75813E-E/page-1", "LC75813E-E")</f>
        <v>LC75813E-E</v>
      </c>
      <c r="B18015" s="3" t="s">
        <v>74</v>
      </c>
      <c r="C18015" s="6">
        <v>50</v>
      </c>
      <c r="D18015" s="7">
        <v>13.21</v>
      </c>
    </row>
    <row r="18016" spans="1:5" x14ac:dyDescent="0.25">
      <c r="A18016" t="str">
        <f>HYPERLINK("https://www.773grp.com/globalSearch/MC10H176FNG/page-1", "MC10H176FNG")</f>
        <v>MC10H176FNG</v>
      </c>
      <c r="B18016" s="3" t="s">
        <v>74</v>
      </c>
      <c r="C18016" s="6">
        <v>5634</v>
      </c>
      <c r="D18016" s="7">
        <v>13.21</v>
      </c>
      <c r="E18016" t="s">
        <v>31</v>
      </c>
    </row>
    <row r="18017" spans="1:5" x14ac:dyDescent="0.25">
      <c r="A18017" t="str">
        <f>HYPERLINK("https://www.773grp.com/globalSearch/MC10H176MELG/page-1", "MC10H176MELG")</f>
        <v>MC10H176MELG</v>
      </c>
      <c r="B18017" s="3" t="s">
        <v>74</v>
      </c>
      <c r="C18017" s="6">
        <v>2000</v>
      </c>
      <c r="D18017" s="7">
        <v>13.21</v>
      </c>
      <c r="E18017" t="s">
        <v>31</v>
      </c>
    </row>
    <row r="18018" spans="1:5" x14ac:dyDescent="0.25">
      <c r="A18018" t="str">
        <f>HYPERLINK("https://www.773grp.com/globalSearch/MC10H176MG/page-1", "MC10H176MG")</f>
        <v>MC10H176MG</v>
      </c>
      <c r="B18018" s="3" t="s">
        <v>74</v>
      </c>
      <c r="C18018" s="6">
        <v>1329</v>
      </c>
      <c r="D18018" s="7">
        <v>13.21</v>
      </c>
      <c r="E18018" t="s">
        <v>31</v>
      </c>
    </row>
    <row r="18019" spans="1:5" x14ac:dyDescent="0.25">
      <c r="A18019" t="str">
        <f>HYPERLINK("https://www.773grp.com/globalSearch/AD7948BRZ/page-1", "AD7948BRZ")</f>
        <v>AD7948BRZ</v>
      </c>
      <c r="B18019" s="3" t="s">
        <v>74</v>
      </c>
      <c r="C18019" s="6">
        <v>14</v>
      </c>
      <c r="D18019" s="7">
        <v>13.25</v>
      </c>
    </row>
    <row r="18020" spans="1:5" x14ac:dyDescent="0.25">
      <c r="A18020" t="str">
        <f>HYPERLINK("https://www.773grp.com/globalSearch/MC14549BCPG/page-1", "MC14549BCPG")</f>
        <v>MC14549BCPG</v>
      </c>
      <c r="B18020" s="3" t="s">
        <v>74</v>
      </c>
      <c r="C18020" s="6">
        <v>1195</v>
      </c>
      <c r="D18020" s="7">
        <v>13.36</v>
      </c>
      <c r="E18020" t="s">
        <v>68</v>
      </c>
    </row>
    <row r="18021" spans="1:5" x14ac:dyDescent="0.25">
      <c r="A18021" t="str">
        <f>HYPERLINK("https://www.773grp.com/globalSearch/MC10H172P/page-1", "MC10H172P")</f>
        <v>MC10H172P</v>
      </c>
      <c r="B18021" s="3" t="s">
        <v>74</v>
      </c>
      <c r="C18021" s="6">
        <v>3000</v>
      </c>
      <c r="D18021" s="7">
        <v>13.41</v>
      </c>
      <c r="E18021" t="s">
        <v>32</v>
      </c>
    </row>
    <row r="18022" spans="1:5" x14ac:dyDescent="0.25">
      <c r="A18022" t="str">
        <f>HYPERLINK("https://www.773grp.com/globalSearch/MC10H334FN/page-1", "MC10H334FN")</f>
        <v>MC10H334FN</v>
      </c>
      <c r="B18022" s="3" t="s">
        <v>74</v>
      </c>
      <c r="C18022" s="6">
        <v>276</v>
      </c>
      <c r="D18022" s="7">
        <v>13.46</v>
      </c>
      <c r="E18022" t="s">
        <v>11</v>
      </c>
    </row>
    <row r="18023" spans="1:5" x14ac:dyDescent="0.25">
      <c r="A18023" t="str">
        <f>HYPERLINK("https://www.773grp.com/globalSearch/MC10H334FNR2/page-1", "MC10H334FNR2")</f>
        <v>MC10H334FNR2</v>
      </c>
      <c r="B18023" s="3" t="s">
        <v>74</v>
      </c>
      <c r="C18023" s="6">
        <v>1000</v>
      </c>
      <c r="D18023" s="7">
        <v>13.46</v>
      </c>
      <c r="E18023" t="s">
        <v>11</v>
      </c>
    </row>
    <row r="18024" spans="1:5" x14ac:dyDescent="0.25">
      <c r="A18024" t="str">
        <f>HYPERLINK("https://www.773grp.com/globalSearch/LV8773-E/page-1", "LV8773-E")</f>
        <v>LV8773-E</v>
      </c>
      <c r="B18024" s="3" t="s">
        <v>74</v>
      </c>
      <c r="C18024" s="6">
        <v>40</v>
      </c>
      <c r="D18024" s="7">
        <v>13.5</v>
      </c>
    </row>
    <row r="18025" spans="1:5" x14ac:dyDescent="0.25">
      <c r="A18025" t="str">
        <f>HYPERLINK("https://www.773grp.com/globalSearch/MC1660L/page-1", "MC1660L")</f>
        <v>MC1660L</v>
      </c>
      <c r="B18025" s="3" t="s">
        <v>74</v>
      </c>
      <c r="C18025" s="6">
        <v>2115</v>
      </c>
      <c r="D18025" s="7">
        <v>13.5</v>
      </c>
      <c r="E18025" t="s">
        <v>27</v>
      </c>
    </row>
    <row r="18026" spans="1:5" x14ac:dyDescent="0.25">
      <c r="A18026" t="str">
        <f>HYPERLINK("https://www.773grp.com/globalSearch/NB3N853501EDTR2G/page-1", "NB3N853501EDTR2G")</f>
        <v>NB3N853501EDTR2G</v>
      </c>
      <c r="B18026" s="3" t="s">
        <v>74</v>
      </c>
      <c r="C18026" s="6">
        <v>2500</v>
      </c>
      <c r="D18026" s="7">
        <v>13.5</v>
      </c>
    </row>
    <row r="18027" spans="1:5" x14ac:dyDescent="0.25">
      <c r="A18027" t="str">
        <f>HYPERLINK("https://www.773grp.com/globalSearch/NB4N111KMNG/page-1", "NB4N111KMNG")</f>
        <v>NB4N111KMNG</v>
      </c>
      <c r="B18027" s="3" t="s">
        <v>74</v>
      </c>
      <c r="C18027" s="6">
        <v>194</v>
      </c>
      <c r="D18027" s="7">
        <v>13.5</v>
      </c>
      <c r="E18027" t="s">
        <v>61</v>
      </c>
    </row>
    <row r="18028" spans="1:5" x14ac:dyDescent="0.25">
      <c r="A18028" t="str">
        <f>HYPERLINK("https://www.773grp.com/globalSearch/NB4N111KMNR4G/page-1", "NB4N111KMNR4G")</f>
        <v>NB4N111KMNR4G</v>
      </c>
      <c r="B18028" s="3" t="s">
        <v>74</v>
      </c>
      <c r="C18028" s="6">
        <v>465</v>
      </c>
      <c r="D18028" s="7">
        <v>13.5</v>
      </c>
      <c r="E18028" t="s">
        <v>61</v>
      </c>
    </row>
    <row r="18029" spans="1:5" x14ac:dyDescent="0.25">
      <c r="A18029" t="str">
        <f>HYPERLINK("https://www.773grp.com/globalSearch/MC100EP101FA/page-1", "MC100EP101FA")</f>
        <v>MC100EP101FA</v>
      </c>
      <c r="B18029" s="3" t="s">
        <v>74</v>
      </c>
      <c r="C18029" s="6">
        <v>4247</v>
      </c>
      <c r="D18029" s="7">
        <v>13.54</v>
      </c>
      <c r="E18029" t="s">
        <v>27</v>
      </c>
    </row>
    <row r="18030" spans="1:5" x14ac:dyDescent="0.25">
      <c r="A18030" t="str">
        <f>HYPERLINK("https://www.773grp.com/globalSearch/MC100EP105FA/page-1", "MC100EP105FA")</f>
        <v>MC100EP105FA</v>
      </c>
      <c r="B18030" s="3" t="s">
        <v>74</v>
      </c>
      <c r="C18030" s="6">
        <v>8061</v>
      </c>
      <c r="D18030" s="7">
        <v>13.54</v>
      </c>
      <c r="E18030" t="s">
        <v>27</v>
      </c>
    </row>
    <row r="18031" spans="1:5" x14ac:dyDescent="0.25">
      <c r="A18031" t="str">
        <f>HYPERLINK("https://www.773grp.com/globalSearch/MC100EP116FA/page-1", "MC100EP116FA")</f>
        <v>MC100EP116FA</v>
      </c>
      <c r="B18031" s="3" t="s">
        <v>74</v>
      </c>
      <c r="C18031" s="6">
        <v>11310</v>
      </c>
      <c r="D18031" s="7">
        <v>13.54</v>
      </c>
      <c r="E18031" t="s">
        <v>17</v>
      </c>
    </row>
    <row r="18032" spans="1:5" x14ac:dyDescent="0.25">
      <c r="A18032" t="str">
        <f>HYPERLINK("https://www.773grp.com/globalSearch/MC100EP116FAR2/page-1", "MC100EP116FAR2")</f>
        <v>MC100EP116FAR2</v>
      </c>
      <c r="B18032" s="3" t="s">
        <v>74</v>
      </c>
      <c r="C18032" s="6">
        <v>6000</v>
      </c>
      <c r="D18032" s="7">
        <v>13.54</v>
      </c>
      <c r="E18032" t="s">
        <v>17</v>
      </c>
    </row>
    <row r="18033" spans="1:5" x14ac:dyDescent="0.25">
      <c r="A18033" t="str">
        <f>HYPERLINK("https://www.773grp.com/globalSearch/MC100EP131FA/page-1", "MC100EP131FA")</f>
        <v>MC100EP131FA</v>
      </c>
      <c r="B18033" s="3" t="s">
        <v>74</v>
      </c>
      <c r="C18033" s="6">
        <v>7891</v>
      </c>
      <c r="D18033" s="7">
        <v>13.54</v>
      </c>
      <c r="E18033" t="s">
        <v>31</v>
      </c>
    </row>
    <row r="18034" spans="1:5" x14ac:dyDescent="0.25">
      <c r="A18034" t="str">
        <f>HYPERLINK("https://www.773grp.com/globalSearch/MC100EP29DT/page-1", "MC100EP29DT")</f>
        <v>MC100EP29DT</v>
      </c>
      <c r="B18034" s="3" t="s">
        <v>74</v>
      </c>
      <c r="C18034" s="6">
        <v>6628</v>
      </c>
      <c r="D18034" s="7">
        <v>13.54</v>
      </c>
      <c r="E18034" t="s">
        <v>31</v>
      </c>
    </row>
    <row r="18035" spans="1:5" x14ac:dyDescent="0.25">
      <c r="A18035" t="str">
        <f>HYPERLINK("https://www.773grp.com/globalSearch/MC100EP40DT/page-1", "MC100EP40DT")</f>
        <v>MC100EP40DT</v>
      </c>
      <c r="B18035" s="3" t="s">
        <v>74</v>
      </c>
      <c r="C18035" s="6">
        <v>3058</v>
      </c>
      <c r="D18035" s="7">
        <v>13.54</v>
      </c>
      <c r="E18035" t="s">
        <v>34</v>
      </c>
    </row>
    <row r="18036" spans="1:5" x14ac:dyDescent="0.25">
      <c r="A18036" t="str">
        <f>HYPERLINK("https://www.773grp.com/globalSearch/MC100EP90DT/page-1", "MC100EP90DT")</f>
        <v>MC100EP90DT</v>
      </c>
      <c r="B18036" s="3" t="s">
        <v>74</v>
      </c>
      <c r="C18036" s="6">
        <v>2552</v>
      </c>
      <c r="D18036" s="7">
        <v>13.54</v>
      </c>
      <c r="E18036" t="s">
        <v>61</v>
      </c>
    </row>
    <row r="18037" spans="1:5" x14ac:dyDescent="0.25">
      <c r="A18037" t="str">
        <f>HYPERLINK("https://www.773grp.com/globalSearch/MC100LVEP34DR2/page-1", "MC100LVEP34DR2")</f>
        <v>MC100LVEP34DR2</v>
      </c>
      <c r="B18037" s="3" t="s">
        <v>74</v>
      </c>
      <c r="C18037" s="6">
        <v>2500</v>
      </c>
      <c r="D18037" s="7">
        <v>13.54</v>
      </c>
      <c r="E18037" t="s">
        <v>30</v>
      </c>
    </row>
    <row r="18038" spans="1:5" x14ac:dyDescent="0.25">
      <c r="A18038" t="str">
        <f>HYPERLINK("https://www.773grp.com/globalSearch/MC100LVGP19DT/page-1", "MC100LVGP19DT")</f>
        <v>MC100LVGP19DT</v>
      </c>
      <c r="B18038" s="3" t="s">
        <v>74</v>
      </c>
      <c r="C18038" s="6">
        <v>40</v>
      </c>
      <c r="D18038" s="7">
        <v>13.54</v>
      </c>
    </row>
    <row r="18039" spans="1:5" x14ac:dyDescent="0.25">
      <c r="A18039" t="str">
        <f>HYPERLINK("https://www.773grp.com/globalSearch/MC10EP101FA/page-1", "MC10EP101FA")</f>
        <v>MC10EP101FA</v>
      </c>
      <c r="B18039" s="3" t="s">
        <v>74</v>
      </c>
      <c r="C18039" s="6">
        <v>4839</v>
      </c>
      <c r="D18039" s="7">
        <v>13.54</v>
      </c>
      <c r="E18039" t="s">
        <v>27</v>
      </c>
    </row>
    <row r="18040" spans="1:5" x14ac:dyDescent="0.25">
      <c r="A18040" t="str">
        <f>HYPERLINK("https://www.773grp.com/globalSearch/MC10EP105FA/page-1", "MC10EP105FA")</f>
        <v>MC10EP105FA</v>
      </c>
      <c r="B18040" s="3" t="s">
        <v>74</v>
      </c>
      <c r="C18040" s="6">
        <v>9901</v>
      </c>
      <c r="D18040" s="7">
        <v>13.54</v>
      </c>
      <c r="E18040" t="s">
        <v>27</v>
      </c>
    </row>
    <row r="18041" spans="1:5" x14ac:dyDescent="0.25">
      <c r="A18041" t="str">
        <f>HYPERLINK("https://www.773grp.com/globalSearch/MC10EP105FAR2/page-1", "MC10EP105FAR2")</f>
        <v>MC10EP105FAR2</v>
      </c>
      <c r="B18041" s="3" t="s">
        <v>74</v>
      </c>
      <c r="C18041" s="6">
        <v>10000</v>
      </c>
      <c r="D18041" s="7">
        <v>13.54</v>
      </c>
      <c r="E18041" t="s">
        <v>27</v>
      </c>
    </row>
    <row r="18042" spans="1:5" x14ac:dyDescent="0.25">
      <c r="A18042" t="str">
        <f>HYPERLINK("https://www.773grp.com/globalSearch/MC10EP116FA/page-1", "MC10EP116FA")</f>
        <v>MC10EP116FA</v>
      </c>
      <c r="B18042" s="3" t="s">
        <v>74</v>
      </c>
      <c r="C18042" s="6">
        <v>7195</v>
      </c>
      <c r="D18042" s="7">
        <v>13.54</v>
      </c>
      <c r="E18042" t="s">
        <v>17</v>
      </c>
    </row>
    <row r="18043" spans="1:5" x14ac:dyDescent="0.25">
      <c r="A18043" t="str">
        <f>HYPERLINK("https://www.773grp.com/globalSearch/MC10EP116FAR2/page-1", "MC10EP116FAR2")</f>
        <v>MC10EP116FAR2</v>
      </c>
      <c r="B18043" s="3" t="s">
        <v>74</v>
      </c>
      <c r="C18043" s="6">
        <v>4000</v>
      </c>
      <c r="D18043" s="7">
        <v>13.54</v>
      </c>
      <c r="E18043" t="s">
        <v>17</v>
      </c>
    </row>
    <row r="18044" spans="1:5" x14ac:dyDescent="0.25">
      <c r="A18044" t="str">
        <f>HYPERLINK("https://www.773grp.com/globalSearch/MC10EP131FA/page-1", "MC10EP131FA")</f>
        <v>MC10EP131FA</v>
      </c>
      <c r="B18044" s="3" t="s">
        <v>74</v>
      </c>
      <c r="C18044" s="6">
        <v>14625</v>
      </c>
      <c r="D18044" s="7">
        <v>13.54</v>
      </c>
      <c r="E18044" t="s">
        <v>31</v>
      </c>
    </row>
    <row r="18045" spans="1:5" x14ac:dyDescent="0.25">
      <c r="A18045" t="str">
        <f>HYPERLINK("https://www.773grp.com/globalSearch/MC10EP29DT/page-1", "MC10EP29DT")</f>
        <v>MC10EP29DT</v>
      </c>
      <c r="B18045" s="3" t="s">
        <v>74</v>
      </c>
      <c r="C18045" s="6">
        <v>3060</v>
      </c>
      <c r="D18045" s="7">
        <v>13.54</v>
      </c>
      <c r="E18045" t="s">
        <v>31</v>
      </c>
    </row>
    <row r="18046" spans="1:5" x14ac:dyDescent="0.25">
      <c r="A18046" t="str">
        <f>HYPERLINK("https://www.773grp.com/globalSearch/MC10EP90DT/page-1", "MC10EP90DT")</f>
        <v>MC10EP90DT</v>
      </c>
      <c r="B18046" s="3" t="s">
        <v>74</v>
      </c>
      <c r="C18046" s="6">
        <v>6320</v>
      </c>
      <c r="D18046" s="7">
        <v>13.54</v>
      </c>
      <c r="E18046" t="s">
        <v>61</v>
      </c>
    </row>
    <row r="18047" spans="1:5" x14ac:dyDescent="0.25">
      <c r="A18047" t="str">
        <f>HYPERLINK("https://www.773grp.com/globalSearch/NB100LVEP91DW/page-1", "NB100LVEP91DW")</f>
        <v>NB100LVEP91DW</v>
      </c>
      <c r="B18047" s="3" t="s">
        <v>74</v>
      </c>
      <c r="C18047" s="6">
        <v>10888</v>
      </c>
      <c r="D18047" s="7">
        <v>13.54</v>
      </c>
      <c r="E18047" t="s">
        <v>61</v>
      </c>
    </row>
    <row r="18048" spans="1:5" x14ac:dyDescent="0.25">
      <c r="A18048" t="str">
        <f>HYPERLINK("https://www.773grp.com/globalSearch/NB100LVEP91DWR2/page-1", "NB100LVEP91DWR2")</f>
        <v>NB100LVEP91DWR2</v>
      </c>
      <c r="B18048" s="3" t="s">
        <v>74</v>
      </c>
      <c r="C18048" s="6">
        <v>6000</v>
      </c>
      <c r="D18048" s="7">
        <v>13.54</v>
      </c>
      <c r="E18048" t="s">
        <v>61</v>
      </c>
    </row>
    <row r="18049" spans="1:5" x14ac:dyDescent="0.25">
      <c r="A18049" t="str">
        <f>HYPERLINK("https://www.773grp.com/globalSearch/NB100LVEP91MN/page-1", "NB100LVEP91MN")</f>
        <v>NB100LVEP91MN</v>
      </c>
      <c r="B18049" s="3" t="s">
        <v>74</v>
      </c>
      <c r="C18049" s="6">
        <v>3952</v>
      </c>
      <c r="D18049" s="7">
        <v>13.54</v>
      </c>
      <c r="E18049" t="s">
        <v>61</v>
      </c>
    </row>
    <row r="18050" spans="1:5" x14ac:dyDescent="0.25">
      <c r="A18050" t="str">
        <f>HYPERLINK("https://www.773grp.com/globalSearch/NB100LVEP91MNR2/page-1", "NB100LVEP91MNR2")</f>
        <v>NB100LVEP91MNR2</v>
      </c>
      <c r="B18050" s="3" t="s">
        <v>74</v>
      </c>
      <c r="C18050" s="6">
        <v>6000</v>
      </c>
      <c r="D18050" s="7">
        <v>13.54</v>
      </c>
      <c r="E18050" t="s">
        <v>61</v>
      </c>
    </row>
    <row r="18051" spans="1:5" x14ac:dyDescent="0.25">
      <c r="A18051" t="str">
        <f>HYPERLINK("https://www.773grp.com/globalSearch/MC10H643FN/page-1", "MC10H643FN")</f>
        <v>MC10H643FN</v>
      </c>
      <c r="B18051" s="3" t="s">
        <v>74</v>
      </c>
      <c r="C18051" s="6">
        <v>450</v>
      </c>
      <c r="D18051" s="7">
        <v>13.55</v>
      </c>
      <c r="E18051" t="s">
        <v>30</v>
      </c>
    </row>
    <row r="18052" spans="1:5" x14ac:dyDescent="0.25">
      <c r="A18052" t="str">
        <f>HYPERLINK("https://www.773grp.com/globalSearch/MC10H643FNR2/page-1", "MC10H643FNR2")</f>
        <v>MC10H643FNR2</v>
      </c>
      <c r="B18052" s="3" t="s">
        <v>74</v>
      </c>
      <c r="C18052" s="6">
        <v>1500</v>
      </c>
      <c r="D18052" s="7">
        <v>13.55</v>
      </c>
      <c r="E18052" t="s">
        <v>30</v>
      </c>
    </row>
    <row r="18053" spans="1:5" x14ac:dyDescent="0.25">
      <c r="A18053" t="str">
        <f>HYPERLINK("https://www.773grp.com/globalSearch/MC10H424FN/page-1", "MC10H424FN")</f>
        <v>MC10H424FN</v>
      </c>
      <c r="B18053" s="3" t="s">
        <v>74</v>
      </c>
      <c r="C18053" s="6">
        <v>3404</v>
      </c>
      <c r="D18053" s="7">
        <v>13.61</v>
      </c>
      <c r="E18053" t="s">
        <v>61</v>
      </c>
    </row>
    <row r="18054" spans="1:5" x14ac:dyDescent="0.25">
      <c r="A18054" t="str">
        <f>HYPERLINK("https://www.773grp.com/globalSearch/NB4N527SMN/page-1", "NB4N527SMN")</f>
        <v>NB4N527SMN</v>
      </c>
      <c r="B18054" s="3" t="s">
        <v>74</v>
      </c>
      <c r="C18054" s="6">
        <v>1310</v>
      </c>
      <c r="D18054" s="7">
        <v>13.64</v>
      </c>
      <c r="E18054" t="s">
        <v>62</v>
      </c>
    </row>
    <row r="18055" spans="1:5" x14ac:dyDescent="0.25">
      <c r="A18055" t="str">
        <f>HYPERLINK("https://www.773grp.com/globalSearch/NB4N527SMNG/page-1", "NB4N527SMNG")</f>
        <v>NB4N527SMNG</v>
      </c>
      <c r="B18055" s="3" t="s">
        <v>74</v>
      </c>
      <c r="C18055" s="6">
        <v>346</v>
      </c>
      <c r="D18055" s="7">
        <v>13.64</v>
      </c>
      <c r="E18055" t="s">
        <v>62</v>
      </c>
    </row>
    <row r="18056" spans="1:5" x14ac:dyDescent="0.25">
      <c r="A18056" t="str">
        <f>HYPERLINK("https://www.773grp.com/globalSearch/NB4N855SMR4/page-1", "NB4N855SMR4")</f>
        <v>NB4N855SMR4</v>
      </c>
      <c r="B18056" s="3" t="s">
        <v>74</v>
      </c>
      <c r="C18056" s="6">
        <v>9000</v>
      </c>
      <c r="D18056" s="7">
        <v>13.64</v>
      </c>
      <c r="E18056" t="s">
        <v>62</v>
      </c>
    </row>
    <row r="18057" spans="1:5" x14ac:dyDescent="0.25">
      <c r="A18057" t="str">
        <f>HYPERLINK("https://www.773grp.com/globalSearch/NB6N239SMNG/page-1", "NB6N239SMNG")</f>
        <v>NB6N239SMNG</v>
      </c>
      <c r="B18057" s="3" t="s">
        <v>74</v>
      </c>
      <c r="C18057" s="6">
        <v>581</v>
      </c>
      <c r="D18057" s="7">
        <v>13.64</v>
      </c>
      <c r="E18057" t="s">
        <v>30</v>
      </c>
    </row>
    <row r="18058" spans="1:5" x14ac:dyDescent="0.25">
      <c r="A18058" t="str">
        <f>HYPERLINK("https://www.773grp.com/globalSearch/NB6N239SMNR2G/page-1", "NB6N239SMNR2G")</f>
        <v>NB6N239SMNR2G</v>
      </c>
      <c r="B18058" s="3" t="s">
        <v>74</v>
      </c>
      <c r="C18058" s="6">
        <v>3000</v>
      </c>
      <c r="D18058" s="7">
        <v>13.64</v>
      </c>
    </row>
    <row r="18059" spans="1:5" x14ac:dyDescent="0.25">
      <c r="A18059" t="str">
        <f>HYPERLINK("https://www.773grp.com/globalSearch/MC100E445FNG/page-1", "MC100E445FNG")</f>
        <v>MC100E445FNG</v>
      </c>
      <c r="B18059" s="3" t="s">
        <v>74</v>
      </c>
      <c r="C18059" s="6">
        <v>194</v>
      </c>
      <c r="D18059" s="7">
        <v>13.73</v>
      </c>
      <c r="E18059" t="s">
        <v>28</v>
      </c>
    </row>
    <row r="18060" spans="1:5" x14ac:dyDescent="0.25">
      <c r="A18060" t="str">
        <f>HYPERLINK("https://www.773grp.com/globalSearch/AD7888ARZ/page-1", "AD7888ARZ")</f>
        <v>AD7888ARZ</v>
      </c>
      <c r="B18060" s="3" t="s">
        <v>74</v>
      </c>
      <c r="C18060" s="6">
        <v>163</v>
      </c>
      <c r="D18060" s="7">
        <v>13.75</v>
      </c>
    </row>
    <row r="18061" spans="1:5" x14ac:dyDescent="0.25">
      <c r="A18061" t="str">
        <f>HYPERLINK("https://www.773grp.com/globalSearch/MGY25N120D/page-1", "MGY25N120D")</f>
        <v>MGY25N120D</v>
      </c>
      <c r="B18061" s="3" t="s">
        <v>74</v>
      </c>
      <c r="C18061" s="6">
        <v>362</v>
      </c>
      <c r="D18061" s="7">
        <v>13.79</v>
      </c>
      <c r="E18061" t="s">
        <v>94</v>
      </c>
    </row>
    <row r="18062" spans="1:5" x14ac:dyDescent="0.25">
      <c r="A18062" t="str">
        <f>HYPERLINK("https://www.773grp.com/globalSearch/MC100H605FN/page-1", "MC100H605FN")</f>
        <v>MC100H605FN</v>
      </c>
      <c r="B18062" s="3" t="s">
        <v>74</v>
      </c>
      <c r="C18062" s="6">
        <v>1</v>
      </c>
      <c r="D18062" s="7">
        <v>13.88</v>
      </c>
      <c r="E18062" t="s">
        <v>61</v>
      </c>
    </row>
    <row r="18063" spans="1:5" x14ac:dyDescent="0.25">
      <c r="A18063" t="str">
        <f>HYPERLINK("https://www.773grp.com/globalSearch/MC10H604FNG/page-1", "MC10H604FNG")</f>
        <v>MC10H604FNG</v>
      </c>
      <c r="B18063" s="3" t="s">
        <v>74</v>
      </c>
      <c r="C18063" s="6">
        <v>242</v>
      </c>
      <c r="D18063" s="7">
        <v>13.88</v>
      </c>
      <c r="E18063" t="s">
        <v>61</v>
      </c>
    </row>
    <row r="18064" spans="1:5" x14ac:dyDescent="0.25">
      <c r="A18064" t="str">
        <f>HYPERLINK("https://www.773grp.com/globalSearch/MC10H604FNR2/page-1", "MC10H604FNR2")</f>
        <v>MC10H604FNR2</v>
      </c>
      <c r="B18064" s="3" t="s">
        <v>74</v>
      </c>
      <c r="C18064" s="6">
        <v>4881</v>
      </c>
      <c r="D18064" s="7">
        <v>13.88</v>
      </c>
      <c r="E18064" t="s">
        <v>61</v>
      </c>
    </row>
    <row r="18065" spans="1:5" x14ac:dyDescent="0.25">
      <c r="A18065" t="str">
        <f>HYPERLINK("https://www.773grp.com/globalSearch/MC10H605FNR2/page-1", "MC10H605FNR2")</f>
        <v>MC10H605FNR2</v>
      </c>
      <c r="B18065" s="3" t="s">
        <v>74</v>
      </c>
      <c r="C18065" s="6">
        <v>1965</v>
      </c>
      <c r="D18065" s="7">
        <v>13.88</v>
      </c>
      <c r="E18065" t="s">
        <v>61</v>
      </c>
    </row>
    <row r="18066" spans="1:5" x14ac:dyDescent="0.25">
      <c r="A18066" t="str">
        <f>HYPERLINK("https://www.773grp.com/globalSearch/MC100E131FN/page-1", "MC100E131FN")</f>
        <v>MC100E131FN</v>
      </c>
      <c r="B18066" s="3" t="s">
        <v>74</v>
      </c>
      <c r="C18066" s="6">
        <v>97</v>
      </c>
      <c r="D18066" s="7">
        <v>13.93</v>
      </c>
      <c r="E18066" t="s">
        <v>31</v>
      </c>
    </row>
    <row r="18067" spans="1:5" x14ac:dyDescent="0.25">
      <c r="A18067" t="str">
        <f>HYPERLINK("https://www.773grp.com/globalSearch/MC100EP14DT/page-1", "MC100EP14DT")</f>
        <v>MC100EP14DT</v>
      </c>
      <c r="B18067" s="3" t="s">
        <v>74</v>
      </c>
      <c r="C18067" s="6">
        <v>7050</v>
      </c>
      <c r="D18067" s="7">
        <v>13.93</v>
      </c>
    </row>
    <row r="18068" spans="1:5" x14ac:dyDescent="0.25">
      <c r="A18068" t="str">
        <f>HYPERLINK("https://www.773grp.com/globalSearch/MC100LVEP14DT/page-1", "MC100LVEP14DT")</f>
        <v>MC100LVEP14DT</v>
      </c>
      <c r="B18068" s="3" t="s">
        <v>74</v>
      </c>
      <c r="C18068" s="6">
        <v>3900</v>
      </c>
      <c r="D18068" s="7">
        <v>13.93</v>
      </c>
    </row>
    <row r="18069" spans="1:5" x14ac:dyDescent="0.25">
      <c r="A18069" t="str">
        <f>HYPERLINK("https://www.773grp.com/globalSearch/NB6L11D/page-1", "NB6L11D")</f>
        <v>NB6L11D</v>
      </c>
      <c r="B18069" s="3" t="s">
        <v>74</v>
      </c>
      <c r="C18069" s="6">
        <v>17913</v>
      </c>
      <c r="D18069" s="7">
        <v>13.93</v>
      </c>
      <c r="E18069" t="s">
        <v>30</v>
      </c>
    </row>
    <row r="18070" spans="1:5" x14ac:dyDescent="0.25">
      <c r="A18070" t="str">
        <f>HYPERLINK("https://www.773grp.com/globalSearch/NB6L11DG/page-1", "NB6L11DG")</f>
        <v>NB6L11DG</v>
      </c>
      <c r="B18070" s="3" t="s">
        <v>74</v>
      </c>
      <c r="C18070" s="6">
        <v>2</v>
      </c>
      <c r="D18070" s="7">
        <v>13.93</v>
      </c>
      <c r="E18070" t="s">
        <v>30</v>
      </c>
    </row>
    <row r="18071" spans="1:5" x14ac:dyDescent="0.25">
      <c r="A18071" t="str">
        <f>HYPERLINK("https://www.773grp.com/globalSearch/NB6L16DG/page-1", "NB6L16DG")</f>
        <v>NB6L16DG</v>
      </c>
      <c r="B18071" s="3" t="s">
        <v>74</v>
      </c>
      <c r="C18071" s="6">
        <v>2683</v>
      </c>
      <c r="D18071" s="7">
        <v>13.93</v>
      </c>
      <c r="E18071" t="s">
        <v>30</v>
      </c>
    </row>
    <row r="18072" spans="1:5" x14ac:dyDescent="0.25">
      <c r="A18072" t="str">
        <f>HYPERLINK("https://www.773grp.com/globalSearch/NB6L16DR2G/page-1", "NB6L16DR2G")</f>
        <v>NB6L16DR2G</v>
      </c>
      <c r="B18072" s="3" t="s">
        <v>74</v>
      </c>
      <c r="C18072" s="6">
        <v>12490</v>
      </c>
      <c r="D18072" s="7">
        <v>13.93</v>
      </c>
      <c r="E18072" t="s">
        <v>30</v>
      </c>
    </row>
    <row r="18073" spans="1:5" x14ac:dyDescent="0.25">
      <c r="A18073" t="str">
        <f>HYPERLINK("https://www.773grp.com/globalSearch/NB6L16DTG/page-1", "NB6L16DTG")</f>
        <v>NB6L16DTG</v>
      </c>
      <c r="B18073" s="3" t="s">
        <v>74</v>
      </c>
      <c r="C18073" s="6">
        <v>1878</v>
      </c>
      <c r="D18073" s="7">
        <v>13.93</v>
      </c>
      <c r="E18073" t="s">
        <v>30</v>
      </c>
    </row>
    <row r="18074" spans="1:5" x14ac:dyDescent="0.25">
      <c r="A18074" t="str">
        <f>HYPERLINK("https://www.773grp.com/globalSearch/NB6L16DTR2G/page-1", "NB6L16DTR2G")</f>
        <v>NB6L16DTR2G</v>
      </c>
      <c r="B18074" s="3" t="s">
        <v>74</v>
      </c>
      <c r="C18074" s="6">
        <v>12596</v>
      </c>
      <c r="D18074" s="7">
        <v>13.93</v>
      </c>
      <c r="E18074" t="s">
        <v>30</v>
      </c>
    </row>
    <row r="18075" spans="1:5" x14ac:dyDescent="0.25">
      <c r="A18075" t="str">
        <f>HYPERLINK("https://www.773grp.com/globalSearch/LC75281E-E/page-1", "LC75281E-E")</f>
        <v>LC75281E-E</v>
      </c>
      <c r="B18075" s="3" t="s">
        <v>74</v>
      </c>
      <c r="C18075" s="6">
        <v>1811</v>
      </c>
      <c r="D18075" s="7">
        <v>14.04</v>
      </c>
    </row>
    <row r="18076" spans="1:5" x14ac:dyDescent="0.25">
      <c r="A18076" t="str">
        <f>HYPERLINK("https://www.773grp.com/globalSearch/AD7887BRZ/page-1", "AD7887BRZ")</f>
        <v>AD7887BRZ</v>
      </c>
      <c r="B18076" s="3" t="s">
        <v>74</v>
      </c>
      <c r="C18076" s="6">
        <v>59</v>
      </c>
      <c r="D18076" s="7">
        <v>14.06</v>
      </c>
    </row>
    <row r="18077" spans="1:5" x14ac:dyDescent="0.25">
      <c r="A18077" t="str">
        <f>HYPERLINK("https://www.773grp.com/globalSearch/ADM1023ARQ-REEL7/page-1", "ADM1023ARQ-REEL7")</f>
        <v>ADM1023ARQ-REEL7</v>
      </c>
      <c r="B18077" s="3" t="s">
        <v>74</v>
      </c>
      <c r="C18077" s="6">
        <v>2288</v>
      </c>
      <c r="D18077" s="7">
        <v>14.06</v>
      </c>
      <c r="E18077" t="s">
        <v>36</v>
      </c>
    </row>
    <row r="18078" spans="1:5" x14ac:dyDescent="0.25">
      <c r="A18078" t="str">
        <f>HYPERLINK("https://www.773grp.com/globalSearch/ADM1026JST/page-1", "ADM1026JST")</f>
        <v>ADM1026JST</v>
      </c>
      <c r="B18078" s="3" t="s">
        <v>74</v>
      </c>
      <c r="C18078" s="6">
        <v>65</v>
      </c>
      <c r="D18078" s="7">
        <v>14.06</v>
      </c>
      <c r="E18078" t="s">
        <v>26</v>
      </c>
    </row>
    <row r="18079" spans="1:5" x14ac:dyDescent="0.25">
      <c r="A18079" t="str">
        <f>HYPERLINK("https://www.773grp.com/globalSearch/ADM1026JSTZ-R7/page-1", "ADM1026JSTZ-R7")</f>
        <v>ADM1026JSTZ-R7</v>
      </c>
      <c r="B18079" s="3" t="s">
        <v>74</v>
      </c>
      <c r="C18079" s="6">
        <v>914</v>
      </c>
      <c r="D18079" s="7">
        <v>14.06</v>
      </c>
      <c r="E18079" t="s">
        <v>26</v>
      </c>
    </row>
    <row r="18080" spans="1:5" x14ac:dyDescent="0.25">
      <c r="A18080" t="str">
        <f>HYPERLINK("https://www.773grp.com/globalSearch/ADM1026JSTZ-REEL/page-1", "ADM1026JSTZ-REEL")</f>
        <v>ADM1026JSTZ-REEL</v>
      </c>
      <c r="B18080" s="3" t="s">
        <v>74</v>
      </c>
      <c r="C18080" s="6">
        <v>1965</v>
      </c>
      <c r="D18080" s="7">
        <v>14.06</v>
      </c>
    </row>
    <row r="18081" spans="1:5" x14ac:dyDescent="0.25">
      <c r="A18081" t="str">
        <f>HYPERLINK("https://www.773grp.com/globalSearch/MC100E016FNR2/page-1", "MC100E016FNR2")</f>
        <v>MC100E016FNR2</v>
      </c>
      <c r="B18081" s="3" t="s">
        <v>74</v>
      </c>
      <c r="C18081" s="6">
        <v>196</v>
      </c>
      <c r="D18081" s="7">
        <v>14.06</v>
      </c>
      <c r="E18081" t="s">
        <v>22</v>
      </c>
    </row>
    <row r="18082" spans="1:5" x14ac:dyDescent="0.25">
      <c r="A18082" t="str">
        <f>HYPERLINK("https://www.773grp.com/globalSearch/MC100E101FNG/page-1", "MC100E101FNG")</f>
        <v>MC100E101FNG</v>
      </c>
      <c r="B18082" s="3" t="s">
        <v>74</v>
      </c>
      <c r="C18082" s="6">
        <v>1993</v>
      </c>
      <c r="D18082" s="7">
        <v>14.06</v>
      </c>
      <c r="E18082" t="s">
        <v>27</v>
      </c>
    </row>
    <row r="18083" spans="1:5" x14ac:dyDescent="0.25">
      <c r="A18083" t="str">
        <f>HYPERLINK("https://www.773grp.com/globalSearch/MC100EL1648MELG/page-1", "MC100EL1648MELG")</f>
        <v>MC100EL1648MELG</v>
      </c>
      <c r="B18083" s="3" t="s">
        <v>74</v>
      </c>
      <c r="C18083" s="6">
        <v>25767</v>
      </c>
      <c r="D18083" s="7">
        <v>14.06</v>
      </c>
      <c r="E18083" t="s">
        <v>36</v>
      </c>
    </row>
    <row r="18084" spans="1:5" x14ac:dyDescent="0.25">
      <c r="A18084" t="str">
        <f>HYPERLINK("https://www.773grp.com/globalSearch/MC100EL1648MG/page-1", "MC100EL1648MG")</f>
        <v>MC100EL1648MG</v>
      </c>
      <c r="B18084" s="3" t="s">
        <v>74</v>
      </c>
      <c r="C18084" s="6">
        <v>16100</v>
      </c>
      <c r="D18084" s="7">
        <v>14.06</v>
      </c>
      <c r="E18084" t="s">
        <v>36</v>
      </c>
    </row>
    <row r="18085" spans="1:5" x14ac:dyDescent="0.25">
      <c r="A18085" t="str">
        <f>HYPERLINK("https://www.773grp.com/globalSearch/MC100EL30DWG/page-1", "MC100EL30DWG")</f>
        <v>MC100EL30DWG</v>
      </c>
      <c r="B18085" s="3" t="s">
        <v>74</v>
      </c>
      <c r="C18085" s="6">
        <v>5115</v>
      </c>
      <c r="D18085" s="7">
        <v>14.06</v>
      </c>
      <c r="E18085" t="s">
        <v>31</v>
      </c>
    </row>
    <row r="18086" spans="1:5" x14ac:dyDescent="0.25">
      <c r="A18086" t="str">
        <f>HYPERLINK("https://www.773grp.com/globalSearch/MC100EL30DWR2G/page-1", "MC100EL30DWR2G")</f>
        <v>MC100EL30DWR2G</v>
      </c>
      <c r="B18086" s="3" t="s">
        <v>74</v>
      </c>
      <c r="C18086" s="6">
        <v>2000</v>
      </c>
      <c r="D18086" s="7">
        <v>14.06</v>
      </c>
      <c r="E18086" t="s">
        <v>31</v>
      </c>
    </row>
    <row r="18087" spans="1:5" x14ac:dyDescent="0.25">
      <c r="A18087" t="str">
        <f>HYPERLINK("https://www.773grp.com/globalSearch/MC100EP140DR2/page-1", "MC100EP140DR2")</f>
        <v>MC100EP140DR2</v>
      </c>
      <c r="B18087" s="3" t="s">
        <v>74</v>
      </c>
      <c r="C18087" s="6">
        <v>6058</v>
      </c>
      <c r="D18087" s="7">
        <v>14.06</v>
      </c>
      <c r="E18087" t="s">
        <v>34</v>
      </c>
    </row>
    <row r="18088" spans="1:5" x14ac:dyDescent="0.25">
      <c r="A18088" t="str">
        <f>HYPERLINK("https://www.773grp.com/globalSearch/MC100LEVL14DW/page-1", "MC100LEVL14DW")</f>
        <v>MC100LEVL14DW</v>
      </c>
      <c r="B18088" s="3" t="s">
        <v>74</v>
      </c>
      <c r="C18088" s="6">
        <v>37</v>
      </c>
      <c r="D18088" s="7">
        <v>14.06</v>
      </c>
    </row>
    <row r="18089" spans="1:5" x14ac:dyDescent="0.25">
      <c r="A18089" t="str">
        <f>HYPERLINK("https://www.773grp.com/globalSearch/MC100LVEL30DWG/page-1", "MC100LVEL30DWG")</f>
        <v>MC100LVEL30DWG</v>
      </c>
      <c r="B18089" s="3" t="s">
        <v>74</v>
      </c>
      <c r="C18089" s="6">
        <v>360</v>
      </c>
      <c r="D18089" s="7">
        <v>14.06</v>
      </c>
      <c r="E18089" t="s">
        <v>31</v>
      </c>
    </row>
    <row r="18090" spans="1:5" x14ac:dyDescent="0.25">
      <c r="A18090" t="str">
        <f>HYPERLINK("https://www.773grp.com/globalSearch/MC10E016FN/page-1", "MC10E016FN")</f>
        <v>MC10E016FN</v>
      </c>
      <c r="B18090" s="3" t="s">
        <v>74</v>
      </c>
      <c r="C18090" s="6">
        <v>1941</v>
      </c>
      <c r="D18090" s="7">
        <v>14.06</v>
      </c>
      <c r="E18090" t="s">
        <v>22</v>
      </c>
    </row>
    <row r="18091" spans="1:5" x14ac:dyDescent="0.25">
      <c r="A18091" t="str">
        <f>HYPERLINK("https://www.773grp.com/globalSearch/MC10E016FNR2/page-1", "MC10E016FNR2")</f>
        <v>MC10E016FNR2</v>
      </c>
      <c r="B18091" s="3" t="s">
        <v>74</v>
      </c>
      <c r="C18091" s="6">
        <v>1500</v>
      </c>
      <c r="D18091" s="7">
        <v>14.06</v>
      </c>
      <c r="E18091" t="s">
        <v>22</v>
      </c>
    </row>
    <row r="18092" spans="1:5" x14ac:dyDescent="0.25">
      <c r="A18092" t="str">
        <f>HYPERLINK("https://www.773grp.com/globalSearch/MC10H141FNG/page-1", "MC10H141FNG")</f>
        <v>MC10H141FNG</v>
      </c>
      <c r="B18092" s="3" t="s">
        <v>74</v>
      </c>
      <c r="C18092" s="6">
        <v>4048</v>
      </c>
      <c r="D18092" s="7">
        <v>14.06</v>
      </c>
      <c r="E18092" t="s">
        <v>28</v>
      </c>
    </row>
    <row r="18093" spans="1:5" x14ac:dyDescent="0.25">
      <c r="A18093" t="str">
        <f>HYPERLINK("https://www.773grp.com/globalSearch/MC10H141FNR2G/page-1", "MC10H141FNR2G")</f>
        <v>MC10H141FNR2G</v>
      </c>
      <c r="B18093" s="3" t="s">
        <v>74</v>
      </c>
      <c r="C18093" s="6">
        <v>1500</v>
      </c>
      <c r="D18093" s="7">
        <v>14.06</v>
      </c>
      <c r="E18093" t="s">
        <v>28</v>
      </c>
    </row>
    <row r="18094" spans="1:5" x14ac:dyDescent="0.25">
      <c r="A18094" t="str">
        <f>HYPERLINK("https://www.773grp.com/globalSearch/MC10H141PG/page-1", "MC10H141PG")</f>
        <v>MC10H141PG</v>
      </c>
      <c r="B18094" s="3" t="s">
        <v>74</v>
      </c>
      <c r="C18094" s="6">
        <v>2644</v>
      </c>
      <c r="D18094" s="7">
        <v>14.06</v>
      </c>
      <c r="E18094" t="s">
        <v>28</v>
      </c>
    </row>
    <row r="18095" spans="1:5" x14ac:dyDescent="0.25">
      <c r="A18095" t="str">
        <f>HYPERLINK("https://www.773grp.com/globalSearch/MCH12140DG/page-1", "MCH12140DG")</f>
        <v>MCH12140DG</v>
      </c>
      <c r="B18095" s="3" t="s">
        <v>74</v>
      </c>
      <c r="C18095" s="6">
        <v>1370</v>
      </c>
      <c r="D18095" s="7">
        <v>14.06</v>
      </c>
      <c r="E18095" t="s">
        <v>34</v>
      </c>
    </row>
    <row r="18096" spans="1:5" x14ac:dyDescent="0.25">
      <c r="A18096" t="str">
        <f>HYPERLINK("https://www.773grp.com/globalSearch/MCH12140DR2/page-1", "MCH12140DR2")</f>
        <v>MCH12140DR2</v>
      </c>
      <c r="B18096" s="3" t="s">
        <v>74</v>
      </c>
      <c r="C18096" s="6">
        <v>7500</v>
      </c>
      <c r="D18096" s="7">
        <v>14.06</v>
      </c>
      <c r="E18096" t="s">
        <v>34</v>
      </c>
    </row>
    <row r="18097" spans="1:5" x14ac:dyDescent="0.25">
      <c r="A18097" t="str">
        <f>HYPERLINK("https://www.773grp.com/globalSearch/MCH12140DR2G/page-1", "MCH12140DR2G")</f>
        <v>MCH12140DR2G</v>
      </c>
      <c r="B18097" s="3" t="s">
        <v>74</v>
      </c>
      <c r="C18097" s="6">
        <v>12500</v>
      </c>
      <c r="D18097" s="7">
        <v>14.06</v>
      </c>
      <c r="E18097" t="s">
        <v>34</v>
      </c>
    </row>
    <row r="18098" spans="1:5" x14ac:dyDescent="0.25">
      <c r="A18098" t="str">
        <f>HYPERLINK("https://www.773grp.com/globalSearch/MCK12140DG/page-1", "MCK12140DG")</f>
        <v>MCK12140DG</v>
      </c>
      <c r="B18098" s="3" t="s">
        <v>74</v>
      </c>
      <c r="C18098" s="6">
        <v>584</v>
      </c>
      <c r="D18098" s="7">
        <v>14.06</v>
      </c>
      <c r="E18098" t="s">
        <v>34</v>
      </c>
    </row>
    <row r="18099" spans="1:5" x14ac:dyDescent="0.25">
      <c r="A18099" t="str">
        <f>HYPERLINK("https://www.773grp.com/globalSearch/MCK12140DR2G/page-1", "MCK12140DR2G")</f>
        <v>MCK12140DR2G</v>
      </c>
      <c r="B18099" s="3" t="s">
        <v>74</v>
      </c>
      <c r="C18099" s="6">
        <v>3473</v>
      </c>
      <c r="D18099" s="7">
        <v>14.06</v>
      </c>
      <c r="E18099" t="s">
        <v>34</v>
      </c>
    </row>
    <row r="18100" spans="1:5" x14ac:dyDescent="0.25">
      <c r="A18100" t="str">
        <f>HYPERLINK("https://www.773grp.com/globalSearch/NB4L52MNG/page-1", "NB4L52MNG")</f>
        <v>NB4L52MNG</v>
      </c>
      <c r="B18100" s="3" t="s">
        <v>74</v>
      </c>
      <c r="C18100" s="6">
        <v>13597</v>
      </c>
      <c r="D18100" s="7">
        <v>14.06</v>
      </c>
      <c r="E18100" t="s">
        <v>31</v>
      </c>
    </row>
    <row r="18101" spans="1:5" x14ac:dyDescent="0.25">
      <c r="A18101" t="str">
        <f>HYPERLINK("https://www.773grp.com/globalSearch/NB4L858MFAG/page-1", "NB4L858MFAG")</f>
        <v>NB4L858MFAG</v>
      </c>
      <c r="B18101" s="3" t="s">
        <v>74</v>
      </c>
      <c r="C18101" s="6">
        <v>4369</v>
      </c>
      <c r="D18101" s="7">
        <v>14.06</v>
      </c>
      <c r="E18101" t="s">
        <v>46</v>
      </c>
    </row>
    <row r="18102" spans="1:5" x14ac:dyDescent="0.25">
      <c r="A18102" t="str">
        <f>HYPERLINK("https://www.773grp.com/globalSearch/NB4L858MFAR2G/page-1", "NB4L858MFAR2G")</f>
        <v>NB4L858MFAR2G</v>
      </c>
      <c r="B18102" s="3" t="s">
        <v>74</v>
      </c>
      <c r="C18102" s="6">
        <v>2000</v>
      </c>
      <c r="D18102" s="7">
        <v>14.06</v>
      </c>
      <c r="E18102" t="s">
        <v>46</v>
      </c>
    </row>
    <row r="18103" spans="1:5" x14ac:dyDescent="0.25">
      <c r="A18103" t="str">
        <f>HYPERLINK("https://www.773grp.com/globalSearch/NB7HQ14MMNG/page-1", "NB7HQ14MMNG")</f>
        <v>NB7HQ14MMNG</v>
      </c>
      <c r="B18103" s="3" t="s">
        <v>74</v>
      </c>
      <c r="C18103" s="6">
        <v>1107</v>
      </c>
      <c r="D18103" s="7">
        <v>14.06</v>
      </c>
      <c r="E18103" t="s">
        <v>61</v>
      </c>
    </row>
    <row r="18104" spans="1:5" x14ac:dyDescent="0.25">
      <c r="A18104" t="str">
        <f>HYPERLINK("https://www.773grp.com/globalSearch/NB7HQ14MMNHTBG/page-1", "NB7HQ14MMNHTBG")</f>
        <v>NB7HQ14MMNHTBG</v>
      </c>
      <c r="B18104" s="3" t="s">
        <v>74</v>
      </c>
      <c r="C18104" s="6">
        <v>20</v>
      </c>
      <c r="D18104" s="7">
        <v>14.06</v>
      </c>
    </row>
    <row r="18105" spans="1:5" x14ac:dyDescent="0.25">
      <c r="A18105" t="str">
        <f>HYPERLINK("https://www.773grp.com/globalSearch/NB7V33MMNG/page-1", "NB7V33MMNG")</f>
        <v>NB7V33MMNG</v>
      </c>
      <c r="B18105" s="3" t="s">
        <v>74</v>
      </c>
      <c r="C18105" s="6">
        <v>359</v>
      </c>
      <c r="D18105" s="7">
        <v>14.06</v>
      </c>
      <c r="E18105" t="s">
        <v>30</v>
      </c>
    </row>
    <row r="18106" spans="1:5" x14ac:dyDescent="0.25">
      <c r="A18106" t="str">
        <f>HYPERLINK("https://www.773grp.com/globalSearch/NB7V33MMNHTBG/page-1", "NB7V33MMNHTBG")</f>
        <v>NB7V33MMNHTBG</v>
      </c>
      <c r="B18106" s="3" t="s">
        <v>74</v>
      </c>
      <c r="C18106" s="6">
        <v>100</v>
      </c>
      <c r="D18106" s="7">
        <v>14.06</v>
      </c>
    </row>
    <row r="18107" spans="1:5" x14ac:dyDescent="0.25">
      <c r="A18107" t="str">
        <f>HYPERLINK("https://www.773grp.com/globalSearch/NB7V585MMNG/page-1", "NB7V585MMNG")</f>
        <v>NB7V585MMNG</v>
      </c>
      <c r="B18107" s="3" t="s">
        <v>74</v>
      </c>
      <c r="C18107" s="6">
        <v>557</v>
      </c>
      <c r="D18107" s="7">
        <v>14.06</v>
      </c>
    </row>
    <row r="18108" spans="1:5" x14ac:dyDescent="0.25">
      <c r="A18108" t="str">
        <f>HYPERLINK("https://www.773grp.com/globalSearch/NB7V585MMNR4G/page-1", "NB7V585MMNR4G")</f>
        <v>NB7V585MMNR4G</v>
      </c>
      <c r="B18108" s="3" t="s">
        <v>74</v>
      </c>
      <c r="C18108" s="6">
        <v>2500</v>
      </c>
      <c r="D18108" s="7">
        <v>14.06</v>
      </c>
      <c r="E18108" t="s">
        <v>16</v>
      </c>
    </row>
    <row r="18109" spans="1:5" x14ac:dyDescent="0.25">
      <c r="A18109" t="str">
        <f>HYPERLINK("https://www.773grp.com/globalSearch/NBC12429FAG/page-1", "NBC12429FAG")</f>
        <v>NBC12429FAG</v>
      </c>
      <c r="B18109" s="3" t="s">
        <v>74</v>
      </c>
      <c r="C18109" s="6">
        <v>1323</v>
      </c>
      <c r="D18109" s="7">
        <v>14.06</v>
      </c>
      <c r="E18109" t="s">
        <v>65</v>
      </c>
    </row>
    <row r="18110" spans="1:5" x14ac:dyDescent="0.25">
      <c r="A18110" t="str">
        <f>HYPERLINK("https://www.773grp.com/globalSearch/NBC12429FAR2G/page-1", "NBC12429FAR2G")</f>
        <v>NBC12429FAR2G</v>
      </c>
      <c r="B18110" s="3" t="s">
        <v>74</v>
      </c>
      <c r="C18110" s="6">
        <v>1399</v>
      </c>
      <c r="D18110" s="7">
        <v>14.06</v>
      </c>
      <c r="E18110" t="s">
        <v>65</v>
      </c>
    </row>
    <row r="18111" spans="1:5" x14ac:dyDescent="0.25">
      <c r="A18111" t="str">
        <f>HYPERLINK("https://www.773grp.com/globalSearch/NBC12429FNG/page-1", "NBC12429FNG")</f>
        <v>NBC12429FNG</v>
      </c>
      <c r="B18111" s="3" t="s">
        <v>74</v>
      </c>
      <c r="C18111" s="6">
        <v>9</v>
      </c>
      <c r="D18111" s="7">
        <v>14.06</v>
      </c>
      <c r="E18111" t="s">
        <v>65</v>
      </c>
    </row>
    <row r="18112" spans="1:5" x14ac:dyDescent="0.25">
      <c r="A18112" t="str">
        <f>HYPERLINK("https://www.773grp.com/globalSearch/NBC12430FAG/page-1", "NBC12430FAG")</f>
        <v>NBC12430FAG</v>
      </c>
      <c r="B18112" s="3" t="s">
        <v>74</v>
      </c>
      <c r="C18112" s="6">
        <v>384</v>
      </c>
      <c r="D18112" s="7">
        <v>14.06</v>
      </c>
      <c r="E18112" t="s">
        <v>65</v>
      </c>
    </row>
    <row r="18113" spans="1:5" x14ac:dyDescent="0.25">
      <c r="A18113" t="str">
        <f>HYPERLINK("https://www.773grp.com/globalSearch/NBC12430FAR2G/page-1", "NBC12430FAR2G")</f>
        <v>NBC12430FAR2G</v>
      </c>
      <c r="B18113" s="3" t="s">
        <v>74</v>
      </c>
      <c r="C18113" s="6">
        <v>2080</v>
      </c>
      <c r="D18113" s="7">
        <v>14.06</v>
      </c>
      <c r="E18113" t="s">
        <v>65</v>
      </c>
    </row>
    <row r="18114" spans="1:5" x14ac:dyDescent="0.25">
      <c r="A18114" t="str">
        <f>HYPERLINK("https://www.773grp.com/globalSearch/NBC12430FNG/page-1", "NBC12430FNG")</f>
        <v>NBC12430FNG</v>
      </c>
      <c r="B18114" s="3" t="s">
        <v>74</v>
      </c>
      <c r="C18114" s="6">
        <v>17</v>
      </c>
      <c r="D18114" s="7">
        <v>14.06</v>
      </c>
    </row>
    <row r="18115" spans="1:5" x14ac:dyDescent="0.25">
      <c r="A18115" t="str">
        <f>HYPERLINK("https://www.773grp.com/globalSearch/NBC12439FAG/page-1", "NBC12439FAG")</f>
        <v>NBC12439FAG</v>
      </c>
      <c r="B18115" s="3" t="s">
        <v>74</v>
      </c>
      <c r="C18115" s="6">
        <v>2875</v>
      </c>
      <c r="D18115" s="7">
        <v>14.06</v>
      </c>
      <c r="E18115" t="s">
        <v>65</v>
      </c>
    </row>
    <row r="18116" spans="1:5" x14ac:dyDescent="0.25">
      <c r="A18116" t="str">
        <f>HYPERLINK("https://www.773grp.com/globalSearch/NBC12439FNG/page-1", "NBC12439FNG")</f>
        <v>NBC12439FNG</v>
      </c>
      <c r="B18116" s="3" t="s">
        <v>74</v>
      </c>
      <c r="C18116" s="6">
        <v>1618</v>
      </c>
      <c r="D18116" s="7">
        <v>14.06</v>
      </c>
      <c r="E18116" t="s">
        <v>65</v>
      </c>
    </row>
    <row r="18117" spans="1:5" x14ac:dyDescent="0.25">
      <c r="A18117" t="str">
        <f>HYPERLINK("https://www.773grp.com/globalSearch/STK404-140N-E/page-1", "STK404-140N-E")</f>
        <v>STK404-140N-E</v>
      </c>
      <c r="B18117" s="3" t="s">
        <v>74</v>
      </c>
      <c r="C18117" s="6">
        <v>25</v>
      </c>
      <c r="D18117" s="7">
        <v>14.06</v>
      </c>
    </row>
    <row r="18118" spans="1:5" x14ac:dyDescent="0.25">
      <c r="A18118" t="str">
        <f>HYPERLINK("https://www.773grp.com/globalSearch/STK672-110-SL-E/page-1", "STK672-110-SL-E")</f>
        <v>STK672-110-SL-E</v>
      </c>
      <c r="B18118" s="3" t="s">
        <v>74</v>
      </c>
      <c r="C18118" s="6">
        <v>2000</v>
      </c>
      <c r="D18118" s="7">
        <v>14.06</v>
      </c>
    </row>
    <row r="18119" spans="1:5" x14ac:dyDescent="0.25">
      <c r="A18119" t="str">
        <f>HYPERLINK("https://www.773grp.com/globalSearch/FS6377-01IG-XTD/page-1", "FS6377-01IG-XTD")</f>
        <v>FS6377-01IG-XTD</v>
      </c>
      <c r="B18119" s="3" t="s">
        <v>74</v>
      </c>
      <c r="C18119" s="6">
        <v>16</v>
      </c>
      <c r="D18119" s="7">
        <v>14.14</v>
      </c>
    </row>
    <row r="18120" spans="1:5" x14ac:dyDescent="0.25">
      <c r="A18120" t="str">
        <f>HYPERLINK("https://www.773grp.com/globalSearch/MC10H645FN/page-1", "MC10H645FN")</f>
        <v>MC10H645FN</v>
      </c>
      <c r="B18120" s="3" t="s">
        <v>74</v>
      </c>
      <c r="C18120" s="6">
        <v>907</v>
      </c>
      <c r="D18120" s="7">
        <v>14.14</v>
      </c>
      <c r="E18120" t="s">
        <v>30</v>
      </c>
    </row>
    <row r="18121" spans="1:5" x14ac:dyDescent="0.25">
      <c r="A18121" t="str">
        <f>HYPERLINK("https://www.773grp.com/globalSearch/MC10H645FNR2/page-1", "MC10H645FNR2")</f>
        <v>MC10H645FNR2</v>
      </c>
      <c r="B18121" s="3" t="s">
        <v>74</v>
      </c>
      <c r="C18121" s="6">
        <v>2370</v>
      </c>
      <c r="D18121" s="7">
        <v>14.14</v>
      </c>
      <c r="E18121" t="s">
        <v>30</v>
      </c>
    </row>
    <row r="18122" spans="1:5" x14ac:dyDescent="0.25">
      <c r="A18122" t="str">
        <f>HYPERLINK("https://www.773grp.com/globalSearch/MC100H602FNG/page-1", "MC100H602FNG")</f>
        <v>MC100H602FNG</v>
      </c>
      <c r="B18122" s="3" t="s">
        <v>74</v>
      </c>
      <c r="C18122" s="6">
        <v>761</v>
      </c>
      <c r="D18122" s="7">
        <v>14.18</v>
      </c>
      <c r="E18122" t="s">
        <v>61</v>
      </c>
    </row>
    <row r="18123" spans="1:5" x14ac:dyDescent="0.25">
      <c r="A18123" t="str">
        <f>HYPERLINK("https://www.773grp.com/globalSearch/MC100H607FNR2G/page-1", "MC100H607FNR2G")</f>
        <v>MC100H607FNR2G</v>
      </c>
      <c r="B18123" s="3" t="s">
        <v>74</v>
      </c>
      <c r="C18123" s="6">
        <v>2500</v>
      </c>
      <c r="D18123" s="7">
        <v>14.18</v>
      </c>
      <c r="E18123" t="s">
        <v>61</v>
      </c>
    </row>
    <row r="18124" spans="1:5" x14ac:dyDescent="0.25">
      <c r="A18124" t="str">
        <f>HYPERLINK("https://www.773grp.com/globalSearch/MC10H603FNR2/page-1", "MC10H603FNR2")</f>
        <v>MC10H603FNR2</v>
      </c>
      <c r="B18124" s="3" t="s">
        <v>74</v>
      </c>
      <c r="C18124" s="6">
        <v>500</v>
      </c>
      <c r="D18124" s="7">
        <v>14.18</v>
      </c>
      <c r="E18124" t="s">
        <v>61</v>
      </c>
    </row>
    <row r="18125" spans="1:5" x14ac:dyDescent="0.25">
      <c r="A18125" t="str">
        <f>HYPERLINK("https://www.773grp.com/globalSearch/MC10H606FN/page-1", "MC10H606FN")</f>
        <v>MC10H606FN</v>
      </c>
      <c r="B18125" s="3" t="s">
        <v>74</v>
      </c>
      <c r="C18125" s="6">
        <v>421</v>
      </c>
      <c r="D18125" s="7">
        <v>14.18</v>
      </c>
      <c r="E18125" t="s">
        <v>61</v>
      </c>
    </row>
    <row r="18126" spans="1:5" x14ac:dyDescent="0.25">
      <c r="A18126" t="str">
        <f>HYPERLINK("https://www.773grp.com/globalSearch/MC10H351P/page-1", "MC10H351P")</f>
        <v>MC10H351P</v>
      </c>
      <c r="B18126" s="3" t="s">
        <v>74</v>
      </c>
      <c r="C18126" s="6">
        <v>7568</v>
      </c>
      <c r="D18126" s="7">
        <v>14.21</v>
      </c>
      <c r="E18126" t="s">
        <v>61</v>
      </c>
    </row>
    <row r="18127" spans="1:5" x14ac:dyDescent="0.25">
      <c r="A18127" t="str">
        <f>HYPERLINK("https://www.773grp.com/globalSearch/MC10H352P/page-1", "MC10H352P")</f>
        <v>MC10H352P</v>
      </c>
      <c r="B18127" s="3" t="s">
        <v>74</v>
      </c>
      <c r="C18127" s="6">
        <v>6054</v>
      </c>
      <c r="D18127" s="7">
        <v>14.21</v>
      </c>
      <c r="E18127" t="s">
        <v>61</v>
      </c>
    </row>
    <row r="18128" spans="1:5" x14ac:dyDescent="0.25">
      <c r="A18128" t="str">
        <f>HYPERLINK("https://www.773grp.com/globalSearch/NBC12430FN/page-1", "NBC12430FN")</f>
        <v>NBC12430FN</v>
      </c>
      <c r="B18128" s="3" t="s">
        <v>74</v>
      </c>
      <c r="C18128" s="6">
        <v>769</v>
      </c>
      <c r="D18128" s="7">
        <v>14.48</v>
      </c>
      <c r="E18128" t="s">
        <v>65</v>
      </c>
    </row>
    <row r="18129" spans="1:5" x14ac:dyDescent="0.25">
      <c r="A18129" t="str">
        <f>HYPERLINK("https://www.773grp.com/globalSearch/AD790JR/page-1", "AD790JR")</f>
        <v>AD790JR</v>
      </c>
      <c r="B18129" s="3" t="s">
        <v>74</v>
      </c>
      <c r="C18129" s="6">
        <v>28</v>
      </c>
      <c r="D18129" s="7">
        <v>14.51</v>
      </c>
    </row>
    <row r="18130" spans="1:5" x14ac:dyDescent="0.25">
      <c r="A18130" t="str">
        <f>HYPERLINK("https://www.773grp.com/globalSearch/MC100EP57MNG/page-1", "MC100EP57MNG")</f>
        <v>MC100EP57MNG</v>
      </c>
      <c r="B18130" s="3" t="s">
        <v>74</v>
      </c>
      <c r="C18130" s="6">
        <v>3562</v>
      </c>
      <c r="D18130" s="7">
        <v>14.76</v>
      </c>
      <c r="E18130" t="s">
        <v>16</v>
      </c>
    </row>
    <row r="18131" spans="1:5" x14ac:dyDescent="0.25">
      <c r="A18131" t="str">
        <f>HYPERLINK("https://www.773grp.com/globalSearch/MC10EP57DTG/page-1", "MC10EP57DTG")</f>
        <v>MC10EP57DTG</v>
      </c>
      <c r="B18131" s="3" t="s">
        <v>74</v>
      </c>
      <c r="C18131" s="6">
        <v>4260</v>
      </c>
      <c r="D18131" s="7">
        <v>14.76</v>
      </c>
      <c r="E18131" t="s">
        <v>16</v>
      </c>
    </row>
    <row r="18132" spans="1:5" x14ac:dyDescent="0.25">
      <c r="A18132" t="str">
        <f>HYPERLINK("https://www.773grp.com/globalSearch/MC10EP57DTR2G/page-1", "MC10EP57DTR2G")</f>
        <v>MC10EP57DTR2G</v>
      </c>
      <c r="B18132" s="3" t="s">
        <v>74</v>
      </c>
      <c r="C18132" s="6">
        <v>7500</v>
      </c>
      <c r="D18132" s="7">
        <v>14.76</v>
      </c>
      <c r="E18132" t="s">
        <v>16</v>
      </c>
    </row>
    <row r="18133" spans="1:5" x14ac:dyDescent="0.25">
      <c r="A18133" t="str">
        <f>HYPERLINK("https://www.773grp.com/globalSearch/MC10EP57MNG/page-1", "MC10EP57MNG")</f>
        <v>MC10EP57MNG</v>
      </c>
      <c r="B18133" s="3" t="s">
        <v>74</v>
      </c>
      <c r="C18133" s="6">
        <v>236</v>
      </c>
      <c r="D18133" s="7">
        <v>14.76</v>
      </c>
      <c r="E18133" t="s">
        <v>16</v>
      </c>
    </row>
    <row r="18134" spans="1:5" x14ac:dyDescent="0.25">
      <c r="A18134" t="str">
        <f>HYPERLINK("https://www.773grp.com/globalSearch/MC10EP57MNTXG/page-1", "MC10EP57MNTXG")</f>
        <v>MC10EP57MNTXG</v>
      </c>
      <c r="B18134" s="3" t="s">
        <v>74</v>
      </c>
      <c r="C18134" s="6">
        <v>3000</v>
      </c>
      <c r="D18134" s="7">
        <v>14.76</v>
      </c>
      <c r="E18134" t="s">
        <v>16</v>
      </c>
    </row>
    <row r="18135" spans="1:5" x14ac:dyDescent="0.25">
      <c r="A18135" t="str">
        <f>HYPERLINK("https://www.773grp.com/globalSearch/CAT28LV256G-25T/page-1", "CAT28LV256G-25T")</f>
        <v>CAT28LV256G-25T</v>
      </c>
      <c r="B18135" s="3" t="s">
        <v>74</v>
      </c>
      <c r="C18135" s="6">
        <v>875</v>
      </c>
      <c r="D18135" s="7">
        <v>14.81</v>
      </c>
    </row>
    <row r="18136" spans="1:5" x14ac:dyDescent="0.25">
      <c r="A18136" t="str">
        <f>HYPERLINK("https://www.773grp.com/globalSearch/MC10H350M/page-1", "MC10H350M")</f>
        <v>MC10H350M</v>
      </c>
      <c r="B18136" s="3" t="s">
        <v>74</v>
      </c>
      <c r="C18136" s="6">
        <v>148</v>
      </c>
      <c r="D18136" s="7">
        <v>14.89</v>
      </c>
      <c r="E18136" t="s">
        <v>61</v>
      </c>
    </row>
    <row r="18137" spans="1:5" x14ac:dyDescent="0.25">
      <c r="A18137" t="str">
        <f>HYPERLINK("https://www.773grp.com/globalSearch/MC10H351M/page-1", "MC10H351M")</f>
        <v>MC10H351M</v>
      </c>
      <c r="B18137" s="3" t="s">
        <v>74</v>
      </c>
      <c r="C18137" s="6">
        <v>55</v>
      </c>
      <c r="D18137" s="7">
        <v>14.89</v>
      </c>
      <c r="E18137" t="s">
        <v>61</v>
      </c>
    </row>
    <row r="18138" spans="1:5" x14ac:dyDescent="0.25">
      <c r="A18138" t="str">
        <f>HYPERLINK("https://www.773grp.com/globalSearch/MC10H351MEL/page-1", "MC10H351MEL")</f>
        <v>MC10H351MEL</v>
      </c>
      <c r="B18138" s="3" t="s">
        <v>74</v>
      </c>
      <c r="C18138" s="6">
        <v>4000</v>
      </c>
      <c r="D18138" s="7">
        <v>14.89</v>
      </c>
      <c r="E18138" t="s">
        <v>61</v>
      </c>
    </row>
    <row r="18139" spans="1:5" x14ac:dyDescent="0.25">
      <c r="A18139" t="str">
        <f>HYPERLINK("https://www.773grp.com/globalSearch/MC10H166PG/page-1", "MC10H166PG")</f>
        <v>MC10H166PG</v>
      </c>
      <c r="B18139" s="3" t="s">
        <v>74</v>
      </c>
      <c r="C18139" s="6">
        <v>5274</v>
      </c>
      <c r="D18139" s="7">
        <v>14.9</v>
      </c>
      <c r="E18139" t="s">
        <v>38</v>
      </c>
    </row>
    <row r="18140" spans="1:5" x14ac:dyDescent="0.25">
      <c r="A18140" t="str">
        <f>HYPERLINK("https://www.773grp.com/globalSearch/LC75811W-8715-E/page-1", "LC75811W-8715-E")</f>
        <v>LC75811W-8715-E</v>
      </c>
      <c r="B18140" s="3" t="s">
        <v>74</v>
      </c>
      <c r="C18140" s="6">
        <v>18660</v>
      </c>
      <c r="D18140" s="7">
        <v>14.94</v>
      </c>
    </row>
    <row r="18141" spans="1:5" x14ac:dyDescent="0.25">
      <c r="A18141" t="str">
        <f>HYPERLINK("https://www.773grp.com/globalSearch/MC10H188PG/page-1", "MC10H188PG")</f>
        <v>MC10H188PG</v>
      </c>
      <c r="B18141" s="3" t="s">
        <v>74</v>
      </c>
      <c r="C18141" s="6">
        <v>2245</v>
      </c>
      <c r="D18141" s="7">
        <v>15.03</v>
      </c>
      <c r="E18141" t="s">
        <v>27</v>
      </c>
    </row>
    <row r="18142" spans="1:5" x14ac:dyDescent="0.25">
      <c r="A18142" t="str">
        <f>HYPERLINK("https://www.773grp.com/globalSearch/MC10H189PG/page-1", "MC10H189PG")</f>
        <v>MC10H189PG</v>
      </c>
      <c r="B18142" s="3" t="s">
        <v>74</v>
      </c>
      <c r="C18142" s="6">
        <v>4125</v>
      </c>
      <c r="D18142" s="7">
        <v>15.03</v>
      </c>
      <c r="E18142" t="s">
        <v>27</v>
      </c>
    </row>
    <row r="18143" spans="1:5" x14ac:dyDescent="0.25">
      <c r="A18143" t="str">
        <f>HYPERLINK("https://www.773grp.com/globalSearch/MC10H166FNG/page-1", "MC10H166FNG")</f>
        <v>MC10H166FNG</v>
      </c>
      <c r="B18143" s="3" t="s">
        <v>74</v>
      </c>
      <c r="C18143" s="6">
        <v>4039</v>
      </c>
      <c r="D18143" s="7">
        <v>15.14</v>
      </c>
      <c r="E18143" t="s">
        <v>38</v>
      </c>
    </row>
    <row r="18144" spans="1:5" x14ac:dyDescent="0.25">
      <c r="A18144" t="str">
        <f>HYPERLINK("https://www.773grp.com/globalSearch/MC10H172FNG/page-1", "MC10H172FNG")</f>
        <v>MC10H172FNG</v>
      </c>
      <c r="B18144" s="3" t="s">
        <v>74</v>
      </c>
      <c r="C18144" s="6">
        <v>3220</v>
      </c>
      <c r="D18144" s="7">
        <v>15.14</v>
      </c>
      <c r="E18144" t="s">
        <v>32</v>
      </c>
    </row>
    <row r="18145" spans="1:5" x14ac:dyDescent="0.25">
      <c r="A18145" t="str">
        <f>HYPERLINK("https://www.773grp.com/globalSearch/MC10181L/page-1", "MC10181L")</f>
        <v>MC10181L</v>
      </c>
      <c r="B18145" s="3" t="s">
        <v>74</v>
      </c>
      <c r="C18145" s="6">
        <v>57</v>
      </c>
      <c r="D18145" s="7">
        <v>15.28</v>
      </c>
      <c r="E18145" t="s">
        <v>38</v>
      </c>
    </row>
    <row r="18146" spans="1:5" x14ac:dyDescent="0.25">
      <c r="A18146" t="str">
        <f>HYPERLINK("https://www.773grp.com/globalSearch/NB6L14MMNG/page-1", "NB6L14MMNG")</f>
        <v>NB6L14MMNG</v>
      </c>
      <c r="B18146" s="3" t="s">
        <v>74</v>
      </c>
      <c r="C18146" s="6">
        <v>10612</v>
      </c>
      <c r="D18146" s="7">
        <v>15.33</v>
      </c>
      <c r="E18146" t="s">
        <v>30</v>
      </c>
    </row>
    <row r="18147" spans="1:5" x14ac:dyDescent="0.25">
      <c r="A18147" t="str">
        <f>HYPERLINK("https://www.773grp.com/globalSearch/NB6L14MMNR2G/page-1", "NB6L14MMNR2G")</f>
        <v>NB6L14MMNR2G</v>
      </c>
      <c r="B18147" s="3" t="s">
        <v>74</v>
      </c>
      <c r="C18147" s="6">
        <v>23521</v>
      </c>
      <c r="D18147" s="7">
        <v>15.33</v>
      </c>
      <c r="E18147" t="s">
        <v>30</v>
      </c>
    </row>
    <row r="18148" spans="1:5" x14ac:dyDescent="0.25">
      <c r="A18148" t="str">
        <f>HYPERLINK("https://www.773grp.com/globalSearch/NB6L14MNG/page-1", "NB6L14MNG")</f>
        <v>NB6L14MNG</v>
      </c>
      <c r="B18148" s="3" t="s">
        <v>74</v>
      </c>
      <c r="C18148" s="6">
        <v>1438</v>
      </c>
      <c r="D18148" s="7">
        <v>15.33</v>
      </c>
    </row>
    <row r="18149" spans="1:5" x14ac:dyDescent="0.25">
      <c r="A18149" t="str">
        <f>HYPERLINK("https://www.773grp.com/globalSearch/NB6L14MNR2G/page-1", "NB6L14MNR2G")</f>
        <v>NB6L14MNR2G</v>
      </c>
      <c r="B18149" s="3" t="s">
        <v>74</v>
      </c>
      <c r="C18149" s="6">
        <v>7772</v>
      </c>
      <c r="D18149" s="7">
        <v>15.33</v>
      </c>
      <c r="E18149" t="s">
        <v>30</v>
      </c>
    </row>
    <row r="18150" spans="1:5" x14ac:dyDescent="0.25">
      <c r="A18150" t="str">
        <f>HYPERLINK("https://www.773grp.com/globalSearch/MC10H016P/page-1", "MC10H016P")</f>
        <v>MC10H016P</v>
      </c>
      <c r="B18150" s="3" t="s">
        <v>74</v>
      </c>
      <c r="C18150" s="6">
        <v>1613</v>
      </c>
      <c r="D18150" s="7">
        <v>15.36</v>
      </c>
      <c r="E18150" t="s">
        <v>22</v>
      </c>
    </row>
    <row r="18151" spans="1:5" x14ac:dyDescent="0.25">
      <c r="A18151" t="str">
        <f>HYPERLINK("https://www.773grp.com/globalSearch/NB6L239MNG/page-1", "NB6L239MNG")</f>
        <v>NB6L239MNG</v>
      </c>
      <c r="B18151" s="3" t="s">
        <v>74</v>
      </c>
      <c r="C18151" s="6">
        <v>239</v>
      </c>
      <c r="D18151" s="7">
        <v>15.39</v>
      </c>
      <c r="E18151" t="s">
        <v>30</v>
      </c>
    </row>
    <row r="18152" spans="1:5" x14ac:dyDescent="0.25">
      <c r="A18152" t="str">
        <f>HYPERLINK("https://www.773grp.com/globalSearch/Q32M210F08ALNA/page-1", "Q32M210F08ALNA")</f>
        <v>Q32M210F08ALNA</v>
      </c>
      <c r="B18152" s="3" t="s">
        <v>74</v>
      </c>
      <c r="C18152" s="6">
        <v>3000</v>
      </c>
      <c r="D18152" s="7">
        <v>15.41</v>
      </c>
    </row>
    <row r="18153" spans="1:5" x14ac:dyDescent="0.25">
      <c r="A18153" t="str">
        <f>HYPERLINK("https://www.773grp.com/globalSearch/LC822973-04V-TBM-GBE/page-1", "LC822973-04V-TBM-GBE")</f>
        <v>LC822973-04V-TBM-GBE</v>
      </c>
      <c r="B18153" s="3" t="s">
        <v>74</v>
      </c>
      <c r="C18153" s="6">
        <v>8000</v>
      </c>
      <c r="D18153" s="7">
        <v>15.48</v>
      </c>
    </row>
    <row r="18154" spans="1:5" x14ac:dyDescent="0.25">
      <c r="A18154" t="str">
        <f>HYPERLINK("https://www.773grp.com/globalSearch/MC100E131FNR2/page-1", "MC100E131FNR2")</f>
        <v>MC100E131FNR2</v>
      </c>
      <c r="B18154" s="3" t="s">
        <v>74</v>
      </c>
      <c r="C18154" s="6">
        <v>274</v>
      </c>
      <c r="D18154" s="7">
        <v>15.48</v>
      </c>
      <c r="E18154" t="s">
        <v>31</v>
      </c>
    </row>
    <row r="18155" spans="1:5" x14ac:dyDescent="0.25">
      <c r="A18155" t="str">
        <f>HYPERLINK("https://www.773grp.com/globalSearch/MC100E141FNG/page-1", "MC100E141FNG")</f>
        <v>MC100E141FNG</v>
      </c>
      <c r="B18155" s="3" t="s">
        <v>74</v>
      </c>
      <c r="C18155" s="6">
        <v>1</v>
      </c>
      <c r="D18155" s="7">
        <v>15.48</v>
      </c>
      <c r="E18155" t="s">
        <v>28</v>
      </c>
    </row>
    <row r="18156" spans="1:5" x14ac:dyDescent="0.25">
      <c r="A18156" t="str">
        <f>HYPERLINK("https://www.773grp.com/globalSearch/MC100E142FNG/page-1", "MC100E142FNG")</f>
        <v>MC100E142FNG</v>
      </c>
      <c r="B18156" s="3" t="s">
        <v>74</v>
      </c>
      <c r="C18156" s="6">
        <v>129</v>
      </c>
      <c r="D18156" s="7">
        <v>15.48</v>
      </c>
      <c r="E18156" t="s">
        <v>28</v>
      </c>
    </row>
    <row r="18157" spans="1:5" x14ac:dyDescent="0.25">
      <c r="A18157" t="str">
        <f>HYPERLINK("https://www.773grp.com/globalSearch/MC100E151FN/page-1", "MC100E151FN")</f>
        <v>MC100E151FN</v>
      </c>
      <c r="B18157" s="3" t="s">
        <v>74</v>
      </c>
      <c r="C18157" s="6">
        <v>4181</v>
      </c>
      <c r="D18157" s="7">
        <v>15.48</v>
      </c>
      <c r="E18157" t="s">
        <v>31</v>
      </c>
    </row>
    <row r="18158" spans="1:5" x14ac:dyDescent="0.25">
      <c r="A18158" t="str">
        <f>HYPERLINK("https://www.773grp.com/globalSearch/MC100E157FNG/page-1", "MC100E157FNG")</f>
        <v>MC100E157FNG</v>
      </c>
      <c r="B18158" s="3" t="s">
        <v>74</v>
      </c>
      <c r="C18158" s="6">
        <v>150</v>
      </c>
      <c r="D18158" s="7">
        <v>15.48</v>
      </c>
      <c r="E18158" t="s">
        <v>16</v>
      </c>
    </row>
    <row r="18159" spans="1:5" x14ac:dyDescent="0.25">
      <c r="A18159" t="str">
        <f>HYPERLINK("https://www.773grp.com/globalSearch/MC100E157FNR2G/page-1", "MC100E157FNR2G")</f>
        <v>MC100E157FNR2G</v>
      </c>
      <c r="B18159" s="3" t="s">
        <v>74</v>
      </c>
      <c r="C18159" s="6">
        <v>500</v>
      </c>
      <c r="D18159" s="7">
        <v>15.48</v>
      </c>
      <c r="E18159" t="s">
        <v>16</v>
      </c>
    </row>
    <row r="18160" spans="1:5" x14ac:dyDescent="0.25">
      <c r="A18160" t="str">
        <f>HYPERLINK("https://www.773grp.com/globalSearch/MC100E404FN/page-1", "MC100E404FN")</f>
        <v>MC100E404FN</v>
      </c>
      <c r="B18160" s="3" t="s">
        <v>74</v>
      </c>
      <c r="C18160" s="6">
        <v>2072</v>
      </c>
      <c r="D18160" s="7">
        <v>15.48</v>
      </c>
      <c r="E18160" t="s">
        <v>27</v>
      </c>
    </row>
    <row r="18161" spans="1:5" x14ac:dyDescent="0.25">
      <c r="A18161" t="str">
        <f>HYPERLINK("https://www.773grp.com/globalSearch/MC100E416FNG/page-1", "MC100E416FNG")</f>
        <v>MC100E416FNG</v>
      </c>
      <c r="B18161" s="3" t="s">
        <v>74</v>
      </c>
      <c r="C18161" s="6">
        <v>1304</v>
      </c>
      <c r="D18161" s="7">
        <v>15.48</v>
      </c>
      <c r="E18161" t="s">
        <v>17</v>
      </c>
    </row>
    <row r="18162" spans="1:5" x14ac:dyDescent="0.25">
      <c r="A18162" t="str">
        <f>HYPERLINK("https://www.773grp.com/globalSearch/MC100E452FN/page-1", "MC100E452FN")</f>
        <v>MC100E452FN</v>
      </c>
      <c r="B18162" s="3" t="s">
        <v>74</v>
      </c>
      <c r="C18162" s="6">
        <v>3663</v>
      </c>
      <c r="D18162" s="7">
        <v>15.48</v>
      </c>
      <c r="E18162" t="s">
        <v>31</v>
      </c>
    </row>
    <row r="18163" spans="1:5" x14ac:dyDescent="0.25">
      <c r="A18163" t="str">
        <f>HYPERLINK("https://www.773grp.com/globalSearch/MC100E457FN/page-1", "MC100E457FN")</f>
        <v>MC100E457FN</v>
      </c>
      <c r="B18163" s="3" t="s">
        <v>74</v>
      </c>
      <c r="C18163" s="6">
        <v>7998</v>
      </c>
      <c r="D18163" s="7">
        <v>15.48</v>
      </c>
      <c r="E18163" t="s">
        <v>16</v>
      </c>
    </row>
    <row r="18164" spans="1:5" x14ac:dyDescent="0.25">
      <c r="A18164" t="str">
        <f>HYPERLINK("https://www.773grp.com/globalSearch/MC100EL59DWG/page-1", "MC100EL59DWG")</f>
        <v>MC100EL59DWG</v>
      </c>
      <c r="B18164" s="3" t="s">
        <v>74</v>
      </c>
      <c r="C18164" s="6">
        <v>4016</v>
      </c>
      <c r="D18164" s="7">
        <v>15.48</v>
      </c>
      <c r="E18164" t="s">
        <v>16</v>
      </c>
    </row>
    <row r="18165" spans="1:5" x14ac:dyDescent="0.25">
      <c r="A18165" t="str">
        <f>HYPERLINK("https://www.773grp.com/globalSearch/MC100EPT622FA/page-1", "MC100EPT622FA")</f>
        <v>MC100EPT622FA</v>
      </c>
      <c r="B18165" s="3" t="s">
        <v>74</v>
      </c>
      <c r="C18165" s="6">
        <v>17743</v>
      </c>
      <c r="D18165" s="7">
        <v>15.48</v>
      </c>
      <c r="E18165" t="s">
        <v>61</v>
      </c>
    </row>
    <row r="18166" spans="1:5" x14ac:dyDescent="0.25">
      <c r="A18166" t="str">
        <f>HYPERLINK("https://www.773grp.com/globalSearch/MC100EPT622FAR2/page-1", "MC100EPT622FAR2")</f>
        <v>MC100EPT622FAR2</v>
      </c>
      <c r="B18166" s="3" t="s">
        <v>74</v>
      </c>
      <c r="C18166" s="6">
        <v>20000</v>
      </c>
      <c r="D18166" s="7">
        <v>15.48</v>
      </c>
      <c r="E18166" t="s">
        <v>61</v>
      </c>
    </row>
    <row r="18167" spans="1:5" x14ac:dyDescent="0.25">
      <c r="A18167" t="str">
        <f>HYPERLINK("https://www.773grp.com/globalSearch/MC100LVEL40DWG/page-1", "MC100LVEL40DWG")</f>
        <v>MC100LVEL40DWG</v>
      </c>
      <c r="B18167" s="3" t="s">
        <v>74</v>
      </c>
      <c r="C18167" s="6">
        <v>3749</v>
      </c>
      <c r="D18167" s="7">
        <v>15.48</v>
      </c>
      <c r="E18167" t="s">
        <v>34</v>
      </c>
    </row>
    <row r="18168" spans="1:5" x14ac:dyDescent="0.25">
      <c r="A18168" t="str">
        <f>HYPERLINK("https://www.773grp.com/globalSearch/MC100LVEL40DWR2G/page-1", "MC100LVEL40DWR2G")</f>
        <v>MC100LVEL40DWR2G</v>
      </c>
      <c r="B18168" s="3" t="s">
        <v>74</v>
      </c>
      <c r="C18168" s="6">
        <v>4280</v>
      </c>
      <c r="D18168" s="7">
        <v>15.48</v>
      </c>
      <c r="E18168" t="s">
        <v>34</v>
      </c>
    </row>
    <row r="18169" spans="1:5" x14ac:dyDescent="0.25">
      <c r="A18169" t="str">
        <f>HYPERLINK("https://www.773grp.com/globalSearch/MC100LVEL59DWG/page-1", "MC100LVEL59DWG")</f>
        <v>MC100LVEL59DWG</v>
      </c>
      <c r="B18169" s="3" t="s">
        <v>74</v>
      </c>
      <c r="C18169" s="6">
        <v>3142</v>
      </c>
      <c r="D18169" s="7">
        <v>15.48</v>
      </c>
      <c r="E18169" t="s">
        <v>16</v>
      </c>
    </row>
    <row r="18170" spans="1:5" x14ac:dyDescent="0.25">
      <c r="A18170" t="str">
        <f>HYPERLINK("https://www.773grp.com/globalSearch/MC100LVEL59DWR2G/page-1", "MC100LVEL59DWR2G")</f>
        <v>MC100LVEL59DWR2G</v>
      </c>
      <c r="B18170" s="3" t="s">
        <v>74</v>
      </c>
      <c r="C18170" s="6">
        <v>2000</v>
      </c>
      <c r="D18170" s="7">
        <v>15.48</v>
      </c>
      <c r="E18170" t="s">
        <v>16</v>
      </c>
    </row>
    <row r="18171" spans="1:5" x14ac:dyDescent="0.25">
      <c r="A18171" t="str">
        <f>HYPERLINK("https://www.773grp.com/globalSearch/MC10E151FN/page-1", "MC10E151FN")</f>
        <v>MC10E151FN</v>
      </c>
      <c r="B18171" s="3" t="s">
        <v>74</v>
      </c>
      <c r="C18171" s="6">
        <v>1332</v>
      </c>
      <c r="D18171" s="7">
        <v>15.48</v>
      </c>
      <c r="E18171" t="s">
        <v>31</v>
      </c>
    </row>
    <row r="18172" spans="1:5" x14ac:dyDescent="0.25">
      <c r="A18172" t="str">
        <f>HYPERLINK("https://www.773grp.com/globalSearch/MC10E166FNG/page-1", "MC10E166FNG")</f>
        <v>MC10E166FNG</v>
      </c>
      <c r="B18172" s="3" t="s">
        <v>74</v>
      </c>
      <c r="C18172" s="6">
        <v>2225</v>
      </c>
      <c r="D18172" s="7">
        <v>15.48</v>
      </c>
      <c r="E18172" t="s">
        <v>38</v>
      </c>
    </row>
    <row r="18173" spans="1:5" x14ac:dyDescent="0.25">
      <c r="A18173" t="str">
        <f>HYPERLINK("https://www.773grp.com/globalSearch/MC10E166FNR2G/page-1", "MC10E166FNR2G")</f>
        <v>MC10E166FNR2G</v>
      </c>
      <c r="B18173" s="3" t="s">
        <v>74</v>
      </c>
      <c r="C18173" s="6">
        <v>3500</v>
      </c>
      <c r="D18173" s="7">
        <v>15.48</v>
      </c>
      <c r="E18173" t="s">
        <v>38</v>
      </c>
    </row>
    <row r="18174" spans="1:5" x14ac:dyDescent="0.25">
      <c r="A18174" t="str">
        <f>HYPERLINK("https://www.773grp.com/globalSearch/NTY100N10/page-1", "NTY100N10")</f>
        <v>NTY100N10</v>
      </c>
      <c r="B18174" s="3" t="s">
        <v>74</v>
      </c>
      <c r="C18174" s="6">
        <v>75</v>
      </c>
      <c r="D18174" s="7">
        <v>15.48</v>
      </c>
      <c r="E18174" t="s">
        <v>84</v>
      </c>
    </row>
    <row r="18175" spans="1:5" x14ac:dyDescent="0.25">
      <c r="A18175" t="str">
        <f>HYPERLINK("https://www.773grp.com/globalSearch/NTY100N10G/page-1", "NTY100N10G")</f>
        <v>NTY100N10G</v>
      </c>
      <c r="B18175" s="3" t="s">
        <v>74</v>
      </c>
      <c r="C18175" s="6">
        <v>2742</v>
      </c>
      <c r="D18175" s="7">
        <v>15.48</v>
      </c>
      <c r="E18175" t="s">
        <v>84</v>
      </c>
    </row>
    <row r="18176" spans="1:5" x14ac:dyDescent="0.25">
      <c r="A18176" t="str">
        <f>HYPERLINK("https://www.773grp.com/globalSearch/STK672-060-E/page-1", "STK672-060-E")</f>
        <v>STK672-060-E</v>
      </c>
      <c r="B18176" s="3" t="s">
        <v>74</v>
      </c>
      <c r="C18176" s="6">
        <v>54</v>
      </c>
      <c r="D18176" s="7">
        <v>15.48</v>
      </c>
    </row>
    <row r="18177" spans="1:5" x14ac:dyDescent="0.25">
      <c r="A18177" t="str">
        <f>HYPERLINK("https://www.773grp.com/globalSearch/MC10H188FNG/page-1", "MC10H188FNG")</f>
        <v>MC10H188FNG</v>
      </c>
      <c r="B18177" s="3" t="s">
        <v>74</v>
      </c>
      <c r="C18177" s="6">
        <v>3060</v>
      </c>
      <c r="D18177" s="7">
        <v>15.64</v>
      </c>
      <c r="E18177" t="s">
        <v>27</v>
      </c>
    </row>
    <row r="18178" spans="1:5" x14ac:dyDescent="0.25">
      <c r="A18178" t="str">
        <f>HYPERLINK("https://www.773grp.com/globalSearch/MC10H188FNR2G/page-1", "MC10H188FNR2G")</f>
        <v>MC10H188FNR2G</v>
      </c>
      <c r="B18178" s="3" t="s">
        <v>74</v>
      </c>
      <c r="C18178" s="6">
        <v>8842</v>
      </c>
      <c r="D18178" s="7">
        <v>15.64</v>
      </c>
      <c r="E18178" t="s">
        <v>27</v>
      </c>
    </row>
    <row r="18179" spans="1:5" x14ac:dyDescent="0.25">
      <c r="A18179" t="str">
        <f>HYPERLINK("https://www.773grp.com/globalSearch/MC10H188MELG/page-1", "MC10H188MELG")</f>
        <v>MC10H188MELG</v>
      </c>
      <c r="B18179" s="3" t="s">
        <v>74</v>
      </c>
      <c r="C18179" s="6">
        <v>12125</v>
      </c>
      <c r="D18179" s="7">
        <v>15.64</v>
      </c>
      <c r="E18179" t="s">
        <v>27</v>
      </c>
    </row>
    <row r="18180" spans="1:5" x14ac:dyDescent="0.25">
      <c r="A18180" t="str">
        <f>HYPERLINK("https://www.773grp.com/globalSearch/MC10H188MG/page-1", "MC10H188MG")</f>
        <v>MC10H188MG</v>
      </c>
      <c r="B18180" s="3" t="s">
        <v>74</v>
      </c>
      <c r="C18180" s="6">
        <v>4430</v>
      </c>
      <c r="D18180" s="7">
        <v>15.64</v>
      </c>
      <c r="E18180" t="s">
        <v>27</v>
      </c>
    </row>
    <row r="18181" spans="1:5" x14ac:dyDescent="0.25">
      <c r="A18181" t="str">
        <f>HYPERLINK("https://www.773grp.com/globalSearch/MC10H189MELG/page-1", "MC10H189MELG")</f>
        <v>MC10H189MELG</v>
      </c>
      <c r="B18181" s="3" t="s">
        <v>74</v>
      </c>
      <c r="C18181" s="6">
        <v>1900</v>
      </c>
      <c r="D18181" s="7">
        <v>15.64</v>
      </c>
      <c r="E18181" t="s">
        <v>27</v>
      </c>
    </row>
    <row r="18182" spans="1:5" x14ac:dyDescent="0.25">
      <c r="A18182" t="str">
        <f>HYPERLINK("https://www.773grp.com/globalSearch/MC100H600FNG/page-1", "MC100H600FNG")</f>
        <v>MC100H600FNG</v>
      </c>
      <c r="B18182" s="3" t="s">
        <v>74</v>
      </c>
      <c r="C18182" s="6">
        <v>22</v>
      </c>
      <c r="D18182" s="7">
        <v>15.75</v>
      </c>
    </row>
    <row r="18183" spans="1:5" x14ac:dyDescent="0.25">
      <c r="A18183" t="str">
        <f>HYPERLINK("https://www.773grp.com/globalSearch/MC100H601FNG/page-1", "MC100H601FNG")</f>
        <v>MC100H601FNG</v>
      </c>
      <c r="B18183" s="3" t="s">
        <v>74</v>
      </c>
      <c r="C18183" s="6">
        <v>484</v>
      </c>
      <c r="D18183" s="7">
        <v>15.75</v>
      </c>
      <c r="E18183" t="s">
        <v>61</v>
      </c>
    </row>
    <row r="18184" spans="1:5" x14ac:dyDescent="0.25">
      <c r="A18184" t="str">
        <f>HYPERLINK("https://www.773grp.com/globalSearch/MC100H603FNG/page-1", "MC100H603FNG")</f>
        <v>MC100H603FNG</v>
      </c>
      <c r="B18184" s="3" t="s">
        <v>74</v>
      </c>
      <c r="C18184" s="6">
        <v>481</v>
      </c>
      <c r="D18184" s="7">
        <v>15.75</v>
      </c>
      <c r="E18184" t="s">
        <v>61</v>
      </c>
    </row>
    <row r="18185" spans="1:5" x14ac:dyDescent="0.25">
      <c r="A18185" t="str">
        <f>HYPERLINK("https://www.773grp.com/globalSearch/MC100H606FNG/page-1", "MC100H606FNG")</f>
        <v>MC100H606FNG</v>
      </c>
      <c r="B18185" s="3" t="s">
        <v>74</v>
      </c>
      <c r="C18185" s="6">
        <v>296</v>
      </c>
      <c r="D18185" s="7">
        <v>15.75</v>
      </c>
      <c r="E18185" t="s">
        <v>61</v>
      </c>
    </row>
    <row r="18186" spans="1:5" x14ac:dyDescent="0.25">
      <c r="A18186" t="str">
        <f>HYPERLINK("https://www.773grp.com/globalSearch/MC100H641FNG/page-1", "MC100H641FNG")</f>
        <v>MC100H641FNG</v>
      </c>
      <c r="B18186" s="3" t="s">
        <v>74</v>
      </c>
      <c r="C18186" s="6">
        <v>2320</v>
      </c>
      <c r="D18186" s="7">
        <v>15.75</v>
      </c>
      <c r="E18186" t="s">
        <v>30</v>
      </c>
    </row>
    <row r="18187" spans="1:5" x14ac:dyDescent="0.25">
      <c r="A18187" t="str">
        <f>HYPERLINK("https://www.773grp.com/globalSearch/MC100H641FNR2G/page-1", "MC100H641FNR2G")</f>
        <v>MC100H641FNR2G</v>
      </c>
      <c r="B18187" s="3" t="s">
        <v>74</v>
      </c>
      <c r="C18187" s="6">
        <v>2339</v>
      </c>
      <c r="D18187" s="7">
        <v>15.75</v>
      </c>
      <c r="E18187" t="s">
        <v>30</v>
      </c>
    </row>
    <row r="18188" spans="1:5" x14ac:dyDescent="0.25">
      <c r="A18188" t="str">
        <f>HYPERLINK("https://www.773grp.com/globalSearch/MC10H600FNG/page-1", "MC10H600FNG")</f>
        <v>MC10H600FNG</v>
      </c>
      <c r="B18188" s="3" t="s">
        <v>74</v>
      </c>
      <c r="C18188" s="6">
        <v>1852</v>
      </c>
      <c r="D18188" s="7">
        <v>15.75</v>
      </c>
      <c r="E18188" t="s">
        <v>61</v>
      </c>
    </row>
    <row r="18189" spans="1:5" x14ac:dyDescent="0.25">
      <c r="A18189" t="str">
        <f>HYPERLINK("https://www.773grp.com/globalSearch/MC10H600FNR2G/page-1", "MC10H600FNR2G")</f>
        <v>MC10H600FNR2G</v>
      </c>
      <c r="B18189" s="3" t="s">
        <v>74</v>
      </c>
      <c r="C18189" s="6">
        <v>204</v>
      </c>
      <c r="D18189" s="7">
        <v>15.75</v>
      </c>
    </row>
    <row r="18190" spans="1:5" x14ac:dyDescent="0.25">
      <c r="A18190" t="str">
        <f>HYPERLINK("https://www.773grp.com/globalSearch/MC10H601FNG/page-1", "MC10H601FNG")</f>
        <v>MC10H601FNG</v>
      </c>
      <c r="B18190" s="3" t="s">
        <v>74</v>
      </c>
      <c r="C18190" s="6">
        <v>1855</v>
      </c>
      <c r="D18190" s="7">
        <v>15.75</v>
      </c>
      <c r="E18190" t="s">
        <v>61</v>
      </c>
    </row>
    <row r="18191" spans="1:5" x14ac:dyDescent="0.25">
      <c r="A18191" t="str">
        <f>HYPERLINK("https://www.773grp.com/globalSearch/MC10H601FNR2G/page-1", "MC10H601FNR2G")</f>
        <v>MC10H601FNR2G</v>
      </c>
      <c r="B18191" s="3" t="s">
        <v>74</v>
      </c>
      <c r="C18191" s="6">
        <v>500</v>
      </c>
      <c r="D18191" s="7">
        <v>15.75</v>
      </c>
    </row>
    <row r="18192" spans="1:5" x14ac:dyDescent="0.25">
      <c r="A18192" t="str">
        <f>HYPERLINK("https://www.773grp.com/globalSearch/MC10H602FNG/page-1", "MC10H602FNG")</f>
        <v>MC10H602FNG</v>
      </c>
      <c r="B18192" s="3" t="s">
        <v>74</v>
      </c>
      <c r="C18192" s="6">
        <v>77</v>
      </c>
      <c r="D18192" s="7">
        <v>15.75</v>
      </c>
    </row>
    <row r="18193" spans="1:5" x14ac:dyDescent="0.25">
      <c r="A18193" t="str">
        <f>HYPERLINK("https://www.773grp.com/globalSearch/MC10H607FNG/page-1", "MC10H607FNG")</f>
        <v>MC10H607FNG</v>
      </c>
      <c r="B18193" s="3" t="s">
        <v>74</v>
      </c>
      <c r="C18193" s="6">
        <v>1058</v>
      </c>
      <c r="D18193" s="7">
        <v>15.75</v>
      </c>
      <c r="E18193" t="s">
        <v>61</v>
      </c>
    </row>
    <row r="18194" spans="1:5" x14ac:dyDescent="0.25">
      <c r="A18194" t="str">
        <f>HYPERLINK("https://www.773grp.com/globalSearch/STK433-270-E/page-1", "STK433-270-E")</f>
        <v>STK433-270-E</v>
      </c>
      <c r="B18194" s="3" t="s">
        <v>74</v>
      </c>
      <c r="C18194" s="6">
        <v>10000</v>
      </c>
      <c r="D18194" s="7">
        <v>15.75</v>
      </c>
    </row>
    <row r="18195" spans="1:5" x14ac:dyDescent="0.25">
      <c r="A18195" t="str">
        <f>HYPERLINK("https://www.773grp.com/globalSearch/MC10SX1130DG/page-1", "MC10SX1130DG")</f>
        <v>MC10SX1130DG</v>
      </c>
      <c r="B18195" s="3" t="s">
        <v>74</v>
      </c>
      <c r="C18195" s="6">
        <v>14231</v>
      </c>
      <c r="D18195" s="7">
        <v>16.16</v>
      </c>
      <c r="E18195" t="s">
        <v>7</v>
      </c>
    </row>
    <row r="18196" spans="1:5" x14ac:dyDescent="0.25">
      <c r="A18196" t="str">
        <f>HYPERLINK("https://www.773grp.com/globalSearch/MC100EP35DG/page-1", "MC100EP35DG")</f>
        <v>MC100EP35DG</v>
      </c>
      <c r="B18196" s="3" t="s">
        <v>74</v>
      </c>
      <c r="C18196" s="6">
        <v>14893</v>
      </c>
      <c r="D18196" s="7">
        <v>16.309999999999999</v>
      </c>
      <c r="E18196" t="s">
        <v>31</v>
      </c>
    </row>
    <row r="18197" spans="1:5" x14ac:dyDescent="0.25">
      <c r="A18197" t="str">
        <f>HYPERLINK("https://www.773grp.com/globalSearch/MC100EP35DR2G/page-1", "MC100EP35DR2G")</f>
        <v>MC100EP35DR2G</v>
      </c>
      <c r="B18197" s="3" t="s">
        <v>74</v>
      </c>
      <c r="C18197" s="6">
        <v>15000</v>
      </c>
      <c r="D18197" s="7">
        <v>16.309999999999999</v>
      </c>
      <c r="E18197" t="s">
        <v>31</v>
      </c>
    </row>
    <row r="18198" spans="1:5" x14ac:dyDescent="0.25">
      <c r="A18198" t="str">
        <f>HYPERLINK("https://www.773grp.com/globalSearch/MC100EP35DTG/page-1", "MC100EP35DTG")</f>
        <v>MC100EP35DTG</v>
      </c>
      <c r="B18198" s="3" t="s">
        <v>74</v>
      </c>
      <c r="C18198" s="6">
        <v>10119</v>
      </c>
      <c r="D18198" s="7">
        <v>16.309999999999999</v>
      </c>
      <c r="E18198" t="s">
        <v>31</v>
      </c>
    </row>
    <row r="18199" spans="1:5" x14ac:dyDescent="0.25">
      <c r="A18199" t="str">
        <f>HYPERLINK("https://www.773grp.com/globalSearch/MC100EP35DTR2G/page-1", "MC100EP35DTR2G")</f>
        <v>MC100EP35DTR2G</v>
      </c>
      <c r="B18199" s="3" t="s">
        <v>74</v>
      </c>
      <c r="C18199" s="6">
        <v>2500</v>
      </c>
      <c r="D18199" s="7">
        <v>16.309999999999999</v>
      </c>
      <c r="E18199" t="s">
        <v>31</v>
      </c>
    </row>
    <row r="18200" spans="1:5" x14ac:dyDescent="0.25">
      <c r="A18200" t="str">
        <f>HYPERLINK("https://www.773grp.com/globalSearch/MC100EP35MNR4G/page-1", "MC100EP35MNR4G")</f>
        <v>MC100EP35MNR4G</v>
      </c>
      <c r="B18200" s="3" t="s">
        <v>74</v>
      </c>
      <c r="C18200" s="6">
        <v>10044</v>
      </c>
      <c r="D18200" s="7">
        <v>16.309999999999999</v>
      </c>
      <c r="E18200" t="s">
        <v>31</v>
      </c>
    </row>
    <row r="18201" spans="1:5" x14ac:dyDescent="0.25">
      <c r="A18201" t="str">
        <f>HYPERLINK("https://www.773grp.com/globalSearch/MC10EP35DG/page-1", "MC10EP35DG")</f>
        <v>MC10EP35DG</v>
      </c>
      <c r="B18201" s="3" t="s">
        <v>74</v>
      </c>
      <c r="C18201" s="6">
        <v>42871</v>
      </c>
      <c r="D18201" s="7">
        <v>16.309999999999999</v>
      </c>
      <c r="E18201" t="s">
        <v>31</v>
      </c>
    </row>
    <row r="18202" spans="1:5" x14ac:dyDescent="0.25">
      <c r="A18202" t="str">
        <f>HYPERLINK("https://www.773grp.com/globalSearch/MC10EP35DR2G/page-1", "MC10EP35DR2G")</f>
        <v>MC10EP35DR2G</v>
      </c>
      <c r="B18202" s="3" t="s">
        <v>74</v>
      </c>
      <c r="C18202" s="6">
        <v>12500</v>
      </c>
      <c r="D18202" s="7">
        <v>16.309999999999999</v>
      </c>
      <c r="E18202" t="s">
        <v>31</v>
      </c>
    </row>
    <row r="18203" spans="1:5" x14ac:dyDescent="0.25">
      <c r="A18203" t="str">
        <f>HYPERLINK("https://www.773grp.com/globalSearch/MC10EP35DTG/page-1", "MC10EP35DTG")</f>
        <v>MC10EP35DTG</v>
      </c>
      <c r="B18203" s="3" t="s">
        <v>74</v>
      </c>
      <c r="C18203" s="6">
        <v>12425</v>
      </c>
      <c r="D18203" s="7">
        <v>16.309999999999999</v>
      </c>
      <c r="E18203" t="s">
        <v>31</v>
      </c>
    </row>
    <row r="18204" spans="1:5" x14ac:dyDescent="0.25">
      <c r="A18204" t="str">
        <f>HYPERLINK("https://www.773grp.com/globalSearch/MC10EP35DTR2G/page-1", "MC10EP35DTR2G")</f>
        <v>MC10EP35DTR2G</v>
      </c>
      <c r="B18204" s="3" t="s">
        <v>74</v>
      </c>
      <c r="C18204" s="6">
        <v>2500</v>
      </c>
      <c r="D18204" s="7">
        <v>16.309999999999999</v>
      </c>
      <c r="E18204" t="s">
        <v>31</v>
      </c>
    </row>
    <row r="18205" spans="1:5" x14ac:dyDescent="0.25">
      <c r="A18205" t="str">
        <f>HYPERLINK("https://www.773grp.com/globalSearch/NB6L56MNG/page-1", "NB6L56MNG")</f>
        <v>NB6L56MNG</v>
      </c>
      <c r="B18205" s="3" t="s">
        <v>74</v>
      </c>
      <c r="C18205" s="6">
        <v>74</v>
      </c>
      <c r="D18205" s="7">
        <v>16.309999999999999</v>
      </c>
    </row>
    <row r="18206" spans="1:5" x14ac:dyDescent="0.25">
      <c r="A18206" t="str">
        <f>HYPERLINK("https://www.773grp.com/globalSearch/NB7L585RMNG/page-1", "NB7L585RMNG")</f>
        <v>NB7L585RMNG</v>
      </c>
      <c r="B18206" s="3" t="s">
        <v>74</v>
      </c>
      <c r="C18206" s="6">
        <v>48</v>
      </c>
      <c r="D18206" s="7">
        <v>16.309999999999999</v>
      </c>
      <c r="E18206" t="s">
        <v>30</v>
      </c>
    </row>
    <row r="18207" spans="1:5" x14ac:dyDescent="0.25">
      <c r="A18207" t="str">
        <f>HYPERLINK("https://www.773grp.com/globalSearch/NB7L585RMNR4G/page-1", "NB7L585RMNR4G")</f>
        <v>NB7L585RMNR4G</v>
      </c>
      <c r="B18207" s="3" t="s">
        <v>74</v>
      </c>
      <c r="C18207" s="6">
        <v>2000</v>
      </c>
      <c r="D18207" s="7">
        <v>16.309999999999999</v>
      </c>
      <c r="E18207" t="s">
        <v>30</v>
      </c>
    </row>
    <row r="18208" spans="1:5" x14ac:dyDescent="0.25">
      <c r="A18208" t="str">
        <f>HYPERLINK("https://www.773grp.com/globalSearch/MC10H330FN/page-1", "MC10H330FN")</f>
        <v>MC10H330FN</v>
      </c>
      <c r="B18208" s="3" t="s">
        <v>74</v>
      </c>
      <c r="C18208" s="6">
        <v>2035</v>
      </c>
      <c r="D18208" s="7">
        <v>16.38</v>
      </c>
      <c r="E18208" t="s">
        <v>11</v>
      </c>
    </row>
    <row r="18209" spans="1:5" x14ac:dyDescent="0.25">
      <c r="A18209" t="str">
        <f>HYPERLINK("https://www.773grp.com/globalSearch/MC10H165P/page-1", "MC10H165P")</f>
        <v>MC10H165P</v>
      </c>
      <c r="B18209" s="3" t="s">
        <v>74</v>
      </c>
      <c r="C18209" s="6">
        <v>1445</v>
      </c>
      <c r="D18209" s="7">
        <v>16.399999999999999</v>
      </c>
      <c r="E18209" t="s">
        <v>38</v>
      </c>
    </row>
    <row r="18210" spans="1:5" x14ac:dyDescent="0.25">
      <c r="A18210" t="str">
        <f>HYPERLINK("https://www.773grp.com/globalSearch/MC100LVEL30DWR2/page-1", "MC100LVEL30DWR2")</f>
        <v>MC100LVEL30DWR2</v>
      </c>
      <c r="B18210" s="3" t="s">
        <v>74</v>
      </c>
      <c r="C18210" s="6">
        <v>310</v>
      </c>
      <c r="D18210" s="7">
        <v>16.649999999999999</v>
      </c>
      <c r="E18210" t="s">
        <v>31</v>
      </c>
    </row>
    <row r="18211" spans="1:5" x14ac:dyDescent="0.25">
      <c r="A18211" t="str">
        <f>HYPERLINK("https://www.773grp.com/globalSearch/2N6338G/page-1", "2N6338G")</f>
        <v>2N6338G</v>
      </c>
      <c r="B18211" s="3" t="s">
        <v>74</v>
      </c>
      <c r="C18211" s="6">
        <v>50</v>
      </c>
      <c r="D18211" s="7">
        <v>16.71</v>
      </c>
      <c r="E18211" t="s">
        <v>47</v>
      </c>
    </row>
    <row r="18212" spans="1:5" x14ac:dyDescent="0.25">
      <c r="A18212" t="str">
        <f>HYPERLINK("https://www.773grp.com/globalSearch/2N6341G/page-1", "2N6341G")</f>
        <v>2N6341G</v>
      </c>
      <c r="B18212" s="3" t="s">
        <v>74</v>
      </c>
      <c r="C18212" s="6">
        <v>170</v>
      </c>
      <c r="D18212" s="7">
        <v>16.71</v>
      </c>
      <c r="E18212" t="s">
        <v>47</v>
      </c>
    </row>
    <row r="18213" spans="1:5" x14ac:dyDescent="0.25">
      <c r="A18213" t="str">
        <f>HYPERLINK("https://www.773grp.com/globalSearch/MC10EP57DT/page-1", "MC10EP57DT")</f>
        <v>MC10EP57DT</v>
      </c>
      <c r="B18213" s="3" t="s">
        <v>74</v>
      </c>
      <c r="C18213" s="6">
        <v>5175</v>
      </c>
      <c r="D18213" s="7">
        <v>16.739999999999998</v>
      </c>
    </row>
    <row r="18214" spans="1:5" x14ac:dyDescent="0.25">
      <c r="A18214" t="str">
        <f>HYPERLINK("https://www.773grp.com/globalSearch/LC74736PT-E/page-1", "LC74736PT-E")</f>
        <v>LC74736PT-E</v>
      </c>
      <c r="B18214" s="3" t="s">
        <v>74</v>
      </c>
      <c r="C18214" s="6">
        <v>32</v>
      </c>
      <c r="D18214" s="7">
        <v>16.88</v>
      </c>
    </row>
    <row r="18215" spans="1:5" x14ac:dyDescent="0.25">
      <c r="A18215" t="str">
        <f>HYPERLINK("https://www.773grp.com/globalSearch/MC100EP809FAG/page-1", "MC100EP809FAG")</f>
        <v>MC100EP809FAG</v>
      </c>
      <c r="B18215" s="3" t="s">
        <v>74</v>
      </c>
      <c r="C18215" s="6">
        <v>12070</v>
      </c>
      <c r="D18215" s="7">
        <v>16.88</v>
      </c>
      <c r="E18215" t="s">
        <v>30</v>
      </c>
    </row>
    <row r="18216" spans="1:5" x14ac:dyDescent="0.25">
      <c r="A18216" t="str">
        <f>HYPERLINK("https://www.773grp.com/globalSearch/MTY25N60E/page-1", "MTY25N60E")</f>
        <v>MTY25N60E</v>
      </c>
      <c r="B18216" s="3" t="s">
        <v>74</v>
      </c>
      <c r="C18216" s="6">
        <v>4333</v>
      </c>
      <c r="D18216" s="7">
        <v>16.88</v>
      </c>
      <c r="E18216" t="s">
        <v>84</v>
      </c>
    </row>
    <row r="18217" spans="1:5" x14ac:dyDescent="0.25">
      <c r="A18217" t="str">
        <f>HYPERLINK("https://www.773grp.com/globalSearch/NB6L72MMNG/page-1", "NB6L72MMNG")</f>
        <v>NB6L72MMNG</v>
      </c>
      <c r="B18217" s="3" t="s">
        <v>74</v>
      </c>
      <c r="C18217" s="6">
        <v>3336</v>
      </c>
      <c r="D18217" s="7">
        <v>16.88</v>
      </c>
      <c r="E18217" t="s">
        <v>46</v>
      </c>
    </row>
    <row r="18218" spans="1:5" x14ac:dyDescent="0.25">
      <c r="A18218" t="str">
        <f>HYPERLINK("https://www.773grp.com/globalSearch/NB6L72MMNR2G/page-1", "NB6L72MMNR2G")</f>
        <v>NB6L72MMNR2G</v>
      </c>
      <c r="B18218" s="3" t="s">
        <v>74</v>
      </c>
      <c r="C18218" s="6">
        <v>11812</v>
      </c>
      <c r="D18218" s="7">
        <v>16.88</v>
      </c>
      <c r="E18218" t="s">
        <v>46</v>
      </c>
    </row>
    <row r="18219" spans="1:5" x14ac:dyDescent="0.25">
      <c r="A18219" t="str">
        <f>HYPERLINK("https://www.773grp.com/globalSearch/NB6L72MNG/page-1", "NB6L72MNG")</f>
        <v>NB6L72MNG</v>
      </c>
      <c r="B18219" s="3" t="s">
        <v>74</v>
      </c>
      <c r="C18219" s="6">
        <v>1199</v>
      </c>
      <c r="D18219" s="7">
        <v>16.88</v>
      </c>
      <c r="E18219" t="s">
        <v>46</v>
      </c>
    </row>
    <row r="18220" spans="1:5" x14ac:dyDescent="0.25">
      <c r="A18220" t="str">
        <f>HYPERLINK("https://www.773grp.com/globalSearch/NB6L72MNR2G/page-1", "NB6L72MNR2G")</f>
        <v>NB6L72MNR2G</v>
      </c>
      <c r="B18220" s="3" t="s">
        <v>74</v>
      </c>
      <c r="C18220" s="6">
        <v>6783</v>
      </c>
      <c r="D18220" s="7">
        <v>16.88</v>
      </c>
      <c r="E18220" t="s">
        <v>46</v>
      </c>
    </row>
    <row r="18221" spans="1:5" x14ac:dyDescent="0.25">
      <c r="A18221" t="str">
        <f>HYPERLINK("https://www.773grp.com/globalSearch/STK415-090J-E/page-1", "STK415-090J-E")</f>
        <v>STK415-090J-E</v>
      </c>
      <c r="B18221" s="3" t="s">
        <v>74</v>
      </c>
      <c r="C18221" s="6">
        <v>5</v>
      </c>
      <c r="D18221" s="7">
        <v>16.88</v>
      </c>
    </row>
    <row r="18222" spans="1:5" x14ac:dyDescent="0.25">
      <c r="A18222" t="str">
        <f>HYPERLINK("https://www.773grp.com/globalSearch/STK672-040-E/page-1", "STK672-040-E")</f>
        <v>STK672-040-E</v>
      </c>
      <c r="B18222" s="3" t="s">
        <v>74</v>
      </c>
      <c r="C18222" s="6">
        <v>54</v>
      </c>
      <c r="D18222" s="7">
        <v>16.88</v>
      </c>
    </row>
    <row r="18223" spans="1:5" x14ac:dyDescent="0.25">
      <c r="A18223" t="str">
        <f>HYPERLINK("https://www.773grp.com/globalSearch/CAT28LV256G25/page-1", "CAT28LV256G25")</f>
        <v>CAT28LV256G25</v>
      </c>
      <c r="B18223" s="3" t="s">
        <v>74</v>
      </c>
      <c r="C18223" s="6">
        <v>448</v>
      </c>
      <c r="D18223" s="7">
        <v>17.010000000000002</v>
      </c>
      <c r="E18223" t="s">
        <v>52</v>
      </c>
    </row>
    <row r="18224" spans="1:5" x14ac:dyDescent="0.25">
      <c r="A18224" t="str">
        <f>HYPERLINK("https://www.773grp.com/globalSearch/CAT28LV256GI25/page-1", "CAT28LV256GI25")</f>
        <v>CAT28LV256GI25</v>
      </c>
      <c r="B18224" s="3" t="s">
        <v>74</v>
      </c>
      <c r="C18224" s="6">
        <v>34</v>
      </c>
      <c r="D18224" s="7">
        <v>17.010000000000002</v>
      </c>
    </row>
    <row r="18225" spans="1:5" x14ac:dyDescent="0.25">
      <c r="A18225" t="str">
        <f>HYPERLINK("https://www.773grp.com/globalSearch/NBC12429AFA/page-1", "NBC12429AFA")</f>
        <v>NBC12429AFA</v>
      </c>
      <c r="B18225" s="3" t="s">
        <v>74</v>
      </c>
      <c r="C18225" s="6">
        <v>2250</v>
      </c>
      <c r="D18225" s="7">
        <v>17.440000000000001</v>
      </c>
      <c r="E18225" t="s">
        <v>65</v>
      </c>
    </row>
    <row r="18226" spans="1:5" x14ac:dyDescent="0.25">
      <c r="A18226" t="str">
        <f>HYPERLINK("https://www.773grp.com/globalSearch/NBC12429AFAG/page-1", "NBC12429AFAG")</f>
        <v>NBC12429AFAG</v>
      </c>
      <c r="B18226" s="3" t="s">
        <v>74</v>
      </c>
      <c r="C18226" s="6">
        <v>7</v>
      </c>
      <c r="D18226" s="7">
        <v>17.440000000000001</v>
      </c>
      <c r="E18226" t="s">
        <v>65</v>
      </c>
    </row>
    <row r="18227" spans="1:5" x14ac:dyDescent="0.25">
      <c r="A18227" t="str">
        <f>HYPERLINK("https://www.773grp.com/globalSearch/NBC12430AFAG/page-1", "NBC12430AFAG")</f>
        <v>NBC12430AFAG</v>
      </c>
      <c r="B18227" s="3" t="s">
        <v>74</v>
      </c>
      <c r="C18227" s="6">
        <v>923</v>
      </c>
      <c r="D18227" s="7">
        <v>17.440000000000001</v>
      </c>
      <c r="E18227" t="s">
        <v>65</v>
      </c>
    </row>
    <row r="18228" spans="1:5" x14ac:dyDescent="0.25">
      <c r="A18228" t="str">
        <f>HYPERLINK("https://www.773grp.com/globalSearch/NBC12430AFAR2G/page-1", "NBC12430AFAR2G")</f>
        <v>NBC12430AFAR2G</v>
      </c>
      <c r="B18228" s="3" t="s">
        <v>74</v>
      </c>
      <c r="C18228" s="6">
        <v>2000</v>
      </c>
      <c r="D18228" s="7">
        <v>17.440000000000001</v>
      </c>
      <c r="E18228" t="s">
        <v>65</v>
      </c>
    </row>
    <row r="18229" spans="1:5" x14ac:dyDescent="0.25">
      <c r="A18229" t="str">
        <f>HYPERLINK("https://www.773grp.com/globalSearch/NBC12430AFNG/page-1", "NBC12430AFNG")</f>
        <v>NBC12430AFNG</v>
      </c>
      <c r="B18229" s="3" t="s">
        <v>74</v>
      </c>
      <c r="C18229" s="6">
        <v>317</v>
      </c>
      <c r="D18229" s="7">
        <v>17.440000000000001</v>
      </c>
      <c r="E18229" t="s">
        <v>65</v>
      </c>
    </row>
    <row r="18230" spans="1:5" x14ac:dyDescent="0.25">
      <c r="A18230" t="str">
        <f>HYPERLINK("https://www.773grp.com/globalSearch/NBC12439AFA/page-1", "NBC12439AFA")</f>
        <v>NBC12439AFA</v>
      </c>
      <c r="B18230" s="3" t="s">
        <v>74</v>
      </c>
      <c r="C18230" s="6">
        <v>2013</v>
      </c>
      <c r="D18230" s="7">
        <v>17.440000000000001</v>
      </c>
      <c r="E18230" t="s">
        <v>65</v>
      </c>
    </row>
    <row r="18231" spans="1:5" x14ac:dyDescent="0.25">
      <c r="A18231" t="str">
        <f>HYPERLINK("https://www.773grp.com/globalSearch/NBC12439AFAG/page-1", "NBC12439AFAG")</f>
        <v>NBC12439AFAG</v>
      </c>
      <c r="B18231" s="3" t="s">
        <v>74</v>
      </c>
      <c r="C18231" s="6">
        <v>2587</v>
      </c>
      <c r="D18231" s="7">
        <v>17.440000000000001</v>
      </c>
      <c r="E18231" t="s">
        <v>65</v>
      </c>
    </row>
    <row r="18232" spans="1:5" x14ac:dyDescent="0.25">
      <c r="A18232" t="str">
        <f>HYPERLINK("https://www.773grp.com/globalSearch/STK5C4-220J-E/page-1", "STK5C4-220J-E")</f>
        <v>STK5C4-220J-E</v>
      </c>
      <c r="B18232" s="3" t="s">
        <v>74</v>
      </c>
      <c r="C18232" s="6">
        <v>57600</v>
      </c>
      <c r="D18232" s="7">
        <v>17.440000000000001</v>
      </c>
    </row>
    <row r="18233" spans="1:5" x14ac:dyDescent="0.25">
      <c r="A18233" t="str">
        <f>HYPERLINK("https://www.773grp.com/globalSearch/CAT28C256LI15/page-1", "CAT28C256LI15")</f>
        <v>CAT28C256LI15</v>
      </c>
      <c r="B18233" s="3" t="s">
        <v>74</v>
      </c>
      <c r="C18233" s="6">
        <v>101</v>
      </c>
      <c r="D18233" s="7">
        <v>17.59</v>
      </c>
      <c r="E18233" t="s">
        <v>52</v>
      </c>
    </row>
    <row r="18234" spans="1:5" x14ac:dyDescent="0.25">
      <c r="A18234" t="str">
        <f>HYPERLINK("https://www.773grp.com/globalSearch/MC100H640FN/page-1", "MC100H640FN")</f>
        <v>MC100H640FN</v>
      </c>
      <c r="B18234" s="3" t="s">
        <v>74</v>
      </c>
      <c r="C18234" s="6">
        <v>296</v>
      </c>
      <c r="D18234" s="7">
        <v>17.59</v>
      </c>
      <c r="E18234" t="s">
        <v>30</v>
      </c>
    </row>
    <row r="18235" spans="1:5" x14ac:dyDescent="0.25">
      <c r="A18235" t="str">
        <f>HYPERLINK("https://www.773grp.com/globalSearch/2N5686G/page-1", "2N5686G")</f>
        <v>2N5686G</v>
      </c>
      <c r="B18235" s="3" t="s">
        <v>74</v>
      </c>
      <c r="C18235" s="6">
        <v>917</v>
      </c>
      <c r="D18235" s="7">
        <v>17.600000000000001</v>
      </c>
      <c r="E18235" t="s">
        <v>47</v>
      </c>
    </row>
    <row r="18236" spans="1:5" x14ac:dyDescent="0.25">
      <c r="A18236" t="str">
        <f>HYPERLINK("https://www.773grp.com/globalSearch/MJ14002/page-1", "MJ14002")</f>
        <v>MJ14002</v>
      </c>
      <c r="B18236" s="3" t="s">
        <v>74</v>
      </c>
      <c r="C18236" s="6">
        <v>100</v>
      </c>
      <c r="D18236" s="7">
        <v>17.600000000000001</v>
      </c>
      <c r="E18236" t="s">
        <v>47</v>
      </c>
    </row>
    <row r="18237" spans="1:5" x14ac:dyDescent="0.25">
      <c r="A18237" t="str">
        <f>HYPERLINK("https://www.773grp.com/globalSearch/MJ14002G/page-1", "MJ14002G")</f>
        <v>MJ14002G</v>
      </c>
      <c r="B18237" s="3" t="s">
        <v>74</v>
      </c>
      <c r="C18237" s="6">
        <v>721</v>
      </c>
      <c r="D18237" s="7">
        <v>17.600000000000001</v>
      </c>
      <c r="E18237" t="s">
        <v>47</v>
      </c>
    </row>
    <row r="18238" spans="1:5" x14ac:dyDescent="0.25">
      <c r="A18238" t="str">
        <f>HYPERLINK("https://www.773grp.com/globalSearch/MC100E336FN/page-1", "MC100E336FN")</f>
        <v>MC100E336FN</v>
      </c>
      <c r="B18238" s="3" t="s">
        <v>74</v>
      </c>
      <c r="C18238" s="6">
        <v>518</v>
      </c>
      <c r="D18238" s="7">
        <v>17.73</v>
      </c>
      <c r="E18238" t="s">
        <v>11</v>
      </c>
    </row>
    <row r="18239" spans="1:5" x14ac:dyDescent="0.25">
      <c r="A18239" t="str">
        <f>HYPERLINK("https://www.773grp.com/globalSearch/MC100EP142FA/page-1", "MC100EP142FA")</f>
        <v>MC100EP142FA</v>
      </c>
      <c r="B18239" s="3" t="s">
        <v>74</v>
      </c>
      <c r="C18239" s="6">
        <v>5066</v>
      </c>
      <c r="D18239" s="7">
        <v>17.8</v>
      </c>
      <c r="E18239" t="s">
        <v>28</v>
      </c>
    </row>
    <row r="18240" spans="1:5" x14ac:dyDescent="0.25">
      <c r="A18240" t="str">
        <f>HYPERLINK("https://www.773grp.com/globalSearch/MC100EP445FA/page-1", "MC100EP445FA")</f>
        <v>MC100EP445FA</v>
      </c>
      <c r="B18240" s="3" t="s">
        <v>74</v>
      </c>
      <c r="C18240" s="6">
        <v>21832</v>
      </c>
      <c r="D18240" s="7">
        <v>17.8</v>
      </c>
      <c r="E18240" t="s">
        <v>28</v>
      </c>
    </row>
    <row r="18241" spans="1:5" x14ac:dyDescent="0.25">
      <c r="A18241" t="str">
        <f>HYPERLINK("https://www.773grp.com/globalSearch/MC100EP446FA/page-1", "MC100EP446FA")</f>
        <v>MC100EP446FA</v>
      </c>
      <c r="B18241" s="3" t="s">
        <v>74</v>
      </c>
      <c r="C18241" s="6">
        <v>10747</v>
      </c>
      <c r="D18241" s="7">
        <v>17.8</v>
      </c>
      <c r="E18241" t="s">
        <v>28</v>
      </c>
    </row>
    <row r="18242" spans="1:5" x14ac:dyDescent="0.25">
      <c r="A18242" t="str">
        <f>HYPERLINK("https://www.773grp.com/globalSearch/MC100EP451FA/page-1", "MC100EP451FA")</f>
        <v>MC100EP451FA</v>
      </c>
      <c r="B18242" s="3" t="s">
        <v>74</v>
      </c>
      <c r="C18242" s="6">
        <v>16602</v>
      </c>
      <c r="D18242" s="7">
        <v>17.8</v>
      </c>
      <c r="E18242" t="s">
        <v>31</v>
      </c>
    </row>
    <row r="18243" spans="1:5" x14ac:dyDescent="0.25">
      <c r="A18243" t="str">
        <f>HYPERLINK("https://www.773grp.com/globalSearch/MC100EP451FAR2/page-1", "MC100EP451FAR2")</f>
        <v>MC100EP451FAR2</v>
      </c>
      <c r="B18243" s="3" t="s">
        <v>74</v>
      </c>
      <c r="C18243" s="6">
        <v>880</v>
      </c>
      <c r="D18243" s="7">
        <v>17.8</v>
      </c>
      <c r="E18243" t="s">
        <v>31</v>
      </c>
    </row>
    <row r="18244" spans="1:5" x14ac:dyDescent="0.25">
      <c r="A18244" t="str">
        <f>HYPERLINK("https://www.773grp.com/globalSearch/MC10EP142FA/page-1", "MC10EP142FA")</f>
        <v>MC10EP142FA</v>
      </c>
      <c r="B18244" s="3" t="s">
        <v>74</v>
      </c>
      <c r="C18244" s="6">
        <v>10795</v>
      </c>
      <c r="D18244" s="7">
        <v>17.8</v>
      </c>
      <c r="E18244" t="s">
        <v>28</v>
      </c>
    </row>
    <row r="18245" spans="1:5" x14ac:dyDescent="0.25">
      <c r="A18245" t="str">
        <f>HYPERLINK("https://www.773grp.com/globalSearch/MC10EP445FA/page-1", "MC10EP445FA")</f>
        <v>MC10EP445FA</v>
      </c>
      <c r="B18245" s="3" t="s">
        <v>74</v>
      </c>
      <c r="C18245" s="6">
        <v>17574</v>
      </c>
      <c r="D18245" s="7">
        <v>17.8</v>
      </c>
      <c r="E18245" t="s">
        <v>28</v>
      </c>
    </row>
    <row r="18246" spans="1:5" x14ac:dyDescent="0.25">
      <c r="A18246" t="str">
        <f>HYPERLINK("https://www.773grp.com/globalSearch/MC10EP445FAR2/page-1", "MC10EP445FAR2")</f>
        <v>MC10EP445FAR2</v>
      </c>
      <c r="B18246" s="3" t="s">
        <v>74</v>
      </c>
      <c r="C18246" s="6">
        <v>6000</v>
      </c>
      <c r="D18246" s="7">
        <v>17.8</v>
      </c>
      <c r="E18246" t="s">
        <v>28</v>
      </c>
    </row>
    <row r="18247" spans="1:5" x14ac:dyDescent="0.25">
      <c r="A18247" t="str">
        <f>HYPERLINK("https://www.773grp.com/globalSearch/MC10EP446FA/page-1", "MC10EP446FA")</f>
        <v>MC10EP446FA</v>
      </c>
      <c r="B18247" s="3" t="s">
        <v>74</v>
      </c>
      <c r="C18247" s="6">
        <v>13148</v>
      </c>
      <c r="D18247" s="7">
        <v>17.8</v>
      </c>
      <c r="E18247" t="s">
        <v>28</v>
      </c>
    </row>
    <row r="18248" spans="1:5" x14ac:dyDescent="0.25">
      <c r="A18248" t="str">
        <f>HYPERLINK("https://www.773grp.com/globalSearch/MC10EP451FA/page-1", "MC10EP451FA")</f>
        <v>MC10EP451FA</v>
      </c>
      <c r="B18248" s="3" t="s">
        <v>74</v>
      </c>
      <c r="C18248" s="6">
        <v>3431</v>
      </c>
      <c r="D18248" s="7">
        <v>17.8</v>
      </c>
      <c r="E18248" t="s">
        <v>31</v>
      </c>
    </row>
    <row r="18249" spans="1:5" x14ac:dyDescent="0.25">
      <c r="A18249" t="str">
        <f>HYPERLINK("https://www.773grp.com/globalSearch/MC10EP451FAR2/page-1", "MC10EP451FAR2")</f>
        <v>MC10EP451FAR2</v>
      </c>
      <c r="B18249" s="3" t="s">
        <v>74</v>
      </c>
      <c r="C18249" s="6">
        <v>1900</v>
      </c>
      <c r="D18249" s="7">
        <v>17.8</v>
      </c>
      <c r="E18249" t="s">
        <v>31</v>
      </c>
    </row>
    <row r="18250" spans="1:5" x14ac:dyDescent="0.25">
      <c r="A18250" t="str">
        <f>HYPERLINK("https://www.773grp.com/globalSearch/MGY40N60/page-1", "MGY40N60")</f>
        <v>MGY40N60</v>
      </c>
      <c r="B18250" s="3" t="s">
        <v>74</v>
      </c>
      <c r="C18250" s="6">
        <v>12095</v>
      </c>
      <c r="D18250" s="7">
        <v>17.84</v>
      </c>
      <c r="E18250" t="s">
        <v>94</v>
      </c>
    </row>
    <row r="18251" spans="1:5" x14ac:dyDescent="0.25">
      <c r="A18251" t="str">
        <f>HYPERLINK("https://www.773grp.com/globalSearch/MC10H334L/page-1", "MC10H334L")</f>
        <v>MC10H334L</v>
      </c>
      <c r="B18251" s="3" t="s">
        <v>74</v>
      </c>
      <c r="C18251" s="6">
        <v>475</v>
      </c>
      <c r="D18251" s="7">
        <v>17.850000000000001</v>
      </c>
      <c r="E18251" t="s">
        <v>11</v>
      </c>
    </row>
    <row r="18252" spans="1:5" x14ac:dyDescent="0.25">
      <c r="A18252" t="str">
        <f>HYPERLINK("https://www.773grp.com/globalSearch/MC100EL13DWG/page-1", "MC100EL13DWG")</f>
        <v>MC100EL13DWG</v>
      </c>
      <c r="B18252" s="3" t="s">
        <v>74</v>
      </c>
      <c r="C18252" s="6">
        <v>987</v>
      </c>
      <c r="D18252" s="7">
        <v>18.09</v>
      </c>
      <c r="E18252" t="s">
        <v>30</v>
      </c>
    </row>
    <row r="18253" spans="1:5" x14ac:dyDescent="0.25">
      <c r="A18253" t="str">
        <f>HYPERLINK("https://www.773grp.com/globalSearch/MC100EL13DWR2G/page-1", "MC100EL13DWR2G")</f>
        <v>MC100EL13DWR2G</v>
      </c>
      <c r="B18253" s="3" t="s">
        <v>74</v>
      </c>
      <c r="C18253" s="6">
        <v>2337</v>
      </c>
      <c r="D18253" s="7">
        <v>18.09</v>
      </c>
      <c r="E18253" t="s">
        <v>30</v>
      </c>
    </row>
    <row r="18254" spans="1:5" x14ac:dyDescent="0.25">
      <c r="A18254" t="str">
        <f>HYPERLINK("https://www.773grp.com/globalSearch/MC100LVEL13DWG/page-1", "MC100LVEL13DWG")</f>
        <v>MC100LVEL13DWG</v>
      </c>
      <c r="B18254" s="3" t="s">
        <v>74</v>
      </c>
      <c r="C18254" s="6">
        <v>760</v>
      </c>
      <c r="D18254" s="7">
        <v>18.09</v>
      </c>
      <c r="E18254" t="s">
        <v>30</v>
      </c>
    </row>
    <row r="18255" spans="1:5" x14ac:dyDescent="0.25">
      <c r="A18255" t="str">
        <f>HYPERLINK("https://www.773grp.com/globalSearch/MC100LVEL13DWR2/page-1", "MC100LVEL13DWR2")</f>
        <v>MC100LVEL13DWR2</v>
      </c>
      <c r="B18255" s="3" t="s">
        <v>74</v>
      </c>
      <c r="C18255" s="6">
        <v>3311</v>
      </c>
      <c r="D18255" s="7">
        <v>18.09</v>
      </c>
    </row>
    <row r="18256" spans="1:5" x14ac:dyDescent="0.25">
      <c r="A18256" t="str">
        <f>HYPERLINK("https://www.773grp.com/globalSearch/MC100LVEL13DWR2G/page-1", "MC100LVEL13DWR2G")</f>
        <v>MC100LVEL13DWR2G</v>
      </c>
      <c r="B18256" s="3" t="s">
        <v>74</v>
      </c>
      <c r="C18256" s="6">
        <v>2000</v>
      </c>
      <c r="D18256" s="7">
        <v>18.09</v>
      </c>
      <c r="E18256" t="s">
        <v>30</v>
      </c>
    </row>
    <row r="18257" spans="1:5" x14ac:dyDescent="0.25">
      <c r="A18257" t="str">
        <f>HYPERLINK("https://www.773grp.com/globalSearch/MC100LVEL39DWR2/page-1", "MC100LVEL39DWR2")</f>
        <v>MC100LVEL39DWR2</v>
      </c>
      <c r="B18257" s="3" t="s">
        <v>74</v>
      </c>
      <c r="C18257" s="6">
        <v>4763</v>
      </c>
      <c r="D18257" s="7">
        <v>18.09</v>
      </c>
      <c r="E18257" t="s">
        <v>30</v>
      </c>
    </row>
    <row r="18258" spans="1:5" x14ac:dyDescent="0.25">
      <c r="A18258" t="str">
        <f>HYPERLINK("https://www.773grp.com/globalSearch/LA47536-E/page-1", "LA47536-E")</f>
        <v>LA47536-E</v>
      </c>
      <c r="B18258" s="3" t="s">
        <v>74</v>
      </c>
      <c r="C18258" s="6">
        <v>315</v>
      </c>
      <c r="D18258" s="7">
        <v>18.14</v>
      </c>
    </row>
    <row r="18259" spans="1:5" x14ac:dyDescent="0.25">
      <c r="A18259" t="str">
        <f>HYPERLINK("https://www.773grp.com/globalSearch/MC100EP016AFA/page-1", "MC100EP016AFA")</f>
        <v>MC100EP016AFA</v>
      </c>
      <c r="B18259" s="3" t="s">
        <v>74</v>
      </c>
      <c r="C18259" s="6">
        <v>6318</v>
      </c>
      <c r="D18259" s="7">
        <v>18.28</v>
      </c>
      <c r="E18259" t="s">
        <v>22</v>
      </c>
    </row>
    <row r="18260" spans="1:5" x14ac:dyDescent="0.25">
      <c r="A18260" t="str">
        <f>HYPERLINK("https://www.773grp.com/globalSearch/MC100EP016AFAR2/page-1", "MC100EP016AFAR2")</f>
        <v>MC100EP016AFAR2</v>
      </c>
      <c r="B18260" s="3" t="s">
        <v>74</v>
      </c>
      <c r="C18260" s="6">
        <v>2000</v>
      </c>
      <c r="D18260" s="7">
        <v>18.28</v>
      </c>
      <c r="E18260" t="s">
        <v>22</v>
      </c>
    </row>
    <row r="18261" spans="1:5" x14ac:dyDescent="0.25">
      <c r="A18261" t="str">
        <f>HYPERLINK("https://www.773grp.com/globalSearch/MC100EP016FA/page-1", "MC100EP016FA")</f>
        <v>MC100EP016FA</v>
      </c>
      <c r="B18261" s="3" t="s">
        <v>74</v>
      </c>
      <c r="C18261" s="6">
        <v>485</v>
      </c>
      <c r="D18261" s="7">
        <v>18.28</v>
      </c>
      <c r="E18261" t="s">
        <v>22</v>
      </c>
    </row>
    <row r="18262" spans="1:5" x14ac:dyDescent="0.25">
      <c r="A18262" t="str">
        <f>HYPERLINK("https://www.773grp.com/globalSearch/MC100EP139DTG/page-1", "MC100EP139DTG")</f>
        <v>MC100EP139DTG</v>
      </c>
      <c r="B18262" s="3" t="s">
        <v>74</v>
      </c>
      <c r="C18262" s="6">
        <v>908</v>
      </c>
      <c r="D18262" s="7">
        <v>18.28</v>
      </c>
      <c r="E18262" t="s">
        <v>30</v>
      </c>
    </row>
    <row r="18263" spans="1:5" x14ac:dyDescent="0.25">
      <c r="A18263" t="str">
        <f>HYPERLINK("https://www.773grp.com/globalSearch/MC10EP016FA/page-1", "MC10EP016FA")</f>
        <v>MC10EP016FA</v>
      </c>
      <c r="B18263" s="3" t="s">
        <v>74</v>
      </c>
      <c r="C18263" s="6">
        <v>7872</v>
      </c>
      <c r="D18263" s="7">
        <v>18.28</v>
      </c>
      <c r="E18263" t="s">
        <v>22</v>
      </c>
    </row>
    <row r="18264" spans="1:5" x14ac:dyDescent="0.25">
      <c r="A18264" t="str">
        <f>HYPERLINK("https://www.773grp.com/globalSearch/MC10EP016FAR2/page-1", "MC10EP016FAR2")</f>
        <v>MC10EP016FAR2</v>
      </c>
      <c r="B18264" s="3" t="s">
        <v>74</v>
      </c>
      <c r="C18264" s="6">
        <v>10000</v>
      </c>
      <c r="D18264" s="7">
        <v>18.28</v>
      </c>
      <c r="E18264" t="s">
        <v>22</v>
      </c>
    </row>
    <row r="18265" spans="1:5" x14ac:dyDescent="0.25">
      <c r="A18265" t="str">
        <f>HYPERLINK("https://www.773grp.com/globalSearch/NB6L572MMNR4G/page-1", "NB6L572MMNR4G")</f>
        <v>NB6L572MMNR4G</v>
      </c>
      <c r="B18265" s="3" t="s">
        <v>74</v>
      </c>
      <c r="C18265" s="6">
        <v>4488</v>
      </c>
      <c r="D18265" s="7">
        <v>18.28</v>
      </c>
      <c r="E18265" t="s">
        <v>30</v>
      </c>
    </row>
    <row r="18266" spans="1:5" x14ac:dyDescent="0.25">
      <c r="A18266" t="str">
        <f>HYPERLINK("https://www.773grp.com/globalSearch/NB6LQ572MMNR4G/page-1", "NB6LQ572MMNR4G")</f>
        <v>NB6LQ572MMNR4G</v>
      </c>
      <c r="B18266" s="3" t="s">
        <v>74</v>
      </c>
      <c r="C18266" s="6">
        <v>5800</v>
      </c>
      <c r="D18266" s="7">
        <v>18.28</v>
      </c>
      <c r="E18266" t="s">
        <v>30</v>
      </c>
    </row>
    <row r="18267" spans="1:5" x14ac:dyDescent="0.25">
      <c r="A18267" t="str">
        <f>HYPERLINK("https://www.773grp.com/globalSearch/CAT28F512G90/page-1", "CAT28F512G90")</f>
        <v>CAT28F512G90</v>
      </c>
      <c r="B18267" s="3" t="s">
        <v>74</v>
      </c>
      <c r="C18267" s="6">
        <v>128</v>
      </c>
      <c r="D18267" s="7">
        <v>18.53</v>
      </c>
      <c r="E18267" t="s">
        <v>52</v>
      </c>
    </row>
    <row r="18268" spans="1:5" x14ac:dyDescent="0.25">
      <c r="A18268" t="str">
        <f>HYPERLINK("https://www.773grp.com/globalSearch/NBSG72AMN/page-1", "NBSG72AMN")</f>
        <v>NBSG72AMN</v>
      </c>
      <c r="B18268" s="3" t="s">
        <v>74</v>
      </c>
      <c r="C18268" s="6">
        <v>2388</v>
      </c>
      <c r="D18268" s="7">
        <v>18.559999999999999</v>
      </c>
      <c r="E18268" t="s">
        <v>46</v>
      </c>
    </row>
    <row r="18269" spans="1:5" x14ac:dyDescent="0.25">
      <c r="A18269" t="str">
        <f>HYPERLINK("https://www.773grp.com/globalSearch/MC10H186FNG/page-1", "MC10H186FNG")</f>
        <v>MC10H186FNG</v>
      </c>
      <c r="B18269" s="3" t="s">
        <v>74</v>
      </c>
      <c r="C18269" s="6">
        <v>4231</v>
      </c>
      <c r="D18269" s="7">
        <v>19.079999999999998</v>
      </c>
      <c r="E18269" t="s">
        <v>31</v>
      </c>
    </row>
    <row r="18270" spans="1:5" x14ac:dyDescent="0.25">
      <c r="A18270" t="str">
        <f>HYPERLINK("https://www.773grp.com/globalSearch/MC10H186PG/page-1", "MC10H186PG")</f>
        <v>MC10H186PG</v>
      </c>
      <c r="B18270" s="3" t="s">
        <v>74</v>
      </c>
      <c r="C18270" s="6">
        <v>9253</v>
      </c>
      <c r="D18270" s="7">
        <v>19.079999999999998</v>
      </c>
      <c r="E18270" t="s">
        <v>31</v>
      </c>
    </row>
    <row r="18271" spans="1:5" x14ac:dyDescent="0.25">
      <c r="A18271" t="str">
        <f>HYPERLINK("https://www.773grp.com/globalSearch/MGY40N60D/page-1", "MGY40N60D")</f>
        <v>MGY40N60D</v>
      </c>
      <c r="B18271" s="3" t="s">
        <v>74</v>
      </c>
      <c r="C18271" s="6">
        <v>1588</v>
      </c>
      <c r="D18271" s="7">
        <v>19.079999999999998</v>
      </c>
      <c r="E18271" t="s">
        <v>94</v>
      </c>
    </row>
    <row r="18272" spans="1:5" x14ac:dyDescent="0.25">
      <c r="A18272" t="str">
        <f>HYPERLINK("https://www.773grp.com/globalSearch/MC10H016FN/page-1", "MC10H016FN")</f>
        <v>MC10H016FN</v>
      </c>
      <c r="B18272" s="3" t="s">
        <v>74</v>
      </c>
      <c r="C18272" s="6">
        <v>1464</v>
      </c>
      <c r="D18272" s="7">
        <v>19.2</v>
      </c>
      <c r="E18272" t="s">
        <v>22</v>
      </c>
    </row>
    <row r="18273" spans="1:5" x14ac:dyDescent="0.25">
      <c r="A18273" t="str">
        <f>HYPERLINK("https://www.773grp.com/globalSearch/MC10H016FNR2/page-1", "MC10H016FNR2")</f>
        <v>MC10H016FNR2</v>
      </c>
      <c r="B18273" s="3" t="s">
        <v>74</v>
      </c>
      <c r="C18273" s="6">
        <v>500</v>
      </c>
      <c r="D18273" s="7">
        <v>19.2</v>
      </c>
      <c r="E18273" t="s">
        <v>22</v>
      </c>
    </row>
    <row r="18274" spans="1:5" x14ac:dyDescent="0.25">
      <c r="A18274" t="str">
        <f>HYPERLINK("https://www.773grp.com/globalSearch/NBC12429AFNG/page-1", "NBC12429AFNG")</f>
        <v>NBC12429AFNG</v>
      </c>
      <c r="B18274" s="3" t="s">
        <v>74</v>
      </c>
      <c r="C18274" s="6">
        <v>20</v>
      </c>
      <c r="D18274" s="7">
        <v>19.239999999999998</v>
      </c>
    </row>
    <row r="18275" spans="1:5" x14ac:dyDescent="0.25">
      <c r="A18275" t="str">
        <f>HYPERLINK("https://www.773grp.com/globalSearch/NBC12429AFNR2G/page-1", "NBC12429AFNR2G")</f>
        <v>NBC12429AFNR2G</v>
      </c>
      <c r="B18275" s="3" t="s">
        <v>74</v>
      </c>
      <c r="C18275" s="6">
        <v>8500</v>
      </c>
      <c r="D18275" s="7">
        <v>19.239999999999998</v>
      </c>
    </row>
    <row r="18276" spans="1:5" x14ac:dyDescent="0.25">
      <c r="A18276" t="str">
        <f>HYPERLINK("https://www.773grp.com/globalSearch/NBC12429AMNG/page-1", "NBC12429AMNG")</f>
        <v>NBC12429AMNG</v>
      </c>
      <c r="B18276" s="3" t="s">
        <v>74</v>
      </c>
      <c r="C18276" s="6">
        <v>695</v>
      </c>
      <c r="D18276" s="7">
        <v>19.239999999999998</v>
      </c>
      <c r="E18276" t="s">
        <v>65</v>
      </c>
    </row>
    <row r="18277" spans="1:5" x14ac:dyDescent="0.25">
      <c r="A18277" t="str">
        <f>HYPERLINK("https://www.773grp.com/globalSearch/NBC12429AMNR4G/page-1", "NBC12429AMNR4G")</f>
        <v>NBC12429AMNR4G</v>
      </c>
      <c r="B18277" s="3" t="s">
        <v>74</v>
      </c>
      <c r="C18277" s="6">
        <v>55</v>
      </c>
      <c r="D18277" s="7">
        <v>19.239999999999998</v>
      </c>
    </row>
    <row r="18278" spans="1:5" x14ac:dyDescent="0.25">
      <c r="A18278" t="str">
        <f>HYPERLINK("https://www.773grp.com/globalSearch/NBC12430AMNG/page-1", "NBC12430AMNG")</f>
        <v>NBC12430AMNG</v>
      </c>
      <c r="B18278" s="3" t="s">
        <v>74</v>
      </c>
      <c r="C18278" s="6">
        <v>1263</v>
      </c>
      <c r="D18278" s="7">
        <v>19.239999999999998</v>
      </c>
      <c r="E18278" t="s">
        <v>65</v>
      </c>
    </row>
    <row r="18279" spans="1:5" x14ac:dyDescent="0.25">
      <c r="A18279" t="str">
        <f>HYPERLINK("https://www.773grp.com/globalSearch/NBC12439AFNG/page-1", "NBC12439AFNG")</f>
        <v>NBC12439AFNG</v>
      </c>
      <c r="B18279" s="3" t="s">
        <v>74</v>
      </c>
      <c r="C18279" s="6">
        <v>485</v>
      </c>
      <c r="D18279" s="7">
        <v>19.239999999999998</v>
      </c>
      <c r="E18279" t="s">
        <v>65</v>
      </c>
    </row>
    <row r="18280" spans="1:5" x14ac:dyDescent="0.25">
      <c r="A18280" t="str">
        <f>HYPERLINK("https://www.773grp.com/globalSearch/NBC12439AFNR2G/page-1", "NBC12439AFNR2G")</f>
        <v>NBC12439AFNR2G</v>
      </c>
      <c r="B18280" s="3" t="s">
        <v>74</v>
      </c>
      <c r="C18280" s="6">
        <v>500</v>
      </c>
      <c r="D18280" s="7">
        <v>19.239999999999998</v>
      </c>
      <c r="E18280" t="s">
        <v>65</v>
      </c>
    </row>
    <row r="18281" spans="1:5" x14ac:dyDescent="0.25">
      <c r="A18281" t="str">
        <f>HYPERLINK("https://www.773grp.com/globalSearch/NBC12439AMNG/page-1", "NBC12439AMNG")</f>
        <v>NBC12439AMNG</v>
      </c>
      <c r="B18281" s="3" t="s">
        <v>74</v>
      </c>
      <c r="C18281" s="6">
        <v>729</v>
      </c>
      <c r="D18281" s="7">
        <v>19.239999999999998</v>
      </c>
      <c r="E18281" t="s">
        <v>65</v>
      </c>
    </row>
    <row r="18282" spans="1:5" x14ac:dyDescent="0.25">
      <c r="A18282" t="str">
        <f>HYPERLINK("https://www.773grp.com/globalSearch/LC74732W-9811-E/page-1", "LC74732W-9811-E")</f>
        <v>LC74732W-9811-E</v>
      </c>
      <c r="B18282" s="3" t="s">
        <v>74</v>
      </c>
      <c r="C18282" s="6">
        <v>20</v>
      </c>
      <c r="D18282" s="7">
        <v>19.38</v>
      </c>
    </row>
    <row r="18283" spans="1:5" x14ac:dyDescent="0.25">
      <c r="A18283" t="str">
        <f>HYPERLINK("https://www.773grp.com/globalSearch/MC10H180L/page-1", "MC10H180L")</f>
        <v>MC10H180L</v>
      </c>
      <c r="B18283" s="3" t="s">
        <v>74</v>
      </c>
      <c r="C18283" s="6">
        <v>2825</v>
      </c>
      <c r="D18283" s="7">
        <v>19.579999999999998</v>
      </c>
      <c r="E18283" t="s">
        <v>38</v>
      </c>
    </row>
    <row r="18284" spans="1:5" x14ac:dyDescent="0.25">
      <c r="A18284" t="str">
        <f>HYPERLINK("https://www.773grp.com/globalSearch/MC100EP196FAG/page-1", "MC100EP196FAG")</f>
        <v>MC100EP196FAG</v>
      </c>
      <c r="B18284" s="3" t="s">
        <v>74</v>
      </c>
      <c r="C18284" s="6">
        <v>669</v>
      </c>
      <c r="D18284" s="7">
        <v>19.690000000000001</v>
      </c>
    </row>
    <row r="18285" spans="1:5" x14ac:dyDescent="0.25">
      <c r="A18285" t="str">
        <f>HYPERLINK("https://www.773grp.com/globalSearch/MC100LVE222FAG/page-1", "MC100LVE222FAG")</f>
        <v>MC100LVE222FAG</v>
      </c>
      <c r="B18285" s="3" t="s">
        <v>74</v>
      </c>
      <c r="C18285" s="6">
        <v>3963</v>
      </c>
      <c r="D18285" s="7">
        <v>19.690000000000001</v>
      </c>
      <c r="E18285" t="s">
        <v>30</v>
      </c>
    </row>
    <row r="18286" spans="1:5" x14ac:dyDescent="0.25">
      <c r="A18286" t="str">
        <f>HYPERLINK("https://www.773grp.com/globalSearch/MC100LVEP34DG/page-1", "MC100LVEP34DG")</f>
        <v>MC100LVEP34DG</v>
      </c>
      <c r="B18286" s="3" t="s">
        <v>74</v>
      </c>
      <c r="C18286" s="6">
        <v>1286</v>
      </c>
      <c r="D18286" s="7">
        <v>19.690000000000001</v>
      </c>
      <c r="E18286" t="s">
        <v>30</v>
      </c>
    </row>
    <row r="18287" spans="1:5" x14ac:dyDescent="0.25">
      <c r="A18287" t="str">
        <f>HYPERLINK("https://www.773grp.com/globalSearch/MC100LVEP34DTG/page-1", "MC100LVEP34DTG")</f>
        <v>MC100LVEP34DTG</v>
      </c>
      <c r="B18287" s="3" t="s">
        <v>74</v>
      </c>
      <c r="C18287" s="6">
        <v>161</v>
      </c>
      <c r="D18287" s="7">
        <v>19.690000000000001</v>
      </c>
      <c r="E18287" t="s">
        <v>30</v>
      </c>
    </row>
    <row r="18288" spans="1:5" x14ac:dyDescent="0.25">
      <c r="A18288" t="str">
        <f>HYPERLINK("https://www.773grp.com/globalSearch/MTY14N100E/page-1", "MTY14N100E")</f>
        <v>MTY14N100E</v>
      </c>
      <c r="B18288" s="3" t="s">
        <v>74</v>
      </c>
      <c r="C18288" s="6">
        <v>1900</v>
      </c>
      <c r="D18288" s="7">
        <v>19.690000000000001</v>
      </c>
      <c r="E18288" t="s">
        <v>84</v>
      </c>
    </row>
    <row r="18289" spans="1:5" x14ac:dyDescent="0.25">
      <c r="A18289" t="str">
        <f>HYPERLINK("https://www.773grp.com/globalSearch/NB7L572MNR4G/page-1", "NB7L572MNR4G")</f>
        <v>NB7L572MNR4G</v>
      </c>
      <c r="B18289" s="3" t="s">
        <v>74</v>
      </c>
      <c r="C18289" s="6">
        <v>2800</v>
      </c>
      <c r="D18289" s="7">
        <v>19.690000000000001</v>
      </c>
      <c r="E18289" t="s">
        <v>30</v>
      </c>
    </row>
    <row r="18290" spans="1:5" x14ac:dyDescent="0.25">
      <c r="A18290" t="str">
        <f>HYPERLINK("https://www.773grp.com/globalSearch/NB7LQ572MNG/page-1", "NB7LQ572MNG")</f>
        <v>NB7LQ572MNG</v>
      </c>
      <c r="B18290" s="3" t="s">
        <v>74</v>
      </c>
      <c r="C18290" s="6">
        <v>550</v>
      </c>
      <c r="D18290" s="7">
        <v>19.690000000000001</v>
      </c>
      <c r="E18290" t="s">
        <v>30</v>
      </c>
    </row>
    <row r="18291" spans="1:5" x14ac:dyDescent="0.25">
      <c r="A18291" t="str">
        <f>HYPERLINK("https://www.773grp.com/globalSearch/NB7LQ572MNR4G/page-1", "NB7LQ572MNR4G")</f>
        <v>NB7LQ572MNR4G</v>
      </c>
      <c r="B18291" s="3" t="s">
        <v>74</v>
      </c>
      <c r="C18291" s="6">
        <v>3000</v>
      </c>
      <c r="D18291" s="7">
        <v>19.690000000000001</v>
      </c>
      <c r="E18291" t="s">
        <v>30</v>
      </c>
    </row>
    <row r="18292" spans="1:5" x14ac:dyDescent="0.25">
      <c r="A18292" t="str">
        <f>HYPERLINK("https://www.773grp.com/globalSearch/NB7V52MMNHTBG/page-1", "NB7V52MMNHTBG")</f>
        <v>NB7V52MMNHTBG</v>
      </c>
      <c r="B18292" s="3" t="s">
        <v>74</v>
      </c>
      <c r="C18292" s="6">
        <v>2541</v>
      </c>
      <c r="D18292" s="7">
        <v>19.690000000000001</v>
      </c>
      <c r="E18292" t="s">
        <v>30</v>
      </c>
    </row>
    <row r="18293" spans="1:5" x14ac:dyDescent="0.25">
      <c r="A18293" t="str">
        <f>HYPERLINK("https://www.773grp.com/globalSearch/NB7V72MMNG/page-1", "NB7V72MMNG")</f>
        <v>NB7V72MMNG</v>
      </c>
      <c r="B18293" s="3" t="s">
        <v>74</v>
      </c>
      <c r="C18293" s="6">
        <v>590</v>
      </c>
      <c r="D18293" s="7">
        <v>19.690000000000001</v>
      </c>
      <c r="E18293" t="s">
        <v>46</v>
      </c>
    </row>
    <row r="18294" spans="1:5" x14ac:dyDescent="0.25">
      <c r="A18294" t="str">
        <f>HYPERLINK("https://www.773grp.com/globalSearch/NB7V72MMNHTBG/page-1", "NB7V72MMNHTBG")</f>
        <v>NB7V72MMNHTBG</v>
      </c>
      <c r="B18294" s="3" t="s">
        <v>74</v>
      </c>
      <c r="C18294" s="6">
        <v>900</v>
      </c>
      <c r="D18294" s="7">
        <v>19.690000000000001</v>
      </c>
      <c r="E18294" t="s">
        <v>46</v>
      </c>
    </row>
    <row r="18295" spans="1:5" x14ac:dyDescent="0.25">
      <c r="A18295" t="str">
        <f>HYPERLINK("https://www.773grp.com/globalSearch/NB7V72MMNTXG/page-1", "NB7V72MMNTXG")</f>
        <v>NB7V72MMNTXG</v>
      </c>
      <c r="B18295" s="3" t="s">
        <v>74</v>
      </c>
      <c r="C18295" s="6">
        <v>12000</v>
      </c>
      <c r="D18295" s="7">
        <v>19.690000000000001</v>
      </c>
      <c r="E18295" t="s">
        <v>46</v>
      </c>
    </row>
    <row r="18296" spans="1:5" x14ac:dyDescent="0.25">
      <c r="A18296" t="str">
        <f>HYPERLINK("https://www.773grp.com/globalSearch/NB7VPQ16MMNG/page-1", "NB7VPQ16MMNG")</f>
        <v>NB7VPQ16MMNG</v>
      </c>
      <c r="B18296" s="3" t="s">
        <v>74</v>
      </c>
      <c r="C18296" s="6">
        <v>4</v>
      </c>
      <c r="D18296" s="7">
        <v>19.690000000000001</v>
      </c>
      <c r="E18296" t="s">
        <v>62</v>
      </c>
    </row>
    <row r="18297" spans="1:5" x14ac:dyDescent="0.25">
      <c r="A18297" t="str">
        <f>HYPERLINK("https://www.773grp.com/globalSearch/NB7VPQ16MMNGM/page-1", "NB7VPQ16MMNGM")</f>
        <v>NB7VPQ16MMNGM</v>
      </c>
      <c r="B18297" s="3" t="s">
        <v>74</v>
      </c>
      <c r="C18297" s="6">
        <v>98</v>
      </c>
      <c r="D18297" s="7">
        <v>19.690000000000001</v>
      </c>
    </row>
    <row r="18298" spans="1:5" x14ac:dyDescent="0.25">
      <c r="A18298" t="str">
        <f>HYPERLINK("https://www.773grp.com/globalSearch/NB7VPQ16MMNTXG/page-1", "NB7VPQ16MMNTXG")</f>
        <v>NB7VPQ16MMNTXG</v>
      </c>
      <c r="B18298" s="3" t="s">
        <v>74</v>
      </c>
      <c r="C18298" s="6">
        <v>5950</v>
      </c>
      <c r="D18298" s="7">
        <v>19.690000000000001</v>
      </c>
      <c r="E18298" t="s">
        <v>62</v>
      </c>
    </row>
    <row r="18299" spans="1:5" x14ac:dyDescent="0.25">
      <c r="A18299" t="str">
        <f>HYPERLINK("https://www.773grp.com/globalSearch/MC100E310FN/page-1", "MC100E310FN")</f>
        <v>MC100E310FN</v>
      </c>
      <c r="B18299" s="3" t="s">
        <v>74</v>
      </c>
      <c r="C18299" s="6">
        <v>2590</v>
      </c>
      <c r="D18299" s="7">
        <v>19.75</v>
      </c>
      <c r="E18299" t="s">
        <v>30</v>
      </c>
    </row>
    <row r="18300" spans="1:5" x14ac:dyDescent="0.25">
      <c r="A18300" t="str">
        <f>HYPERLINK("https://www.773grp.com/globalSearch/MC10E411FNG/page-1", "MC10E411FNG")</f>
        <v>MC10E411FNG</v>
      </c>
      <c r="B18300" s="3" t="s">
        <v>74</v>
      </c>
      <c r="C18300" s="6">
        <v>2098</v>
      </c>
      <c r="D18300" s="7">
        <v>19.75</v>
      </c>
      <c r="E18300" t="s">
        <v>30</v>
      </c>
    </row>
    <row r="18301" spans="1:5" x14ac:dyDescent="0.25">
      <c r="A18301" t="str">
        <f>HYPERLINK("https://www.773grp.com/globalSearch/MC10136P/page-1", "MC10136P")</f>
        <v>MC10136P</v>
      </c>
      <c r="B18301" s="3" t="s">
        <v>74</v>
      </c>
      <c r="C18301" s="6">
        <v>330</v>
      </c>
      <c r="D18301" s="7">
        <v>19.95</v>
      </c>
      <c r="E18301" t="s">
        <v>22</v>
      </c>
    </row>
    <row r="18302" spans="1:5" x14ac:dyDescent="0.25">
      <c r="A18302" t="str">
        <f>HYPERLINK("https://www.773grp.com/globalSearch/NB100LVEP56DTG/page-1", "NB100LVEP56DTG")</f>
        <v>NB100LVEP56DTG</v>
      </c>
      <c r="B18302" s="3" t="s">
        <v>74</v>
      </c>
      <c r="C18302" s="6">
        <v>1869</v>
      </c>
      <c r="D18302" s="7">
        <v>20.25</v>
      </c>
      <c r="E18302" t="s">
        <v>16</v>
      </c>
    </row>
    <row r="18303" spans="1:5" x14ac:dyDescent="0.25">
      <c r="A18303" t="str">
        <f>HYPERLINK("https://www.773grp.com/globalSearch/NB100LVEP56DTR2G/page-1", "NB100LVEP56DTR2G")</f>
        <v>NB100LVEP56DTR2G</v>
      </c>
      <c r="B18303" s="3" t="s">
        <v>74</v>
      </c>
      <c r="C18303" s="6">
        <v>1189</v>
      </c>
      <c r="D18303" s="7">
        <v>20.25</v>
      </c>
      <c r="E18303" t="s">
        <v>16</v>
      </c>
    </row>
    <row r="18304" spans="1:5" x14ac:dyDescent="0.25">
      <c r="A18304" t="str">
        <f>HYPERLINK("https://www.773grp.com/globalSearch/NB100LVEP56MNG/page-1", "NB100LVEP56MNG")</f>
        <v>NB100LVEP56MNG</v>
      </c>
      <c r="B18304" s="3" t="s">
        <v>74</v>
      </c>
      <c r="C18304" s="6">
        <v>352</v>
      </c>
      <c r="D18304" s="7">
        <v>20.25</v>
      </c>
      <c r="E18304" t="s">
        <v>16</v>
      </c>
    </row>
    <row r="18305" spans="1:5" x14ac:dyDescent="0.25">
      <c r="A18305" t="str">
        <f>HYPERLINK("https://www.773grp.com/globalSearch/MC100EP17DTG/page-1", "MC100EP17DTG")</f>
        <v>MC100EP17DTG</v>
      </c>
      <c r="B18305" s="3" t="s">
        <v>74</v>
      </c>
      <c r="C18305" s="6">
        <v>5281</v>
      </c>
      <c r="D18305" s="7">
        <v>20.39</v>
      </c>
      <c r="E18305" t="s">
        <v>17</v>
      </c>
    </row>
    <row r="18306" spans="1:5" x14ac:dyDescent="0.25">
      <c r="A18306" t="str">
        <f>HYPERLINK("https://www.773grp.com/globalSearch/MC100EP17DTR2G/page-1", "MC100EP17DTR2G")</f>
        <v>MC100EP17DTR2G</v>
      </c>
      <c r="B18306" s="3" t="s">
        <v>74</v>
      </c>
      <c r="C18306" s="6">
        <v>4100</v>
      </c>
      <c r="D18306" s="7">
        <v>20.39</v>
      </c>
      <c r="E18306" t="s">
        <v>17</v>
      </c>
    </row>
    <row r="18307" spans="1:5" x14ac:dyDescent="0.25">
      <c r="A18307" t="str">
        <f>HYPERLINK("https://www.773grp.com/globalSearch/MC100EP195FAG/page-1", "MC100EP195FAG")</f>
        <v>MC100EP195FAG</v>
      </c>
      <c r="B18307" s="3" t="s">
        <v>74</v>
      </c>
      <c r="C18307" s="6">
        <v>280</v>
      </c>
      <c r="D18307" s="7">
        <v>20.39</v>
      </c>
      <c r="E18307" t="s">
        <v>98</v>
      </c>
    </row>
    <row r="18308" spans="1:5" x14ac:dyDescent="0.25">
      <c r="A18308" t="str">
        <f>HYPERLINK("https://www.773grp.com/globalSearch/MC100EP195FAR2G/page-1", "MC100EP195FAR2G")</f>
        <v>MC100EP195FAR2G</v>
      </c>
      <c r="B18308" s="3" t="s">
        <v>74</v>
      </c>
      <c r="C18308" s="6">
        <v>31500</v>
      </c>
      <c r="D18308" s="7">
        <v>20.39</v>
      </c>
      <c r="E18308" t="s">
        <v>98</v>
      </c>
    </row>
    <row r="18309" spans="1:5" x14ac:dyDescent="0.25">
      <c r="A18309" t="str">
        <f>HYPERLINK("https://www.773grp.com/globalSearch/MC100EP195MNG/page-1", "MC100EP195MNG")</f>
        <v>MC100EP195MNG</v>
      </c>
      <c r="B18309" s="3" t="s">
        <v>74</v>
      </c>
      <c r="C18309" s="6">
        <v>12732</v>
      </c>
      <c r="D18309" s="7">
        <v>20.39</v>
      </c>
      <c r="E18309" t="s">
        <v>98</v>
      </c>
    </row>
    <row r="18310" spans="1:5" x14ac:dyDescent="0.25">
      <c r="A18310" t="str">
        <f>HYPERLINK("https://www.773grp.com/globalSearch/MC10EP17DTG/page-1", "MC10EP17DTG")</f>
        <v>MC10EP17DTG</v>
      </c>
      <c r="B18310" s="3" t="s">
        <v>74</v>
      </c>
      <c r="C18310" s="6">
        <v>5058</v>
      </c>
      <c r="D18310" s="7">
        <v>20.39</v>
      </c>
      <c r="E18310" t="s">
        <v>17</v>
      </c>
    </row>
    <row r="18311" spans="1:5" x14ac:dyDescent="0.25">
      <c r="A18311" t="str">
        <f>HYPERLINK("https://www.773grp.com/globalSearch/MC10EP17DWG/page-1", "MC10EP17DWG")</f>
        <v>MC10EP17DWG</v>
      </c>
      <c r="B18311" s="3" t="s">
        <v>74</v>
      </c>
      <c r="C18311" s="6">
        <v>2465</v>
      </c>
      <c r="D18311" s="7">
        <v>20.39</v>
      </c>
      <c r="E18311" t="s">
        <v>17</v>
      </c>
    </row>
    <row r="18312" spans="1:5" x14ac:dyDescent="0.25">
      <c r="A18312" t="str">
        <f>HYPERLINK("https://www.773grp.com/globalSearch/MC10EP17MNG/page-1", "MC10EP17MNG")</f>
        <v>MC10EP17MNG</v>
      </c>
      <c r="B18312" s="3" t="s">
        <v>74</v>
      </c>
      <c r="C18312" s="6">
        <v>4416</v>
      </c>
      <c r="D18312" s="7">
        <v>20.39</v>
      </c>
      <c r="E18312" t="s">
        <v>17</v>
      </c>
    </row>
    <row r="18313" spans="1:5" x14ac:dyDescent="0.25">
      <c r="A18313" t="str">
        <f>HYPERLINK("https://www.773grp.com/globalSearch/MC10EP195FAG/page-1", "MC10EP195FAG")</f>
        <v>MC10EP195FAG</v>
      </c>
      <c r="B18313" s="3" t="s">
        <v>74</v>
      </c>
      <c r="C18313" s="6">
        <v>1037</v>
      </c>
      <c r="D18313" s="7">
        <v>20.39</v>
      </c>
      <c r="E18313" t="s">
        <v>98</v>
      </c>
    </row>
    <row r="18314" spans="1:5" x14ac:dyDescent="0.25">
      <c r="A18314" t="str">
        <f>HYPERLINK("https://www.773grp.com/globalSearch/MC10EP195FAR2G/page-1", "MC10EP195FAR2G")</f>
        <v>MC10EP195FAR2G</v>
      </c>
      <c r="B18314" s="3" t="s">
        <v>74</v>
      </c>
      <c r="C18314" s="6">
        <v>7995</v>
      </c>
      <c r="D18314" s="7">
        <v>20.39</v>
      </c>
      <c r="E18314" t="s">
        <v>98</v>
      </c>
    </row>
    <row r="18315" spans="1:5" x14ac:dyDescent="0.25">
      <c r="A18315" t="str">
        <f>HYPERLINK("https://www.773grp.com/globalSearch/MC10EP195MNR4G/page-1", "MC10EP195MNR4G")</f>
        <v>MC10EP195MNR4G</v>
      </c>
      <c r="B18315" s="3" t="s">
        <v>74</v>
      </c>
      <c r="C18315" s="6">
        <v>2478</v>
      </c>
      <c r="D18315" s="7">
        <v>20.39</v>
      </c>
    </row>
    <row r="18316" spans="1:5" x14ac:dyDescent="0.25">
      <c r="A18316" t="str">
        <f>HYPERLINK("https://www.773grp.com/globalSearch/NB100LVEP17DTG/page-1", "NB100LVEP17DTG")</f>
        <v>NB100LVEP17DTG</v>
      </c>
      <c r="B18316" s="3" t="s">
        <v>74</v>
      </c>
      <c r="C18316" s="6">
        <v>4327</v>
      </c>
      <c r="D18316" s="7">
        <v>20.39</v>
      </c>
      <c r="E18316" t="s">
        <v>17</v>
      </c>
    </row>
    <row r="18317" spans="1:5" x14ac:dyDescent="0.25">
      <c r="A18317" t="str">
        <f>HYPERLINK("https://www.773grp.com/globalSearch/NB100LVEP17DTR2G/page-1", "NB100LVEP17DTR2G")</f>
        <v>NB100LVEP17DTR2G</v>
      </c>
      <c r="B18317" s="3" t="s">
        <v>74</v>
      </c>
      <c r="C18317" s="6">
        <v>7500</v>
      </c>
      <c r="D18317" s="7">
        <v>20.39</v>
      </c>
      <c r="E18317" t="s">
        <v>17</v>
      </c>
    </row>
    <row r="18318" spans="1:5" x14ac:dyDescent="0.25">
      <c r="A18318" t="str">
        <f>HYPERLINK("https://www.773grp.com/globalSearch/NB100LVEP17MNG/page-1", "NB100LVEP17MNG")</f>
        <v>NB100LVEP17MNG</v>
      </c>
      <c r="B18318" s="3" t="s">
        <v>74</v>
      </c>
      <c r="C18318" s="6">
        <v>28802</v>
      </c>
      <c r="D18318" s="7">
        <v>20.39</v>
      </c>
      <c r="E18318" t="s">
        <v>17</v>
      </c>
    </row>
    <row r="18319" spans="1:5" x14ac:dyDescent="0.25">
      <c r="A18319" t="str">
        <f>HYPERLINK("https://www.773grp.com/globalSearch/NB100LVEP17MNR2G/page-1", "NB100LVEP17MNR2G")</f>
        <v>NB100LVEP17MNR2G</v>
      </c>
      <c r="B18319" s="3" t="s">
        <v>74</v>
      </c>
      <c r="C18319" s="6">
        <v>48432</v>
      </c>
      <c r="D18319" s="7">
        <v>20.39</v>
      </c>
      <c r="E18319" t="s">
        <v>17</v>
      </c>
    </row>
    <row r="18320" spans="1:5" x14ac:dyDescent="0.25">
      <c r="A18320" t="str">
        <f>HYPERLINK("https://www.773grp.com/globalSearch/NB4N840MMNG/page-1", "NB4N840MMNG")</f>
        <v>NB4N840MMNG</v>
      </c>
      <c r="B18320" s="3" t="s">
        <v>74</v>
      </c>
      <c r="C18320" s="6">
        <v>135</v>
      </c>
      <c r="D18320" s="7">
        <v>20.39</v>
      </c>
      <c r="E18320" t="s">
        <v>46</v>
      </c>
    </row>
    <row r="18321" spans="1:5" x14ac:dyDescent="0.25">
      <c r="A18321" t="str">
        <f>HYPERLINK("https://www.773grp.com/globalSearch/NB4N840MMNR4G/page-1", "NB4N840MMNR4G")</f>
        <v>NB4N840MMNR4G</v>
      </c>
      <c r="B18321" s="3" t="s">
        <v>74</v>
      </c>
      <c r="C18321" s="6">
        <v>2329</v>
      </c>
      <c r="D18321" s="7">
        <v>20.39</v>
      </c>
      <c r="E18321" t="s">
        <v>46</v>
      </c>
    </row>
    <row r="18322" spans="1:5" x14ac:dyDescent="0.25">
      <c r="A18322" t="str">
        <f>HYPERLINK("https://www.773grp.com/globalSearch/NBVSBA011LN1TAG/page-1", "NBVSBA011LN1TAG")</f>
        <v>NBVSBA011LN1TAG</v>
      </c>
      <c r="B18322" s="3" t="s">
        <v>74</v>
      </c>
      <c r="C18322" s="6">
        <v>995</v>
      </c>
      <c r="D18322" s="7">
        <v>20.39</v>
      </c>
    </row>
    <row r="18323" spans="1:5" x14ac:dyDescent="0.25">
      <c r="A18323" t="str">
        <f>HYPERLINK("https://www.773grp.com/globalSearch/NBVSBA011LNHTAG/page-1", "NBVSBA011LNHTAG")</f>
        <v>NBVSBA011LNHTAG</v>
      </c>
      <c r="B18323" s="3" t="s">
        <v>74</v>
      </c>
      <c r="C18323" s="6">
        <v>251</v>
      </c>
      <c r="D18323" s="7">
        <v>20.39</v>
      </c>
    </row>
    <row r="18324" spans="1:5" x14ac:dyDescent="0.25">
      <c r="A18324" t="str">
        <f>HYPERLINK("https://www.773grp.com/globalSearch/NBVSBA018LNHTAG/page-1", "NBVSBA018LNHTAG")</f>
        <v>NBVSBA018LNHTAG</v>
      </c>
      <c r="B18324" s="3" t="s">
        <v>74</v>
      </c>
      <c r="C18324" s="6">
        <v>1100</v>
      </c>
      <c r="D18324" s="7">
        <v>20.39</v>
      </c>
    </row>
    <row r="18325" spans="1:5" x14ac:dyDescent="0.25">
      <c r="A18325" t="str">
        <f>HYPERLINK("https://www.773grp.com/globalSearch/NBVSBA024LN1TAG/page-1", "NBVSBA024LN1TAG")</f>
        <v>NBVSBA024LN1TAG</v>
      </c>
      <c r="B18325" s="3" t="s">
        <v>74</v>
      </c>
      <c r="C18325" s="6">
        <v>1000</v>
      </c>
      <c r="D18325" s="7">
        <v>20.39</v>
      </c>
    </row>
    <row r="18326" spans="1:5" x14ac:dyDescent="0.25">
      <c r="A18326" t="str">
        <f>HYPERLINK("https://www.773grp.com/globalSearch/NBVSBA024LNHTAG/page-1", "NBVSBA024LNHTAG")</f>
        <v>NBVSBA024LNHTAG</v>
      </c>
      <c r="B18326" s="3" t="s">
        <v>74</v>
      </c>
      <c r="C18326" s="6">
        <v>780</v>
      </c>
      <c r="D18326" s="7">
        <v>20.39</v>
      </c>
    </row>
    <row r="18327" spans="1:5" x14ac:dyDescent="0.25">
      <c r="A18327" t="str">
        <f>HYPERLINK("https://www.773grp.com/globalSearch/NBVSBA026LN1TAG/page-1", "NBVSBA026LN1TAG")</f>
        <v>NBVSBA026LN1TAG</v>
      </c>
      <c r="B18327" s="3" t="s">
        <v>74</v>
      </c>
      <c r="C18327" s="6">
        <v>495</v>
      </c>
      <c r="D18327" s="7">
        <v>20.39</v>
      </c>
    </row>
    <row r="18328" spans="1:5" x14ac:dyDescent="0.25">
      <c r="A18328" t="str">
        <f>HYPERLINK("https://www.773grp.com/globalSearch/NBVSBA026LNHTAG/page-1", "NBVSBA026LNHTAG")</f>
        <v>NBVSBA026LNHTAG</v>
      </c>
      <c r="B18328" s="3" t="s">
        <v>74</v>
      </c>
      <c r="C18328" s="6">
        <v>99</v>
      </c>
      <c r="D18328" s="7">
        <v>20.39</v>
      </c>
    </row>
    <row r="18329" spans="1:5" x14ac:dyDescent="0.25">
      <c r="A18329" t="str">
        <f>HYPERLINK("https://www.773grp.com/globalSearch/NBVSBA041LN1TAG/page-1", "NBVSBA041LN1TAG")</f>
        <v>NBVSBA041LN1TAG</v>
      </c>
      <c r="B18329" s="3" t="s">
        <v>74</v>
      </c>
      <c r="C18329" s="6">
        <v>3000</v>
      </c>
      <c r="D18329" s="7">
        <v>20.39</v>
      </c>
    </row>
    <row r="18330" spans="1:5" x14ac:dyDescent="0.25">
      <c r="A18330" t="str">
        <f>HYPERLINK("https://www.773grp.com/globalSearch/NBVSPA013LN1TAG/page-1", "NBVSPA013LN1TAG")</f>
        <v>NBVSPA013LN1TAG</v>
      </c>
      <c r="B18330" s="3" t="s">
        <v>74</v>
      </c>
      <c r="C18330" s="6">
        <v>1000</v>
      </c>
      <c r="D18330" s="7">
        <v>20.39</v>
      </c>
    </row>
    <row r="18331" spans="1:5" x14ac:dyDescent="0.25">
      <c r="A18331" t="str">
        <f>HYPERLINK("https://www.773grp.com/globalSearch/NBVSPA013LNHTAG/page-1", "NBVSPA013LNHTAG")</f>
        <v>NBVSPA013LNHTAG</v>
      </c>
      <c r="B18331" s="3" t="s">
        <v>74</v>
      </c>
      <c r="C18331" s="6">
        <v>100</v>
      </c>
      <c r="D18331" s="7">
        <v>20.39</v>
      </c>
    </row>
    <row r="18332" spans="1:5" x14ac:dyDescent="0.25">
      <c r="A18332" t="str">
        <f>HYPERLINK("https://www.773grp.com/globalSearch/NBVSPA015LNHTAG/page-1", "NBVSPA015LNHTAG")</f>
        <v>NBVSPA015LNHTAG</v>
      </c>
      <c r="B18332" s="3" t="s">
        <v>74</v>
      </c>
      <c r="C18332" s="6">
        <v>100</v>
      </c>
      <c r="D18332" s="7">
        <v>20.39</v>
      </c>
    </row>
    <row r="18333" spans="1:5" x14ac:dyDescent="0.25">
      <c r="A18333" t="str">
        <f>HYPERLINK("https://www.773grp.com/globalSearch/NBVSPA019LNHTAG/page-1", "NBVSPA019LNHTAG")</f>
        <v>NBVSPA019LNHTAG</v>
      </c>
      <c r="B18333" s="3" t="s">
        <v>74</v>
      </c>
      <c r="C18333" s="6">
        <v>40</v>
      </c>
      <c r="D18333" s="7">
        <v>20.39</v>
      </c>
    </row>
    <row r="18334" spans="1:5" x14ac:dyDescent="0.25">
      <c r="A18334" t="str">
        <f>HYPERLINK("https://www.773grp.com/globalSearch/NBVSPA024LN1TAG/page-1", "NBVSPA024LN1TAG")</f>
        <v>NBVSPA024LN1TAG</v>
      </c>
      <c r="B18334" s="3" t="s">
        <v>74</v>
      </c>
      <c r="C18334" s="6">
        <v>1000</v>
      </c>
      <c r="D18334" s="7">
        <v>20.39</v>
      </c>
    </row>
    <row r="18335" spans="1:5" x14ac:dyDescent="0.25">
      <c r="A18335" t="str">
        <f>HYPERLINK("https://www.773grp.com/globalSearch/NBVSPA024LNHTAG/page-1", "NBVSPA024LNHTAG")</f>
        <v>NBVSPA024LNHTAG</v>
      </c>
      <c r="B18335" s="3" t="s">
        <v>74</v>
      </c>
      <c r="C18335" s="6">
        <v>95</v>
      </c>
      <c r="D18335" s="7">
        <v>20.39</v>
      </c>
    </row>
    <row r="18336" spans="1:5" x14ac:dyDescent="0.25">
      <c r="A18336" t="str">
        <f>HYPERLINK("https://www.773grp.com/globalSearch/CAT28F020G12/page-1", "CAT28F020G12")</f>
        <v>CAT28F020G12</v>
      </c>
      <c r="B18336" s="3" t="s">
        <v>74</v>
      </c>
      <c r="C18336" s="6">
        <v>8</v>
      </c>
      <c r="D18336" s="7">
        <v>20.81</v>
      </c>
    </row>
    <row r="18337" spans="1:5" x14ac:dyDescent="0.25">
      <c r="A18337" t="str">
        <f>HYPERLINK("https://www.773grp.com/globalSearch/STK672-081-E/page-1", "STK672-081-E")</f>
        <v>STK672-081-E</v>
      </c>
      <c r="B18337" s="3" t="s">
        <v>74</v>
      </c>
      <c r="C18337" s="6">
        <v>40</v>
      </c>
      <c r="D18337" s="7">
        <v>20.81</v>
      </c>
    </row>
    <row r="18338" spans="1:5" x14ac:dyDescent="0.25">
      <c r="A18338" t="str">
        <f>HYPERLINK("https://www.773grp.com/globalSearch/MC10136FN/page-1", "MC10136FN")</f>
        <v>MC10136FN</v>
      </c>
      <c r="B18338" s="3" t="s">
        <v>74</v>
      </c>
      <c r="C18338" s="6">
        <v>2428</v>
      </c>
      <c r="D18338" s="7">
        <v>20.88</v>
      </c>
      <c r="E18338" t="s">
        <v>22</v>
      </c>
    </row>
    <row r="18339" spans="1:5" x14ac:dyDescent="0.25">
      <c r="A18339" t="str">
        <f>HYPERLINK("https://www.773grp.com/globalSearch/MC100EP139DT/page-1", "MC100EP139DT")</f>
        <v>MC100EP139DT</v>
      </c>
      <c r="B18339" s="3" t="s">
        <v>74</v>
      </c>
      <c r="C18339" s="6">
        <v>4350</v>
      </c>
      <c r="D18339" s="7">
        <v>20.96</v>
      </c>
    </row>
    <row r="18340" spans="1:5" x14ac:dyDescent="0.25">
      <c r="A18340" t="str">
        <f>HYPERLINK("https://www.773grp.com/globalSearch/MC10H350FNG/page-1", "MC10H350FNG")</f>
        <v>MC10H350FNG</v>
      </c>
      <c r="B18340" s="3" t="s">
        <v>74</v>
      </c>
      <c r="C18340" s="6">
        <v>93</v>
      </c>
      <c r="D18340" s="7">
        <v>21.1</v>
      </c>
      <c r="E18340" t="s">
        <v>61</v>
      </c>
    </row>
    <row r="18341" spans="1:5" x14ac:dyDescent="0.25">
      <c r="A18341" t="str">
        <f>HYPERLINK("https://www.773grp.com/globalSearch/MC10H351FNG/page-1", "MC10H351FNG")</f>
        <v>MC10H351FNG</v>
      </c>
      <c r="B18341" s="3" t="s">
        <v>74</v>
      </c>
      <c r="C18341" s="6">
        <v>887</v>
      </c>
      <c r="D18341" s="7">
        <v>21.1</v>
      </c>
      <c r="E18341" t="s">
        <v>61</v>
      </c>
    </row>
    <row r="18342" spans="1:5" x14ac:dyDescent="0.25">
      <c r="A18342" t="str">
        <f>HYPERLINK("https://www.773grp.com/globalSearch/MC10H351FNR2G/page-1", "MC10H351FNR2G")</f>
        <v>MC10H351FNR2G</v>
      </c>
      <c r="B18342" s="3" t="s">
        <v>74</v>
      </c>
      <c r="C18342" s="6">
        <v>4000</v>
      </c>
      <c r="D18342" s="7">
        <v>21.1</v>
      </c>
      <c r="E18342" t="s">
        <v>61</v>
      </c>
    </row>
    <row r="18343" spans="1:5" x14ac:dyDescent="0.25">
      <c r="A18343" t="str">
        <f>HYPERLINK("https://www.773grp.com/globalSearch/MC10H352FNG/page-1", "MC10H352FNG")</f>
        <v>MC10H352FNG</v>
      </c>
      <c r="B18343" s="3" t="s">
        <v>74</v>
      </c>
      <c r="C18343" s="6">
        <v>4426</v>
      </c>
      <c r="D18343" s="7">
        <v>21.1</v>
      </c>
      <c r="E18343" t="s">
        <v>61</v>
      </c>
    </row>
    <row r="18344" spans="1:5" x14ac:dyDescent="0.25">
      <c r="A18344" t="str">
        <f>HYPERLINK("https://www.773grp.com/globalSearch/MC10H352FNR2G/page-1", "MC10H352FNR2G")</f>
        <v>MC10H352FNR2G</v>
      </c>
      <c r="B18344" s="3" t="s">
        <v>74</v>
      </c>
      <c r="C18344" s="6">
        <v>2500</v>
      </c>
      <c r="D18344" s="7">
        <v>21.1</v>
      </c>
      <c r="E18344" t="s">
        <v>61</v>
      </c>
    </row>
    <row r="18345" spans="1:5" x14ac:dyDescent="0.25">
      <c r="A18345" t="str">
        <f>HYPERLINK("https://www.773grp.com/globalSearch/MC10136L/page-1", "MC10136L")</f>
        <v>MC10136L</v>
      </c>
      <c r="B18345" s="3" t="s">
        <v>74</v>
      </c>
      <c r="C18345" s="6">
        <v>743</v>
      </c>
      <c r="D18345" s="7">
        <v>21.35</v>
      </c>
      <c r="E18345" t="s">
        <v>22</v>
      </c>
    </row>
    <row r="18346" spans="1:5" x14ac:dyDescent="0.25">
      <c r="A18346" t="str">
        <f>HYPERLINK("https://www.773grp.com/globalSearch/STK433-840N-E/page-1", "STK433-840N-E")</f>
        <v>STK433-840N-E</v>
      </c>
      <c r="B18346" s="3" t="s">
        <v>74</v>
      </c>
      <c r="C18346" s="6">
        <v>40</v>
      </c>
      <c r="D18346" s="7">
        <v>21.38</v>
      </c>
    </row>
    <row r="18347" spans="1:5" x14ac:dyDescent="0.25">
      <c r="A18347" t="str">
        <f>HYPERLINK("https://www.773grp.com/globalSearch/NBXDBB017LN1TAG/page-1", "NBXDBB017LN1TAG")</f>
        <v>NBXDBB017LN1TAG</v>
      </c>
      <c r="B18347" s="3" t="s">
        <v>74</v>
      </c>
      <c r="C18347" s="6">
        <v>6533</v>
      </c>
      <c r="D18347" s="7">
        <v>21.51</v>
      </c>
      <c r="E18347" t="s">
        <v>65</v>
      </c>
    </row>
    <row r="18348" spans="1:5" x14ac:dyDescent="0.25">
      <c r="A18348" t="str">
        <f>HYPERLINK("https://www.773grp.com/globalSearch/NBXDBB017LNHTAG/page-1", "NBXDBB017LNHTAG")</f>
        <v>NBXDBB017LNHTAG</v>
      </c>
      <c r="B18348" s="3" t="s">
        <v>74</v>
      </c>
      <c r="C18348" s="6">
        <v>500</v>
      </c>
      <c r="D18348" s="7">
        <v>21.51</v>
      </c>
      <c r="E18348" t="s">
        <v>65</v>
      </c>
    </row>
    <row r="18349" spans="1:5" x14ac:dyDescent="0.25">
      <c r="A18349" t="str">
        <f>HYPERLINK("https://www.773grp.com/globalSearch/MC10H136P/page-1", "MC10H136P")</f>
        <v>MC10H136P</v>
      </c>
      <c r="B18349" s="3" t="s">
        <v>74</v>
      </c>
      <c r="C18349" s="6">
        <v>2697</v>
      </c>
      <c r="D18349" s="7">
        <v>21.6</v>
      </c>
      <c r="E18349" t="s">
        <v>22</v>
      </c>
    </row>
    <row r="18350" spans="1:5" x14ac:dyDescent="0.25">
      <c r="A18350" t="str">
        <f>HYPERLINK("https://www.773grp.com/globalSearch/AMIS30585C5852G/page-1", "AMIS30585C5852G")</f>
        <v>AMIS30585C5852G</v>
      </c>
      <c r="B18350" s="3" t="s">
        <v>74</v>
      </c>
      <c r="C18350" s="6">
        <v>249</v>
      </c>
      <c r="D18350" s="7">
        <v>21.65</v>
      </c>
    </row>
    <row r="18351" spans="1:5" x14ac:dyDescent="0.25">
      <c r="A18351" t="str">
        <f>HYPERLINK("https://www.773grp.com/globalSearch/NB100LVEP221FAG/page-1", "NB100LVEP221FAG")</f>
        <v>NB100LVEP221FAG</v>
      </c>
      <c r="B18351" s="3" t="s">
        <v>74</v>
      </c>
      <c r="C18351" s="6">
        <v>4</v>
      </c>
      <c r="D18351" s="7">
        <v>21.65</v>
      </c>
      <c r="E18351" t="s">
        <v>30</v>
      </c>
    </row>
    <row r="18352" spans="1:5" x14ac:dyDescent="0.25">
      <c r="A18352" t="str">
        <f>HYPERLINK("https://www.773grp.com/globalSearch/NB100LVEP221MNG/page-1", "NB100LVEP221MNG")</f>
        <v>NB100LVEP221MNG</v>
      </c>
      <c r="B18352" s="3" t="s">
        <v>74</v>
      </c>
      <c r="C18352" s="6">
        <v>980</v>
      </c>
      <c r="D18352" s="7">
        <v>21.65</v>
      </c>
    </row>
    <row r="18353" spans="1:5" x14ac:dyDescent="0.25">
      <c r="A18353" t="str">
        <f>HYPERLINK("https://www.773grp.com/globalSearch/NB100LVEP221MNRG/page-1", "NB100LVEP221MNRG")</f>
        <v>NB100LVEP221MNRG</v>
      </c>
      <c r="B18353" s="3" t="s">
        <v>74</v>
      </c>
      <c r="C18353" s="6">
        <v>2000</v>
      </c>
      <c r="D18353" s="7">
        <v>21.65</v>
      </c>
    </row>
    <row r="18354" spans="1:5" x14ac:dyDescent="0.25">
      <c r="A18354" t="str">
        <f>HYPERLINK("https://www.773grp.com/globalSearch/MC100H643FNG/page-1", "MC100H643FNG")</f>
        <v>MC100H643FNG</v>
      </c>
      <c r="B18354" s="3" t="s">
        <v>74</v>
      </c>
      <c r="C18354" s="6">
        <v>1361</v>
      </c>
      <c r="D18354" s="7">
        <v>21.69</v>
      </c>
      <c r="E18354" t="s">
        <v>30</v>
      </c>
    </row>
    <row r="18355" spans="1:5" x14ac:dyDescent="0.25">
      <c r="A18355" t="str">
        <f>HYPERLINK("https://www.773grp.com/globalSearch/MC100H643FNR2/page-1", "MC100H643FNR2")</f>
        <v>MC100H643FNR2</v>
      </c>
      <c r="B18355" s="3" t="s">
        <v>74</v>
      </c>
      <c r="C18355" s="6">
        <v>3087</v>
      </c>
      <c r="D18355" s="7">
        <v>21.69</v>
      </c>
      <c r="E18355" t="s">
        <v>30</v>
      </c>
    </row>
    <row r="18356" spans="1:5" x14ac:dyDescent="0.25">
      <c r="A18356" t="str">
        <f>HYPERLINK("https://www.773grp.com/globalSearch/MC100H643FNR2G/page-1", "MC100H643FNR2G")</f>
        <v>MC100H643FNR2G</v>
      </c>
      <c r="B18356" s="3" t="s">
        <v>74</v>
      </c>
      <c r="C18356" s="6">
        <v>2220</v>
      </c>
      <c r="D18356" s="7">
        <v>21.69</v>
      </c>
      <c r="E18356" t="s">
        <v>30</v>
      </c>
    </row>
    <row r="18357" spans="1:5" x14ac:dyDescent="0.25">
      <c r="A18357" t="str">
        <f>HYPERLINK("https://www.773grp.com/globalSearch/MC100EP101FAG/page-1", "MC100EP101FAG")</f>
        <v>MC100EP101FAG</v>
      </c>
      <c r="B18357" s="3" t="s">
        <v>74</v>
      </c>
      <c r="C18357" s="6">
        <v>6346</v>
      </c>
      <c r="D18357" s="7">
        <v>21.8</v>
      </c>
      <c r="E18357" t="s">
        <v>27</v>
      </c>
    </row>
    <row r="18358" spans="1:5" x14ac:dyDescent="0.25">
      <c r="A18358" t="str">
        <f>HYPERLINK("https://www.773grp.com/globalSearch/MC100EP101FAR2G/page-1", "MC100EP101FAR2G")</f>
        <v>MC100EP101FAR2G</v>
      </c>
      <c r="B18358" s="3" t="s">
        <v>74</v>
      </c>
      <c r="C18358" s="6">
        <v>6000</v>
      </c>
      <c r="D18358" s="7">
        <v>21.8</v>
      </c>
      <c r="E18358" t="s">
        <v>27</v>
      </c>
    </row>
    <row r="18359" spans="1:5" x14ac:dyDescent="0.25">
      <c r="A18359" t="str">
        <f>HYPERLINK("https://www.773grp.com/globalSearch/MC100EP101MNG/page-1", "MC100EP101MNG")</f>
        <v>MC100EP101MNG</v>
      </c>
      <c r="B18359" s="3" t="s">
        <v>74</v>
      </c>
      <c r="C18359" s="6">
        <v>4132</v>
      </c>
      <c r="D18359" s="7">
        <v>21.8</v>
      </c>
      <c r="E18359" t="s">
        <v>27</v>
      </c>
    </row>
    <row r="18360" spans="1:5" x14ac:dyDescent="0.25">
      <c r="A18360" t="str">
        <f>HYPERLINK("https://www.773grp.com/globalSearch/MC100EP101MNR4G/page-1", "MC100EP101MNR4G")</f>
        <v>MC100EP101MNR4G</v>
      </c>
      <c r="B18360" s="3" t="s">
        <v>74</v>
      </c>
      <c r="C18360" s="6">
        <v>6663</v>
      </c>
      <c r="D18360" s="7">
        <v>21.8</v>
      </c>
      <c r="E18360" t="s">
        <v>27</v>
      </c>
    </row>
    <row r="18361" spans="1:5" x14ac:dyDescent="0.25">
      <c r="A18361" t="str">
        <f>HYPERLINK("https://www.773grp.com/globalSearch/MC100EP105FAG/page-1", "MC100EP105FAG")</f>
        <v>MC100EP105FAG</v>
      </c>
      <c r="B18361" s="3" t="s">
        <v>74</v>
      </c>
      <c r="C18361" s="6">
        <v>3650</v>
      </c>
      <c r="D18361" s="7">
        <v>21.8</v>
      </c>
      <c r="E18361" t="s">
        <v>27</v>
      </c>
    </row>
    <row r="18362" spans="1:5" x14ac:dyDescent="0.25">
      <c r="A18362" t="str">
        <f>HYPERLINK("https://www.773grp.com/globalSearch/MC100EP105FAR2G/page-1", "MC100EP105FAR2G")</f>
        <v>MC100EP105FAR2G</v>
      </c>
      <c r="B18362" s="3" t="s">
        <v>74</v>
      </c>
      <c r="C18362" s="6">
        <v>1700</v>
      </c>
      <c r="D18362" s="7">
        <v>21.8</v>
      </c>
      <c r="E18362" t="s">
        <v>27</v>
      </c>
    </row>
    <row r="18363" spans="1:5" x14ac:dyDescent="0.25">
      <c r="A18363" t="str">
        <f>HYPERLINK("https://www.773grp.com/globalSearch/MC100EP105MNG/page-1", "MC100EP105MNG")</f>
        <v>MC100EP105MNG</v>
      </c>
      <c r="B18363" s="3" t="s">
        <v>74</v>
      </c>
      <c r="C18363" s="6">
        <v>10260</v>
      </c>
      <c r="D18363" s="7">
        <v>21.8</v>
      </c>
      <c r="E18363" t="s">
        <v>27</v>
      </c>
    </row>
    <row r="18364" spans="1:5" x14ac:dyDescent="0.25">
      <c r="A18364" t="str">
        <f>HYPERLINK("https://www.773grp.com/globalSearch/MC100EP139DWG/page-1", "MC100EP139DWG")</f>
        <v>MC100EP139DWG</v>
      </c>
      <c r="B18364" s="3" t="s">
        <v>74</v>
      </c>
      <c r="C18364" s="6">
        <v>2047</v>
      </c>
      <c r="D18364" s="7">
        <v>21.8</v>
      </c>
      <c r="E18364" t="s">
        <v>30</v>
      </c>
    </row>
    <row r="18365" spans="1:5" x14ac:dyDescent="0.25">
      <c r="A18365" t="str">
        <f>HYPERLINK("https://www.773grp.com/globalSearch/MC100EP139DWR2G/page-1", "MC100EP139DWR2G")</f>
        <v>MC100EP139DWR2G</v>
      </c>
      <c r="B18365" s="3" t="s">
        <v>74</v>
      </c>
      <c r="C18365" s="6">
        <v>18</v>
      </c>
      <c r="D18365" s="7">
        <v>21.8</v>
      </c>
      <c r="E18365" t="s">
        <v>30</v>
      </c>
    </row>
    <row r="18366" spans="1:5" x14ac:dyDescent="0.25">
      <c r="A18366" t="str">
        <f>HYPERLINK("https://www.773grp.com/globalSearch/MC10EP101FAG/page-1", "MC10EP101FAG")</f>
        <v>MC10EP101FAG</v>
      </c>
      <c r="B18366" s="3" t="s">
        <v>74</v>
      </c>
      <c r="C18366" s="6">
        <v>7975</v>
      </c>
      <c r="D18366" s="7">
        <v>21.8</v>
      </c>
      <c r="E18366" t="s">
        <v>27</v>
      </c>
    </row>
    <row r="18367" spans="1:5" x14ac:dyDescent="0.25">
      <c r="A18367" t="str">
        <f>HYPERLINK("https://www.773grp.com/globalSearch/MC10EP101MNG/page-1", "MC10EP101MNG")</f>
        <v>MC10EP101MNG</v>
      </c>
      <c r="B18367" s="3" t="s">
        <v>74</v>
      </c>
      <c r="C18367" s="6">
        <v>5084</v>
      </c>
      <c r="D18367" s="7">
        <v>21.8</v>
      </c>
      <c r="E18367" t="s">
        <v>27</v>
      </c>
    </row>
    <row r="18368" spans="1:5" x14ac:dyDescent="0.25">
      <c r="A18368" t="str">
        <f>HYPERLINK("https://www.773grp.com/globalSearch/MC10EP105FAG/page-1", "MC10EP105FAG")</f>
        <v>MC10EP105FAG</v>
      </c>
      <c r="B18368" s="3" t="s">
        <v>74</v>
      </c>
      <c r="C18368" s="6">
        <v>3733</v>
      </c>
      <c r="D18368" s="7">
        <v>21.8</v>
      </c>
      <c r="E18368" t="s">
        <v>27</v>
      </c>
    </row>
    <row r="18369" spans="1:5" x14ac:dyDescent="0.25">
      <c r="A18369" t="str">
        <f>HYPERLINK("https://www.773grp.com/globalSearch/MC10EP105FAR2G/page-1", "MC10EP105FAR2G")</f>
        <v>MC10EP105FAR2G</v>
      </c>
      <c r="B18369" s="3" t="s">
        <v>74</v>
      </c>
      <c r="C18369" s="6">
        <v>5593</v>
      </c>
      <c r="D18369" s="7">
        <v>21.8</v>
      </c>
      <c r="E18369" t="s">
        <v>27</v>
      </c>
    </row>
    <row r="18370" spans="1:5" x14ac:dyDescent="0.25">
      <c r="A18370" t="str">
        <f>HYPERLINK("https://www.773grp.com/globalSearch/MC10EP105MNG/page-1", "MC10EP105MNG")</f>
        <v>MC10EP105MNG</v>
      </c>
      <c r="B18370" s="3" t="s">
        <v>74</v>
      </c>
      <c r="C18370" s="6">
        <v>4884</v>
      </c>
      <c r="D18370" s="7">
        <v>21.8</v>
      </c>
      <c r="E18370" t="s">
        <v>27</v>
      </c>
    </row>
    <row r="18371" spans="1:5" x14ac:dyDescent="0.25">
      <c r="A18371" t="str">
        <f>HYPERLINK("https://www.773grp.com/globalSearch/MC10EP139DTG/page-1", "MC10EP139DTG")</f>
        <v>MC10EP139DTG</v>
      </c>
      <c r="B18371" s="3" t="s">
        <v>74</v>
      </c>
      <c r="C18371" s="6">
        <v>818</v>
      </c>
      <c r="D18371" s="7">
        <v>21.8</v>
      </c>
      <c r="E18371" t="s">
        <v>30</v>
      </c>
    </row>
    <row r="18372" spans="1:5" x14ac:dyDescent="0.25">
      <c r="A18372" t="str">
        <f>HYPERLINK("https://www.773grp.com/globalSearch/MC10EP139DTR2G/page-1", "MC10EP139DTR2G")</f>
        <v>MC10EP139DTR2G</v>
      </c>
      <c r="B18372" s="3" t="s">
        <v>74</v>
      </c>
      <c r="C18372" s="6">
        <v>5000</v>
      </c>
      <c r="D18372" s="7">
        <v>21.8</v>
      </c>
      <c r="E18372" t="s">
        <v>30</v>
      </c>
    </row>
    <row r="18373" spans="1:5" x14ac:dyDescent="0.25">
      <c r="A18373" t="str">
        <f>HYPERLINK("https://www.773grp.com/globalSearch/MC10EP139DWG/page-1", "MC10EP139DWG")</f>
        <v>MC10EP139DWG</v>
      </c>
      <c r="B18373" s="3" t="s">
        <v>74</v>
      </c>
      <c r="C18373" s="6">
        <v>10493</v>
      </c>
      <c r="D18373" s="7">
        <v>21.8</v>
      </c>
      <c r="E18373" t="s">
        <v>30</v>
      </c>
    </row>
    <row r="18374" spans="1:5" x14ac:dyDescent="0.25">
      <c r="A18374" t="str">
        <f>HYPERLINK("https://www.773grp.com/globalSearch/MC10EP139DWR2G/page-1", "MC10EP139DWR2G")</f>
        <v>MC10EP139DWR2G</v>
      </c>
      <c r="B18374" s="3" t="s">
        <v>74</v>
      </c>
      <c r="C18374" s="6">
        <v>5000</v>
      </c>
      <c r="D18374" s="7">
        <v>21.8</v>
      </c>
      <c r="E18374" t="s">
        <v>30</v>
      </c>
    </row>
    <row r="18375" spans="1:5" x14ac:dyDescent="0.25">
      <c r="A18375" t="str">
        <f>HYPERLINK("https://www.773grp.com/globalSearch/MC10H181L/page-1", "MC10H181L")</f>
        <v>MC10H181L</v>
      </c>
      <c r="B18375" s="3" t="s">
        <v>74</v>
      </c>
      <c r="C18375" s="6">
        <v>617</v>
      </c>
      <c r="D18375" s="7">
        <v>21.9</v>
      </c>
      <c r="E18375" t="s">
        <v>38</v>
      </c>
    </row>
    <row r="18376" spans="1:5" x14ac:dyDescent="0.25">
      <c r="A18376" t="str">
        <f>HYPERLINK("https://www.773grp.com/globalSearch/CAT28F020GI-90T/page-1", "CAT28F020GI-90T")</f>
        <v>CAT28F020GI-90T</v>
      </c>
      <c r="B18376" s="3" t="s">
        <v>74</v>
      </c>
      <c r="C18376" s="6">
        <v>1755</v>
      </c>
      <c r="D18376" s="7">
        <v>22.33</v>
      </c>
    </row>
    <row r="18377" spans="1:5" x14ac:dyDescent="0.25">
      <c r="A18377" t="str">
        <f>HYPERLINK("https://www.773grp.com/globalSearch/NB100LVEP222FAG/page-1", "NB100LVEP222FAG")</f>
        <v>NB100LVEP222FAG</v>
      </c>
      <c r="B18377" s="3" t="s">
        <v>74</v>
      </c>
      <c r="C18377" s="6">
        <v>53</v>
      </c>
      <c r="D18377" s="7">
        <v>22.36</v>
      </c>
      <c r="E18377" t="s">
        <v>30</v>
      </c>
    </row>
    <row r="18378" spans="1:5" x14ac:dyDescent="0.25">
      <c r="A18378" t="str">
        <f>HYPERLINK("https://www.773grp.com/globalSearch/NB100LVEP222MNG/page-1", "NB100LVEP222MNG")</f>
        <v>NB100LVEP222MNG</v>
      </c>
      <c r="B18378" s="3" t="s">
        <v>74</v>
      </c>
      <c r="C18378" s="6">
        <v>505</v>
      </c>
      <c r="D18378" s="7">
        <v>22.36</v>
      </c>
      <c r="E18378" t="s">
        <v>30</v>
      </c>
    </row>
    <row r="18379" spans="1:5" x14ac:dyDescent="0.25">
      <c r="A18379" t="str">
        <f>HYPERLINK("https://www.773grp.com/globalSearch/MC100H642FNR2/page-1", "MC100H642FNR2")</f>
        <v>MC100H642FNR2</v>
      </c>
      <c r="B18379" s="3" t="s">
        <v>74</v>
      </c>
      <c r="C18379" s="6">
        <v>3000</v>
      </c>
      <c r="D18379" s="7">
        <v>22.48</v>
      </c>
      <c r="E18379" t="s">
        <v>30</v>
      </c>
    </row>
    <row r="18380" spans="1:5" x14ac:dyDescent="0.25">
      <c r="A18380" t="str">
        <f>HYPERLINK("https://www.773grp.com/globalSearch/MC100EP195BFAG/page-1", "MC100EP195BFAG")</f>
        <v>MC100EP195BFAG</v>
      </c>
      <c r="B18380" s="3" t="s">
        <v>74</v>
      </c>
      <c r="C18380" s="6">
        <v>63</v>
      </c>
      <c r="D18380" s="7">
        <v>22.5</v>
      </c>
      <c r="E18380" t="s">
        <v>98</v>
      </c>
    </row>
    <row r="18381" spans="1:5" x14ac:dyDescent="0.25">
      <c r="A18381" t="str">
        <f>HYPERLINK("https://www.773grp.com/globalSearch/MC100EP195BMNG/page-1", "MC100EP195BMNG")</f>
        <v>MC100EP195BMNG</v>
      </c>
      <c r="B18381" s="3" t="s">
        <v>74</v>
      </c>
      <c r="C18381" s="6">
        <v>7</v>
      </c>
      <c r="D18381" s="7">
        <v>22.5</v>
      </c>
      <c r="E18381" t="s">
        <v>98</v>
      </c>
    </row>
    <row r="18382" spans="1:5" x14ac:dyDescent="0.25">
      <c r="A18382" t="str">
        <f>HYPERLINK("https://www.773grp.com/globalSearch/MC100EP195BMNR4G/page-1", "MC100EP195BMNR4G")</f>
        <v>MC100EP195BMNR4G</v>
      </c>
      <c r="B18382" s="3" t="s">
        <v>74</v>
      </c>
      <c r="C18382" s="6">
        <v>2294</v>
      </c>
      <c r="D18382" s="7">
        <v>22.5</v>
      </c>
      <c r="E18382" t="s">
        <v>98</v>
      </c>
    </row>
    <row r="18383" spans="1:5" x14ac:dyDescent="0.25">
      <c r="A18383" t="str">
        <f>HYPERLINK("https://www.773grp.com/globalSearch/MC100EP196BFAG/page-1", "MC100EP196BFAG")</f>
        <v>MC100EP196BFAG</v>
      </c>
      <c r="B18383" s="3" t="s">
        <v>74</v>
      </c>
      <c r="C18383" s="6">
        <v>2985</v>
      </c>
      <c r="D18383" s="7">
        <v>22.5</v>
      </c>
      <c r="E18383" t="s">
        <v>98</v>
      </c>
    </row>
    <row r="18384" spans="1:5" x14ac:dyDescent="0.25">
      <c r="A18384" t="str">
        <f>HYPERLINK("https://www.773grp.com/globalSearch/MC100EP196BFAR2G/page-1", "MC100EP196BFAR2G")</f>
        <v>MC100EP196BFAR2G</v>
      </c>
      <c r="B18384" s="3" t="s">
        <v>74</v>
      </c>
      <c r="C18384" s="6">
        <v>941</v>
      </c>
      <c r="D18384" s="7">
        <v>22.5</v>
      </c>
      <c r="E18384" t="s">
        <v>98</v>
      </c>
    </row>
    <row r="18385" spans="1:5" x14ac:dyDescent="0.25">
      <c r="A18385" t="str">
        <f>HYPERLINK("https://www.773grp.com/globalSearch/MC100EP196BMNG/page-1", "MC100EP196BMNG")</f>
        <v>MC100EP196BMNG</v>
      </c>
      <c r="B18385" s="3" t="s">
        <v>74</v>
      </c>
      <c r="C18385" s="6">
        <v>720</v>
      </c>
      <c r="D18385" s="7">
        <v>22.5</v>
      </c>
      <c r="E18385" t="s">
        <v>98</v>
      </c>
    </row>
    <row r="18386" spans="1:5" x14ac:dyDescent="0.25">
      <c r="A18386" t="str">
        <f>HYPERLINK("https://www.773grp.com/globalSearch/MC100EP196BMNR4G/page-1", "MC100EP196BMNR4G")</f>
        <v>MC100EP196BMNR4G</v>
      </c>
      <c r="B18386" s="3" t="s">
        <v>74</v>
      </c>
      <c r="C18386" s="6">
        <v>5350</v>
      </c>
      <c r="D18386" s="7">
        <v>22.5</v>
      </c>
      <c r="E18386" t="s">
        <v>98</v>
      </c>
    </row>
    <row r="18387" spans="1:5" x14ac:dyDescent="0.25">
      <c r="A18387" t="str">
        <f>HYPERLINK("https://www.773grp.com/globalSearch/MC100EP29DTG/page-1", "MC100EP29DTG")</f>
        <v>MC100EP29DTG</v>
      </c>
      <c r="B18387" s="3" t="s">
        <v>74</v>
      </c>
      <c r="C18387" s="6">
        <v>439</v>
      </c>
      <c r="D18387" s="7">
        <v>22.5</v>
      </c>
      <c r="E18387" t="s">
        <v>31</v>
      </c>
    </row>
    <row r="18388" spans="1:5" x14ac:dyDescent="0.25">
      <c r="A18388" t="str">
        <f>HYPERLINK("https://www.773grp.com/globalSearch/MC100EP29DTR2G/page-1", "MC100EP29DTR2G")</f>
        <v>MC100EP29DTR2G</v>
      </c>
      <c r="B18388" s="3" t="s">
        <v>74</v>
      </c>
      <c r="C18388" s="6">
        <v>1383</v>
      </c>
      <c r="D18388" s="7">
        <v>22.5</v>
      </c>
    </row>
    <row r="18389" spans="1:5" x14ac:dyDescent="0.25">
      <c r="A18389" t="str">
        <f>HYPERLINK("https://www.773grp.com/globalSearch/MC100EP29MNG/page-1", "MC100EP29MNG")</f>
        <v>MC100EP29MNG</v>
      </c>
      <c r="B18389" s="3" t="s">
        <v>74</v>
      </c>
      <c r="C18389" s="6">
        <v>2541</v>
      </c>
      <c r="D18389" s="7">
        <v>22.5</v>
      </c>
      <c r="E18389" t="s">
        <v>31</v>
      </c>
    </row>
    <row r="18390" spans="1:5" x14ac:dyDescent="0.25">
      <c r="A18390" t="str">
        <f>HYPERLINK("https://www.773grp.com/globalSearch/MC100EP90DTG/page-1", "MC100EP90DTG")</f>
        <v>MC100EP90DTG</v>
      </c>
      <c r="B18390" s="3" t="s">
        <v>74</v>
      </c>
      <c r="C18390" s="6">
        <v>166</v>
      </c>
      <c r="D18390" s="7">
        <v>22.5</v>
      </c>
      <c r="E18390" t="s">
        <v>61</v>
      </c>
    </row>
    <row r="18391" spans="1:5" x14ac:dyDescent="0.25">
      <c r="A18391" t="str">
        <f>HYPERLINK("https://www.773grp.com/globalSearch/MC100LVE164FAG/page-1", "MC100LVE164FAG")</f>
        <v>MC100LVE164FAG</v>
      </c>
      <c r="B18391" s="3" t="s">
        <v>74</v>
      </c>
      <c r="C18391" s="6">
        <v>3473</v>
      </c>
      <c r="D18391" s="7">
        <v>22.5</v>
      </c>
      <c r="E18391" t="s">
        <v>16</v>
      </c>
    </row>
    <row r="18392" spans="1:5" x14ac:dyDescent="0.25">
      <c r="A18392" t="str">
        <f>HYPERLINK("https://www.773grp.com/globalSearch/MC10EP29DTG/page-1", "MC10EP29DTG")</f>
        <v>MC10EP29DTG</v>
      </c>
      <c r="B18392" s="3" t="s">
        <v>74</v>
      </c>
      <c r="C18392" s="6">
        <v>1029</v>
      </c>
      <c r="D18392" s="7">
        <v>22.5</v>
      </c>
      <c r="E18392" t="s">
        <v>31</v>
      </c>
    </row>
    <row r="18393" spans="1:5" x14ac:dyDescent="0.25">
      <c r="A18393" t="str">
        <f>HYPERLINK("https://www.773grp.com/globalSearch/MC10EP29MNG/page-1", "MC10EP29MNG")</f>
        <v>MC10EP29MNG</v>
      </c>
      <c r="B18393" s="3" t="s">
        <v>74</v>
      </c>
      <c r="C18393" s="6">
        <v>4457</v>
      </c>
      <c r="D18393" s="7">
        <v>22.5</v>
      </c>
      <c r="E18393" t="s">
        <v>31</v>
      </c>
    </row>
    <row r="18394" spans="1:5" x14ac:dyDescent="0.25">
      <c r="A18394" t="str">
        <f>HYPERLINK("https://www.773grp.com/globalSearch/MC10EP90DTG/page-1", "MC10EP90DTG")</f>
        <v>MC10EP90DTG</v>
      </c>
      <c r="B18394" s="3" t="s">
        <v>74</v>
      </c>
      <c r="C18394" s="6">
        <v>3954</v>
      </c>
      <c r="D18394" s="7">
        <v>22.5</v>
      </c>
      <c r="E18394" t="s">
        <v>61</v>
      </c>
    </row>
    <row r="18395" spans="1:5" x14ac:dyDescent="0.25">
      <c r="A18395" t="str">
        <f>HYPERLINK("https://www.773grp.com/globalSearch/MC10EP90DTR2G/page-1", "MC10EP90DTR2G")</f>
        <v>MC10EP90DTR2G</v>
      </c>
      <c r="B18395" s="3" t="s">
        <v>74</v>
      </c>
      <c r="C18395" s="6">
        <v>2500</v>
      </c>
      <c r="D18395" s="7">
        <v>22.5</v>
      </c>
      <c r="E18395" t="s">
        <v>61</v>
      </c>
    </row>
    <row r="18396" spans="1:5" x14ac:dyDescent="0.25">
      <c r="A18396" t="str">
        <f>HYPERLINK("https://www.773grp.com/globalSearch/NB100LVEP224FA/page-1", "NB100LVEP224FA")</f>
        <v>NB100LVEP224FA</v>
      </c>
      <c r="B18396" s="3" t="s">
        <v>74</v>
      </c>
      <c r="C18396" s="6">
        <v>2149</v>
      </c>
      <c r="D18396" s="7">
        <v>22.5</v>
      </c>
      <c r="E18396" t="s">
        <v>30</v>
      </c>
    </row>
    <row r="18397" spans="1:5" x14ac:dyDescent="0.25">
      <c r="A18397" t="str">
        <f>HYPERLINK("https://www.773grp.com/globalSearch/NB100LVEP91DWG/page-1", "NB100LVEP91DWG")</f>
        <v>NB100LVEP91DWG</v>
      </c>
      <c r="B18397" s="3" t="s">
        <v>74</v>
      </c>
      <c r="C18397" s="6">
        <v>1909</v>
      </c>
      <c r="D18397" s="7">
        <v>22.5</v>
      </c>
      <c r="E18397" t="s">
        <v>61</v>
      </c>
    </row>
    <row r="18398" spans="1:5" x14ac:dyDescent="0.25">
      <c r="A18398" t="str">
        <f>HYPERLINK("https://www.773grp.com/globalSearch/NB100LVEP91DWR2G/page-1", "NB100LVEP91DWR2G")</f>
        <v>NB100LVEP91DWR2G</v>
      </c>
      <c r="B18398" s="3" t="s">
        <v>74</v>
      </c>
      <c r="C18398" s="6">
        <v>5000</v>
      </c>
      <c r="D18398" s="7">
        <v>22.5</v>
      </c>
      <c r="E18398" t="s">
        <v>61</v>
      </c>
    </row>
    <row r="18399" spans="1:5" x14ac:dyDescent="0.25">
      <c r="A18399" t="str">
        <f>HYPERLINK("https://www.773grp.com/globalSearch/NB100LVEP91MNG/page-1", "NB100LVEP91MNG")</f>
        <v>NB100LVEP91MNG</v>
      </c>
      <c r="B18399" s="3" t="s">
        <v>74</v>
      </c>
      <c r="C18399" s="6">
        <v>2601</v>
      </c>
      <c r="D18399" s="7">
        <v>22.5</v>
      </c>
      <c r="E18399" t="s">
        <v>61</v>
      </c>
    </row>
    <row r="18400" spans="1:5" x14ac:dyDescent="0.25">
      <c r="A18400" t="str">
        <f>HYPERLINK("https://www.773grp.com/globalSearch/NB100LVEP17MNR2/page-1", "NB100LVEP17MNR2")</f>
        <v>NB100LVEP17MNR2</v>
      </c>
      <c r="B18400" s="3" t="s">
        <v>74</v>
      </c>
      <c r="C18400" s="6">
        <v>3000</v>
      </c>
      <c r="D18400" s="7">
        <v>22.91</v>
      </c>
      <c r="E18400" t="s">
        <v>17</v>
      </c>
    </row>
    <row r="18401" spans="1:5" x14ac:dyDescent="0.25">
      <c r="A18401" t="str">
        <f>HYPERLINK("https://www.773grp.com/globalSearch/STK428-920A-E/page-1", "STK428-920A-E")</f>
        <v>STK428-920A-E</v>
      </c>
      <c r="B18401" s="3" t="s">
        <v>74</v>
      </c>
      <c r="C18401" s="6">
        <v>5000</v>
      </c>
      <c r="D18401" s="7">
        <v>23.06</v>
      </c>
    </row>
    <row r="18402" spans="1:5" x14ac:dyDescent="0.25">
      <c r="A18402" t="str">
        <f>HYPERLINK("https://www.773grp.com/globalSearch/MC1650L/page-1", "MC1650L")</f>
        <v>MC1650L</v>
      </c>
      <c r="B18402" s="3" t="s">
        <v>74</v>
      </c>
      <c r="C18402" s="6">
        <v>147</v>
      </c>
      <c r="D18402" s="7">
        <v>23.51</v>
      </c>
      <c r="E18402" t="s">
        <v>6</v>
      </c>
    </row>
    <row r="18403" spans="1:5" x14ac:dyDescent="0.25">
      <c r="A18403" t="str">
        <f>HYPERLINK("https://www.773grp.com/globalSearch/MC1651L/page-1", "MC1651L")</f>
        <v>MC1651L</v>
      </c>
      <c r="B18403" s="3" t="s">
        <v>74</v>
      </c>
      <c r="C18403" s="6">
        <v>784</v>
      </c>
      <c r="D18403" s="7">
        <v>23.51</v>
      </c>
      <c r="E18403" t="s">
        <v>6</v>
      </c>
    </row>
    <row r="18404" spans="1:5" x14ac:dyDescent="0.25">
      <c r="A18404" t="str">
        <f>HYPERLINK("https://www.773grp.com/globalSearch/AD790AQ/page-1", "AD790AQ")</f>
        <v>AD790AQ</v>
      </c>
      <c r="B18404" s="3" t="s">
        <v>74</v>
      </c>
      <c r="C18404" s="6">
        <v>53</v>
      </c>
      <c r="D18404" s="7">
        <v>23.63</v>
      </c>
    </row>
    <row r="18405" spans="1:5" x14ac:dyDescent="0.25">
      <c r="A18405" t="str">
        <f>HYPERLINK("https://www.773grp.com/globalSearch/MC100EP17MNG/page-1", "MC100EP17MNG")</f>
        <v>MC100EP17MNG</v>
      </c>
      <c r="B18405" s="3" t="s">
        <v>74</v>
      </c>
      <c r="C18405" s="6">
        <v>3128</v>
      </c>
      <c r="D18405" s="7">
        <v>23.91</v>
      </c>
      <c r="E18405" t="s">
        <v>17</v>
      </c>
    </row>
    <row r="18406" spans="1:5" x14ac:dyDescent="0.25">
      <c r="A18406" t="str">
        <f>HYPERLINK("https://www.773grp.com/globalSearch/MC100EP195FAR2/page-1", "MC100EP195FAR2")</f>
        <v>MC100EP195FAR2</v>
      </c>
      <c r="B18406" s="3" t="s">
        <v>74</v>
      </c>
      <c r="C18406" s="6">
        <v>1539</v>
      </c>
      <c r="D18406" s="7">
        <v>23.91</v>
      </c>
      <c r="E18406" t="s">
        <v>98</v>
      </c>
    </row>
    <row r="18407" spans="1:5" x14ac:dyDescent="0.25">
      <c r="A18407" t="str">
        <f>HYPERLINK("https://www.773grp.com/globalSearch/MC10H424P/page-1", "MC10H424P")</f>
        <v>MC10H424P</v>
      </c>
      <c r="B18407" s="3" t="s">
        <v>74</v>
      </c>
      <c r="C18407" s="6">
        <v>1958</v>
      </c>
      <c r="D18407" s="7">
        <v>24</v>
      </c>
      <c r="E18407" t="s">
        <v>61</v>
      </c>
    </row>
    <row r="18408" spans="1:5" x14ac:dyDescent="0.25">
      <c r="A18408" t="str">
        <f>HYPERLINK("https://www.773grp.com/globalSearch/MC100EP139MNG/page-1", "MC100EP139MNG")</f>
        <v>MC100EP139MNG</v>
      </c>
      <c r="B18408" s="3" t="s">
        <v>74</v>
      </c>
      <c r="C18408" s="6">
        <v>7317</v>
      </c>
      <c r="D18408" s="7">
        <v>24.25</v>
      </c>
      <c r="E18408" t="s">
        <v>30</v>
      </c>
    </row>
    <row r="18409" spans="1:5" x14ac:dyDescent="0.25">
      <c r="A18409" t="str">
        <f>HYPERLINK("https://www.773grp.com/globalSearch/MC100EP210SFAG/page-1", "MC100EP210SFAG")</f>
        <v>MC100EP210SFAG</v>
      </c>
      <c r="B18409" s="3" t="s">
        <v>74</v>
      </c>
      <c r="C18409" s="6">
        <v>1483</v>
      </c>
      <c r="D18409" s="7">
        <v>24.48</v>
      </c>
      <c r="E18409" t="s">
        <v>30</v>
      </c>
    </row>
    <row r="18410" spans="1:5" x14ac:dyDescent="0.25">
      <c r="A18410" t="str">
        <f>HYPERLINK("https://www.773grp.com/globalSearch/MC100EP210SMNG/page-1", "MC100EP210SMNG")</f>
        <v>MC100EP210SMNG</v>
      </c>
      <c r="B18410" s="3" t="s">
        <v>74</v>
      </c>
      <c r="C18410" s="6">
        <v>7016</v>
      </c>
      <c r="D18410" s="7">
        <v>24.48</v>
      </c>
      <c r="E18410" t="s">
        <v>30</v>
      </c>
    </row>
    <row r="18411" spans="1:5" x14ac:dyDescent="0.25">
      <c r="A18411" t="str">
        <f>HYPERLINK("https://www.773grp.com/globalSearch/MC100EP210SMNR4G/page-1", "MC100EP210SMNR4G")</f>
        <v>MC100EP210SMNR4G</v>
      </c>
      <c r="B18411" s="3" t="s">
        <v>74</v>
      </c>
      <c r="C18411" s="6">
        <v>26445</v>
      </c>
      <c r="D18411" s="7">
        <v>24.48</v>
      </c>
      <c r="E18411" t="s">
        <v>30</v>
      </c>
    </row>
    <row r="18412" spans="1:5" x14ac:dyDescent="0.25">
      <c r="A18412" t="str">
        <f>HYPERLINK("https://www.773grp.com/globalSearch/MC100LVEP210FAG/page-1", "MC100LVEP210FAG")</f>
        <v>MC100LVEP210FAG</v>
      </c>
      <c r="B18412" s="3" t="s">
        <v>74</v>
      </c>
      <c r="C18412" s="6">
        <v>2686</v>
      </c>
      <c r="D18412" s="7">
        <v>24.75</v>
      </c>
      <c r="E18412" t="s">
        <v>30</v>
      </c>
    </row>
    <row r="18413" spans="1:5" x14ac:dyDescent="0.25">
      <c r="A18413" t="str">
        <f>HYPERLINK("https://www.773grp.com/globalSearch/MC100LVEP210FARG/page-1", "MC100LVEP210FARG")</f>
        <v>MC100LVEP210FARG</v>
      </c>
      <c r="B18413" s="3" t="s">
        <v>74</v>
      </c>
      <c r="C18413" s="6">
        <v>7410</v>
      </c>
      <c r="D18413" s="7">
        <v>24.75</v>
      </c>
      <c r="E18413" t="s">
        <v>30</v>
      </c>
    </row>
    <row r="18414" spans="1:5" x14ac:dyDescent="0.25">
      <c r="A18414" t="str">
        <f>HYPERLINK("https://www.773grp.com/globalSearch/MC100LVEP210MNG/page-1", "MC100LVEP210MNG")</f>
        <v>MC100LVEP210MNG</v>
      </c>
      <c r="B18414" s="3" t="s">
        <v>74</v>
      </c>
      <c r="C18414" s="6">
        <v>5066</v>
      </c>
      <c r="D18414" s="7">
        <v>24.75</v>
      </c>
      <c r="E18414" t="s">
        <v>30</v>
      </c>
    </row>
    <row r="18415" spans="1:5" x14ac:dyDescent="0.25">
      <c r="A18415" t="str">
        <f>HYPERLINK("https://www.773grp.com/globalSearch/MC100LVEP210MNRG/page-1", "MC100LVEP210MNRG")</f>
        <v>MC100LVEP210MNRG</v>
      </c>
      <c r="B18415" s="3" t="s">
        <v>74</v>
      </c>
      <c r="C18415" s="6">
        <v>2500</v>
      </c>
      <c r="D18415" s="7">
        <v>24.75</v>
      </c>
    </row>
    <row r="18416" spans="1:5" x14ac:dyDescent="0.25">
      <c r="A18416" t="str">
        <f>HYPERLINK("https://www.773grp.com/globalSearch/MC10SX1190DTG/page-1", "MC10SX1190DTG")</f>
        <v>MC10SX1190DTG</v>
      </c>
      <c r="B18416" s="3" t="s">
        <v>74</v>
      </c>
      <c r="C18416" s="6">
        <v>9900</v>
      </c>
      <c r="D18416" s="7">
        <v>24.86</v>
      </c>
      <c r="E18416" t="s">
        <v>17</v>
      </c>
    </row>
    <row r="18417" spans="1:5" x14ac:dyDescent="0.25">
      <c r="A18417" t="str">
        <f>HYPERLINK("https://www.773grp.com/globalSearch/MC10SX1190DTR2G/page-1", "MC10SX1190DTR2G")</f>
        <v>MC10SX1190DTR2G</v>
      </c>
      <c r="B18417" s="3" t="s">
        <v>74</v>
      </c>
      <c r="C18417" s="6">
        <v>9970</v>
      </c>
      <c r="D18417" s="7">
        <v>24.86</v>
      </c>
      <c r="E18417" t="s">
        <v>17</v>
      </c>
    </row>
    <row r="18418" spans="1:5" x14ac:dyDescent="0.25">
      <c r="A18418" t="str">
        <f>HYPERLINK("https://www.773grp.com/globalSearch/MC100H642FNG/page-1", "MC100H642FNG")</f>
        <v>MC100H642FNG</v>
      </c>
      <c r="B18418" s="3" t="s">
        <v>74</v>
      </c>
      <c r="C18418" s="6">
        <v>2506</v>
      </c>
      <c r="D18418" s="7">
        <v>24.98</v>
      </c>
      <c r="E18418" t="s">
        <v>30</v>
      </c>
    </row>
    <row r="18419" spans="1:5" x14ac:dyDescent="0.25">
      <c r="A18419" t="str">
        <f>HYPERLINK("https://www.773grp.com/globalSearch/MC100H642FNR2G/page-1", "MC100H642FNR2G")</f>
        <v>MC100H642FNR2G</v>
      </c>
      <c r="B18419" s="3" t="s">
        <v>74</v>
      </c>
      <c r="C18419" s="6">
        <v>1000</v>
      </c>
      <c r="D18419" s="7">
        <v>24.98</v>
      </c>
      <c r="E18419" t="s">
        <v>30</v>
      </c>
    </row>
    <row r="18420" spans="1:5" x14ac:dyDescent="0.25">
      <c r="A18420" t="str">
        <f>HYPERLINK("https://www.773grp.com/globalSearch/MC10H642FNG/page-1", "MC10H642FNG")</f>
        <v>MC10H642FNG</v>
      </c>
      <c r="B18420" s="3" t="s">
        <v>74</v>
      </c>
      <c r="C18420" s="6">
        <v>703</v>
      </c>
      <c r="D18420" s="7">
        <v>24.98</v>
      </c>
      <c r="E18420" t="s">
        <v>30</v>
      </c>
    </row>
    <row r="18421" spans="1:5" x14ac:dyDescent="0.25">
      <c r="A18421" t="str">
        <f>HYPERLINK("https://www.773grp.com/globalSearch/STK433-130N-E/page-1", "STK433-130N-E")</f>
        <v>STK433-130N-E</v>
      </c>
      <c r="B18421" s="3" t="s">
        <v>74</v>
      </c>
      <c r="C18421" s="6">
        <v>40</v>
      </c>
      <c r="D18421" s="7">
        <v>25.06</v>
      </c>
    </row>
    <row r="18422" spans="1:5" x14ac:dyDescent="0.25">
      <c r="A18422" t="str">
        <f>HYPERLINK("https://www.773grp.com/globalSearch/STK621-033A-E/page-1", "STK621-033A-E")</f>
        <v>STK621-033A-E</v>
      </c>
      <c r="B18422" s="3" t="s">
        <v>74</v>
      </c>
      <c r="C18422" s="6">
        <v>485</v>
      </c>
      <c r="D18422" s="7">
        <v>25.09</v>
      </c>
    </row>
    <row r="18423" spans="1:5" x14ac:dyDescent="0.25">
      <c r="A18423" t="str">
        <f>HYPERLINK("https://www.773grp.com/globalSearch/MC100EP116FAG/page-1", "MC100EP116FAG")</f>
        <v>MC100EP116FAG</v>
      </c>
      <c r="B18423" s="3" t="s">
        <v>74</v>
      </c>
      <c r="C18423" s="6">
        <v>1590</v>
      </c>
      <c r="D18423" s="7">
        <v>25.31</v>
      </c>
      <c r="E18423" t="s">
        <v>17</v>
      </c>
    </row>
    <row r="18424" spans="1:5" x14ac:dyDescent="0.25">
      <c r="A18424" t="str">
        <f>HYPERLINK("https://www.773grp.com/globalSearch/MC100EP116FAR2G/page-1", "MC100EP116FAR2G")</f>
        <v>MC100EP116FAR2G</v>
      </c>
      <c r="B18424" s="3" t="s">
        <v>74</v>
      </c>
      <c r="C18424" s="6">
        <v>500</v>
      </c>
      <c r="D18424" s="7">
        <v>25.31</v>
      </c>
      <c r="E18424" t="s">
        <v>17</v>
      </c>
    </row>
    <row r="18425" spans="1:5" x14ac:dyDescent="0.25">
      <c r="A18425" t="str">
        <f>HYPERLINK("https://www.773grp.com/globalSearch/MC100EP116MNG/page-1", "MC100EP116MNG")</f>
        <v>MC100EP116MNG</v>
      </c>
      <c r="B18425" s="3" t="s">
        <v>74</v>
      </c>
      <c r="C18425" s="6">
        <v>15174</v>
      </c>
      <c r="D18425" s="7">
        <v>25.31</v>
      </c>
      <c r="E18425" t="s">
        <v>17</v>
      </c>
    </row>
    <row r="18426" spans="1:5" x14ac:dyDescent="0.25">
      <c r="A18426" t="str">
        <f>HYPERLINK("https://www.773grp.com/globalSearch/MC100EP131FAG/page-1", "MC100EP131FAG")</f>
        <v>MC100EP131FAG</v>
      </c>
      <c r="B18426" s="3" t="s">
        <v>74</v>
      </c>
      <c r="C18426" s="6">
        <v>443</v>
      </c>
      <c r="D18426" s="7">
        <v>25.31</v>
      </c>
      <c r="E18426" t="s">
        <v>31</v>
      </c>
    </row>
    <row r="18427" spans="1:5" x14ac:dyDescent="0.25">
      <c r="A18427" t="str">
        <f>HYPERLINK("https://www.773grp.com/globalSearch/MC100EP131MNG/page-1", "MC100EP131MNG")</f>
        <v>MC100EP131MNG</v>
      </c>
      <c r="B18427" s="3" t="s">
        <v>74</v>
      </c>
      <c r="C18427" s="6">
        <v>4431</v>
      </c>
      <c r="D18427" s="7">
        <v>25.31</v>
      </c>
      <c r="E18427" t="s">
        <v>31</v>
      </c>
    </row>
    <row r="18428" spans="1:5" x14ac:dyDescent="0.25">
      <c r="A18428" t="str">
        <f>HYPERLINK("https://www.773grp.com/globalSearch/MC100EP131MNR4G/page-1", "MC100EP131MNR4G")</f>
        <v>MC100EP131MNR4G</v>
      </c>
      <c r="B18428" s="3" t="s">
        <v>74</v>
      </c>
      <c r="C18428" s="6">
        <v>9859</v>
      </c>
      <c r="D18428" s="7">
        <v>25.31</v>
      </c>
      <c r="E18428" t="s">
        <v>31</v>
      </c>
    </row>
    <row r="18429" spans="1:5" x14ac:dyDescent="0.25">
      <c r="A18429" t="str">
        <f>HYPERLINK("https://www.773grp.com/globalSearch/MC100EP40DTG/page-1", "MC100EP40DTG")</f>
        <v>MC100EP40DTG</v>
      </c>
      <c r="B18429" s="3" t="s">
        <v>74</v>
      </c>
      <c r="C18429" s="6">
        <v>767</v>
      </c>
      <c r="D18429" s="7">
        <v>25.31</v>
      </c>
    </row>
    <row r="18430" spans="1:5" x14ac:dyDescent="0.25">
      <c r="A18430" t="str">
        <f>HYPERLINK("https://www.773grp.com/globalSearch/MC100EP91DWG/page-1", "MC100EP91DWG")</f>
        <v>MC100EP91DWG</v>
      </c>
      <c r="B18430" s="3" t="s">
        <v>74</v>
      </c>
      <c r="C18430" s="6">
        <v>3594</v>
      </c>
      <c r="D18430" s="7">
        <v>25.31</v>
      </c>
      <c r="E18430" t="s">
        <v>61</v>
      </c>
    </row>
    <row r="18431" spans="1:5" x14ac:dyDescent="0.25">
      <c r="A18431" t="str">
        <f>HYPERLINK("https://www.773grp.com/globalSearch/MC100EP91MNG/page-1", "MC100EP91MNG")</f>
        <v>MC100EP91MNG</v>
      </c>
      <c r="B18431" s="3" t="s">
        <v>74</v>
      </c>
      <c r="C18431" s="6">
        <v>2933</v>
      </c>
      <c r="D18431" s="7">
        <v>25.31</v>
      </c>
      <c r="E18431" t="s">
        <v>61</v>
      </c>
    </row>
    <row r="18432" spans="1:5" x14ac:dyDescent="0.25">
      <c r="A18432" t="str">
        <f>HYPERLINK("https://www.773grp.com/globalSearch/MC100EP91MNR2G/page-1", "MC100EP91MNR2G")</f>
        <v>MC100EP91MNR2G</v>
      </c>
      <c r="B18432" s="3" t="s">
        <v>74</v>
      </c>
      <c r="C18432" s="6">
        <v>3000</v>
      </c>
      <c r="D18432" s="7">
        <v>25.31</v>
      </c>
      <c r="E18432" t="s">
        <v>61</v>
      </c>
    </row>
    <row r="18433" spans="1:5" x14ac:dyDescent="0.25">
      <c r="A18433" t="str">
        <f>HYPERLINK("https://www.773grp.com/globalSearch/MC100LVE164FA/page-1", "MC100LVE164FA")</f>
        <v>MC100LVE164FA</v>
      </c>
      <c r="B18433" s="3" t="s">
        <v>74</v>
      </c>
      <c r="C18433" s="6">
        <v>3047</v>
      </c>
      <c r="D18433" s="7">
        <v>25.31</v>
      </c>
      <c r="E18433" t="s">
        <v>16</v>
      </c>
    </row>
    <row r="18434" spans="1:5" x14ac:dyDescent="0.25">
      <c r="A18434" t="str">
        <f>HYPERLINK("https://www.773grp.com/globalSearch/MC100LVE164FAR2/page-1", "MC100LVE164FAR2")</f>
        <v>MC100LVE164FAR2</v>
      </c>
      <c r="B18434" s="3" t="s">
        <v>74</v>
      </c>
      <c r="C18434" s="6">
        <v>1730</v>
      </c>
      <c r="D18434" s="7">
        <v>25.31</v>
      </c>
      <c r="E18434" t="s">
        <v>16</v>
      </c>
    </row>
    <row r="18435" spans="1:5" x14ac:dyDescent="0.25">
      <c r="A18435" t="str">
        <f>HYPERLINK("https://www.773grp.com/globalSearch/MC10EP116FAG/page-1", "MC10EP116FAG")</f>
        <v>MC10EP116FAG</v>
      </c>
      <c r="B18435" s="3" t="s">
        <v>74</v>
      </c>
      <c r="C18435" s="6">
        <v>3854</v>
      </c>
      <c r="D18435" s="7">
        <v>25.31</v>
      </c>
      <c r="E18435" t="s">
        <v>17</v>
      </c>
    </row>
    <row r="18436" spans="1:5" x14ac:dyDescent="0.25">
      <c r="A18436" t="str">
        <f>HYPERLINK("https://www.773grp.com/globalSearch/MC10EP116FAR2G/page-1", "MC10EP116FAR2G")</f>
        <v>MC10EP116FAR2G</v>
      </c>
      <c r="B18436" s="3" t="s">
        <v>74</v>
      </c>
      <c r="C18436" s="6">
        <v>4000</v>
      </c>
      <c r="D18436" s="7">
        <v>25.31</v>
      </c>
      <c r="E18436" t="s">
        <v>17</v>
      </c>
    </row>
    <row r="18437" spans="1:5" x14ac:dyDescent="0.25">
      <c r="A18437" t="str">
        <f>HYPERLINK("https://www.773grp.com/globalSearch/MC10EP131FAG/page-1", "MC10EP131FAG")</f>
        <v>MC10EP131FAG</v>
      </c>
      <c r="B18437" s="3" t="s">
        <v>74</v>
      </c>
      <c r="C18437" s="6">
        <v>9942</v>
      </c>
      <c r="D18437" s="7">
        <v>25.31</v>
      </c>
      <c r="E18437" t="s">
        <v>31</v>
      </c>
    </row>
    <row r="18438" spans="1:5" x14ac:dyDescent="0.25">
      <c r="A18438" t="str">
        <f>HYPERLINK("https://www.773grp.com/globalSearch/MC10EP131FAR2G/page-1", "MC10EP131FAR2G")</f>
        <v>MC10EP131FAR2G</v>
      </c>
      <c r="B18438" s="3" t="s">
        <v>74</v>
      </c>
      <c r="C18438" s="6">
        <v>11396</v>
      </c>
      <c r="D18438" s="7">
        <v>25.31</v>
      </c>
      <c r="E18438" t="s">
        <v>31</v>
      </c>
    </row>
    <row r="18439" spans="1:5" x14ac:dyDescent="0.25">
      <c r="A18439" t="str">
        <f>HYPERLINK("https://www.773grp.com/globalSearch/MC10EP131MNG/page-1", "MC10EP131MNG")</f>
        <v>MC10EP131MNG</v>
      </c>
      <c r="B18439" s="3" t="s">
        <v>74</v>
      </c>
      <c r="C18439" s="6">
        <v>9153</v>
      </c>
      <c r="D18439" s="7">
        <v>25.31</v>
      </c>
      <c r="E18439" t="s">
        <v>31</v>
      </c>
    </row>
    <row r="18440" spans="1:5" x14ac:dyDescent="0.25">
      <c r="A18440" t="str">
        <f>HYPERLINK("https://www.773grp.com/globalSearch/MC10EP131MNR4G/page-1", "MC10EP131MNR4G")</f>
        <v>MC10EP131MNR4G</v>
      </c>
      <c r="B18440" s="3" t="s">
        <v>74</v>
      </c>
      <c r="C18440" s="6">
        <v>6000</v>
      </c>
      <c r="D18440" s="7">
        <v>25.31</v>
      </c>
      <c r="E18440" t="s">
        <v>31</v>
      </c>
    </row>
    <row r="18441" spans="1:5" x14ac:dyDescent="0.25">
      <c r="A18441" t="str">
        <f>HYPERLINK("https://www.773grp.com/globalSearch/NB4L6254FAG/page-1", "NB4L6254FAG")</f>
        <v>NB4L6254FAG</v>
      </c>
      <c r="B18441" s="3" t="s">
        <v>74</v>
      </c>
      <c r="C18441" s="6">
        <v>6020</v>
      </c>
      <c r="D18441" s="7">
        <v>25.31</v>
      </c>
      <c r="E18441" t="s">
        <v>30</v>
      </c>
    </row>
    <row r="18442" spans="1:5" x14ac:dyDescent="0.25">
      <c r="A18442" t="str">
        <f>HYPERLINK("https://www.773grp.com/globalSearch/NB4L6254FAR2G/page-1", "NB4L6254FAR2G")</f>
        <v>NB4L6254FAR2G</v>
      </c>
      <c r="B18442" s="3" t="s">
        <v>74</v>
      </c>
      <c r="C18442" s="6">
        <v>3362</v>
      </c>
      <c r="D18442" s="7">
        <v>25.31</v>
      </c>
      <c r="E18442" t="s">
        <v>30</v>
      </c>
    </row>
    <row r="18443" spans="1:5" x14ac:dyDescent="0.25">
      <c r="A18443" t="str">
        <f>HYPERLINK("https://www.773grp.com/globalSearch/MBRP20035L/page-1", "MBRP20035L")</f>
        <v>MBRP20035L</v>
      </c>
      <c r="B18443" s="3" t="s">
        <v>74</v>
      </c>
      <c r="C18443" s="6">
        <v>74</v>
      </c>
      <c r="D18443" s="7">
        <v>25.35</v>
      </c>
      <c r="E18443" t="s">
        <v>82</v>
      </c>
    </row>
    <row r="18444" spans="1:5" x14ac:dyDescent="0.25">
      <c r="A18444" t="str">
        <f>HYPERLINK("https://www.773grp.com/globalSearch/MBRP20030CTL/page-1", "MBRP20030CTL")</f>
        <v>MBRP20030CTL</v>
      </c>
      <c r="B18444" s="3" t="s">
        <v>74</v>
      </c>
      <c r="C18444" s="6">
        <v>859</v>
      </c>
      <c r="D18444" s="7">
        <v>26.03</v>
      </c>
      <c r="E18444" t="s">
        <v>82</v>
      </c>
    </row>
    <row r="18445" spans="1:5" x14ac:dyDescent="0.25">
      <c r="A18445" t="str">
        <f>HYPERLINK("https://www.773grp.com/globalSearch/MBRP40030CTL/page-1", "MBRP40030CTL")</f>
        <v>MBRP40030CTL</v>
      </c>
      <c r="B18445" s="3" t="s">
        <v>74</v>
      </c>
      <c r="C18445" s="6">
        <v>21</v>
      </c>
      <c r="D18445" s="7">
        <v>26.03</v>
      </c>
      <c r="E18445" t="s">
        <v>82</v>
      </c>
    </row>
    <row r="18446" spans="1:5" x14ac:dyDescent="0.25">
      <c r="A18446" t="str">
        <f>HYPERLINK("https://www.773grp.com/globalSearch/AD7896ANZ/page-1", "AD7896ANZ")</f>
        <v>AD7896ANZ</v>
      </c>
      <c r="B18446" s="3" t="s">
        <v>74</v>
      </c>
      <c r="C18446" s="6">
        <v>10</v>
      </c>
      <c r="D18446" s="7">
        <v>26.95</v>
      </c>
    </row>
    <row r="18447" spans="1:5" x14ac:dyDescent="0.25">
      <c r="A18447" t="str">
        <f>HYPERLINK("https://www.773grp.com/globalSearch/MC10H332FN/page-1", "MC10H332FN")</f>
        <v>MC10H332FN</v>
      </c>
      <c r="B18447" s="3" t="s">
        <v>74</v>
      </c>
      <c r="C18447" s="6">
        <v>3169</v>
      </c>
      <c r="D18447" s="7">
        <v>26.96</v>
      </c>
      <c r="E18447" t="s">
        <v>11</v>
      </c>
    </row>
    <row r="18448" spans="1:5" x14ac:dyDescent="0.25">
      <c r="A18448" t="str">
        <f>HYPERLINK("https://www.773grp.com/globalSearch/MC10H332FNR2/page-1", "MC10H332FNR2")</f>
        <v>MC10H332FNR2</v>
      </c>
      <c r="B18448" s="3" t="s">
        <v>74</v>
      </c>
      <c r="C18448" s="6">
        <v>2457</v>
      </c>
      <c r="D18448" s="7">
        <v>26.96</v>
      </c>
      <c r="E18448" t="s">
        <v>11</v>
      </c>
    </row>
    <row r="18449" spans="1:5" x14ac:dyDescent="0.25">
      <c r="A18449" t="str">
        <f>HYPERLINK("https://www.773grp.com/globalSearch/MC10H334FNG/page-1", "MC10H334FNG")</f>
        <v>MC10H334FNG</v>
      </c>
      <c r="B18449" s="3" t="s">
        <v>74</v>
      </c>
      <c r="C18449" s="6">
        <v>1288</v>
      </c>
      <c r="D18449" s="7">
        <v>26.96</v>
      </c>
      <c r="E18449" t="s">
        <v>11</v>
      </c>
    </row>
    <row r="18450" spans="1:5" x14ac:dyDescent="0.25">
      <c r="A18450" t="str">
        <f>HYPERLINK("https://www.773grp.com/globalSearch/MC100EP131FAR2/page-1", "MC100EP131FAR2")</f>
        <v>MC100EP131FAR2</v>
      </c>
      <c r="B18450" s="3" t="s">
        <v>74</v>
      </c>
      <c r="C18450" s="6">
        <v>352</v>
      </c>
      <c r="D18450" s="7">
        <v>27.05</v>
      </c>
      <c r="E18450" t="s">
        <v>31</v>
      </c>
    </row>
    <row r="18451" spans="1:5" x14ac:dyDescent="0.25">
      <c r="A18451" t="str">
        <f>HYPERLINK("https://www.773grp.com/globalSearch/MC100EP29DTR2  REEL/page-1", "MC100EP29DTR2  REEL")</f>
        <v>MC100EP29DTR2  REEL</v>
      </c>
      <c r="B18451" s="3" t="s">
        <v>74</v>
      </c>
      <c r="C18451" s="6">
        <v>2400</v>
      </c>
      <c r="D18451" s="7">
        <v>27.05</v>
      </c>
    </row>
    <row r="18452" spans="1:5" x14ac:dyDescent="0.25">
      <c r="A18452" t="str">
        <f>HYPERLINK("https://www.773grp.com/globalSearch/MC100EP91DW/page-1", "MC100EP91DW")</f>
        <v>MC100EP91DW</v>
      </c>
      <c r="B18452" s="3" t="s">
        <v>74</v>
      </c>
      <c r="C18452" s="6">
        <v>14269</v>
      </c>
      <c r="D18452" s="7">
        <v>27.05</v>
      </c>
      <c r="E18452" t="s">
        <v>61</v>
      </c>
    </row>
    <row r="18453" spans="1:5" x14ac:dyDescent="0.25">
      <c r="A18453" t="str">
        <f>HYPERLINK("https://www.773grp.com/globalSearch/MC100EP91MN/page-1", "MC100EP91MN")</f>
        <v>MC100EP91MN</v>
      </c>
      <c r="B18453" s="3" t="s">
        <v>74</v>
      </c>
      <c r="C18453" s="6">
        <v>9384</v>
      </c>
      <c r="D18453" s="7">
        <v>27.05</v>
      </c>
      <c r="E18453" t="s">
        <v>61</v>
      </c>
    </row>
    <row r="18454" spans="1:5" x14ac:dyDescent="0.25">
      <c r="A18454" t="str">
        <f>HYPERLINK("https://www.773grp.com/globalSearch/MC10H643FNG/page-1", "MC10H643FNG")</f>
        <v>MC10H643FNG</v>
      </c>
      <c r="B18454" s="3" t="s">
        <v>74</v>
      </c>
      <c r="C18454" s="6">
        <v>1087</v>
      </c>
      <c r="D18454" s="7">
        <v>27.11</v>
      </c>
      <c r="E18454" t="s">
        <v>30</v>
      </c>
    </row>
    <row r="18455" spans="1:5" x14ac:dyDescent="0.25">
      <c r="A18455" t="str">
        <f>HYPERLINK("https://www.773grp.com/globalSearch/MC10H643FNR2G/page-1", "MC10H643FNR2G")</f>
        <v>MC10H643FNR2G</v>
      </c>
      <c r="B18455" s="3" t="s">
        <v>74</v>
      </c>
      <c r="C18455" s="6">
        <v>2265</v>
      </c>
      <c r="D18455" s="7">
        <v>27.11</v>
      </c>
      <c r="E18455" t="s">
        <v>30</v>
      </c>
    </row>
    <row r="18456" spans="1:5" x14ac:dyDescent="0.25">
      <c r="A18456" t="str">
        <f>HYPERLINK("https://www.773grp.com/globalSearch/LC74735NWH-9817-E/page-1", "LC74735NWH-9817-E")</f>
        <v>LC74735NWH-9817-E</v>
      </c>
      <c r="B18456" s="3" t="s">
        <v>74</v>
      </c>
      <c r="C18456" s="6">
        <v>2400</v>
      </c>
      <c r="D18456" s="7">
        <v>27.34</v>
      </c>
    </row>
    <row r="18457" spans="1:5" x14ac:dyDescent="0.25">
      <c r="A18457" t="str">
        <f>HYPERLINK("https://www.773grp.com/globalSearch/AMIS-49200-XTD/page-1", "AMIS-49200-XTD")</f>
        <v>AMIS-49200-XTD</v>
      </c>
      <c r="B18457" s="3" t="s">
        <v>74</v>
      </c>
      <c r="C18457" s="6">
        <v>348</v>
      </c>
      <c r="D18457" s="7">
        <v>27.51</v>
      </c>
    </row>
    <row r="18458" spans="1:5" x14ac:dyDescent="0.25">
      <c r="A18458" t="str">
        <f>HYPERLINK("https://www.773grp.com/globalSearch/AMIS-49200-XTP/page-1", "AMIS-49200-XTP")</f>
        <v>AMIS-49200-XTP</v>
      </c>
      <c r="B18458" s="3" t="s">
        <v>74</v>
      </c>
      <c r="C18458" s="6">
        <v>1500</v>
      </c>
      <c r="D18458" s="7">
        <v>27.51</v>
      </c>
      <c r="E18458" t="s">
        <v>55</v>
      </c>
    </row>
    <row r="18459" spans="1:5" x14ac:dyDescent="0.25">
      <c r="A18459" t="str">
        <f>HYPERLINK("https://www.773grp.com/globalSearch/MC10H644FN/page-1", "MC10H644FN")</f>
        <v>MC10H644FN</v>
      </c>
      <c r="B18459" s="3" t="s">
        <v>74</v>
      </c>
      <c r="C18459" s="6">
        <v>874</v>
      </c>
      <c r="D18459" s="7">
        <v>27.51</v>
      </c>
      <c r="E18459" t="s">
        <v>30</v>
      </c>
    </row>
    <row r="18460" spans="1:5" x14ac:dyDescent="0.25">
      <c r="A18460" t="str">
        <f>HYPERLINK("https://www.773grp.com/globalSearch/MC100EP17DWG/page-1", "MC100EP17DWG")</f>
        <v>MC100EP17DWG</v>
      </c>
      <c r="B18460" s="3" t="s">
        <v>74</v>
      </c>
      <c r="C18460" s="6">
        <v>5260</v>
      </c>
      <c r="D18460" s="7">
        <v>27.56</v>
      </c>
      <c r="E18460" t="s">
        <v>17</v>
      </c>
    </row>
    <row r="18461" spans="1:5" x14ac:dyDescent="0.25">
      <c r="A18461" t="str">
        <f>HYPERLINK("https://www.773grp.com/globalSearch/MC100EP17DWR2G/page-1", "MC100EP17DWR2G")</f>
        <v>MC100EP17DWR2G</v>
      </c>
      <c r="B18461" s="3" t="s">
        <v>74</v>
      </c>
      <c r="C18461" s="6">
        <v>5000</v>
      </c>
      <c r="D18461" s="7">
        <v>27.56</v>
      </c>
      <c r="E18461" t="s">
        <v>17</v>
      </c>
    </row>
    <row r="18462" spans="1:5" x14ac:dyDescent="0.25">
      <c r="A18462" t="str">
        <f>HYPERLINK("https://www.773grp.com/globalSearch/MC100H604FNG/page-1", "MC100H604FNG")</f>
        <v>MC100H604FNG</v>
      </c>
      <c r="B18462" s="3" t="s">
        <v>74</v>
      </c>
      <c r="C18462" s="6">
        <v>444</v>
      </c>
      <c r="D18462" s="7">
        <v>27.73</v>
      </c>
      <c r="E18462" t="s">
        <v>61</v>
      </c>
    </row>
    <row r="18463" spans="1:5" x14ac:dyDescent="0.25">
      <c r="A18463" t="str">
        <f>HYPERLINK("https://www.773grp.com/globalSearch/MC100H605FNG/page-1", "MC100H605FNG")</f>
        <v>MC100H605FNG</v>
      </c>
      <c r="B18463" s="3" t="s">
        <v>74</v>
      </c>
      <c r="C18463" s="6">
        <v>803</v>
      </c>
      <c r="D18463" s="7">
        <v>27.73</v>
      </c>
      <c r="E18463" t="s">
        <v>61</v>
      </c>
    </row>
    <row r="18464" spans="1:5" x14ac:dyDescent="0.25">
      <c r="A18464" t="str">
        <f>HYPERLINK("https://www.773grp.com/globalSearch/MC10H604FN/page-1", "MC10H604FN")</f>
        <v>MC10H604FN</v>
      </c>
      <c r="B18464" s="3" t="s">
        <v>74</v>
      </c>
      <c r="C18464" s="6">
        <v>678</v>
      </c>
      <c r="D18464" s="7">
        <v>27.73</v>
      </c>
      <c r="E18464" t="s">
        <v>61</v>
      </c>
    </row>
    <row r="18465" spans="1:5" x14ac:dyDescent="0.25">
      <c r="A18465" t="str">
        <f>HYPERLINK("https://www.773grp.com/globalSearch/MC10H605FN/page-1", "MC10H605FN")</f>
        <v>MC10H605FN</v>
      </c>
      <c r="B18465" s="3" t="s">
        <v>74</v>
      </c>
      <c r="C18465" s="6">
        <v>259</v>
      </c>
      <c r="D18465" s="7">
        <v>27.73</v>
      </c>
      <c r="E18465" t="s">
        <v>61</v>
      </c>
    </row>
    <row r="18466" spans="1:5" x14ac:dyDescent="0.25">
      <c r="A18466" t="str">
        <f>HYPERLINK("https://www.773grp.com/globalSearch/MC10H605FNG/page-1", "MC10H605FNG")</f>
        <v>MC10H605FNG</v>
      </c>
      <c r="B18466" s="3" t="s">
        <v>74</v>
      </c>
      <c r="C18466" s="6">
        <v>216</v>
      </c>
      <c r="D18466" s="7">
        <v>27.73</v>
      </c>
      <c r="E18466" t="s">
        <v>61</v>
      </c>
    </row>
    <row r="18467" spans="1:5" x14ac:dyDescent="0.25">
      <c r="A18467" t="str">
        <f>HYPERLINK("https://www.773grp.com/globalSearch/MC10H605FNR2G/page-1", "MC10H605FNR2G")</f>
        <v>MC10H605FNR2G</v>
      </c>
      <c r="B18467" s="3" t="s">
        <v>74</v>
      </c>
      <c r="C18467" s="6">
        <v>3155</v>
      </c>
      <c r="D18467" s="7">
        <v>27.73</v>
      </c>
      <c r="E18467" t="s">
        <v>61</v>
      </c>
    </row>
    <row r="18468" spans="1:5" x14ac:dyDescent="0.25">
      <c r="A18468" t="str">
        <f>HYPERLINK("https://www.773grp.com/globalSearch/NB6L295MMNG/page-1", "NB6L295MMNG")</f>
        <v>NB6L295MMNG</v>
      </c>
      <c r="B18468" s="3" t="s">
        <v>74</v>
      </c>
      <c r="C18468" s="6">
        <v>9</v>
      </c>
      <c r="D18468" s="7">
        <v>28.13</v>
      </c>
      <c r="E18468" t="s">
        <v>98</v>
      </c>
    </row>
    <row r="18469" spans="1:5" x14ac:dyDescent="0.25">
      <c r="A18469" t="str">
        <f>HYPERLINK("https://www.773grp.com/globalSearch/NB6L295MMNTXG/page-1", "NB6L295MMNTXG")</f>
        <v>NB6L295MMNTXG</v>
      </c>
      <c r="B18469" s="3" t="s">
        <v>74</v>
      </c>
      <c r="C18469" s="6">
        <v>11238</v>
      </c>
      <c r="D18469" s="7">
        <v>28.13</v>
      </c>
      <c r="E18469" t="s">
        <v>98</v>
      </c>
    </row>
    <row r="18470" spans="1:5" x14ac:dyDescent="0.25">
      <c r="A18470" t="str">
        <f>HYPERLINK("https://www.773grp.com/globalSearch/NB6L295MNG/page-1", "NB6L295MNG")</f>
        <v>NB6L295MNG</v>
      </c>
      <c r="B18470" s="3" t="s">
        <v>74</v>
      </c>
      <c r="C18470" s="6">
        <v>91</v>
      </c>
      <c r="D18470" s="7">
        <v>28.13</v>
      </c>
      <c r="E18470" t="s">
        <v>98</v>
      </c>
    </row>
    <row r="18471" spans="1:5" x14ac:dyDescent="0.25">
      <c r="A18471" t="str">
        <f>HYPERLINK("https://www.773grp.com/globalSearch/STK625-711B-E/page-1", "STK625-711B-E")</f>
        <v>STK625-711B-E</v>
      </c>
      <c r="B18471" s="3" t="s">
        <v>74</v>
      </c>
      <c r="C18471" s="6">
        <v>4230</v>
      </c>
      <c r="D18471" s="7">
        <v>28.13</v>
      </c>
    </row>
    <row r="18472" spans="1:5" x14ac:dyDescent="0.25">
      <c r="A18472" t="str">
        <f>HYPERLINK("https://www.773grp.com/globalSearch/MC10H645FNG/page-1", "MC10H645FNG")</f>
        <v>MC10H645FNG</v>
      </c>
      <c r="B18472" s="3" t="s">
        <v>74</v>
      </c>
      <c r="C18472" s="6">
        <v>68</v>
      </c>
      <c r="D18472" s="7">
        <v>28.3</v>
      </c>
      <c r="E18472" t="s">
        <v>30</v>
      </c>
    </row>
    <row r="18473" spans="1:5" x14ac:dyDescent="0.25">
      <c r="A18473" t="str">
        <f>HYPERLINK("https://www.773grp.com/globalSearch/MC10H645FNR2G/page-1", "MC10H645FNR2G")</f>
        <v>MC10H645FNR2G</v>
      </c>
      <c r="B18473" s="3" t="s">
        <v>74</v>
      </c>
      <c r="C18473" s="6">
        <v>1973</v>
      </c>
      <c r="D18473" s="7">
        <v>28.3</v>
      </c>
      <c r="E18473" t="s">
        <v>30</v>
      </c>
    </row>
    <row r="18474" spans="1:5" x14ac:dyDescent="0.25">
      <c r="A18474" t="str">
        <f>HYPERLINK("https://www.773grp.com/globalSearch/MC10H350P/page-1", "MC10H350P")</f>
        <v>MC10H350P</v>
      </c>
      <c r="B18474" s="3" t="s">
        <v>74</v>
      </c>
      <c r="C18474" s="6">
        <v>2450</v>
      </c>
      <c r="D18474" s="7">
        <v>28.4</v>
      </c>
      <c r="E18474" t="s">
        <v>61</v>
      </c>
    </row>
    <row r="18475" spans="1:5" x14ac:dyDescent="0.25">
      <c r="A18475" t="str">
        <f>HYPERLINK("https://www.773grp.com/globalSearch/MC10H350PG/page-1", "MC10H350PG")</f>
        <v>MC10H350PG</v>
      </c>
      <c r="B18475" s="3" t="s">
        <v>74</v>
      </c>
      <c r="C18475" s="6">
        <v>4281</v>
      </c>
      <c r="D18475" s="7">
        <v>28.4</v>
      </c>
      <c r="E18475" t="s">
        <v>61</v>
      </c>
    </row>
    <row r="18476" spans="1:5" x14ac:dyDescent="0.25">
      <c r="A18476" t="str">
        <f>HYPERLINK("https://www.773grp.com/globalSearch/MC10H351PG/page-1", "MC10H351PG")</f>
        <v>MC10H351PG</v>
      </c>
      <c r="B18476" s="3" t="s">
        <v>74</v>
      </c>
      <c r="C18476" s="6">
        <v>5397</v>
      </c>
      <c r="D18476" s="7">
        <v>28.4</v>
      </c>
      <c r="E18476" t="s">
        <v>61</v>
      </c>
    </row>
    <row r="18477" spans="1:5" x14ac:dyDescent="0.25">
      <c r="A18477" t="str">
        <f>HYPERLINK("https://www.773grp.com/globalSearch/MC10H352PG/page-1", "MC10H352PG")</f>
        <v>MC10H352PG</v>
      </c>
      <c r="B18477" s="3" t="s">
        <v>74</v>
      </c>
      <c r="C18477" s="6">
        <v>5013</v>
      </c>
      <c r="D18477" s="7">
        <v>28.4</v>
      </c>
      <c r="E18477" t="s">
        <v>61</v>
      </c>
    </row>
    <row r="18478" spans="1:5" x14ac:dyDescent="0.25">
      <c r="A18478" t="str">
        <f>HYPERLINK("https://www.773grp.com/globalSearch/STK413-530-E/page-1", "STK413-530-E")</f>
        <v>STK413-530-E</v>
      </c>
      <c r="B18478" s="3" t="s">
        <v>74</v>
      </c>
      <c r="C18478" s="6">
        <v>2450</v>
      </c>
      <c r="D18478" s="7">
        <v>29.54</v>
      </c>
    </row>
    <row r="18479" spans="1:5" x14ac:dyDescent="0.25">
      <c r="A18479" t="str">
        <f>HYPERLINK("https://www.773grp.com/globalSearch/MC10H350MG/page-1", "MC10H350MG")</f>
        <v>MC10H350MG</v>
      </c>
      <c r="B18479" s="3" t="s">
        <v>74</v>
      </c>
      <c r="C18479" s="6">
        <v>262</v>
      </c>
      <c r="D18479" s="7">
        <v>29.75</v>
      </c>
      <c r="E18479" t="s">
        <v>61</v>
      </c>
    </row>
    <row r="18480" spans="1:5" x14ac:dyDescent="0.25">
      <c r="A18480" t="str">
        <f>HYPERLINK("https://www.773grp.com/globalSearch/MC10H351MG/page-1", "MC10H351MG")</f>
        <v>MC10H351MG</v>
      </c>
      <c r="B18480" s="3" t="s">
        <v>74</v>
      </c>
      <c r="C18480" s="6">
        <v>113</v>
      </c>
      <c r="D18480" s="7">
        <v>29.75</v>
      </c>
      <c r="E18480" t="s">
        <v>61</v>
      </c>
    </row>
    <row r="18481" spans="1:5" x14ac:dyDescent="0.25">
      <c r="A18481" t="str">
        <f>HYPERLINK("https://www.773grp.com/globalSearch/AD7853ARZ/page-1", "AD7853ARZ")</f>
        <v>AD7853ARZ</v>
      </c>
      <c r="B18481" s="3" t="s">
        <v>74</v>
      </c>
      <c r="C18481" s="6">
        <v>11</v>
      </c>
      <c r="D18481" s="7">
        <v>29.9</v>
      </c>
    </row>
    <row r="18482" spans="1:5" x14ac:dyDescent="0.25">
      <c r="A18482" t="str">
        <f>HYPERLINK("https://www.773grp.com/globalSearch/MC100H680FN/page-1", "MC100H680FN")</f>
        <v>MC100H680FN</v>
      </c>
      <c r="B18482" s="3" t="s">
        <v>74</v>
      </c>
      <c r="C18482" s="6">
        <v>344</v>
      </c>
      <c r="D18482" s="7">
        <v>30.08</v>
      </c>
      <c r="E18482" t="s">
        <v>61</v>
      </c>
    </row>
    <row r="18483" spans="1:5" x14ac:dyDescent="0.25">
      <c r="A18483" t="str">
        <f>HYPERLINK("https://www.773grp.com/globalSearch/NB100EP223FAG/page-1", "NB100EP223FAG")</f>
        <v>NB100EP223FAG</v>
      </c>
      <c r="B18483" s="3" t="s">
        <v>74</v>
      </c>
      <c r="C18483" s="6">
        <v>600</v>
      </c>
      <c r="D18483" s="7">
        <v>30.66</v>
      </c>
      <c r="E18483" t="s">
        <v>30</v>
      </c>
    </row>
    <row r="18484" spans="1:5" x14ac:dyDescent="0.25">
      <c r="A18484" t="str">
        <f>HYPERLINK("https://www.773grp.com/globalSearch/MC10H016PG/page-1", "MC10H016PG")</f>
        <v>MC10H016PG</v>
      </c>
      <c r="B18484" s="3" t="s">
        <v>74</v>
      </c>
      <c r="C18484" s="6">
        <v>36</v>
      </c>
      <c r="D18484" s="7">
        <v>30.75</v>
      </c>
      <c r="E18484" t="s">
        <v>22</v>
      </c>
    </row>
    <row r="18485" spans="1:5" x14ac:dyDescent="0.25">
      <c r="A18485" t="str">
        <f>HYPERLINK("https://www.773grp.com/globalSearch/MC100EP016AFAG/page-1", "MC100EP016AFAG")</f>
        <v>MC100EP016AFAG</v>
      </c>
      <c r="B18485" s="3" t="s">
        <v>74</v>
      </c>
      <c r="C18485" s="6">
        <v>1106</v>
      </c>
      <c r="D18485" s="7">
        <v>30.94</v>
      </c>
    </row>
    <row r="18486" spans="1:5" x14ac:dyDescent="0.25">
      <c r="A18486" t="str">
        <f>HYPERLINK("https://www.773grp.com/globalSearch/MC100EP016AFAR2G/page-1", "MC100EP016AFAR2G")</f>
        <v>MC100EP016AFAR2G</v>
      </c>
      <c r="B18486" s="3" t="s">
        <v>74</v>
      </c>
      <c r="C18486" s="6">
        <v>2000</v>
      </c>
      <c r="D18486" s="7">
        <v>30.94</v>
      </c>
      <c r="E18486" t="s">
        <v>22</v>
      </c>
    </row>
    <row r="18487" spans="1:5" x14ac:dyDescent="0.25">
      <c r="A18487" t="str">
        <f>HYPERLINK("https://www.773grp.com/globalSearch/MC100EP016AMNG/page-1", "MC100EP016AMNG")</f>
        <v>MC100EP016AMNG</v>
      </c>
      <c r="B18487" s="3" t="s">
        <v>74</v>
      </c>
      <c r="C18487" s="6">
        <v>2774</v>
      </c>
      <c r="D18487" s="7">
        <v>30.94</v>
      </c>
      <c r="E18487" t="s">
        <v>22</v>
      </c>
    </row>
    <row r="18488" spans="1:5" x14ac:dyDescent="0.25">
      <c r="A18488" t="str">
        <f>HYPERLINK("https://www.773grp.com/globalSearch/MC100EPT622FAG/page-1", "MC100EPT622FAG")</f>
        <v>MC100EPT622FAG</v>
      </c>
      <c r="B18488" s="3" t="s">
        <v>74</v>
      </c>
      <c r="C18488" s="6">
        <v>3505</v>
      </c>
      <c r="D18488" s="7">
        <v>30.94</v>
      </c>
      <c r="E18488" t="s">
        <v>61</v>
      </c>
    </row>
    <row r="18489" spans="1:5" x14ac:dyDescent="0.25">
      <c r="A18489" t="str">
        <f>HYPERLINK("https://www.773grp.com/globalSearch/MC100EPT622FAR2G/page-1", "MC100EPT622FAR2G")</f>
        <v>MC100EPT622FAR2G</v>
      </c>
      <c r="B18489" s="3" t="s">
        <v>74</v>
      </c>
      <c r="C18489" s="6">
        <v>3879</v>
      </c>
      <c r="D18489" s="7">
        <v>30.94</v>
      </c>
      <c r="E18489" t="s">
        <v>61</v>
      </c>
    </row>
    <row r="18490" spans="1:5" x14ac:dyDescent="0.25">
      <c r="A18490" t="str">
        <f>HYPERLINK("https://www.773grp.com/globalSearch/MC100EPT622MNR4G/page-1", "MC100EPT622MNR4G")</f>
        <v>MC100EPT622MNR4G</v>
      </c>
      <c r="B18490" s="3" t="s">
        <v>74</v>
      </c>
      <c r="C18490" s="6">
        <v>5000</v>
      </c>
      <c r="D18490" s="7">
        <v>30.94</v>
      </c>
      <c r="E18490" t="s">
        <v>61</v>
      </c>
    </row>
    <row r="18491" spans="1:5" x14ac:dyDescent="0.25">
      <c r="A18491" t="str">
        <f>HYPERLINK("https://www.773grp.com/globalSearch/NBSG16BA/page-1", "NBSG16BA")</f>
        <v>NBSG16BA</v>
      </c>
      <c r="B18491" s="3" t="s">
        <v>74</v>
      </c>
      <c r="C18491" s="6">
        <v>2751</v>
      </c>
      <c r="D18491" s="7">
        <v>31.59</v>
      </c>
      <c r="E18491" t="s">
        <v>17</v>
      </c>
    </row>
    <row r="18492" spans="1:5" x14ac:dyDescent="0.25">
      <c r="A18492" t="str">
        <f>HYPERLINK("https://www.773grp.com/globalSearch/NBSG16MMN/page-1", "NBSG16MMN")</f>
        <v>NBSG16MMN</v>
      </c>
      <c r="B18492" s="3" t="s">
        <v>74</v>
      </c>
      <c r="C18492" s="6">
        <v>9983</v>
      </c>
      <c r="D18492" s="7">
        <v>31.59</v>
      </c>
      <c r="E18492" t="s">
        <v>17</v>
      </c>
    </row>
    <row r="18493" spans="1:5" x14ac:dyDescent="0.25">
      <c r="A18493" t="str">
        <f>HYPERLINK("https://www.773grp.com/globalSearch/NBSG16MMNR2/page-1", "NBSG16MMNR2")</f>
        <v>NBSG16MMNR2</v>
      </c>
      <c r="B18493" s="3" t="s">
        <v>74</v>
      </c>
      <c r="C18493" s="6">
        <v>50800</v>
      </c>
      <c r="D18493" s="7">
        <v>31.59</v>
      </c>
      <c r="E18493" t="s">
        <v>17</v>
      </c>
    </row>
    <row r="18494" spans="1:5" x14ac:dyDescent="0.25">
      <c r="A18494" t="str">
        <f>HYPERLINK("https://www.773grp.com/globalSearch/NBSG16MN/page-1", "NBSG16MN")</f>
        <v>NBSG16MN</v>
      </c>
      <c r="B18494" s="3" t="s">
        <v>74</v>
      </c>
      <c r="C18494" s="6">
        <v>4078</v>
      </c>
      <c r="D18494" s="7">
        <v>31.59</v>
      </c>
      <c r="E18494" t="s">
        <v>17</v>
      </c>
    </row>
    <row r="18495" spans="1:5" x14ac:dyDescent="0.25">
      <c r="A18495" t="str">
        <f>HYPERLINK("https://www.773grp.com/globalSearch/NBSG86AMN/page-1", "NBSG86AMN")</f>
        <v>NBSG86AMN</v>
      </c>
      <c r="B18495" s="3" t="s">
        <v>74</v>
      </c>
      <c r="C18495" s="6">
        <v>3111</v>
      </c>
      <c r="D18495" s="7">
        <v>31.59</v>
      </c>
      <c r="E18495" t="s">
        <v>68</v>
      </c>
    </row>
    <row r="18496" spans="1:5" x14ac:dyDescent="0.25">
      <c r="A18496" t="str">
        <f>HYPERLINK("https://www.773grp.com/globalSearch/NBSG86AMNR2/page-1", "NBSG86AMNR2")</f>
        <v>NBSG86AMNR2</v>
      </c>
      <c r="B18496" s="3" t="s">
        <v>74</v>
      </c>
      <c r="C18496" s="6">
        <v>3000</v>
      </c>
      <c r="D18496" s="7">
        <v>31.59</v>
      </c>
      <c r="E18496" t="s">
        <v>68</v>
      </c>
    </row>
    <row r="18497" spans="1:5" x14ac:dyDescent="0.25">
      <c r="A18497" t="str">
        <f>HYPERLINK("https://www.773grp.com/globalSearch/MC10H330PG/page-1", "MC10H330PG")</f>
        <v>MC10H330PG</v>
      </c>
      <c r="B18497" s="3" t="s">
        <v>74</v>
      </c>
      <c r="C18497" s="6">
        <v>4860</v>
      </c>
      <c r="D18497" s="7">
        <v>32.06</v>
      </c>
      <c r="E18497" t="s">
        <v>11</v>
      </c>
    </row>
    <row r="18498" spans="1:5" x14ac:dyDescent="0.25">
      <c r="A18498" t="str">
        <f>HYPERLINK("https://www.773grp.com/globalSearch/MC100EP142FAG/page-1", "MC100EP142FAG")</f>
        <v>MC100EP142FAG</v>
      </c>
      <c r="B18498" s="3" t="s">
        <v>74</v>
      </c>
      <c r="C18498" s="6">
        <v>1715</v>
      </c>
      <c r="D18498" s="7">
        <v>32.35</v>
      </c>
      <c r="E18498" t="s">
        <v>28</v>
      </c>
    </row>
    <row r="18499" spans="1:5" x14ac:dyDescent="0.25">
      <c r="A18499" t="str">
        <f>HYPERLINK("https://www.773grp.com/globalSearch/MC100EP142MNG/page-1", "MC100EP142MNG")</f>
        <v>MC100EP142MNG</v>
      </c>
      <c r="B18499" s="3" t="s">
        <v>74</v>
      </c>
      <c r="C18499" s="6">
        <v>13940</v>
      </c>
      <c r="D18499" s="7">
        <v>32.35</v>
      </c>
      <c r="E18499" t="s">
        <v>28</v>
      </c>
    </row>
    <row r="18500" spans="1:5" x14ac:dyDescent="0.25">
      <c r="A18500" t="str">
        <f>HYPERLINK("https://www.773grp.com/globalSearch/MC100EP142MNR4G/page-1", "MC100EP142MNR4G")</f>
        <v>MC100EP142MNR4G</v>
      </c>
      <c r="B18500" s="3" t="s">
        <v>74</v>
      </c>
      <c r="C18500" s="6">
        <v>5000</v>
      </c>
      <c r="D18500" s="7">
        <v>32.35</v>
      </c>
      <c r="E18500" t="s">
        <v>28</v>
      </c>
    </row>
    <row r="18501" spans="1:5" x14ac:dyDescent="0.25">
      <c r="A18501" t="str">
        <f>HYPERLINK("https://www.773grp.com/globalSearch/MC100EP445FAG/page-1", "MC100EP445FAG")</f>
        <v>MC100EP445FAG</v>
      </c>
      <c r="B18501" s="3" t="s">
        <v>74</v>
      </c>
      <c r="C18501" s="6">
        <v>3084</v>
      </c>
      <c r="D18501" s="7">
        <v>32.35</v>
      </c>
      <c r="E18501" t="s">
        <v>28</v>
      </c>
    </row>
    <row r="18502" spans="1:5" x14ac:dyDescent="0.25">
      <c r="A18502" t="str">
        <f>HYPERLINK("https://www.773grp.com/globalSearch/MC100EP445MNG/page-1", "MC100EP445MNG")</f>
        <v>MC100EP445MNG</v>
      </c>
      <c r="B18502" s="3" t="s">
        <v>74</v>
      </c>
      <c r="C18502" s="6">
        <v>1859</v>
      </c>
      <c r="D18502" s="7">
        <v>32.35</v>
      </c>
      <c r="E18502" t="s">
        <v>28</v>
      </c>
    </row>
    <row r="18503" spans="1:5" x14ac:dyDescent="0.25">
      <c r="A18503" t="str">
        <f>HYPERLINK("https://www.773grp.com/globalSearch/MC100EP445MNR4G/page-1", "MC100EP445MNR4G")</f>
        <v>MC100EP445MNR4G</v>
      </c>
      <c r="B18503" s="3" t="s">
        <v>74</v>
      </c>
      <c r="C18503" s="6">
        <v>3900</v>
      </c>
      <c r="D18503" s="7">
        <v>32.35</v>
      </c>
      <c r="E18503" t="s">
        <v>28</v>
      </c>
    </row>
    <row r="18504" spans="1:5" x14ac:dyDescent="0.25">
      <c r="A18504" t="str">
        <f>HYPERLINK("https://www.773grp.com/globalSearch/MC100EP446FAG/page-1", "MC100EP446FAG")</f>
        <v>MC100EP446FAG</v>
      </c>
      <c r="B18504" s="3" t="s">
        <v>74</v>
      </c>
      <c r="C18504" s="6">
        <v>3931</v>
      </c>
      <c r="D18504" s="7">
        <v>32.35</v>
      </c>
      <c r="E18504" t="s">
        <v>28</v>
      </c>
    </row>
    <row r="18505" spans="1:5" x14ac:dyDescent="0.25">
      <c r="A18505" t="str">
        <f>HYPERLINK("https://www.773grp.com/globalSearch/MC100EP446MNG/page-1", "MC100EP446MNG")</f>
        <v>MC100EP446MNG</v>
      </c>
      <c r="B18505" s="3" t="s">
        <v>74</v>
      </c>
      <c r="C18505" s="6">
        <v>10641</v>
      </c>
      <c r="D18505" s="7">
        <v>32.35</v>
      </c>
      <c r="E18505" t="s">
        <v>28</v>
      </c>
    </row>
    <row r="18506" spans="1:5" x14ac:dyDescent="0.25">
      <c r="A18506" t="str">
        <f>HYPERLINK("https://www.773grp.com/globalSearch/MC100EP451FAG/page-1", "MC100EP451FAG")</f>
        <v>MC100EP451FAG</v>
      </c>
      <c r="B18506" s="3" t="s">
        <v>74</v>
      </c>
      <c r="C18506" s="6">
        <v>3132</v>
      </c>
      <c r="D18506" s="7">
        <v>32.35</v>
      </c>
      <c r="E18506" t="s">
        <v>31</v>
      </c>
    </row>
    <row r="18507" spans="1:5" x14ac:dyDescent="0.25">
      <c r="A18507" t="str">
        <f>HYPERLINK("https://www.773grp.com/globalSearch/MC100EP451FAR2G/page-1", "MC100EP451FAR2G")</f>
        <v>MC100EP451FAR2G</v>
      </c>
      <c r="B18507" s="3" t="s">
        <v>74</v>
      </c>
      <c r="C18507" s="6">
        <v>8593</v>
      </c>
      <c r="D18507" s="7">
        <v>32.35</v>
      </c>
      <c r="E18507" t="s">
        <v>31</v>
      </c>
    </row>
    <row r="18508" spans="1:5" x14ac:dyDescent="0.25">
      <c r="A18508" t="str">
        <f>HYPERLINK("https://www.773grp.com/globalSearch/MC100EP451MNG/page-1", "MC100EP451MNG")</f>
        <v>MC100EP451MNG</v>
      </c>
      <c r="B18508" s="3" t="s">
        <v>74</v>
      </c>
      <c r="C18508" s="6">
        <v>12258</v>
      </c>
      <c r="D18508" s="7">
        <v>32.35</v>
      </c>
      <c r="E18508" t="s">
        <v>31</v>
      </c>
    </row>
    <row r="18509" spans="1:5" x14ac:dyDescent="0.25">
      <c r="A18509" t="str">
        <f>HYPERLINK("https://www.773grp.com/globalSearch/MC100EP451MNR4G/page-1", "MC100EP451MNR4G")</f>
        <v>MC100EP451MNR4G</v>
      </c>
      <c r="B18509" s="3" t="s">
        <v>74</v>
      </c>
      <c r="C18509" s="6">
        <v>5000</v>
      </c>
      <c r="D18509" s="7">
        <v>32.35</v>
      </c>
      <c r="E18509" t="s">
        <v>31</v>
      </c>
    </row>
    <row r="18510" spans="1:5" x14ac:dyDescent="0.25">
      <c r="A18510" t="str">
        <f>HYPERLINK("https://www.773grp.com/globalSearch/MC10EP142FAG/page-1", "MC10EP142FAG")</f>
        <v>MC10EP142FAG</v>
      </c>
      <c r="B18510" s="3" t="s">
        <v>74</v>
      </c>
      <c r="C18510" s="6">
        <v>2337</v>
      </c>
      <c r="D18510" s="7">
        <v>32.35</v>
      </c>
      <c r="E18510" t="s">
        <v>28</v>
      </c>
    </row>
    <row r="18511" spans="1:5" x14ac:dyDescent="0.25">
      <c r="A18511" t="str">
        <f>HYPERLINK("https://www.773grp.com/globalSearch/MC10EP142FAR2G/page-1", "MC10EP142FAR2G")</f>
        <v>MC10EP142FAR2G</v>
      </c>
      <c r="B18511" s="3" t="s">
        <v>74</v>
      </c>
      <c r="C18511" s="6">
        <v>4000</v>
      </c>
      <c r="D18511" s="7">
        <v>32.35</v>
      </c>
      <c r="E18511" t="s">
        <v>28</v>
      </c>
    </row>
    <row r="18512" spans="1:5" x14ac:dyDescent="0.25">
      <c r="A18512" t="str">
        <f>HYPERLINK("https://www.773grp.com/globalSearch/MC10EP142MNG/page-1", "MC10EP142MNG")</f>
        <v>MC10EP142MNG</v>
      </c>
      <c r="B18512" s="3" t="s">
        <v>74</v>
      </c>
      <c r="C18512" s="6">
        <v>4884</v>
      </c>
      <c r="D18512" s="7">
        <v>32.35</v>
      </c>
      <c r="E18512" t="s">
        <v>28</v>
      </c>
    </row>
    <row r="18513" spans="1:5" x14ac:dyDescent="0.25">
      <c r="A18513" t="str">
        <f>HYPERLINK("https://www.773grp.com/globalSearch/MC10EP445FAG/page-1", "MC10EP445FAG")</f>
        <v>MC10EP445FAG</v>
      </c>
      <c r="B18513" s="3" t="s">
        <v>74</v>
      </c>
      <c r="C18513" s="6">
        <v>6132</v>
      </c>
      <c r="D18513" s="7">
        <v>32.35</v>
      </c>
      <c r="E18513" t="s">
        <v>28</v>
      </c>
    </row>
    <row r="18514" spans="1:5" x14ac:dyDescent="0.25">
      <c r="A18514" t="str">
        <f>HYPERLINK("https://www.773grp.com/globalSearch/MC10EP445FAR2G/page-1", "MC10EP445FAR2G")</f>
        <v>MC10EP445FAR2G</v>
      </c>
      <c r="B18514" s="3" t="s">
        <v>74</v>
      </c>
      <c r="C18514" s="6">
        <v>5925</v>
      </c>
      <c r="D18514" s="7">
        <v>32.35</v>
      </c>
      <c r="E18514" t="s">
        <v>28</v>
      </c>
    </row>
    <row r="18515" spans="1:5" x14ac:dyDescent="0.25">
      <c r="A18515" t="str">
        <f>HYPERLINK("https://www.773grp.com/globalSearch/MC10EP446FAG/page-1", "MC10EP446FAG")</f>
        <v>MC10EP446FAG</v>
      </c>
      <c r="B18515" s="3" t="s">
        <v>74</v>
      </c>
      <c r="C18515" s="6">
        <v>1940</v>
      </c>
      <c r="D18515" s="7">
        <v>32.35</v>
      </c>
      <c r="E18515" t="s">
        <v>28</v>
      </c>
    </row>
    <row r="18516" spans="1:5" x14ac:dyDescent="0.25">
      <c r="A18516" t="str">
        <f>HYPERLINK("https://www.773grp.com/globalSearch/MC10EP446FAR2G/page-1", "MC10EP446FAR2G")</f>
        <v>MC10EP446FAR2G</v>
      </c>
      <c r="B18516" s="3" t="s">
        <v>74</v>
      </c>
      <c r="C18516" s="6">
        <v>10000</v>
      </c>
      <c r="D18516" s="7">
        <v>32.35</v>
      </c>
      <c r="E18516" t="s">
        <v>28</v>
      </c>
    </row>
    <row r="18517" spans="1:5" x14ac:dyDescent="0.25">
      <c r="A18517" t="str">
        <f>HYPERLINK("https://www.773grp.com/globalSearch/MC10EP446MNG/page-1", "MC10EP446MNG")</f>
        <v>MC10EP446MNG</v>
      </c>
      <c r="B18517" s="3" t="s">
        <v>74</v>
      </c>
      <c r="C18517" s="6">
        <v>9197</v>
      </c>
      <c r="D18517" s="7">
        <v>32.35</v>
      </c>
      <c r="E18517" t="s">
        <v>28</v>
      </c>
    </row>
    <row r="18518" spans="1:5" x14ac:dyDescent="0.25">
      <c r="A18518" t="str">
        <f>HYPERLINK("https://www.773grp.com/globalSearch/MC10EP451FAG/page-1", "MC10EP451FAG")</f>
        <v>MC10EP451FAG</v>
      </c>
      <c r="B18518" s="3" t="s">
        <v>74</v>
      </c>
      <c r="C18518" s="6">
        <v>20619</v>
      </c>
      <c r="D18518" s="7">
        <v>32.35</v>
      </c>
      <c r="E18518" t="s">
        <v>31</v>
      </c>
    </row>
    <row r="18519" spans="1:5" x14ac:dyDescent="0.25">
      <c r="A18519" t="str">
        <f>HYPERLINK("https://www.773grp.com/globalSearch/MC10EP451FAR2G/page-1", "MC10EP451FAR2G")</f>
        <v>MC10EP451FAR2G</v>
      </c>
      <c r="B18519" s="3" t="s">
        <v>74</v>
      </c>
      <c r="C18519" s="6">
        <v>5614</v>
      </c>
      <c r="D18519" s="7">
        <v>32.35</v>
      </c>
      <c r="E18519" t="s">
        <v>31</v>
      </c>
    </row>
    <row r="18520" spans="1:5" x14ac:dyDescent="0.25">
      <c r="A18520" t="str">
        <f>HYPERLINK("https://www.773grp.com/globalSearch/MC10EP451MNG/page-1", "MC10EP451MNG")</f>
        <v>MC10EP451MNG</v>
      </c>
      <c r="B18520" s="3" t="s">
        <v>74</v>
      </c>
      <c r="C18520" s="6">
        <v>5254</v>
      </c>
      <c r="D18520" s="7">
        <v>32.35</v>
      </c>
      <c r="E18520" t="s">
        <v>31</v>
      </c>
    </row>
    <row r="18521" spans="1:5" x14ac:dyDescent="0.25">
      <c r="A18521" t="str">
        <f>HYPERLINK("https://www.773grp.com/globalSearch/MC10EP451MNR4G/page-1", "MC10EP451MNR4G")</f>
        <v>MC10EP451MNR4G</v>
      </c>
      <c r="B18521" s="3" t="s">
        <v>74</v>
      </c>
      <c r="C18521" s="6">
        <v>4828</v>
      </c>
      <c r="D18521" s="7">
        <v>32.35</v>
      </c>
      <c r="E18521" t="s">
        <v>31</v>
      </c>
    </row>
    <row r="18522" spans="1:5" x14ac:dyDescent="0.25">
      <c r="A18522" t="str">
        <f>HYPERLINK("https://www.773grp.com/globalSearch/NB4L339MNG/page-1", "NB4L339MNG")</f>
        <v>NB4L339MNG</v>
      </c>
      <c r="B18522" s="3" t="s">
        <v>74</v>
      </c>
      <c r="C18522" s="6">
        <v>3062</v>
      </c>
      <c r="D18522" s="7">
        <v>32.35</v>
      </c>
      <c r="E18522" t="s">
        <v>30</v>
      </c>
    </row>
    <row r="18523" spans="1:5" x14ac:dyDescent="0.25">
      <c r="A18523" t="str">
        <f>HYPERLINK("https://www.773grp.com/globalSearch/NB4L339MNR4G/page-1", "NB4L339MNR4G")</f>
        <v>NB4L339MNR4G</v>
      </c>
      <c r="B18523" s="3" t="s">
        <v>74</v>
      </c>
      <c r="C18523" s="6">
        <v>3989</v>
      </c>
      <c r="D18523" s="7">
        <v>32.35</v>
      </c>
      <c r="E18523" t="s">
        <v>30</v>
      </c>
    </row>
    <row r="18524" spans="1:5" x14ac:dyDescent="0.25">
      <c r="A18524" t="str">
        <f>HYPERLINK("https://www.773grp.com/globalSearch/MC10H330FNG/page-1", "MC10H330FNG")</f>
        <v>MC10H330FNG</v>
      </c>
      <c r="B18524" s="3" t="s">
        <v>74</v>
      </c>
      <c r="C18524" s="6">
        <v>3650</v>
      </c>
      <c r="D18524" s="7">
        <v>32.700000000000003</v>
      </c>
      <c r="E18524" t="s">
        <v>11</v>
      </c>
    </row>
    <row r="18525" spans="1:5" x14ac:dyDescent="0.25">
      <c r="A18525" t="str">
        <f>HYPERLINK("https://www.773grp.com/globalSearch/B250W48A106E1G/page-1", "B250W48A106E1G")</f>
        <v>B250W48A106E1G</v>
      </c>
      <c r="B18525" s="3" t="s">
        <v>74</v>
      </c>
      <c r="C18525" s="6">
        <v>17500</v>
      </c>
      <c r="D18525" s="7">
        <v>33.75</v>
      </c>
    </row>
    <row r="18526" spans="1:5" x14ac:dyDescent="0.25">
      <c r="A18526" t="str">
        <f>HYPERLINK("https://www.773grp.com/globalSearch/B250W48A106XXG/page-1", "B250W48A106XXG")</f>
        <v>B250W48A106XXG</v>
      </c>
      <c r="B18526" s="3" t="s">
        <v>74</v>
      </c>
      <c r="C18526" s="6">
        <v>2265</v>
      </c>
      <c r="D18526" s="7">
        <v>33.75</v>
      </c>
    </row>
    <row r="18527" spans="1:5" x14ac:dyDescent="0.25">
      <c r="A18527" t="str">
        <f>HYPERLINK("https://www.773grp.com/globalSearch/B300W35A102XYG/page-1", "B300W35A102XYG")</f>
        <v>B300W35A102XYG</v>
      </c>
      <c r="B18527" s="3" t="s">
        <v>74</v>
      </c>
      <c r="C18527" s="6">
        <v>2340</v>
      </c>
      <c r="D18527" s="7">
        <v>33.75</v>
      </c>
      <c r="E18527" t="s">
        <v>19</v>
      </c>
    </row>
    <row r="18528" spans="1:5" x14ac:dyDescent="0.25">
      <c r="A18528" t="str">
        <f>HYPERLINK("https://www.773grp.com/globalSearch/AD7893ARZ-3/page-1", "AD7893ARZ-3")</f>
        <v>AD7893ARZ-3</v>
      </c>
      <c r="B18528" s="3" t="s">
        <v>74</v>
      </c>
      <c r="C18528" s="6">
        <v>49</v>
      </c>
      <c r="D18528" s="7">
        <v>34.46</v>
      </c>
    </row>
    <row r="18529" spans="1:5" x14ac:dyDescent="0.25">
      <c r="A18529" t="str">
        <f>HYPERLINK("https://www.773grp.com/globalSearch/NBSG16VSBA/page-1", "NBSG16VSBA")</f>
        <v>NBSG16VSBA</v>
      </c>
      <c r="B18529" s="3" t="s">
        <v>74</v>
      </c>
      <c r="C18529" s="6">
        <v>1</v>
      </c>
      <c r="D18529" s="7">
        <v>35.1</v>
      </c>
      <c r="E18529" t="s">
        <v>17</v>
      </c>
    </row>
    <row r="18530" spans="1:5" x14ac:dyDescent="0.25">
      <c r="A18530" t="str">
        <f>HYPERLINK("https://www.773grp.com/globalSearch/NBSG16VSMN/page-1", "NBSG16VSMN")</f>
        <v>NBSG16VSMN</v>
      </c>
      <c r="B18530" s="3" t="s">
        <v>74</v>
      </c>
      <c r="C18530" s="6">
        <v>3119</v>
      </c>
      <c r="D18530" s="7">
        <v>35.1</v>
      </c>
      <c r="E18530" t="s">
        <v>17</v>
      </c>
    </row>
    <row r="18531" spans="1:5" x14ac:dyDescent="0.25">
      <c r="A18531" t="str">
        <f>HYPERLINK("https://www.773grp.com/globalSearch/NBSG16VSMNR2/page-1", "NBSG16VSMNR2")</f>
        <v>NBSG16VSMNR2</v>
      </c>
      <c r="B18531" s="3" t="s">
        <v>74</v>
      </c>
      <c r="C18531" s="6">
        <v>33329</v>
      </c>
      <c r="D18531" s="7">
        <v>35.1</v>
      </c>
      <c r="E18531" t="s">
        <v>17</v>
      </c>
    </row>
    <row r="18532" spans="1:5" x14ac:dyDescent="0.25">
      <c r="A18532" t="str">
        <f>HYPERLINK("https://www.773grp.com/globalSearch/MC10E1651FN/page-1", "MC10E1651FN")</f>
        <v>MC10E1651FN</v>
      </c>
      <c r="B18532" s="3" t="s">
        <v>74</v>
      </c>
      <c r="C18532" s="6">
        <v>9057</v>
      </c>
      <c r="D18532" s="7">
        <v>35.15</v>
      </c>
      <c r="E18532" t="s">
        <v>38</v>
      </c>
    </row>
    <row r="18533" spans="1:5" x14ac:dyDescent="0.25">
      <c r="A18533" t="str">
        <f>HYPERLINK("https://www.773grp.com/globalSearch/MC10E1651FNR2/page-1", "MC10E1651FNR2")</f>
        <v>MC10E1651FNR2</v>
      </c>
      <c r="B18533" s="3" t="s">
        <v>74</v>
      </c>
      <c r="C18533" s="6">
        <v>2500</v>
      </c>
      <c r="D18533" s="7">
        <v>35.15</v>
      </c>
      <c r="E18533" t="s">
        <v>38</v>
      </c>
    </row>
    <row r="18534" spans="1:5" x14ac:dyDescent="0.25">
      <c r="A18534" t="str">
        <f>HYPERLINK("https://www.773grp.com/globalSearch/MC10E1652FN/page-1", "MC10E1652FN")</f>
        <v>MC10E1652FN</v>
      </c>
      <c r="B18534" s="3" t="s">
        <v>74</v>
      </c>
      <c r="C18534" s="6">
        <v>7372</v>
      </c>
      <c r="D18534" s="7">
        <v>35.15</v>
      </c>
      <c r="E18534" t="s">
        <v>38</v>
      </c>
    </row>
    <row r="18535" spans="1:5" x14ac:dyDescent="0.25">
      <c r="A18535" t="str">
        <f>HYPERLINK("https://www.773grp.com/globalSearch/MC10E1652FNR2/page-1", "MC10E1652FNR2")</f>
        <v>MC10E1652FNR2</v>
      </c>
      <c r="B18535" s="3" t="s">
        <v>74</v>
      </c>
      <c r="C18535" s="6">
        <v>7469</v>
      </c>
      <c r="D18535" s="7">
        <v>35.15</v>
      </c>
      <c r="E18535" t="s">
        <v>38</v>
      </c>
    </row>
    <row r="18536" spans="1:5" x14ac:dyDescent="0.25">
      <c r="A18536" t="str">
        <f>HYPERLINK("https://www.773grp.com/globalSearch/NB4L7210MNG/page-1", "NB4L7210MNG")</f>
        <v>NB4L7210MNG</v>
      </c>
      <c r="B18536" s="3" t="s">
        <v>74</v>
      </c>
      <c r="C18536" s="6">
        <v>365</v>
      </c>
      <c r="D18536" s="7">
        <v>35.44</v>
      </c>
      <c r="E18536" t="s">
        <v>30</v>
      </c>
    </row>
    <row r="18537" spans="1:5" x14ac:dyDescent="0.25">
      <c r="A18537" t="str">
        <f>HYPERLINK("https://www.773grp.com/globalSearch/NB4L7210MNTXG/page-1", "NB4L7210MNTXG")</f>
        <v>NB4L7210MNTXG</v>
      </c>
      <c r="B18537" s="3" t="s">
        <v>74</v>
      </c>
      <c r="C18537" s="6">
        <v>3970</v>
      </c>
      <c r="D18537" s="7">
        <v>35.44</v>
      </c>
      <c r="E18537" t="s">
        <v>30</v>
      </c>
    </row>
    <row r="18538" spans="1:5" x14ac:dyDescent="0.25">
      <c r="A18538" t="str">
        <f>HYPERLINK("https://www.773grp.com/globalSearch/MC10H640FNR2/page-1", "MC10H640FNR2")</f>
        <v>MC10H640FNR2</v>
      </c>
      <c r="B18538" s="3" t="s">
        <v>74</v>
      </c>
      <c r="C18538" s="6">
        <v>1000</v>
      </c>
      <c r="D18538" s="7">
        <v>36.31</v>
      </c>
      <c r="E18538" t="s">
        <v>30</v>
      </c>
    </row>
    <row r="18539" spans="1:5" x14ac:dyDescent="0.25">
      <c r="A18539" t="str">
        <f>HYPERLINK("https://www.773grp.com/globalSearch/MC10EP016FAG/page-1", "MC10EP016FAG")</f>
        <v>MC10EP016FAG</v>
      </c>
      <c r="B18539" s="3" t="s">
        <v>74</v>
      </c>
      <c r="C18539" s="6">
        <v>2893</v>
      </c>
      <c r="D18539" s="7">
        <v>36.56</v>
      </c>
      <c r="E18539" t="s">
        <v>22</v>
      </c>
    </row>
    <row r="18540" spans="1:5" x14ac:dyDescent="0.25">
      <c r="A18540" t="str">
        <f>HYPERLINK("https://www.773grp.com/globalSearch/MC10EP016FAR2G/page-1", "MC10EP016FAR2G")</f>
        <v>MC10EP016FAR2G</v>
      </c>
      <c r="B18540" s="3" t="s">
        <v>74</v>
      </c>
      <c r="C18540" s="6">
        <v>10000</v>
      </c>
      <c r="D18540" s="7">
        <v>36.56</v>
      </c>
      <c r="E18540" t="s">
        <v>22</v>
      </c>
    </row>
    <row r="18541" spans="1:5" x14ac:dyDescent="0.25">
      <c r="A18541" t="str">
        <f>HYPERLINK("https://www.773grp.com/globalSearch/MC10H136FNG/page-1", "MC10H136FNG")</f>
        <v>MC10H136FNG</v>
      </c>
      <c r="B18541" s="3" t="s">
        <v>74</v>
      </c>
      <c r="C18541" s="6">
        <v>1324</v>
      </c>
      <c r="D18541" s="7">
        <v>36.74</v>
      </c>
      <c r="E18541" t="s">
        <v>22</v>
      </c>
    </row>
    <row r="18542" spans="1:5" x14ac:dyDescent="0.25">
      <c r="A18542" t="str">
        <f>HYPERLINK("https://www.773grp.com/globalSearch/MC10H136FNR2G/page-1", "MC10H136FNR2G")</f>
        <v>MC10H136FNR2G</v>
      </c>
      <c r="B18542" s="3" t="s">
        <v>74</v>
      </c>
      <c r="C18542" s="6">
        <v>1000</v>
      </c>
      <c r="D18542" s="7">
        <v>36.74</v>
      </c>
      <c r="E18542" t="s">
        <v>22</v>
      </c>
    </row>
    <row r="18543" spans="1:5" x14ac:dyDescent="0.25">
      <c r="A18543" t="str">
        <f>HYPERLINK("https://www.773grp.com/globalSearch/AD7851KRZ/page-1", "AD7851KRZ")</f>
        <v>AD7851KRZ</v>
      </c>
      <c r="B18543" s="3" t="s">
        <v>74</v>
      </c>
      <c r="C18543" s="6">
        <v>30</v>
      </c>
      <c r="D18543" s="7">
        <v>36.93</v>
      </c>
    </row>
    <row r="18544" spans="1:5" x14ac:dyDescent="0.25">
      <c r="A18544" t="str">
        <f>HYPERLINK("https://www.773grp.com/globalSearch/NBSG72AMNG/page-1", "NBSG72AMNG")</f>
        <v>NBSG72AMNG</v>
      </c>
      <c r="B18544" s="3" t="s">
        <v>74</v>
      </c>
      <c r="C18544" s="6">
        <v>8129</v>
      </c>
      <c r="D18544" s="7">
        <v>37.130000000000003</v>
      </c>
      <c r="E18544" t="s">
        <v>46</v>
      </c>
    </row>
    <row r="18545" spans="1:5" x14ac:dyDescent="0.25">
      <c r="A18545" t="str">
        <f>HYPERLINK("https://www.773grp.com/globalSearch/NBSG72AMNR2/page-1", "NBSG72AMNR2")</f>
        <v>NBSG72AMNR2</v>
      </c>
      <c r="B18545" s="3" t="s">
        <v>74</v>
      </c>
      <c r="C18545" s="6">
        <v>3000</v>
      </c>
      <c r="D18545" s="7">
        <v>37.130000000000003</v>
      </c>
      <c r="E18545" t="s">
        <v>46</v>
      </c>
    </row>
    <row r="18546" spans="1:5" x14ac:dyDescent="0.25">
      <c r="A18546" t="str">
        <f>HYPERLINK("https://www.773grp.com/globalSearch/NBSG72AMNR2G/page-1", "NBSG72AMNR2G")</f>
        <v>NBSG72AMNR2G</v>
      </c>
      <c r="B18546" s="3" t="s">
        <v>74</v>
      </c>
      <c r="C18546" s="6">
        <v>3000</v>
      </c>
      <c r="D18546" s="7">
        <v>37.130000000000003</v>
      </c>
      <c r="E18546" t="s">
        <v>46</v>
      </c>
    </row>
    <row r="18547" spans="1:5" x14ac:dyDescent="0.25">
      <c r="A18547" t="str">
        <f>HYPERLINK("https://www.773grp.com/globalSearch/SC10SX1401FJR2/page-1", "SC10SX1401FJR2")</f>
        <v>SC10SX1401FJR2</v>
      </c>
      <c r="B18547" s="3" t="s">
        <v>74</v>
      </c>
      <c r="C18547" s="6">
        <v>79275</v>
      </c>
      <c r="D18547" s="7">
        <v>38.31</v>
      </c>
    </row>
    <row r="18548" spans="1:5" x14ac:dyDescent="0.25">
      <c r="A18548" t="str">
        <f>HYPERLINK("https://www.773grp.com/globalSearch/SC10SX1405FJ/page-1", "SC10SX1405FJ")</f>
        <v>SC10SX1405FJ</v>
      </c>
      <c r="B18548" s="3" t="s">
        <v>74</v>
      </c>
      <c r="C18548" s="6">
        <v>552</v>
      </c>
      <c r="D18548" s="7">
        <v>38.31</v>
      </c>
    </row>
    <row r="18549" spans="1:5" x14ac:dyDescent="0.25">
      <c r="A18549" t="str">
        <f>HYPERLINK("https://www.773grp.com/globalSearch/MC10H016FNG/page-1", "MC10H016FNG")</f>
        <v>MC10H016FNG</v>
      </c>
      <c r="B18549" s="3" t="s">
        <v>74</v>
      </c>
      <c r="C18549" s="6">
        <v>2644</v>
      </c>
      <c r="D18549" s="7">
        <v>38.43</v>
      </c>
      <c r="E18549" t="s">
        <v>22</v>
      </c>
    </row>
    <row r="18550" spans="1:5" x14ac:dyDescent="0.25">
      <c r="A18550" t="str">
        <f>HYPERLINK("https://www.773grp.com/globalSearch/MC10H016FNR2G/page-1", "MC10H016FNR2G")</f>
        <v>MC10H016FNR2G</v>
      </c>
      <c r="B18550" s="3" t="s">
        <v>74</v>
      </c>
      <c r="C18550" s="6">
        <v>1131</v>
      </c>
      <c r="D18550" s="7">
        <v>38.43</v>
      </c>
      <c r="E18550" t="s">
        <v>22</v>
      </c>
    </row>
    <row r="18551" spans="1:5" x14ac:dyDescent="0.25">
      <c r="A18551" t="str">
        <f>HYPERLINK("https://www.773grp.com/globalSearch/MC10H180FNG/page-1", "MC10H180FNG")</f>
        <v>MC10H180FNG</v>
      </c>
      <c r="B18551" s="3" t="s">
        <v>74</v>
      </c>
      <c r="C18551" s="6">
        <v>2888</v>
      </c>
      <c r="D18551" s="7">
        <v>38.43</v>
      </c>
      <c r="E18551" t="s">
        <v>38</v>
      </c>
    </row>
    <row r="18552" spans="1:5" x14ac:dyDescent="0.25">
      <c r="A18552" t="str">
        <f>HYPERLINK("https://www.773grp.com/globalSearch/NB7N017MMN/page-1", "NB7N017MMN")</f>
        <v>NB7N017MMN</v>
      </c>
      <c r="B18552" s="3" t="s">
        <v>74</v>
      </c>
      <c r="C18552" s="6">
        <v>1315</v>
      </c>
      <c r="D18552" s="7">
        <v>38.68</v>
      </c>
      <c r="E18552" t="s">
        <v>44</v>
      </c>
    </row>
    <row r="18553" spans="1:5" x14ac:dyDescent="0.25">
      <c r="A18553" t="str">
        <f>HYPERLINK("https://www.773grp.com/globalSearch/0W633-001-XTP/page-1", "0W633-001-XTP")</f>
        <v>0W633-001-XTP</v>
      </c>
      <c r="B18553" s="3" t="s">
        <v>74</v>
      </c>
      <c r="C18553" s="6">
        <v>2603</v>
      </c>
      <c r="D18553" s="7">
        <v>38.81</v>
      </c>
    </row>
    <row r="18554" spans="1:5" x14ac:dyDescent="0.25">
      <c r="A18554" t="str">
        <f>HYPERLINK("https://www.773grp.com/globalSearch/STK760-211C-E/page-1", "STK760-211C-E")</f>
        <v>STK760-211C-E</v>
      </c>
      <c r="B18554" s="3" t="s">
        <v>74</v>
      </c>
      <c r="C18554" s="6">
        <v>10</v>
      </c>
      <c r="D18554" s="7">
        <v>38.81</v>
      </c>
    </row>
    <row r="18555" spans="1:5" x14ac:dyDescent="0.25">
      <c r="A18555" t="str">
        <f>HYPERLINK("https://www.773grp.com/globalSearch/NBSG11MN/page-1", "NBSG11MN")</f>
        <v>NBSG11MN</v>
      </c>
      <c r="B18555" s="3" t="s">
        <v>74</v>
      </c>
      <c r="C18555" s="6">
        <v>20169</v>
      </c>
      <c r="D18555" s="7">
        <v>39.380000000000003</v>
      </c>
      <c r="E18555" t="s">
        <v>30</v>
      </c>
    </row>
    <row r="18556" spans="1:5" x14ac:dyDescent="0.25">
      <c r="A18556" t="str">
        <f>HYPERLINK("https://www.773grp.com/globalSearch/NBSG11MNR2/page-1", "NBSG11MNR2")</f>
        <v>NBSG11MNR2</v>
      </c>
      <c r="B18556" s="3" t="s">
        <v>74</v>
      </c>
      <c r="C18556" s="6">
        <v>9540</v>
      </c>
      <c r="D18556" s="7">
        <v>39.380000000000003</v>
      </c>
      <c r="E18556" t="s">
        <v>30</v>
      </c>
    </row>
    <row r="18557" spans="1:5" x14ac:dyDescent="0.25">
      <c r="A18557" t="str">
        <f>HYPERLINK("https://www.773grp.com/globalSearch/STK629-720-E/page-1", "STK629-720-E")</f>
        <v>STK629-720-E</v>
      </c>
      <c r="B18557" s="3" t="s">
        <v>74</v>
      </c>
      <c r="C18557" s="6">
        <v>4642</v>
      </c>
      <c r="D18557" s="7">
        <v>39.94</v>
      </c>
    </row>
    <row r="18558" spans="1:5" x14ac:dyDescent="0.25">
      <c r="A18558" t="str">
        <f>HYPERLINK("https://www.773grp.com/globalSearch/SBSG16BA/page-1", "SBSG16BA")</f>
        <v>SBSG16BA</v>
      </c>
      <c r="B18558" s="3" t="s">
        <v>74</v>
      </c>
      <c r="C18558" s="6">
        <v>1491</v>
      </c>
      <c r="D18558" s="7">
        <v>42.14</v>
      </c>
    </row>
    <row r="18559" spans="1:5" x14ac:dyDescent="0.25">
      <c r="A18559" t="str">
        <f>HYPERLINK("https://www.773grp.com/globalSearch/MC10H640FN/page-1", "MC10H640FN")</f>
        <v>MC10H640FN</v>
      </c>
      <c r="B18559" s="3" t="s">
        <v>74</v>
      </c>
      <c r="C18559" s="6">
        <v>74</v>
      </c>
      <c r="D18559" s="7">
        <v>42.19</v>
      </c>
      <c r="E18559" t="s">
        <v>30</v>
      </c>
    </row>
    <row r="18560" spans="1:5" x14ac:dyDescent="0.25">
      <c r="A18560" t="str">
        <f>HYPERLINK("https://www.773grp.com/globalSearch/MC10H640FNG/page-1", "MC10H640FNG")</f>
        <v>MC10H640FNG</v>
      </c>
      <c r="B18560" s="3" t="s">
        <v>74</v>
      </c>
      <c r="C18560" s="6">
        <v>70</v>
      </c>
      <c r="D18560" s="7">
        <v>42.19</v>
      </c>
      <c r="E18560" t="s">
        <v>30</v>
      </c>
    </row>
    <row r="18561" spans="1:5" x14ac:dyDescent="0.25">
      <c r="A18561" t="str">
        <f>HYPERLINK("https://www.773grp.com/globalSearch/MC10H640FNR2G/page-1", "MC10H640FNR2G")</f>
        <v>MC10H640FNR2G</v>
      </c>
      <c r="B18561" s="3" t="s">
        <v>74</v>
      </c>
      <c r="C18561" s="6">
        <v>1500</v>
      </c>
      <c r="D18561" s="7">
        <v>42.19</v>
      </c>
      <c r="E18561" t="s">
        <v>30</v>
      </c>
    </row>
    <row r="18562" spans="1:5" x14ac:dyDescent="0.25">
      <c r="A18562" t="str">
        <f>HYPERLINK("https://www.773grp.com/globalSearch/NB7L86MMNG/page-1", "NB7L86MMNG")</f>
        <v>NB7L86MMNG</v>
      </c>
      <c r="B18562" s="3" t="s">
        <v>74</v>
      </c>
      <c r="C18562" s="6">
        <v>412</v>
      </c>
      <c r="D18562" s="7">
        <v>42.19</v>
      </c>
      <c r="E18562" t="s">
        <v>68</v>
      </c>
    </row>
    <row r="18563" spans="1:5" x14ac:dyDescent="0.25">
      <c r="A18563" t="str">
        <f>HYPERLINK("https://www.773grp.com/globalSearch/NBSG111BA/page-1", "NBSG111BA")</f>
        <v>NBSG111BA</v>
      </c>
      <c r="B18563" s="3" t="s">
        <v>74</v>
      </c>
      <c r="C18563" s="6">
        <v>1714</v>
      </c>
      <c r="D18563" s="7">
        <v>42.19</v>
      </c>
      <c r="E18563" t="s">
        <v>30</v>
      </c>
    </row>
    <row r="18564" spans="1:5" x14ac:dyDescent="0.25">
      <c r="A18564" t="str">
        <f>HYPERLINK("https://www.773grp.com/globalSearch/NBSG111BAR2/page-1", "NBSG111BAR2")</f>
        <v>NBSG111BAR2</v>
      </c>
      <c r="B18564" s="3" t="s">
        <v>74</v>
      </c>
      <c r="C18564" s="6">
        <v>488</v>
      </c>
      <c r="D18564" s="7">
        <v>42.19</v>
      </c>
      <c r="E18564" t="s">
        <v>30</v>
      </c>
    </row>
    <row r="18565" spans="1:5" x14ac:dyDescent="0.25">
      <c r="A18565" t="str">
        <f>HYPERLINK("https://www.773grp.com/globalSearch/STK433-890N-E/page-1", "STK433-890N-E")</f>
        <v>STK433-890N-E</v>
      </c>
      <c r="B18565" s="3" t="s">
        <v>74</v>
      </c>
      <c r="C18565" s="6">
        <v>25</v>
      </c>
      <c r="D18565" s="7">
        <v>42.19</v>
      </c>
    </row>
    <row r="18566" spans="1:5" x14ac:dyDescent="0.25">
      <c r="A18566" t="str">
        <f>HYPERLINK("https://www.773grp.com/globalSearch/MC10H136PG/page-1", "MC10H136PG")</f>
        <v>MC10H136PG</v>
      </c>
      <c r="B18566" s="3" t="s">
        <v>74</v>
      </c>
      <c r="C18566" s="6">
        <v>853</v>
      </c>
      <c r="D18566" s="7">
        <v>43.2</v>
      </c>
      <c r="E18566" t="s">
        <v>22</v>
      </c>
    </row>
    <row r="18567" spans="1:5" x14ac:dyDescent="0.25">
      <c r="A18567" t="str">
        <f>HYPERLINK("https://www.773grp.com/globalSearch/LC82162B-R1000-E/page-1", "LC82162B-R1000-E")</f>
        <v>LC82162B-R1000-E</v>
      </c>
      <c r="B18567" s="3" t="s">
        <v>74</v>
      </c>
      <c r="C18567" s="6">
        <v>1608</v>
      </c>
      <c r="D18567" s="7">
        <v>43.59</v>
      </c>
    </row>
    <row r="18568" spans="1:5" x14ac:dyDescent="0.25">
      <c r="A18568" t="str">
        <f>HYPERLINK("https://www.773grp.com/globalSearch/NB100LVEP224FAG/page-1", "NB100LVEP224FAG")</f>
        <v>NB100LVEP224FAG</v>
      </c>
      <c r="B18568" s="3" t="s">
        <v>74</v>
      </c>
      <c r="C18568" s="6">
        <v>401</v>
      </c>
      <c r="D18568" s="7">
        <v>45</v>
      </c>
      <c r="E18568" t="s">
        <v>30</v>
      </c>
    </row>
    <row r="18569" spans="1:5" x14ac:dyDescent="0.25">
      <c r="A18569" t="str">
        <f>HYPERLINK("https://www.773grp.com/globalSearch/NB100LVEP224FAR2/page-1", "NB100LVEP224FAR2")</f>
        <v>NB100LVEP224FAR2</v>
      </c>
      <c r="B18569" s="3" t="s">
        <v>74</v>
      </c>
      <c r="C18569" s="6">
        <v>750</v>
      </c>
      <c r="D18569" s="7">
        <v>45</v>
      </c>
      <c r="E18569" t="s">
        <v>30</v>
      </c>
    </row>
    <row r="18570" spans="1:5" x14ac:dyDescent="0.25">
      <c r="A18570" t="str">
        <f>HYPERLINK("https://www.773grp.com/globalSearch/STK621-014-E/page-1", "STK621-014-E")</f>
        <v>STK621-014-E</v>
      </c>
      <c r="B18570" s="3" t="s">
        <v>74</v>
      </c>
      <c r="C18570" s="6">
        <v>15</v>
      </c>
      <c r="D18570" s="7">
        <v>45</v>
      </c>
    </row>
    <row r="18571" spans="1:5" x14ac:dyDescent="0.25">
      <c r="A18571" t="str">
        <f>HYPERLINK("https://www.773grp.com/globalSearch/AD7890BNZ-4/page-1", "AD7890BNZ-4")</f>
        <v>AD7890BNZ-4</v>
      </c>
      <c r="B18571" s="3" t="s">
        <v>74</v>
      </c>
      <c r="C18571" s="6">
        <v>12</v>
      </c>
      <c r="D18571" s="7">
        <v>51.05</v>
      </c>
    </row>
    <row r="18572" spans="1:5" x14ac:dyDescent="0.25">
      <c r="A18572" t="str">
        <f>HYPERLINK("https://www.773grp.com/globalSearch/MC10H680FNG/page-1", "MC10H680FNG")</f>
        <v>MC10H680FNG</v>
      </c>
      <c r="B18572" s="3" t="s">
        <v>74</v>
      </c>
      <c r="C18572" s="6">
        <v>913</v>
      </c>
      <c r="D18572" s="7">
        <v>54.11</v>
      </c>
      <c r="E18572" t="s">
        <v>61</v>
      </c>
    </row>
    <row r="18573" spans="1:5" x14ac:dyDescent="0.25">
      <c r="A18573" t="str">
        <f>HYPERLINK("https://www.773grp.com/globalSearch/MC10H680FNR2G/page-1", "MC10H680FNR2G")</f>
        <v>MC10H680FNR2G</v>
      </c>
      <c r="B18573" s="3" t="s">
        <v>74</v>
      </c>
      <c r="C18573" s="6">
        <v>2098</v>
      </c>
      <c r="D18573" s="7">
        <v>54.11</v>
      </c>
      <c r="E18573" t="s">
        <v>61</v>
      </c>
    </row>
    <row r="18574" spans="1:5" x14ac:dyDescent="0.25">
      <c r="A18574" t="str">
        <f>HYPERLINK("https://www.773grp.com/globalSearch/AD7880BNZ/page-1", "AD7880BNZ")</f>
        <v>AD7880BNZ</v>
      </c>
      <c r="B18574" s="3" t="s">
        <v>74</v>
      </c>
      <c r="C18574" s="6">
        <v>2</v>
      </c>
      <c r="D18574" s="7">
        <v>57.38</v>
      </c>
    </row>
    <row r="18575" spans="1:5" x14ac:dyDescent="0.25">
      <c r="A18575" t="str">
        <f>HYPERLINK("https://www.773grp.com/globalSearch/MC100H680FNG/page-1", "MC100H680FNG")</f>
        <v>MC100H680FNG</v>
      </c>
      <c r="B18575" s="3" t="s">
        <v>74</v>
      </c>
      <c r="C18575" s="6">
        <v>2578</v>
      </c>
      <c r="D18575" s="7">
        <v>60.13</v>
      </c>
      <c r="E18575" t="s">
        <v>61</v>
      </c>
    </row>
    <row r="18576" spans="1:5" x14ac:dyDescent="0.25">
      <c r="A18576" t="str">
        <f>HYPERLINK("https://www.773grp.com/globalSearch/NBSG16BAHTBG/page-1", "NBSG16BAHTBG")</f>
        <v>NBSG16BAHTBG</v>
      </c>
      <c r="B18576" s="3" t="s">
        <v>74</v>
      </c>
      <c r="C18576" s="6">
        <v>18800</v>
      </c>
      <c r="D18576" s="7">
        <v>63.2</v>
      </c>
      <c r="E18576" t="s">
        <v>17</v>
      </c>
    </row>
    <row r="18577" spans="1:5" x14ac:dyDescent="0.25">
      <c r="A18577" t="str">
        <f>HYPERLINK("https://www.773grp.com/globalSearch/NBSG16BAR2/page-1", "NBSG16BAR2")</f>
        <v>NBSG16BAR2</v>
      </c>
      <c r="B18577" s="3" t="s">
        <v>74</v>
      </c>
      <c r="C18577" s="6">
        <v>6500</v>
      </c>
      <c r="D18577" s="7">
        <v>63.2</v>
      </c>
      <c r="E18577" t="s">
        <v>17</v>
      </c>
    </row>
    <row r="18578" spans="1:5" x14ac:dyDescent="0.25">
      <c r="A18578" t="str">
        <f>HYPERLINK("https://www.773grp.com/globalSearch/NBSG16MMNG/page-1", "NBSG16MMNG")</f>
        <v>NBSG16MMNG</v>
      </c>
      <c r="B18578" s="3" t="s">
        <v>74</v>
      </c>
      <c r="C18578" s="6">
        <v>1912</v>
      </c>
      <c r="D18578" s="7">
        <v>63.2</v>
      </c>
      <c r="E18578" t="s">
        <v>17</v>
      </c>
    </row>
    <row r="18579" spans="1:5" x14ac:dyDescent="0.25">
      <c r="A18579" t="str">
        <f>HYPERLINK("https://www.773grp.com/globalSearch/NBSG16MNG/page-1", "NBSG16MNG")</f>
        <v>NBSG16MNG</v>
      </c>
      <c r="B18579" s="3" t="s">
        <v>74</v>
      </c>
      <c r="C18579" s="6">
        <v>7697</v>
      </c>
      <c r="D18579" s="7">
        <v>63.2</v>
      </c>
      <c r="E18579" t="s">
        <v>17</v>
      </c>
    </row>
    <row r="18580" spans="1:5" x14ac:dyDescent="0.25">
      <c r="A18580" t="str">
        <f>HYPERLINK("https://www.773grp.com/globalSearch/NBSG16MNHTBG/page-1", "NBSG16MNHTBG")</f>
        <v>NBSG16MNHTBG</v>
      </c>
      <c r="B18580" s="3" t="s">
        <v>74</v>
      </c>
      <c r="C18580" s="6">
        <v>1900</v>
      </c>
      <c r="D18580" s="7">
        <v>63.2</v>
      </c>
      <c r="E18580" t="s">
        <v>17</v>
      </c>
    </row>
    <row r="18581" spans="1:5" x14ac:dyDescent="0.25">
      <c r="A18581" t="str">
        <f>HYPERLINK("https://www.773grp.com/globalSearch/NBSG16MNR2/page-1", "NBSG16MNR2")</f>
        <v>NBSG16MNR2</v>
      </c>
      <c r="B18581" s="3" t="s">
        <v>74</v>
      </c>
      <c r="C18581" s="6">
        <v>18000</v>
      </c>
      <c r="D18581" s="7">
        <v>63.2</v>
      </c>
      <c r="E18581" t="s">
        <v>17</v>
      </c>
    </row>
    <row r="18582" spans="1:5" x14ac:dyDescent="0.25">
      <c r="A18582" t="str">
        <f>HYPERLINK("https://www.773grp.com/globalSearch/NBSG16MNR2G/page-1", "NBSG16MNR2G")</f>
        <v>NBSG16MNR2G</v>
      </c>
      <c r="B18582" s="3" t="s">
        <v>74</v>
      </c>
      <c r="C18582" s="6">
        <v>6000</v>
      </c>
      <c r="D18582" s="7">
        <v>63.2</v>
      </c>
      <c r="E18582" t="s">
        <v>17</v>
      </c>
    </row>
    <row r="18583" spans="1:5" x14ac:dyDescent="0.25">
      <c r="A18583" t="str">
        <f>HYPERLINK("https://www.773grp.com/globalSearch/NBSG16VSBAHTBG/page-1", "NBSG16VSBAHTBG")</f>
        <v>NBSG16VSBAHTBG</v>
      </c>
      <c r="B18583" s="3" t="s">
        <v>74</v>
      </c>
      <c r="C18583" s="6">
        <v>8500</v>
      </c>
      <c r="D18583" s="7">
        <v>63.2</v>
      </c>
      <c r="E18583" t="s">
        <v>17</v>
      </c>
    </row>
    <row r="18584" spans="1:5" x14ac:dyDescent="0.25">
      <c r="A18584" t="str">
        <f>HYPERLINK("https://www.773grp.com/globalSearch/NBSG86AMNG/page-1", "NBSG86AMNG")</f>
        <v>NBSG86AMNG</v>
      </c>
      <c r="B18584" s="3" t="s">
        <v>74</v>
      </c>
      <c r="C18584" s="6">
        <v>440</v>
      </c>
      <c r="D18584" s="7">
        <v>63.2</v>
      </c>
      <c r="E18584" t="s">
        <v>68</v>
      </c>
    </row>
    <row r="18585" spans="1:5" x14ac:dyDescent="0.25">
      <c r="A18585" t="str">
        <f>HYPERLINK("https://www.773grp.com/globalSearch/NBSG86AMNHTBG/page-1", "NBSG86AMNHTBG")</f>
        <v>NBSG86AMNHTBG</v>
      </c>
      <c r="B18585" s="3" t="s">
        <v>74</v>
      </c>
      <c r="C18585" s="6">
        <v>2200</v>
      </c>
      <c r="D18585" s="7">
        <v>63.2</v>
      </c>
      <c r="E18585" t="s">
        <v>68</v>
      </c>
    </row>
    <row r="18586" spans="1:5" x14ac:dyDescent="0.25">
      <c r="A18586" t="str">
        <f>HYPERLINK("https://www.773grp.com/globalSearch/NBSG86AMNR2G/page-1", "NBSG86AMNR2G")</f>
        <v>NBSG86AMNR2G</v>
      </c>
      <c r="B18586" s="3" t="s">
        <v>74</v>
      </c>
      <c r="C18586" s="6">
        <v>9000</v>
      </c>
      <c r="D18586" s="7">
        <v>63.2</v>
      </c>
      <c r="E18586" t="s">
        <v>68</v>
      </c>
    </row>
    <row r="18587" spans="1:5" x14ac:dyDescent="0.25">
      <c r="A18587" t="str">
        <f>HYPERLINK("https://www.773grp.com/globalSearch/MC100SX1230FN/page-1", "MC100SX1230FN")</f>
        <v>MC100SX1230FN</v>
      </c>
      <c r="B18587" s="3" t="s">
        <v>74</v>
      </c>
      <c r="C18587" s="6">
        <v>183</v>
      </c>
      <c r="D18587" s="7">
        <v>66.94</v>
      </c>
      <c r="E18587" t="s">
        <v>55</v>
      </c>
    </row>
    <row r="18588" spans="1:5" x14ac:dyDescent="0.25">
      <c r="A18588" t="str">
        <f>HYPERLINK("https://www.773grp.com/globalSearch/NBSG53ABAHTBG/page-1", "NBSG53ABAHTBG")</f>
        <v>NBSG53ABAHTBG</v>
      </c>
      <c r="B18588" s="3" t="s">
        <v>74</v>
      </c>
      <c r="C18588" s="6">
        <v>1379</v>
      </c>
      <c r="D18588" s="7">
        <v>69.53</v>
      </c>
      <c r="E18588" t="s">
        <v>30</v>
      </c>
    </row>
    <row r="18589" spans="1:5" x14ac:dyDescent="0.25">
      <c r="A18589" t="str">
        <f>HYPERLINK("https://www.773grp.com/globalSearch/NBSG53AMN/page-1", "NBSG53AMN")</f>
        <v>NBSG53AMN</v>
      </c>
      <c r="B18589" s="3" t="s">
        <v>74</v>
      </c>
      <c r="C18589" s="6">
        <v>7</v>
      </c>
      <c r="D18589" s="7">
        <v>69.53</v>
      </c>
      <c r="E18589" t="s">
        <v>30</v>
      </c>
    </row>
    <row r="18590" spans="1:5" x14ac:dyDescent="0.25">
      <c r="A18590" t="str">
        <f>HYPERLINK("https://www.773grp.com/globalSearch/NBSG53AMNG/page-1", "NBSG53AMNG")</f>
        <v>NBSG53AMNG</v>
      </c>
      <c r="B18590" s="3" t="s">
        <v>74</v>
      </c>
      <c r="C18590" s="6">
        <v>596</v>
      </c>
      <c r="D18590" s="7">
        <v>69.53</v>
      </c>
      <c r="E18590" t="s">
        <v>30</v>
      </c>
    </row>
    <row r="18591" spans="1:5" x14ac:dyDescent="0.25">
      <c r="A18591" t="str">
        <f>HYPERLINK("https://www.773grp.com/globalSearch/NBSG53AMNR2/page-1", "NBSG53AMNR2")</f>
        <v>NBSG53AMNR2</v>
      </c>
      <c r="B18591" s="3" t="s">
        <v>74</v>
      </c>
      <c r="C18591" s="6">
        <v>8684</v>
      </c>
      <c r="D18591" s="7">
        <v>69.53</v>
      </c>
      <c r="E18591" t="s">
        <v>30</v>
      </c>
    </row>
    <row r="18592" spans="1:5" x14ac:dyDescent="0.25">
      <c r="A18592" t="str">
        <f>HYPERLINK("https://www.773grp.com/globalSearch/NBSG16VSBAR2/page-1", "NBSG16VSBAR2")</f>
        <v>NBSG16VSBAR2</v>
      </c>
      <c r="B18592" s="3" t="s">
        <v>74</v>
      </c>
      <c r="C18592" s="6">
        <v>2188</v>
      </c>
      <c r="D18592" s="7">
        <v>70.239999999999995</v>
      </c>
      <c r="E18592" t="s">
        <v>17</v>
      </c>
    </row>
    <row r="18593" spans="1:5" x14ac:dyDescent="0.25">
      <c r="A18593" t="str">
        <f>HYPERLINK("https://www.773grp.com/globalSearch/NBSG16VSMNG/page-1", "NBSG16VSMNG")</f>
        <v>NBSG16VSMNG</v>
      </c>
      <c r="B18593" s="3" t="s">
        <v>74</v>
      </c>
      <c r="C18593" s="6">
        <v>5871</v>
      </c>
      <c r="D18593" s="7">
        <v>70.239999999999995</v>
      </c>
      <c r="E18593" t="s">
        <v>17</v>
      </c>
    </row>
    <row r="18594" spans="1:5" x14ac:dyDescent="0.25">
      <c r="A18594" t="str">
        <f>HYPERLINK("https://www.773grp.com/globalSearch/NBSG16VSMNHTBG/page-1", "NBSG16VSMNHTBG")</f>
        <v>NBSG16VSMNHTBG</v>
      </c>
      <c r="B18594" s="3" t="s">
        <v>74</v>
      </c>
      <c r="C18594" s="6">
        <v>2000</v>
      </c>
      <c r="D18594" s="7">
        <v>70.239999999999995</v>
      </c>
      <c r="E18594" t="s">
        <v>17</v>
      </c>
    </row>
    <row r="18595" spans="1:5" x14ac:dyDescent="0.25">
      <c r="A18595" t="str">
        <f>HYPERLINK("https://www.773grp.com/globalSearch/MC10E1651FNG/page-1", "MC10E1651FNG")</f>
        <v>MC10E1651FNG</v>
      </c>
      <c r="B18595" s="3" t="s">
        <v>74</v>
      </c>
      <c r="C18595" s="6">
        <v>19166</v>
      </c>
      <c r="D18595" s="7">
        <v>70.31</v>
      </c>
      <c r="E18595" t="s">
        <v>38</v>
      </c>
    </row>
    <row r="18596" spans="1:5" x14ac:dyDescent="0.25">
      <c r="A18596" t="str">
        <f>HYPERLINK("https://www.773grp.com/globalSearch/MC10E1651FNR2G/page-1", "MC10E1651FNR2G")</f>
        <v>MC10E1651FNR2G</v>
      </c>
      <c r="B18596" s="3" t="s">
        <v>74</v>
      </c>
      <c r="C18596" s="6">
        <v>22815</v>
      </c>
      <c r="D18596" s="7">
        <v>70.31</v>
      </c>
      <c r="E18596" t="s">
        <v>38</v>
      </c>
    </row>
    <row r="18597" spans="1:5" x14ac:dyDescent="0.25">
      <c r="A18597" t="str">
        <f>HYPERLINK("https://www.773grp.com/globalSearch/MC10E1652FNG/page-1", "MC10E1652FNG")</f>
        <v>MC10E1652FNG</v>
      </c>
      <c r="B18597" s="3" t="s">
        <v>74</v>
      </c>
      <c r="C18597" s="6">
        <v>6937</v>
      </c>
      <c r="D18597" s="7">
        <v>70.31</v>
      </c>
      <c r="E18597" t="s">
        <v>38</v>
      </c>
    </row>
    <row r="18598" spans="1:5" x14ac:dyDescent="0.25">
      <c r="A18598" t="str">
        <f>HYPERLINK("https://www.773grp.com/globalSearch/MC10E1652FNR2G/page-1", "MC10E1652FNR2G")</f>
        <v>MC10E1652FNR2G</v>
      </c>
      <c r="B18598" s="3" t="s">
        <v>74</v>
      </c>
      <c r="C18598" s="6">
        <v>7311</v>
      </c>
      <c r="D18598" s="7">
        <v>70.31</v>
      </c>
      <c r="E18598" t="s">
        <v>38</v>
      </c>
    </row>
    <row r="18599" spans="1:5" x14ac:dyDescent="0.25">
      <c r="A18599" t="str">
        <f>HYPERLINK("https://www.773grp.com/globalSearch/NBSG11MAG/page-1", "NBSG11MAG")</f>
        <v>NBSG11MAG</v>
      </c>
      <c r="B18599" s="3" t="s">
        <v>74</v>
      </c>
      <c r="C18599" s="6">
        <v>950</v>
      </c>
      <c r="D18599" s="7">
        <v>70.31</v>
      </c>
      <c r="E18599" t="s">
        <v>30</v>
      </c>
    </row>
    <row r="18600" spans="1:5" x14ac:dyDescent="0.25">
      <c r="A18600" t="str">
        <f>HYPERLINK("https://www.773grp.com/globalSearch/STK621-068R-E/page-1", "STK621-068R-E")</f>
        <v>STK621-068R-E</v>
      </c>
      <c r="B18600" s="3" t="s">
        <v>74</v>
      </c>
      <c r="C18600" s="6">
        <v>49</v>
      </c>
      <c r="D18600" s="7">
        <v>74.25</v>
      </c>
    </row>
    <row r="18601" spans="1:5" x14ac:dyDescent="0.25">
      <c r="A18601" t="str">
        <f>HYPERLINK("https://www.773grp.com/globalSearch/NB7L32MMNG/page-1", "NB7L32MMNG")</f>
        <v>NB7L32MMNG</v>
      </c>
      <c r="B18601" s="3" t="s">
        <v>74</v>
      </c>
      <c r="C18601" s="6">
        <v>7019</v>
      </c>
      <c r="D18601" s="7">
        <v>75.94</v>
      </c>
      <c r="E18601" t="s">
        <v>30</v>
      </c>
    </row>
    <row r="18602" spans="1:5" x14ac:dyDescent="0.25">
      <c r="A18602" t="str">
        <f>HYPERLINK("https://www.773grp.com/globalSearch/NB7N017MMNG/page-1", "NB7N017MMNG")</f>
        <v>NB7N017MMNG</v>
      </c>
      <c r="B18602" s="3" t="s">
        <v>74</v>
      </c>
      <c r="C18602" s="6">
        <v>1083</v>
      </c>
      <c r="D18602" s="7">
        <v>77.34</v>
      </c>
      <c r="E18602" t="s">
        <v>44</v>
      </c>
    </row>
    <row r="18603" spans="1:5" x14ac:dyDescent="0.25">
      <c r="A18603" t="str">
        <f>HYPERLINK("https://www.773grp.com/globalSearch/NB7N017MMNR2G/page-1", "NB7N017MMNR2G")</f>
        <v>NB7N017MMNR2G</v>
      </c>
      <c r="B18603" s="3" t="s">
        <v>74</v>
      </c>
      <c r="C18603" s="6">
        <v>4773</v>
      </c>
      <c r="D18603" s="7">
        <v>77.34</v>
      </c>
      <c r="E18603" t="s">
        <v>44</v>
      </c>
    </row>
    <row r="18604" spans="1:5" x14ac:dyDescent="0.25">
      <c r="A18604" t="str">
        <f>HYPERLINK("https://www.773grp.com/globalSearch/NB7L11MMNG/page-1", "NB7L11MMNG")</f>
        <v>NB7L11MMNG</v>
      </c>
      <c r="B18604" s="3" t="s">
        <v>74</v>
      </c>
      <c r="C18604" s="6">
        <v>2993</v>
      </c>
      <c r="D18604" s="7">
        <v>78.75</v>
      </c>
      <c r="E18604" t="s">
        <v>30</v>
      </c>
    </row>
    <row r="18605" spans="1:5" x14ac:dyDescent="0.25">
      <c r="A18605" t="str">
        <f>HYPERLINK("https://www.773grp.com/globalSearch/NB7L11MMNR2G/page-1", "NB7L11MMNR2G")</f>
        <v>NB7L11MMNR2G</v>
      </c>
      <c r="B18605" s="3" t="s">
        <v>74</v>
      </c>
      <c r="C18605" s="6">
        <v>6000</v>
      </c>
      <c r="D18605" s="7">
        <v>78.75</v>
      </c>
      <c r="E18605" t="s">
        <v>30</v>
      </c>
    </row>
    <row r="18606" spans="1:5" x14ac:dyDescent="0.25">
      <c r="A18606" t="str">
        <f>HYPERLINK("https://www.773grp.com/globalSearch/NBSG11BAHTBG/page-1", "NBSG11BAHTBG")</f>
        <v>NBSG11BAHTBG</v>
      </c>
      <c r="B18606" s="3" t="s">
        <v>74</v>
      </c>
      <c r="C18606" s="6">
        <v>575</v>
      </c>
      <c r="D18606" s="7">
        <v>78.75</v>
      </c>
    </row>
    <row r="18607" spans="1:5" x14ac:dyDescent="0.25">
      <c r="A18607" t="str">
        <f>HYPERLINK("https://www.773grp.com/globalSearch/NBSG11BAR2/page-1", "NBSG11BAR2")</f>
        <v>NBSG11BAR2</v>
      </c>
      <c r="B18607" s="3" t="s">
        <v>74</v>
      </c>
      <c r="C18607" s="6">
        <v>4790</v>
      </c>
      <c r="D18607" s="7">
        <v>78.75</v>
      </c>
      <c r="E18607" t="s">
        <v>30</v>
      </c>
    </row>
    <row r="18608" spans="1:5" x14ac:dyDescent="0.25">
      <c r="A18608" t="str">
        <f>HYPERLINK("https://www.773grp.com/globalSearch/NBSG11MNG/page-1", "NBSG11MNG")</f>
        <v>NBSG11MNG</v>
      </c>
      <c r="B18608" s="3" t="s">
        <v>74</v>
      </c>
      <c r="C18608" s="6">
        <v>579</v>
      </c>
      <c r="D18608" s="7">
        <v>78.75</v>
      </c>
      <c r="E18608" t="s">
        <v>30</v>
      </c>
    </row>
    <row r="18609" spans="1:5" x14ac:dyDescent="0.25">
      <c r="A18609" t="str">
        <f>HYPERLINK("https://www.773grp.com/globalSearch/NBSG11MNHTBG/page-1", "NBSG11MNHTBG")</f>
        <v>NBSG11MNHTBG</v>
      </c>
      <c r="B18609" s="3" t="s">
        <v>74</v>
      </c>
      <c r="C18609" s="6">
        <v>1600</v>
      </c>
      <c r="D18609" s="7">
        <v>78.75</v>
      </c>
      <c r="E18609" t="s">
        <v>30</v>
      </c>
    </row>
    <row r="18610" spans="1:5" x14ac:dyDescent="0.25">
      <c r="A18610" t="str">
        <f>HYPERLINK("https://www.773grp.com/globalSearch/NBSG111BAHTBG/page-1", "NBSG111BAHTBG")</f>
        <v>NBSG111BAHTBG</v>
      </c>
      <c r="B18610" s="3" t="s">
        <v>74</v>
      </c>
      <c r="C18610" s="6">
        <v>4000</v>
      </c>
      <c r="D18610" s="7">
        <v>84.38</v>
      </c>
      <c r="E18610" t="s">
        <v>30</v>
      </c>
    </row>
    <row r="18611" spans="1:5" x14ac:dyDescent="0.25">
      <c r="A18611" t="str">
        <f>HYPERLINK("https://www.773grp.com/globalSearch/NB7L216MN/page-1", "NB7L216MN")</f>
        <v>NB7L216MN</v>
      </c>
      <c r="B18611" s="3" t="s">
        <v>74</v>
      </c>
      <c r="C18611" s="6">
        <v>615</v>
      </c>
      <c r="D18611" s="7">
        <v>92.81</v>
      </c>
      <c r="E18611" t="s">
        <v>62</v>
      </c>
    </row>
    <row r="18612" spans="1:5" x14ac:dyDescent="0.25">
      <c r="A18612" t="str">
        <f>HYPERLINK("https://www.773grp.com/globalSearch/NB7L216MNG/page-1", "NB7L216MNG")</f>
        <v>NB7L216MNG</v>
      </c>
      <c r="B18612" s="3" t="s">
        <v>74</v>
      </c>
      <c r="C18612" s="6">
        <v>960</v>
      </c>
      <c r="D18612" s="7">
        <v>92.81</v>
      </c>
      <c r="E18612" t="s">
        <v>62</v>
      </c>
    </row>
    <row r="18613" spans="1:5" x14ac:dyDescent="0.25">
      <c r="A18613" t="str">
        <f>HYPERLINK("https://www.773grp.com/globalSearch/02A6A-125-XMD/page-1", "02A6A-125-XMD")</f>
        <v>02A6A-125-XMD</v>
      </c>
      <c r="B18613" s="3" t="s">
        <v>74</v>
      </c>
      <c r="C18613" s="6">
        <v>139</v>
      </c>
      <c r="D18613" s="7">
        <v>94.5</v>
      </c>
    </row>
    <row r="18614" spans="1:5" x14ac:dyDescent="0.25">
      <c r="A18614" t="str">
        <f>HYPERLINK("https://www.773grp.com/globalSearch/NBSG14BAR2/page-1", "NBSG14BAR2")</f>
        <v>NBSG14BAR2</v>
      </c>
      <c r="B18614" s="3" t="s">
        <v>74</v>
      </c>
      <c r="C18614" s="6">
        <v>7778</v>
      </c>
      <c r="D18614" s="7">
        <v>94.5</v>
      </c>
      <c r="E18614" t="s">
        <v>30</v>
      </c>
    </row>
    <row r="18615" spans="1:5" x14ac:dyDescent="0.25">
      <c r="A18615" t="str">
        <f>HYPERLINK("https://www.773grp.com/globalSearch/NBSG14MN/page-1", "NBSG14MN")</f>
        <v>NBSG14MN</v>
      </c>
      <c r="B18615" s="3" t="s">
        <v>74</v>
      </c>
      <c r="C18615" s="6">
        <v>8000</v>
      </c>
      <c r="D18615" s="7">
        <v>94.5</v>
      </c>
      <c r="E18615" t="s">
        <v>30</v>
      </c>
    </row>
    <row r="18616" spans="1:5" x14ac:dyDescent="0.25">
      <c r="A18616" t="str">
        <f>HYPERLINK("https://www.773grp.com/globalSearch/NBSG14MNG/page-1", "NBSG14MNG")</f>
        <v>NBSG14MNG</v>
      </c>
      <c r="B18616" s="3" t="s">
        <v>74</v>
      </c>
      <c r="C18616" s="6">
        <v>3142</v>
      </c>
      <c r="D18616" s="7">
        <v>94.5</v>
      </c>
      <c r="E18616" t="s">
        <v>30</v>
      </c>
    </row>
    <row r="18617" spans="1:5" x14ac:dyDescent="0.25">
      <c r="A18617" t="str">
        <f>HYPERLINK("https://www.773grp.com/globalSearch/NBSG14MNHTBG/page-1", "NBSG14MNHTBG")</f>
        <v>NBSG14MNHTBG</v>
      </c>
      <c r="B18617" s="3" t="s">
        <v>74</v>
      </c>
      <c r="C18617" s="6">
        <v>2200</v>
      </c>
      <c r="D18617" s="7">
        <v>94.5</v>
      </c>
      <c r="E18617" t="s">
        <v>30</v>
      </c>
    </row>
    <row r="18618" spans="1:5" x14ac:dyDescent="0.25">
      <c r="A18618" t="str">
        <f>HYPERLINK("https://www.773grp.com/globalSearch/NB7L111MMN/page-1", "NB7L111MMN")</f>
        <v>NB7L111MMN</v>
      </c>
      <c r="B18618" s="3" t="s">
        <v>74</v>
      </c>
      <c r="C18618" s="6">
        <v>780</v>
      </c>
      <c r="D18618" s="7">
        <v>98.44</v>
      </c>
      <c r="E18618" t="s">
        <v>30</v>
      </c>
    </row>
    <row r="18619" spans="1:5" x14ac:dyDescent="0.25">
      <c r="A18619" t="str">
        <f>HYPERLINK("https://www.773grp.com/globalSearch/NB7L111MMNG/page-1", "NB7L111MMNG")</f>
        <v>NB7L111MMNG</v>
      </c>
      <c r="B18619" s="3" t="s">
        <v>74</v>
      </c>
      <c r="C18619" s="6">
        <v>1084</v>
      </c>
      <c r="D18619" s="7">
        <v>98.44</v>
      </c>
      <c r="E18619" t="s">
        <v>30</v>
      </c>
    </row>
    <row r="18620" spans="1:5" x14ac:dyDescent="0.25">
      <c r="A18620" t="str">
        <f>HYPERLINK("https://www.773grp.com/globalSearch/NB7L111MMNR2G/page-1", "NB7L111MMNR2G")</f>
        <v>NB7L111MMNR2G</v>
      </c>
      <c r="B18620" s="3" t="s">
        <v>74</v>
      </c>
      <c r="C18620" s="6">
        <v>25</v>
      </c>
      <c r="D18620" s="7">
        <v>98.44</v>
      </c>
      <c r="E18620" t="s">
        <v>30</v>
      </c>
    </row>
    <row r="18621" spans="1:5" x14ac:dyDescent="0.25">
      <c r="A18621" t="str">
        <f>HYPERLINK("https://www.773grp.com/globalSearch/AD7875KNZ/page-1", "AD7875KNZ")</f>
        <v>AD7875KNZ</v>
      </c>
      <c r="B18621" s="3" t="s">
        <v>74</v>
      </c>
      <c r="C18621" s="6">
        <v>12</v>
      </c>
      <c r="D18621" s="7">
        <v>103.14</v>
      </c>
    </row>
    <row r="18622" spans="1:5" x14ac:dyDescent="0.25">
      <c r="A18622" t="str">
        <f>HYPERLINK("https://www.773grp.com/globalSearch/NOIL1SE0300A-QDC/page-1", "NOIL1SE0300A-QDC")</f>
        <v>NOIL1SE0300A-QDC</v>
      </c>
      <c r="B18622" s="3" t="s">
        <v>74</v>
      </c>
      <c r="C18622" s="6">
        <v>2698</v>
      </c>
      <c r="D18622" s="7">
        <v>213.6</v>
      </c>
    </row>
    <row r="18623" spans="1:5" x14ac:dyDescent="0.25">
      <c r="A18623" t="str">
        <f>HYPERLINK("https://www.773grp.com/globalSearch/NOIV2SN1300A-QDC/page-1", "NOIV2SN1300A-QDC")</f>
        <v>NOIV2SN1300A-QDC</v>
      </c>
      <c r="B18623" s="3" t="s">
        <v>74</v>
      </c>
      <c r="C18623" s="6">
        <v>843</v>
      </c>
      <c r="D18623" s="7">
        <v>253.13</v>
      </c>
    </row>
    <row r="18624" spans="1:5" x14ac:dyDescent="0.25">
      <c r="A18624" t="str">
        <f>HYPERLINK("https://www.773grp.com/globalSearch/NOIV1SE1300A-QDC/page-1", "NOIV1SE1300A-QDC")</f>
        <v>NOIV1SE1300A-QDC</v>
      </c>
      <c r="B18624" s="3" t="s">
        <v>74</v>
      </c>
      <c r="C18624" s="6">
        <v>40</v>
      </c>
      <c r="D18624" s="7">
        <v>222.16</v>
      </c>
    </row>
    <row r="18625" spans="1:5" x14ac:dyDescent="0.25">
      <c r="A18625" t="str">
        <f>HYPERLINK("https://www.773grp.com/globalSearch/NCP5314MNR2/page-1", "NCP5314MNR2")</f>
        <v>NCP5314MNR2</v>
      </c>
      <c r="B18625" s="3" t="s">
        <v>74</v>
      </c>
      <c r="C18625" s="6">
        <v>4952</v>
      </c>
      <c r="D18625" s="7">
        <v>278.44</v>
      </c>
      <c r="E18625" t="s">
        <v>5</v>
      </c>
    </row>
    <row r="18626" spans="1:5" x14ac:dyDescent="0.25">
      <c r="A18626" t="str">
        <f>HYPERLINK("https://www.773grp.com/globalSearch/NOIV1SE2000A-QDC/page-1", "NOIV1SE2000A-QDC")</f>
        <v>NOIV1SE2000A-QDC</v>
      </c>
      <c r="B18626" s="3" t="s">
        <v>74</v>
      </c>
      <c r="C18626" s="6">
        <v>58</v>
      </c>
      <c r="D18626" s="7">
        <v>365.28</v>
      </c>
    </row>
    <row r="18627" spans="1:5" x14ac:dyDescent="0.25">
      <c r="A18627" t="str">
        <f>HYPERLINK("https://www.773grp.com/globalSearch/NBSG111BAEVB/page-1", "NBSG111BAEVB")</f>
        <v>NBSG111BAEVB</v>
      </c>
      <c r="B18627" s="3" t="s">
        <v>74</v>
      </c>
      <c r="C18627" s="6">
        <v>2</v>
      </c>
      <c r="D18627" s="7">
        <v>854.44</v>
      </c>
    </row>
    <row r="18628" spans="1:5" x14ac:dyDescent="0.25">
      <c r="A18628" t="str">
        <f>HYPERLINK("https://www.773grp.com/globalSearch/NOIL2SM1300A-GDC/page-1", "NOIL2SM1300A-GDC")</f>
        <v>NOIL2SM1300A-GDC</v>
      </c>
      <c r="B18628" s="3" t="s">
        <v>74</v>
      </c>
      <c r="C18628" s="6">
        <v>6</v>
      </c>
      <c r="D18628" s="7">
        <v>2048.4899999999998</v>
      </c>
    </row>
    <row r="18629" spans="1:5" x14ac:dyDescent="0.25">
      <c r="A18629" t="str">
        <f>HYPERLINK("https://www.773grp.com/globalSearch/NOIV1SN025KA-GDC/page-1", "NOIV1SN025KA-GDC")</f>
        <v>NOIV1SN025KA-GDC</v>
      </c>
      <c r="B18629" s="3" t="s">
        <v>74</v>
      </c>
      <c r="C18629" s="6">
        <v>2</v>
      </c>
      <c r="D18629" s="7">
        <v>5874.2</v>
      </c>
    </row>
    <row r="18630" spans="1:5" x14ac:dyDescent="0.25">
      <c r="A18630" t="str">
        <f>HYPERLINK("https://www.773grp.com/globalSearch/100166FC-B  LT/page-1", "100166FC-B  LT")</f>
        <v>100166FC-B  LT</v>
      </c>
      <c r="B18630" s="3" t="s">
        <v>116</v>
      </c>
      <c r="C18630" s="6">
        <v>48</v>
      </c>
      <c r="D18630" s="7">
        <v>0</v>
      </c>
    </row>
    <row r="18631" spans="1:5" x14ac:dyDescent="0.25">
      <c r="A18631" t="str">
        <f>HYPERLINK("https://www.773grp.com/globalSearch/100180FC/page-1", "100180FC")</f>
        <v>100180FC</v>
      </c>
      <c r="B18631" s="3" t="s">
        <v>116</v>
      </c>
      <c r="C18631" s="6">
        <v>7</v>
      </c>
      <c r="D18631" s="7">
        <v>0</v>
      </c>
      <c r="E18631" t="s">
        <v>38</v>
      </c>
    </row>
    <row r="18632" spans="1:5" x14ac:dyDescent="0.25">
      <c r="A18632" t="str">
        <f>HYPERLINK("https://www.773grp.com/globalSearch/100180FC LT/page-1", "100180FC LT")</f>
        <v>100180FC LT</v>
      </c>
      <c r="B18632" s="3" t="s">
        <v>116</v>
      </c>
      <c r="C18632" s="6">
        <v>17</v>
      </c>
      <c r="D18632" s="7">
        <v>0</v>
      </c>
    </row>
    <row r="18633" spans="1:5" x14ac:dyDescent="0.25">
      <c r="A18633" t="str">
        <f>HYPERLINK("https://www.773grp.com/globalSearch/27C16Q45-B/page-1", "27C16Q45-B")</f>
        <v>27C16Q45-B</v>
      </c>
      <c r="B18633" s="3" t="s">
        <v>116</v>
      </c>
      <c r="C18633" s="6">
        <v>2</v>
      </c>
      <c r="D18633" s="7">
        <v>0</v>
      </c>
    </row>
    <row r="18634" spans="1:5" x14ac:dyDescent="0.25">
      <c r="A18634" t="str">
        <f>HYPERLINK("https://www.773grp.com/globalSearch/27LS00AFM-B  LT/page-1", "27LS00AFM-B  LT")</f>
        <v>27LS00AFM-B  LT</v>
      </c>
      <c r="B18634" s="3" t="s">
        <v>116</v>
      </c>
      <c r="C18634" s="6">
        <v>140</v>
      </c>
      <c r="D18634" s="7">
        <v>0</v>
      </c>
    </row>
    <row r="18635" spans="1:5" x14ac:dyDescent="0.25">
      <c r="A18635" t="str">
        <f>HYPERLINK("https://www.773grp.com/globalSearch/27LS00DM-B  LT/page-1", "27LS00DM-B  LT")</f>
        <v>27LS00DM-B  LT</v>
      </c>
      <c r="B18635" s="3" t="s">
        <v>116</v>
      </c>
      <c r="C18635" s="6">
        <v>48</v>
      </c>
      <c r="D18635" s="7">
        <v>0</v>
      </c>
    </row>
    <row r="18636" spans="1:5" x14ac:dyDescent="0.25">
      <c r="A18636" t="str">
        <f>HYPERLINK("https://www.773grp.com/globalSearch/27S35FM-B  LT/page-1", "27S35FM-B  LT")</f>
        <v>27S35FM-B  LT</v>
      </c>
      <c r="B18636" s="3" t="s">
        <v>116</v>
      </c>
      <c r="C18636" s="6">
        <v>48</v>
      </c>
      <c r="D18636" s="7">
        <v>0</v>
      </c>
    </row>
    <row r="18637" spans="1:5" x14ac:dyDescent="0.25">
      <c r="A18637" t="str">
        <f>HYPERLINK("https://www.773grp.com/globalSearch/2909AFM-B  UT/page-1", "2909AFM-B  UT")</f>
        <v>2909AFM-B  UT</v>
      </c>
      <c r="B18637" s="3" t="s">
        <v>116</v>
      </c>
      <c r="C18637" s="6">
        <v>48</v>
      </c>
      <c r="D18637" s="7">
        <v>0</v>
      </c>
    </row>
    <row r="18638" spans="1:5" x14ac:dyDescent="0.25">
      <c r="A18638" t="str">
        <f>HYPERLINK("https://www.773grp.com/globalSearch/29CPL154H-25DC/page-1", "29CPL154H-25DC")</f>
        <v>29CPL154H-25DC</v>
      </c>
      <c r="B18638" s="3" t="s">
        <v>116</v>
      </c>
      <c r="C18638" s="6">
        <v>69</v>
      </c>
      <c r="D18638" s="7">
        <v>0</v>
      </c>
    </row>
    <row r="18639" spans="1:5" x14ac:dyDescent="0.25">
      <c r="A18639" t="str">
        <f>HYPERLINK("https://www.773grp.com/globalSearch/29CPL154H30DC LT/page-1", "29CPL154H30DC LT")</f>
        <v>29CPL154H30DC LT</v>
      </c>
      <c r="B18639" s="3" t="s">
        <v>116</v>
      </c>
      <c r="C18639" s="6">
        <v>1</v>
      </c>
      <c r="D18639" s="7">
        <v>0</v>
      </c>
    </row>
    <row r="18640" spans="1:5" x14ac:dyDescent="0.25">
      <c r="A18640" t="str">
        <f>HYPERLINK("https://www.773grp.com/globalSearch/54100J-C  LT/page-1", "54100J-C  LT")</f>
        <v>54100J-C  LT</v>
      </c>
      <c r="B18640" s="3" t="s">
        <v>116</v>
      </c>
      <c r="C18640" s="6">
        <v>44</v>
      </c>
      <c r="D18640" s="7">
        <v>0</v>
      </c>
    </row>
    <row r="18641" spans="1:4" x14ac:dyDescent="0.25">
      <c r="A18641" t="str">
        <f>HYPERLINK("https://www.773grp.com/globalSearch/54152ADM-B  LT/page-1", "54152ADM-B  LT")</f>
        <v>54152ADM-B  LT</v>
      </c>
      <c r="B18641" s="3" t="s">
        <v>116</v>
      </c>
      <c r="C18641" s="6">
        <v>45</v>
      </c>
      <c r="D18641" s="7">
        <v>0</v>
      </c>
    </row>
    <row r="18642" spans="1:4" x14ac:dyDescent="0.25">
      <c r="A18642" t="str">
        <f>HYPERLINK("https://www.773grp.com/globalSearch/54152AW-B  LT/page-1", "54152AW-B  LT")</f>
        <v>54152AW-B  LT</v>
      </c>
      <c r="B18642" s="3" t="s">
        <v>116</v>
      </c>
      <c r="C18642" s="6">
        <v>48</v>
      </c>
      <c r="D18642" s="7">
        <v>0</v>
      </c>
    </row>
    <row r="18643" spans="1:4" x14ac:dyDescent="0.25">
      <c r="A18643" t="str">
        <f>HYPERLINK("https://www.773grp.com/globalSearch/54184J-B/page-1", "54184J-B")</f>
        <v>54184J-B</v>
      </c>
      <c r="B18643" s="3" t="s">
        <v>116</v>
      </c>
      <c r="C18643" s="6">
        <v>11</v>
      </c>
      <c r="D18643" s="7">
        <v>0</v>
      </c>
    </row>
    <row r="18644" spans="1:4" x14ac:dyDescent="0.25">
      <c r="A18644" t="str">
        <f>HYPERLINK("https://www.773grp.com/globalSearch/54184J-C  LT/page-1", "54184J-C  LT")</f>
        <v>54184J-C  LT</v>
      </c>
      <c r="B18644" s="3" t="s">
        <v>116</v>
      </c>
      <c r="C18644" s="6">
        <v>90</v>
      </c>
      <c r="D18644" s="7">
        <v>0</v>
      </c>
    </row>
    <row r="18645" spans="1:4" x14ac:dyDescent="0.25">
      <c r="A18645" t="str">
        <f>HYPERLINK("https://www.773grp.com/globalSearch/54185AJ-C LT/page-1", "54185AJ-C LT")</f>
        <v>54185AJ-C LT</v>
      </c>
      <c r="B18645" s="3" t="s">
        <v>116</v>
      </c>
      <c r="C18645" s="6">
        <v>45</v>
      </c>
      <c r="D18645" s="7">
        <v>0</v>
      </c>
    </row>
    <row r="18646" spans="1:4" x14ac:dyDescent="0.25">
      <c r="A18646" t="str">
        <f>HYPERLINK("https://www.773grp.com/globalSearch/54199FM-B  LT/page-1", "54199FM-B  LT")</f>
        <v>54199FM-B  LT</v>
      </c>
      <c r="B18646" s="3" t="s">
        <v>116</v>
      </c>
      <c r="C18646" s="6">
        <v>48</v>
      </c>
      <c r="D18646" s="7">
        <v>0</v>
      </c>
    </row>
    <row r="18647" spans="1:4" x14ac:dyDescent="0.25">
      <c r="A18647" t="str">
        <f>HYPERLINK("https://www.773grp.com/globalSearch/54273J-C  LT/page-1", "54273J-C  LT")</f>
        <v>54273J-C  LT</v>
      </c>
      <c r="B18647" s="3" t="s">
        <v>116</v>
      </c>
      <c r="C18647" s="6">
        <v>45</v>
      </c>
      <c r="D18647" s="7">
        <v>0</v>
      </c>
    </row>
    <row r="18648" spans="1:4" x14ac:dyDescent="0.25">
      <c r="A18648" t="str">
        <f>HYPERLINK("https://www.773grp.com/globalSearch/5460DM-B  LT/page-1", "5460DM-B  LT")</f>
        <v>5460DM-B  LT</v>
      </c>
      <c r="B18648" s="3" t="s">
        <v>116</v>
      </c>
      <c r="C18648" s="6">
        <v>45</v>
      </c>
      <c r="D18648" s="7">
        <v>0</v>
      </c>
    </row>
    <row r="18649" spans="1:4" x14ac:dyDescent="0.25">
      <c r="A18649" t="str">
        <f>HYPERLINK("https://www.773grp.com/globalSearch/5472-BCA  LT/page-1", "5472-BCA  LT")</f>
        <v>5472-BCA  LT</v>
      </c>
      <c r="B18649" s="3" t="s">
        <v>116</v>
      </c>
      <c r="C18649" s="6">
        <v>48</v>
      </c>
      <c r="D18649" s="7">
        <v>0</v>
      </c>
    </row>
    <row r="18650" spans="1:4" x14ac:dyDescent="0.25">
      <c r="A18650" t="str">
        <f>HYPERLINK("https://www.773grp.com/globalSearch/5482J-B  LT/page-1", "5482J-B  LT")</f>
        <v>5482J-B  LT</v>
      </c>
      <c r="B18650" s="3" t="s">
        <v>116</v>
      </c>
      <c r="C18650" s="6">
        <v>48</v>
      </c>
      <c r="D18650" s="7">
        <v>0</v>
      </c>
    </row>
    <row r="18651" spans="1:4" x14ac:dyDescent="0.25">
      <c r="A18651" t="str">
        <f>HYPERLINK("https://www.773grp.com/globalSearch/5482W-R  LF/page-1", "5482W-R  LF")</f>
        <v>5482W-R  LF</v>
      </c>
      <c r="B18651" s="3" t="s">
        <v>116</v>
      </c>
      <c r="C18651" s="6">
        <v>26</v>
      </c>
      <c r="D18651" s="7">
        <v>0</v>
      </c>
    </row>
    <row r="18652" spans="1:4" x14ac:dyDescent="0.25">
      <c r="A18652" t="str">
        <f>HYPERLINK("https://www.773grp.com/globalSearch/54ACT11004FK-B  LT/page-1", "54ACT11004FK-B  LT")</f>
        <v>54ACT11004FK-B  LT</v>
      </c>
      <c r="B18652" s="3" t="s">
        <v>116</v>
      </c>
      <c r="C18652" s="6">
        <v>48</v>
      </c>
      <c r="D18652" s="7">
        <v>0</v>
      </c>
    </row>
    <row r="18653" spans="1:4" x14ac:dyDescent="0.25">
      <c r="A18653" t="str">
        <f>HYPERLINK("https://www.773grp.com/globalSearch/54H01J-B  LT/page-1", "54H01J-B  LT")</f>
        <v>54H01J-B  LT</v>
      </c>
      <c r="B18653" s="3" t="s">
        <v>116</v>
      </c>
      <c r="C18653" s="6">
        <v>46</v>
      </c>
      <c r="D18653" s="7">
        <v>0</v>
      </c>
    </row>
    <row r="18654" spans="1:4" x14ac:dyDescent="0.25">
      <c r="A18654" t="str">
        <f>HYPERLINK("https://www.773grp.com/globalSearch/54H04-BCA  LT/page-1", "54H04-BCA  LT")</f>
        <v>54H04-BCA  LT</v>
      </c>
      <c r="B18654" s="3" t="s">
        <v>116</v>
      </c>
      <c r="C18654" s="6">
        <v>34</v>
      </c>
      <c r="D18654" s="7">
        <v>0</v>
      </c>
    </row>
    <row r="18655" spans="1:4" x14ac:dyDescent="0.25">
      <c r="A18655" t="str">
        <f>HYPERLINK("https://www.773grp.com/globalSearch/54H08FM-B/page-1", "54H08FM-B")</f>
        <v>54H08FM-B</v>
      </c>
      <c r="B18655" s="3" t="s">
        <v>116</v>
      </c>
      <c r="C18655" s="6">
        <v>199</v>
      </c>
      <c r="D18655" s="7">
        <v>0</v>
      </c>
    </row>
    <row r="18656" spans="1:4" x14ac:dyDescent="0.25">
      <c r="A18656" t="str">
        <f>HYPERLINK("https://www.773grp.com/globalSearch/54H106DM-C  LT/page-1", "54H106DM-C  LT")</f>
        <v>54H106DM-C  LT</v>
      </c>
      <c r="B18656" s="3" t="s">
        <v>116</v>
      </c>
      <c r="C18656" s="6">
        <v>45</v>
      </c>
      <c r="D18656" s="7">
        <v>0</v>
      </c>
    </row>
    <row r="18657" spans="1:4" x14ac:dyDescent="0.25">
      <c r="A18657" t="str">
        <f>HYPERLINK("https://www.773grp.com/globalSearch/54H108J-C  LT/page-1", "54H108J-C  LT")</f>
        <v>54H108J-C  LT</v>
      </c>
      <c r="B18657" s="3" t="s">
        <v>116</v>
      </c>
      <c r="C18657" s="6">
        <v>45</v>
      </c>
      <c r="D18657" s="7">
        <v>0</v>
      </c>
    </row>
    <row r="18658" spans="1:4" x14ac:dyDescent="0.25">
      <c r="A18658" t="str">
        <f>HYPERLINK("https://www.773grp.com/globalSearch/54H10J-C  LT/page-1", "54H10J-C  LT")</f>
        <v>54H10J-C  LT</v>
      </c>
      <c r="B18658" s="3" t="s">
        <v>116</v>
      </c>
      <c r="C18658" s="6">
        <v>45</v>
      </c>
      <c r="D18658" s="7">
        <v>0</v>
      </c>
    </row>
    <row r="18659" spans="1:4" x14ac:dyDescent="0.25">
      <c r="A18659" t="str">
        <f>HYPERLINK("https://www.773grp.com/globalSearch/54H11DM-C  LT/page-1", "54H11DM-C  LT")</f>
        <v>54H11DM-C  LT</v>
      </c>
      <c r="B18659" s="3" t="s">
        <v>116</v>
      </c>
      <c r="C18659" s="6">
        <v>45</v>
      </c>
      <c r="D18659" s="7">
        <v>0</v>
      </c>
    </row>
    <row r="18660" spans="1:4" x14ac:dyDescent="0.25">
      <c r="A18660" t="str">
        <f>HYPERLINK("https://www.773grp.com/globalSearch/54H20DM-B  LT/page-1", "54H20DM-B  LT")</f>
        <v>54H20DM-B  LT</v>
      </c>
      <c r="B18660" s="3" t="s">
        <v>116</v>
      </c>
      <c r="C18660" s="6">
        <v>45</v>
      </c>
      <c r="D18660" s="7">
        <v>0</v>
      </c>
    </row>
    <row r="18661" spans="1:4" x14ac:dyDescent="0.25">
      <c r="A18661" t="str">
        <f>HYPERLINK("https://www.773grp.com/globalSearch/54H21W-C/page-1", "54H21W-C")</f>
        <v>54H21W-C</v>
      </c>
      <c r="B18661" s="3" t="s">
        <v>116</v>
      </c>
      <c r="C18661" s="6">
        <v>228</v>
      </c>
      <c r="D18661" s="7">
        <v>0</v>
      </c>
    </row>
    <row r="18662" spans="1:4" x14ac:dyDescent="0.25">
      <c r="A18662" t="str">
        <f>HYPERLINK("https://www.773grp.com/globalSearch/54H30W-C  LT/page-1", "54H30W-C  LT")</f>
        <v>54H30W-C  LT</v>
      </c>
      <c r="B18662" s="3" t="s">
        <v>116</v>
      </c>
      <c r="C18662" s="6">
        <v>45</v>
      </c>
      <c r="D18662" s="7">
        <v>0</v>
      </c>
    </row>
    <row r="18663" spans="1:4" x14ac:dyDescent="0.25">
      <c r="A18663" t="str">
        <f>HYPERLINK("https://www.773grp.com/globalSearch/54H30W-C  UT/page-1", "54H30W-C  UT")</f>
        <v>54H30W-C  UT</v>
      </c>
      <c r="B18663" s="3" t="s">
        <v>116</v>
      </c>
      <c r="C18663" s="6">
        <v>2397</v>
      </c>
      <c r="D18663" s="7">
        <v>0</v>
      </c>
    </row>
    <row r="18664" spans="1:4" x14ac:dyDescent="0.25">
      <c r="A18664" t="str">
        <f>HYPERLINK("https://www.773grp.com/globalSearch/54H52J-C  LT/page-1", "54H52J-C  LT")</f>
        <v>54H52J-C  LT</v>
      </c>
      <c r="B18664" s="3" t="s">
        <v>116</v>
      </c>
      <c r="C18664" s="6">
        <v>45</v>
      </c>
      <c r="D18664" s="7">
        <v>0</v>
      </c>
    </row>
    <row r="18665" spans="1:4" x14ac:dyDescent="0.25">
      <c r="A18665" t="str">
        <f>HYPERLINK("https://www.773grp.com/globalSearch/54H54W-C  LT/page-1", "54H54W-C  LT")</f>
        <v>54H54W-C  LT</v>
      </c>
      <c r="B18665" s="3" t="s">
        <v>116</v>
      </c>
      <c r="C18665" s="6">
        <v>45</v>
      </c>
      <c r="D18665" s="7">
        <v>0</v>
      </c>
    </row>
    <row r="18666" spans="1:4" x14ac:dyDescent="0.25">
      <c r="A18666" t="str">
        <f>HYPERLINK("https://www.773grp.com/globalSearch/54H62J-B  LT/page-1", "54H62J-B  LT")</f>
        <v>54H62J-B  LT</v>
      </c>
      <c r="B18666" s="3" t="s">
        <v>116</v>
      </c>
      <c r="C18666" s="6">
        <v>47</v>
      </c>
      <c r="D18666" s="7">
        <v>0</v>
      </c>
    </row>
    <row r="18667" spans="1:4" x14ac:dyDescent="0.25">
      <c r="A18667" t="str">
        <f>HYPERLINK("https://www.773grp.com/globalSearch/54H72J-B/page-1", "54H72J-B")</f>
        <v>54H72J-B</v>
      </c>
      <c r="B18667" s="3" t="s">
        <v>116</v>
      </c>
      <c r="C18667" s="6">
        <v>200</v>
      </c>
      <c r="D18667" s="7">
        <v>0</v>
      </c>
    </row>
    <row r="18668" spans="1:4" x14ac:dyDescent="0.25">
      <c r="A18668" t="str">
        <f>HYPERLINK("https://www.773grp.com/globalSearch/54H73J-C  LT/page-1", "54H73J-C  LT")</f>
        <v>54H73J-C  LT</v>
      </c>
      <c r="B18668" s="3" t="s">
        <v>116</v>
      </c>
      <c r="C18668" s="6">
        <v>48</v>
      </c>
      <c r="D18668" s="7">
        <v>0</v>
      </c>
    </row>
    <row r="18669" spans="1:4" x14ac:dyDescent="0.25">
      <c r="A18669" t="str">
        <f>HYPERLINK("https://www.773grp.com/globalSearch/54H74J-C  LT/page-1", "54H74J-C  LT")</f>
        <v>54H74J-C  LT</v>
      </c>
      <c r="B18669" s="3" t="s">
        <v>116</v>
      </c>
      <c r="C18669" s="6">
        <v>50</v>
      </c>
      <c r="D18669" s="7">
        <v>0</v>
      </c>
    </row>
    <row r="18670" spans="1:4" x14ac:dyDescent="0.25">
      <c r="A18670" t="str">
        <f>HYPERLINK("https://www.773grp.com/globalSearch/54H78J-B  LT/page-1", "54H78J-B  LT")</f>
        <v>54H78J-B  LT</v>
      </c>
      <c r="B18670" s="3" t="s">
        <v>116</v>
      </c>
      <c r="C18670" s="6">
        <v>45</v>
      </c>
      <c r="D18670" s="7">
        <v>0</v>
      </c>
    </row>
    <row r="18671" spans="1:4" x14ac:dyDescent="0.25">
      <c r="A18671" t="str">
        <f>HYPERLINK("https://www.773grp.com/globalSearch/54HC194E-B  LT/page-1", "54HC194E-B  LT")</f>
        <v>54HC194E-B  LT</v>
      </c>
      <c r="B18671" s="3" t="s">
        <v>116</v>
      </c>
      <c r="C18671" s="6">
        <v>48</v>
      </c>
      <c r="D18671" s="7">
        <v>0</v>
      </c>
    </row>
    <row r="18672" spans="1:4" x14ac:dyDescent="0.25">
      <c r="A18672" t="str">
        <f>HYPERLINK("https://www.773grp.com/globalSearch/54HC238FK-B  LT/page-1", "54HC238FK-B  LT")</f>
        <v>54HC238FK-B  LT</v>
      </c>
      <c r="B18672" s="3" t="s">
        <v>116</v>
      </c>
      <c r="C18672" s="6">
        <v>48</v>
      </c>
      <c r="D18672" s="7">
        <v>0</v>
      </c>
    </row>
    <row r="18673" spans="1:4" x14ac:dyDescent="0.25">
      <c r="A18673" t="str">
        <f>HYPERLINK("https://www.773grp.com/globalSearch/54HC390J-B  LT/page-1", "54HC390J-B  LT")</f>
        <v>54HC390J-B  LT</v>
      </c>
      <c r="B18673" s="3" t="s">
        <v>116</v>
      </c>
      <c r="C18673" s="6">
        <v>48</v>
      </c>
      <c r="D18673" s="7">
        <v>0</v>
      </c>
    </row>
    <row r="18674" spans="1:4" x14ac:dyDescent="0.25">
      <c r="A18674" t="str">
        <f>HYPERLINK("https://www.773grp.com/globalSearch/54HC4049E-B  LT/page-1", "54HC4049E-B  LT")</f>
        <v>54HC4049E-B  LT</v>
      </c>
      <c r="B18674" s="3" t="s">
        <v>116</v>
      </c>
      <c r="C18674" s="6">
        <v>48</v>
      </c>
      <c r="D18674" s="7">
        <v>0</v>
      </c>
    </row>
    <row r="18675" spans="1:4" x14ac:dyDescent="0.25">
      <c r="A18675" t="str">
        <f>HYPERLINK("https://www.773grp.com/globalSearch/54HC4050E-B  LT/page-1", "54HC4050E-B  LT")</f>
        <v>54HC4050E-B  LT</v>
      </c>
      <c r="B18675" s="3" t="s">
        <v>116</v>
      </c>
      <c r="C18675" s="6">
        <v>48</v>
      </c>
      <c r="D18675" s="7">
        <v>0</v>
      </c>
    </row>
    <row r="18676" spans="1:4" x14ac:dyDescent="0.25">
      <c r="A18676" t="str">
        <f>HYPERLINK("https://www.773grp.com/globalSearch/54HC4543J-B LT/page-1", "54HC4543J-B LT")</f>
        <v>54HC4543J-B LT</v>
      </c>
      <c r="B18676" s="3" t="s">
        <v>116</v>
      </c>
      <c r="C18676" s="6">
        <v>35</v>
      </c>
      <c r="D18676" s="7">
        <v>0</v>
      </c>
    </row>
    <row r="18677" spans="1:4" x14ac:dyDescent="0.25">
      <c r="A18677" t="str">
        <f>HYPERLINK("https://www.773grp.com/globalSearch/54HC51J-B  LT/page-1", "54HC51J-B  LT")</f>
        <v>54HC51J-B  LT</v>
      </c>
      <c r="B18677" s="3" t="s">
        <v>116</v>
      </c>
      <c r="C18677" s="6">
        <v>48</v>
      </c>
      <c r="D18677" s="7">
        <v>0</v>
      </c>
    </row>
    <row r="18678" spans="1:4" x14ac:dyDescent="0.25">
      <c r="A18678" t="str">
        <f>HYPERLINK("https://www.773grp.com/globalSearch/54HC646J-B  LT/page-1", "54HC646J-B  LT")</f>
        <v>54HC646J-B  LT</v>
      </c>
      <c r="B18678" s="3" t="s">
        <v>116</v>
      </c>
      <c r="C18678" s="6">
        <v>48</v>
      </c>
      <c r="D18678" s="7">
        <v>0</v>
      </c>
    </row>
    <row r="18679" spans="1:4" x14ac:dyDescent="0.25">
      <c r="A18679" t="str">
        <f>HYPERLINK("https://www.773grp.com/globalSearch/54HC76J-B  LT/page-1", "54HC76J-B  LT")</f>
        <v>54HC76J-B  LT</v>
      </c>
      <c r="B18679" s="3" t="s">
        <v>116</v>
      </c>
      <c r="C18679" s="6">
        <v>48</v>
      </c>
      <c r="D18679" s="7">
        <v>0</v>
      </c>
    </row>
    <row r="18680" spans="1:4" x14ac:dyDescent="0.25">
      <c r="A18680" t="str">
        <f>HYPERLINK("https://www.773grp.com/globalSearch/54L04J  UT/page-1", "54L04J  UT")</f>
        <v>54L04J  UT</v>
      </c>
      <c r="B18680" s="3" t="s">
        <v>116</v>
      </c>
      <c r="C18680" s="6">
        <v>500</v>
      </c>
      <c r="D18680" s="7">
        <v>0</v>
      </c>
    </row>
    <row r="18681" spans="1:4" x14ac:dyDescent="0.25">
      <c r="A18681" t="str">
        <f>HYPERLINK("https://www.773grp.com/globalSearch/54L157J  UT/page-1", "54L157J  UT")</f>
        <v>54L157J  UT</v>
      </c>
      <c r="B18681" s="3" t="s">
        <v>116</v>
      </c>
      <c r="C18681" s="6">
        <v>318</v>
      </c>
      <c r="D18681" s="7">
        <v>0</v>
      </c>
    </row>
    <row r="18682" spans="1:4" x14ac:dyDescent="0.25">
      <c r="A18682" t="str">
        <f>HYPERLINK("https://www.773grp.com/globalSearch/54L165AJ-B  LT/page-1", "54L165AJ-B  LT")</f>
        <v>54L165AJ-B  LT</v>
      </c>
      <c r="B18682" s="3" t="s">
        <v>116</v>
      </c>
      <c r="C18682" s="6">
        <v>48</v>
      </c>
      <c r="D18682" s="7">
        <v>0</v>
      </c>
    </row>
    <row r="18683" spans="1:4" x14ac:dyDescent="0.25">
      <c r="A18683" t="str">
        <f>HYPERLINK("https://www.773grp.com/globalSearch/54L192DM-B/page-1", "54L192DM-B")</f>
        <v>54L192DM-B</v>
      </c>
      <c r="B18683" s="3" t="s">
        <v>116</v>
      </c>
      <c r="C18683" s="6">
        <v>118</v>
      </c>
      <c r="D18683" s="7">
        <v>0</v>
      </c>
    </row>
    <row r="18684" spans="1:4" x14ac:dyDescent="0.25">
      <c r="A18684" t="str">
        <f>HYPERLINK("https://www.773grp.com/globalSearch/54L193W-C  LT/page-1", "54L193W-C  LT")</f>
        <v>54L193W-C  LT</v>
      </c>
      <c r="B18684" s="3" t="s">
        <v>116</v>
      </c>
      <c r="C18684" s="6">
        <v>42</v>
      </c>
      <c r="D18684" s="7">
        <v>0</v>
      </c>
    </row>
    <row r="18685" spans="1:4" x14ac:dyDescent="0.25">
      <c r="A18685" t="str">
        <f>HYPERLINK("https://www.773grp.com/globalSearch/54L20W-C  LT/page-1", "54L20W-C  LT")</f>
        <v>54L20W-C  LT</v>
      </c>
      <c r="B18685" s="3" t="s">
        <v>116</v>
      </c>
      <c r="C18685" s="6">
        <v>45</v>
      </c>
      <c r="D18685" s="7">
        <v>0</v>
      </c>
    </row>
    <row r="18686" spans="1:4" x14ac:dyDescent="0.25">
      <c r="A18686" t="str">
        <f>HYPERLINK("https://www.773grp.com/globalSearch/54L42DM/page-1", "54L42DM")</f>
        <v>54L42DM</v>
      </c>
      <c r="B18686" s="3" t="s">
        <v>116</v>
      </c>
      <c r="C18686" s="6">
        <v>27</v>
      </c>
      <c r="D18686" s="7">
        <v>0</v>
      </c>
    </row>
    <row r="18687" spans="1:4" x14ac:dyDescent="0.25">
      <c r="A18687" t="str">
        <f>HYPERLINK("https://www.773grp.com/globalSearch/54L51FM-B  LT/page-1", "54L51FM-B  LT")</f>
        <v>54L51FM-B  LT</v>
      </c>
      <c r="B18687" s="3" t="s">
        <v>116</v>
      </c>
      <c r="C18687" s="6">
        <v>77</v>
      </c>
      <c r="D18687" s="7">
        <v>0</v>
      </c>
    </row>
    <row r="18688" spans="1:4" x14ac:dyDescent="0.25">
      <c r="A18688" t="str">
        <f>HYPERLINK("https://www.773grp.com/globalSearch/54L51J-C  LT/page-1", "54L51J-C  LT")</f>
        <v>54L51J-C  LT</v>
      </c>
      <c r="B18688" s="3" t="s">
        <v>116</v>
      </c>
      <c r="C18688" s="6">
        <v>45</v>
      </c>
      <c r="D18688" s="7">
        <v>0</v>
      </c>
    </row>
    <row r="18689" spans="1:4" x14ac:dyDescent="0.25">
      <c r="A18689" t="str">
        <f>HYPERLINK("https://www.773grp.com/globalSearch/54L55W-B  LT/page-1", "54L55W-B  LT")</f>
        <v>54L55W-B  LT</v>
      </c>
      <c r="B18689" s="3" t="s">
        <v>116</v>
      </c>
      <c r="C18689" s="6">
        <v>48</v>
      </c>
      <c r="D18689" s="7">
        <v>0</v>
      </c>
    </row>
    <row r="18690" spans="1:4" x14ac:dyDescent="0.25">
      <c r="A18690" t="str">
        <f>HYPERLINK("https://www.773grp.com/globalSearch/54L74W-B  LT/page-1", "54L74W-B  LT")</f>
        <v>54L74W-B  LT</v>
      </c>
      <c r="B18690" s="3" t="s">
        <v>116</v>
      </c>
      <c r="C18690" s="6">
        <v>48</v>
      </c>
      <c r="D18690" s="7">
        <v>0</v>
      </c>
    </row>
    <row r="18691" spans="1:4" x14ac:dyDescent="0.25">
      <c r="A18691" t="str">
        <f>HYPERLINK("https://www.773grp.com/globalSearch/54L75J-C  LT/page-1", "54L75J-C  LT")</f>
        <v>54L75J-C  LT</v>
      </c>
      <c r="B18691" s="3" t="s">
        <v>116</v>
      </c>
      <c r="C18691" s="6">
        <v>45</v>
      </c>
      <c r="D18691" s="7">
        <v>0</v>
      </c>
    </row>
    <row r="18692" spans="1:4" x14ac:dyDescent="0.25">
      <c r="A18692" t="str">
        <f>HYPERLINK("https://www.773grp.com/globalSearch/54L78FM/page-1", "54L78FM")</f>
        <v>54L78FM</v>
      </c>
      <c r="B18692" s="3" t="s">
        <v>116</v>
      </c>
      <c r="C18692" s="6">
        <v>120</v>
      </c>
      <c r="D18692" s="7">
        <v>0</v>
      </c>
    </row>
    <row r="18693" spans="1:4" x14ac:dyDescent="0.25">
      <c r="A18693" t="str">
        <f>HYPERLINK("https://www.773grp.com/globalSearch/54L85DM-C  LT/page-1", "54L85DM-C  LT")</f>
        <v>54L85DM-C  LT</v>
      </c>
      <c r="B18693" s="3" t="s">
        <v>116</v>
      </c>
      <c r="C18693" s="6">
        <v>45</v>
      </c>
      <c r="D18693" s="7">
        <v>0</v>
      </c>
    </row>
    <row r="18694" spans="1:4" x14ac:dyDescent="0.25">
      <c r="A18694" t="str">
        <f>HYPERLINK("https://www.773grp.com/globalSearch/54L85J-C  LT/page-1", "54L85J-C  LT")</f>
        <v>54L85J-C  LT</v>
      </c>
      <c r="B18694" s="3" t="s">
        <v>116</v>
      </c>
      <c r="C18694" s="6">
        <v>90</v>
      </c>
      <c r="D18694" s="7">
        <v>0</v>
      </c>
    </row>
    <row r="18695" spans="1:4" x14ac:dyDescent="0.25">
      <c r="A18695" t="str">
        <f>HYPERLINK("https://www.773grp.com/globalSearch/54L86FM-B  LT/page-1", "54L86FM-B  LT")</f>
        <v>54L86FM-B  LT</v>
      </c>
      <c r="B18695" s="3" t="s">
        <v>116</v>
      </c>
      <c r="C18695" s="6">
        <v>80</v>
      </c>
      <c r="D18695" s="7">
        <v>0</v>
      </c>
    </row>
    <row r="18696" spans="1:4" x14ac:dyDescent="0.25">
      <c r="A18696" t="str">
        <f>HYPERLINK("https://www.773grp.com/globalSearch/54LS122J-B  LT/page-1", "54LS122J-B  LT")</f>
        <v>54LS122J-B  LT</v>
      </c>
      <c r="B18696" s="3" t="s">
        <v>116</v>
      </c>
      <c r="C18696" s="6">
        <v>48</v>
      </c>
      <c r="D18696" s="7">
        <v>0</v>
      </c>
    </row>
    <row r="18697" spans="1:4" x14ac:dyDescent="0.25">
      <c r="A18697" t="str">
        <f>HYPERLINK("https://www.773grp.com/globalSearch/54LS219AJ-B  LT/page-1", "54LS219AJ-B  LT")</f>
        <v>54LS219AJ-B  LT</v>
      </c>
      <c r="B18697" s="3" t="s">
        <v>116</v>
      </c>
      <c r="C18697" s="6">
        <v>48</v>
      </c>
      <c r="D18697" s="7">
        <v>0</v>
      </c>
    </row>
    <row r="18698" spans="1:4" x14ac:dyDescent="0.25">
      <c r="A18698" t="str">
        <f>HYPERLINK("https://www.773grp.com/globalSearch/54LS22J-B/page-1", "54LS22J-B")</f>
        <v>54LS22J-B</v>
      </c>
      <c r="B18698" s="3" t="s">
        <v>116</v>
      </c>
      <c r="C18698" s="6">
        <v>80</v>
      </c>
      <c r="D18698" s="7">
        <v>0</v>
      </c>
    </row>
    <row r="18699" spans="1:4" x14ac:dyDescent="0.25">
      <c r="A18699" t="str">
        <f>HYPERLINK("https://www.773grp.com/globalSearch/54LS293J-B  LT/page-1", "54LS293J-B  LT")</f>
        <v>54LS293J-B  LT</v>
      </c>
      <c r="B18699" s="3" t="s">
        <v>116</v>
      </c>
      <c r="C18699" s="6">
        <v>48</v>
      </c>
      <c r="D18699" s="7">
        <v>0</v>
      </c>
    </row>
    <row r="18700" spans="1:4" x14ac:dyDescent="0.25">
      <c r="A18700" t="str">
        <f>HYPERLINK("https://www.773grp.com/globalSearch/54LS382AJ-B  LT/page-1", "54LS382AJ-B  LT")</f>
        <v>54LS382AJ-B  LT</v>
      </c>
      <c r="B18700" s="3" t="s">
        <v>116</v>
      </c>
      <c r="C18700" s="6">
        <v>96</v>
      </c>
      <c r="D18700" s="7">
        <v>0</v>
      </c>
    </row>
    <row r="18701" spans="1:4" x14ac:dyDescent="0.25">
      <c r="A18701" t="str">
        <f>HYPERLINK("https://www.773grp.com/globalSearch/54LS681J  UT/page-1", "54LS681J  UT")</f>
        <v>54LS681J  UT</v>
      </c>
      <c r="B18701" s="3" t="s">
        <v>116</v>
      </c>
      <c r="C18701" s="6">
        <v>391</v>
      </c>
      <c r="D18701" s="7">
        <v>0</v>
      </c>
    </row>
    <row r="18702" spans="1:4" x14ac:dyDescent="0.25">
      <c r="A18702" t="str">
        <f>HYPERLINK("https://www.773grp.com/globalSearch/54S163J-B  LT/page-1", "54S163J-B  LT")</f>
        <v>54S163J-B  LT</v>
      </c>
      <c r="B18702" s="3" t="s">
        <v>116</v>
      </c>
      <c r="C18702" s="6">
        <v>45</v>
      </c>
      <c r="D18702" s="7">
        <v>0</v>
      </c>
    </row>
    <row r="18703" spans="1:4" x14ac:dyDescent="0.25">
      <c r="A18703" t="str">
        <f>HYPERLINK("https://www.773grp.com/globalSearch/54S189J-C/page-1", "54S189J-C")</f>
        <v>54S189J-C</v>
      </c>
      <c r="B18703" s="3" t="s">
        <v>116</v>
      </c>
      <c r="C18703" s="6">
        <v>45</v>
      </c>
      <c r="D18703" s="7">
        <v>0</v>
      </c>
    </row>
    <row r="18704" spans="1:4" x14ac:dyDescent="0.25">
      <c r="A18704" t="str">
        <f>HYPERLINK("https://www.773grp.com/globalSearch/54S189J-C  LT/page-1", "54S189J-C  LT")</f>
        <v>54S189J-C  LT</v>
      </c>
      <c r="B18704" s="3" t="s">
        <v>116</v>
      </c>
      <c r="C18704" s="6">
        <v>36</v>
      </c>
      <c r="D18704" s="7">
        <v>0</v>
      </c>
    </row>
    <row r="18705" spans="1:4" x14ac:dyDescent="0.25">
      <c r="A18705" t="str">
        <f>HYPERLINK("https://www.773grp.com/globalSearch/54S253DM-B  LT/page-1", "54S253DM-B  LT")</f>
        <v>54S253DM-B  LT</v>
      </c>
      <c r="B18705" s="3" t="s">
        <v>116</v>
      </c>
      <c r="C18705" s="6">
        <v>48</v>
      </c>
      <c r="D18705" s="7">
        <v>0</v>
      </c>
    </row>
    <row r="18706" spans="1:4" x14ac:dyDescent="0.25">
      <c r="A18706" t="str">
        <f>HYPERLINK("https://www.773grp.com/globalSearch/54S482AJ-B  LT/page-1", "54S482AJ-B  LT")</f>
        <v>54S482AJ-B  LT</v>
      </c>
      <c r="B18706" s="3" t="s">
        <v>116</v>
      </c>
      <c r="C18706" s="6">
        <v>96</v>
      </c>
      <c r="D18706" s="7">
        <v>0</v>
      </c>
    </row>
    <row r="18707" spans="1:4" x14ac:dyDescent="0.25">
      <c r="A18707" t="str">
        <f>HYPERLINK("https://www.773grp.com/globalSearch/55119JG-B  LT/page-1", "55119JG-B  LT")</f>
        <v>55119JG-B  LT</v>
      </c>
      <c r="B18707" s="3" t="s">
        <v>116</v>
      </c>
      <c r="C18707" s="6">
        <v>48</v>
      </c>
      <c r="D18707" s="7">
        <v>0</v>
      </c>
    </row>
    <row r="18708" spans="1:4" x14ac:dyDescent="0.25">
      <c r="A18708" t="str">
        <f>HYPERLINK("https://www.773grp.com/globalSearch/55142AJ-B  LT/page-1", "55142AJ-B  LT")</f>
        <v>55142AJ-B  LT</v>
      </c>
      <c r="B18708" s="3" t="s">
        <v>116</v>
      </c>
      <c r="C18708" s="6">
        <v>47</v>
      </c>
      <c r="D18708" s="7">
        <v>0</v>
      </c>
    </row>
    <row r="18709" spans="1:4" x14ac:dyDescent="0.25">
      <c r="A18709" t="str">
        <f>HYPERLINK("https://www.773grp.com/globalSearch/55234J-B  LT/page-1", "55234J-B  LT")</f>
        <v>55234J-B  LT</v>
      </c>
      <c r="B18709" s="3" t="s">
        <v>116</v>
      </c>
      <c r="C18709" s="6">
        <v>48</v>
      </c>
      <c r="D18709" s="7">
        <v>0</v>
      </c>
    </row>
    <row r="18710" spans="1:4" x14ac:dyDescent="0.25">
      <c r="A18710" t="str">
        <f>HYPERLINK("https://www.773grp.com/globalSearch/55365J-B  LT/page-1", "55365J-B  LT")</f>
        <v>55365J-B  LT</v>
      </c>
      <c r="B18710" s="3" t="s">
        <v>116</v>
      </c>
      <c r="C18710" s="6">
        <v>47</v>
      </c>
      <c r="D18710" s="7">
        <v>0</v>
      </c>
    </row>
    <row r="18711" spans="1:4" x14ac:dyDescent="0.25">
      <c r="A18711" t="str">
        <f>HYPERLINK("https://www.773grp.com/globalSearch/55365J-C  LT/page-1", "55365J-C  LT")</f>
        <v>55365J-C  LT</v>
      </c>
      <c r="B18711" s="3" t="s">
        <v>116</v>
      </c>
      <c r="C18711" s="6">
        <v>44</v>
      </c>
      <c r="D18711" s="7">
        <v>0</v>
      </c>
    </row>
    <row r="18712" spans="1:4" x14ac:dyDescent="0.25">
      <c r="A18712" t="str">
        <f>HYPERLINK("https://www.773grp.com/globalSearch/55460J-C  LT/page-1", "55460J-C  LT")</f>
        <v>55460J-C  LT</v>
      </c>
      <c r="B18712" s="3" t="s">
        <v>116</v>
      </c>
      <c r="C18712" s="6">
        <v>35</v>
      </c>
      <c r="D18712" s="7">
        <v>0</v>
      </c>
    </row>
    <row r="18713" spans="1:4" x14ac:dyDescent="0.25">
      <c r="A18713" t="str">
        <f>HYPERLINK("https://www.773grp.com/globalSearch/5962-8501002YA  UT/page-1", "5962-8501002YA  UT")</f>
        <v>5962-8501002YA  UT</v>
      </c>
      <c r="B18713" s="3" t="s">
        <v>116</v>
      </c>
      <c r="C18713" s="6">
        <v>96</v>
      </c>
      <c r="D18713" s="7">
        <v>0</v>
      </c>
    </row>
    <row r="18714" spans="1:4" x14ac:dyDescent="0.25">
      <c r="A18714" t="str">
        <f>HYPERLINK("https://www.773grp.com/globalSearch/618624-1/page-1", "618624-1")</f>
        <v>618624-1</v>
      </c>
      <c r="B18714" s="3" t="s">
        <v>116</v>
      </c>
      <c r="C18714" s="6">
        <v>134</v>
      </c>
      <c r="D18714" s="7">
        <v>0</v>
      </c>
    </row>
    <row r="18715" spans="1:4" x14ac:dyDescent="0.25">
      <c r="A18715" t="str">
        <f>HYPERLINK("https://www.773grp.com/globalSearch/7123J-C  LT/page-1", "7123J-C  LT")</f>
        <v>7123J-C  LT</v>
      </c>
      <c r="B18715" s="3" t="s">
        <v>116</v>
      </c>
      <c r="C18715" s="6">
        <v>40</v>
      </c>
      <c r="D18715" s="7">
        <v>0</v>
      </c>
    </row>
    <row r="18716" spans="1:4" x14ac:dyDescent="0.25">
      <c r="A18716" t="str">
        <f>HYPERLINK("https://www.773grp.com/globalSearch/7160J-B  LT/page-1", "7160J-B  LT")</f>
        <v>7160J-B  LT</v>
      </c>
      <c r="B18716" s="3" t="s">
        <v>116</v>
      </c>
      <c r="C18716" s="6">
        <v>45</v>
      </c>
      <c r="D18716" s="7">
        <v>0</v>
      </c>
    </row>
    <row r="18717" spans="1:4" x14ac:dyDescent="0.25">
      <c r="A18717" t="str">
        <f>HYPERLINK("https://www.773grp.com/globalSearch/74ALS29809NT  UT/page-1", "74ALS29809NT  UT")</f>
        <v>74ALS29809NT  UT</v>
      </c>
      <c r="B18717" s="3" t="s">
        <v>116</v>
      </c>
      <c r="C18717" s="6">
        <v>970</v>
      </c>
      <c r="D18717" s="7">
        <v>0</v>
      </c>
    </row>
    <row r="18718" spans="1:4" x14ac:dyDescent="0.25">
      <c r="A18718" t="str">
        <f>HYPERLINK("https://www.773grp.com/globalSearch/74H106PC/page-1", "74H106PC")</f>
        <v>74H106PC</v>
      </c>
      <c r="B18718" s="3" t="s">
        <v>116</v>
      </c>
      <c r="C18718" s="6">
        <v>61</v>
      </c>
      <c r="D18718" s="7">
        <v>0</v>
      </c>
    </row>
    <row r="18719" spans="1:4" x14ac:dyDescent="0.25">
      <c r="A18719" t="str">
        <f>HYPERLINK("https://www.773grp.com/globalSearch/74LS384N  UT/page-1", "74LS384N  UT")</f>
        <v>74LS384N  UT</v>
      </c>
      <c r="B18719" s="3" t="s">
        <v>116</v>
      </c>
      <c r="C18719" s="6">
        <v>1166</v>
      </c>
      <c r="D18719" s="7">
        <v>0</v>
      </c>
    </row>
    <row r="18720" spans="1:4" x14ac:dyDescent="0.25">
      <c r="A18720" t="str">
        <f>HYPERLINK("https://www.773grp.com/globalSearch/74LS671N  UT/page-1", "74LS671N  UT")</f>
        <v>74LS671N  UT</v>
      </c>
      <c r="B18720" s="3" t="s">
        <v>116</v>
      </c>
      <c r="C18720" s="6">
        <v>1617</v>
      </c>
      <c r="D18720" s="7">
        <v>0</v>
      </c>
    </row>
    <row r="18721" spans="1:4" x14ac:dyDescent="0.25">
      <c r="A18721" t="str">
        <f>HYPERLINK("https://www.773grp.com/globalSearch/74S22SC  UT/page-1", "74S22SC  UT")</f>
        <v>74S22SC  UT</v>
      </c>
      <c r="B18721" s="3" t="s">
        <v>116</v>
      </c>
      <c r="C18721" s="6">
        <v>865</v>
      </c>
      <c r="D18721" s="7">
        <v>0</v>
      </c>
    </row>
    <row r="18722" spans="1:4" x14ac:dyDescent="0.25">
      <c r="A18722" t="str">
        <f>HYPERLINK("https://www.773grp.com/globalSearch/7556J-C  LT/page-1", "7556J-C  LT")</f>
        <v>7556J-C  LT</v>
      </c>
      <c r="B18722" s="3" t="s">
        <v>116</v>
      </c>
      <c r="C18722" s="6">
        <v>25</v>
      </c>
      <c r="D18722" s="7">
        <v>0</v>
      </c>
    </row>
    <row r="18723" spans="1:4" x14ac:dyDescent="0.25">
      <c r="A18723" t="str">
        <f>HYPERLINK("https://www.773grp.com/globalSearch/7641DM-C  LT/page-1", "7641DM-C  LT")</f>
        <v>7641DM-C  LT</v>
      </c>
      <c r="B18723" s="3" t="s">
        <v>116</v>
      </c>
      <c r="C18723" s="6">
        <v>45</v>
      </c>
      <c r="D18723" s="7">
        <v>0</v>
      </c>
    </row>
    <row r="18724" spans="1:4" x14ac:dyDescent="0.25">
      <c r="A18724" t="str">
        <f>HYPERLINK("https://www.773grp.com/globalSearch/79M06ML-B  LT/page-1", "79M06ML-B  LT")</f>
        <v>79M06ML-B  LT</v>
      </c>
      <c r="B18724" s="3" t="s">
        <v>116</v>
      </c>
      <c r="C18724" s="6">
        <v>45</v>
      </c>
      <c r="D18724" s="7">
        <v>0</v>
      </c>
    </row>
    <row r="18725" spans="1:4" x14ac:dyDescent="0.25">
      <c r="A18725" t="str">
        <f>HYPERLINK("https://www.773grp.com/globalSearch/7C909-40FK-B  UT/page-1", "7C909-40FK-B  UT")</f>
        <v>7C909-40FK-B  UT</v>
      </c>
      <c r="B18725" s="3" t="s">
        <v>116</v>
      </c>
      <c r="C18725" s="6">
        <v>181</v>
      </c>
      <c r="D18725" s="7">
        <v>0</v>
      </c>
    </row>
    <row r="18726" spans="1:4" x14ac:dyDescent="0.25">
      <c r="A18726" t="str">
        <f>HYPERLINK("https://www.773grp.com/globalSearch/9004FM-B  UT/page-1", "9004FM-B  UT")</f>
        <v>9004FM-B  UT</v>
      </c>
      <c r="B18726" s="3" t="s">
        <v>116</v>
      </c>
      <c r="C18726" s="6">
        <v>583</v>
      </c>
      <c r="D18726" s="7">
        <v>0</v>
      </c>
    </row>
    <row r="18727" spans="1:4" x14ac:dyDescent="0.25">
      <c r="A18727" t="str">
        <f>HYPERLINK("https://www.773grp.com/globalSearch/9009DM-C  LT/page-1", "9009DM-C  LT")</f>
        <v>9009DM-C  LT</v>
      </c>
      <c r="B18727" s="3" t="s">
        <v>116</v>
      </c>
      <c r="C18727" s="6">
        <v>45</v>
      </c>
      <c r="D18727" s="7">
        <v>0</v>
      </c>
    </row>
    <row r="18728" spans="1:4" x14ac:dyDescent="0.25">
      <c r="A18728" t="str">
        <f>HYPERLINK("https://www.773grp.com/globalSearch/9014DM-B  LT/page-1", "9014DM-B  LT")</f>
        <v>9014DM-B  LT</v>
      </c>
      <c r="B18728" s="3" t="s">
        <v>116</v>
      </c>
      <c r="C18728" s="6">
        <v>93</v>
      </c>
      <c r="D18728" s="7">
        <v>0</v>
      </c>
    </row>
    <row r="18729" spans="1:4" x14ac:dyDescent="0.25">
      <c r="A18729" t="str">
        <f>HYPERLINK("https://www.773grp.com/globalSearch/9015  PROGRAM/page-1", "9015  PROGRAM")</f>
        <v>9015  PROGRAM</v>
      </c>
      <c r="B18729" s="3" t="s">
        <v>116</v>
      </c>
      <c r="C18729" s="6">
        <v>1</v>
      </c>
      <c r="D18729" s="7">
        <v>0</v>
      </c>
    </row>
    <row r="18730" spans="1:4" x14ac:dyDescent="0.25">
      <c r="A18730" t="str">
        <f>HYPERLINK("https://www.773grp.com/globalSearch/9015DM-B/page-1", "9015DM-B")</f>
        <v>9015DM-B</v>
      </c>
      <c r="B18730" s="3" t="s">
        <v>116</v>
      </c>
      <c r="C18730" s="6">
        <v>760</v>
      </c>
      <c r="D18730" s="7">
        <v>0</v>
      </c>
    </row>
    <row r="18731" spans="1:4" x14ac:dyDescent="0.25">
      <c r="A18731" t="str">
        <f>HYPERLINK("https://www.773grp.com/globalSearch/9016FM  UT/page-1", "9016FM  UT")</f>
        <v>9016FM  UT</v>
      </c>
      <c r="B18731" s="3" t="s">
        <v>116</v>
      </c>
      <c r="C18731" s="6">
        <v>239</v>
      </c>
      <c r="D18731" s="7">
        <v>0</v>
      </c>
    </row>
    <row r="18732" spans="1:4" x14ac:dyDescent="0.25">
      <c r="A18732" t="str">
        <f>HYPERLINK("https://www.773grp.com/globalSearch/9020DM-B  LT/page-1", "9020DM-B  LT")</f>
        <v>9020DM-B  LT</v>
      </c>
      <c r="B18732" s="3" t="s">
        <v>116</v>
      </c>
      <c r="C18732" s="6">
        <v>47</v>
      </c>
      <c r="D18732" s="7">
        <v>0</v>
      </c>
    </row>
    <row r="18733" spans="1:4" x14ac:dyDescent="0.25">
      <c r="A18733" t="str">
        <f>HYPERLINK("https://www.773grp.com/globalSearch/9022DM-B  LT/page-1", "9022DM-B  LT")</f>
        <v>9022DM-B  LT</v>
      </c>
      <c r="B18733" s="3" t="s">
        <v>116</v>
      </c>
      <c r="C18733" s="6">
        <v>45</v>
      </c>
      <c r="D18733" s="7">
        <v>0</v>
      </c>
    </row>
    <row r="18734" spans="1:4" x14ac:dyDescent="0.25">
      <c r="A18734" t="str">
        <f>HYPERLINK("https://www.773grp.com/globalSearch/9094DM UT/page-1", "9094DM UT")</f>
        <v>9094DM UT</v>
      </c>
      <c r="B18734" s="3" t="s">
        <v>116</v>
      </c>
      <c r="C18734" s="6">
        <v>755</v>
      </c>
      <c r="D18734" s="7">
        <v>0</v>
      </c>
    </row>
    <row r="18735" spans="1:4" x14ac:dyDescent="0.25">
      <c r="A18735" t="str">
        <f>HYPERLINK("https://www.773grp.com/globalSearch/9097DM-C  LT/page-1", "9097DM-C  LT")</f>
        <v>9097DM-C  LT</v>
      </c>
      <c r="B18735" s="3" t="s">
        <v>116</v>
      </c>
      <c r="C18735" s="6">
        <v>50</v>
      </c>
      <c r="D18735" s="7">
        <v>0</v>
      </c>
    </row>
    <row r="18736" spans="1:4" x14ac:dyDescent="0.25">
      <c r="A18736" t="str">
        <f>HYPERLINK("https://www.773grp.com/globalSearch/910HM-B  LT/page-1", "910HM-B  LT")</f>
        <v>910HM-B  LT</v>
      </c>
      <c r="B18736" s="3" t="s">
        <v>116</v>
      </c>
      <c r="C18736" s="6">
        <v>45</v>
      </c>
      <c r="D18736" s="7">
        <v>0</v>
      </c>
    </row>
    <row r="18737" spans="1:4" x14ac:dyDescent="0.25">
      <c r="A18737" t="str">
        <f>HYPERLINK("https://www.773grp.com/globalSearch/9110DM  UT/page-1", "9110DM  UT")</f>
        <v>9110DM  UT</v>
      </c>
      <c r="B18737" s="3" t="s">
        <v>116</v>
      </c>
      <c r="C18737" s="6">
        <v>510</v>
      </c>
      <c r="D18737" s="7">
        <v>0</v>
      </c>
    </row>
    <row r="18738" spans="1:4" x14ac:dyDescent="0.25">
      <c r="A18738" t="str">
        <f>HYPERLINK("https://www.773grp.com/globalSearch/915HM-C  LT/page-1", "915HM-C  LT")</f>
        <v>915HM-C  LT</v>
      </c>
      <c r="B18738" s="3" t="s">
        <v>116</v>
      </c>
      <c r="C18738" s="6">
        <v>45</v>
      </c>
      <c r="D18738" s="7">
        <v>0</v>
      </c>
    </row>
    <row r="18739" spans="1:4" x14ac:dyDescent="0.25">
      <c r="A18739" t="str">
        <f>HYPERLINK("https://www.773grp.com/globalSearch/927HM-B  LT/page-1", "927HM-B  LT")</f>
        <v>927HM-B  LT</v>
      </c>
      <c r="B18739" s="3" t="s">
        <v>116</v>
      </c>
      <c r="C18739" s="6">
        <v>30</v>
      </c>
      <c r="D18739" s="7">
        <v>0</v>
      </c>
    </row>
    <row r="18740" spans="1:4" x14ac:dyDescent="0.25">
      <c r="A18740" t="str">
        <f>HYPERLINK("https://www.773grp.com/globalSearch/9307DM-B  LT/page-1", "9307DM-B  LT")</f>
        <v>9307DM-B  LT</v>
      </c>
      <c r="B18740" s="3" t="s">
        <v>116</v>
      </c>
      <c r="C18740" s="6">
        <v>45</v>
      </c>
      <c r="D18740" s="7">
        <v>0</v>
      </c>
    </row>
    <row r="18741" spans="1:4" x14ac:dyDescent="0.25">
      <c r="A18741" t="str">
        <f>HYPERLINK("https://www.773grp.com/globalSearch/9307FM-B  LT/page-1", "9307FM-B  LT")</f>
        <v>9307FM-B  LT</v>
      </c>
      <c r="B18741" s="3" t="s">
        <v>116</v>
      </c>
      <c r="C18741" s="6">
        <v>5</v>
      </c>
      <c r="D18741" s="7">
        <v>0</v>
      </c>
    </row>
    <row r="18742" spans="1:4" x14ac:dyDescent="0.25">
      <c r="A18742" t="str">
        <f>HYPERLINK("https://www.773grp.com/globalSearch/9310DM-C  LT/page-1", "9310DM-C  LT")</f>
        <v>9310DM-C  LT</v>
      </c>
      <c r="B18742" s="3" t="s">
        <v>116</v>
      </c>
      <c r="C18742" s="6">
        <v>45</v>
      </c>
      <c r="D18742" s="7">
        <v>0</v>
      </c>
    </row>
    <row r="18743" spans="1:4" x14ac:dyDescent="0.25">
      <c r="A18743" t="str">
        <f>HYPERLINK("https://www.773grp.com/globalSearch/9319DM-B  LT/page-1", "9319DM-B  LT")</f>
        <v>9319DM-B  LT</v>
      </c>
      <c r="B18743" s="3" t="s">
        <v>116</v>
      </c>
      <c r="C18743" s="6">
        <v>45</v>
      </c>
      <c r="D18743" s="7">
        <v>0</v>
      </c>
    </row>
    <row r="18744" spans="1:4" x14ac:dyDescent="0.25">
      <c r="A18744" t="str">
        <f>HYPERLINK("https://www.773grp.com/globalSearch/932913-1B  LT/page-1", "932913-1B  LT")</f>
        <v>932913-1B  LT</v>
      </c>
      <c r="B18744" s="3" t="s">
        <v>116</v>
      </c>
      <c r="C18744" s="6">
        <v>45</v>
      </c>
      <c r="D18744" s="7">
        <v>0</v>
      </c>
    </row>
    <row r="18745" spans="1:4" x14ac:dyDescent="0.25">
      <c r="A18745" t="str">
        <f>HYPERLINK("https://www.773grp.com/globalSearch/93419DM-B  LT/page-1", "93419DM-B  LT")</f>
        <v>93419DM-B  LT</v>
      </c>
      <c r="B18745" s="3" t="s">
        <v>116</v>
      </c>
      <c r="C18745" s="6">
        <v>85</v>
      </c>
      <c r="D18745" s="7">
        <v>0</v>
      </c>
    </row>
    <row r="18746" spans="1:4" x14ac:dyDescent="0.25">
      <c r="A18746" t="str">
        <f>HYPERLINK("https://www.773grp.com/globalSearch/93H72DC/page-1", "93H72DC")</f>
        <v>93H72DC</v>
      </c>
      <c r="B18746" s="3" t="s">
        <v>116</v>
      </c>
      <c r="C18746" s="6">
        <v>24</v>
      </c>
      <c r="D18746" s="7">
        <v>0</v>
      </c>
    </row>
    <row r="18747" spans="1:4" x14ac:dyDescent="0.25">
      <c r="A18747" t="str">
        <f>HYPERLINK("https://www.773grp.com/globalSearch/93L01DM-B  LT/page-1", "93L01DM-B  LT")</f>
        <v>93L01DM-B  LT</v>
      </c>
      <c r="B18747" s="3" t="s">
        <v>116</v>
      </c>
      <c r="C18747" s="6">
        <v>48</v>
      </c>
      <c r="D18747" s="7">
        <v>0</v>
      </c>
    </row>
    <row r="18748" spans="1:4" x14ac:dyDescent="0.25">
      <c r="A18748" t="str">
        <f>HYPERLINK("https://www.773grp.com/globalSearch/93L01DM-B  UT/page-1", "93L01DM-B  UT")</f>
        <v>93L01DM-B  UT</v>
      </c>
      <c r="B18748" s="3" t="s">
        <v>116</v>
      </c>
      <c r="C18748" s="6">
        <v>35</v>
      </c>
      <c r="D18748" s="7">
        <v>0</v>
      </c>
    </row>
    <row r="18749" spans="1:4" x14ac:dyDescent="0.25">
      <c r="A18749" t="str">
        <f>HYPERLINK("https://www.773grp.com/globalSearch/93L16DM-B  LT/page-1", "93L16DM-B  LT")</f>
        <v>93L16DM-B  LT</v>
      </c>
      <c r="B18749" s="3" t="s">
        <v>116</v>
      </c>
      <c r="C18749" s="6">
        <v>77</v>
      </c>
      <c r="D18749" s="7">
        <v>0</v>
      </c>
    </row>
    <row r="18750" spans="1:4" x14ac:dyDescent="0.25">
      <c r="A18750" t="str">
        <f>HYPERLINK("https://www.773grp.com/globalSearch/93S46DM-B/page-1", "93S46DM-B")</f>
        <v>93S46DM-B</v>
      </c>
      <c r="B18750" s="3" t="s">
        <v>116</v>
      </c>
      <c r="C18750" s="6">
        <v>45</v>
      </c>
      <c r="D18750" s="7">
        <v>0</v>
      </c>
    </row>
    <row r="18751" spans="1:4" x14ac:dyDescent="0.25">
      <c r="A18751" t="str">
        <f>HYPERLINK("https://www.773grp.com/globalSearch/93Z665DM-B-45/page-1", "93Z665DM-B-45")</f>
        <v>93Z665DM-B-45</v>
      </c>
      <c r="B18751" s="3" t="s">
        <v>116</v>
      </c>
      <c r="C18751" s="6">
        <v>144</v>
      </c>
      <c r="D18751" s="7">
        <v>0</v>
      </c>
    </row>
    <row r="18752" spans="1:4" x14ac:dyDescent="0.25">
      <c r="A18752" t="str">
        <f>HYPERLINK("https://www.773grp.com/globalSearch/946HM-C  LT/page-1", "946HM-C  LT")</f>
        <v>946HM-C  LT</v>
      </c>
      <c r="B18752" s="3" t="s">
        <v>116</v>
      </c>
      <c r="C18752" s="6">
        <v>45</v>
      </c>
      <c r="D18752" s="7">
        <v>0</v>
      </c>
    </row>
    <row r="18753" spans="1:4" x14ac:dyDescent="0.25">
      <c r="A18753" t="str">
        <f>HYPERLINK("https://www.773grp.com/globalSearch/951G-C  LT/page-1", "951G-C  LT")</f>
        <v>951G-C  LT</v>
      </c>
      <c r="B18753" s="3" t="s">
        <v>116</v>
      </c>
      <c r="C18753" s="6">
        <v>48</v>
      </c>
      <c r="D18753" s="7">
        <v>0</v>
      </c>
    </row>
    <row r="18754" spans="1:4" x14ac:dyDescent="0.25">
      <c r="A18754" t="str">
        <f>HYPERLINK("https://www.773grp.com/globalSearch/9600DM-B/page-1", "9600DM-B")</f>
        <v>9600DM-B</v>
      </c>
      <c r="B18754" s="3" t="s">
        <v>116</v>
      </c>
      <c r="C18754" s="6">
        <v>104</v>
      </c>
      <c r="D18754" s="7">
        <v>0</v>
      </c>
    </row>
    <row r="18755" spans="1:4" x14ac:dyDescent="0.25">
      <c r="A18755" t="str">
        <f>HYPERLINK("https://www.773grp.com/globalSearch/9600DM-B  LT/page-1", "9600DM-B  LT")</f>
        <v>9600DM-B  LT</v>
      </c>
      <c r="B18755" s="3" t="s">
        <v>116</v>
      </c>
      <c r="C18755" s="6">
        <v>45</v>
      </c>
      <c r="D18755" s="7">
        <v>0</v>
      </c>
    </row>
    <row r="18756" spans="1:4" x14ac:dyDescent="0.25">
      <c r="A18756" t="str">
        <f>HYPERLINK("https://www.773grp.com/globalSearch/96101DM-R  LT/page-1", "96101DM-R  LT")</f>
        <v>96101DM-R  LT</v>
      </c>
      <c r="B18756" s="3" t="s">
        <v>116</v>
      </c>
      <c r="C18756" s="6">
        <v>45</v>
      </c>
      <c r="D18756" s="7">
        <v>0</v>
      </c>
    </row>
    <row r="18757" spans="1:4" x14ac:dyDescent="0.25">
      <c r="A18757" t="str">
        <f>HYPERLINK("https://www.773grp.com/globalSearch/96106DM-B  LT/page-1", "96106DM-B  LT")</f>
        <v>96106DM-B  LT</v>
      </c>
      <c r="B18757" s="3" t="s">
        <v>116</v>
      </c>
      <c r="C18757" s="6">
        <v>50</v>
      </c>
      <c r="D18757" s="7">
        <v>0</v>
      </c>
    </row>
    <row r="18758" spans="1:4" x14ac:dyDescent="0.25">
      <c r="A18758" t="str">
        <f>HYPERLINK("https://www.773grp.com/globalSearch/9620DM-B/page-1", "9620DM-B")</f>
        <v>9620DM-B</v>
      </c>
      <c r="B18758" s="3" t="s">
        <v>116</v>
      </c>
      <c r="C18758" s="6">
        <v>48</v>
      </c>
      <c r="D18758" s="7">
        <v>0</v>
      </c>
    </row>
    <row r="18759" spans="1:4" x14ac:dyDescent="0.25">
      <c r="A18759" t="str">
        <f>HYPERLINK("https://www.773grp.com/globalSearch/9621PC  UT/page-1", "9621PC  UT")</f>
        <v>9621PC  UT</v>
      </c>
      <c r="B18759" s="3" t="s">
        <v>116</v>
      </c>
      <c r="C18759" s="6">
        <v>2456</v>
      </c>
      <c r="D18759" s="7">
        <v>0</v>
      </c>
    </row>
    <row r="18760" spans="1:4" x14ac:dyDescent="0.25">
      <c r="A18760" t="str">
        <f>HYPERLINK("https://www.773grp.com/globalSearch/963DM-B  LT/page-1", "963DM-B  LT")</f>
        <v>963DM-B  LT</v>
      </c>
      <c r="B18760" s="3" t="s">
        <v>116</v>
      </c>
      <c r="C18760" s="6">
        <v>44</v>
      </c>
      <c r="D18760" s="7">
        <v>0</v>
      </c>
    </row>
    <row r="18761" spans="1:4" x14ac:dyDescent="0.25">
      <c r="A18761" t="str">
        <f>HYPERLINK("https://www.773grp.com/globalSearch/9L24DM-B  LT/page-1", "9L24DM-B  LT")</f>
        <v>9L24DM-B  LT</v>
      </c>
      <c r="B18761" s="3" t="s">
        <v>116</v>
      </c>
      <c r="C18761" s="6">
        <v>75</v>
      </c>
      <c r="D18761" s="7">
        <v>0</v>
      </c>
    </row>
    <row r="18762" spans="1:4" x14ac:dyDescent="0.25">
      <c r="A18762" t="str">
        <f>HYPERLINK("https://www.773grp.com/globalSearch/9S41DM-B  LT/page-1", "9S41DM-B  LT")</f>
        <v>9S41DM-B  LT</v>
      </c>
      <c r="B18762" s="3" t="s">
        <v>116</v>
      </c>
      <c r="C18762" s="6">
        <v>45</v>
      </c>
      <c r="D18762" s="7">
        <v>0</v>
      </c>
    </row>
    <row r="18763" spans="1:4" x14ac:dyDescent="0.25">
      <c r="A18763" t="str">
        <f>HYPERLINK("https://www.773grp.com/globalSearch/9S42DM-C  LT/page-1", "9S42DM-C  LT")</f>
        <v>9S42DM-C  LT</v>
      </c>
      <c r="B18763" s="3" t="s">
        <v>116</v>
      </c>
      <c r="C18763" s="6">
        <v>45</v>
      </c>
      <c r="D18763" s="7">
        <v>0</v>
      </c>
    </row>
    <row r="18764" spans="1:4" x14ac:dyDescent="0.25">
      <c r="A18764" t="str">
        <f>HYPERLINK("https://www.773grp.com/globalSearch/CRT9128-000P/page-1", "CRT9128-000P")</f>
        <v>CRT9128-000P</v>
      </c>
      <c r="B18764" s="3" t="s">
        <v>116</v>
      </c>
      <c r="C18764" s="6">
        <v>922</v>
      </c>
      <c r="D18764" s="7">
        <v>0</v>
      </c>
    </row>
    <row r="18765" spans="1:4" x14ac:dyDescent="0.25">
      <c r="A18765" t="str">
        <f>HYPERLINK("https://www.773grp.com/globalSearch/D139AP-C  LT/page-1", "D139AP-C  LT")</f>
        <v>D139AP-C  LT</v>
      </c>
      <c r="B18765" s="3" t="s">
        <v>116</v>
      </c>
      <c r="C18765" s="6">
        <v>45</v>
      </c>
      <c r="D18765" s="7">
        <v>0</v>
      </c>
    </row>
    <row r="18766" spans="1:4" x14ac:dyDescent="0.25">
      <c r="A18766" t="str">
        <f>HYPERLINK("https://www.773grp.com/globalSearch/DM8131N/page-1", "DM8131N")</f>
        <v>DM8131N</v>
      </c>
      <c r="B18766" s="3" t="s">
        <v>116</v>
      </c>
      <c r="C18766" s="6">
        <v>640</v>
      </c>
      <c r="D18766" s="7">
        <v>0</v>
      </c>
    </row>
    <row r="18767" spans="1:4" x14ac:dyDescent="0.25">
      <c r="A18767" t="str">
        <f>HYPERLINK("https://www.773grp.com/globalSearch/DS3687N  UT/page-1", "DS3687N  UT")</f>
        <v>DS3687N  UT</v>
      </c>
      <c r="B18767" s="3" t="s">
        <v>116</v>
      </c>
      <c r="C18767" s="6">
        <v>1805</v>
      </c>
      <c r="D18767" s="7">
        <v>0</v>
      </c>
    </row>
    <row r="18768" spans="1:4" x14ac:dyDescent="0.25">
      <c r="A18768" t="str">
        <f>HYPERLINK("https://www.773grp.com/globalSearch/LM106W-C  LT/page-1", "LM106W-C  LT")</f>
        <v>LM106W-C  LT</v>
      </c>
      <c r="B18768" s="3" t="s">
        <v>116</v>
      </c>
      <c r="C18768" s="6">
        <v>45</v>
      </c>
      <c r="D18768" s="7">
        <v>0</v>
      </c>
    </row>
    <row r="18769" spans="1:4" x14ac:dyDescent="0.25">
      <c r="A18769" t="str">
        <f>HYPERLINK("https://www.773grp.com/globalSearch/LM192H-C  LT/page-1", "LM192H-C  LT")</f>
        <v>LM192H-C  LT</v>
      </c>
      <c r="B18769" s="3" t="s">
        <v>116</v>
      </c>
      <c r="C18769" s="6">
        <v>45</v>
      </c>
      <c r="D18769" s="7">
        <v>0</v>
      </c>
    </row>
    <row r="18770" spans="1:4" x14ac:dyDescent="0.25">
      <c r="A18770" t="str">
        <f>HYPERLINK("https://www.773grp.com/globalSearch/MC10525L UT/page-1", "MC10525L UT")</f>
        <v>MC10525L UT</v>
      </c>
      <c r="B18770" s="3" t="s">
        <v>116</v>
      </c>
      <c r="C18770" s="6">
        <v>1279</v>
      </c>
      <c r="D18770" s="7">
        <v>0</v>
      </c>
    </row>
    <row r="18771" spans="1:4" x14ac:dyDescent="0.25">
      <c r="A18771" t="str">
        <f>HYPERLINK("https://www.773grp.com/globalSearch/MC503L  UT/page-1", "MC503L  UT")</f>
        <v>MC503L  UT</v>
      </c>
      <c r="B18771" s="3" t="s">
        <v>116</v>
      </c>
      <c r="C18771" s="6">
        <v>921</v>
      </c>
      <c r="D18771" s="7">
        <v>0</v>
      </c>
    </row>
    <row r="18772" spans="1:4" x14ac:dyDescent="0.25">
      <c r="A18772" t="str">
        <f>HYPERLINK("https://www.773grp.com/globalSearch/MD8080A-C  LT/page-1", "MD8080A-C  LT")</f>
        <v>MD8080A-C  LT</v>
      </c>
      <c r="B18772" s="3" t="s">
        <v>116</v>
      </c>
      <c r="C18772" s="6">
        <v>45</v>
      </c>
      <c r="D18772" s="7">
        <v>0</v>
      </c>
    </row>
    <row r="18773" spans="1:4" x14ac:dyDescent="0.25">
      <c r="A18773" t="str">
        <f>HYPERLINK("https://www.773grp.com/globalSearch/MD8155-B  LT/page-1", "MD8155-B  LT")</f>
        <v>MD8155-B  LT</v>
      </c>
      <c r="B18773" s="3" t="s">
        <v>116</v>
      </c>
      <c r="C18773" s="6">
        <v>48</v>
      </c>
      <c r="D18773" s="7">
        <v>0</v>
      </c>
    </row>
    <row r="18774" spans="1:4" x14ac:dyDescent="0.25">
      <c r="A18774" t="str">
        <f>HYPERLINK("https://www.773grp.com/globalSearch/PAL20L10-25MJT-B  LT/page-1", "PAL20L10-25MJT-B  LT")</f>
        <v>PAL20L10-25MJT-B  LT</v>
      </c>
      <c r="B18774" s="3" t="s">
        <v>116</v>
      </c>
      <c r="C18774" s="6">
        <v>48</v>
      </c>
      <c r="D18774" s="7">
        <v>0</v>
      </c>
    </row>
    <row r="18775" spans="1:4" x14ac:dyDescent="0.25">
      <c r="A18775" t="str">
        <f>HYPERLINK("https://www.773grp.com/globalSearch/R503102  LT/page-1", "R503102  LT")</f>
        <v>R503102  LT</v>
      </c>
      <c r="B18775" s="3" t="s">
        <v>116</v>
      </c>
      <c r="C18775" s="6">
        <v>48</v>
      </c>
      <c r="D18775" s="7">
        <v>0</v>
      </c>
    </row>
    <row r="18776" spans="1:4" x14ac:dyDescent="0.25">
      <c r="A18776" t="str">
        <f>HYPERLINK("https://www.773grp.com/globalSearch/R534112  LT/page-1", "R534112  LT")</f>
        <v>R534112  LT</v>
      </c>
      <c r="B18776" s="3" t="s">
        <v>116</v>
      </c>
      <c r="C18776" s="6">
        <v>45</v>
      </c>
      <c r="D18776" s="7">
        <v>0</v>
      </c>
    </row>
    <row r="18777" spans="1:4" x14ac:dyDescent="0.25">
      <c r="A18777" t="str">
        <f>HYPERLINK("https://www.773grp.com/globalSearch/R534184/page-1", "R534184")</f>
        <v>R534184</v>
      </c>
      <c r="B18777" s="3" t="s">
        <v>116</v>
      </c>
      <c r="C18777" s="6">
        <v>414</v>
      </c>
      <c r="D18777" s="7">
        <v>0</v>
      </c>
    </row>
    <row r="18778" spans="1:4" x14ac:dyDescent="0.25">
      <c r="A18778" t="str">
        <f>HYPERLINK("https://www.773grp.com/globalSearch/R534185  LT/page-1", "R534185  LT")</f>
        <v>R534185  LT</v>
      </c>
      <c r="B18778" s="3" t="s">
        <v>116</v>
      </c>
      <c r="C18778" s="6">
        <v>45</v>
      </c>
      <c r="D18778" s="7">
        <v>0</v>
      </c>
    </row>
    <row r="18779" spans="1:4" x14ac:dyDescent="0.25">
      <c r="A18779" t="str">
        <f>HYPERLINK("https://www.773grp.com/globalSearch/R54L96DM-B  LT/page-1", "R54L96DM-B  LT")</f>
        <v>R54L96DM-B  LT</v>
      </c>
      <c r="B18779" s="3" t="s">
        <v>116</v>
      </c>
      <c r="C18779" s="6">
        <v>45</v>
      </c>
      <c r="D18779" s="7">
        <v>0</v>
      </c>
    </row>
    <row r="18780" spans="1:4" x14ac:dyDescent="0.25">
      <c r="A18780" t="str">
        <f>HYPERLINK("https://www.773grp.com/globalSearch/R552100/page-1", "R552100")</f>
        <v>R552100</v>
      </c>
      <c r="B18780" s="3" t="s">
        <v>116</v>
      </c>
      <c r="C18780" s="6">
        <v>166</v>
      </c>
      <c r="D18780" s="7">
        <v>0</v>
      </c>
    </row>
    <row r="18781" spans="1:4" x14ac:dyDescent="0.25">
      <c r="A18781" t="str">
        <f>HYPERLINK("https://www.773grp.com/globalSearch/R552125  LT/page-1", "R552125  LT")</f>
        <v>R552125  LT</v>
      </c>
      <c r="B18781" s="3" t="s">
        <v>116</v>
      </c>
      <c r="C18781" s="6">
        <v>45</v>
      </c>
      <c r="D18781" s="7">
        <v>0</v>
      </c>
    </row>
    <row r="18782" spans="1:4" x14ac:dyDescent="0.25">
      <c r="A18782" t="str">
        <f>HYPERLINK("https://www.773grp.com/globalSearch/R552133  LT/page-1", "R552133  LT")</f>
        <v>R552133  LT</v>
      </c>
      <c r="B18782" s="3" t="s">
        <v>116</v>
      </c>
      <c r="C18782" s="6">
        <v>45</v>
      </c>
      <c r="D18782" s="7">
        <v>0</v>
      </c>
    </row>
    <row r="18783" spans="1:4" x14ac:dyDescent="0.25">
      <c r="A18783" t="str">
        <f>HYPERLINK("https://www.773grp.com/globalSearch/R552179  LT/page-1", "R552179  LT")</f>
        <v>R552179  LT</v>
      </c>
      <c r="B18783" s="3" t="s">
        <v>116</v>
      </c>
      <c r="C18783" s="6">
        <v>153</v>
      </c>
      <c r="D18783" s="7">
        <v>0</v>
      </c>
    </row>
    <row r="18784" spans="1:4" x14ac:dyDescent="0.25">
      <c r="A18784" t="str">
        <f>HYPERLINK("https://www.773grp.com/globalSearch/R554100  LT/page-1", "R554100  LT")</f>
        <v>R554100  LT</v>
      </c>
      <c r="B18784" s="3" t="s">
        <v>116</v>
      </c>
      <c r="C18784" s="6">
        <v>45</v>
      </c>
      <c r="D18784" s="7">
        <v>0</v>
      </c>
    </row>
    <row r="18785" spans="1:4" x14ac:dyDescent="0.25">
      <c r="A18785" t="str">
        <f>HYPERLINK("https://www.773grp.com/globalSearch/R554135  LT/page-1", "R554135  LT")</f>
        <v>R554135  LT</v>
      </c>
      <c r="B18785" s="3" t="s">
        <v>116</v>
      </c>
      <c r="C18785" s="6">
        <v>45</v>
      </c>
      <c r="D18785" s="7">
        <v>0</v>
      </c>
    </row>
    <row r="18786" spans="1:4" x14ac:dyDescent="0.25">
      <c r="A18786" t="str">
        <f>HYPERLINK("https://www.773grp.com/globalSearch/R554139  LT/page-1", "R554139  LT")</f>
        <v>R554139  LT</v>
      </c>
      <c r="B18786" s="3" t="s">
        <v>116</v>
      </c>
      <c r="C18786" s="6">
        <v>76</v>
      </c>
      <c r="D18786" s="7">
        <v>0</v>
      </c>
    </row>
    <row r="18787" spans="1:4" x14ac:dyDescent="0.25">
      <c r="A18787" t="str">
        <f>HYPERLINK("https://www.773grp.com/globalSearch/R554151  UT/page-1", "R554151  UT")</f>
        <v>R554151  UT</v>
      </c>
      <c r="B18787" s="3" t="s">
        <v>116</v>
      </c>
      <c r="C18787" s="6">
        <v>602</v>
      </c>
      <c r="D18787" s="7">
        <v>0</v>
      </c>
    </row>
    <row r="18788" spans="1:4" x14ac:dyDescent="0.25">
      <c r="A18788" t="str">
        <f>HYPERLINK("https://www.773grp.com/globalSearch/R554901  LT/page-1", "R554901  LT")</f>
        <v>R554901  LT</v>
      </c>
      <c r="B18788" s="3" t="s">
        <v>116</v>
      </c>
      <c r="C18788" s="6">
        <v>45</v>
      </c>
      <c r="D18788" s="7">
        <v>0</v>
      </c>
    </row>
    <row r="18789" spans="1:4" x14ac:dyDescent="0.25">
      <c r="A18789" t="str">
        <f>HYPERLINK("https://www.773grp.com/globalSearch/R554906  LT/page-1", "R554906  LT")</f>
        <v>R554906  LT</v>
      </c>
      <c r="B18789" s="3" t="s">
        <v>116</v>
      </c>
      <c r="C18789" s="6">
        <v>45</v>
      </c>
      <c r="D18789" s="7">
        <v>0</v>
      </c>
    </row>
    <row r="18790" spans="1:4" x14ac:dyDescent="0.25">
      <c r="A18790" t="str">
        <f>HYPERLINK("https://www.773grp.com/globalSearch/R554910  LT/page-1", "R554910  LT")</f>
        <v>R554910  LT</v>
      </c>
      <c r="B18790" s="3" t="s">
        <v>116</v>
      </c>
      <c r="C18790" s="6">
        <v>45</v>
      </c>
      <c r="D18790" s="7">
        <v>0</v>
      </c>
    </row>
    <row r="18791" spans="1:4" x14ac:dyDescent="0.25">
      <c r="A18791" t="str">
        <f>HYPERLINK("https://www.773grp.com/globalSearch/R573103  LT/page-1", "R573103  LT")</f>
        <v>R573103  LT</v>
      </c>
      <c r="B18791" s="3" t="s">
        <v>116</v>
      </c>
      <c r="C18791" s="6">
        <v>489</v>
      </c>
      <c r="D18791" s="7">
        <v>0</v>
      </c>
    </row>
    <row r="18792" spans="1:4" x14ac:dyDescent="0.25">
      <c r="A18792" t="str">
        <f>HYPERLINK("https://www.773grp.com/globalSearch/R574103  LT/page-1", "R574103  LT")</f>
        <v>R574103  LT</v>
      </c>
      <c r="B18792" s="3" t="s">
        <v>116</v>
      </c>
      <c r="C18792" s="6">
        <v>45</v>
      </c>
      <c r="D18792" s="7">
        <v>0</v>
      </c>
    </row>
    <row r="18793" spans="1:4" x14ac:dyDescent="0.25">
      <c r="A18793" t="str">
        <f>HYPERLINK("https://www.773grp.com/globalSearch/R574112/page-1", "R574112")</f>
        <v>R574112</v>
      </c>
      <c r="B18793" s="3" t="s">
        <v>116</v>
      </c>
      <c r="C18793" s="6">
        <v>776</v>
      </c>
      <c r="D18793" s="7">
        <v>0</v>
      </c>
    </row>
    <row r="18794" spans="1:4" x14ac:dyDescent="0.25">
      <c r="A18794" t="str">
        <f>HYPERLINK("https://www.773grp.com/globalSearch/R574112  LT/page-1", "R574112  LT")</f>
        <v>R574112  LT</v>
      </c>
      <c r="B18794" s="3" t="s">
        <v>116</v>
      </c>
      <c r="C18794" s="6">
        <v>90</v>
      </c>
      <c r="D18794" s="7">
        <v>0</v>
      </c>
    </row>
    <row r="18795" spans="1:4" x14ac:dyDescent="0.25">
      <c r="A18795" t="str">
        <f>HYPERLINK("https://www.773grp.com/globalSearch/R574114/page-1", "R574114")</f>
        <v>R574114</v>
      </c>
      <c r="B18795" s="3" t="s">
        <v>116</v>
      </c>
      <c r="C18795" s="6">
        <v>858</v>
      </c>
      <c r="D18795" s="7">
        <v>0</v>
      </c>
    </row>
    <row r="18796" spans="1:4" x14ac:dyDescent="0.25">
      <c r="A18796" t="str">
        <f>HYPERLINK("https://www.773grp.com/globalSearch/R574114  LT/page-1", "R574114  LT")</f>
        <v>R574114  LT</v>
      </c>
      <c r="B18796" s="3" t="s">
        <v>116</v>
      </c>
      <c r="C18796" s="6">
        <v>45</v>
      </c>
      <c r="D18796" s="7">
        <v>0</v>
      </c>
    </row>
    <row r="18797" spans="1:4" x14ac:dyDescent="0.25">
      <c r="A18797" t="str">
        <f>HYPERLINK("https://www.773grp.com/globalSearch/R574132/page-1", "R574132")</f>
        <v>R574132</v>
      </c>
      <c r="B18797" s="3" t="s">
        <v>116</v>
      </c>
      <c r="C18797" s="6">
        <v>456</v>
      </c>
      <c r="D18797" s="7">
        <v>0</v>
      </c>
    </row>
    <row r="18798" spans="1:4" x14ac:dyDescent="0.25">
      <c r="A18798" t="str">
        <f>HYPERLINK("https://www.773grp.com/globalSearch/R652101  LT/page-1", "R652101  LT")</f>
        <v>R652101  LT</v>
      </c>
      <c r="B18798" s="3" t="s">
        <v>116</v>
      </c>
      <c r="C18798" s="6">
        <v>45</v>
      </c>
      <c r="D18798" s="7">
        <v>0</v>
      </c>
    </row>
    <row r="18799" spans="1:4" x14ac:dyDescent="0.25">
      <c r="A18799" t="str">
        <f>HYPERLINK("https://www.773grp.com/globalSearch/R652106  LT/page-1", "R652106  LT")</f>
        <v>R652106  LT</v>
      </c>
      <c r="B18799" s="3" t="s">
        <v>116</v>
      </c>
      <c r="C18799" s="6">
        <v>45</v>
      </c>
      <c r="D18799" s="7">
        <v>0</v>
      </c>
    </row>
    <row r="18800" spans="1:4" x14ac:dyDescent="0.25">
      <c r="A18800" t="str">
        <f>HYPERLINK("https://www.773grp.com/globalSearch/R652107  LT/page-1", "R652107  LT")</f>
        <v>R652107  LT</v>
      </c>
      <c r="B18800" s="3" t="s">
        <v>116</v>
      </c>
      <c r="C18800" s="6">
        <v>22</v>
      </c>
      <c r="D18800" s="7">
        <v>0</v>
      </c>
    </row>
    <row r="18801" spans="1:4" x14ac:dyDescent="0.25">
      <c r="A18801" t="str">
        <f>HYPERLINK("https://www.773grp.com/globalSearch/R652119  LT/page-1", "R652119  LT")</f>
        <v>R652119  LT</v>
      </c>
      <c r="B18801" s="3" t="s">
        <v>116</v>
      </c>
      <c r="C18801" s="6">
        <v>45</v>
      </c>
      <c r="D18801" s="7">
        <v>0</v>
      </c>
    </row>
    <row r="18802" spans="1:4" x14ac:dyDescent="0.25">
      <c r="A18802" t="str">
        <f>HYPERLINK("https://www.773grp.com/globalSearch/R652121/page-1", "R652121")</f>
        <v>R652121</v>
      </c>
      <c r="B18802" s="3" t="s">
        <v>116</v>
      </c>
      <c r="C18802" s="6">
        <v>372</v>
      </c>
      <c r="D18802" s="7">
        <v>0</v>
      </c>
    </row>
    <row r="18803" spans="1:4" x14ac:dyDescent="0.25">
      <c r="A18803" t="str">
        <f>HYPERLINK("https://www.773grp.com/globalSearch/R652123/page-1", "R652123")</f>
        <v>R652123</v>
      </c>
      <c r="B18803" s="3" t="s">
        <v>116</v>
      </c>
      <c r="C18803" s="6">
        <v>346</v>
      </c>
      <c r="D18803" s="7">
        <v>0</v>
      </c>
    </row>
    <row r="18804" spans="1:4" x14ac:dyDescent="0.25">
      <c r="A18804" t="str">
        <f>HYPERLINK("https://www.773grp.com/globalSearch/R652123  LT/page-1", "R652123  LT")</f>
        <v>R652123  LT</v>
      </c>
      <c r="B18804" s="3" t="s">
        <v>116</v>
      </c>
      <c r="C18804" s="6">
        <v>45</v>
      </c>
      <c r="D18804" s="7">
        <v>0</v>
      </c>
    </row>
    <row r="18805" spans="1:4" x14ac:dyDescent="0.25">
      <c r="A18805" t="str">
        <f>HYPERLINK("https://www.773grp.com/globalSearch/R652130  LT/page-1", "R652130  LT")</f>
        <v>R652130  LT</v>
      </c>
      <c r="B18805" s="3" t="s">
        <v>116</v>
      </c>
      <c r="C18805" s="6">
        <v>45</v>
      </c>
      <c r="D18805" s="7">
        <v>0</v>
      </c>
    </row>
    <row r="18806" spans="1:4" x14ac:dyDescent="0.25">
      <c r="A18806" t="str">
        <f>HYPERLINK("https://www.773grp.com/globalSearch/R655145  UT/page-1", "R655145  UT")</f>
        <v>R655145  UT</v>
      </c>
      <c r="B18806" s="3" t="s">
        <v>116</v>
      </c>
      <c r="C18806" s="6">
        <v>50</v>
      </c>
      <c r="D18806" s="7">
        <v>0</v>
      </c>
    </row>
    <row r="18807" spans="1:4" x14ac:dyDescent="0.25">
      <c r="A18807" t="str">
        <f>HYPERLINK("https://www.773grp.com/globalSearch/R694102 UT/page-1", "R694102 UT")</f>
        <v>R694102 UT</v>
      </c>
      <c r="B18807" s="3" t="s">
        <v>116</v>
      </c>
      <c r="C18807" s="6">
        <v>223</v>
      </c>
      <c r="D18807" s="7">
        <v>0</v>
      </c>
    </row>
    <row r="18808" spans="1:4" x14ac:dyDescent="0.25">
      <c r="A18808" t="str">
        <f>HYPERLINK("https://www.773grp.com/globalSearch/R723103  LT/page-1", "R723103  LT")</f>
        <v>R723103  LT</v>
      </c>
      <c r="B18808" s="3" t="s">
        <v>116</v>
      </c>
      <c r="C18808" s="6">
        <v>45</v>
      </c>
      <c r="D18808" s="7">
        <v>0</v>
      </c>
    </row>
    <row r="18809" spans="1:4" x14ac:dyDescent="0.25">
      <c r="A18809" t="str">
        <f>HYPERLINK("https://www.773grp.com/globalSearch/R754101  LT/page-1", "R754101  LT")</f>
        <v>R754101  LT</v>
      </c>
      <c r="B18809" s="3" t="s">
        <v>116</v>
      </c>
      <c r="C18809" s="6">
        <v>45</v>
      </c>
      <c r="D18809" s="7">
        <v>0</v>
      </c>
    </row>
    <row r="18810" spans="1:4" x14ac:dyDescent="0.25">
      <c r="A18810" t="str">
        <f>HYPERLINK("https://www.773grp.com/globalSearch/R754102  LT/page-1", "R754102  LT")</f>
        <v>R754102  LT</v>
      </c>
      <c r="B18810" s="3" t="s">
        <v>116</v>
      </c>
      <c r="C18810" s="6">
        <v>45</v>
      </c>
      <c r="D18810" s="7">
        <v>0</v>
      </c>
    </row>
    <row r="18811" spans="1:4" x14ac:dyDescent="0.25">
      <c r="A18811" t="str">
        <f>HYPERLINK("https://www.773grp.com/globalSearch/R754105  LT/page-1", "R754105  LT")</f>
        <v>R754105  LT</v>
      </c>
      <c r="B18811" s="3" t="s">
        <v>116</v>
      </c>
      <c r="C18811" s="6">
        <v>45</v>
      </c>
      <c r="D18811" s="7">
        <v>0</v>
      </c>
    </row>
    <row r="18812" spans="1:4" x14ac:dyDescent="0.25">
      <c r="A18812" t="str">
        <f>HYPERLINK("https://www.773grp.com/globalSearch/R763101  LT/page-1", "R763101  LT")</f>
        <v>R763101  LT</v>
      </c>
      <c r="B18812" s="3" t="s">
        <v>116</v>
      </c>
      <c r="C18812" s="6">
        <v>45</v>
      </c>
      <c r="D18812" s="7">
        <v>0</v>
      </c>
    </row>
    <row r="18813" spans="1:4" x14ac:dyDescent="0.25">
      <c r="A18813" t="str">
        <f>HYPERLINK("https://www.773grp.com/globalSearch/R783102/page-1", "R783102")</f>
        <v>R783102</v>
      </c>
      <c r="B18813" s="3" t="s">
        <v>116</v>
      </c>
      <c r="C18813" s="6">
        <v>152</v>
      </c>
      <c r="D18813" s="7">
        <v>0</v>
      </c>
    </row>
    <row r="18814" spans="1:4" x14ac:dyDescent="0.25">
      <c r="A18814" t="str">
        <f>HYPERLINK("https://www.773grp.com/globalSearch/R866101  LT/page-1", "R866101  LT")</f>
        <v>R866101  LT</v>
      </c>
      <c r="B18814" s="3" t="s">
        <v>116</v>
      </c>
      <c r="C18814" s="6">
        <v>76</v>
      </c>
      <c r="D18814" s="7">
        <v>0</v>
      </c>
    </row>
    <row r="18815" spans="1:4" x14ac:dyDescent="0.25">
      <c r="A18815" t="str">
        <f>HYPERLINK("https://www.773grp.com/globalSearch/R866104  LT/page-1", "R866104  LT")</f>
        <v>R866104  LT</v>
      </c>
      <c r="B18815" s="3" t="s">
        <v>116</v>
      </c>
      <c r="C18815" s="6">
        <v>95</v>
      </c>
      <c r="D18815" s="7">
        <v>0</v>
      </c>
    </row>
    <row r="18816" spans="1:4" x14ac:dyDescent="0.25">
      <c r="A18816" t="str">
        <f>HYPERLINK("https://www.773grp.com/globalSearch/R922101  LT/page-1", "R922101  LT")</f>
        <v>R922101  LT</v>
      </c>
      <c r="B18816" s="3" t="s">
        <v>116</v>
      </c>
      <c r="C18816" s="6">
        <v>135</v>
      </c>
      <c r="D18816" s="7">
        <v>0</v>
      </c>
    </row>
    <row r="18817" spans="1:4" x14ac:dyDescent="0.25">
      <c r="A18817" t="str">
        <f>HYPERLINK("https://www.773grp.com/globalSearch/RC14531BF-B  LT/page-1", "RC14531BF-B  LT")</f>
        <v>RC14531BF-B  LT</v>
      </c>
      <c r="B18817" s="3" t="s">
        <v>116</v>
      </c>
      <c r="C18817" s="6">
        <v>45</v>
      </c>
      <c r="D18817" s="7">
        <v>0</v>
      </c>
    </row>
    <row r="18818" spans="1:4" x14ac:dyDescent="0.25">
      <c r="A18818" t="str">
        <f>HYPERLINK("https://www.773grp.com/globalSearch/RC1520G-C  LT/page-1", "RC1520G-C  LT")</f>
        <v>RC1520G-C  LT</v>
      </c>
      <c r="B18818" s="3" t="s">
        <v>116</v>
      </c>
      <c r="C18818" s="6">
        <v>45</v>
      </c>
      <c r="D18818" s="7">
        <v>0</v>
      </c>
    </row>
    <row r="18819" spans="1:4" x14ac:dyDescent="0.25">
      <c r="A18819" t="str">
        <f>HYPERLINK("https://www.773grp.com/globalSearch/RC1550F-B  LT/page-1", "RC1550F-B  LT")</f>
        <v>RC1550F-B  LT</v>
      </c>
      <c r="B18819" s="3" t="s">
        <v>116</v>
      </c>
      <c r="C18819" s="6">
        <v>45</v>
      </c>
      <c r="D18819" s="7">
        <v>0</v>
      </c>
    </row>
    <row r="18820" spans="1:4" x14ac:dyDescent="0.25">
      <c r="A18820" t="str">
        <f>HYPERLINK("https://www.773grp.com/globalSearch/RC1688L-R/page-1", "RC1688L-R")</f>
        <v>RC1688L-R</v>
      </c>
      <c r="B18820" s="3" t="s">
        <v>116</v>
      </c>
      <c r="C18820" s="6">
        <v>233</v>
      </c>
      <c r="D18820" s="7">
        <v>0</v>
      </c>
    </row>
    <row r="18821" spans="1:4" x14ac:dyDescent="0.25">
      <c r="A18821" t="str">
        <f>HYPERLINK("https://www.773grp.com/globalSearch/TD82530-6  UT/page-1", "TD82530-6  UT")</f>
        <v>TD82530-6  UT</v>
      </c>
      <c r="B18821" s="3" t="s">
        <v>116</v>
      </c>
      <c r="C18821" s="6">
        <v>318</v>
      </c>
      <c r="D18821" s="7">
        <v>0</v>
      </c>
    </row>
    <row r="18822" spans="1:4" x14ac:dyDescent="0.25">
      <c r="A18822" t="str">
        <f>HYPERLINK("https://www.773grp.com/globalSearch/TL080MJG-C  LT/page-1", "TL080MJG-C  LT")</f>
        <v>TL080MJG-C  LT</v>
      </c>
      <c r="B18822" s="3" t="s">
        <v>116</v>
      </c>
      <c r="C18822" s="6">
        <v>45</v>
      </c>
      <c r="D18822" s="7">
        <v>0</v>
      </c>
    </row>
    <row r="18823" spans="1:4" x14ac:dyDescent="0.25">
      <c r="A18823" t="str">
        <f>HYPERLINK("https://www.773grp.com/globalSearch/TL820MJ-B/page-1", "TL820MJ-B")</f>
        <v>TL820MJ-B</v>
      </c>
      <c r="B18823" s="3" t="s">
        <v>116</v>
      </c>
      <c r="C18823" s="6">
        <v>30</v>
      </c>
      <c r="D18823" s="7">
        <v>0</v>
      </c>
    </row>
    <row r="18824" spans="1:4" x14ac:dyDescent="0.25">
      <c r="A18824" t="str">
        <f>HYPERLINK("https://www.773grp.com/globalSearch/UA7906CL-R  UT/page-1", "UA7906CL-R  UT")</f>
        <v>UA7906CL-R  UT</v>
      </c>
      <c r="B18824" s="3" t="s">
        <v>116</v>
      </c>
      <c r="C18824" s="6">
        <v>16</v>
      </c>
      <c r="D18824" s="7">
        <v>0</v>
      </c>
    </row>
    <row r="18825" spans="1:4" x14ac:dyDescent="0.25">
      <c r="A18825" t="str">
        <f>HYPERLINK("https://www.773grp.com/globalSearch/UDS2983R-B/page-1", "UDS2983R-B")</f>
        <v>UDS2983R-B</v>
      </c>
      <c r="B18825" s="3" t="s">
        <v>116</v>
      </c>
      <c r="C18825" s="6">
        <v>47</v>
      </c>
      <c r="D18825" s="7">
        <v>0</v>
      </c>
    </row>
    <row r="18826" spans="1:4" x14ac:dyDescent="0.25">
      <c r="A18826" t="str">
        <f>HYPERLINK("https://www.773grp.com/globalSearch/R1151/page-1", "R1151")</f>
        <v>R1151</v>
      </c>
      <c r="B18826" s="3" t="s">
        <v>116</v>
      </c>
      <c r="C18826" s="6">
        <v>122</v>
      </c>
      <c r="D18826" s="7">
        <v>0</v>
      </c>
    </row>
    <row r="18827" spans="1:4" x14ac:dyDescent="0.25">
      <c r="A18827" t="str">
        <f>HYPERLINK("https://www.773grp.com/globalSearch/R451000/page-1", "R451000")</f>
        <v>R451000</v>
      </c>
      <c r="B18827" s="3" t="s">
        <v>116</v>
      </c>
      <c r="C18827" s="6">
        <v>1</v>
      </c>
      <c r="D18827" s="7">
        <v>0</v>
      </c>
    </row>
    <row r="18828" spans="1:4" x14ac:dyDescent="0.25">
      <c r="A18828" t="str">
        <f>HYPERLINK("https://www.773grp.com/globalSearch/UCS5801H-B  UT/page-1", "UCS5801H-B  UT")</f>
        <v>UCS5801H-B  UT</v>
      </c>
      <c r="B18828" s="3" t="s">
        <v>116</v>
      </c>
      <c r="C18828" s="6">
        <v>773</v>
      </c>
      <c r="D18828" s="7">
        <v>0</v>
      </c>
    </row>
    <row r="18829" spans="1:4" x14ac:dyDescent="0.25">
      <c r="A18829" t="str">
        <f>HYPERLINK("https://www.773grp.com/globalSearch/UCS5810R-B/page-1", "UCS5810R-B")</f>
        <v>UCS5810R-B</v>
      </c>
      <c r="B18829" s="3" t="s">
        <v>116</v>
      </c>
      <c r="C18829" s="6">
        <v>259</v>
      </c>
      <c r="D18829" s="7">
        <v>0</v>
      </c>
    </row>
    <row r="18830" spans="1:4" x14ac:dyDescent="0.25">
      <c r="A18830" t="str">
        <f>HYPERLINK("https://www.773grp.com/globalSearch/UDS2984R-B  UT/page-1", "UDS2984R-B  UT")</f>
        <v>UDS2984R-B  UT</v>
      </c>
      <c r="B18830" s="3" t="s">
        <v>116</v>
      </c>
      <c r="C18830" s="6">
        <v>38</v>
      </c>
      <c r="D18830" s="7">
        <v>0</v>
      </c>
    </row>
    <row r="18831" spans="1:4" x14ac:dyDescent="0.25">
      <c r="A18831" t="str">
        <f>HYPERLINK("https://www.773grp.com/globalSearch/ULS2023H-R/page-1", "ULS2023H-R")</f>
        <v>ULS2023H-R</v>
      </c>
      <c r="B18831" s="3" t="s">
        <v>116</v>
      </c>
      <c r="C18831" s="6">
        <v>2</v>
      </c>
      <c r="D18831" s="7">
        <v>0</v>
      </c>
    </row>
    <row r="18832" spans="1:4" x14ac:dyDescent="0.25">
      <c r="A18832" t="str">
        <f>HYPERLINK("https://www.773grp.com/globalSearch/ULS2823H-R/page-1", "ULS2823H-R")</f>
        <v>ULS2823H-R</v>
      </c>
      <c r="B18832" s="3" t="s">
        <v>116</v>
      </c>
      <c r="C18832" s="6">
        <v>41</v>
      </c>
      <c r="D18832" s="7">
        <v>0</v>
      </c>
    </row>
    <row r="18833" spans="1:4" x14ac:dyDescent="0.25">
      <c r="A18833" t="str">
        <f>HYPERLINK("https://www.773grp.com/globalSearch/ULS2823H-R  UT/page-1", "ULS2823H-R  UT")</f>
        <v>ULS2823H-R  UT</v>
      </c>
      <c r="B18833" s="3" t="s">
        <v>116</v>
      </c>
      <c r="C18833" s="6">
        <v>100</v>
      </c>
      <c r="D18833" s="7">
        <v>0</v>
      </c>
    </row>
    <row r="18834" spans="1:4" x14ac:dyDescent="0.25">
      <c r="A18834" t="str">
        <f>HYPERLINK("https://www.773grp.com/globalSearch/EP1800GM-75-B/page-1", "EP1800GM-75-B")</f>
        <v>EP1800GM-75-B</v>
      </c>
      <c r="B18834" s="3" t="s">
        <v>116</v>
      </c>
      <c r="C18834" s="6">
        <v>199</v>
      </c>
      <c r="D18834" s="7">
        <v>0</v>
      </c>
    </row>
    <row r="18835" spans="1:4" x14ac:dyDescent="0.25">
      <c r="A18835" t="str">
        <f>HYPERLINK("https://www.773grp.com/globalSearch/EP1810GM-B/page-1", "EP1810GM-B")</f>
        <v>EP1810GM-B</v>
      </c>
      <c r="B18835" s="3" t="s">
        <v>116</v>
      </c>
      <c r="C18835" s="6">
        <v>80</v>
      </c>
      <c r="D18835" s="7">
        <v>0</v>
      </c>
    </row>
    <row r="18836" spans="1:4" x14ac:dyDescent="0.25">
      <c r="A18836" t="str">
        <f>HYPERLINK("https://www.773grp.com/globalSearch/EP1810LC-35/page-1", "EP1810LC-35")</f>
        <v>EP1810LC-35</v>
      </c>
      <c r="B18836" s="3" t="s">
        <v>116</v>
      </c>
      <c r="C18836" s="6">
        <v>4</v>
      </c>
      <c r="D18836" s="7">
        <v>0</v>
      </c>
    </row>
    <row r="18837" spans="1:4" x14ac:dyDescent="0.25">
      <c r="A18837" t="str">
        <f>HYPERLINK("https://www.773grp.com/globalSearch/EP1810LC-35  UM/page-1", "EP1810LC-35  UM")</f>
        <v>EP1810LC-35  UM</v>
      </c>
      <c r="B18837" s="3" t="s">
        <v>116</v>
      </c>
      <c r="C18837" s="6">
        <v>2036</v>
      </c>
      <c r="D18837" s="7">
        <v>0</v>
      </c>
    </row>
    <row r="18838" spans="1:4" x14ac:dyDescent="0.25">
      <c r="A18838" t="str">
        <f>HYPERLINK("https://www.773grp.com/globalSearch/EP1810LC-35-G/page-1", "EP1810LC-35-G")</f>
        <v>EP1810LC-35-G</v>
      </c>
      <c r="B18838" s="3" t="s">
        <v>116</v>
      </c>
      <c r="C18838" s="6">
        <v>2174</v>
      </c>
      <c r="D18838" s="7">
        <v>0</v>
      </c>
    </row>
    <row r="18839" spans="1:4" x14ac:dyDescent="0.25">
      <c r="A18839" t="str">
        <f>HYPERLINK("https://www.773grp.com/globalSearch/EP1810LC-35-G  UM/page-1", "EP1810LC-35-G  UM")</f>
        <v>EP1810LC-35-G  UM</v>
      </c>
      <c r="B18839" s="3" t="s">
        <v>116</v>
      </c>
      <c r="C18839" s="6">
        <v>4699</v>
      </c>
      <c r="D18839" s="7">
        <v>0</v>
      </c>
    </row>
    <row r="18840" spans="1:4" x14ac:dyDescent="0.25">
      <c r="A18840" t="str">
        <f>HYPERLINK("https://www.773grp.com/globalSearch/EP1810LC-45  UM/page-1", "EP1810LC-45  UM")</f>
        <v>EP1810LC-45  UM</v>
      </c>
      <c r="B18840" s="3" t="s">
        <v>116</v>
      </c>
      <c r="C18840" s="6">
        <v>66</v>
      </c>
      <c r="D18840" s="7">
        <v>0</v>
      </c>
    </row>
    <row r="18841" spans="1:4" x14ac:dyDescent="0.25">
      <c r="A18841" t="str">
        <f>HYPERLINK("https://www.773grp.com/globalSearch/EP1810LI-35/page-1", "EP1810LI-35")</f>
        <v>EP1810LI-35</v>
      </c>
      <c r="B18841" s="3" t="s">
        <v>116</v>
      </c>
      <c r="C18841" s="6">
        <v>339</v>
      </c>
      <c r="D18841" s="7">
        <v>0</v>
      </c>
    </row>
    <row r="18842" spans="1:4" x14ac:dyDescent="0.25">
      <c r="A18842" t="str">
        <f>HYPERLINK("https://www.773grp.com/globalSearch/EP1810LI-35  UM/page-1", "EP1810LI-35  UM")</f>
        <v>EP1810LI-35  UM</v>
      </c>
      <c r="B18842" s="3" t="s">
        <v>116</v>
      </c>
      <c r="C18842" s="6">
        <v>4349</v>
      </c>
      <c r="D18842" s="7">
        <v>0</v>
      </c>
    </row>
    <row r="18843" spans="1:4" x14ac:dyDescent="0.25">
      <c r="A18843" t="str">
        <f>HYPERLINK("https://www.773grp.com/globalSearch/EP600DI-25  UM/page-1", "EP600DI-25  UM")</f>
        <v>EP600DI-25  UM</v>
      </c>
      <c r="B18843" s="3" t="s">
        <v>116</v>
      </c>
      <c r="C18843" s="6">
        <v>72</v>
      </c>
      <c r="D18843" s="7">
        <v>0</v>
      </c>
    </row>
    <row r="18844" spans="1:4" x14ac:dyDescent="0.25">
      <c r="A18844" t="str">
        <f>HYPERLINK("https://www.773grp.com/globalSearch/EP600DM-25-B  UM/page-1", "EP600DM-25-B  UM")</f>
        <v>EP600DM-25-B  UM</v>
      </c>
      <c r="B18844" s="3" t="s">
        <v>116</v>
      </c>
      <c r="C18844" s="6">
        <v>124</v>
      </c>
      <c r="D18844" s="7">
        <v>0</v>
      </c>
    </row>
    <row r="18845" spans="1:4" x14ac:dyDescent="0.25">
      <c r="A18845" t="str">
        <f>HYPERLINK("https://www.773grp.com/globalSearch/EP600DM-30-B  UM/page-1", "EP600DM-30-B  UM")</f>
        <v>EP600DM-30-B  UM</v>
      </c>
      <c r="B18845" s="3" t="s">
        <v>116</v>
      </c>
      <c r="C18845" s="6">
        <v>711</v>
      </c>
      <c r="D18845" s="7">
        <v>0</v>
      </c>
    </row>
    <row r="18846" spans="1:4" x14ac:dyDescent="0.25">
      <c r="A18846" t="str">
        <f>HYPERLINK("https://www.773grp.com/globalSearch/EP600DM-45-B/page-1", "EP600DM-45-B")</f>
        <v>EP600DM-45-B</v>
      </c>
      <c r="B18846" s="3" t="s">
        <v>116</v>
      </c>
      <c r="C18846" s="6">
        <v>46</v>
      </c>
      <c r="D18846" s="7">
        <v>0</v>
      </c>
    </row>
    <row r="18847" spans="1:4" x14ac:dyDescent="0.25">
      <c r="A18847" t="str">
        <f>HYPERLINK("https://www.773grp.com/globalSearch/EP600IDC-25  UM/page-1", "EP600IDC-25  UM")</f>
        <v>EP600IDC-25  UM</v>
      </c>
      <c r="B18847" s="3" t="s">
        <v>116</v>
      </c>
      <c r="C18847" s="6">
        <v>491</v>
      </c>
      <c r="D18847" s="7">
        <v>0</v>
      </c>
    </row>
    <row r="18848" spans="1:4" x14ac:dyDescent="0.25">
      <c r="A18848" t="str">
        <f>HYPERLINK("https://www.773grp.com/globalSearch/EP600IDC-45/page-1", "EP600IDC-45")</f>
        <v>EP600IDC-45</v>
      </c>
      <c r="B18848" s="3" t="s">
        <v>116</v>
      </c>
      <c r="C18848" s="6">
        <v>172</v>
      </c>
      <c r="D18848" s="7">
        <v>0</v>
      </c>
    </row>
    <row r="18849" spans="1:5" x14ac:dyDescent="0.25">
      <c r="A18849" t="str">
        <f>HYPERLINK("https://www.773grp.com/globalSearch/EP610DC-25/page-1", "EP610DC-25")</f>
        <v>EP610DC-25</v>
      </c>
      <c r="B18849" s="3" t="s">
        <v>116</v>
      </c>
      <c r="C18849" s="6">
        <v>126</v>
      </c>
      <c r="D18849" s="7">
        <v>0</v>
      </c>
      <c r="E18849" t="s">
        <v>42</v>
      </c>
    </row>
    <row r="18850" spans="1:5" x14ac:dyDescent="0.25">
      <c r="A18850" t="str">
        <f>HYPERLINK("https://www.773grp.com/globalSearch/EP610DC-30/page-1", "EP610DC-30")</f>
        <v>EP610DC-30</v>
      </c>
      <c r="B18850" s="3" t="s">
        <v>116</v>
      </c>
      <c r="C18850" s="6">
        <v>199</v>
      </c>
      <c r="D18850" s="7">
        <v>0</v>
      </c>
      <c r="E18850" t="s">
        <v>42</v>
      </c>
    </row>
    <row r="18851" spans="1:5" x14ac:dyDescent="0.25">
      <c r="A18851" t="str">
        <f>HYPERLINK("https://www.773grp.com/globalSearch/EP610DM-30  UM/page-1", "EP610DM-30  UM")</f>
        <v>EP610DM-30  UM</v>
      </c>
      <c r="B18851" s="3" t="s">
        <v>116</v>
      </c>
      <c r="C18851" s="6">
        <v>785</v>
      </c>
      <c r="D18851" s="7">
        <v>0</v>
      </c>
    </row>
    <row r="18852" spans="1:5" x14ac:dyDescent="0.25">
      <c r="A18852" t="str">
        <f>HYPERLINK("https://www.773grp.com/globalSearch/EP610DM-30-R/page-1", "EP610DM-30-R")</f>
        <v>EP610DM-30-R</v>
      </c>
      <c r="B18852" s="3" t="s">
        <v>116</v>
      </c>
      <c r="C18852" s="6">
        <v>47</v>
      </c>
      <c r="D18852" s="7">
        <v>0</v>
      </c>
    </row>
    <row r="18853" spans="1:5" x14ac:dyDescent="0.25">
      <c r="A18853" t="str">
        <f>HYPERLINK("https://www.773grp.com/globalSearch/EP610DM-30-R  UM/page-1", "EP610DM-30-R  UM")</f>
        <v>EP610DM-30-R  UM</v>
      </c>
      <c r="B18853" s="3" t="s">
        <v>116</v>
      </c>
      <c r="C18853" s="6">
        <v>1502</v>
      </c>
      <c r="D18853" s="7">
        <v>0</v>
      </c>
    </row>
    <row r="18854" spans="1:5" x14ac:dyDescent="0.25">
      <c r="A18854" t="str">
        <f>HYPERLINK("https://www.773grp.com/globalSearch/EP610LC-15/page-1", "EP610LC-15")</f>
        <v>EP610LC-15</v>
      </c>
      <c r="B18854" s="3" t="s">
        <v>116</v>
      </c>
      <c r="C18854" s="6">
        <v>120</v>
      </c>
      <c r="D18854" s="7">
        <v>0</v>
      </c>
      <c r="E18854" t="s">
        <v>42</v>
      </c>
    </row>
    <row r="18855" spans="1:5" x14ac:dyDescent="0.25">
      <c r="A18855" t="str">
        <f>HYPERLINK("https://www.773grp.com/globalSearch/EP610LC-15-G  UM/page-1", "EP610LC-15-G  UM")</f>
        <v>EP610LC-15-G  UM</v>
      </c>
      <c r="B18855" s="3" t="s">
        <v>116</v>
      </c>
      <c r="C18855" s="6">
        <v>478</v>
      </c>
      <c r="D18855" s="7">
        <v>0</v>
      </c>
    </row>
    <row r="18856" spans="1:5" x14ac:dyDescent="0.25">
      <c r="A18856" t="str">
        <f>HYPERLINK("https://www.773grp.com/globalSearch/EP610LC-20-G  UM/page-1", "EP610LC-20-G  UM")</f>
        <v>EP610LC-20-G  UM</v>
      </c>
      <c r="B18856" s="3" t="s">
        <v>116</v>
      </c>
      <c r="C18856" s="6">
        <v>838</v>
      </c>
      <c r="D18856" s="7">
        <v>0</v>
      </c>
    </row>
    <row r="18857" spans="1:5" x14ac:dyDescent="0.25">
      <c r="A18857" t="str">
        <f>HYPERLINK("https://www.773grp.com/globalSearch/EP610LC-35/page-1", "EP610LC-35")</f>
        <v>EP610LC-35</v>
      </c>
      <c r="B18857" s="3" t="s">
        <v>116</v>
      </c>
      <c r="C18857" s="6">
        <v>1500</v>
      </c>
      <c r="D18857" s="7">
        <v>0</v>
      </c>
    </row>
    <row r="18858" spans="1:5" x14ac:dyDescent="0.25">
      <c r="A18858" t="str">
        <f>HYPERLINK("https://www.773grp.com/globalSearch/EP610LI-15  UM/page-1", "EP610LI-15  UM")</f>
        <v>EP610LI-15  UM</v>
      </c>
      <c r="B18858" s="3" t="s">
        <v>116</v>
      </c>
      <c r="C18858" s="6">
        <v>8474</v>
      </c>
      <c r="D18858" s="7">
        <v>0</v>
      </c>
    </row>
    <row r="18859" spans="1:5" x14ac:dyDescent="0.25">
      <c r="A18859" t="str">
        <f>HYPERLINK("https://www.773grp.com/globalSearch/EP610LI-20/page-1", "EP610LI-20")</f>
        <v>EP610LI-20</v>
      </c>
      <c r="B18859" s="3" t="s">
        <v>116</v>
      </c>
      <c r="C18859" s="6">
        <v>500</v>
      </c>
      <c r="D18859" s="7">
        <v>0</v>
      </c>
      <c r="E18859" t="s">
        <v>42</v>
      </c>
    </row>
    <row r="18860" spans="1:5" x14ac:dyDescent="0.25">
      <c r="A18860" t="str">
        <f>HYPERLINK("https://www.773grp.com/globalSearch/EP610LI-25/page-1", "EP610LI-25")</f>
        <v>EP610LI-25</v>
      </c>
      <c r="B18860" s="3" t="s">
        <v>116</v>
      </c>
      <c r="C18860" s="6">
        <v>542</v>
      </c>
      <c r="D18860" s="7">
        <v>0</v>
      </c>
    </row>
    <row r="18861" spans="1:5" x14ac:dyDescent="0.25">
      <c r="A18861" t="str">
        <f>HYPERLINK("https://www.773grp.com/globalSearch/EP610LI-25  UM/page-1", "EP610LI-25  UM")</f>
        <v>EP610LI-25  UM</v>
      </c>
      <c r="B18861" s="3" t="s">
        <v>116</v>
      </c>
      <c r="C18861" s="6">
        <v>5705</v>
      </c>
      <c r="D18861" s="7">
        <v>0</v>
      </c>
    </row>
    <row r="18862" spans="1:5" x14ac:dyDescent="0.25">
      <c r="A18862" t="str">
        <f>HYPERLINK("https://www.773grp.com/globalSearch/EP610PC-15/page-1", "EP610PC-15")</f>
        <v>EP610PC-15</v>
      </c>
      <c r="B18862" s="3" t="s">
        <v>116</v>
      </c>
      <c r="C18862" s="6">
        <v>115</v>
      </c>
      <c r="D18862" s="7">
        <v>0</v>
      </c>
    </row>
    <row r="18863" spans="1:5" x14ac:dyDescent="0.25">
      <c r="A18863" t="str">
        <f>HYPERLINK("https://www.773grp.com/globalSearch/EP610PC-15 UM/page-1", "EP610PC-15 UM")</f>
        <v>EP610PC-15 UM</v>
      </c>
      <c r="B18863" s="3" t="s">
        <v>116</v>
      </c>
      <c r="C18863" s="6">
        <v>2000</v>
      </c>
      <c r="D18863" s="7">
        <v>0</v>
      </c>
    </row>
    <row r="18864" spans="1:5" x14ac:dyDescent="0.25">
      <c r="A18864" t="str">
        <f>HYPERLINK("https://www.773grp.com/globalSearch/EP610PC-20 UM/page-1", "EP610PC-20 UM")</f>
        <v>EP610PC-20 UM</v>
      </c>
      <c r="B18864" s="3" t="s">
        <v>116</v>
      </c>
      <c r="C18864" s="6">
        <v>7551</v>
      </c>
      <c r="D18864" s="7">
        <v>0</v>
      </c>
    </row>
    <row r="18865" spans="1:5" x14ac:dyDescent="0.25">
      <c r="A18865" t="str">
        <f>HYPERLINK("https://www.773grp.com/globalSearch/EP610PC-25 UM/page-1", "EP610PC-25 UM")</f>
        <v>EP610PC-25 UM</v>
      </c>
      <c r="B18865" s="3" t="s">
        <v>116</v>
      </c>
      <c r="C18865" s="6">
        <v>12428</v>
      </c>
      <c r="D18865" s="7">
        <v>0</v>
      </c>
    </row>
    <row r="18866" spans="1:5" x14ac:dyDescent="0.25">
      <c r="A18866" t="str">
        <f>HYPERLINK("https://www.773grp.com/globalSearch/EP610PC-25T/page-1", "EP610PC-25T")</f>
        <v>EP610PC-25T</v>
      </c>
      <c r="B18866" s="3" t="s">
        <v>116</v>
      </c>
      <c r="C18866" s="6">
        <v>95</v>
      </c>
      <c r="D18866" s="7">
        <v>0</v>
      </c>
      <c r="E18866" t="s">
        <v>42</v>
      </c>
    </row>
    <row r="18867" spans="1:5" x14ac:dyDescent="0.25">
      <c r="A18867" t="str">
        <f>HYPERLINK("https://www.773grp.com/globalSearch/EP610PC-30/page-1", "EP610PC-30")</f>
        <v>EP610PC-30</v>
      </c>
      <c r="B18867" s="3" t="s">
        <v>116</v>
      </c>
      <c r="C18867" s="6">
        <v>386</v>
      </c>
      <c r="D18867" s="7">
        <v>0</v>
      </c>
    </row>
    <row r="18868" spans="1:5" x14ac:dyDescent="0.25">
      <c r="A18868" t="str">
        <f>HYPERLINK("https://www.773grp.com/globalSearch/EP610PI-25  UM/page-1", "EP610PI-25  UM")</f>
        <v>EP610PI-25  UM</v>
      </c>
      <c r="B18868" s="3" t="s">
        <v>116</v>
      </c>
      <c r="C18868" s="6">
        <v>9794</v>
      </c>
      <c r="D18868" s="7">
        <v>0</v>
      </c>
    </row>
    <row r="18869" spans="1:5" x14ac:dyDescent="0.25">
      <c r="A18869" t="str">
        <f>HYPERLINK("https://www.773grp.com/globalSearch/EP610PI-30  UM/page-1", "EP610PI-30  UM")</f>
        <v>EP610PI-30  UM</v>
      </c>
      <c r="B18869" s="3" t="s">
        <v>116</v>
      </c>
      <c r="C18869" s="6">
        <v>783</v>
      </c>
      <c r="D18869" s="7">
        <v>0</v>
      </c>
    </row>
    <row r="18870" spans="1:5" x14ac:dyDescent="0.25">
      <c r="A18870" t="str">
        <f>HYPERLINK("https://www.773grp.com/globalSearch/EP610SC-15  UM/page-1", "EP610SC-15  UM")</f>
        <v>EP610SC-15  UM</v>
      </c>
      <c r="B18870" s="3" t="s">
        <v>116</v>
      </c>
      <c r="C18870" s="6">
        <v>44</v>
      </c>
      <c r="D18870" s="7">
        <v>0</v>
      </c>
    </row>
    <row r="18871" spans="1:5" x14ac:dyDescent="0.25">
      <c r="A18871" t="str">
        <f>HYPERLINK("https://www.773grp.com/globalSearch/EP610SC-20/page-1", "EP610SC-20")</f>
        <v>EP610SC-20</v>
      </c>
      <c r="B18871" s="3" t="s">
        <v>116</v>
      </c>
      <c r="C18871" s="6">
        <v>1531</v>
      </c>
      <c r="D18871" s="7">
        <v>0</v>
      </c>
      <c r="E18871" t="s">
        <v>42</v>
      </c>
    </row>
    <row r="18872" spans="1:5" x14ac:dyDescent="0.25">
      <c r="A18872" t="str">
        <f>HYPERLINK("https://www.773grp.com/globalSearch/EP610SC-20  UM/page-1", "EP610SC-20  UM")</f>
        <v>EP610SC-20  UM</v>
      </c>
      <c r="B18872" s="3" t="s">
        <v>116</v>
      </c>
      <c r="C18872" s="6">
        <v>5057</v>
      </c>
      <c r="D18872" s="7">
        <v>0</v>
      </c>
    </row>
    <row r="18873" spans="1:5" x14ac:dyDescent="0.25">
      <c r="A18873" t="str">
        <f>HYPERLINK("https://www.773grp.com/globalSearch/EP610SI-25  UM/page-1", "EP610SI-25  UM")</f>
        <v>EP610SI-25  UM</v>
      </c>
      <c r="B18873" s="3" t="s">
        <v>116</v>
      </c>
      <c r="C18873" s="6">
        <v>4821</v>
      </c>
      <c r="D18873" s="7">
        <v>0</v>
      </c>
    </row>
    <row r="18874" spans="1:5" x14ac:dyDescent="0.25">
      <c r="A18874" t="str">
        <f>HYPERLINK("https://www.773grp.com/globalSearch/EP610SI-30  UM/page-1", "EP610SI-30  UM")</f>
        <v>EP610SI-30  UM</v>
      </c>
      <c r="B18874" s="3" t="s">
        <v>116</v>
      </c>
      <c r="C18874" s="6">
        <v>105</v>
      </c>
      <c r="D18874" s="7">
        <v>0</v>
      </c>
    </row>
    <row r="18875" spans="1:5" x14ac:dyDescent="0.25">
      <c r="A18875" t="str">
        <f>HYPERLINK("https://www.773grp.com/globalSearch/EP6XXDX-25  UM/page-1", "EP6XXDX-25  UM")</f>
        <v>EP6XXDX-25  UM</v>
      </c>
      <c r="B18875" s="3" t="s">
        <v>116</v>
      </c>
      <c r="C18875" s="6">
        <v>15492</v>
      </c>
      <c r="D18875" s="7">
        <v>0</v>
      </c>
    </row>
    <row r="18876" spans="1:5" x14ac:dyDescent="0.25">
      <c r="A18876" t="str">
        <f>HYPERLINK("https://www.773grp.com/globalSearch/EP6XXDX-30  UM/page-1", "EP6XXDX-30  UM")</f>
        <v>EP6XXDX-30  UM</v>
      </c>
      <c r="B18876" s="3" t="s">
        <v>116</v>
      </c>
      <c r="C18876" s="6">
        <v>83</v>
      </c>
      <c r="D18876" s="7">
        <v>0</v>
      </c>
    </row>
    <row r="18877" spans="1:5" x14ac:dyDescent="0.25">
      <c r="A18877" t="str">
        <f>HYPERLINK("https://www.773grp.com/globalSearch/EP900DM-B/page-1", "EP900DM-B")</f>
        <v>EP900DM-B</v>
      </c>
      <c r="B18877" s="3" t="s">
        <v>116</v>
      </c>
      <c r="C18877" s="6">
        <v>1200</v>
      </c>
      <c r="D18877" s="7">
        <v>0</v>
      </c>
    </row>
    <row r="18878" spans="1:5" x14ac:dyDescent="0.25">
      <c r="A18878" t="str">
        <f>HYPERLINK("https://www.773grp.com/globalSearch/EP910DI-15  UM/page-1", "EP910DI-15  UM")</f>
        <v>EP910DI-15  UM</v>
      </c>
      <c r="B18878" s="3" t="s">
        <v>116</v>
      </c>
      <c r="C18878" s="6">
        <v>97</v>
      </c>
      <c r="D18878" s="7">
        <v>0</v>
      </c>
    </row>
    <row r="18879" spans="1:5" x14ac:dyDescent="0.25">
      <c r="A18879" t="str">
        <f>HYPERLINK("https://www.773grp.com/globalSearch/EP910DI-25  UM/page-1", "EP910DI-25  UM")</f>
        <v>EP910DI-25  UM</v>
      </c>
      <c r="B18879" s="3" t="s">
        <v>116</v>
      </c>
      <c r="C18879" s="6">
        <v>5355</v>
      </c>
      <c r="D18879" s="7">
        <v>0</v>
      </c>
    </row>
    <row r="18880" spans="1:5" x14ac:dyDescent="0.25">
      <c r="A18880" t="str">
        <f>HYPERLINK("https://www.773grp.com/globalSearch/EP910DI-30/page-1", "EP910DI-30")</f>
        <v>EP910DI-30</v>
      </c>
      <c r="B18880" s="3" t="s">
        <v>116</v>
      </c>
      <c r="C18880" s="6">
        <v>154</v>
      </c>
      <c r="D18880" s="7">
        <v>0</v>
      </c>
    </row>
    <row r="18881" spans="1:5" x14ac:dyDescent="0.25">
      <c r="A18881" t="str">
        <f>HYPERLINK("https://www.773grp.com/globalSearch/EP910DI-30  UM/page-1", "EP910DI-30  UM")</f>
        <v>EP910DI-30  UM</v>
      </c>
      <c r="B18881" s="3" t="s">
        <v>116</v>
      </c>
      <c r="C18881" s="6">
        <v>2664</v>
      </c>
      <c r="D18881" s="7">
        <v>0</v>
      </c>
    </row>
    <row r="18882" spans="1:5" x14ac:dyDescent="0.25">
      <c r="A18882" t="str">
        <f>HYPERLINK("https://www.773grp.com/globalSearch/EP910DI-35/page-1", "EP910DI-35")</f>
        <v>EP910DI-35</v>
      </c>
      <c r="B18882" s="3" t="s">
        <v>116</v>
      </c>
      <c r="C18882" s="6">
        <v>100</v>
      </c>
      <c r="D18882" s="7">
        <v>0</v>
      </c>
      <c r="E18882" t="s">
        <v>42</v>
      </c>
    </row>
    <row r="18883" spans="1:5" x14ac:dyDescent="0.25">
      <c r="A18883" t="str">
        <f>HYPERLINK("https://www.773grp.com/globalSearch/EP910LC-30/page-1", "EP910LC-30")</f>
        <v>EP910LC-30</v>
      </c>
      <c r="B18883" s="3" t="s">
        <v>116</v>
      </c>
      <c r="C18883" s="6">
        <v>324</v>
      </c>
      <c r="D18883" s="7">
        <v>0</v>
      </c>
    </row>
    <row r="18884" spans="1:5" x14ac:dyDescent="0.25">
      <c r="A18884" t="str">
        <f>HYPERLINK("https://www.773grp.com/globalSearch/EP910LC-30-G  UM/page-1", "EP910LC-30-G  UM")</f>
        <v>EP910LC-30-G  UM</v>
      </c>
      <c r="B18884" s="3" t="s">
        <v>116</v>
      </c>
      <c r="C18884" s="6">
        <v>1311</v>
      </c>
      <c r="D18884" s="7">
        <v>0</v>
      </c>
    </row>
    <row r="18885" spans="1:5" x14ac:dyDescent="0.25">
      <c r="A18885" t="str">
        <f>HYPERLINK("https://www.773grp.com/globalSearch/EP910LC-35/page-1", "EP910LC-35")</f>
        <v>EP910LC-35</v>
      </c>
      <c r="B18885" s="3" t="s">
        <v>116</v>
      </c>
      <c r="C18885" s="6">
        <v>645</v>
      </c>
      <c r="D18885" s="7">
        <v>0</v>
      </c>
    </row>
    <row r="18886" spans="1:5" x14ac:dyDescent="0.25">
      <c r="A18886" t="str">
        <f>HYPERLINK("https://www.773grp.com/globalSearch/EP910LI-15  UM/page-1", "EP910LI-15  UM")</f>
        <v>EP910LI-15  UM</v>
      </c>
      <c r="B18886" s="3" t="s">
        <v>116</v>
      </c>
      <c r="C18886" s="6">
        <v>4398</v>
      </c>
      <c r="D18886" s="7">
        <v>0</v>
      </c>
    </row>
    <row r="18887" spans="1:5" x14ac:dyDescent="0.25">
      <c r="A18887" t="str">
        <f>HYPERLINK("https://www.773grp.com/globalSearch/EP910LI-25  UM/page-1", "EP910LI-25  UM")</f>
        <v>EP910LI-25  UM</v>
      </c>
      <c r="B18887" s="3" t="s">
        <v>116</v>
      </c>
      <c r="C18887" s="6">
        <v>896</v>
      </c>
      <c r="D18887" s="7">
        <v>0</v>
      </c>
    </row>
    <row r="18888" spans="1:5" x14ac:dyDescent="0.25">
      <c r="A18888" t="str">
        <f>HYPERLINK("https://www.773grp.com/globalSearch/EP910LI-30  UM/page-1", "EP910LI-30  UM")</f>
        <v>EP910LI-30  UM</v>
      </c>
      <c r="B18888" s="3" t="s">
        <v>116</v>
      </c>
      <c r="C18888" s="6">
        <v>13592</v>
      </c>
      <c r="D18888" s="7">
        <v>0</v>
      </c>
    </row>
    <row r="18889" spans="1:5" x14ac:dyDescent="0.25">
      <c r="A18889" t="str">
        <f>HYPERLINK("https://www.773grp.com/globalSearch/EP910PI-15  UM/page-1", "EP910PI-15  UM")</f>
        <v>EP910PI-15  UM</v>
      </c>
      <c r="B18889" s="3" t="s">
        <v>116</v>
      </c>
      <c r="C18889" s="6">
        <v>2841</v>
      </c>
      <c r="D18889" s="7">
        <v>0</v>
      </c>
    </row>
    <row r="18890" spans="1:5" x14ac:dyDescent="0.25">
      <c r="A18890" t="str">
        <f>HYPERLINK("https://www.773grp.com/globalSearch/EP910PI-25  UM/page-1", "EP910PI-25  UM")</f>
        <v>EP910PI-25  UM</v>
      </c>
      <c r="B18890" s="3" t="s">
        <v>116</v>
      </c>
      <c r="C18890" s="6">
        <v>2806</v>
      </c>
      <c r="D18890" s="7">
        <v>0</v>
      </c>
    </row>
    <row r="18891" spans="1:5" x14ac:dyDescent="0.25">
      <c r="A18891" t="str">
        <f>HYPERLINK("https://www.773grp.com/globalSearch/EP910PI-30/page-1", "EP910PI-30")</f>
        <v>EP910PI-30</v>
      </c>
      <c r="B18891" s="3" t="s">
        <v>116</v>
      </c>
      <c r="C18891" s="6">
        <v>315</v>
      </c>
      <c r="D18891" s="7">
        <v>0</v>
      </c>
    </row>
    <row r="18892" spans="1:5" x14ac:dyDescent="0.25">
      <c r="A18892" t="str">
        <f>HYPERLINK("https://www.773grp.com/globalSearch/EP910PI-30  UM/page-1", "EP910PI-30  UM")</f>
        <v>EP910PI-30  UM</v>
      </c>
      <c r="B18892" s="3" t="s">
        <v>116</v>
      </c>
      <c r="C18892" s="6">
        <v>3507</v>
      </c>
      <c r="D18892" s="7">
        <v>0</v>
      </c>
    </row>
    <row r="18893" spans="1:5" x14ac:dyDescent="0.25">
      <c r="A18893" t="str">
        <f>HYPERLINK("https://www.773grp.com/globalSearch/EP910PI-35/page-1", "EP910PI-35")</f>
        <v>EP910PI-35</v>
      </c>
      <c r="B18893" s="3" t="s">
        <v>116</v>
      </c>
      <c r="C18893" s="6">
        <v>251</v>
      </c>
      <c r="D18893" s="7">
        <v>0</v>
      </c>
      <c r="E18893" t="s">
        <v>42</v>
      </c>
    </row>
    <row r="18894" spans="1:5" x14ac:dyDescent="0.25">
      <c r="A18894" t="str">
        <f>HYPERLINK("https://www.773grp.com/globalSearch/R1233/page-1", "R1233")</f>
        <v>R1233</v>
      </c>
      <c r="B18894" s="3" t="s">
        <v>116</v>
      </c>
      <c r="C18894" s="6">
        <v>61</v>
      </c>
      <c r="D18894" s="7">
        <v>0</v>
      </c>
    </row>
    <row r="18895" spans="1:5" x14ac:dyDescent="0.25">
      <c r="A18895" t="str">
        <f>HYPERLINK("https://www.773grp.com/globalSearch/R1290/page-1", "R1290")</f>
        <v>R1290</v>
      </c>
      <c r="B18895" s="3" t="s">
        <v>116</v>
      </c>
      <c r="C18895" s="6">
        <v>5</v>
      </c>
      <c r="D18895" s="7">
        <v>0</v>
      </c>
    </row>
    <row r="18896" spans="1:5" x14ac:dyDescent="0.25">
      <c r="A18896" t="str">
        <f>HYPERLINK("https://www.773grp.com/globalSearch/R1291/page-1", "R1291")</f>
        <v>R1291</v>
      </c>
      <c r="B18896" s="3" t="s">
        <v>116</v>
      </c>
      <c r="C18896" s="6">
        <v>2</v>
      </c>
      <c r="D18896" s="7">
        <v>0</v>
      </c>
    </row>
    <row r="18897" spans="1:4" x14ac:dyDescent="0.25">
      <c r="A18897" t="str">
        <f>HYPERLINK("https://www.773grp.com/globalSearch/R1364/page-1", "R1364")</f>
        <v>R1364</v>
      </c>
      <c r="B18897" s="3" t="s">
        <v>116</v>
      </c>
      <c r="C18897" s="6">
        <v>20</v>
      </c>
      <c r="D18897" s="7">
        <v>0</v>
      </c>
    </row>
    <row r="18898" spans="1:4" x14ac:dyDescent="0.25">
      <c r="A18898" t="str">
        <f>HYPERLINK("https://www.773grp.com/globalSearch/R1525/page-1", "R1525")</f>
        <v>R1525</v>
      </c>
      <c r="B18898" s="3" t="s">
        <v>116</v>
      </c>
      <c r="C18898" s="6">
        <v>6</v>
      </c>
      <c r="D18898" s="7">
        <v>0</v>
      </c>
    </row>
    <row r="18899" spans="1:4" x14ac:dyDescent="0.25">
      <c r="A18899" t="str">
        <f>HYPERLINK("https://www.773grp.com/globalSearch/R1718/page-1", "R1718")</f>
        <v>R1718</v>
      </c>
      <c r="B18899" s="3" t="s">
        <v>116</v>
      </c>
      <c r="C18899" s="6">
        <v>12</v>
      </c>
      <c r="D18899" s="7">
        <v>0</v>
      </c>
    </row>
    <row r="18900" spans="1:4" x14ac:dyDescent="0.25">
      <c r="A18900" t="str">
        <f>HYPERLINK("https://www.773grp.com/globalSearch/25LS2518FM-B  LT/page-1", "25LS2518FM-B  LT")</f>
        <v>25LS2518FM-B  LT</v>
      </c>
      <c r="B18900" s="3" t="s">
        <v>116</v>
      </c>
      <c r="C18900" s="6">
        <v>48</v>
      </c>
      <c r="D18900" s="7">
        <v>0</v>
      </c>
    </row>
    <row r="18901" spans="1:4" x14ac:dyDescent="0.25">
      <c r="A18901" t="str">
        <f>HYPERLINK("https://www.773grp.com/globalSearch/25LS2519DM-B/page-1", "25LS2519DM-B")</f>
        <v>25LS2519DM-B</v>
      </c>
      <c r="B18901" s="3" t="s">
        <v>116</v>
      </c>
      <c r="C18901" s="6">
        <v>1190</v>
      </c>
      <c r="D18901" s="7">
        <v>0</v>
      </c>
    </row>
    <row r="18902" spans="1:4" x14ac:dyDescent="0.25">
      <c r="A18902" t="str">
        <f>HYPERLINK("https://www.773grp.com/globalSearch/25LS2521-BRA  LT/page-1", "25LS2521-BRA  LT")</f>
        <v>25LS2521-BRA  LT</v>
      </c>
      <c r="B18902" s="3" t="s">
        <v>116</v>
      </c>
      <c r="C18902" s="6">
        <v>48</v>
      </c>
      <c r="D18902" s="7">
        <v>0</v>
      </c>
    </row>
    <row r="18903" spans="1:4" x14ac:dyDescent="0.25">
      <c r="A18903" t="str">
        <f>HYPERLINK("https://www.773grp.com/globalSearch/25LS2569DM-B  LT/page-1", "25LS2569DM-B  LT")</f>
        <v>25LS2569DM-B  LT</v>
      </c>
      <c r="B18903" s="3" t="s">
        <v>116</v>
      </c>
      <c r="C18903" s="6">
        <v>48</v>
      </c>
      <c r="D18903" s="7">
        <v>0</v>
      </c>
    </row>
    <row r="18904" spans="1:4" x14ac:dyDescent="0.25">
      <c r="A18904" t="str">
        <f>HYPERLINK("https://www.773grp.com/globalSearch/25S558DM/page-1", "25S558DM")</f>
        <v>25S558DM</v>
      </c>
      <c r="B18904" s="3" t="s">
        <v>116</v>
      </c>
      <c r="C18904" s="6">
        <v>120</v>
      </c>
      <c r="D18904" s="7">
        <v>0</v>
      </c>
    </row>
    <row r="18905" spans="1:4" x14ac:dyDescent="0.25">
      <c r="A18905" t="str">
        <f>HYPERLINK("https://www.773grp.com/globalSearch/25S558DM-B/page-1", "25S558DM-B")</f>
        <v>25S558DM-B</v>
      </c>
      <c r="B18905" s="3" t="s">
        <v>116</v>
      </c>
      <c r="C18905" s="6">
        <v>162</v>
      </c>
      <c r="D18905" s="7">
        <v>0</v>
      </c>
    </row>
    <row r="18906" spans="1:4" x14ac:dyDescent="0.25">
      <c r="A18906" t="str">
        <f>HYPERLINK("https://www.773grp.com/globalSearch/26LS32BDC/page-1", "26LS32BDC")</f>
        <v>26LS32BDC</v>
      </c>
      <c r="B18906" s="3" t="s">
        <v>116</v>
      </c>
      <c r="C18906" s="6">
        <v>96</v>
      </c>
      <c r="D18906" s="7">
        <v>0</v>
      </c>
    </row>
    <row r="18907" spans="1:4" x14ac:dyDescent="0.25">
      <c r="A18907" t="str">
        <f>HYPERLINK("https://www.773grp.com/globalSearch/26LS32BPC-G/page-1", "26LS32BPC-G")</f>
        <v>26LS32BPC-G</v>
      </c>
      <c r="B18907" s="3" t="s">
        <v>116</v>
      </c>
      <c r="C18907" s="6">
        <v>2514</v>
      </c>
      <c r="D18907" s="7">
        <v>0</v>
      </c>
    </row>
    <row r="18908" spans="1:4" x14ac:dyDescent="0.25">
      <c r="A18908" t="str">
        <f>HYPERLINK("https://www.773grp.com/globalSearch/26LS33LM-B  LT/page-1", "26LS33LM-B  LT")</f>
        <v>26LS33LM-B  LT</v>
      </c>
      <c r="B18908" s="3" t="s">
        <v>116</v>
      </c>
      <c r="C18908" s="6">
        <v>48</v>
      </c>
      <c r="D18908" s="7">
        <v>0</v>
      </c>
    </row>
    <row r="18909" spans="1:4" x14ac:dyDescent="0.25">
      <c r="A18909" t="str">
        <f>HYPERLINK("https://www.773grp.com/globalSearch/26LS34DC/page-1", "26LS34DC")</f>
        <v>26LS34DC</v>
      </c>
      <c r="B18909" s="3" t="s">
        <v>116</v>
      </c>
      <c r="C18909" s="6">
        <v>142</v>
      </c>
      <c r="D18909" s="7">
        <v>0</v>
      </c>
    </row>
    <row r="18910" spans="1:4" x14ac:dyDescent="0.25">
      <c r="A18910" t="str">
        <f>HYPERLINK("https://www.773grp.com/globalSearch/26S02LM-B  LT/page-1", "26S02LM-B  LT")</f>
        <v>26S02LM-B  LT</v>
      </c>
      <c r="B18910" s="3" t="s">
        <v>116</v>
      </c>
      <c r="C18910" s="6">
        <v>48</v>
      </c>
      <c r="D18910" s="7">
        <v>0</v>
      </c>
    </row>
    <row r="18911" spans="1:4" x14ac:dyDescent="0.25">
      <c r="A18911" t="str">
        <f>HYPERLINK("https://www.773grp.com/globalSearch/27C010-70DM-B  UM/page-1", "27C010-70DM-B  UM")</f>
        <v>27C010-70DM-B  UM</v>
      </c>
      <c r="B18911" s="3" t="s">
        <v>116</v>
      </c>
      <c r="C18911" s="6">
        <v>75</v>
      </c>
      <c r="D18911" s="7">
        <v>0</v>
      </c>
    </row>
    <row r="18912" spans="1:4" x14ac:dyDescent="0.25">
      <c r="A18912" t="str">
        <f>HYPERLINK("https://www.773grp.com/globalSearch/27C512-200DM-B/page-1", "27C512-200DM-B")</f>
        <v>27C512-200DM-B</v>
      </c>
      <c r="B18912" s="3" t="s">
        <v>116</v>
      </c>
      <c r="C18912" s="6">
        <v>1</v>
      </c>
      <c r="D18912" s="7">
        <v>0</v>
      </c>
    </row>
    <row r="18913" spans="1:4" x14ac:dyDescent="0.25">
      <c r="A18913" t="str">
        <f>HYPERLINK("https://www.773grp.com/globalSearch/27C512-70DM-B  UM/page-1", "27C512-70DM-B  UM")</f>
        <v>27C512-70DM-B  UM</v>
      </c>
      <c r="B18913" s="3" t="s">
        <v>116</v>
      </c>
      <c r="C18913" s="6">
        <v>312</v>
      </c>
      <c r="D18913" s="7">
        <v>0</v>
      </c>
    </row>
    <row r="18914" spans="1:4" x14ac:dyDescent="0.25">
      <c r="A18914" t="str">
        <f>HYPERLINK("https://www.773grp.com/globalSearch/27LS03-BEA/page-1", "27LS03-BEA")</f>
        <v>27LS03-BEA</v>
      </c>
      <c r="B18914" s="3" t="s">
        <v>116</v>
      </c>
      <c r="C18914" s="6">
        <v>1943</v>
      </c>
      <c r="D18914" s="7">
        <v>0</v>
      </c>
    </row>
    <row r="18915" spans="1:4" x14ac:dyDescent="0.25">
      <c r="A18915" t="str">
        <f>HYPERLINK("https://www.773grp.com/globalSearch/27LS03DM-B/page-1", "27LS03DM-B")</f>
        <v>27LS03DM-B</v>
      </c>
      <c r="B18915" s="3" t="s">
        <v>116</v>
      </c>
      <c r="C18915" s="6">
        <v>1410</v>
      </c>
      <c r="D18915" s="7">
        <v>0</v>
      </c>
    </row>
    <row r="18916" spans="1:4" x14ac:dyDescent="0.25">
      <c r="A18916" t="str">
        <f>HYPERLINK("https://www.773grp.com/globalSearch/27S03A-BEA/page-1", "27S03A-BEA")</f>
        <v>27S03A-BEA</v>
      </c>
      <c r="B18916" s="3" t="s">
        <v>116</v>
      </c>
      <c r="C18916" s="6">
        <v>1500</v>
      </c>
      <c r="D18916" s="7">
        <v>0</v>
      </c>
    </row>
    <row r="18917" spans="1:4" x14ac:dyDescent="0.25">
      <c r="A18917" t="str">
        <f>HYPERLINK("https://www.773grp.com/globalSearch/27S03ADM-B/page-1", "27S03ADM-B")</f>
        <v>27S03ADM-B</v>
      </c>
      <c r="B18917" s="3" t="s">
        <v>116</v>
      </c>
      <c r="C18917" s="6">
        <v>1162</v>
      </c>
      <c r="D18917" s="7">
        <v>0</v>
      </c>
    </row>
    <row r="18918" spans="1:4" x14ac:dyDescent="0.25">
      <c r="A18918" t="str">
        <f>HYPERLINK("https://www.773grp.com/globalSearch/27S181PC/page-1", "27S181PC")</f>
        <v>27S181PC</v>
      </c>
      <c r="B18918" s="3" t="s">
        <v>116</v>
      </c>
      <c r="C18918" s="6">
        <v>3015</v>
      </c>
      <c r="D18918" s="7">
        <v>0</v>
      </c>
    </row>
    <row r="18919" spans="1:4" x14ac:dyDescent="0.25">
      <c r="A18919" t="str">
        <f>HYPERLINK("https://www.773grp.com/globalSearch/27S181PC-G/page-1", "27S181PC-G")</f>
        <v>27S181PC-G</v>
      </c>
      <c r="B18919" s="3" t="s">
        <v>116</v>
      </c>
      <c r="C18919" s="6">
        <v>2645</v>
      </c>
      <c r="D18919" s="7">
        <v>0</v>
      </c>
    </row>
    <row r="18920" spans="1:4" x14ac:dyDescent="0.25">
      <c r="A18920" t="str">
        <f>HYPERLINK("https://www.773grp.com/globalSearch/27S191AJC/page-1", "27S191AJC")</f>
        <v>27S191AJC</v>
      </c>
      <c r="B18920" s="3" t="s">
        <v>116</v>
      </c>
      <c r="C18920" s="6">
        <v>1668</v>
      </c>
      <c r="D18920" s="7">
        <v>0</v>
      </c>
    </row>
    <row r="18921" spans="1:4" x14ac:dyDescent="0.25">
      <c r="A18921" t="str">
        <f>HYPERLINK("https://www.773grp.com/globalSearch/27S191DM-B/page-1", "27S191DM-B")</f>
        <v>27S191DM-B</v>
      </c>
      <c r="B18921" s="3" t="s">
        <v>116</v>
      </c>
      <c r="C18921" s="6">
        <v>318</v>
      </c>
      <c r="D18921" s="7">
        <v>0</v>
      </c>
    </row>
    <row r="18922" spans="1:4" x14ac:dyDescent="0.25">
      <c r="A18922" t="str">
        <f>HYPERLINK("https://www.773grp.com/globalSearch/27S85ALM-B/page-1", "27S85ALM-B")</f>
        <v>27S85ALM-B</v>
      </c>
      <c r="B18922" s="3" t="s">
        <v>116</v>
      </c>
      <c r="C18922" s="6">
        <v>17</v>
      </c>
      <c r="D18922" s="7">
        <v>0</v>
      </c>
    </row>
    <row r="18923" spans="1:4" x14ac:dyDescent="0.25">
      <c r="A18923" t="str">
        <f>HYPERLINK("https://www.773grp.com/globalSearch/2902ADM-B  LT/page-1", "2902ADM-B  LT")</f>
        <v>2902ADM-B  LT</v>
      </c>
      <c r="B18923" s="3" t="s">
        <v>116</v>
      </c>
      <c r="C18923" s="6">
        <v>48</v>
      </c>
      <c r="D18923" s="7">
        <v>0</v>
      </c>
    </row>
    <row r="18924" spans="1:4" x14ac:dyDescent="0.25">
      <c r="A18924" t="str">
        <f>HYPERLINK("https://www.773grp.com/globalSearch/2910-BQA/page-1", "2910-BQA")</f>
        <v>2910-BQA</v>
      </c>
      <c r="B18924" s="3" t="s">
        <v>116</v>
      </c>
      <c r="C18924" s="6">
        <v>1108</v>
      </c>
      <c r="D18924" s="7">
        <v>0</v>
      </c>
    </row>
    <row r="18925" spans="1:4" x14ac:dyDescent="0.25">
      <c r="A18925" t="str">
        <f>HYPERLINK("https://www.773grp.com/globalSearch/2910ADM-B  LT/page-1", "2910ADM-B  LT")</f>
        <v>2910ADM-B  LT</v>
      </c>
      <c r="B18925" s="3" t="s">
        <v>116</v>
      </c>
      <c r="C18925" s="6">
        <v>43</v>
      </c>
      <c r="D18925" s="7">
        <v>0</v>
      </c>
    </row>
    <row r="18926" spans="1:4" x14ac:dyDescent="0.25">
      <c r="A18926" t="str">
        <f>HYPERLINK("https://www.773grp.com/globalSearch/2914DM-B  LT/page-1", "2914DM-B  LT")</f>
        <v>2914DM-B  LT</v>
      </c>
      <c r="B18926" s="3" t="s">
        <v>116</v>
      </c>
      <c r="C18926" s="6">
        <v>54</v>
      </c>
      <c r="D18926" s="7">
        <v>0</v>
      </c>
    </row>
    <row r="18927" spans="1:4" x14ac:dyDescent="0.25">
      <c r="A18927" t="str">
        <f>HYPERLINK("https://www.773grp.com/globalSearch/2914PC/page-1", "2914PC")</f>
        <v>2914PC</v>
      </c>
      <c r="B18927" s="3" t="s">
        <v>116</v>
      </c>
      <c r="C18927" s="6">
        <v>45</v>
      </c>
      <c r="D18927" s="7">
        <v>0</v>
      </c>
    </row>
    <row r="18928" spans="1:4" x14ac:dyDescent="0.25">
      <c r="A18928" t="str">
        <f>HYPERLINK("https://www.773grp.com/globalSearch/2946DM-B/page-1", "2946DM-B")</f>
        <v>2946DM-B</v>
      </c>
      <c r="B18928" s="3" t="s">
        <v>116</v>
      </c>
      <c r="C18928" s="6">
        <v>77</v>
      </c>
      <c r="D18928" s="7">
        <v>0</v>
      </c>
    </row>
    <row r="18929" spans="1:4" x14ac:dyDescent="0.25">
      <c r="A18929" t="str">
        <f>HYPERLINK("https://www.773grp.com/globalSearch/2947PC UT/page-1", "2947PC UT")</f>
        <v>2947PC UT</v>
      </c>
      <c r="B18929" s="3" t="s">
        <v>116</v>
      </c>
      <c r="C18929" s="6">
        <v>4321</v>
      </c>
      <c r="D18929" s="7">
        <v>0</v>
      </c>
    </row>
    <row r="18930" spans="1:4" x14ac:dyDescent="0.25">
      <c r="A18930" t="str">
        <f>HYPERLINK("https://www.773grp.com/globalSearch/29520ALM-B  LT/page-1", "29520ALM-B  LT")</f>
        <v>29520ALM-B  LT</v>
      </c>
      <c r="B18930" s="3" t="s">
        <v>116</v>
      </c>
      <c r="C18930" s="6">
        <v>48</v>
      </c>
      <c r="D18930" s="7">
        <v>0</v>
      </c>
    </row>
    <row r="18931" spans="1:4" x14ac:dyDescent="0.25">
      <c r="A18931" t="str">
        <f>HYPERLINK("https://www.773grp.com/globalSearch/2952APC UT/page-1", "2952APC UT")</f>
        <v>2952APC UT</v>
      </c>
      <c r="B18931" s="3" t="s">
        <v>116</v>
      </c>
      <c r="C18931" s="6">
        <v>375</v>
      </c>
      <c r="D18931" s="7">
        <v>0</v>
      </c>
    </row>
    <row r="18932" spans="1:4" x14ac:dyDescent="0.25">
      <c r="A18932" t="str">
        <f>HYPERLINK("https://www.773grp.com/globalSearch/29705-BXA/page-1", "29705-BXA")</f>
        <v>29705-BXA</v>
      </c>
      <c r="B18932" s="3" t="s">
        <v>116</v>
      </c>
      <c r="C18932" s="6">
        <v>1314</v>
      </c>
      <c r="D18932" s="7">
        <v>0</v>
      </c>
    </row>
    <row r="18933" spans="1:4" x14ac:dyDescent="0.25">
      <c r="A18933" t="str">
        <f>HYPERLINK("https://www.773grp.com/globalSearch/29705ADM-B  UT/page-1", "29705ADM-B  UT")</f>
        <v>29705ADM-B  UT</v>
      </c>
      <c r="B18933" s="3" t="s">
        <v>116</v>
      </c>
      <c r="C18933" s="6">
        <v>48</v>
      </c>
      <c r="D18933" s="7">
        <v>0</v>
      </c>
    </row>
    <row r="18934" spans="1:4" x14ac:dyDescent="0.25">
      <c r="A18934" t="str">
        <f>HYPERLINK("https://www.773grp.com/globalSearch/29821ALM-B/page-1", "29821ALM-B")</f>
        <v>29821ALM-B</v>
      </c>
      <c r="B18934" s="3" t="s">
        <v>116</v>
      </c>
      <c r="C18934" s="6">
        <v>740</v>
      </c>
      <c r="D18934" s="7">
        <v>0</v>
      </c>
    </row>
    <row r="18935" spans="1:4" x14ac:dyDescent="0.25">
      <c r="A18935" t="str">
        <f>HYPERLINK("https://www.773grp.com/globalSearch/29825ADM  UT/page-1", "29825ADM  UT")</f>
        <v>29825ADM  UT</v>
      </c>
      <c r="B18935" s="3" t="s">
        <v>116</v>
      </c>
      <c r="C18935" s="6">
        <v>5552</v>
      </c>
      <c r="D18935" s="7">
        <v>0</v>
      </c>
    </row>
    <row r="18936" spans="1:4" x14ac:dyDescent="0.25">
      <c r="A18936" t="str">
        <f>HYPERLINK("https://www.773grp.com/globalSearch/29825AW-B  LT/page-1", "29825AW-B  LT")</f>
        <v>29825AW-B  LT</v>
      </c>
      <c r="B18936" s="3" t="s">
        <v>116</v>
      </c>
      <c r="C18936" s="6">
        <v>47</v>
      </c>
      <c r="D18936" s="7">
        <v>0</v>
      </c>
    </row>
    <row r="18937" spans="1:4" x14ac:dyDescent="0.25">
      <c r="A18937" t="str">
        <f>HYPERLINK("https://www.773grp.com/globalSearch/29C10A-1JC/page-1", "29C10A-1JC")</f>
        <v>29C10A-1JC</v>
      </c>
      <c r="B18937" s="3" t="s">
        <v>116</v>
      </c>
      <c r="C18937" s="6">
        <v>1000</v>
      </c>
      <c r="D18937" s="7">
        <v>0</v>
      </c>
    </row>
    <row r="18938" spans="1:4" x14ac:dyDescent="0.25">
      <c r="A18938" t="str">
        <f>HYPERLINK("https://www.773grp.com/globalSearch/29C10ADM/page-1", "29C10ADM")</f>
        <v>29C10ADM</v>
      </c>
      <c r="B18938" s="3" t="s">
        <v>116</v>
      </c>
      <c r="C18938" s="6">
        <v>27</v>
      </c>
      <c r="D18938" s="7">
        <v>0</v>
      </c>
    </row>
    <row r="18939" spans="1:4" x14ac:dyDescent="0.25">
      <c r="A18939" t="str">
        <f>HYPERLINK("https://www.773grp.com/globalSearch/29C10AJC/page-1", "29C10AJC")</f>
        <v>29C10AJC</v>
      </c>
      <c r="B18939" s="3" t="s">
        <v>116</v>
      </c>
      <c r="C18939" s="6">
        <v>650</v>
      </c>
      <c r="D18939" s="7">
        <v>0</v>
      </c>
    </row>
    <row r="18940" spans="1:4" x14ac:dyDescent="0.25">
      <c r="A18940" t="str">
        <f>HYPERLINK("https://www.773grp.com/globalSearch/29C116LM-B/page-1", "29C116LM-B")</f>
        <v>29C116LM-B</v>
      </c>
      <c r="B18940" s="3" t="s">
        <v>116</v>
      </c>
      <c r="C18940" s="6">
        <v>473</v>
      </c>
      <c r="D18940" s="7">
        <v>0</v>
      </c>
    </row>
    <row r="18941" spans="1:4" x14ac:dyDescent="0.25">
      <c r="A18941" t="str">
        <f>HYPERLINK("https://www.773grp.com/globalSearch/29C863ADM-B/page-1", "29C863ADM-B")</f>
        <v>29C863ADM-B</v>
      </c>
      <c r="B18941" s="3" t="s">
        <v>116</v>
      </c>
      <c r="C18941" s="6">
        <v>378</v>
      </c>
      <c r="D18941" s="7">
        <v>0</v>
      </c>
    </row>
    <row r="18942" spans="1:4" x14ac:dyDescent="0.25">
      <c r="A18942" t="str">
        <f>HYPERLINK("https://www.773grp.com/globalSearch/54LS461AW-B  LT/page-1", "54LS461AW-B  LT")</f>
        <v>54LS461AW-B  LT</v>
      </c>
      <c r="B18942" s="3" t="s">
        <v>116</v>
      </c>
      <c r="C18942" s="6">
        <v>44</v>
      </c>
      <c r="D18942" s="7">
        <v>0</v>
      </c>
    </row>
    <row r="18943" spans="1:4" x14ac:dyDescent="0.25">
      <c r="A18943" t="str">
        <f>HYPERLINK("https://www.773grp.com/globalSearch/74LS469ANS/page-1", "74LS469ANS")</f>
        <v>74LS469ANS</v>
      </c>
      <c r="B18943" s="3" t="s">
        <v>116</v>
      </c>
      <c r="C18943" s="6">
        <v>1179</v>
      </c>
      <c r="D18943" s="7">
        <v>0</v>
      </c>
    </row>
    <row r="18944" spans="1:4" x14ac:dyDescent="0.25">
      <c r="A18944" t="str">
        <f>HYPERLINK("https://www.773grp.com/globalSearch/7996JC/page-1", "7996JC")</f>
        <v>7996JC</v>
      </c>
      <c r="B18944" s="3" t="s">
        <v>116</v>
      </c>
      <c r="C18944" s="6">
        <v>2253</v>
      </c>
      <c r="D18944" s="7">
        <v>0</v>
      </c>
    </row>
    <row r="18945" spans="1:4" x14ac:dyDescent="0.25">
      <c r="A18945" t="str">
        <f>HYPERLINK("https://www.773grp.com/globalSearch/7996JC-G/page-1", "7996JC-G")</f>
        <v>7996JC-G</v>
      </c>
      <c r="B18945" s="3" t="s">
        <v>116</v>
      </c>
      <c r="C18945" s="6">
        <v>2340</v>
      </c>
      <c r="D18945" s="7">
        <v>0</v>
      </c>
    </row>
    <row r="18946" spans="1:4" x14ac:dyDescent="0.25">
      <c r="A18946" t="str">
        <f>HYPERLINK("https://www.773grp.com/globalSearch/79C965AKC  UT/page-1", "79C965AKC  UT")</f>
        <v>79C965AKC  UT</v>
      </c>
      <c r="B18946" s="3" t="s">
        <v>116</v>
      </c>
      <c r="C18946" s="6">
        <v>4931</v>
      </c>
      <c r="D18946" s="7">
        <v>0</v>
      </c>
    </row>
    <row r="18947" spans="1:4" x14ac:dyDescent="0.25">
      <c r="A18947" t="str">
        <f>HYPERLINK("https://www.773grp.com/globalSearch/79C984AJC/page-1", "79C984AJC")</f>
        <v>79C984AJC</v>
      </c>
      <c r="B18947" s="3" t="s">
        <v>116</v>
      </c>
      <c r="C18947" s="6">
        <v>910</v>
      </c>
      <c r="D18947" s="7">
        <v>0</v>
      </c>
    </row>
    <row r="18948" spans="1:4" x14ac:dyDescent="0.25">
      <c r="A18948" t="str">
        <f>HYPERLINK("https://www.773grp.com/globalSearch/8751H-8-BQA  UT/page-1", "8751H-8-BQA  UT")</f>
        <v>8751H-8-BQA  UT</v>
      </c>
      <c r="B18948" s="3" t="s">
        <v>116</v>
      </c>
      <c r="C18948" s="6">
        <v>449</v>
      </c>
      <c r="D18948" s="7">
        <v>0</v>
      </c>
    </row>
    <row r="18949" spans="1:4" x14ac:dyDescent="0.25">
      <c r="A18949" t="str">
        <f>HYPERLINK("https://www.773grp.com/globalSearch/93S16-BEA/page-1", "93S16-BEA")</f>
        <v>93S16-BEA</v>
      </c>
      <c r="B18949" s="3" t="s">
        <v>116</v>
      </c>
      <c r="C18949" s="6">
        <v>1139</v>
      </c>
      <c r="D18949" s="7">
        <v>0</v>
      </c>
    </row>
    <row r="18950" spans="1:4" x14ac:dyDescent="0.25">
      <c r="A18950" t="str">
        <f>HYPERLINK("https://www.773grp.com/globalSearch/93S16DM-B  LT/page-1", "93S16DM-B  LT")</f>
        <v>93S16DM-B  LT</v>
      </c>
      <c r="B18950" s="3" t="s">
        <v>116</v>
      </c>
      <c r="C18950" s="6">
        <v>48</v>
      </c>
      <c r="D18950" s="7">
        <v>0</v>
      </c>
    </row>
    <row r="18951" spans="1:4" x14ac:dyDescent="0.25">
      <c r="A18951" t="str">
        <f>HYPERLINK("https://www.773grp.com/globalSearch/93S16DM-B  UT/page-1", "93S16DM-B  UT")</f>
        <v>93S16DM-B  UT</v>
      </c>
      <c r="B18951" s="3" t="s">
        <v>116</v>
      </c>
      <c r="C18951" s="6">
        <v>259</v>
      </c>
      <c r="D18951" s="7">
        <v>0</v>
      </c>
    </row>
    <row r="18952" spans="1:4" x14ac:dyDescent="0.25">
      <c r="A18952" t="str">
        <f>HYPERLINK("https://www.773grp.com/globalSearch/9511A-1DC/page-1", "9511A-1DC")</f>
        <v>9511A-1DC</v>
      </c>
      <c r="B18952" s="3" t="s">
        <v>116</v>
      </c>
      <c r="C18952" s="6">
        <v>19</v>
      </c>
      <c r="D18952" s="7">
        <v>0</v>
      </c>
    </row>
    <row r="18953" spans="1:4" x14ac:dyDescent="0.25">
      <c r="A18953" t="str">
        <f>HYPERLINK("https://www.773grp.com/globalSearch/9511A-1DM/page-1", "9511A-1DM")</f>
        <v>9511A-1DM</v>
      </c>
      <c r="B18953" s="3" t="s">
        <v>116</v>
      </c>
      <c r="C18953" s="6">
        <v>593</v>
      </c>
      <c r="D18953" s="7">
        <v>0</v>
      </c>
    </row>
    <row r="18954" spans="1:4" x14ac:dyDescent="0.25">
      <c r="A18954" t="str">
        <f>HYPERLINK("https://www.773grp.com/globalSearch/9511ADC  UT/page-1", "9511ADC  UT")</f>
        <v>9511ADC  UT</v>
      </c>
      <c r="B18954" s="3" t="s">
        <v>116</v>
      </c>
      <c r="C18954" s="6">
        <v>113</v>
      </c>
      <c r="D18954" s="7">
        <v>0</v>
      </c>
    </row>
    <row r="18955" spans="1:4" x14ac:dyDescent="0.25">
      <c r="A18955" t="str">
        <f>HYPERLINK("https://www.773grp.com/globalSearch/9513ASM-B/page-1", "9513ASM-B")</f>
        <v>9513ASM-B</v>
      </c>
      <c r="B18955" s="3" t="s">
        <v>116</v>
      </c>
      <c r="C18955" s="6">
        <v>90</v>
      </c>
      <c r="D18955" s="7">
        <v>0</v>
      </c>
    </row>
    <row r="18956" spans="1:4" x14ac:dyDescent="0.25">
      <c r="A18956" t="str">
        <f>HYPERLINK("https://www.773grp.com/globalSearch/9517A-4DM-B  LT/page-1", "9517A-4DM-B  LT")</f>
        <v>9517A-4DM-B  LT</v>
      </c>
      <c r="B18956" s="3" t="s">
        <v>116</v>
      </c>
      <c r="C18956" s="6">
        <v>139</v>
      </c>
      <c r="D18956" s="7">
        <v>0</v>
      </c>
    </row>
    <row r="18957" spans="1:4" x14ac:dyDescent="0.25">
      <c r="A18957" t="str">
        <f>HYPERLINK("https://www.773grp.com/globalSearch/9519APC/page-1", "9519APC")</f>
        <v>9519APC</v>
      </c>
      <c r="B18957" s="3" t="s">
        <v>116</v>
      </c>
      <c r="C18957" s="6">
        <v>400</v>
      </c>
      <c r="D18957" s="7">
        <v>0</v>
      </c>
    </row>
    <row r="18958" spans="1:4" x14ac:dyDescent="0.25">
      <c r="A18958" t="str">
        <f>HYPERLINK("https://www.773grp.com/globalSearch/95C60-16GM-R/page-1", "95C60-16GM-R")</f>
        <v>95C60-16GM-R</v>
      </c>
      <c r="B18958" s="3" t="s">
        <v>116</v>
      </c>
      <c r="C18958" s="6">
        <v>11</v>
      </c>
      <c r="D18958" s="7">
        <v>0</v>
      </c>
    </row>
    <row r="18959" spans="1:4" x14ac:dyDescent="0.25">
      <c r="A18959" t="str">
        <f>HYPERLINK("https://www.773grp.com/globalSearch/95C60-16GM-R UT/page-1", "95C60-16GM-R UT")</f>
        <v>95C60-16GM-R UT</v>
      </c>
      <c r="B18959" s="3" t="s">
        <v>116</v>
      </c>
      <c r="C18959" s="6">
        <v>153</v>
      </c>
      <c r="D18959" s="7">
        <v>0</v>
      </c>
    </row>
    <row r="18960" spans="1:4" x14ac:dyDescent="0.25">
      <c r="A18960" t="str">
        <f>HYPERLINK("https://www.773grp.com/globalSearch/AM186ED-20KC\W/page-1", "AM186ED-20KC-W")</f>
        <v>AM186ED-20KC-W</v>
      </c>
      <c r="B18960" s="3" t="s">
        <v>116</v>
      </c>
      <c r="C18960" s="6">
        <v>213</v>
      </c>
      <c r="D18960" s="7">
        <v>0</v>
      </c>
    </row>
    <row r="18961" spans="1:4" x14ac:dyDescent="0.25">
      <c r="A18961" t="str">
        <f>HYPERLINK("https://www.773grp.com/globalSearch/AM186ED-20VC\W/page-1", "AM186ED-20VC-W")</f>
        <v>AM186ED-20VC-W</v>
      </c>
      <c r="B18961" s="3" t="s">
        <v>116</v>
      </c>
      <c r="C18961" s="6">
        <v>595</v>
      </c>
      <c r="D18961" s="7">
        <v>0</v>
      </c>
    </row>
    <row r="18962" spans="1:4" x14ac:dyDescent="0.25">
      <c r="A18962" t="str">
        <f>HYPERLINK("https://www.773grp.com/globalSearch/AM186ED-25KC\W-G/page-1", "AM186ED-25KC-W-G")</f>
        <v>AM186ED-25KC-W-G</v>
      </c>
      <c r="B18962" s="3" t="s">
        <v>116</v>
      </c>
      <c r="C18962" s="6">
        <v>114</v>
      </c>
      <c r="D18962" s="7">
        <v>0</v>
      </c>
    </row>
    <row r="18963" spans="1:4" x14ac:dyDescent="0.25">
      <c r="A18963" t="str">
        <f>HYPERLINK("https://www.773grp.com/globalSearch/AM186ED-25VC\W/page-1", "AM186ED-25VC-W")</f>
        <v>AM186ED-25VC-W</v>
      </c>
      <c r="B18963" s="3" t="s">
        <v>116</v>
      </c>
      <c r="C18963" s="6">
        <v>388</v>
      </c>
      <c r="D18963" s="7">
        <v>0</v>
      </c>
    </row>
    <row r="18964" spans="1:4" x14ac:dyDescent="0.25">
      <c r="A18964" t="str">
        <f>HYPERLINK("https://www.773grp.com/globalSearch/AM186ED-25VC\W UM/page-1", "AM186ED-25VC-W UM")</f>
        <v>AM186ED-25VC-W UM</v>
      </c>
      <c r="B18964" s="3" t="s">
        <v>116</v>
      </c>
      <c r="C18964" s="6">
        <v>6801</v>
      </c>
      <c r="D18964" s="7">
        <v>0</v>
      </c>
    </row>
    <row r="18965" spans="1:4" x14ac:dyDescent="0.25">
      <c r="A18965" t="str">
        <f>HYPERLINK("https://www.773grp.com/globalSearch/AM186ED-33KC\W/page-1", "AM186ED-33KC-W")</f>
        <v>AM186ED-33KC-W</v>
      </c>
      <c r="B18965" s="3" t="s">
        <v>116</v>
      </c>
      <c r="C18965" s="6">
        <v>40</v>
      </c>
      <c r="D18965" s="7">
        <v>0</v>
      </c>
    </row>
    <row r="18966" spans="1:4" x14ac:dyDescent="0.25">
      <c r="A18966" t="str">
        <f>HYPERLINK("https://www.773grp.com/globalSearch/AM186ED-33KC\W-G/page-1", "AM186ED-33KC-W-G")</f>
        <v>AM186ED-33KC-W-G</v>
      </c>
      <c r="B18966" s="3" t="s">
        <v>116</v>
      </c>
      <c r="C18966" s="6">
        <v>42</v>
      </c>
      <c r="D18966" s="7">
        <v>0</v>
      </c>
    </row>
    <row r="18967" spans="1:4" x14ac:dyDescent="0.25">
      <c r="A18967" t="str">
        <f>HYPERLINK("https://www.773grp.com/globalSearch/AM186ED-33VC\W/page-1", "AM186ED-33VC-W")</f>
        <v>AM186ED-33VC-W</v>
      </c>
      <c r="B18967" s="3" t="s">
        <v>116</v>
      </c>
      <c r="C18967" s="6">
        <v>343</v>
      </c>
      <c r="D18967" s="7">
        <v>0</v>
      </c>
    </row>
    <row r="18968" spans="1:4" x14ac:dyDescent="0.25">
      <c r="A18968" t="str">
        <f>HYPERLINK("https://www.773grp.com/globalSearch/AM186ED-40KC\W  UM/page-1", "AM186ED-40KC-W  UM")</f>
        <v>AM186ED-40KC-W  UM</v>
      </c>
      <c r="B18968" s="3" t="s">
        <v>116</v>
      </c>
      <c r="C18968" s="6">
        <v>2678</v>
      </c>
      <c r="D18968" s="7">
        <v>0</v>
      </c>
    </row>
    <row r="18969" spans="1:4" x14ac:dyDescent="0.25">
      <c r="A18969" t="str">
        <f>HYPERLINK("https://www.773grp.com/globalSearch/AM186ED-40KC\W-G  UM/page-1", "AM186ED-40KC-W-G  UM")</f>
        <v>AM186ED-40KC-W-G  UM</v>
      </c>
      <c r="B18969" s="3" t="s">
        <v>116</v>
      </c>
      <c r="C18969" s="6">
        <v>2021</v>
      </c>
      <c r="D18969" s="7">
        <v>0</v>
      </c>
    </row>
    <row r="18970" spans="1:4" x14ac:dyDescent="0.25">
      <c r="A18970" t="str">
        <f>HYPERLINK("https://www.773grp.com/globalSearch/AM186ED-40KI\W/page-1", "AM186ED-40KI-W")</f>
        <v>AM186ED-40KI-W</v>
      </c>
      <c r="B18970" s="3" t="s">
        <v>116</v>
      </c>
      <c r="C18970" s="6">
        <v>97</v>
      </c>
      <c r="D18970" s="7">
        <v>0</v>
      </c>
    </row>
    <row r="18971" spans="1:4" x14ac:dyDescent="0.25">
      <c r="A18971" t="str">
        <f>HYPERLINK("https://www.773grp.com/globalSearch/AM186ED-40VC\W/page-1", "AM186ED-40VC-W")</f>
        <v>AM186ED-40VC-W</v>
      </c>
      <c r="B18971" s="3" t="s">
        <v>116</v>
      </c>
      <c r="C18971" s="6">
        <v>648</v>
      </c>
      <c r="D18971" s="7">
        <v>0</v>
      </c>
    </row>
    <row r="18972" spans="1:4" x14ac:dyDescent="0.25">
      <c r="A18972" t="str">
        <f>HYPERLINK("https://www.773grp.com/globalSearch/AM186ED-40VC\W  UM/page-1", "AM186ED-40VC-W  UM")</f>
        <v>AM186ED-40VC-W  UM</v>
      </c>
      <c r="B18972" s="3" t="s">
        <v>116</v>
      </c>
      <c r="C18972" s="6">
        <v>68</v>
      </c>
      <c r="D18972" s="7">
        <v>0</v>
      </c>
    </row>
    <row r="18973" spans="1:4" x14ac:dyDescent="0.25">
      <c r="A18973" t="str">
        <f>HYPERLINK("https://www.773grp.com/globalSearch/AM188EM-20VC/page-1", "AM188EM-20VC")</f>
        <v>AM188EM-20VC</v>
      </c>
      <c r="B18973" s="3" t="s">
        <v>116</v>
      </c>
      <c r="C18973" s="6">
        <v>300</v>
      </c>
      <c r="D18973" s="7">
        <v>0</v>
      </c>
    </row>
    <row r="18974" spans="1:4" x14ac:dyDescent="0.25">
      <c r="A18974" t="str">
        <f>HYPERLINK("https://www.773grp.com/globalSearch/AM188EM-25KC\W/page-1", "AM188EM-25KC-W")</f>
        <v>AM188EM-25KC-W</v>
      </c>
      <c r="B18974" s="3" t="s">
        <v>116</v>
      </c>
      <c r="C18974" s="6">
        <v>79</v>
      </c>
      <c r="D18974" s="7">
        <v>0</v>
      </c>
    </row>
    <row r="18975" spans="1:4" x14ac:dyDescent="0.25">
      <c r="A18975" t="str">
        <f>HYPERLINK("https://www.773grp.com/globalSearch/AM188EM-25KC\W-G/page-1", "AM188EM-25KC-W-G")</f>
        <v>AM188EM-25KC-W-G</v>
      </c>
      <c r="B18975" s="3" t="s">
        <v>116</v>
      </c>
      <c r="C18975" s="6">
        <v>12</v>
      </c>
      <c r="D18975" s="7">
        <v>0</v>
      </c>
    </row>
    <row r="18976" spans="1:4" x14ac:dyDescent="0.25">
      <c r="A18976" t="str">
        <f>HYPERLINK("https://www.773grp.com/globalSearch/AM188EM-25VC\W/page-1", "AM188EM-25VC-W")</f>
        <v>AM188EM-25VC-W</v>
      </c>
      <c r="B18976" s="3" t="s">
        <v>116</v>
      </c>
      <c r="C18976" s="6">
        <v>117</v>
      </c>
      <c r="D18976" s="7">
        <v>0</v>
      </c>
    </row>
    <row r="18977" spans="1:5" x14ac:dyDescent="0.25">
      <c r="A18977" t="str">
        <f>HYPERLINK("https://www.773grp.com/globalSearch/AM188EM-33VC/page-1", "AM188EM-33VC")</f>
        <v>AM188EM-33VC</v>
      </c>
      <c r="B18977" s="3" t="s">
        <v>116</v>
      </c>
      <c r="C18977" s="6">
        <v>300</v>
      </c>
      <c r="D18977" s="7">
        <v>0</v>
      </c>
    </row>
    <row r="18978" spans="1:5" x14ac:dyDescent="0.25">
      <c r="A18978" t="str">
        <f>HYPERLINK("https://www.773grp.com/globalSearch/AM188EM-40KC\W/page-1", "AM188EM-40KC-W")</f>
        <v>AM188EM-40KC-W</v>
      </c>
      <c r="B18978" s="3" t="s">
        <v>116</v>
      </c>
      <c r="C18978" s="6">
        <v>2885</v>
      </c>
      <c r="D18978" s="7">
        <v>0</v>
      </c>
    </row>
    <row r="18979" spans="1:5" x14ac:dyDescent="0.25">
      <c r="A18979" t="str">
        <f>HYPERLINK("https://www.773grp.com/globalSearch/AM188EM-40KC\W  UM-UT/page-1", "AM188EM-40KC-W  UM-UT")</f>
        <v>AM188EM-40KC-W  UM-UT</v>
      </c>
      <c r="B18979" s="3" t="s">
        <v>116</v>
      </c>
      <c r="C18979" s="6">
        <v>3742</v>
      </c>
      <c r="D18979" s="7">
        <v>0</v>
      </c>
    </row>
    <row r="18980" spans="1:5" x14ac:dyDescent="0.25">
      <c r="A18980" t="str">
        <f>HYPERLINK("https://www.773grp.com/globalSearch/AM188EM-40KC\W UM/page-1", "AM188EM-40KC-W UM")</f>
        <v>AM188EM-40KC-W UM</v>
      </c>
      <c r="B18980" s="3" t="s">
        <v>116</v>
      </c>
      <c r="C18980" s="6">
        <v>1340</v>
      </c>
      <c r="D18980" s="7">
        <v>0</v>
      </c>
    </row>
    <row r="18981" spans="1:5" x14ac:dyDescent="0.25">
      <c r="A18981" t="str">
        <f>HYPERLINK("https://www.773grp.com/globalSearch/AM188EM-40VC\W/page-1", "AM188EM-40VC-W")</f>
        <v>AM188EM-40VC-W</v>
      </c>
      <c r="B18981" s="3" t="s">
        <v>116</v>
      </c>
      <c r="C18981" s="6">
        <v>1749</v>
      </c>
      <c r="D18981" s="7">
        <v>0</v>
      </c>
    </row>
    <row r="18982" spans="1:5" x14ac:dyDescent="0.25">
      <c r="A18982" t="str">
        <f>HYPERLINK("https://www.773grp.com/globalSearch/AM188EM-40VC\W  UM/page-1", "AM188EM-40VC-W  UM")</f>
        <v>AM188EM-40VC-W  UM</v>
      </c>
      <c r="B18982" s="3" t="s">
        <v>116</v>
      </c>
      <c r="C18982" s="6">
        <v>1800</v>
      </c>
      <c r="D18982" s="7">
        <v>0</v>
      </c>
    </row>
    <row r="18983" spans="1:5" x14ac:dyDescent="0.25">
      <c r="A18983" t="str">
        <f>HYPERLINK("https://www.773grp.com/globalSearch/AM188EM-40VC\W UM/page-1", "AM188EM-40VC-W UM")</f>
        <v>AM188EM-40VC-W UM</v>
      </c>
      <c r="B18983" s="3" t="s">
        <v>116</v>
      </c>
      <c r="C18983" s="6">
        <v>4529</v>
      </c>
      <c r="D18983" s="7">
        <v>0</v>
      </c>
    </row>
    <row r="18984" spans="1:5" x14ac:dyDescent="0.25">
      <c r="A18984" t="str">
        <f>HYPERLINK("https://www.773grp.com/globalSearch/AM188EM-40VI\W-G/page-1", "AM188EM-40VI-W-G")</f>
        <v>AM188EM-40VI-W-G</v>
      </c>
      <c r="B18984" s="3" t="s">
        <v>116</v>
      </c>
      <c r="C18984" s="6">
        <v>64</v>
      </c>
      <c r="D18984" s="7">
        <v>0</v>
      </c>
    </row>
    <row r="18985" spans="1:5" x14ac:dyDescent="0.25">
      <c r="A18985" t="str">
        <f>HYPERLINK("https://www.773grp.com/globalSearch/AM188EM-40VI\W-G  UM/page-1", "AM188EM-40VI-W-G  UM")</f>
        <v>AM188EM-40VI-W-G  UM</v>
      </c>
      <c r="B18985" s="3" t="s">
        <v>116</v>
      </c>
      <c r="C18985" s="6">
        <v>1502</v>
      </c>
      <c r="D18985" s="7">
        <v>0</v>
      </c>
    </row>
    <row r="18986" spans="1:5" x14ac:dyDescent="0.25">
      <c r="A18986" t="str">
        <f>HYPERLINK("https://www.773grp.com/globalSearch/AM188EMLV-20KC\W/page-1", "AM188EMLV-20KC-W")</f>
        <v>AM188EMLV-20KC-W</v>
      </c>
      <c r="B18986" s="3" t="s">
        <v>116</v>
      </c>
      <c r="C18986" s="6">
        <v>87</v>
      </c>
      <c r="D18986" s="7">
        <v>0</v>
      </c>
    </row>
    <row r="18987" spans="1:5" x14ac:dyDescent="0.25">
      <c r="A18987" t="str">
        <f>HYPERLINK("https://www.773grp.com/globalSearch/AM188EMLV-25KC\W  UM/page-1", "AM188EMLV-25KC-W  UM")</f>
        <v>AM188EMLV-25KC-W  UM</v>
      </c>
      <c r="B18987" s="3" t="s">
        <v>116</v>
      </c>
      <c r="C18987" s="6">
        <v>2174</v>
      </c>
      <c r="D18987" s="7">
        <v>0</v>
      </c>
    </row>
    <row r="18988" spans="1:5" x14ac:dyDescent="0.25">
      <c r="A18988" t="str">
        <f>HYPERLINK("https://www.773grp.com/globalSearch/AM7200-25JC/page-1", "AM7200-25JC")</f>
        <v>AM7200-25JC</v>
      </c>
      <c r="B18988" s="3" t="s">
        <v>116</v>
      </c>
      <c r="C18988" s="6">
        <v>695</v>
      </c>
      <c r="D18988" s="7">
        <v>0</v>
      </c>
      <c r="E18988" t="s">
        <v>70</v>
      </c>
    </row>
    <row r="18989" spans="1:5" x14ac:dyDescent="0.25">
      <c r="A18989" t="str">
        <f>HYPERLINK("https://www.773grp.com/globalSearch/AM7203A-50RC/page-1", "AM7203A-50RC")</f>
        <v>AM7203A-50RC</v>
      </c>
      <c r="B18989" s="3" t="s">
        <v>116</v>
      </c>
      <c r="C18989" s="6">
        <v>4255</v>
      </c>
      <c r="D18989" s="7">
        <v>0</v>
      </c>
      <c r="E18989" t="s">
        <v>70</v>
      </c>
    </row>
    <row r="18990" spans="1:5" x14ac:dyDescent="0.25">
      <c r="A18990" t="str">
        <f>HYPERLINK("https://www.773grp.com/globalSearch/AM7968-175DC/page-1", "AM7968-175DC")</f>
        <v>AM7968-175DC</v>
      </c>
      <c r="B18990" s="3" t="s">
        <v>116</v>
      </c>
      <c r="C18990" s="6">
        <v>240</v>
      </c>
      <c r="D18990" s="7">
        <v>0</v>
      </c>
    </row>
    <row r="18991" spans="1:5" x14ac:dyDescent="0.25">
      <c r="A18991" t="str">
        <f>HYPERLINK("https://www.773grp.com/globalSearch/AM7968-175DC  UM/page-1", "AM7968-175DC  UM")</f>
        <v>AM7968-175DC  UM</v>
      </c>
      <c r="B18991" s="3" t="s">
        <v>116</v>
      </c>
      <c r="C18991" s="6">
        <v>620</v>
      </c>
      <c r="D18991" s="7">
        <v>0</v>
      </c>
    </row>
    <row r="18992" spans="1:5" x14ac:dyDescent="0.25">
      <c r="A18992" t="str">
        <f>HYPERLINK("https://www.773grp.com/globalSearch/AM79865JC-G/page-1", "AM79865JC-G")</f>
        <v>AM79865JC-G</v>
      </c>
      <c r="B18992" s="3" t="s">
        <v>116</v>
      </c>
      <c r="C18992" s="6">
        <v>24443</v>
      </c>
      <c r="D18992" s="7">
        <v>0</v>
      </c>
    </row>
    <row r="18993" spans="1:5" x14ac:dyDescent="0.25">
      <c r="A18993" t="str">
        <f>HYPERLINK("https://www.773grp.com/globalSearch/AM79866AJC/page-1", "AM79866AJC")</f>
        <v>AM79866AJC</v>
      </c>
      <c r="B18993" s="3" t="s">
        <v>116</v>
      </c>
      <c r="C18993" s="6">
        <v>560</v>
      </c>
      <c r="D18993" s="7">
        <v>0</v>
      </c>
      <c r="E18993" t="s">
        <v>55</v>
      </c>
    </row>
    <row r="18994" spans="1:5" x14ac:dyDescent="0.25">
      <c r="A18994" t="str">
        <f>HYPERLINK("https://www.773grp.com/globalSearch/AM79866AJC-G/page-1", "AM79866AJC-G")</f>
        <v>AM79866AJC-G</v>
      </c>
      <c r="B18994" s="3" t="s">
        <v>116</v>
      </c>
      <c r="C18994" s="6">
        <v>2404</v>
      </c>
      <c r="D18994" s="7">
        <v>0</v>
      </c>
    </row>
    <row r="18995" spans="1:5" x14ac:dyDescent="0.25">
      <c r="A18995" t="str">
        <f>HYPERLINK("https://www.773grp.com/globalSearch/AM79C90JC-G/page-1", "AM79C90JC-G")</f>
        <v>AM79C90JC-G</v>
      </c>
      <c r="B18995" s="3" t="s">
        <v>116</v>
      </c>
      <c r="C18995" s="6">
        <v>17728</v>
      </c>
      <c r="D18995" s="7">
        <v>0</v>
      </c>
    </row>
    <row r="18996" spans="1:5" x14ac:dyDescent="0.25">
      <c r="A18996" t="str">
        <f>HYPERLINK("https://www.773grp.com/globalSearch/AM79C940BJI  UT/page-1", "AM79C940BJI  UT")</f>
        <v>AM79C940BJI  UT</v>
      </c>
      <c r="B18996" s="3" t="s">
        <v>116</v>
      </c>
      <c r="C18996" s="6">
        <v>1425</v>
      </c>
      <c r="D18996" s="7">
        <v>0</v>
      </c>
    </row>
    <row r="18997" spans="1:5" x14ac:dyDescent="0.25">
      <c r="A18997" t="str">
        <f>HYPERLINK("https://www.773grp.com/globalSearch/AM79C961AVC\W/page-1", "AM79C961AVC-W")</f>
        <v>AM79C961AVC-W</v>
      </c>
      <c r="B18997" s="3" t="s">
        <v>116</v>
      </c>
      <c r="C18997" s="6">
        <v>509</v>
      </c>
      <c r="D18997" s="7">
        <v>0</v>
      </c>
    </row>
    <row r="18998" spans="1:5" x14ac:dyDescent="0.25">
      <c r="A18998" t="str">
        <f>HYPERLINK("https://www.773grp.com/globalSearch/AM79C970AVC\W/page-1", "AM79C970AVC-W")</f>
        <v>AM79C970AVC-W</v>
      </c>
      <c r="B18998" s="3" t="s">
        <v>116</v>
      </c>
      <c r="C18998" s="6">
        <v>39</v>
      </c>
      <c r="D18998" s="7">
        <v>0</v>
      </c>
    </row>
    <row r="18999" spans="1:5" x14ac:dyDescent="0.25">
      <c r="A18999" t="str">
        <f>HYPERLINK("https://www.773grp.com/globalSearch/AM79C970AVC-G/page-1", "AM79C970AVC-G")</f>
        <v>AM79C970AVC-G</v>
      </c>
      <c r="B18999" s="3" t="s">
        <v>116</v>
      </c>
      <c r="C18999" s="6">
        <v>9579</v>
      </c>
      <c r="D18999" s="7">
        <v>0</v>
      </c>
    </row>
    <row r="19000" spans="1:5" x14ac:dyDescent="0.25">
      <c r="A19000" t="str">
        <f>HYPERLINK("https://www.773grp.com/globalSearch/AM79C971AVC\W/page-1", "AM79C971AVC-W")</f>
        <v>AM79C971AVC-W</v>
      </c>
      <c r="B19000" s="3" t="s">
        <v>116</v>
      </c>
      <c r="C19000" s="6">
        <v>13454</v>
      </c>
      <c r="D19000" s="7">
        <v>0</v>
      </c>
    </row>
    <row r="19001" spans="1:5" x14ac:dyDescent="0.25">
      <c r="A19001" t="str">
        <f>HYPERLINK("https://www.773grp.com/globalSearch/AM79C971KC\W  UT/page-1", "AM79C971KC-W  UT")</f>
        <v>AM79C971KC-W  UT</v>
      </c>
      <c r="B19001" s="3" t="s">
        <v>116</v>
      </c>
      <c r="C19001" s="6">
        <v>1402</v>
      </c>
      <c r="D19001" s="7">
        <v>0</v>
      </c>
    </row>
    <row r="19002" spans="1:5" x14ac:dyDescent="0.25">
      <c r="A19002" t="str">
        <f>HYPERLINK("https://www.773grp.com/globalSearch/AM79C971KC\W-G  UT/page-1", "AM79C971KC-W-G  UT")</f>
        <v>AM79C971KC-W-G  UT</v>
      </c>
      <c r="B19002" s="3" t="s">
        <v>116</v>
      </c>
      <c r="C19002" s="6">
        <v>1561</v>
      </c>
      <c r="D19002" s="7">
        <v>0</v>
      </c>
    </row>
    <row r="19003" spans="1:5" x14ac:dyDescent="0.25">
      <c r="A19003" t="str">
        <f>HYPERLINK("https://www.773grp.com/globalSearch/AM79C984AJC/page-1", "AM79C984AJC")</f>
        <v>AM79C984AJC</v>
      </c>
      <c r="B19003" s="3" t="s">
        <v>116</v>
      </c>
      <c r="C19003" s="6">
        <v>3905</v>
      </c>
      <c r="D19003" s="7">
        <v>0</v>
      </c>
      <c r="E19003" t="s">
        <v>45</v>
      </c>
    </row>
    <row r="19004" spans="1:5" x14ac:dyDescent="0.25">
      <c r="A19004" t="str">
        <f>HYPERLINK("https://www.773grp.com/globalSearch/AM79C984AJC  UT/page-1", "AM79C984AJC  UT")</f>
        <v>AM79C984AJC  UT</v>
      </c>
      <c r="B19004" s="3" t="s">
        <v>116</v>
      </c>
      <c r="C19004" s="6">
        <v>5521</v>
      </c>
      <c r="D19004" s="7">
        <v>0</v>
      </c>
    </row>
    <row r="19005" spans="1:5" x14ac:dyDescent="0.25">
      <c r="A19005" t="str">
        <f>HYPERLINK("https://www.773grp.com/globalSearch/AM79C984AKC\W/page-1", "AM79C984AKC-W")</f>
        <v>AM79C984AKC-W</v>
      </c>
      <c r="B19005" s="3" t="s">
        <v>116</v>
      </c>
      <c r="C19005" s="6">
        <v>344</v>
      </c>
      <c r="D19005" s="7">
        <v>0</v>
      </c>
    </row>
    <row r="19006" spans="1:5" x14ac:dyDescent="0.25">
      <c r="A19006" t="str">
        <f>HYPERLINK("https://www.773grp.com/globalSearch/AM79C984AKC\W  UT/page-1", "AM79C984AKC-W  UT")</f>
        <v>AM79C984AKC-W  UT</v>
      </c>
      <c r="B19006" s="3" t="s">
        <v>116</v>
      </c>
      <c r="C19006" s="6">
        <v>4999</v>
      </c>
      <c r="D19006" s="7">
        <v>0</v>
      </c>
    </row>
    <row r="19007" spans="1:5" x14ac:dyDescent="0.25">
      <c r="A19007" t="str">
        <f>HYPERLINK("https://www.773grp.com/globalSearch/AM79C985KC\W  UT/page-1", "AM79C985KC-W  UT")</f>
        <v>AM79C985KC-W  UT</v>
      </c>
      <c r="B19007" s="3" t="s">
        <v>116</v>
      </c>
      <c r="C19007" s="6">
        <v>1983</v>
      </c>
      <c r="D19007" s="7">
        <v>0</v>
      </c>
    </row>
    <row r="19008" spans="1:5" x14ac:dyDescent="0.25">
      <c r="A19008" t="str">
        <f>HYPERLINK("https://www.773grp.com/globalSearch/ELANSC300-33VC/page-1", "ELANSC300-33VC")</f>
        <v>ELANSC300-33VC</v>
      </c>
      <c r="B19008" s="3" t="s">
        <v>116</v>
      </c>
      <c r="C19008" s="6">
        <v>1707</v>
      </c>
      <c r="D19008" s="7">
        <v>0</v>
      </c>
      <c r="E19008" t="s">
        <v>43</v>
      </c>
    </row>
    <row r="19009" spans="1:5" x14ac:dyDescent="0.25">
      <c r="A19009" t="str">
        <f>HYPERLINK("https://www.773grp.com/globalSearch/IN80C186/page-1", "IN80C186")</f>
        <v>IN80C186</v>
      </c>
      <c r="B19009" s="3" t="s">
        <v>116</v>
      </c>
      <c r="C19009" s="6">
        <v>132</v>
      </c>
      <c r="D19009" s="7">
        <v>0</v>
      </c>
      <c r="E19009" t="s">
        <v>66</v>
      </c>
    </row>
    <row r="19010" spans="1:5" x14ac:dyDescent="0.25">
      <c r="A19010" t="str">
        <f>HYPERLINK("https://www.773grp.com/globalSearch/IN80C186-16  UM/page-1", "IN80C186-16  UM")</f>
        <v>IN80C186-16  UM</v>
      </c>
      <c r="B19010" s="3" t="s">
        <v>116</v>
      </c>
      <c r="C19010" s="6">
        <v>747</v>
      </c>
      <c r="D19010" s="7">
        <v>0</v>
      </c>
    </row>
    <row r="19011" spans="1:5" x14ac:dyDescent="0.25">
      <c r="A19011" t="str">
        <f>HYPERLINK("https://www.773grp.com/globalSearch/IN80C188-16 UM/page-1", "IN80C188-16 UM")</f>
        <v>IN80C188-16 UM</v>
      </c>
      <c r="B19011" s="3" t="s">
        <v>116</v>
      </c>
      <c r="C19011" s="6">
        <v>446</v>
      </c>
      <c r="D19011" s="7">
        <v>0</v>
      </c>
    </row>
    <row r="19012" spans="1:5" x14ac:dyDescent="0.25">
      <c r="A19012" t="str">
        <f>HYPERLINK("https://www.773grp.com/globalSearch/IN80C188-16-G/page-1", "IN80C188-16-G")</f>
        <v>IN80C188-16-G</v>
      </c>
      <c r="B19012" s="3" t="s">
        <v>116</v>
      </c>
      <c r="C19012" s="6">
        <v>522</v>
      </c>
      <c r="D19012" s="7">
        <v>0</v>
      </c>
    </row>
    <row r="19013" spans="1:5" x14ac:dyDescent="0.25">
      <c r="A19013" t="str">
        <f>HYPERLINK("https://www.773grp.com/globalSearch/IN80C188-20/page-1", "IN80C188-20")</f>
        <v>IN80C188-20</v>
      </c>
      <c r="B19013" s="3" t="s">
        <v>116</v>
      </c>
      <c r="C19013" s="6">
        <v>123</v>
      </c>
      <c r="D19013" s="7">
        <v>0</v>
      </c>
      <c r="E19013" t="s">
        <v>66</v>
      </c>
    </row>
    <row r="19014" spans="1:5" x14ac:dyDescent="0.25">
      <c r="A19014" t="str">
        <f>HYPERLINK("https://www.773grp.com/globalSearch/IN80C188-25 UM/page-1", "IN80C188-25 UM")</f>
        <v>IN80C188-25 UM</v>
      </c>
      <c r="B19014" s="3" t="s">
        <v>116</v>
      </c>
      <c r="C19014" s="6">
        <v>12815</v>
      </c>
      <c r="D19014" s="7">
        <v>0</v>
      </c>
    </row>
    <row r="19015" spans="1:5" x14ac:dyDescent="0.25">
      <c r="A19015" t="str">
        <f>HYPERLINK("https://www.773grp.com/globalSearch/MD8284A-B  D1/page-1", "MD8284A-B  D1")</f>
        <v>MD8284A-B  D1</v>
      </c>
      <c r="B19015" s="3" t="s">
        <v>116</v>
      </c>
      <c r="C19015" s="6">
        <v>89</v>
      </c>
      <c r="D19015" s="7">
        <v>0</v>
      </c>
    </row>
    <row r="19016" spans="1:5" x14ac:dyDescent="0.25">
      <c r="A19016" t="str">
        <f>HYPERLINK("https://www.773grp.com/globalSearch/N80C186-12-G UM/page-1", "N80C186-12-G UM")</f>
        <v>N80C186-12-G UM</v>
      </c>
      <c r="B19016" s="3" t="s">
        <v>116</v>
      </c>
      <c r="C19016" s="6">
        <v>13</v>
      </c>
      <c r="D19016" s="7">
        <v>0</v>
      </c>
    </row>
    <row r="19017" spans="1:5" x14ac:dyDescent="0.25">
      <c r="A19017" t="str">
        <f>HYPERLINK("https://www.773grp.com/globalSearch/N80C186-16-G UM/page-1", "N80C186-16-G UM")</f>
        <v>N80C186-16-G UM</v>
      </c>
      <c r="B19017" s="3" t="s">
        <v>116</v>
      </c>
      <c r="C19017" s="6">
        <v>5</v>
      </c>
      <c r="D19017" s="7">
        <v>0</v>
      </c>
    </row>
    <row r="19018" spans="1:5" x14ac:dyDescent="0.25">
      <c r="A19018" t="str">
        <f>HYPERLINK("https://www.773grp.com/globalSearch/N80C186-20/page-1", "N80C186-20")</f>
        <v>N80C186-20</v>
      </c>
      <c r="B19018" s="3" t="s">
        <v>116</v>
      </c>
      <c r="C19018" s="6">
        <v>49</v>
      </c>
      <c r="D19018" s="7">
        <v>0</v>
      </c>
      <c r="E19018" t="s">
        <v>66</v>
      </c>
    </row>
    <row r="19019" spans="1:5" x14ac:dyDescent="0.25">
      <c r="A19019" t="str">
        <f>HYPERLINK("https://www.773grp.com/globalSearch/N80C186-20-G UM/page-1", "N80C186-20-G UM")</f>
        <v>N80C186-20-G UM</v>
      </c>
      <c r="B19019" s="3" t="s">
        <v>116</v>
      </c>
      <c r="C19019" s="6">
        <v>2526</v>
      </c>
      <c r="D19019" s="7">
        <v>0</v>
      </c>
    </row>
    <row r="19020" spans="1:5" x14ac:dyDescent="0.25">
      <c r="A19020" t="str">
        <f>HYPERLINK("https://www.773grp.com/globalSearch/N80C186-25 UM/page-1", "N80C186-25 UM")</f>
        <v>N80C186-25 UM</v>
      </c>
      <c r="B19020" s="3" t="s">
        <v>116</v>
      </c>
      <c r="C19020" s="6">
        <v>10975</v>
      </c>
      <c r="D19020" s="7">
        <v>0</v>
      </c>
    </row>
    <row r="19021" spans="1:5" x14ac:dyDescent="0.25">
      <c r="A19021" t="str">
        <f>HYPERLINK("https://www.773grp.com/globalSearch/N80C186-25-G UM/page-1", "N80C186-25-G UM")</f>
        <v>N80C186-25-G UM</v>
      </c>
      <c r="B19021" s="3" t="s">
        <v>116</v>
      </c>
      <c r="C19021" s="6">
        <v>21456</v>
      </c>
      <c r="D19021" s="7">
        <v>0</v>
      </c>
    </row>
    <row r="19022" spans="1:5" x14ac:dyDescent="0.25">
      <c r="A19022" t="str">
        <f>HYPERLINK("https://www.773grp.com/globalSearch/N80C188-12/page-1", "N80C188-12")</f>
        <v>N80C188-12</v>
      </c>
      <c r="B19022" s="3" t="s">
        <v>116</v>
      </c>
      <c r="C19022" s="6">
        <v>71</v>
      </c>
      <c r="D19022" s="7">
        <v>0</v>
      </c>
    </row>
    <row r="19023" spans="1:5" x14ac:dyDescent="0.25">
      <c r="A19023" t="str">
        <f>HYPERLINK("https://www.773grp.com/globalSearch/N80C188-12  UM/page-1", "N80C188-12  UM")</f>
        <v>N80C188-12  UM</v>
      </c>
      <c r="B19023" s="3" t="s">
        <v>116</v>
      </c>
      <c r="C19023" s="6">
        <v>3</v>
      </c>
      <c r="D19023" s="7">
        <v>0</v>
      </c>
    </row>
    <row r="19024" spans="1:5" x14ac:dyDescent="0.25">
      <c r="A19024" t="str">
        <f>HYPERLINK("https://www.773grp.com/globalSearch/N80C188-16 UM/page-1", "N80C188-16 UM")</f>
        <v>N80C188-16 UM</v>
      </c>
      <c r="B19024" s="3" t="s">
        <v>116</v>
      </c>
      <c r="C19024" s="6">
        <v>73</v>
      </c>
      <c r="D19024" s="7">
        <v>0</v>
      </c>
    </row>
    <row r="19025" spans="1:5" x14ac:dyDescent="0.25">
      <c r="A19025" t="str">
        <f>HYPERLINK("https://www.773grp.com/globalSearch/N80C188-20/page-1", "N80C188-20")</f>
        <v>N80C188-20</v>
      </c>
      <c r="B19025" s="3" t="s">
        <v>116</v>
      </c>
      <c r="C19025" s="6">
        <v>466</v>
      </c>
      <c r="D19025" s="7">
        <v>0</v>
      </c>
    </row>
    <row r="19026" spans="1:5" x14ac:dyDescent="0.25">
      <c r="A19026" t="str">
        <f>HYPERLINK("https://www.773grp.com/globalSearch/N80C188-20  UM/page-1", "N80C188-20  UM")</f>
        <v>N80C188-20  UM</v>
      </c>
      <c r="B19026" s="3" t="s">
        <v>116</v>
      </c>
      <c r="C19026" s="6">
        <v>1345</v>
      </c>
      <c r="D19026" s="7">
        <v>0</v>
      </c>
    </row>
    <row r="19027" spans="1:5" x14ac:dyDescent="0.25">
      <c r="A19027" t="str">
        <f>HYPERLINK("https://www.773grp.com/globalSearch/N80C188-20-G UM/page-1", "N80C188-20-G UM")</f>
        <v>N80C188-20-G UM</v>
      </c>
      <c r="B19027" s="3" t="s">
        <v>116</v>
      </c>
      <c r="C19027" s="6">
        <v>7395</v>
      </c>
      <c r="D19027" s="7">
        <v>0</v>
      </c>
    </row>
    <row r="19028" spans="1:5" x14ac:dyDescent="0.25">
      <c r="A19028" t="str">
        <f>HYPERLINK("https://www.773grp.com/globalSearch/N80C188-25/page-1", "N80C188-25")</f>
        <v>N80C188-25</v>
      </c>
      <c r="B19028" s="3" t="s">
        <v>116</v>
      </c>
      <c r="C19028" s="6">
        <v>6300</v>
      </c>
      <c r="D19028" s="7">
        <v>0</v>
      </c>
      <c r="E19028" t="s">
        <v>66</v>
      </c>
    </row>
    <row r="19029" spans="1:5" x14ac:dyDescent="0.25">
      <c r="A19029" t="str">
        <f>HYPERLINK("https://www.773grp.com/globalSearch/N80C188-25 UM/page-1", "N80C188-25 UM")</f>
        <v>N80C188-25 UM</v>
      </c>
      <c r="B19029" s="3" t="s">
        <v>116</v>
      </c>
      <c r="C19029" s="6">
        <v>14328</v>
      </c>
      <c r="D19029" s="7">
        <v>0</v>
      </c>
    </row>
    <row r="19030" spans="1:5" x14ac:dyDescent="0.25">
      <c r="A19030" t="str">
        <f>HYPERLINK("https://www.773grp.com/globalSearch/N80C188-25-G UM/page-1", "N80C188-25-G UM")</f>
        <v>N80C188-25-G UM</v>
      </c>
      <c r="B19030" s="3" t="s">
        <v>116</v>
      </c>
      <c r="C19030" s="6">
        <v>29553</v>
      </c>
      <c r="D19030" s="7">
        <v>0</v>
      </c>
    </row>
    <row r="19031" spans="1:5" x14ac:dyDescent="0.25">
      <c r="A19031" t="str">
        <f>HYPERLINK("https://www.773grp.com/globalSearch/PAL16L8A-4MJ-B UT/page-1", "PAL16L8A-4MJ-B UT")</f>
        <v>PAL16L8A-4MJ-B UT</v>
      </c>
      <c r="B19031" s="3" t="s">
        <v>116</v>
      </c>
      <c r="C19031" s="6">
        <v>1519</v>
      </c>
      <c r="D19031" s="7">
        <v>0</v>
      </c>
    </row>
    <row r="19032" spans="1:5" x14ac:dyDescent="0.25">
      <c r="A19032" t="str">
        <f>HYPERLINK("https://www.773grp.com/globalSearch/PAL16R4A-7CJ  UT/page-1", "PAL16R4A-7CJ  UT")</f>
        <v>PAL16R4A-7CJ  UT</v>
      </c>
      <c r="B19032" s="3" t="s">
        <v>116</v>
      </c>
      <c r="C19032" s="6">
        <v>7097</v>
      </c>
      <c r="D19032" s="7">
        <v>0</v>
      </c>
    </row>
    <row r="19033" spans="1:5" x14ac:dyDescent="0.25">
      <c r="A19033" t="str">
        <f>HYPERLINK("https://www.773grp.com/globalSearch/PAL16R8-4JC-SPECIAL/page-1", "PAL16R8-4JC-SPECIAL")</f>
        <v>PAL16R8-4JC-SPECIAL</v>
      </c>
      <c r="B19033" s="3" t="s">
        <v>116</v>
      </c>
      <c r="C19033" s="6">
        <v>229</v>
      </c>
      <c r="D19033" s="7">
        <v>0</v>
      </c>
    </row>
    <row r="19034" spans="1:5" x14ac:dyDescent="0.25">
      <c r="A19034" t="str">
        <f>HYPERLINK("https://www.773grp.com/globalSearch/PAL16R8-4JC-UNPROGRAMMED/page-1", "PAL16R8-4JC-UNPROGRAMMED")</f>
        <v>PAL16R8-4JC-UNPROGRAMMED</v>
      </c>
      <c r="B19034" s="3" t="s">
        <v>116</v>
      </c>
      <c r="C19034" s="6">
        <v>3023</v>
      </c>
      <c r="D19034" s="7">
        <v>0</v>
      </c>
    </row>
    <row r="19035" spans="1:5" x14ac:dyDescent="0.25">
      <c r="A19035" t="str">
        <f>HYPERLINK("https://www.773grp.com/globalSearch/R1144  UT/page-1", "R1144  UT")</f>
        <v>R1144  UT</v>
      </c>
      <c r="B19035" s="3" t="s">
        <v>116</v>
      </c>
      <c r="C19035" s="6">
        <v>19694</v>
      </c>
      <c r="D19035" s="7">
        <v>0</v>
      </c>
    </row>
    <row r="19036" spans="1:5" x14ac:dyDescent="0.25">
      <c r="A19036" t="str">
        <f>HYPERLINK("https://www.773grp.com/globalSearch/R1156/page-1", "R1156")</f>
        <v>R1156</v>
      </c>
      <c r="B19036" s="3" t="s">
        <v>116</v>
      </c>
      <c r="C19036" s="6">
        <v>449</v>
      </c>
      <c r="D19036" s="7">
        <v>0</v>
      </c>
    </row>
    <row r="19037" spans="1:5" x14ac:dyDescent="0.25">
      <c r="A19037" t="str">
        <f>HYPERLINK("https://www.773grp.com/globalSearch/R1157/page-1", "R1157")</f>
        <v>R1157</v>
      </c>
      <c r="B19037" s="3" t="s">
        <v>116</v>
      </c>
      <c r="C19037" s="6">
        <v>7</v>
      </c>
      <c r="D19037" s="7">
        <v>0</v>
      </c>
    </row>
    <row r="19038" spans="1:5" x14ac:dyDescent="0.25">
      <c r="A19038" t="str">
        <f>HYPERLINK("https://www.773grp.com/globalSearch/R1318 (5962-8984102KA)/page-1", "R1318 (5962-8984102KA)")</f>
        <v>R1318 (5962-8984102KA)</v>
      </c>
      <c r="B19038" s="3" t="s">
        <v>116</v>
      </c>
      <c r="C19038" s="6">
        <v>43</v>
      </c>
      <c r="D19038" s="7">
        <v>0</v>
      </c>
    </row>
    <row r="19039" spans="1:5" x14ac:dyDescent="0.25">
      <c r="A19039" t="str">
        <f>HYPERLINK("https://www.773grp.com/globalSearch/R1383/page-1", "R1383")</f>
        <v>R1383</v>
      </c>
      <c r="B19039" s="3" t="s">
        <v>116</v>
      </c>
      <c r="C19039" s="6">
        <v>60</v>
      </c>
      <c r="D19039" s="7">
        <v>0</v>
      </c>
    </row>
    <row r="19040" spans="1:5" x14ac:dyDescent="0.25">
      <c r="A19040" t="str">
        <f>HYPERLINK("https://www.773grp.com/globalSearch/R1516/page-1", "R1516")</f>
        <v>R1516</v>
      </c>
      <c r="B19040" s="3" t="s">
        <v>116</v>
      </c>
      <c r="C19040" s="6">
        <v>297</v>
      </c>
      <c r="D19040" s="7">
        <v>0</v>
      </c>
    </row>
    <row r="19041" spans="1:5" x14ac:dyDescent="0.25">
      <c r="A19041" t="str">
        <f>HYPERLINK("https://www.773grp.com/globalSearch/R176003 UT/page-1", "R176003 UT")</f>
        <v>R176003 UT</v>
      </c>
      <c r="B19041" s="3" t="s">
        <v>116</v>
      </c>
      <c r="C19041" s="6">
        <v>48</v>
      </c>
      <c r="D19041" s="7">
        <v>0</v>
      </c>
    </row>
    <row r="19042" spans="1:5" x14ac:dyDescent="0.25">
      <c r="A19042" t="str">
        <f>HYPERLINK("https://www.773grp.com/globalSearch/R186001/page-1", "R186001")</f>
        <v>R186001</v>
      </c>
      <c r="B19042" s="3" t="s">
        <v>116</v>
      </c>
      <c r="C19042" s="6">
        <v>48</v>
      </c>
      <c r="D19042" s="7">
        <v>0</v>
      </c>
    </row>
    <row r="19043" spans="1:5" x14ac:dyDescent="0.25">
      <c r="A19043" t="str">
        <f>HYPERLINK("https://www.773grp.com/globalSearch/R594110/page-1", "R594110")</f>
        <v>R594110</v>
      </c>
      <c r="B19043" s="3" t="s">
        <v>116</v>
      </c>
      <c r="C19043" s="6">
        <v>26</v>
      </c>
      <c r="D19043" s="7">
        <v>0</v>
      </c>
    </row>
    <row r="19044" spans="1:5" x14ac:dyDescent="0.25">
      <c r="A19044" t="str">
        <f>HYPERLINK("https://www.773grp.com/globalSearch/R618006/page-1", "R618006")</f>
        <v>R618006</v>
      </c>
      <c r="B19044" s="3" t="s">
        <v>116</v>
      </c>
      <c r="C19044" s="6">
        <v>459</v>
      </c>
      <c r="D19044" s="7">
        <v>0</v>
      </c>
    </row>
    <row r="19045" spans="1:5" x14ac:dyDescent="0.25">
      <c r="A19045" t="str">
        <f>HYPERLINK("https://www.773grp.com/globalSearch/R716001/page-1", "R716001")</f>
        <v>R716001</v>
      </c>
      <c r="B19045" s="3" t="s">
        <v>116</v>
      </c>
      <c r="C19045" s="6">
        <v>112</v>
      </c>
      <c r="D19045" s="7">
        <v>0</v>
      </c>
    </row>
    <row r="19046" spans="1:5" x14ac:dyDescent="0.25">
      <c r="A19046" t="str">
        <f>HYPERLINK("https://www.773grp.com/globalSearch/SB80C186-25  UF/page-1", "SB80C186-25  UF")</f>
        <v>SB80C186-25  UF</v>
      </c>
      <c r="B19046" s="3" t="s">
        <v>116</v>
      </c>
      <c r="C19046" s="6">
        <v>4636</v>
      </c>
      <c r="D19046" s="7">
        <v>0</v>
      </c>
    </row>
    <row r="19047" spans="1:5" x14ac:dyDescent="0.25">
      <c r="A19047" t="str">
        <f>HYPERLINK("https://www.773grp.com/globalSearch/AD624BD-G/page-1", "AD624BD-G")</f>
        <v>AD624BD-G</v>
      </c>
      <c r="B19047" s="3" t="s">
        <v>116</v>
      </c>
      <c r="C19047" s="6">
        <v>1353</v>
      </c>
      <c r="D19047" s="7">
        <v>0</v>
      </c>
    </row>
    <row r="19048" spans="1:5" x14ac:dyDescent="0.25">
      <c r="A19048" t="str">
        <f>HYPERLINK("https://www.773grp.com/globalSearch/R1126/page-1", "R1126")</f>
        <v>R1126</v>
      </c>
      <c r="B19048" s="3" t="s">
        <v>116</v>
      </c>
      <c r="C19048" s="6">
        <v>16</v>
      </c>
      <c r="D19048" s="7">
        <v>0</v>
      </c>
    </row>
    <row r="19049" spans="1:5" x14ac:dyDescent="0.25">
      <c r="A19049" t="str">
        <f>HYPERLINK("https://www.773grp.com/globalSearch/R1342/page-1", "R1342")</f>
        <v>R1342</v>
      </c>
      <c r="B19049" s="3" t="s">
        <v>116</v>
      </c>
      <c r="C19049" s="6">
        <v>3808</v>
      </c>
      <c r="D19049" s="7">
        <v>0</v>
      </c>
    </row>
    <row r="19050" spans="1:5" x14ac:dyDescent="0.25">
      <c r="A19050" t="str">
        <f>HYPERLINK("https://www.773grp.com/globalSearch/CS5012A-BL7 REJECTS/page-1", "CS5012A-BL7 REJECTS")</f>
        <v>CS5012A-BL7 REJECTS</v>
      </c>
      <c r="B19050" s="3" t="s">
        <v>116</v>
      </c>
      <c r="C19050" s="6">
        <v>11</v>
      </c>
      <c r="D19050" s="7">
        <v>0</v>
      </c>
    </row>
    <row r="19051" spans="1:5" x14ac:dyDescent="0.25">
      <c r="A19051" t="str">
        <f>HYPERLINK("https://www.773grp.com/globalSearch/CY7C429-15VC  UM/page-1", "CY7C429-15VC  UM")</f>
        <v>CY7C429-15VC  UM</v>
      </c>
      <c r="B19051" s="3" t="s">
        <v>116</v>
      </c>
      <c r="C19051" s="6">
        <v>1207</v>
      </c>
      <c r="D19051" s="7">
        <v>0</v>
      </c>
    </row>
    <row r="19052" spans="1:5" x14ac:dyDescent="0.25">
      <c r="A19052" t="str">
        <f>HYPERLINK("https://www.773grp.com/globalSearch/R1482/page-1", "R1482")</f>
        <v>R1482</v>
      </c>
      <c r="B19052" s="3" t="s">
        <v>116</v>
      </c>
      <c r="C19052" s="6">
        <v>98</v>
      </c>
      <c r="D19052" s="7">
        <v>0</v>
      </c>
    </row>
    <row r="19053" spans="1:5" x14ac:dyDescent="0.25">
      <c r="A19053" t="str">
        <f>HYPERLINK("https://www.773grp.com/globalSearch/100201SCX/page-1", "100201SCX")</f>
        <v>100201SCX</v>
      </c>
      <c r="B19053" s="3" t="s">
        <v>116</v>
      </c>
      <c r="C19053" s="6">
        <v>3349</v>
      </c>
      <c r="D19053" s="7">
        <v>0</v>
      </c>
      <c r="E19053" t="s">
        <v>27</v>
      </c>
    </row>
    <row r="19054" spans="1:5" x14ac:dyDescent="0.25">
      <c r="A19054" t="str">
        <f>HYPERLINK("https://www.773grp.com/globalSearch/100371SC/page-1", "100371SC")</f>
        <v>100371SC</v>
      </c>
      <c r="B19054" s="3" t="s">
        <v>116</v>
      </c>
      <c r="C19054" s="6">
        <v>771</v>
      </c>
      <c r="D19054" s="7">
        <v>0</v>
      </c>
      <c r="E19054" t="s">
        <v>16</v>
      </c>
    </row>
    <row r="19055" spans="1:5" x14ac:dyDescent="0.25">
      <c r="A19055" t="str">
        <f>HYPERLINK("https://www.773grp.com/globalSearch/54AC00-QCA/page-1", "54AC00-QCA")</f>
        <v>54AC00-QCA</v>
      </c>
      <c r="B19055" s="3" t="s">
        <v>116</v>
      </c>
      <c r="C19055" s="6">
        <v>947</v>
      </c>
      <c r="D19055" s="7">
        <v>0</v>
      </c>
    </row>
    <row r="19056" spans="1:5" x14ac:dyDescent="0.25">
      <c r="A19056" t="str">
        <f>HYPERLINK("https://www.773grp.com/globalSearch/54AC08-BCA/page-1", "54AC08-BCA")</f>
        <v>54AC08-BCA</v>
      </c>
      <c r="B19056" s="3" t="s">
        <v>116</v>
      </c>
      <c r="C19056" s="6">
        <v>926</v>
      </c>
      <c r="D19056" s="7">
        <v>0</v>
      </c>
    </row>
    <row r="19057" spans="1:5" x14ac:dyDescent="0.25">
      <c r="A19057" t="str">
        <f>HYPERLINK("https://www.773grp.com/globalSearch/54AC14-BDA/page-1", "54AC14-BDA")</f>
        <v>54AC14-BDA</v>
      </c>
      <c r="B19057" s="3" t="s">
        <v>116</v>
      </c>
      <c r="C19057" s="6">
        <v>204</v>
      </c>
      <c r="D19057" s="7">
        <v>0</v>
      </c>
    </row>
    <row r="19058" spans="1:5" x14ac:dyDescent="0.25">
      <c r="A19058" t="str">
        <f>HYPERLINK("https://www.773grp.com/globalSearch/54AC244-BRA  WIP/page-1", "54AC244-BRA  WIP")</f>
        <v>54AC244-BRA  WIP</v>
      </c>
      <c r="B19058" s="3" t="s">
        <v>116</v>
      </c>
      <c r="C19058" s="6">
        <v>982</v>
      </c>
      <c r="D19058" s="7">
        <v>0</v>
      </c>
    </row>
    <row r="19059" spans="1:5" x14ac:dyDescent="0.25">
      <c r="A19059" t="str">
        <f>HYPERLINK("https://www.773grp.com/globalSearch/54ACT373DM-B/page-1", "54ACT373DM-B")</f>
        <v>54ACT373DM-B</v>
      </c>
      <c r="B19059" s="3" t="s">
        <v>116</v>
      </c>
      <c r="C19059" s="6">
        <v>639</v>
      </c>
      <c r="D19059" s="7">
        <v>0</v>
      </c>
    </row>
    <row r="19060" spans="1:5" x14ac:dyDescent="0.25">
      <c r="A19060" t="str">
        <f>HYPERLINK("https://www.773grp.com/globalSearch/54ACTQ02-Q2A/page-1", "54ACTQ02-Q2A")</f>
        <v>54ACTQ02-Q2A</v>
      </c>
      <c r="B19060" s="3" t="s">
        <v>116</v>
      </c>
      <c r="C19060" s="6">
        <v>181</v>
      </c>
      <c r="D19060" s="7">
        <v>0</v>
      </c>
    </row>
    <row r="19061" spans="1:5" x14ac:dyDescent="0.25">
      <c r="A19061" t="str">
        <f>HYPERLINK("https://www.773grp.com/globalSearch/54ACTQ245DM-B/page-1", "54ACTQ245DM-B")</f>
        <v>54ACTQ245DM-B</v>
      </c>
      <c r="B19061" s="3" t="s">
        <v>116</v>
      </c>
      <c r="C19061" s="6">
        <v>6264</v>
      </c>
      <c r="D19061" s="7">
        <v>0</v>
      </c>
    </row>
    <row r="19062" spans="1:5" x14ac:dyDescent="0.25">
      <c r="A19062" t="str">
        <f>HYPERLINK("https://www.773grp.com/globalSearch/54ACTQ32-QCA/page-1", "54ACTQ32-QCA")</f>
        <v>54ACTQ32-QCA</v>
      </c>
      <c r="B19062" s="3" t="s">
        <v>116</v>
      </c>
      <c r="C19062" s="6">
        <v>127</v>
      </c>
      <c r="D19062" s="7">
        <v>0</v>
      </c>
    </row>
    <row r="19063" spans="1:5" x14ac:dyDescent="0.25">
      <c r="A19063" t="str">
        <f>HYPERLINK("https://www.773grp.com/globalSearch/54F02DC/page-1", "54F02DC")</f>
        <v>54F02DC</v>
      </c>
      <c r="B19063" s="3" t="s">
        <v>116</v>
      </c>
      <c r="C19063" s="6">
        <v>968</v>
      </c>
      <c r="D19063" s="7">
        <v>0</v>
      </c>
    </row>
    <row r="19064" spans="1:5" x14ac:dyDescent="0.25">
      <c r="A19064" t="str">
        <f>HYPERLINK("https://www.773grp.com/globalSearch/54F04-BCA/page-1", "54F04-BCA")</f>
        <v>54F04-BCA</v>
      </c>
      <c r="B19064" s="3" t="s">
        <v>116</v>
      </c>
      <c r="C19064" s="6">
        <v>922</v>
      </c>
      <c r="D19064" s="7">
        <v>0</v>
      </c>
    </row>
    <row r="19065" spans="1:5" x14ac:dyDescent="0.25">
      <c r="A19065" t="str">
        <f>HYPERLINK("https://www.773grp.com/globalSearch/54F10-BCA/page-1", "54F10-BCA")</f>
        <v>54F10-BCA</v>
      </c>
      <c r="B19065" s="3" t="s">
        <v>116</v>
      </c>
      <c r="C19065" s="6">
        <v>955</v>
      </c>
      <c r="D19065" s="7">
        <v>0</v>
      </c>
    </row>
    <row r="19066" spans="1:5" x14ac:dyDescent="0.25">
      <c r="A19066" t="str">
        <f>HYPERLINK("https://www.773grp.com/globalSearch/54F151-BFA/page-1", "54F151-BFA")</f>
        <v>54F151-BFA</v>
      </c>
      <c r="B19066" s="3" t="s">
        <v>116</v>
      </c>
      <c r="C19066" s="6">
        <v>326</v>
      </c>
      <c r="D19066" s="7">
        <v>0</v>
      </c>
    </row>
    <row r="19067" spans="1:5" x14ac:dyDescent="0.25">
      <c r="A19067" t="str">
        <f>HYPERLINK("https://www.773grp.com/globalSearch/54F153-BEA/page-1", "54F153-BEA")</f>
        <v>54F153-BEA</v>
      </c>
      <c r="B19067" s="3" t="s">
        <v>116</v>
      </c>
      <c r="C19067" s="6">
        <v>1350</v>
      </c>
      <c r="D19067" s="7">
        <v>0</v>
      </c>
      <c r="E19067" t="s">
        <v>16</v>
      </c>
    </row>
    <row r="19068" spans="1:5" x14ac:dyDescent="0.25">
      <c r="A19068" t="str">
        <f>HYPERLINK("https://www.773grp.com/globalSearch/54F161-B2A/page-1", "54F161-B2A")</f>
        <v>54F161-B2A</v>
      </c>
      <c r="B19068" s="3" t="s">
        <v>116</v>
      </c>
      <c r="C19068" s="6">
        <v>912</v>
      </c>
      <c r="D19068" s="7">
        <v>0</v>
      </c>
    </row>
    <row r="19069" spans="1:5" x14ac:dyDescent="0.25">
      <c r="A19069" t="str">
        <f>HYPERLINK("https://www.773grp.com/globalSearch/54F163-B2A/page-1", "54F163-B2A")</f>
        <v>54F163-B2A</v>
      </c>
      <c r="B19069" s="3" t="s">
        <v>116</v>
      </c>
      <c r="C19069" s="6">
        <v>230</v>
      </c>
      <c r="D19069" s="7">
        <v>0</v>
      </c>
    </row>
    <row r="19070" spans="1:5" x14ac:dyDescent="0.25">
      <c r="A19070" t="str">
        <f>HYPERLINK("https://www.773grp.com/globalSearch/54F280-B2A/page-1", "54F280-B2A")</f>
        <v>54F280-B2A</v>
      </c>
      <c r="B19070" s="3" t="s">
        <v>116</v>
      </c>
      <c r="C19070" s="6">
        <v>931</v>
      </c>
      <c r="D19070" s="7">
        <v>0</v>
      </c>
    </row>
    <row r="19071" spans="1:5" x14ac:dyDescent="0.25">
      <c r="A19071" t="str">
        <f>HYPERLINK("https://www.773grp.com/globalSearch/54F280-BCA/page-1", "54F280-BCA")</f>
        <v>54F280-BCA</v>
      </c>
      <c r="B19071" s="3" t="s">
        <v>116</v>
      </c>
      <c r="C19071" s="6">
        <v>869</v>
      </c>
      <c r="D19071" s="7">
        <v>0</v>
      </c>
    </row>
    <row r="19072" spans="1:5" x14ac:dyDescent="0.25">
      <c r="A19072" t="str">
        <f>HYPERLINK("https://www.773grp.com/globalSearch/54F280-BDA/page-1", "54F280-BDA")</f>
        <v>54F280-BDA</v>
      </c>
      <c r="B19072" s="3" t="s">
        <v>116</v>
      </c>
      <c r="C19072" s="6">
        <v>947</v>
      </c>
      <c r="D19072" s="7">
        <v>0</v>
      </c>
    </row>
    <row r="19073" spans="1:5" x14ac:dyDescent="0.25">
      <c r="A19073" t="str">
        <f>HYPERLINK("https://www.773grp.com/globalSearch/54F32-BCA/page-1", "54F32-BCA")</f>
        <v>54F32-BCA</v>
      </c>
      <c r="B19073" s="3" t="s">
        <v>116</v>
      </c>
      <c r="C19073" s="6">
        <v>275</v>
      </c>
      <c r="D19073" s="7">
        <v>0</v>
      </c>
    </row>
    <row r="19074" spans="1:5" x14ac:dyDescent="0.25">
      <c r="A19074" t="str">
        <f>HYPERLINK("https://www.773grp.com/globalSearch/54F374-BRA/page-1", "54F374-BRA")</f>
        <v>54F374-BRA</v>
      </c>
      <c r="B19074" s="3" t="s">
        <v>116</v>
      </c>
      <c r="C19074" s="6">
        <v>824</v>
      </c>
      <c r="D19074" s="7">
        <v>0</v>
      </c>
    </row>
    <row r="19075" spans="1:5" x14ac:dyDescent="0.25">
      <c r="A19075" t="str">
        <f>HYPERLINK("https://www.773grp.com/globalSearch/74AC241SC/page-1", "74AC241SC")</f>
        <v>74AC241SC</v>
      </c>
      <c r="B19075" s="3" t="s">
        <v>116</v>
      </c>
      <c r="C19075" s="6">
        <v>5875</v>
      </c>
      <c r="D19075" s="7">
        <v>0</v>
      </c>
      <c r="E19075" t="s">
        <v>11</v>
      </c>
    </row>
    <row r="19076" spans="1:5" x14ac:dyDescent="0.25">
      <c r="A19076" t="str">
        <f>HYPERLINK("https://www.773grp.com/globalSearch/74F182SJ/page-1", "74F182SJ")</f>
        <v>74F182SJ</v>
      </c>
      <c r="B19076" s="3" t="s">
        <v>116</v>
      </c>
      <c r="C19076" s="6">
        <v>9789</v>
      </c>
      <c r="D19076" s="7">
        <v>0</v>
      </c>
      <c r="E19076" t="s">
        <v>38</v>
      </c>
    </row>
    <row r="19077" spans="1:5" x14ac:dyDescent="0.25">
      <c r="A19077" t="str">
        <f>HYPERLINK("https://www.773grp.com/globalSearch/74F269SPC/page-1", "74F269SPC")</f>
        <v>74F269SPC</v>
      </c>
      <c r="B19077" s="3" t="s">
        <v>116</v>
      </c>
      <c r="C19077" s="6">
        <v>1701</v>
      </c>
      <c r="D19077" s="7">
        <v>0</v>
      </c>
    </row>
    <row r="19078" spans="1:5" x14ac:dyDescent="0.25">
      <c r="A19078" t="str">
        <f>HYPERLINK("https://www.773grp.com/globalSearch/74F381SJ/page-1", "74F381SJ")</f>
        <v>74F381SJ</v>
      </c>
      <c r="B19078" s="3" t="s">
        <v>116</v>
      </c>
      <c r="C19078" s="6">
        <v>8682</v>
      </c>
      <c r="D19078" s="7">
        <v>0</v>
      </c>
      <c r="E19078" t="s">
        <v>38</v>
      </c>
    </row>
    <row r="19079" spans="1:5" x14ac:dyDescent="0.25">
      <c r="A19079" t="str">
        <f>HYPERLINK("https://www.773grp.com/globalSearch/74F403SPC/page-1", "74F403SPC")</f>
        <v>74F403SPC</v>
      </c>
      <c r="B19079" s="3" t="s">
        <v>116</v>
      </c>
      <c r="C19079" s="6">
        <v>1873</v>
      </c>
      <c r="D19079" s="7">
        <v>0</v>
      </c>
      <c r="E19079" t="s">
        <v>70</v>
      </c>
    </row>
    <row r="19080" spans="1:5" x14ac:dyDescent="0.25">
      <c r="A19080" t="str">
        <f>HYPERLINK("https://www.773grp.com/globalSearch/74F433SPC/page-1", "74F433SPC")</f>
        <v>74F433SPC</v>
      </c>
      <c r="B19080" s="3" t="s">
        <v>116</v>
      </c>
      <c r="C19080" s="6">
        <v>1322</v>
      </c>
      <c r="D19080" s="7">
        <v>0</v>
      </c>
      <c r="E19080" t="s">
        <v>70</v>
      </c>
    </row>
    <row r="19081" spans="1:5" x14ac:dyDescent="0.25">
      <c r="A19081" t="str">
        <f>HYPERLINK("https://www.773grp.com/globalSearch/74F779SC-G/page-1", "74F779SC-G")</f>
        <v>74F779SC-G</v>
      </c>
      <c r="B19081" s="3" t="s">
        <v>116</v>
      </c>
      <c r="C19081" s="6">
        <v>1191</v>
      </c>
      <c r="D19081" s="7">
        <v>0</v>
      </c>
    </row>
    <row r="19082" spans="1:5" x14ac:dyDescent="0.25">
      <c r="A19082" t="str">
        <f>HYPERLINK("https://www.773grp.com/globalSearch/74F828SC/page-1", "74F828SC")</f>
        <v>74F828SC</v>
      </c>
      <c r="B19082" s="3" t="s">
        <v>116</v>
      </c>
      <c r="C19082" s="6">
        <v>3299</v>
      </c>
      <c r="D19082" s="7">
        <v>0</v>
      </c>
      <c r="E19082" t="s">
        <v>11</v>
      </c>
    </row>
    <row r="19083" spans="1:5" x14ac:dyDescent="0.25">
      <c r="A19083" t="str">
        <f>HYPERLINK("https://www.773grp.com/globalSearch/9004FM-B/page-1", "9004FM-B")</f>
        <v>9004FM-B</v>
      </c>
      <c r="B19083" s="3" t="s">
        <v>116</v>
      </c>
      <c r="C19083" s="6">
        <v>435</v>
      </c>
      <c r="D19083" s="7">
        <v>0</v>
      </c>
    </row>
    <row r="19084" spans="1:5" x14ac:dyDescent="0.25">
      <c r="A19084" t="str">
        <f>HYPERLINK("https://www.773grp.com/globalSearch/930DM-B  LT/page-1", "930DM-B  LT")</f>
        <v>930DM-B  LT</v>
      </c>
      <c r="B19084" s="3" t="s">
        <v>116</v>
      </c>
      <c r="C19084" s="6">
        <v>48</v>
      </c>
      <c r="D19084" s="7">
        <v>0</v>
      </c>
    </row>
    <row r="19085" spans="1:5" x14ac:dyDescent="0.25">
      <c r="A19085" t="str">
        <f>HYPERLINK("https://www.773grp.com/globalSearch/CD4049UBMW-B/page-1", "CD4049UBMW-B")</f>
        <v>CD4049UBMW-B</v>
      </c>
      <c r="B19085" s="3" t="s">
        <v>116</v>
      </c>
      <c r="C19085" s="6">
        <v>516</v>
      </c>
      <c r="D19085" s="7">
        <v>0</v>
      </c>
    </row>
    <row r="19086" spans="1:5" x14ac:dyDescent="0.25">
      <c r="A19086" t="str">
        <f>HYPERLINK("https://www.773grp.com/globalSearch/DM74LS503N/page-1", "DM74LS503N")</f>
        <v>DM74LS503N</v>
      </c>
      <c r="B19086" s="3" t="s">
        <v>116</v>
      </c>
      <c r="C19086" s="6">
        <v>1044</v>
      </c>
      <c r="D19086" s="7">
        <v>0</v>
      </c>
    </row>
    <row r="19087" spans="1:5" x14ac:dyDescent="0.25">
      <c r="A19087" t="str">
        <f>HYPERLINK("https://www.773grp.com/globalSearch/DM96LS02M/page-1", "DM96LS02M")</f>
        <v>DM96LS02M</v>
      </c>
      <c r="B19087" s="3" t="s">
        <v>116</v>
      </c>
      <c r="C19087" s="6">
        <v>1848</v>
      </c>
      <c r="D19087" s="7">
        <v>0</v>
      </c>
      <c r="E19087" t="s">
        <v>44</v>
      </c>
    </row>
    <row r="19088" spans="1:5" x14ac:dyDescent="0.25">
      <c r="A19088" t="str">
        <f>HYPERLINK("https://www.773grp.com/globalSearch/FPF2504-G/page-1", "FPF2504-G")</f>
        <v>FPF2504-G</v>
      </c>
      <c r="B19088" s="3" t="s">
        <v>116</v>
      </c>
      <c r="C19088" s="6">
        <v>146</v>
      </c>
      <c r="D19088" s="7">
        <v>0</v>
      </c>
    </row>
    <row r="19089" spans="1:5" x14ac:dyDescent="0.25">
      <c r="A19089" t="str">
        <f>HYPERLINK("https://www.773grp.com/globalSearch/FPF2504-G  UT/page-1", "FPF2504-G  UT")</f>
        <v>FPF2504-G  UT</v>
      </c>
      <c r="B19089" s="3" t="s">
        <v>116</v>
      </c>
      <c r="C19089" s="6">
        <v>38674</v>
      </c>
      <c r="D19089" s="7">
        <v>0</v>
      </c>
    </row>
    <row r="19090" spans="1:5" x14ac:dyDescent="0.25">
      <c r="A19090" t="str">
        <f>HYPERLINK("https://www.773grp.com/globalSearch/IXF1002ED/page-1", "IXF1002ED")</f>
        <v>IXF1002ED</v>
      </c>
      <c r="B19090" s="3" t="s">
        <v>116</v>
      </c>
      <c r="C19090" s="6">
        <v>8926</v>
      </c>
      <c r="D19090" s="7">
        <v>0</v>
      </c>
    </row>
    <row r="19091" spans="1:5" x14ac:dyDescent="0.25">
      <c r="A19091" t="str">
        <f>HYPERLINK("https://www.773grp.com/globalSearch/IXF1002ED-G/page-1", "IXF1002ED-G")</f>
        <v>IXF1002ED-G</v>
      </c>
      <c r="B19091" s="3" t="s">
        <v>116</v>
      </c>
      <c r="C19091" s="6">
        <v>1167</v>
      </c>
      <c r="D19091" s="7">
        <v>0</v>
      </c>
    </row>
    <row r="19092" spans="1:5" x14ac:dyDescent="0.25">
      <c r="A19092" t="str">
        <f>HYPERLINK("https://www.773grp.com/globalSearch/IXF1002EDT/page-1", "IXF1002EDT")</f>
        <v>IXF1002EDT</v>
      </c>
      <c r="B19092" s="3" t="s">
        <v>116</v>
      </c>
      <c r="C19092" s="6">
        <v>6295</v>
      </c>
      <c r="D19092" s="7">
        <v>0</v>
      </c>
    </row>
    <row r="19093" spans="1:5" x14ac:dyDescent="0.25">
      <c r="A19093" t="str">
        <f>HYPERLINK("https://www.773grp.com/globalSearch/IXF1002EDT-G/page-1", "IXF1002EDT-G")</f>
        <v>IXF1002EDT-G</v>
      </c>
      <c r="B19093" s="3" t="s">
        <v>116</v>
      </c>
      <c r="C19093" s="6">
        <v>9493</v>
      </c>
      <c r="D19093" s="7">
        <v>0</v>
      </c>
    </row>
    <row r="19094" spans="1:5" x14ac:dyDescent="0.25">
      <c r="A19094" t="str">
        <f>HYPERLINK("https://www.773grp.com/globalSearch/MIS-29515-62/page-1", "MIS-29515-62")</f>
        <v>MIS-29515-62</v>
      </c>
      <c r="B19094" s="3" t="s">
        <v>116</v>
      </c>
      <c r="C19094" s="6">
        <v>27</v>
      </c>
      <c r="D19094" s="7">
        <v>0</v>
      </c>
    </row>
    <row r="19095" spans="1:5" x14ac:dyDescent="0.25">
      <c r="A19095" t="str">
        <f>HYPERLINK("https://www.773grp.com/globalSearch/ML2258CIQ/page-1", "ML2258CIQ")</f>
        <v>ML2258CIQ</v>
      </c>
      <c r="B19095" s="3" t="s">
        <v>116</v>
      </c>
      <c r="C19095" s="6">
        <v>6022</v>
      </c>
      <c r="D19095" s="7">
        <v>0</v>
      </c>
      <c r="E19095" t="s">
        <v>35</v>
      </c>
    </row>
    <row r="19096" spans="1:5" x14ac:dyDescent="0.25">
      <c r="A19096" t="str">
        <f>HYPERLINK("https://www.773grp.com/globalSearch/ML4875CS-5  UT/page-1", "ML4875CS-5  UT")</f>
        <v>ML4875CS-5  UT</v>
      </c>
      <c r="B19096" s="3" t="s">
        <v>116</v>
      </c>
      <c r="C19096" s="6">
        <v>2715</v>
      </c>
      <c r="D19096" s="7">
        <v>0</v>
      </c>
    </row>
    <row r="19097" spans="1:5" x14ac:dyDescent="0.25">
      <c r="A19097" t="str">
        <f>HYPERLINK("https://www.773grp.com/globalSearch/ML4875CS-T  UT/page-1", "ML4875CS-T  UT")</f>
        <v>ML4875CS-T  UT</v>
      </c>
      <c r="B19097" s="3" t="s">
        <v>116</v>
      </c>
      <c r="C19097" s="6">
        <v>1798</v>
      </c>
      <c r="D19097" s="7">
        <v>0</v>
      </c>
    </row>
    <row r="19098" spans="1:5" x14ac:dyDescent="0.25">
      <c r="A19098" t="str">
        <f>HYPERLINK("https://www.773grp.com/globalSearch/MM74C48N/page-1", "MM74C48N")</f>
        <v>MM74C48N</v>
      </c>
      <c r="B19098" s="3" t="s">
        <v>116</v>
      </c>
      <c r="C19098" s="6">
        <v>1311</v>
      </c>
      <c r="D19098" s="7">
        <v>0</v>
      </c>
    </row>
    <row r="19099" spans="1:5" x14ac:dyDescent="0.25">
      <c r="A19099" t="str">
        <f>HYPERLINK("https://www.773grp.com/globalSearch/MM74C76N/page-1", "MM74C76N")</f>
        <v>MM74C76N</v>
      </c>
      <c r="B19099" s="3" t="s">
        <v>116</v>
      </c>
      <c r="C19099" s="6">
        <v>2171</v>
      </c>
      <c r="D19099" s="7">
        <v>0</v>
      </c>
      <c r="E19099" t="s">
        <v>31</v>
      </c>
    </row>
    <row r="19100" spans="1:5" x14ac:dyDescent="0.25">
      <c r="A19100" t="str">
        <f>HYPERLINK("https://www.773grp.com/globalSearch/MM74C901M/page-1", "MM74C901M")</f>
        <v>MM74C901M</v>
      </c>
      <c r="B19100" s="3" t="s">
        <v>116</v>
      </c>
      <c r="C19100" s="6">
        <v>1663</v>
      </c>
      <c r="D19100" s="7">
        <v>0</v>
      </c>
      <c r="E19100" t="s">
        <v>27</v>
      </c>
    </row>
    <row r="19101" spans="1:5" x14ac:dyDescent="0.25">
      <c r="A19101" t="str">
        <f>HYPERLINK("https://www.773grp.com/globalSearch/MM74C93N/page-1", "MM74C93N")</f>
        <v>MM74C93N</v>
      </c>
      <c r="B19101" s="3" t="s">
        <v>116</v>
      </c>
      <c r="C19101" s="6">
        <v>2801</v>
      </c>
      <c r="D19101" s="7">
        <v>0</v>
      </c>
    </row>
    <row r="19102" spans="1:5" x14ac:dyDescent="0.25">
      <c r="A19102" t="str">
        <f>HYPERLINK("https://www.773grp.com/globalSearch/MM88C29N/page-1", "MM88C29N")</f>
        <v>MM88C29N</v>
      </c>
      <c r="B19102" s="3" t="s">
        <v>116</v>
      </c>
      <c r="C19102" s="6">
        <v>4774</v>
      </c>
      <c r="D19102" s="7">
        <v>0</v>
      </c>
    </row>
    <row r="19103" spans="1:5" x14ac:dyDescent="0.25">
      <c r="A19103" t="str">
        <f>HYPERLINK("https://www.773grp.com/globalSearch/R1427/page-1", "R1427")</f>
        <v>R1427</v>
      </c>
      <c r="B19103" s="3" t="s">
        <v>116</v>
      </c>
      <c r="C19103" s="6">
        <v>872</v>
      </c>
      <c r="D19103" s="7">
        <v>0</v>
      </c>
    </row>
    <row r="19104" spans="1:5" x14ac:dyDescent="0.25">
      <c r="A19104" t="str">
        <f>HYPERLINK("https://www.773grp.com/globalSearch/R1449-S/page-1", "R1449-S")</f>
        <v>R1449-S</v>
      </c>
      <c r="B19104" s="3" t="s">
        <v>116</v>
      </c>
      <c r="C19104" s="6">
        <v>220</v>
      </c>
      <c r="D19104" s="7">
        <v>0</v>
      </c>
    </row>
    <row r="19105" spans="1:5" x14ac:dyDescent="0.25">
      <c r="A19105" t="str">
        <f>HYPERLINK("https://www.773grp.com/globalSearch/R1638/page-1", "R1638")</f>
        <v>R1638</v>
      </c>
      <c r="B19105" s="3" t="s">
        <v>116</v>
      </c>
      <c r="C19105" s="6">
        <v>865</v>
      </c>
      <c r="D19105" s="7">
        <v>0</v>
      </c>
    </row>
    <row r="19106" spans="1:5" x14ac:dyDescent="0.25">
      <c r="A19106" t="str">
        <f>HYPERLINK("https://www.773grp.com/globalSearch/R1669  UM/page-1", "R1669  UM")</f>
        <v>R1669  UM</v>
      </c>
      <c r="B19106" s="3" t="s">
        <v>116</v>
      </c>
      <c r="C19106" s="6">
        <v>692</v>
      </c>
      <c r="D19106" s="7">
        <v>0</v>
      </c>
    </row>
    <row r="19107" spans="1:5" x14ac:dyDescent="0.25">
      <c r="A19107" t="str">
        <f>HYPERLINK("https://www.773grp.com/globalSearch/TDC1044AR4C  UT/page-1", "TDC1044AR4C  UT")</f>
        <v>TDC1044AR4C  UT</v>
      </c>
      <c r="B19107" s="3" t="s">
        <v>116</v>
      </c>
      <c r="C19107" s="6">
        <v>5078</v>
      </c>
      <c r="D19107" s="7">
        <v>0</v>
      </c>
    </row>
    <row r="19108" spans="1:5" x14ac:dyDescent="0.25">
      <c r="A19108" t="str">
        <f>HYPERLINK("https://www.773grp.com/globalSearch/MC68020EH16E-G PRE-QUAL/page-1", "MC68020EH16E-G PRE-QUAL")</f>
        <v>MC68020EH16E-G PRE-QUAL</v>
      </c>
      <c r="B19108" s="3" t="s">
        <v>116</v>
      </c>
      <c r="C19108" s="6">
        <v>49</v>
      </c>
      <c r="D19108" s="7">
        <v>0</v>
      </c>
    </row>
    <row r="19109" spans="1:5" x14ac:dyDescent="0.25">
      <c r="A19109" t="str">
        <f>HYPERLINK("https://www.773grp.com/globalSearch/5042-BEA/page-1", "5042-BEA")</f>
        <v>5042-BEA</v>
      </c>
      <c r="B19109" s="3" t="s">
        <v>116</v>
      </c>
      <c r="C19109" s="6">
        <v>1175</v>
      </c>
      <c r="D19109" s="7">
        <v>0</v>
      </c>
    </row>
    <row r="19110" spans="1:5" x14ac:dyDescent="0.25">
      <c r="A19110" t="str">
        <f>HYPERLINK("https://www.773grp.com/globalSearch/CA3039/page-1", "CA3039")</f>
        <v>CA3039</v>
      </c>
      <c r="B19110" s="3" t="s">
        <v>116</v>
      </c>
      <c r="C19110" s="6">
        <v>1157</v>
      </c>
      <c r="D19110" s="7">
        <v>0</v>
      </c>
    </row>
    <row r="19111" spans="1:5" x14ac:dyDescent="0.25">
      <c r="A19111" t="str">
        <f>HYPERLINK("https://www.773grp.com/globalSearch/CA3049T/page-1", "CA3049T")</f>
        <v>CA3049T</v>
      </c>
      <c r="B19111" s="3" t="s">
        <v>116</v>
      </c>
      <c r="C19111" s="6">
        <v>362</v>
      </c>
      <c r="D19111" s="7">
        <v>0</v>
      </c>
      <c r="E19111" t="s">
        <v>10</v>
      </c>
    </row>
    <row r="19112" spans="1:5" x14ac:dyDescent="0.25">
      <c r="A19112" t="str">
        <f>HYPERLINK("https://www.773grp.com/globalSearch/CA3058/page-1", "CA3058")</f>
        <v>CA3058</v>
      </c>
      <c r="B19112" s="3" t="s">
        <v>116</v>
      </c>
      <c r="C19112" s="6">
        <v>461</v>
      </c>
      <c r="D19112" s="7">
        <v>0</v>
      </c>
    </row>
    <row r="19113" spans="1:5" x14ac:dyDescent="0.25">
      <c r="A19113" t="str">
        <f>HYPERLINK("https://www.773grp.com/globalSearch/CA3078AT/page-1", "CA3078AT")</f>
        <v>CA3078AT</v>
      </c>
      <c r="B19113" s="3" t="s">
        <v>116</v>
      </c>
      <c r="C19113" s="6">
        <v>1306</v>
      </c>
      <c r="D19113" s="7">
        <v>0</v>
      </c>
    </row>
    <row r="19114" spans="1:5" x14ac:dyDescent="0.25">
      <c r="A19114" t="str">
        <f>HYPERLINK("https://www.773grp.com/globalSearch/CA3078AT-B/page-1", "CA3078AT-B")</f>
        <v>CA3078AT-B</v>
      </c>
      <c r="B19114" s="3" t="s">
        <v>116</v>
      </c>
      <c r="C19114" s="6">
        <v>484</v>
      </c>
      <c r="D19114" s="7">
        <v>0</v>
      </c>
    </row>
    <row r="19115" spans="1:5" x14ac:dyDescent="0.25">
      <c r="A19115" t="str">
        <f>HYPERLINK("https://www.773grp.com/globalSearch/CA3081F/page-1", "CA3081F")</f>
        <v>CA3081F</v>
      </c>
      <c r="B19115" s="3" t="s">
        <v>116</v>
      </c>
      <c r="C19115" s="6">
        <v>14062</v>
      </c>
      <c r="D19115" s="7">
        <v>0</v>
      </c>
      <c r="E19115" t="s">
        <v>57</v>
      </c>
    </row>
    <row r="19116" spans="1:5" x14ac:dyDescent="0.25">
      <c r="A19116" t="str">
        <f>HYPERLINK("https://www.773grp.com/globalSearch/CA3098E/page-1", "CA3098E")</f>
        <v>CA3098E</v>
      </c>
      <c r="B19116" s="3" t="s">
        <v>116</v>
      </c>
      <c r="C19116" s="6">
        <v>4656</v>
      </c>
      <c r="D19116" s="7">
        <v>0</v>
      </c>
    </row>
    <row r="19117" spans="1:5" x14ac:dyDescent="0.25">
      <c r="A19117" t="str">
        <f>HYPERLINK("https://www.773grp.com/globalSearch/CA3130AT-B/page-1", "CA3130AT-B")</f>
        <v>CA3130AT-B</v>
      </c>
      <c r="B19117" s="3" t="s">
        <v>116</v>
      </c>
      <c r="C19117" s="6">
        <v>1</v>
      </c>
      <c r="D19117" s="7">
        <v>0</v>
      </c>
    </row>
    <row r="19118" spans="1:5" x14ac:dyDescent="0.25">
      <c r="A19118" t="str">
        <f>HYPERLINK("https://www.773grp.com/globalSearch/CA3130AT-B  UM/page-1", "CA3130AT-B  UM")</f>
        <v>CA3130AT-B  UM</v>
      </c>
      <c r="B19118" s="3" t="s">
        <v>116</v>
      </c>
      <c r="C19118" s="6">
        <v>7</v>
      </c>
      <c r="D19118" s="7">
        <v>0</v>
      </c>
    </row>
    <row r="19119" spans="1:5" x14ac:dyDescent="0.25">
      <c r="A19119" t="str">
        <f>HYPERLINK("https://www.773grp.com/globalSearch/CA3160T/page-1", "CA3160T")</f>
        <v>CA3160T</v>
      </c>
      <c r="B19119" s="3" t="s">
        <v>116</v>
      </c>
      <c r="C19119" s="6">
        <v>388</v>
      </c>
      <c r="D19119" s="7">
        <v>0</v>
      </c>
      <c r="E19119" t="s">
        <v>10</v>
      </c>
    </row>
    <row r="19120" spans="1:5" x14ac:dyDescent="0.25">
      <c r="A19120" t="str">
        <f>HYPERLINK("https://www.773grp.com/globalSearch/CA3310AD/page-1", "CA3310AD")</f>
        <v>CA3310AD</v>
      </c>
      <c r="B19120" s="3" t="s">
        <v>116</v>
      </c>
      <c r="C19120" s="6">
        <v>867</v>
      </c>
      <c r="D19120" s="7">
        <v>0</v>
      </c>
      <c r="E19120" t="s">
        <v>35</v>
      </c>
    </row>
    <row r="19121" spans="1:5" x14ac:dyDescent="0.25">
      <c r="A19121" t="str">
        <f>HYPERLINK("https://www.773grp.com/globalSearch/CDP1854AD-R/page-1", "CDP1854AD-R")</f>
        <v>CDP1854AD-R</v>
      </c>
      <c r="B19121" s="3" t="s">
        <v>116</v>
      </c>
      <c r="C19121" s="6">
        <v>258</v>
      </c>
      <c r="D19121" s="7">
        <v>0</v>
      </c>
    </row>
    <row r="19122" spans="1:5" x14ac:dyDescent="0.25">
      <c r="A19122" t="str">
        <f>HYPERLINK("https://www.773grp.com/globalSearch/DG181BA/page-1", "DG181BA")</f>
        <v>DG181BA</v>
      </c>
      <c r="B19122" s="3" t="s">
        <v>116</v>
      </c>
      <c r="C19122" s="6">
        <v>461</v>
      </c>
      <c r="D19122" s="7">
        <v>0</v>
      </c>
      <c r="E19122" t="s">
        <v>46</v>
      </c>
    </row>
    <row r="19123" spans="1:5" x14ac:dyDescent="0.25">
      <c r="A19123" t="str">
        <f>HYPERLINK("https://www.773grp.com/globalSearch/DG300A-BCA/page-1", "DG300A-BCA")</f>
        <v>DG300A-BCA</v>
      </c>
      <c r="B19123" s="3" t="s">
        <v>116</v>
      </c>
      <c r="C19123" s="6">
        <v>919</v>
      </c>
      <c r="D19123" s="7">
        <v>0</v>
      </c>
    </row>
    <row r="19124" spans="1:5" x14ac:dyDescent="0.25">
      <c r="A19124" t="str">
        <f>HYPERLINK("https://www.773grp.com/globalSearch/HA1-2542-2/page-1", "HA1-2542-2")</f>
        <v>HA1-2542-2</v>
      </c>
      <c r="B19124" s="3" t="s">
        <v>116</v>
      </c>
      <c r="C19124" s="6">
        <v>2472</v>
      </c>
      <c r="D19124" s="7">
        <v>0</v>
      </c>
      <c r="E19124" t="s">
        <v>10</v>
      </c>
    </row>
    <row r="19125" spans="1:5" x14ac:dyDescent="0.25">
      <c r="A19125" t="str">
        <f>HYPERLINK("https://www.773grp.com/globalSearch/HA2-2541-2/page-1", "HA2-2541-2")</f>
        <v>HA2-2541-2</v>
      </c>
      <c r="B19125" s="3" t="s">
        <v>116</v>
      </c>
      <c r="C19125" s="6">
        <v>286</v>
      </c>
      <c r="D19125" s="7">
        <v>0</v>
      </c>
    </row>
    <row r="19126" spans="1:5" x14ac:dyDescent="0.25">
      <c r="A19126" t="str">
        <f>HYPERLINK("https://www.773grp.com/globalSearch/HA2-5102-5  UT/page-1", "HA2-5102-5  UT")</f>
        <v>HA2-5102-5  UT</v>
      </c>
      <c r="B19126" s="3" t="s">
        <v>116</v>
      </c>
      <c r="C19126" s="6">
        <v>1885</v>
      </c>
      <c r="D19126" s="7">
        <v>0</v>
      </c>
    </row>
    <row r="19127" spans="1:5" x14ac:dyDescent="0.25">
      <c r="A19127" t="str">
        <f>HYPERLINK("https://www.773grp.com/globalSearch/HA7-5137A-5/page-1", "HA7-5137A-5")</f>
        <v>HA7-5137A-5</v>
      </c>
      <c r="B19127" s="3" t="s">
        <v>116</v>
      </c>
      <c r="C19127" s="6">
        <v>139</v>
      </c>
      <c r="D19127" s="7">
        <v>0</v>
      </c>
      <c r="E19127" t="s">
        <v>10</v>
      </c>
    </row>
    <row r="19128" spans="1:5" x14ac:dyDescent="0.25">
      <c r="A19128" t="str">
        <f>HYPERLINK("https://www.773grp.com/globalSearch/HA7-5137A-5  UT/page-1", "HA7-5137A-5  UT")</f>
        <v>HA7-5137A-5  UT</v>
      </c>
      <c r="B19128" s="3" t="s">
        <v>116</v>
      </c>
      <c r="C19128" s="6">
        <v>990</v>
      </c>
      <c r="D19128" s="7">
        <v>0</v>
      </c>
    </row>
    <row r="19129" spans="1:5" x14ac:dyDescent="0.25">
      <c r="A19129" t="str">
        <f>HYPERLINK("https://www.773grp.com/globalSearch/HFA5253CB UT/page-1", "HFA5253CB UT")</f>
        <v>HFA5253CB UT</v>
      </c>
      <c r="B19129" s="3" t="s">
        <v>116</v>
      </c>
      <c r="C19129" s="6">
        <v>4445</v>
      </c>
      <c r="D19129" s="7">
        <v>0</v>
      </c>
    </row>
    <row r="19130" spans="1:5" x14ac:dyDescent="0.25">
      <c r="A19130" t="str">
        <f>HYPERLINK("https://www.773grp.com/globalSearch/HFA5253CB-G  UT/page-1", "HFA5253CB-G  UT")</f>
        <v>HFA5253CB-G  UT</v>
      </c>
      <c r="B19130" s="3" t="s">
        <v>116</v>
      </c>
      <c r="C19130" s="6">
        <v>3040</v>
      </c>
      <c r="D19130" s="7">
        <v>0</v>
      </c>
    </row>
    <row r="19131" spans="1:5" x14ac:dyDescent="0.25">
      <c r="A19131" t="str">
        <f>HYPERLINK("https://www.773grp.com/globalSearch/HM4-6504B-9/page-1", "HM4-6504B-9")</f>
        <v>HM4-6504B-9</v>
      </c>
      <c r="B19131" s="3" t="s">
        <v>116</v>
      </c>
      <c r="C19131" s="6">
        <v>298</v>
      </c>
      <c r="D19131" s="7">
        <v>0</v>
      </c>
    </row>
    <row r="19132" spans="1:5" x14ac:dyDescent="0.25">
      <c r="A19132" t="str">
        <f>HYPERLINK("https://www.773grp.com/globalSearch/ICL7182CPL/page-1", "ICL7182CPL")</f>
        <v>ICL7182CPL</v>
      </c>
      <c r="B19132" s="3" t="s">
        <v>116</v>
      </c>
      <c r="C19132" s="6">
        <v>684</v>
      </c>
      <c r="D19132" s="7">
        <v>0</v>
      </c>
    </row>
    <row r="19133" spans="1:5" x14ac:dyDescent="0.25">
      <c r="A19133" t="str">
        <f>HYPERLINK("https://www.773grp.com/globalSearch/ICL7667MJA/page-1", "ICL7667MJA")</f>
        <v>ICL7667MJA</v>
      </c>
      <c r="B19133" s="3" t="s">
        <v>116</v>
      </c>
      <c r="C19133" s="6">
        <v>3258</v>
      </c>
      <c r="D19133" s="7">
        <v>0</v>
      </c>
      <c r="E19133" t="s">
        <v>12</v>
      </c>
    </row>
    <row r="19134" spans="1:5" x14ac:dyDescent="0.25">
      <c r="A19134" t="str">
        <f>HYPERLINK("https://www.773grp.com/globalSearch/ICL7667MJA-883B/page-1", "ICL7667MJA-883B")</f>
        <v>ICL7667MJA-883B</v>
      </c>
      <c r="B19134" s="3" t="s">
        <v>116</v>
      </c>
      <c r="C19134" s="6">
        <v>5491</v>
      </c>
      <c r="D19134" s="7">
        <v>0</v>
      </c>
      <c r="E19134" t="s">
        <v>12</v>
      </c>
    </row>
    <row r="19135" spans="1:5" x14ac:dyDescent="0.25">
      <c r="A19135" t="str">
        <f>HYPERLINK("https://www.773grp.com/globalSearch/ICM7170IBG/page-1", "ICM7170IBG")</f>
        <v>ICM7170IBG</v>
      </c>
      <c r="B19135" s="3" t="s">
        <v>116</v>
      </c>
      <c r="C19135" s="6">
        <v>244</v>
      </c>
      <c r="D19135" s="7">
        <v>0</v>
      </c>
    </row>
    <row r="19136" spans="1:5" x14ac:dyDescent="0.25">
      <c r="A19136" t="str">
        <f>HYPERLINK("https://www.773grp.com/globalSearch/ICM7207IPD  UT/page-1", "ICM7207IPD  UT")</f>
        <v>ICM7207IPD  UT</v>
      </c>
      <c r="B19136" s="3" t="s">
        <v>116</v>
      </c>
      <c r="C19136" s="6">
        <v>5093</v>
      </c>
      <c r="D19136" s="7">
        <v>0</v>
      </c>
    </row>
    <row r="19137" spans="1:5" x14ac:dyDescent="0.25">
      <c r="A19137" t="str">
        <f>HYPERLINK("https://www.773grp.com/globalSearch/ICM7211AIM44/page-1", "ICM7211AIM44")</f>
        <v>ICM7211AIM44</v>
      </c>
      <c r="B19137" s="3" t="s">
        <v>116</v>
      </c>
      <c r="C19137" s="6">
        <v>1228</v>
      </c>
      <c r="D19137" s="7">
        <v>0</v>
      </c>
      <c r="E19137" t="s">
        <v>7</v>
      </c>
    </row>
    <row r="19138" spans="1:5" x14ac:dyDescent="0.25">
      <c r="A19138" t="str">
        <f>HYPERLINK("https://www.773grp.com/globalSearch/IH5012MDE-B/page-1", "IH5012MDE-B")</f>
        <v>IH5012MDE-B</v>
      </c>
      <c r="B19138" s="3" t="s">
        <v>116</v>
      </c>
      <c r="C19138" s="6">
        <v>13</v>
      </c>
      <c r="D19138" s="7">
        <v>0</v>
      </c>
    </row>
    <row r="19139" spans="1:5" x14ac:dyDescent="0.25">
      <c r="A19139" t="str">
        <f>HYPERLINK("https://www.773grp.com/globalSearch/R1043/page-1", "R1043")</f>
        <v>R1043</v>
      </c>
      <c r="B19139" s="3" t="s">
        <v>116</v>
      </c>
      <c r="C19139" s="6">
        <v>13</v>
      </c>
      <c r="D19139" s="7">
        <v>0</v>
      </c>
    </row>
    <row r="19140" spans="1:5" x14ac:dyDescent="0.25">
      <c r="A19140" t="str">
        <f>HYPERLINK("https://www.773grp.com/globalSearch/R1047/page-1", "R1047")</f>
        <v>R1047</v>
      </c>
      <c r="B19140" s="3" t="s">
        <v>116</v>
      </c>
      <c r="C19140" s="6">
        <v>676</v>
      </c>
      <c r="D19140" s="7">
        <v>0</v>
      </c>
    </row>
    <row r="19141" spans="1:5" x14ac:dyDescent="0.25">
      <c r="A19141" t="str">
        <f>HYPERLINK("https://www.773grp.com/globalSearch/R1060/page-1", "R1060")</f>
        <v>R1060</v>
      </c>
      <c r="B19141" s="3" t="s">
        <v>116</v>
      </c>
      <c r="C19141" s="6">
        <v>43</v>
      </c>
      <c r="D19141" s="7">
        <v>0</v>
      </c>
    </row>
    <row r="19142" spans="1:5" x14ac:dyDescent="0.25">
      <c r="A19142" t="str">
        <f>HYPERLINK("https://www.773grp.com/globalSearch/R1082/page-1", "R1082")</f>
        <v>R1082</v>
      </c>
      <c r="B19142" s="3" t="s">
        <v>116</v>
      </c>
      <c r="C19142" s="6">
        <v>44</v>
      </c>
      <c r="D19142" s="7">
        <v>0</v>
      </c>
    </row>
    <row r="19143" spans="1:5" x14ac:dyDescent="0.25">
      <c r="A19143" t="str">
        <f>HYPERLINK("https://www.773grp.com/globalSearch/R1125/page-1", "R1125")</f>
        <v>R1125</v>
      </c>
      <c r="B19143" s="3" t="s">
        <v>116</v>
      </c>
      <c r="C19143" s="6">
        <v>143</v>
      </c>
      <c r="D19143" s="7">
        <v>0</v>
      </c>
    </row>
    <row r="19144" spans="1:5" x14ac:dyDescent="0.25">
      <c r="A19144" t="str">
        <f>HYPERLINK("https://www.773grp.com/globalSearch/R1174 (616610-901) (CA3083)/page-1", "R1174 (616610-901) (CA3083)")</f>
        <v>R1174 (616610-901) (CA3083)</v>
      </c>
      <c r="B19144" s="3" t="s">
        <v>116</v>
      </c>
      <c r="C19144" s="6">
        <v>183</v>
      </c>
      <c r="D19144" s="7">
        <v>0</v>
      </c>
    </row>
    <row r="19145" spans="1:5" x14ac:dyDescent="0.25">
      <c r="A19145" t="str">
        <f>HYPERLINK("https://www.773grp.com/globalSearch/R1232/page-1", "R1232")</f>
        <v>R1232</v>
      </c>
      <c r="B19145" s="3" t="s">
        <v>116</v>
      </c>
      <c r="C19145" s="6">
        <v>109</v>
      </c>
      <c r="D19145" s="7">
        <v>0</v>
      </c>
    </row>
    <row r="19146" spans="1:5" x14ac:dyDescent="0.25">
      <c r="A19146" t="str">
        <f>HYPERLINK("https://www.773grp.com/globalSearch/R1232  UT/page-1", "R1232  UT")</f>
        <v>R1232  UT</v>
      </c>
      <c r="B19146" s="3" t="s">
        <v>116</v>
      </c>
      <c r="C19146" s="6">
        <v>180</v>
      </c>
      <c r="D19146" s="7">
        <v>0</v>
      </c>
    </row>
    <row r="19147" spans="1:5" x14ac:dyDescent="0.25">
      <c r="A19147" t="str">
        <f>HYPERLINK("https://www.773grp.com/globalSearch/R1371/page-1", "R1371")</f>
        <v>R1371</v>
      </c>
      <c r="B19147" s="3" t="s">
        <v>116</v>
      </c>
      <c r="C19147" s="6">
        <v>216</v>
      </c>
      <c r="D19147" s="7">
        <v>0</v>
      </c>
    </row>
    <row r="19148" spans="1:5" x14ac:dyDescent="0.25">
      <c r="A19148" t="str">
        <f>HYPERLINK("https://www.773grp.com/globalSearch/R1612/page-1", "R1612")</f>
        <v>R1612</v>
      </c>
      <c r="B19148" s="3" t="s">
        <v>116</v>
      </c>
      <c r="C19148" s="6">
        <v>4</v>
      </c>
      <c r="D19148" s="7">
        <v>0</v>
      </c>
    </row>
    <row r="19149" spans="1:5" x14ac:dyDescent="0.25">
      <c r="A19149" t="str">
        <f>HYPERLINK("https://www.773grp.com/globalSearch/51063-0002/page-1", "51063-0002")</f>
        <v>51063-0002</v>
      </c>
      <c r="B19149" s="3" t="s">
        <v>116</v>
      </c>
      <c r="C19149" s="6">
        <v>195</v>
      </c>
      <c r="D19149" s="7">
        <v>0</v>
      </c>
    </row>
    <row r="19150" spans="1:5" x14ac:dyDescent="0.25">
      <c r="A19150" t="str">
        <f>HYPERLINK("https://www.773grp.com/globalSearch/R1024/page-1", "R1024")</f>
        <v>R1024</v>
      </c>
      <c r="B19150" s="3" t="s">
        <v>116</v>
      </c>
      <c r="C19150" s="6">
        <v>241</v>
      </c>
      <c r="D19150" s="7">
        <v>0</v>
      </c>
    </row>
    <row r="19151" spans="1:5" x14ac:dyDescent="0.25">
      <c r="A19151" t="str">
        <f>HYPERLINK("https://www.773grp.com/globalSearch/87C51-BUA/page-1", "87C51-BUA")</f>
        <v>87C51-BUA</v>
      </c>
      <c r="B19151" s="3" t="s">
        <v>116</v>
      </c>
      <c r="C19151" s="6">
        <v>1</v>
      </c>
      <c r="D19151" s="7">
        <v>0</v>
      </c>
      <c r="E19151" t="s">
        <v>43</v>
      </c>
    </row>
    <row r="19152" spans="1:5" x14ac:dyDescent="0.25">
      <c r="A19152" t="str">
        <f>HYPERLINK("https://www.773grp.com/globalSearch/87C51-16-BUA/page-1", "87C51-16-BUA")</f>
        <v>87C51-16-BUA</v>
      </c>
      <c r="B19152" s="3" t="s">
        <v>116</v>
      </c>
      <c r="C19152" s="6">
        <v>1</v>
      </c>
      <c r="D19152" s="7">
        <v>0</v>
      </c>
      <c r="E19152" t="s">
        <v>43</v>
      </c>
    </row>
    <row r="19153" spans="1:5" x14ac:dyDescent="0.25">
      <c r="A19153" t="str">
        <f>HYPERLINK("https://www.773grp.com/globalSearch/87C51-16-BUA  UM/page-1", "87C51-16-BUA  UM")</f>
        <v>87C51-16-BUA  UM</v>
      </c>
      <c r="B19153" s="3" t="s">
        <v>116</v>
      </c>
      <c r="C19153" s="6">
        <v>1334</v>
      </c>
      <c r="D19153" s="7">
        <v>0</v>
      </c>
    </row>
    <row r="19154" spans="1:5" x14ac:dyDescent="0.25">
      <c r="A19154" t="str">
        <f>HYPERLINK("https://www.773grp.com/globalSearch/A80C186-10 UT/page-1", "A80C186-10 UT")</f>
        <v>A80C186-10 UT</v>
      </c>
      <c r="B19154" s="3" t="s">
        <v>116</v>
      </c>
      <c r="C19154" s="6">
        <v>472</v>
      </c>
      <c r="D19154" s="7">
        <v>0</v>
      </c>
    </row>
    <row r="19155" spans="1:5" x14ac:dyDescent="0.25">
      <c r="A19155" t="str">
        <f>HYPERLINK("https://www.773grp.com/globalSearch/A82370-16/page-1", "A82370-16")</f>
        <v>A82370-16</v>
      </c>
      <c r="B19155" s="3" t="s">
        <v>116</v>
      </c>
      <c r="C19155" s="6">
        <v>200</v>
      </c>
      <c r="D19155" s="7">
        <v>0</v>
      </c>
      <c r="E19155" t="s">
        <v>60</v>
      </c>
    </row>
    <row r="19156" spans="1:5" x14ac:dyDescent="0.25">
      <c r="A19156" t="str">
        <f>HYPERLINK("https://www.773grp.com/globalSearch/AN87C196KDF8/page-1", "AN87C196KDF8")</f>
        <v>AN87C196KDF8</v>
      </c>
      <c r="B19156" s="3" t="s">
        <v>116</v>
      </c>
      <c r="C19156" s="6">
        <v>390</v>
      </c>
      <c r="D19156" s="7">
        <v>0</v>
      </c>
    </row>
    <row r="19157" spans="1:5" x14ac:dyDescent="0.25">
      <c r="A19157" t="str">
        <f>HYPERLINK("https://www.773grp.com/globalSearch/C2732A-XX  UT-UM/page-1", "C2732A-XX  UT-UM")</f>
        <v>C2732A-XX  UT-UM</v>
      </c>
      <c r="B19157" s="3" t="s">
        <v>116</v>
      </c>
      <c r="C19157" s="6">
        <v>597</v>
      </c>
      <c r="D19157" s="7">
        <v>0</v>
      </c>
    </row>
    <row r="19158" spans="1:5" x14ac:dyDescent="0.25">
      <c r="A19158" t="str">
        <f>HYPERLINK("https://www.773grp.com/globalSearch/D2732A-2/page-1", "D2732A-2")</f>
        <v>D2732A-2</v>
      </c>
      <c r="B19158" s="3" t="s">
        <v>116</v>
      </c>
      <c r="C19158" s="6">
        <v>277</v>
      </c>
      <c r="D19158" s="7">
        <v>0</v>
      </c>
    </row>
    <row r="19159" spans="1:5" x14ac:dyDescent="0.25">
      <c r="A19159" t="str">
        <f>HYPERLINK("https://www.773grp.com/globalSearch/D2732A-2  UM/page-1", "D2732A-2  UM")</f>
        <v>D2732A-2  UM</v>
      </c>
      <c r="B19159" s="3" t="s">
        <v>116</v>
      </c>
      <c r="C19159" s="6">
        <v>1283</v>
      </c>
      <c r="D19159" s="7">
        <v>0</v>
      </c>
    </row>
    <row r="19160" spans="1:5" x14ac:dyDescent="0.25">
      <c r="A19160" t="str">
        <f>HYPERLINK("https://www.773grp.com/globalSearch/D2732A-3  UM/page-1", "D2732A-3  UM")</f>
        <v>D2732A-3  UM</v>
      </c>
      <c r="B19160" s="3" t="s">
        <v>116</v>
      </c>
      <c r="C19160" s="6">
        <v>563</v>
      </c>
      <c r="D19160" s="7">
        <v>0</v>
      </c>
    </row>
    <row r="19161" spans="1:5" x14ac:dyDescent="0.25">
      <c r="A19161" t="str">
        <f>HYPERLINK("https://www.773grp.com/globalSearch/D8155H/page-1", "D8155H")</f>
        <v>D8155H</v>
      </c>
      <c r="B19161" s="3" t="s">
        <v>116</v>
      </c>
      <c r="C19161" s="6">
        <v>604</v>
      </c>
      <c r="D19161" s="7">
        <v>0</v>
      </c>
      <c r="E19161" t="s">
        <v>71</v>
      </c>
    </row>
    <row r="19162" spans="1:5" x14ac:dyDescent="0.25">
      <c r="A19162" t="str">
        <f>HYPERLINK("https://www.773grp.com/globalSearch/D82530-6/page-1", "D82530-6")</f>
        <v>D82530-6</v>
      </c>
      <c r="B19162" s="3" t="s">
        <v>116</v>
      </c>
      <c r="C19162" s="6">
        <v>1399</v>
      </c>
      <c r="D19162" s="7">
        <v>0</v>
      </c>
      <c r="E19162" t="s">
        <v>59</v>
      </c>
    </row>
    <row r="19163" spans="1:5" x14ac:dyDescent="0.25">
      <c r="A19163" t="str">
        <f>HYPERLINK("https://www.773grp.com/globalSearch/D82C284-12  UM/page-1", "D82C284-12  UM")</f>
        <v>D82C284-12  UM</v>
      </c>
      <c r="B19163" s="3" t="s">
        <v>116</v>
      </c>
      <c r="C19163" s="6">
        <v>685</v>
      </c>
      <c r="D19163" s="7">
        <v>0</v>
      </c>
    </row>
    <row r="19164" spans="1:5" x14ac:dyDescent="0.25">
      <c r="A19164" t="str">
        <f>HYPERLINK("https://www.773grp.com/globalSearch/D82C288-12/page-1", "D82C288-12")</f>
        <v>D82C288-12</v>
      </c>
      <c r="B19164" s="3" t="s">
        <v>116</v>
      </c>
      <c r="C19164" s="6">
        <v>1014</v>
      </c>
      <c r="D19164" s="7">
        <v>0</v>
      </c>
      <c r="E19164" t="s">
        <v>72</v>
      </c>
    </row>
    <row r="19165" spans="1:5" x14ac:dyDescent="0.25">
      <c r="A19165" t="str">
        <f>HYPERLINK("https://www.773grp.com/globalSearch/D82C288-8/page-1", "D82C288-8")</f>
        <v>D82C288-8</v>
      </c>
      <c r="B19165" s="3" t="s">
        <v>116</v>
      </c>
      <c r="C19165" s="6">
        <v>2529</v>
      </c>
      <c r="D19165" s="7">
        <v>0</v>
      </c>
      <c r="E19165" t="s">
        <v>72</v>
      </c>
    </row>
    <row r="19166" spans="1:5" x14ac:dyDescent="0.25">
      <c r="A19166" t="str">
        <f>HYPERLINK("https://www.773grp.com/globalSearch/D8749H/page-1", "D8749H")</f>
        <v>D8749H</v>
      </c>
      <c r="B19166" s="3" t="s">
        <v>116</v>
      </c>
      <c r="C19166" s="6">
        <v>37</v>
      </c>
      <c r="D19166" s="7">
        <v>0</v>
      </c>
      <c r="E19166" t="s">
        <v>43</v>
      </c>
    </row>
    <row r="19167" spans="1:5" x14ac:dyDescent="0.25">
      <c r="A19167" t="str">
        <f>HYPERLINK("https://www.773grp.com/globalSearch/D8751H  UT/page-1", "D8751H  UT")</f>
        <v>D8751H  UT</v>
      </c>
      <c r="B19167" s="3" t="s">
        <v>116</v>
      </c>
      <c r="C19167" s="6">
        <v>823</v>
      </c>
      <c r="D19167" s="7">
        <v>0</v>
      </c>
    </row>
    <row r="19168" spans="1:5" x14ac:dyDescent="0.25">
      <c r="A19168" t="str">
        <f>HYPERLINK("https://www.773grp.com/globalSearch/EN80C196NT-G  UT/page-1", "EN80C196NT-G  UT")</f>
        <v>EN80C196NT-G  UT</v>
      </c>
      <c r="B19168" s="3" t="s">
        <v>116</v>
      </c>
      <c r="C19168" s="6">
        <v>1122</v>
      </c>
      <c r="D19168" s="7">
        <v>0</v>
      </c>
    </row>
    <row r="19169" spans="1:4" x14ac:dyDescent="0.25">
      <c r="A19169" t="str">
        <f>HYPERLINK("https://www.773grp.com/globalSearch/LD8748H/page-1", "LD8748H")</f>
        <v>LD8748H</v>
      </c>
      <c r="B19169" s="3" t="s">
        <v>116</v>
      </c>
      <c r="C19169" s="6">
        <v>85</v>
      </c>
      <c r="D19169" s="7">
        <v>0</v>
      </c>
    </row>
    <row r="19170" spans="1:4" x14ac:dyDescent="0.25">
      <c r="A19170" t="str">
        <f>HYPERLINK("https://www.773grp.com/globalSearch/LD87C51FA-1/page-1", "LD87C51FA-1")</f>
        <v>LD87C51FA-1</v>
      </c>
      <c r="B19170" s="3" t="s">
        <v>116</v>
      </c>
      <c r="C19170" s="6">
        <v>50</v>
      </c>
      <c r="D19170" s="7">
        <v>0</v>
      </c>
    </row>
    <row r="19171" spans="1:4" x14ac:dyDescent="0.25">
      <c r="A19171" t="str">
        <f>HYPERLINK("https://www.773grp.com/globalSearch/LD87C51FA-1  UM/page-1", "LD87C51FA-1  UM")</f>
        <v>LD87C51FA-1  UM</v>
      </c>
      <c r="B19171" s="3" t="s">
        <v>116</v>
      </c>
      <c r="C19171" s="6">
        <v>1135</v>
      </c>
      <c r="D19171" s="7">
        <v>0</v>
      </c>
    </row>
    <row r="19172" spans="1:4" x14ac:dyDescent="0.25">
      <c r="A19172" t="str">
        <f>HYPERLINK("https://www.773grp.com/globalSearch/LD87C51FC-1  UM/page-1", "LD87C51FC-1  UM")</f>
        <v>LD87C51FC-1  UM</v>
      </c>
      <c r="B19172" s="3" t="s">
        <v>116</v>
      </c>
      <c r="C19172" s="6">
        <v>559</v>
      </c>
      <c r="D19172" s="7">
        <v>0</v>
      </c>
    </row>
    <row r="19173" spans="1:4" x14ac:dyDescent="0.25">
      <c r="A19173" t="str">
        <f>HYPERLINK("https://www.773grp.com/globalSearch/MC27128A-25-BYA/page-1", "MC27128A-25-BYA")</f>
        <v>MC27128A-25-BYA</v>
      </c>
      <c r="B19173" s="3" t="s">
        <v>116</v>
      </c>
      <c r="C19173" s="6">
        <v>50</v>
      </c>
      <c r="D19173" s="7">
        <v>0</v>
      </c>
    </row>
    <row r="19174" spans="1:4" x14ac:dyDescent="0.25">
      <c r="A19174" t="str">
        <f>HYPERLINK("https://www.773grp.com/globalSearch/MC2732A-25-BJA/page-1", "MC2732A-25-BJA")</f>
        <v>MC2732A-25-BJA</v>
      </c>
      <c r="B19174" s="3" t="s">
        <v>116</v>
      </c>
      <c r="C19174" s="6">
        <v>3</v>
      </c>
      <c r="D19174" s="7">
        <v>0</v>
      </c>
    </row>
    <row r="19175" spans="1:4" x14ac:dyDescent="0.25">
      <c r="A19175" t="str">
        <f>HYPERLINK("https://www.773grp.com/globalSearch/MC2764A-25-B UF/page-1", "MC2764A-25-B UF")</f>
        <v>MC2764A-25-B UF</v>
      </c>
      <c r="B19175" s="3" t="s">
        <v>116</v>
      </c>
      <c r="C19175" s="6">
        <v>555</v>
      </c>
      <c r="D19175" s="7">
        <v>0</v>
      </c>
    </row>
    <row r="19176" spans="1:4" x14ac:dyDescent="0.25">
      <c r="A19176" t="str">
        <f>HYPERLINK("https://www.773grp.com/globalSearch/MC27C64-20  UF/page-1", "MC27C64-20  UF")</f>
        <v>MC27C64-20  UF</v>
      </c>
      <c r="B19176" s="3" t="s">
        <v>116</v>
      </c>
      <c r="C19176" s="6">
        <v>354</v>
      </c>
      <c r="D19176" s="7">
        <v>0</v>
      </c>
    </row>
    <row r="19177" spans="1:4" x14ac:dyDescent="0.25">
      <c r="A19177" t="str">
        <f>HYPERLINK("https://www.773grp.com/globalSearch/MC80C187-10/page-1", "MC80C187-10")</f>
        <v>MC80C187-10</v>
      </c>
      <c r="B19177" s="3" t="s">
        <v>116</v>
      </c>
      <c r="C19177" s="6">
        <v>67</v>
      </c>
      <c r="D19177" s="7">
        <v>0</v>
      </c>
    </row>
    <row r="19178" spans="1:4" x14ac:dyDescent="0.25">
      <c r="A19178" t="str">
        <f>HYPERLINK("https://www.773grp.com/globalSearch/MC80C31BH/page-1", "MC80C31BH")</f>
        <v>MC80C31BH</v>
      </c>
      <c r="B19178" s="3" t="s">
        <v>116</v>
      </c>
      <c r="C19178" s="6">
        <v>190</v>
      </c>
      <c r="D19178" s="7">
        <v>0</v>
      </c>
    </row>
    <row r="19179" spans="1:4" x14ac:dyDescent="0.25">
      <c r="A19179" t="str">
        <f>HYPERLINK("https://www.773grp.com/globalSearch/MC87C51FCZ-B LT/page-1", "MC87C51FCZ-B LT")</f>
        <v>MC87C51FCZ-B LT</v>
      </c>
      <c r="B19179" s="3" t="s">
        <v>116</v>
      </c>
      <c r="C19179" s="6">
        <v>331</v>
      </c>
      <c r="D19179" s="7">
        <v>0</v>
      </c>
    </row>
    <row r="19180" spans="1:4" x14ac:dyDescent="0.25">
      <c r="A19180" t="str">
        <f>HYPERLINK("https://www.773grp.com/globalSearch/MD2114A-5/page-1", "MD2114A-5")</f>
        <v>MD2114A-5</v>
      </c>
      <c r="B19180" s="3" t="s">
        <v>116</v>
      </c>
      <c r="C19180" s="6">
        <v>784</v>
      </c>
      <c r="D19180" s="7">
        <v>0</v>
      </c>
    </row>
    <row r="19181" spans="1:4" x14ac:dyDescent="0.25">
      <c r="A19181" t="str">
        <f>HYPERLINK("https://www.773grp.com/globalSearch/MD2114A-5-B/page-1", "MD2114A-5-B")</f>
        <v>MD2114A-5-B</v>
      </c>
      <c r="B19181" s="3" t="s">
        <v>116</v>
      </c>
      <c r="C19181" s="6">
        <v>6</v>
      </c>
      <c r="D19181" s="7">
        <v>0</v>
      </c>
    </row>
    <row r="19182" spans="1:4" x14ac:dyDescent="0.25">
      <c r="A19182" t="str">
        <f>HYPERLINK("https://www.773grp.com/globalSearch/MD27128A-15-B/page-1", "MD27128A-15-B")</f>
        <v>MD27128A-15-B</v>
      </c>
      <c r="B19182" s="3" t="s">
        <v>116</v>
      </c>
      <c r="C19182" s="6">
        <v>335</v>
      </c>
      <c r="D19182" s="7">
        <v>0</v>
      </c>
    </row>
    <row r="19183" spans="1:4" x14ac:dyDescent="0.25">
      <c r="A19183" t="str">
        <f>HYPERLINK("https://www.773grp.com/globalSearch/MD27128A-15-B  UM/page-1", "MD27128A-15-B  UM")</f>
        <v>MD27128A-15-B  UM</v>
      </c>
      <c r="B19183" s="3" t="s">
        <v>116</v>
      </c>
      <c r="C19183" s="6">
        <v>230</v>
      </c>
      <c r="D19183" s="7">
        <v>0</v>
      </c>
    </row>
    <row r="19184" spans="1:4" x14ac:dyDescent="0.25">
      <c r="A19184" t="str">
        <f>HYPERLINK("https://www.773grp.com/globalSearch/MD27128A-20-B/page-1", "MD27128A-20-B")</f>
        <v>MD27128A-20-B</v>
      </c>
      <c r="B19184" s="3" t="s">
        <v>116</v>
      </c>
      <c r="C19184" s="6">
        <v>100</v>
      </c>
      <c r="D19184" s="7">
        <v>0</v>
      </c>
    </row>
    <row r="19185" spans="1:4" x14ac:dyDescent="0.25">
      <c r="A19185" t="str">
        <f>HYPERLINK("https://www.773grp.com/globalSearch/MD27128A-25-B/page-1", "MD27128A-25-B")</f>
        <v>MD27128A-25-B</v>
      </c>
      <c r="B19185" s="3" t="s">
        <v>116</v>
      </c>
      <c r="C19185" s="6">
        <v>74</v>
      </c>
      <c r="D19185" s="7">
        <v>0</v>
      </c>
    </row>
    <row r="19186" spans="1:4" x14ac:dyDescent="0.25">
      <c r="A19186" t="str">
        <f>HYPERLINK("https://www.773grp.com/globalSearch/MD2716M-B/page-1", "MD2716M-B")</f>
        <v>MD2716M-B</v>
      </c>
      <c r="B19186" s="3" t="s">
        <v>116</v>
      </c>
      <c r="C19186" s="6">
        <v>3796</v>
      </c>
      <c r="D19186" s="7">
        <v>0</v>
      </c>
    </row>
    <row r="19187" spans="1:4" x14ac:dyDescent="0.25">
      <c r="A19187" t="str">
        <f>HYPERLINK("https://www.773grp.com/globalSearch/MD2716M-B  UF/page-1", "MD2716M-B  UF")</f>
        <v>MD2716M-B  UF</v>
      </c>
      <c r="B19187" s="3" t="s">
        <v>116</v>
      </c>
      <c r="C19187" s="6">
        <v>3300</v>
      </c>
      <c r="D19187" s="7">
        <v>0</v>
      </c>
    </row>
    <row r="19188" spans="1:4" x14ac:dyDescent="0.25">
      <c r="A19188" t="str">
        <f>HYPERLINK("https://www.773grp.com/globalSearch/MD2716M-B  UM/page-1", "MD2716M-B  UM")</f>
        <v>MD2716M-B  UM</v>
      </c>
      <c r="B19188" s="3" t="s">
        <v>116</v>
      </c>
      <c r="C19188" s="6">
        <v>973</v>
      </c>
      <c r="D19188" s="7">
        <v>0</v>
      </c>
    </row>
    <row r="19189" spans="1:4" x14ac:dyDescent="0.25">
      <c r="A19189" t="str">
        <f>HYPERLINK("https://www.773grp.com/globalSearch/MD2732A-25-B  UF/page-1", "MD2732A-25-B  UF")</f>
        <v>MD2732A-25-B  UF</v>
      </c>
      <c r="B19189" s="3" t="s">
        <v>116</v>
      </c>
      <c r="C19189" s="6">
        <v>10132</v>
      </c>
      <c r="D19189" s="7">
        <v>0</v>
      </c>
    </row>
    <row r="19190" spans="1:4" x14ac:dyDescent="0.25">
      <c r="A19190" t="str">
        <f>HYPERLINK("https://www.773grp.com/globalSearch/MD2732A-25-B  UM/page-1", "MD2732A-25-B  UM")</f>
        <v>MD2732A-25-B  UM</v>
      </c>
      <c r="B19190" s="3" t="s">
        <v>116</v>
      </c>
      <c r="C19190" s="6">
        <v>1075</v>
      </c>
      <c r="D19190" s="7">
        <v>0</v>
      </c>
    </row>
    <row r="19191" spans="1:4" x14ac:dyDescent="0.25">
      <c r="A19191" t="str">
        <f>HYPERLINK("https://www.773grp.com/globalSearch/MD2732A-45-B  UM/page-1", "MD2732A-45-B  UM")</f>
        <v>MD2732A-45-B  UM</v>
      </c>
      <c r="B19191" s="3" t="s">
        <v>116</v>
      </c>
      <c r="C19191" s="6">
        <v>14</v>
      </c>
      <c r="D19191" s="7">
        <v>0</v>
      </c>
    </row>
    <row r="19192" spans="1:4" x14ac:dyDescent="0.25">
      <c r="A19192" t="str">
        <f>HYPERLINK("https://www.773grp.com/globalSearch/MD2764A-25-B/page-1", "MD2764A-25-B")</f>
        <v>MD2764A-25-B</v>
      </c>
      <c r="B19192" s="3" t="s">
        <v>116</v>
      </c>
      <c r="C19192" s="6">
        <v>50</v>
      </c>
      <c r="D19192" s="7">
        <v>0</v>
      </c>
    </row>
    <row r="19193" spans="1:4" x14ac:dyDescent="0.25">
      <c r="A19193" t="str">
        <f>HYPERLINK("https://www.773grp.com/globalSearch/MD27C256-12-B  UM/page-1", "MD27C256-12-B  UM")</f>
        <v>MD27C256-12-B  UM</v>
      </c>
      <c r="B19193" s="3" t="s">
        <v>116</v>
      </c>
      <c r="C19193" s="6">
        <v>213</v>
      </c>
      <c r="D19193" s="7">
        <v>0</v>
      </c>
    </row>
    <row r="19194" spans="1:4" x14ac:dyDescent="0.25">
      <c r="A19194" t="str">
        <f>HYPERLINK("https://www.773grp.com/globalSearch/MD27C256-20-B/page-1", "MD27C256-20-B")</f>
        <v>MD27C256-20-B</v>
      </c>
      <c r="B19194" s="3" t="s">
        <v>116</v>
      </c>
      <c r="C19194" s="6">
        <v>96</v>
      </c>
      <c r="D19194" s="7">
        <v>0</v>
      </c>
    </row>
    <row r="19195" spans="1:4" x14ac:dyDescent="0.25">
      <c r="A19195" t="str">
        <f>HYPERLINK("https://www.773grp.com/globalSearch/MD27C256-90-B  UM/page-1", "MD27C256-90-B  UM")</f>
        <v>MD27C256-90-B  UM</v>
      </c>
      <c r="B19195" s="3" t="s">
        <v>116</v>
      </c>
      <c r="C19195" s="6">
        <v>588</v>
      </c>
      <c r="D19195" s="7">
        <v>0</v>
      </c>
    </row>
    <row r="19196" spans="1:4" x14ac:dyDescent="0.25">
      <c r="A19196" t="str">
        <f>HYPERLINK("https://www.773grp.com/globalSearch/MD27C64-15  UM/page-1", "MD27C64-15  UM")</f>
        <v>MD27C64-15  UM</v>
      </c>
      <c r="B19196" s="3" t="s">
        <v>116</v>
      </c>
      <c r="C19196" s="6">
        <v>1173</v>
      </c>
      <c r="D19196" s="7">
        <v>0</v>
      </c>
    </row>
    <row r="19197" spans="1:4" x14ac:dyDescent="0.25">
      <c r="A19197" t="str">
        <f>HYPERLINK("https://www.773grp.com/globalSearch/MD27C64-15-B/page-1", "MD27C64-15-B")</f>
        <v>MD27C64-15-B</v>
      </c>
      <c r="B19197" s="3" t="s">
        <v>116</v>
      </c>
      <c r="C19197" s="6">
        <v>83</v>
      </c>
      <c r="D19197" s="7">
        <v>0</v>
      </c>
    </row>
    <row r="19198" spans="1:4" x14ac:dyDescent="0.25">
      <c r="A19198" t="str">
        <f>HYPERLINK("https://www.773grp.com/globalSearch/MD27C64-15-B  UF/page-1", "MD27C64-15-B  UF")</f>
        <v>MD27C64-15-B  UF</v>
      </c>
      <c r="B19198" s="3" t="s">
        <v>116</v>
      </c>
      <c r="C19198" s="6">
        <v>4055</v>
      </c>
      <c r="D19198" s="7">
        <v>0</v>
      </c>
    </row>
    <row r="19199" spans="1:4" x14ac:dyDescent="0.25">
      <c r="A19199" t="str">
        <f>HYPERLINK("https://www.773grp.com/globalSearch/MD27C64-15-B  UM/page-1", "MD27C64-15-B  UM")</f>
        <v>MD27C64-15-B  UM</v>
      </c>
      <c r="B19199" s="3" t="s">
        <v>116</v>
      </c>
      <c r="C19199" s="6">
        <v>8192</v>
      </c>
      <c r="D19199" s="7">
        <v>0</v>
      </c>
    </row>
    <row r="19200" spans="1:4" x14ac:dyDescent="0.25">
      <c r="A19200" t="str">
        <f>HYPERLINK("https://www.773grp.com/globalSearch/MD27C64-20-B/page-1", "MD27C64-20-B")</f>
        <v>MD27C64-20-B</v>
      </c>
      <c r="B19200" s="3" t="s">
        <v>116</v>
      </c>
      <c r="C19200" s="6">
        <v>17</v>
      </c>
      <c r="D19200" s="7">
        <v>0</v>
      </c>
    </row>
    <row r="19201" spans="1:4" x14ac:dyDescent="0.25">
      <c r="A19201" t="str">
        <f>HYPERLINK("https://www.773grp.com/globalSearch/MD27C64-20-B  UM/page-1", "MD27C64-20-B  UM")</f>
        <v>MD27C64-20-B  UM</v>
      </c>
      <c r="B19201" s="3" t="s">
        <v>116</v>
      </c>
      <c r="C19201" s="6">
        <v>28</v>
      </c>
      <c r="D19201" s="7">
        <v>0</v>
      </c>
    </row>
    <row r="19202" spans="1:4" x14ac:dyDescent="0.25">
      <c r="A19202" t="str">
        <f>HYPERLINK("https://www.773grp.com/globalSearch/MD27C64-25-B/page-1", "MD27C64-25-B")</f>
        <v>MD27C64-25-B</v>
      </c>
      <c r="B19202" s="3" t="s">
        <v>116</v>
      </c>
      <c r="C19202" s="6">
        <v>76</v>
      </c>
      <c r="D19202" s="7">
        <v>0</v>
      </c>
    </row>
    <row r="19203" spans="1:4" x14ac:dyDescent="0.25">
      <c r="A19203" t="str">
        <f>HYPERLINK("https://www.773grp.com/globalSearch/MD27C64-35-B/page-1", "MD27C64-35-B")</f>
        <v>MD27C64-35-B</v>
      </c>
      <c r="B19203" s="3" t="s">
        <v>116</v>
      </c>
      <c r="C19203" s="6">
        <v>338</v>
      </c>
      <c r="D19203" s="7">
        <v>0</v>
      </c>
    </row>
    <row r="19204" spans="1:4" x14ac:dyDescent="0.25">
      <c r="A19204" t="str">
        <f>HYPERLINK("https://www.773grp.com/globalSearch/MD28F010-12-B/page-1", "MD28F010-12-B")</f>
        <v>MD28F010-12-B</v>
      </c>
      <c r="B19204" s="3" t="s">
        <v>116</v>
      </c>
      <c r="C19204" s="6">
        <v>263</v>
      </c>
      <c r="D19204" s="7">
        <v>0</v>
      </c>
    </row>
    <row r="19205" spans="1:4" x14ac:dyDescent="0.25">
      <c r="A19205" t="str">
        <f>HYPERLINK("https://www.773grp.com/globalSearch/MD28F010-25-B/page-1", "MD28F010-25-B")</f>
        <v>MD28F010-25-B</v>
      </c>
      <c r="B19205" s="3" t="s">
        <v>116</v>
      </c>
      <c r="C19205" s="6">
        <v>398</v>
      </c>
      <c r="D19205" s="7">
        <v>0</v>
      </c>
    </row>
    <row r="19206" spans="1:4" x14ac:dyDescent="0.25">
      <c r="A19206" t="str">
        <f>HYPERLINK("https://www.773grp.com/globalSearch/MD28F010-90 UM/page-1", "MD28F010-90 UM")</f>
        <v>MD28F010-90 UM</v>
      </c>
      <c r="B19206" s="3" t="s">
        <v>116</v>
      </c>
      <c r="C19206" s="6">
        <v>1930</v>
      </c>
      <c r="D19206" s="7">
        <v>0</v>
      </c>
    </row>
    <row r="19207" spans="1:4" x14ac:dyDescent="0.25">
      <c r="A19207" t="str">
        <f>HYPERLINK("https://www.773grp.com/globalSearch/MD28F010-90-B/page-1", "MD28F010-90-B")</f>
        <v>MD28F010-90-B</v>
      </c>
      <c r="B19207" s="3" t="s">
        <v>116</v>
      </c>
      <c r="C19207" s="6">
        <v>228</v>
      </c>
      <c r="D19207" s="7">
        <v>0</v>
      </c>
    </row>
    <row r="19208" spans="1:4" x14ac:dyDescent="0.25">
      <c r="A19208" t="str">
        <f>HYPERLINK("https://www.773grp.com/globalSearch/MD28F010-90-B UF/page-1", "MD28F010-90-B UF")</f>
        <v>MD28F010-90-B UF</v>
      </c>
      <c r="B19208" s="3" t="s">
        <v>116</v>
      </c>
      <c r="C19208" s="6">
        <v>6989</v>
      </c>
      <c r="D19208" s="7">
        <v>0</v>
      </c>
    </row>
    <row r="19209" spans="1:4" x14ac:dyDescent="0.25">
      <c r="A19209" t="str">
        <f>HYPERLINK("https://www.773grp.com/globalSearch/MD28F010-90-B UM/page-1", "MD28F010-90-B UM")</f>
        <v>MD28F010-90-B UM</v>
      </c>
      <c r="B19209" s="3" t="s">
        <v>116</v>
      </c>
      <c r="C19209" s="6">
        <v>1173</v>
      </c>
      <c r="D19209" s="7">
        <v>0</v>
      </c>
    </row>
    <row r="19210" spans="1:4" x14ac:dyDescent="0.25">
      <c r="A19210" t="str">
        <f>HYPERLINK("https://www.773grp.com/globalSearch/MD28F010-90-R UF/page-1", "MD28F010-90-R UF")</f>
        <v>MD28F010-90-R UF</v>
      </c>
      <c r="B19210" s="3" t="s">
        <v>116</v>
      </c>
      <c r="C19210" s="6">
        <v>4</v>
      </c>
      <c r="D19210" s="7">
        <v>0</v>
      </c>
    </row>
    <row r="19211" spans="1:4" x14ac:dyDescent="0.25">
      <c r="A19211" t="str">
        <f>HYPERLINK("https://www.773grp.com/globalSearch/MD28F010-90-R UM/page-1", "MD28F010-90-R UM")</f>
        <v>MD28F010-90-R UM</v>
      </c>
      <c r="B19211" s="3" t="s">
        <v>116</v>
      </c>
      <c r="C19211" s="6">
        <v>133</v>
      </c>
      <c r="D19211" s="7">
        <v>0</v>
      </c>
    </row>
    <row r="19212" spans="1:4" x14ac:dyDescent="0.25">
      <c r="A19212" t="str">
        <f>HYPERLINK("https://www.773grp.com/globalSearch/MD28F020-90  UM/page-1", "MD28F020-90  UM")</f>
        <v>MD28F020-90  UM</v>
      </c>
      <c r="B19212" s="3" t="s">
        <v>116</v>
      </c>
      <c r="C19212" s="6">
        <v>523</v>
      </c>
      <c r="D19212" s="7">
        <v>0</v>
      </c>
    </row>
    <row r="19213" spans="1:4" x14ac:dyDescent="0.25">
      <c r="A19213" t="str">
        <f>HYPERLINK("https://www.773grp.com/globalSearch/MD28F020-90-B  UF/page-1", "MD28F020-90-B  UF")</f>
        <v>MD28F020-90-B  UF</v>
      </c>
      <c r="B19213" s="3" t="s">
        <v>116</v>
      </c>
      <c r="C19213" s="6">
        <v>1250</v>
      </c>
      <c r="D19213" s="7">
        <v>0</v>
      </c>
    </row>
    <row r="19214" spans="1:4" x14ac:dyDescent="0.25">
      <c r="A19214" t="str">
        <f>HYPERLINK("https://www.773grp.com/globalSearch/MD8039AHL-R/page-1", "MD8039AHL-R")</f>
        <v>MD8039AHL-R</v>
      </c>
      <c r="B19214" s="3" t="s">
        <v>116</v>
      </c>
      <c r="C19214" s="6">
        <v>346</v>
      </c>
      <c r="D19214" s="7">
        <v>0</v>
      </c>
    </row>
    <row r="19215" spans="1:4" x14ac:dyDescent="0.25">
      <c r="A19215" t="str">
        <f>HYPERLINK("https://www.773grp.com/globalSearch/MD8086-B UM/page-1", "MD8086-B UM")</f>
        <v>MD8086-B UM</v>
      </c>
      <c r="B19215" s="3" t="s">
        <v>116</v>
      </c>
      <c r="C19215" s="6">
        <v>792</v>
      </c>
      <c r="D19215" s="7">
        <v>0</v>
      </c>
    </row>
    <row r="19216" spans="1:4" x14ac:dyDescent="0.25">
      <c r="A19216" t="str">
        <f>HYPERLINK("https://www.773grp.com/globalSearch/MD8087/page-1", "MD8087")</f>
        <v>MD8087</v>
      </c>
      <c r="B19216" s="3" t="s">
        <v>116</v>
      </c>
      <c r="C19216" s="6">
        <v>83</v>
      </c>
      <c r="D19216" s="7">
        <v>0</v>
      </c>
    </row>
    <row r="19217" spans="1:5" x14ac:dyDescent="0.25">
      <c r="A19217" t="str">
        <f>HYPERLINK("https://www.773grp.com/globalSearch/MD8087-R/page-1", "MD8087-R")</f>
        <v>MD8087-R</v>
      </c>
      <c r="B19217" s="3" t="s">
        <v>116</v>
      </c>
      <c r="C19217" s="6">
        <v>1</v>
      </c>
      <c r="D19217" s="7">
        <v>0</v>
      </c>
    </row>
    <row r="19218" spans="1:5" x14ac:dyDescent="0.25">
      <c r="A19218" t="str">
        <f>HYPERLINK("https://www.773grp.com/globalSearch/MD80C51FB (R1006)/page-1", "MD80C51FB (R1006)")</f>
        <v>MD80C51FB (R1006)</v>
      </c>
      <c r="B19218" s="3" t="s">
        <v>116</v>
      </c>
      <c r="C19218" s="6">
        <v>1157</v>
      </c>
      <c r="D19218" s="7">
        <v>0</v>
      </c>
    </row>
    <row r="19219" spans="1:5" x14ac:dyDescent="0.25">
      <c r="A19219" t="str">
        <f>HYPERLINK("https://www.773grp.com/globalSearch/MD8155H-BQA/page-1", "MD8155H-BQA")</f>
        <v>MD8155H-BQA</v>
      </c>
      <c r="B19219" s="3" t="s">
        <v>116</v>
      </c>
      <c r="C19219" s="6">
        <v>760</v>
      </c>
      <c r="D19219" s="7">
        <v>0</v>
      </c>
    </row>
    <row r="19220" spans="1:5" x14ac:dyDescent="0.25">
      <c r="A19220" t="str">
        <f>HYPERLINK("https://www.773grp.com/globalSearch/MD82188-R/page-1", "MD82188-R")</f>
        <v>MD82188-R</v>
      </c>
      <c r="B19220" s="3" t="s">
        <v>116</v>
      </c>
      <c r="C19220" s="6">
        <v>47</v>
      </c>
      <c r="D19220" s="7">
        <v>0</v>
      </c>
    </row>
    <row r="19221" spans="1:5" x14ac:dyDescent="0.25">
      <c r="A19221" t="str">
        <f>HYPERLINK("https://www.773grp.com/globalSearch/MD8251A/page-1", "MD8251A")</f>
        <v>MD8251A</v>
      </c>
      <c r="B19221" s="3" t="s">
        <v>116</v>
      </c>
      <c r="C19221" s="6">
        <v>3</v>
      </c>
      <c r="D19221" s="7">
        <v>0</v>
      </c>
      <c r="E19221" t="s">
        <v>59</v>
      </c>
    </row>
    <row r="19222" spans="1:5" x14ac:dyDescent="0.25">
      <c r="A19222" t="str">
        <f>HYPERLINK("https://www.773grp.com/globalSearch/MD8251A-B/page-1", "MD8251A-B")</f>
        <v>MD8251A-B</v>
      </c>
      <c r="B19222" s="3" t="s">
        <v>116</v>
      </c>
      <c r="C19222" s="6">
        <v>42</v>
      </c>
      <c r="D19222" s="7">
        <v>0</v>
      </c>
    </row>
    <row r="19223" spans="1:5" x14ac:dyDescent="0.25">
      <c r="A19223" t="str">
        <f>HYPERLINK("https://www.773grp.com/globalSearch/MD82C284-10-B  UF/page-1", "MD82C284-10-B  UF")</f>
        <v>MD82C284-10-B  UF</v>
      </c>
      <c r="B19223" s="3" t="s">
        <v>116</v>
      </c>
      <c r="C19223" s="6">
        <v>22</v>
      </c>
      <c r="D19223" s="7">
        <v>0</v>
      </c>
    </row>
    <row r="19224" spans="1:5" x14ac:dyDescent="0.25">
      <c r="A19224" t="str">
        <f>HYPERLINK("https://www.773grp.com/globalSearch/MD82C288-8-B  UF/page-1", "MD82C288-8-B  UF")</f>
        <v>MD82C288-8-B  UF</v>
      </c>
      <c r="B19224" s="3" t="s">
        <v>116</v>
      </c>
      <c r="C19224" s="6">
        <v>928</v>
      </c>
      <c r="D19224" s="7">
        <v>0</v>
      </c>
    </row>
    <row r="19225" spans="1:5" x14ac:dyDescent="0.25">
      <c r="A19225" t="str">
        <f>HYPERLINK("https://www.773grp.com/globalSearch/MD82C55A-B/page-1", "MD82C55A-B")</f>
        <v>MD82C55A-B</v>
      </c>
      <c r="B19225" s="3" t="s">
        <v>116</v>
      </c>
      <c r="C19225" s="6">
        <v>2954</v>
      </c>
      <c r="D19225" s="7">
        <v>0</v>
      </c>
      <c r="E19225" t="s">
        <v>71</v>
      </c>
    </row>
    <row r="19226" spans="1:5" x14ac:dyDescent="0.25">
      <c r="A19226" t="str">
        <f>HYPERLINK("https://www.773grp.com/globalSearch/MD8748H-B/page-1", "MD8748H-B")</f>
        <v>MD8748H-B</v>
      </c>
      <c r="B19226" s="3" t="s">
        <v>116</v>
      </c>
      <c r="C19226" s="6">
        <v>140</v>
      </c>
      <c r="D19226" s="7">
        <v>0</v>
      </c>
    </row>
    <row r="19227" spans="1:5" x14ac:dyDescent="0.25">
      <c r="A19227" t="str">
        <f>HYPERLINK("https://www.773grp.com/globalSearch/MD87C51-16-B  UF/page-1", "MD87C51-16-B  UF")</f>
        <v>MD87C51-16-B  UF</v>
      </c>
      <c r="B19227" s="3" t="s">
        <v>116</v>
      </c>
      <c r="C19227" s="6">
        <v>12</v>
      </c>
      <c r="D19227" s="7">
        <v>0</v>
      </c>
    </row>
    <row r="19228" spans="1:5" x14ac:dyDescent="0.25">
      <c r="A19228" t="str">
        <f>HYPERLINK("https://www.773grp.com/globalSearch/MD87C51-16-BQA  UF/page-1", "MD87C51-16-BQA  UF")</f>
        <v>MD87C51-16-BQA  UF</v>
      </c>
      <c r="B19228" s="3" t="s">
        <v>116</v>
      </c>
      <c r="C19228" s="6">
        <v>1357</v>
      </c>
      <c r="D19228" s="7">
        <v>0</v>
      </c>
    </row>
    <row r="19229" spans="1:5" x14ac:dyDescent="0.25">
      <c r="A19229" t="str">
        <f>HYPERLINK("https://www.773grp.com/globalSearch/MD87C51FC/page-1", "MD87C51FC")</f>
        <v>MD87C51FC</v>
      </c>
      <c r="B19229" s="3" t="s">
        <v>116</v>
      </c>
      <c r="C19229" s="6">
        <v>91</v>
      </c>
      <c r="D19229" s="7">
        <v>0</v>
      </c>
      <c r="E19229" t="s">
        <v>43</v>
      </c>
    </row>
    <row r="19230" spans="1:5" x14ac:dyDescent="0.25">
      <c r="A19230" t="str">
        <f>HYPERLINK("https://www.773grp.com/globalSearch/MD87C51FC-B/page-1", "MD87C51FC-B")</f>
        <v>MD87C51FC-B</v>
      </c>
      <c r="B19230" s="3" t="s">
        <v>116</v>
      </c>
      <c r="C19230" s="6">
        <v>5994</v>
      </c>
      <c r="D19230" s="7">
        <v>0</v>
      </c>
    </row>
    <row r="19231" spans="1:5" x14ac:dyDescent="0.25">
      <c r="A19231" t="str">
        <f>HYPERLINK("https://www.773grp.com/globalSearch/MD87C51FC-R/page-1", "MD87C51FC-R")</f>
        <v>MD87C51FC-R</v>
      </c>
      <c r="B19231" s="3" t="s">
        <v>116</v>
      </c>
      <c r="C19231" s="6">
        <v>2147</v>
      </c>
      <c r="D19231" s="7">
        <v>0</v>
      </c>
    </row>
    <row r="19232" spans="1:5" x14ac:dyDescent="0.25">
      <c r="A19232" t="str">
        <f>HYPERLINK("https://www.773grp.com/globalSearch/MG80186-6 MTO UT/page-1", "MG80186-6 MTO UT")</f>
        <v>MG80186-6 MTO UT</v>
      </c>
      <c r="B19232" s="3" t="s">
        <v>116</v>
      </c>
      <c r="C19232" s="6">
        <v>2418</v>
      </c>
      <c r="D19232" s="7">
        <v>0</v>
      </c>
    </row>
    <row r="19233" spans="1:5" x14ac:dyDescent="0.25">
      <c r="A19233" t="str">
        <f>HYPERLINK("https://www.773grp.com/globalSearch/MG80186-8-BZA  UM/page-1", "MG80186-8-BZA  UM")</f>
        <v>MG80186-8-BZA  UM</v>
      </c>
      <c r="B19233" s="3" t="s">
        <v>116</v>
      </c>
      <c r="C19233" s="6">
        <v>888</v>
      </c>
      <c r="D19233" s="7">
        <v>0</v>
      </c>
    </row>
    <row r="19234" spans="1:5" x14ac:dyDescent="0.25">
      <c r="A19234" t="str">
        <f>HYPERLINK("https://www.773grp.com/globalSearch/MG80387-25 UT/page-1", "MG80387-25 UT")</f>
        <v>MG80387-25 UT</v>
      </c>
      <c r="B19234" s="3" t="s">
        <v>116</v>
      </c>
      <c r="C19234" s="6">
        <v>40</v>
      </c>
      <c r="D19234" s="7">
        <v>0</v>
      </c>
    </row>
    <row r="19235" spans="1:5" x14ac:dyDescent="0.25">
      <c r="A19235" t="str">
        <f>HYPERLINK("https://www.773grp.com/globalSearch/MG80387-25-R  UT/page-1", "MG80387-25-R  UT")</f>
        <v>MG80387-25-R  UT</v>
      </c>
      <c r="B19235" s="3" t="s">
        <v>116</v>
      </c>
      <c r="C19235" s="6">
        <v>18</v>
      </c>
      <c r="D19235" s="7">
        <v>0</v>
      </c>
    </row>
    <row r="19236" spans="1:5" x14ac:dyDescent="0.25">
      <c r="A19236" t="str">
        <f>HYPERLINK("https://www.773grp.com/globalSearch/MG80960MC-20  UM/page-1", "MG80960MC-20  UM")</f>
        <v>MG80960MC-20  UM</v>
      </c>
      <c r="B19236" s="3" t="s">
        <v>116</v>
      </c>
      <c r="C19236" s="6">
        <v>1</v>
      </c>
      <c r="D19236" s="7">
        <v>0</v>
      </c>
    </row>
    <row r="19237" spans="1:5" x14ac:dyDescent="0.25">
      <c r="A19237" t="str">
        <f>HYPERLINK("https://www.773grp.com/globalSearch/MG80960MC-25/page-1", "MG80960MC-25")</f>
        <v>MG80960MC-25</v>
      </c>
      <c r="B19237" s="3" t="s">
        <v>116</v>
      </c>
      <c r="C19237" s="6">
        <v>1097</v>
      </c>
      <c r="D19237" s="7">
        <v>0</v>
      </c>
    </row>
    <row r="19238" spans="1:5" x14ac:dyDescent="0.25">
      <c r="A19238" t="str">
        <f>HYPERLINK("https://www.773grp.com/globalSearch/MG80960MC-25  UF/page-1", "MG80960MC-25  UF")</f>
        <v>MG80960MC-25  UF</v>
      </c>
      <c r="B19238" s="3" t="s">
        <v>116</v>
      </c>
      <c r="C19238" s="6">
        <v>30</v>
      </c>
      <c r="D19238" s="7">
        <v>0</v>
      </c>
    </row>
    <row r="19239" spans="1:5" x14ac:dyDescent="0.25">
      <c r="A19239" t="str">
        <f>HYPERLINK("https://www.773grp.com/globalSearch/MG80960MC-25-B/page-1", "MG80960MC-25-B")</f>
        <v>MG80960MC-25-B</v>
      </c>
      <c r="B19239" s="3" t="s">
        <v>116</v>
      </c>
      <c r="C19239" s="6">
        <v>93</v>
      </c>
      <c r="D19239" s="7">
        <v>0</v>
      </c>
    </row>
    <row r="19240" spans="1:5" x14ac:dyDescent="0.25">
      <c r="A19240" t="str">
        <f>HYPERLINK("https://www.773grp.com/globalSearch/MG80960MC-25-B  UM/page-1", "MG80960MC-25-B  UM")</f>
        <v>MG80960MC-25-B  UM</v>
      </c>
      <c r="B19240" s="3" t="s">
        <v>116</v>
      </c>
      <c r="C19240" s="6">
        <v>411</v>
      </c>
      <c r="D19240" s="7">
        <v>0</v>
      </c>
    </row>
    <row r="19241" spans="1:5" x14ac:dyDescent="0.25">
      <c r="A19241" t="str">
        <f>HYPERLINK("https://www.773grp.com/globalSearch/MG8097  UT/page-1", "MG8097  UT")</f>
        <v>MG8097  UT</v>
      </c>
      <c r="B19241" s="3" t="s">
        <v>116</v>
      </c>
      <c r="C19241" s="6">
        <v>9</v>
      </c>
      <c r="D19241" s="7">
        <v>0</v>
      </c>
    </row>
    <row r="19242" spans="1:5" x14ac:dyDescent="0.25">
      <c r="A19242" t="str">
        <f>HYPERLINK("https://www.773grp.com/globalSearch/MG8097BH/page-1", "MG8097BH")</f>
        <v>MG8097BH</v>
      </c>
      <c r="B19242" s="3" t="s">
        <v>116</v>
      </c>
      <c r="C19242" s="6">
        <v>3003</v>
      </c>
      <c r="D19242" s="7">
        <v>0</v>
      </c>
    </row>
    <row r="19243" spans="1:5" x14ac:dyDescent="0.25">
      <c r="A19243" t="str">
        <f>HYPERLINK("https://www.773grp.com/globalSearch/MG80C186-12/page-1", "MG80C186-12")</f>
        <v>MG80C186-12</v>
      </c>
      <c r="B19243" s="3" t="s">
        <v>116</v>
      </c>
      <c r="C19243" s="6">
        <v>1</v>
      </c>
      <c r="D19243" s="7">
        <v>0</v>
      </c>
      <c r="E19243" t="s">
        <v>66</v>
      </c>
    </row>
    <row r="19244" spans="1:5" x14ac:dyDescent="0.25">
      <c r="A19244" t="str">
        <f>HYPERLINK("https://www.773grp.com/globalSearch/MG80C186-12  UF/page-1", "MG80C186-12  UF")</f>
        <v>MG80C186-12  UF</v>
      </c>
      <c r="B19244" s="3" t="s">
        <v>116</v>
      </c>
      <c r="C19244" s="6">
        <v>98</v>
      </c>
      <c r="D19244" s="7">
        <v>0</v>
      </c>
    </row>
    <row r="19245" spans="1:5" x14ac:dyDescent="0.25">
      <c r="A19245" t="str">
        <f>HYPERLINK("https://www.773grp.com/globalSearch/MG80C186-12-BZC/page-1", "MG80C186-12-BZC")</f>
        <v>MG80C186-12-BZC</v>
      </c>
      <c r="B19245" s="3" t="s">
        <v>116</v>
      </c>
      <c r="C19245" s="6">
        <v>17</v>
      </c>
      <c r="D19245" s="7">
        <v>0</v>
      </c>
    </row>
    <row r="19246" spans="1:5" x14ac:dyDescent="0.25">
      <c r="A19246" t="str">
        <f>HYPERLINK("https://www.773grp.com/globalSearch/MG80C186EB-13-R/page-1", "MG80C186EB-13-R")</f>
        <v>MG80C186EB-13-R</v>
      </c>
      <c r="B19246" s="3" t="s">
        <v>116</v>
      </c>
      <c r="C19246" s="6">
        <v>119</v>
      </c>
      <c r="D19246" s="7">
        <v>0</v>
      </c>
    </row>
    <row r="19247" spans="1:5" x14ac:dyDescent="0.25">
      <c r="A19247" t="str">
        <f>HYPERLINK("https://www.773grp.com/globalSearch/MG80C186EB-16-B  UM/page-1", "MG80C186EB-16-B  UM")</f>
        <v>MG80C186EB-16-B  UM</v>
      </c>
      <c r="B19247" s="3" t="s">
        <v>116</v>
      </c>
      <c r="C19247" s="6">
        <v>657</v>
      </c>
      <c r="D19247" s="7">
        <v>0</v>
      </c>
    </row>
    <row r="19248" spans="1:5" x14ac:dyDescent="0.25">
      <c r="A19248" t="str">
        <f>HYPERLINK("https://www.773grp.com/globalSearch/MG80C186EB-8-B/page-1", "MG80C186EB-8-B")</f>
        <v>MG80C186EB-8-B</v>
      </c>
      <c r="B19248" s="3" t="s">
        <v>116</v>
      </c>
      <c r="C19248" s="6">
        <v>5</v>
      </c>
      <c r="D19248" s="7">
        <v>0</v>
      </c>
    </row>
    <row r="19249" spans="1:4" x14ac:dyDescent="0.25">
      <c r="A19249" t="str">
        <f>HYPERLINK("https://www.773grp.com/globalSearch/MG80C186XL-12-B/page-1", "MG80C186XL-12-B")</f>
        <v>MG80C186XL-12-B</v>
      </c>
      <c r="B19249" s="3" t="s">
        <v>116</v>
      </c>
      <c r="C19249" s="6">
        <v>20</v>
      </c>
      <c r="D19249" s="7">
        <v>0</v>
      </c>
    </row>
    <row r="19250" spans="1:4" x14ac:dyDescent="0.25">
      <c r="A19250" t="str">
        <f>HYPERLINK("https://www.773grp.com/globalSearch/MG80C186XL-20-B  UM/page-1", "MG80C186XL-20-B  UM")</f>
        <v>MG80C186XL-20-B  UM</v>
      </c>
      <c r="B19250" s="3" t="s">
        <v>116</v>
      </c>
      <c r="C19250" s="6">
        <v>603</v>
      </c>
      <c r="D19250" s="7">
        <v>0</v>
      </c>
    </row>
    <row r="19251" spans="1:4" x14ac:dyDescent="0.25">
      <c r="A19251" t="str">
        <f>HYPERLINK("https://www.773grp.com/globalSearch/MG80C186XL-20-R/page-1", "MG80C186XL-20-R")</f>
        <v>MG80C186XL-20-R</v>
      </c>
      <c r="B19251" s="3" t="s">
        <v>116</v>
      </c>
      <c r="C19251" s="6">
        <v>6</v>
      </c>
      <c r="D19251" s="7">
        <v>0</v>
      </c>
    </row>
    <row r="19252" spans="1:4" x14ac:dyDescent="0.25">
      <c r="A19252" t="str">
        <f>HYPERLINK("https://www.773grp.com/globalSearch/MG80C286-10-R/page-1", "MG80C286-10-R")</f>
        <v>MG80C286-10-R</v>
      </c>
      <c r="B19252" s="3" t="s">
        <v>116</v>
      </c>
      <c r="C19252" s="6">
        <v>1139</v>
      </c>
      <c r="D19252" s="7">
        <v>0</v>
      </c>
    </row>
    <row r="19253" spans="1:4" x14ac:dyDescent="0.25">
      <c r="A19253" t="str">
        <f>HYPERLINK("https://www.773grp.com/globalSearch/MG80C286-12-B  UM/page-1", "MG80C286-12-B  UM")</f>
        <v>MG80C286-12-B  UM</v>
      </c>
      <c r="B19253" s="3" t="s">
        <v>116</v>
      </c>
      <c r="C19253" s="6">
        <v>247</v>
      </c>
      <c r="D19253" s="7">
        <v>0</v>
      </c>
    </row>
    <row r="19254" spans="1:4" x14ac:dyDescent="0.25">
      <c r="A19254" t="str">
        <f>HYPERLINK("https://www.773grp.com/globalSearch/MG87C196KD-16-R/page-1", "MG87C196KD-16-R")</f>
        <v>MG87C196KD-16-R</v>
      </c>
      <c r="B19254" s="3" t="s">
        <v>116</v>
      </c>
      <c r="C19254" s="6">
        <v>19</v>
      </c>
      <c r="D19254" s="7">
        <v>0</v>
      </c>
    </row>
    <row r="19255" spans="1:4" x14ac:dyDescent="0.25">
      <c r="A19255" t="str">
        <f>HYPERLINK("https://www.773grp.com/globalSearch/MG87C196KD-20-R/page-1", "MG87C196KD-20-R")</f>
        <v>MG87C196KD-20-R</v>
      </c>
      <c r="B19255" s="3" t="s">
        <v>116</v>
      </c>
      <c r="C19255" s="6">
        <v>166</v>
      </c>
      <c r="D19255" s="7">
        <v>0</v>
      </c>
    </row>
    <row r="19256" spans="1:4" x14ac:dyDescent="0.25">
      <c r="A19256" t="str">
        <f>HYPERLINK("https://www.773grp.com/globalSearch/MG87C196KD-20-R UM/page-1", "MG87C196KD-20-R UM")</f>
        <v>MG87C196KD-20-R UM</v>
      </c>
      <c r="B19256" s="3" t="s">
        <v>116</v>
      </c>
      <c r="C19256" s="6">
        <v>589</v>
      </c>
      <c r="D19256" s="7">
        <v>0</v>
      </c>
    </row>
    <row r="19257" spans="1:4" x14ac:dyDescent="0.25">
      <c r="A19257" t="str">
        <f>HYPERLINK("https://www.773grp.com/globalSearch/MQ80186-6-B UT/page-1", "MQ80186-6-B UT")</f>
        <v>MQ80186-6-B UT</v>
      </c>
      <c r="B19257" s="3" t="s">
        <v>116</v>
      </c>
      <c r="C19257" s="6">
        <v>2</v>
      </c>
      <c r="D19257" s="7">
        <v>0</v>
      </c>
    </row>
    <row r="19258" spans="1:4" x14ac:dyDescent="0.25">
      <c r="A19258" t="str">
        <f>HYPERLINK("https://www.773grp.com/globalSearch/MQ80186-6-BYA UT/page-1", "MQ80186-6-BYA UT")</f>
        <v>MQ80186-6-BYA UT</v>
      </c>
      <c r="B19258" s="3" t="s">
        <v>116</v>
      </c>
      <c r="C19258" s="6">
        <v>22</v>
      </c>
      <c r="D19258" s="7">
        <v>0</v>
      </c>
    </row>
    <row r="19259" spans="1:4" x14ac:dyDescent="0.25">
      <c r="A19259" t="str">
        <f>HYPERLINK("https://www.773grp.com/globalSearch/MQ80186-8-B  UT/page-1", "MQ80186-8-B  UT")</f>
        <v>MQ80186-8-B  UT</v>
      </c>
      <c r="B19259" s="3" t="s">
        <v>116</v>
      </c>
      <c r="C19259" s="6">
        <v>9</v>
      </c>
      <c r="D19259" s="7">
        <v>0</v>
      </c>
    </row>
    <row r="19260" spans="1:4" x14ac:dyDescent="0.25">
      <c r="A19260" t="str">
        <f>HYPERLINK("https://www.773grp.com/globalSearch/MQ80860-40 UT/page-1", "MQ80860-40 UT")</f>
        <v>MQ80860-40 UT</v>
      </c>
      <c r="B19260" s="3" t="s">
        <v>116</v>
      </c>
      <c r="C19260" s="6">
        <v>21</v>
      </c>
      <c r="D19260" s="7">
        <v>0</v>
      </c>
    </row>
    <row r="19261" spans="1:4" x14ac:dyDescent="0.25">
      <c r="A19261" t="str">
        <f>HYPERLINK("https://www.773grp.com/globalSearch/MQ80860-40-R UT/page-1", "MQ80860-40-R UT")</f>
        <v>MQ80860-40-R UT</v>
      </c>
      <c r="B19261" s="3" t="s">
        <v>116</v>
      </c>
      <c r="C19261" s="6">
        <v>47</v>
      </c>
      <c r="D19261" s="7">
        <v>0</v>
      </c>
    </row>
    <row r="19262" spans="1:4" x14ac:dyDescent="0.25">
      <c r="A19262" t="str">
        <f>HYPERLINK("https://www.773grp.com/globalSearch/MQ80960MC-25-B  UM/page-1", "MQ80960MC-25-B  UM")</f>
        <v>MQ80960MC-25-B  UM</v>
      </c>
      <c r="B19262" s="3" t="s">
        <v>116</v>
      </c>
      <c r="C19262" s="6">
        <v>659</v>
      </c>
      <c r="D19262" s="7">
        <v>0</v>
      </c>
    </row>
    <row r="19263" spans="1:4" x14ac:dyDescent="0.25">
      <c r="A19263" t="str">
        <f>HYPERLINK("https://www.773grp.com/globalSearch/MQ80960MC-25-BGROUP A SAMPL/page-1", "MQ80960MC-25-BGROUP A SAMPL")</f>
        <v>MQ80960MC-25-BGROUP A SAMPL</v>
      </c>
      <c r="B19263" s="3" t="s">
        <v>116</v>
      </c>
      <c r="C19263" s="6">
        <v>107</v>
      </c>
      <c r="D19263" s="7">
        <v>0</v>
      </c>
    </row>
    <row r="19264" spans="1:4" x14ac:dyDescent="0.25">
      <c r="A19264" t="str">
        <f>HYPERLINK("https://www.773grp.com/globalSearch/MQ80960MC-25-BGROUP B SAMPL/page-1", "MQ80960MC-25-BGROUP B SAMPL")</f>
        <v>MQ80960MC-25-BGROUP B SAMPL</v>
      </c>
      <c r="B19264" s="3" t="s">
        <v>116</v>
      </c>
      <c r="C19264" s="6">
        <v>3</v>
      </c>
      <c r="D19264" s="7">
        <v>0</v>
      </c>
    </row>
    <row r="19265" spans="1:4" x14ac:dyDescent="0.25">
      <c r="A19265" t="str">
        <f>HYPERLINK("https://www.773grp.com/globalSearch/MQ80960MC-25-B-SPECIAL/page-1", "MQ80960MC-25-B-SPECIAL")</f>
        <v>MQ80960MC-25-B-SPECIAL</v>
      </c>
      <c r="B19265" s="3" t="s">
        <v>116</v>
      </c>
      <c r="C19265" s="6">
        <v>435</v>
      </c>
      <c r="D19265" s="7">
        <v>0</v>
      </c>
    </row>
    <row r="19266" spans="1:4" x14ac:dyDescent="0.25">
      <c r="A19266" t="str">
        <f>HYPERLINK("https://www.773grp.com/globalSearch/MQ8097-B  UT/page-1", "MQ8097-B  UT")</f>
        <v>MQ8097-B  UT</v>
      </c>
      <c r="B19266" s="3" t="s">
        <v>116</v>
      </c>
      <c r="C19266" s="6">
        <v>47</v>
      </c>
      <c r="D19266" s="7">
        <v>0</v>
      </c>
    </row>
    <row r="19267" spans="1:4" x14ac:dyDescent="0.25">
      <c r="A19267" t="str">
        <f>HYPERLINK("https://www.773grp.com/globalSearch/MQ8097BH/page-1", "MQ8097BH")</f>
        <v>MQ8097BH</v>
      </c>
      <c r="B19267" s="3" t="s">
        <v>116</v>
      </c>
      <c r="C19267" s="6">
        <v>1003</v>
      </c>
      <c r="D19267" s="7">
        <v>0</v>
      </c>
    </row>
    <row r="19268" spans="1:4" x14ac:dyDescent="0.25">
      <c r="A19268" t="str">
        <f>HYPERLINK("https://www.773grp.com/globalSearch/MQ8097BH  UT/page-1", "MQ8097BH  UT")</f>
        <v>MQ8097BH  UT</v>
      </c>
      <c r="B19268" s="3" t="s">
        <v>116</v>
      </c>
      <c r="C19268" s="6">
        <v>798</v>
      </c>
      <c r="D19268" s="7">
        <v>0</v>
      </c>
    </row>
    <row r="19269" spans="1:4" x14ac:dyDescent="0.25">
      <c r="A19269" t="str">
        <f>HYPERLINK("https://www.773grp.com/globalSearch/MQ8097BH-BYA  UF/page-1", "MQ8097BH-BYA  UF")</f>
        <v>MQ8097BH-BYA  UF</v>
      </c>
      <c r="B19269" s="3" t="s">
        <v>116</v>
      </c>
      <c r="C19269" s="6">
        <v>5</v>
      </c>
      <c r="D19269" s="7">
        <v>0</v>
      </c>
    </row>
    <row r="19270" spans="1:4" x14ac:dyDescent="0.25">
      <c r="A19270" t="str">
        <f>HYPERLINK("https://www.773grp.com/globalSearch/MQ8097BH-R UT/page-1", "MQ8097BH-R UT")</f>
        <v>MQ8097BH-R UT</v>
      </c>
      <c r="B19270" s="3" t="s">
        <v>116</v>
      </c>
      <c r="C19270" s="6">
        <v>103</v>
      </c>
      <c r="D19270" s="7">
        <v>0</v>
      </c>
    </row>
    <row r="19271" spans="1:4" x14ac:dyDescent="0.25">
      <c r="A19271" t="str">
        <f>HYPERLINK("https://www.773grp.com/globalSearch/MQ80C186-10-BYA/page-1", "MQ80C186-10-BYA")</f>
        <v>MQ80C186-10-BYA</v>
      </c>
      <c r="B19271" s="3" t="s">
        <v>116</v>
      </c>
      <c r="C19271" s="6">
        <v>58</v>
      </c>
      <c r="D19271" s="7">
        <v>0</v>
      </c>
    </row>
    <row r="19272" spans="1:4" x14ac:dyDescent="0.25">
      <c r="A19272" t="str">
        <f>HYPERLINK("https://www.773grp.com/globalSearch/MQ80C186-12-BYA/page-1", "MQ80C186-12-BYA")</f>
        <v>MQ80C186-12-BYA</v>
      </c>
      <c r="B19272" s="3" t="s">
        <v>116</v>
      </c>
      <c r="C19272" s="6">
        <v>23</v>
      </c>
      <c r="D19272" s="7">
        <v>0</v>
      </c>
    </row>
    <row r="19273" spans="1:4" x14ac:dyDescent="0.25">
      <c r="A19273" t="str">
        <f>HYPERLINK("https://www.773grp.com/globalSearch/MQ80C186-12-BYC  UF/page-1", "MQ80C186-12-BYC  UF")</f>
        <v>MQ80C186-12-BYC  UF</v>
      </c>
      <c r="B19273" s="3" t="s">
        <v>116</v>
      </c>
      <c r="C19273" s="6">
        <v>77</v>
      </c>
      <c r="D19273" s="7">
        <v>0</v>
      </c>
    </row>
    <row r="19274" spans="1:4" x14ac:dyDescent="0.25">
      <c r="A19274" t="str">
        <f>HYPERLINK("https://www.773grp.com/globalSearch/MQ80C286-10-R/page-1", "MQ80C286-10-R")</f>
        <v>MQ80C286-10-R</v>
      </c>
      <c r="B19274" s="3" t="s">
        <v>116</v>
      </c>
      <c r="C19274" s="6">
        <v>2004</v>
      </c>
      <c r="D19274" s="7">
        <v>0</v>
      </c>
    </row>
    <row r="19275" spans="1:4" x14ac:dyDescent="0.25">
      <c r="A19275" t="str">
        <f>HYPERLINK("https://www.773grp.com/globalSearch/MQ82380-20-R  UT/page-1", "MQ82380-20-R  UT")</f>
        <v>MQ82380-20-R  UT</v>
      </c>
      <c r="B19275" s="3" t="s">
        <v>116</v>
      </c>
      <c r="C19275" s="6">
        <v>45</v>
      </c>
      <c r="D19275" s="7">
        <v>0</v>
      </c>
    </row>
    <row r="19276" spans="1:4" x14ac:dyDescent="0.25">
      <c r="A19276" t="str">
        <f>HYPERLINK("https://www.773grp.com/globalSearch/MQ82380-25 UT/page-1", "MQ82380-25 UT")</f>
        <v>MQ82380-25 UT</v>
      </c>
      <c r="B19276" s="3" t="s">
        <v>116</v>
      </c>
      <c r="C19276" s="6">
        <v>10</v>
      </c>
      <c r="D19276" s="7">
        <v>0</v>
      </c>
    </row>
    <row r="19277" spans="1:4" x14ac:dyDescent="0.25">
      <c r="A19277" t="str">
        <f>HYPERLINK("https://www.773grp.com/globalSearch/MQ87C196KD-16-B  UT/page-1", "MQ87C196KD-16-B  UT")</f>
        <v>MQ87C196KD-16-B  UT</v>
      </c>
      <c r="B19277" s="3" t="s">
        <v>116</v>
      </c>
      <c r="C19277" s="6">
        <v>48</v>
      </c>
      <c r="D19277" s="7">
        <v>0</v>
      </c>
    </row>
    <row r="19278" spans="1:4" x14ac:dyDescent="0.25">
      <c r="A19278" t="str">
        <f>HYPERLINK("https://www.773grp.com/globalSearch/MR27256-17-B UM/page-1", "MR27256-17-B UM")</f>
        <v>MR27256-17-B UM</v>
      </c>
      <c r="B19278" s="3" t="s">
        <v>116</v>
      </c>
      <c r="C19278" s="6">
        <v>403</v>
      </c>
      <c r="D19278" s="7">
        <v>0</v>
      </c>
    </row>
    <row r="19279" spans="1:4" x14ac:dyDescent="0.25">
      <c r="A19279" t="str">
        <f>HYPERLINK("https://www.773grp.com/globalSearch/MR27256-25-B/page-1", "MR27256-25-B")</f>
        <v>MR27256-25-B</v>
      </c>
      <c r="B19279" s="3" t="s">
        <v>116</v>
      </c>
      <c r="C19279" s="6">
        <v>243</v>
      </c>
      <c r="D19279" s="7">
        <v>0</v>
      </c>
    </row>
    <row r="19280" spans="1:4" x14ac:dyDescent="0.25">
      <c r="A19280" t="str">
        <f>HYPERLINK("https://www.773grp.com/globalSearch/MR27256-25-B  UT/page-1", "MR27256-25-B  UT")</f>
        <v>MR27256-25-B  UT</v>
      </c>
      <c r="B19280" s="3" t="s">
        <v>116</v>
      </c>
      <c r="C19280" s="6">
        <v>6725</v>
      </c>
      <c r="D19280" s="7">
        <v>0</v>
      </c>
    </row>
    <row r="19281" spans="1:5" x14ac:dyDescent="0.25">
      <c r="A19281" t="str">
        <f>HYPERLINK("https://www.773grp.com/globalSearch/MR2764A-25-BZA  UF/page-1", "MR2764A-25-BZA  UF")</f>
        <v>MR2764A-25-BZA  UF</v>
      </c>
      <c r="B19281" s="3" t="s">
        <v>116</v>
      </c>
      <c r="C19281" s="6">
        <v>622</v>
      </c>
      <c r="D19281" s="7">
        <v>0</v>
      </c>
    </row>
    <row r="19282" spans="1:5" x14ac:dyDescent="0.25">
      <c r="A19282" t="str">
        <f>HYPERLINK("https://www.773grp.com/globalSearch/MR2764A-35-BZA/page-1", "MR2764A-35-BZA")</f>
        <v>MR2764A-35-BZA</v>
      </c>
      <c r="B19282" s="3" t="s">
        <v>116</v>
      </c>
      <c r="C19282" s="6">
        <v>5</v>
      </c>
      <c r="D19282" s="7">
        <v>0</v>
      </c>
    </row>
    <row r="19283" spans="1:5" x14ac:dyDescent="0.25">
      <c r="A19283" t="str">
        <f>HYPERLINK("https://www.773grp.com/globalSearch/MR27C256-20  UT/page-1", "MR27C256-20  UT")</f>
        <v>MR27C256-20  UT</v>
      </c>
      <c r="B19283" s="3" t="s">
        <v>116</v>
      </c>
      <c r="C19283" s="6">
        <v>1316</v>
      </c>
      <c r="D19283" s="7">
        <v>0</v>
      </c>
    </row>
    <row r="19284" spans="1:5" x14ac:dyDescent="0.25">
      <c r="A19284" t="str">
        <f>HYPERLINK("https://www.773grp.com/globalSearch/MR27C256-20-B/page-1", "MR27C256-20-B")</f>
        <v>MR27C256-20-B</v>
      </c>
      <c r="B19284" s="3" t="s">
        <v>116</v>
      </c>
      <c r="C19284" s="6">
        <v>170</v>
      </c>
      <c r="D19284" s="7">
        <v>0</v>
      </c>
    </row>
    <row r="19285" spans="1:5" x14ac:dyDescent="0.25">
      <c r="A19285" t="str">
        <f>HYPERLINK("https://www.773grp.com/globalSearch/MR27C64-20-B UM/page-1", "MR27C64-20-B UM")</f>
        <v>MR27C64-20-B UM</v>
      </c>
      <c r="B19285" s="3" t="s">
        <v>116</v>
      </c>
      <c r="C19285" s="6">
        <v>644</v>
      </c>
      <c r="D19285" s="7">
        <v>0</v>
      </c>
    </row>
    <row r="19286" spans="1:5" x14ac:dyDescent="0.25">
      <c r="A19286" t="str">
        <f>HYPERLINK("https://www.773grp.com/globalSearch/MR27C64-25-B/page-1", "MR27C64-25-B")</f>
        <v>MR27C64-25-B</v>
      </c>
      <c r="B19286" s="3" t="s">
        <v>116</v>
      </c>
      <c r="C19286" s="6">
        <v>100</v>
      </c>
      <c r="D19286" s="7">
        <v>0</v>
      </c>
    </row>
    <row r="19287" spans="1:5" x14ac:dyDescent="0.25">
      <c r="A19287" t="str">
        <f>HYPERLINK("https://www.773grp.com/globalSearch/MR82510-B/page-1", "MR82510-B")</f>
        <v>MR82510-B</v>
      </c>
      <c r="B19287" s="3" t="s">
        <v>116</v>
      </c>
      <c r="C19287" s="6">
        <v>983</v>
      </c>
      <c r="D19287" s="7">
        <v>0</v>
      </c>
      <c r="E19287" t="s">
        <v>59</v>
      </c>
    </row>
    <row r="19288" spans="1:5" x14ac:dyDescent="0.25">
      <c r="A19288" t="str">
        <f>HYPERLINK("https://www.773grp.com/globalSearch/MR8251A-B  UT/page-1", "MR8251A-B  UT")</f>
        <v>MR8251A-B  UT</v>
      </c>
      <c r="B19288" s="3" t="s">
        <v>116</v>
      </c>
      <c r="C19288" s="6">
        <v>96</v>
      </c>
      <c r="D19288" s="7">
        <v>0</v>
      </c>
    </row>
    <row r="19289" spans="1:5" x14ac:dyDescent="0.25">
      <c r="A19289" t="str">
        <f>HYPERLINK("https://www.773grp.com/globalSearch/MR8259A-B/page-1", "MR8259A-B")</f>
        <v>MR8259A-B</v>
      </c>
      <c r="B19289" s="3" t="s">
        <v>116</v>
      </c>
      <c r="C19289" s="6">
        <v>2254</v>
      </c>
      <c r="D19289" s="7">
        <v>0</v>
      </c>
    </row>
    <row r="19290" spans="1:5" x14ac:dyDescent="0.25">
      <c r="A19290" t="str">
        <f>HYPERLINK("https://www.773grp.com/globalSearch/MR87C51-16-B/page-1", "MR87C51-16-B")</f>
        <v>MR87C51-16-B</v>
      </c>
      <c r="B19290" s="3" t="s">
        <v>116</v>
      </c>
      <c r="C19290" s="6">
        <v>18</v>
      </c>
      <c r="D19290" s="7">
        <v>0</v>
      </c>
    </row>
    <row r="19291" spans="1:5" x14ac:dyDescent="0.25">
      <c r="A19291" t="str">
        <f>HYPERLINK("https://www.773grp.com/globalSearch/MR87C51-16-B  UF/page-1", "MR87C51-16-B  UF")</f>
        <v>MR87C51-16-B  UF</v>
      </c>
      <c r="B19291" s="3" t="s">
        <v>116</v>
      </c>
      <c r="C19291" s="6">
        <v>606</v>
      </c>
      <c r="D19291" s="7">
        <v>0</v>
      </c>
    </row>
    <row r="19292" spans="1:5" x14ac:dyDescent="0.25">
      <c r="A19292" t="str">
        <f>HYPERLINK("https://www.773grp.com/globalSearch/N80C152JB-1  UM/page-1", "N80C152JB-1  UM")</f>
        <v>N80C152JB-1  UM</v>
      </c>
      <c r="B19292" s="3" t="s">
        <v>116</v>
      </c>
      <c r="C19292" s="6">
        <v>2465</v>
      </c>
      <c r="D19292" s="7">
        <v>0</v>
      </c>
    </row>
    <row r="19293" spans="1:5" x14ac:dyDescent="0.25">
      <c r="A19293" t="str">
        <f>HYPERLINK("https://www.773grp.com/globalSearch/N80C152JB-G/page-1", "N80C152JB-G")</f>
        <v>N80C152JB-G</v>
      </c>
      <c r="B19293" s="3" t="s">
        <v>116</v>
      </c>
      <c r="C19293" s="6">
        <v>196</v>
      </c>
      <c r="D19293" s="7">
        <v>0</v>
      </c>
    </row>
    <row r="19294" spans="1:5" x14ac:dyDescent="0.25">
      <c r="A19294" t="str">
        <f>HYPERLINK("https://www.773grp.com/globalSearch/N80C152JC/page-1", "N80C152JC")</f>
        <v>N80C152JC</v>
      </c>
      <c r="B19294" s="3" t="s">
        <v>116</v>
      </c>
      <c r="C19294" s="6">
        <v>5200</v>
      </c>
      <c r="D19294" s="7">
        <v>0</v>
      </c>
      <c r="E19294" t="s">
        <v>43</v>
      </c>
    </row>
    <row r="19295" spans="1:5" x14ac:dyDescent="0.25">
      <c r="A19295" t="str">
        <f>HYPERLINK("https://www.773grp.com/globalSearch/N80C152JD  UM/page-1", "N80C152JD  UM")</f>
        <v>N80C152JD  UM</v>
      </c>
      <c r="B19295" s="3" t="s">
        <v>116</v>
      </c>
      <c r="C19295" s="6">
        <v>1122</v>
      </c>
      <c r="D19295" s="7">
        <v>0</v>
      </c>
    </row>
    <row r="19296" spans="1:5" x14ac:dyDescent="0.25">
      <c r="A19296" t="str">
        <f>HYPERLINK("https://www.773grp.com/globalSearch/N80C152JD-1  UM/page-1", "N80C152JD-1  UM")</f>
        <v>N80C152JD-1  UM</v>
      </c>
      <c r="B19296" s="3" t="s">
        <v>116</v>
      </c>
      <c r="C19296" s="6">
        <v>14717</v>
      </c>
      <c r="D19296" s="7">
        <v>0</v>
      </c>
    </row>
    <row r="19297" spans="1:5" x14ac:dyDescent="0.25">
      <c r="A19297" t="str">
        <f>HYPERLINK("https://www.773grp.com/globalSearch/N80C152JD-G  UM/page-1", "N80C152JD-G  UM")</f>
        <v>N80C152JD-G  UM</v>
      </c>
      <c r="B19297" s="3" t="s">
        <v>116</v>
      </c>
      <c r="C19297" s="6">
        <v>8016</v>
      </c>
      <c r="D19297" s="7">
        <v>0</v>
      </c>
    </row>
    <row r="19298" spans="1:5" x14ac:dyDescent="0.25">
      <c r="A19298" t="str">
        <f>HYPERLINK("https://www.773grp.com/globalSearch/N80C51GB  UT/page-1", "N80C51GB  UT")</f>
        <v>N80C51GB  UT</v>
      </c>
      <c r="B19298" s="3" t="s">
        <v>116</v>
      </c>
      <c r="C19298" s="6">
        <v>749</v>
      </c>
      <c r="D19298" s="7">
        <v>0</v>
      </c>
    </row>
    <row r="19299" spans="1:5" x14ac:dyDescent="0.25">
      <c r="A19299" t="str">
        <f>HYPERLINK("https://www.773grp.com/globalSearch/N8749H-G/page-1", "N8749H-G")</f>
        <v>N8749H-G</v>
      </c>
      <c r="B19299" s="3" t="s">
        <v>116</v>
      </c>
      <c r="C19299" s="6">
        <v>331</v>
      </c>
      <c r="D19299" s="7">
        <v>0</v>
      </c>
    </row>
    <row r="19300" spans="1:5" x14ac:dyDescent="0.25">
      <c r="A19300" t="str">
        <f>HYPERLINK("https://www.773grp.com/globalSearch/N87C196KC-20/page-1", "N87C196KC-20")</f>
        <v>N87C196KC-20</v>
      </c>
      <c r="B19300" s="3" t="s">
        <v>116</v>
      </c>
      <c r="C19300" s="6">
        <v>2407</v>
      </c>
      <c r="D19300" s="7">
        <v>0</v>
      </c>
    </row>
    <row r="19301" spans="1:5" x14ac:dyDescent="0.25">
      <c r="A19301" t="str">
        <f>HYPERLINK("https://www.773grp.com/globalSearch/N87C196KD-20/page-1", "N87C196KD-20")</f>
        <v>N87C196KD-20</v>
      </c>
      <c r="B19301" s="3" t="s">
        <v>116</v>
      </c>
      <c r="C19301" s="6">
        <v>1128</v>
      </c>
      <c r="D19301" s="7">
        <v>0</v>
      </c>
      <c r="E19301" t="s">
        <v>43</v>
      </c>
    </row>
    <row r="19302" spans="1:5" x14ac:dyDescent="0.25">
      <c r="A19302" t="str">
        <f>HYPERLINK("https://www.773grp.com/globalSearch/P8039AHL/page-1", "P8039AHL")</f>
        <v>P8039AHL</v>
      </c>
      <c r="B19302" s="3" t="s">
        <v>116</v>
      </c>
      <c r="C19302" s="6">
        <v>839</v>
      </c>
      <c r="D19302" s="7">
        <v>0</v>
      </c>
      <c r="E19302" t="s">
        <v>43</v>
      </c>
    </row>
    <row r="19303" spans="1:5" x14ac:dyDescent="0.25">
      <c r="A19303" t="str">
        <f>HYPERLINK("https://www.773grp.com/globalSearch/P8085AH-2 UM/page-1", "P8085AH-2 UM")</f>
        <v>P8085AH-2 UM</v>
      </c>
      <c r="B19303" s="3" t="s">
        <v>116</v>
      </c>
      <c r="C19303" s="6">
        <v>280</v>
      </c>
      <c r="D19303" s="7">
        <v>0</v>
      </c>
    </row>
    <row r="19304" spans="1:5" x14ac:dyDescent="0.25">
      <c r="A19304" t="str">
        <f>HYPERLINK("https://www.773grp.com/globalSearch/P80C152JA-1  UM/page-1", "P80C152JA-1  UM")</f>
        <v>P80C152JA-1  UM</v>
      </c>
      <c r="B19304" s="3" t="s">
        <v>116</v>
      </c>
      <c r="C19304" s="6">
        <v>87</v>
      </c>
      <c r="D19304" s="7">
        <v>0</v>
      </c>
    </row>
    <row r="19305" spans="1:5" x14ac:dyDescent="0.25">
      <c r="A19305" t="str">
        <f>HYPERLINK("https://www.773grp.com/globalSearch/P80C152JC  UM/page-1", "P80C152JC  UM")</f>
        <v>P80C152JC  UM</v>
      </c>
      <c r="B19305" s="3" t="s">
        <v>116</v>
      </c>
      <c r="C19305" s="6">
        <v>3212</v>
      </c>
      <c r="D19305" s="7">
        <v>0</v>
      </c>
    </row>
    <row r="19306" spans="1:5" x14ac:dyDescent="0.25">
      <c r="A19306" t="str">
        <f>HYPERLINK("https://www.773grp.com/globalSearch/P82C54-2/page-1", "P82C54-2")</f>
        <v>P82C54-2</v>
      </c>
      <c r="B19306" s="3" t="s">
        <v>116</v>
      </c>
      <c r="C19306" s="6">
        <v>9712</v>
      </c>
      <c r="D19306" s="7">
        <v>0</v>
      </c>
      <c r="E19306" t="s">
        <v>67</v>
      </c>
    </row>
    <row r="19307" spans="1:5" x14ac:dyDescent="0.25">
      <c r="A19307" t="str">
        <f>HYPERLINK("https://www.773grp.com/globalSearch/P8798/page-1", "P8798")</f>
        <v>P8798</v>
      </c>
      <c r="B19307" s="3" t="s">
        <v>116</v>
      </c>
      <c r="C19307" s="6">
        <v>9203</v>
      </c>
      <c r="D19307" s="7">
        <v>0</v>
      </c>
      <c r="E19307" t="s">
        <v>43</v>
      </c>
    </row>
    <row r="19308" spans="1:5" x14ac:dyDescent="0.25">
      <c r="A19308" t="str">
        <f>HYPERLINK("https://www.773grp.com/globalSearch/QD8751H-8 UT/page-1", "QD8751H-8 UT")</f>
        <v>QD8751H-8 UT</v>
      </c>
      <c r="B19308" s="3" t="s">
        <v>116</v>
      </c>
      <c r="C19308" s="6">
        <v>2418</v>
      </c>
      <c r="D19308" s="7">
        <v>0</v>
      </c>
    </row>
    <row r="19309" spans="1:5" x14ac:dyDescent="0.25">
      <c r="A19309" t="str">
        <f>HYPERLINK("https://www.773grp.com/globalSearch/R1030/page-1", "R1030")</f>
        <v>R1030</v>
      </c>
      <c r="B19309" s="3" t="s">
        <v>116</v>
      </c>
      <c r="C19309" s="6">
        <v>22</v>
      </c>
      <c r="D19309" s="7">
        <v>0</v>
      </c>
      <c r="E19309" t="s">
        <v>101</v>
      </c>
    </row>
    <row r="19310" spans="1:5" x14ac:dyDescent="0.25">
      <c r="A19310" t="str">
        <f>HYPERLINK("https://www.773grp.com/globalSearch/R1071/page-1", "R1071")</f>
        <v>R1071</v>
      </c>
      <c r="B19310" s="3" t="s">
        <v>116</v>
      </c>
      <c r="C19310" s="6">
        <v>7</v>
      </c>
      <c r="D19310" s="7">
        <v>0</v>
      </c>
    </row>
    <row r="19311" spans="1:5" x14ac:dyDescent="0.25">
      <c r="A19311" t="str">
        <f>HYPERLINK("https://www.773grp.com/globalSearch/R1078/page-1", "R1078")</f>
        <v>R1078</v>
      </c>
      <c r="B19311" s="3" t="s">
        <v>116</v>
      </c>
      <c r="C19311" s="6">
        <v>36</v>
      </c>
      <c r="D19311" s="7">
        <v>0</v>
      </c>
    </row>
    <row r="19312" spans="1:5" x14ac:dyDescent="0.25">
      <c r="A19312" t="str">
        <f>HYPERLINK("https://www.773grp.com/globalSearch/R1169/page-1", "R1169")</f>
        <v>R1169</v>
      </c>
      <c r="B19312" s="3" t="s">
        <v>116</v>
      </c>
      <c r="C19312" s="6">
        <v>42</v>
      </c>
      <c r="D19312" s="7">
        <v>0</v>
      </c>
    </row>
    <row r="19313" spans="1:5" x14ac:dyDescent="0.25">
      <c r="A19313" t="str">
        <f>HYPERLINK("https://www.773grp.com/globalSearch/R1173  UM/page-1", "R1173  UM")</f>
        <v>R1173  UM</v>
      </c>
      <c r="B19313" s="3" t="s">
        <v>116</v>
      </c>
      <c r="C19313" s="6">
        <v>631</v>
      </c>
      <c r="D19313" s="7">
        <v>0</v>
      </c>
    </row>
    <row r="19314" spans="1:5" x14ac:dyDescent="0.25">
      <c r="A19314" t="str">
        <f>HYPERLINK("https://www.773grp.com/globalSearch/R1292/page-1", "R1292")</f>
        <v>R1292</v>
      </c>
      <c r="B19314" s="3" t="s">
        <v>116</v>
      </c>
      <c r="C19314" s="6">
        <v>4679</v>
      </c>
      <c r="D19314" s="7">
        <v>0</v>
      </c>
    </row>
    <row r="19315" spans="1:5" x14ac:dyDescent="0.25">
      <c r="A19315" t="str">
        <f>HYPERLINK("https://www.773grp.com/globalSearch/R1313/page-1", "R1313")</f>
        <v>R1313</v>
      </c>
      <c r="B19315" s="3" t="s">
        <v>116</v>
      </c>
      <c r="C19315" s="6">
        <v>4</v>
      </c>
      <c r="D19315" s="7">
        <v>0</v>
      </c>
    </row>
    <row r="19316" spans="1:5" x14ac:dyDescent="0.25">
      <c r="A19316" t="str">
        <f>HYPERLINK("https://www.773grp.com/globalSearch/R1324/page-1", "R1324")</f>
        <v>R1324</v>
      </c>
      <c r="B19316" s="3" t="s">
        <v>116</v>
      </c>
      <c r="C19316" s="6">
        <v>8</v>
      </c>
      <c r="D19316" s="7">
        <v>0</v>
      </c>
    </row>
    <row r="19317" spans="1:5" x14ac:dyDescent="0.25">
      <c r="A19317" t="str">
        <f>HYPERLINK("https://www.773grp.com/globalSearch/R1385/page-1", "R1385")</f>
        <v>R1385</v>
      </c>
      <c r="B19317" s="3" t="s">
        <v>116</v>
      </c>
      <c r="C19317" s="6">
        <v>268</v>
      </c>
      <c r="D19317" s="7">
        <v>0</v>
      </c>
    </row>
    <row r="19318" spans="1:5" x14ac:dyDescent="0.25">
      <c r="A19318" t="str">
        <f>HYPERLINK("https://www.773grp.com/globalSearch/R1506/page-1", "R1506")</f>
        <v>R1506</v>
      </c>
      <c r="B19318" s="3" t="s">
        <v>116</v>
      </c>
      <c r="C19318" s="6">
        <v>7</v>
      </c>
      <c r="D19318" s="7">
        <v>0</v>
      </c>
    </row>
    <row r="19319" spans="1:5" x14ac:dyDescent="0.25">
      <c r="A19319" t="str">
        <f>HYPERLINK("https://www.773grp.com/globalSearch/R1668/page-1", "R1668")</f>
        <v>R1668</v>
      </c>
      <c r="B19319" s="3" t="s">
        <v>116</v>
      </c>
      <c r="C19319" s="6">
        <v>538</v>
      </c>
      <c r="D19319" s="7">
        <v>0</v>
      </c>
    </row>
    <row r="19320" spans="1:5" x14ac:dyDescent="0.25">
      <c r="A19320" t="str">
        <f>HYPERLINK("https://www.773grp.com/globalSearch/TA8097BH UT/page-1", "TA8097BH UT")</f>
        <v>TA8097BH UT</v>
      </c>
      <c r="B19320" s="3" t="s">
        <v>116</v>
      </c>
      <c r="C19320" s="6">
        <v>140</v>
      </c>
      <c r="D19320" s="7">
        <v>0</v>
      </c>
    </row>
    <row r="19321" spans="1:5" x14ac:dyDescent="0.25">
      <c r="A19321" t="str">
        <f>HYPERLINK("https://www.773grp.com/globalSearch/TA80C186XL-20  UM/page-1", "TA80C186XL-20  UM")</f>
        <v>TA80C186XL-20  UM</v>
      </c>
      <c r="B19321" s="3" t="s">
        <v>116</v>
      </c>
      <c r="C19321" s="6">
        <v>531</v>
      </c>
      <c r="D19321" s="7">
        <v>0</v>
      </c>
    </row>
    <row r="19322" spans="1:5" x14ac:dyDescent="0.25">
      <c r="A19322" t="str">
        <f>HYPERLINK("https://www.773grp.com/globalSearch/TD8243/page-1", "TD8243")</f>
        <v>TD8243</v>
      </c>
      <c r="B19322" s="3" t="s">
        <v>116</v>
      </c>
      <c r="C19322" s="6">
        <v>167</v>
      </c>
      <c r="D19322" s="7">
        <v>0</v>
      </c>
      <c r="E19322" t="s">
        <v>71</v>
      </c>
    </row>
    <row r="19323" spans="1:5" x14ac:dyDescent="0.25">
      <c r="A19323" t="str">
        <f>HYPERLINK("https://www.773grp.com/globalSearch/TE28F010-90/page-1", "TE28F010-90")</f>
        <v>TE28F010-90</v>
      </c>
      <c r="B19323" s="3" t="s">
        <v>116</v>
      </c>
      <c r="C19323" s="6">
        <v>50</v>
      </c>
      <c r="D19323" s="7">
        <v>0</v>
      </c>
    </row>
    <row r="19324" spans="1:5" x14ac:dyDescent="0.25">
      <c r="A19324" t="str">
        <f>HYPERLINK("https://www.773grp.com/globalSearch/TE28F010-90  UM/page-1", "TE28F010-90  UM")</f>
        <v>TE28F010-90  UM</v>
      </c>
      <c r="B19324" s="3" t="s">
        <v>116</v>
      </c>
      <c r="C19324" s="6">
        <v>596</v>
      </c>
      <c r="D19324" s="7">
        <v>0</v>
      </c>
    </row>
    <row r="19325" spans="1:5" x14ac:dyDescent="0.25">
      <c r="A19325" t="str">
        <f>HYPERLINK("https://www.773grp.com/globalSearch/TE28F800B5B90  UF/page-1", "TE28F800B5B90  UF")</f>
        <v>TE28F800B5B90  UF</v>
      </c>
      <c r="B19325" s="3" t="s">
        <v>116</v>
      </c>
      <c r="C19325" s="6">
        <v>6743</v>
      </c>
      <c r="D19325" s="7">
        <v>0</v>
      </c>
    </row>
    <row r="19326" spans="1:5" x14ac:dyDescent="0.25">
      <c r="A19326" t="str">
        <f>HYPERLINK("https://www.773grp.com/globalSearch/TF28F010-90/page-1", "TF28F010-90")</f>
        <v>TF28F010-90</v>
      </c>
      <c r="B19326" s="3" t="s">
        <v>116</v>
      </c>
      <c r="C19326" s="6">
        <v>2074</v>
      </c>
      <c r="D19326" s="7">
        <v>0</v>
      </c>
    </row>
    <row r="19327" spans="1:5" x14ac:dyDescent="0.25">
      <c r="A19327" t="str">
        <f>HYPERLINK("https://www.773grp.com/globalSearch/TN28F010-90-G  UM/page-1", "TN28F010-90-G  UM")</f>
        <v>TN28F010-90-G  UM</v>
      </c>
      <c r="B19327" s="3" t="s">
        <v>116</v>
      </c>
      <c r="C19327" s="6">
        <v>1278</v>
      </c>
      <c r="D19327" s="7">
        <v>0</v>
      </c>
    </row>
    <row r="19328" spans="1:5" x14ac:dyDescent="0.25">
      <c r="A19328" t="str">
        <f>HYPERLINK("https://www.773grp.com/globalSearch/TN28F020-150 UM/page-1", "TN28F020-150 UM")</f>
        <v>TN28F020-150 UM</v>
      </c>
      <c r="B19328" s="3" t="s">
        <v>116</v>
      </c>
      <c r="C19328" s="6">
        <v>490</v>
      </c>
      <c r="D19328" s="7">
        <v>0</v>
      </c>
    </row>
    <row r="19329" spans="1:5" x14ac:dyDescent="0.25">
      <c r="A19329" t="str">
        <f>HYPERLINK("https://www.773grp.com/globalSearch/TN80C186EB-16  UM/page-1", "TN80C186EB-16  UM")</f>
        <v>TN80C186EB-16  UM</v>
      </c>
      <c r="B19329" s="3" t="s">
        <v>116</v>
      </c>
      <c r="C19329" s="6">
        <v>876</v>
      </c>
      <c r="D19329" s="7">
        <v>0</v>
      </c>
    </row>
    <row r="19330" spans="1:5" x14ac:dyDescent="0.25">
      <c r="A19330" t="str">
        <f>HYPERLINK("https://www.773grp.com/globalSearch/TN80C196KC20/page-1", "TN80C196KC20")</f>
        <v>TN80C196KC20</v>
      </c>
      <c r="B19330" s="3" t="s">
        <v>116</v>
      </c>
      <c r="C19330" s="6">
        <v>478</v>
      </c>
      <c r="D19330" s="7">
        <v>0</v>
      </c>
      <c r="E19330" t="s">
        <v>43</v>
      </c>
    </row>
    <row r="19331" spans="1:5" x14ac:dyDescent="0.25">
      <c r="A19331" t="str">
        <f>HYPERLINK("https://www.773grp.com/globalSearch/TN82C54-2/page-1", "TN82C54-2")</f>
        <v>TN82C54-2</v>
      </c>
      <c r="B19331" s="3" t="s">
        <v>116</v>
      </c>
      <c r="C19331" s="6">
        <v>8210</v>
      </c>
      <c r="D19331" s="7">
        <v>0</v>
      </c>
      <c r="E19331" t="s">
        <v>67</v>
      </c>
    </row>
    <row r="19332" spans="1:5" x14ac:dyDescent="0.25">
      <c r="A19332" t="str">
        <f>HYPERLINK("https://www.773grp.com/globalSearch/TN82C54-2  UM/page-1", "TN82C54-2  UM")</f>
        <v>TN82C54-2  UM</v>
      </c>
      <c r="B19332" s="3" t="s">
        <v>116</v>
      </c>
      <c r="C19332" s="6">
        <v>9421</v>
      </c>
      <c r="D19332" s="7">
        <v>0</v>
      </c>
    </row>
    <row r="19333" spans="1:5" x14ac:dyDescent="0.25">
      <c r="A19333" t="str">
        <f>HYPERLINK("https://www.773grp.com/globalSearch/TN87C196KC/page-1", "TN87C196KC")</f>
        <v>TN87C196KC</v>
      </c>
      <c r="B19333" s="3" t="s">
        <v>116</v>
      </c>
      <c r="C19333" s="6">
        <v>953</v>
      </c>
      <c r="D19333" s="7">
        <v>0</v>
      </c>
    </row>
    <row r="19334" spans="1:5" x14ac:dyDescent="0.25">
      <c r="A19334" t="str">
        <f>HYPERLINK("https://www.773grp.com/globalSearch/TN87C196KD/page-1", "TN87C196KD")</f>
        <v>TN87C196KD</v>
      </c>
      <c r="B19334" s="3" t="s">
        <v>116</v>
      </c>
      <c r="C19334" s="6">
        <v>200</v>
      </c>
      <c r="D19334" s="7">
        <v>0</v>
      </c>
    </row>
    <row r="19335" spans="1:5" x14ac:dyDescent="0.25">
      <c r="A19335" t="str">
        <f>HYPERLINK("https://www.773grp.com/globalSearch/TN87C196KD UM/page-1", "TN87C196KD UM")</f>
        <v>TN87C196KD UM</v>
      </c>
      <c r="B19335" s="3" t="s">
        <v>116</v>
      </c>
      <c r="C19335" s="6">
        <v>673</v>
      </c>
      <c r="D19335" s="7">
        <v>0</v>
      </c>
    </row>
    <row r="19336" spans="1:5" x14ac:dyDescent="0.25">
      <c r="A19336" t="str">
        <f>HYPERLINK("https://www.773grp.com/globalSearch/TP8044AH/page-1", "TP8044AH")</f>
        <v>TP8044AH</v>
      </c>
      <c r="B19336" s="3" t="s">
        <v>116</v>
      </c>
      <c r="C19336" s="6">
        <v>33</v>
      </c>
      <c r="D19336" s="7">
        <v>0</v>
      </c>
    </row>
    <row r="19337" spans="1:5" x14ac:dyDescent="0.25">
      <c r="A19337" t="str">
        <f>HYPERLINK("https://www.773grp.com/globalSearch/TP8044AH  UT/page-1", "TP8044AH  UT")</f>
        <v>TP8044AH  UT</v>
      </c>
      <c r="B19337" s="3" t="s">
        <v>116</v>
      </c>
      <c r="C19337" s="6">
        <v>57</v>
      </c>
      <c r="D19337" s="7">
        <v>0</v>
      </c>
    </row>
    <row r="19338" spans="1:5" x14ac:dyDescent="0.25">
      <c r="A19338" t="str">
        <f>HYPERLINK("https://www.773grp.com/globalSearch/TP82C54/page-1", "TP82C54")</f>
        <v>TP82C54</v>
      </c>
      <c r="B19338" s="3" t="s">
        <v>116</v>
      </c>
      <c r="C19338" s="6">
        <v>1000</v>
      </c>
      <c r="D19338" s="7">
        <v>0</v>
      </c>
      <c r="E19338" t="s">
        <v>67</v>
      </c>
    </row>
    <row r="19339" spans="1:5" x14ac:dyDescent="0.25">
      <c r="A19339" t="str">
        <f>HYPERLINK("https://www.773grp.com/globalSearch/TP82C54-2/page-1", "TP82C54-2")</f>
        <v>TP82C54-2</v>
      </c>
      <c r="B19339" s="3" t="s">
        <v>116</v>
      </c>
      <c r="C19339" s="6">
        <v>1096</v>
      </c>
      <c r="D19339" s="7">
        <v>0</v>
      </c>
      <c r="E19339" t="s">
        <v>67</v>
      </c>
    </row>
    <row r="19340" spans="1:5" x14ac:dyDescent="0.25">
      <c r="A19340" t="str">
        <f>HYPERLINK("https://www.773grp.com/globalSearch/TP82C54-2  UM/page-1", "TP82C54-2  UM")</f>
        <v>TP82C54-2  UM</v>
      </c>
      <c r="B19340" s="3" t="s">
        <v>116</v>
      </c>
      <c r="C19340" s="6">
        <v>11217</v>
      </c>
      <c r="D19340" s="7">
        <v>0</v>
      </c>
    </row>
    <row r="19341" spans="1:5" x14ac:dyDescent="0.25">
      <c r="A19341" t="str">
        <f>HYPERLINK("https://www.773grp.com/globalSearch/ICM7170AIPG/page-1", "ICM7170AIPG")</f>
        <v>ICM7170AIPG</v>
      </c>
      <c r="B19341" s="3" t="s">
        <v>116</v>
      </c>
      <c r="C19341" s="6">
        <v>14</v>
      </c>
      <c r="D19341" s="7">
        <v>0</v>
      </c>
      <c r="E19341" t="s">
        <v>67</v>
      </c>
    </row>
    <row r="19342" spans="1:5" x14ac:dyDescent="0.25">
      <c r="A19342" t="str">
        <f>HYPERLINK("https://www.773grp.com/globalSearch/X28C512DM-15-B/page-1", "X28C512DM-15-B")</f>
        <v>X28C512DM-15-B</v>
      </c>
      <c r="B19342" s="3" t="s">
        <v>116</v>
      </c>
      <c r="C19342" s="6">
        <v>282</v>
      </c>
      <c r="D19342" s="7">
        <v>0</v>
      </c>
    </row>
    <row r="19343" spans="1:5" x14ac:dyDescent="0.25">
      <c r="A19343" t="str">
        <f>HYPERLINK("https://www.773grp.com/globalSearch/X28C512EM-12/page-1", "X28C512EM-12")</f>
        <v>X28C512EM-12</v>
      </c>
      <c r="B19343" s="3" t="s">
        <v>116</v>
      </c>
      <c r="C19343" s="6">
        <v>312</v>
      </c>
      <c r="D19343" s="7">
        <v>0</v>
      </c>
    </row>
    <row r="19344" spans="1:5" x14ac:dyDescent="0.25">
      <c r="A19344" t="str">
        <f>HYPERLINK("https://www.773grp.com/globalSearch/X28C512JI-12/page-1", "X28C512JI-12")</f>
        <v>X28C512JI-12</v>
      </c>
      <c r="B19344" s="3" t="s">
        <v>116</v>
      </c>
      <c r="C19344" s="6">
        <v>150</v>
      </c>
      <c r="D19344" s="7">
        <v>0</v>
      </c>
    </row>
    <row r="19345" spans="1:5" x14ac:dyDescent="0.25">
      <c r="A19345" t="str">
        <f>HYPERLINK("https://www.773grp.com/globalSearch/X28C512JI-15/page-1", "X28C512JI-15")</f>
        <v>X28C512JI-15</v>
      </c>
      <c r="B19345" s="3" t="s">
        <v>116</v>
      </c>
      <c r="C19345" s="6">
        <v>50</v>
      </c>
      <c r="D19345" s="7">
        <v>0</v>
      </c>
    </row>
    <row r="19346" spans="1:5" x14ac:dyDescent="0.25">
      <c r="A19346" t="str">
        <f>HYPERLINK("https://www.773grp.com/globalSearch/X28C513JI-12/page-1", "X28C513JI-12")</f>
        <v>X28C513JI-12</v>
      </c>
      <c r="B19346" s="3" t="s">
        <v>116</v>
      </c>
      <c r="C19346" s="6">
        <v>554</v>
      </c>
      <c r="D19346" s="7">
        <v>0</v>
      </c>
    </row>
    <row r="19347" spans="1:5" x14ac:dyDescent="0.25">
      <c r="A19347" t="str">
        <f>HYPERLINK("https://www.773grp.com/globalSearch/R1133/page-1", "R1133")</f>
        <v>R1133</v>
      </c>
      <c r="B19347" s="3" t="s">
        <v>116</v>
      </c>
      <c r="C19347" s="6">
        <v>94</v>
      </c>
      <c r="D19347" s="7">
        <v>0</v>
      </c>
    </row>
    <row r="19348" spans="1:5" x14ac:dyDescent="0.25">
      <c r="A19348" t="str">
        <f>HYPERLINK("https://www.773grp.com/globalSearch/R1236/page-1", "R1236")</f>
        <v>R1236</v>
      </c>
      <c r="B19348" s="3" t="s">
        <v>116</v>
      </c>
      <c r="C19348" s="6">
        <v>668</v>
      </c>
      <c r="D19348" s="7">
        <v>0</v>
      </c>
    </row>
    <row r="19349" spans="1:5" x14ac:dyDescent="0.25">
      <c r="A19349" t="str">
        <f>HYPERLINK("https://www.773grp.com/globalSearch/R1336/page-1", "R1336")</f>
        <v>R1336</v>
      </c>
      <c r="B19349" s="3" t="s">
        <v>116</v>
      </c>
      <c r="C19349" s="6">
        <v>2471</v>
      </c>
      <c r="D19349" s="7">
        <v>0</v>
      </c>
    </row>
    <row r="19350" spans="1:5" x14ac:dyDescent="0.25">
      <c r="A19350" t="str">
        <f>HYPERLINK("https://www.773grp.com/globalSearch/R1336  UT/page-1", "R1336  UT")</f>
        <v>R1336  UT</v>
      </c>
      <c r="B19350" s="3" t="s">
        <v>116</v>
      </c>
      <c r="C19350" s="6">
        <v>5874</v>
      </c>
      <c r="D19350" s="7">
        <v>0</v>
      </c>
    </row>
    <row r="19351" spans="1:5" x14ac:dyDescent="0.25">
      <c r="A19351" t="str">
        <f>HYPERLINK("https://www.773grp.com/globalSearch/R1352/page-1", "R1352")</f>
        <v>R1352</v>
      </c>
      <c r="B19351" s="3" t="s">
        <v>116</v>
      </c>
      <c r="C19351" s="6">
        <v>1613</v>
      </c>
      <c r="D19351" s="7">
        <v>0</v>
      </c>
    </row>
    <row r="19352" spans="1:5" x14ac:dyDescent="0.25">
      <c r="A19352" t="str">
        <f>HYPERLINK("https://www.773grp.com/globalSearch/R1354/page-1", "R1354")</f>
        <v>R1354</v>
      </c>
      <c r="B19352" s="3" t="s">
        <v>116</v>
      </c>
      <c r="C19352" s="6">
        <v>1663</v>
      </c>
      <c r="D19352" s="7">
        <v>0</v>
      </c>
    </row>
    <row r="19353" spans="1:5" x14ac:dyDescent="0.25">
      <c r="A19353" t="str">
        <f>HYPERLINK("https://www.773grp.com/globalSearch/R1356/page-1", "R1356")</f>
        <v>R1356</v>
      </c>
      <c r="B19353" s="3" t="s">
        <v>116</v>
      </c>
      <c r="C19353" s="6">
        <v>402</v>
      </c>
      <c r="D19353" s="7">
        <v>0</v>
      </c>
    </row>
    <row r="19354" spans="1:5" x14ac:dyDescent="0.25">
      <c r="A19354" t="str">
        <f>HYPERLINK("https://www.773grp.com/globalSearch/R1518  UM-UT/page-1", "R1518  UM-UT")</f>
        <v>R1518  UM-UT</v>
      </c>
      <c r="B19354" s="3" t="s">
        <v>116</v>
      </c>
      <c r="C19354" s="6">
        <v>637</v>
      </c>
      <c r="D19354" s="7">
        <v>0</v>
      </c>
    </row>
    <row r="19355" spans="1:5" x14ac:dyDescent="0.25">
      <c r="A19355" t="str">
        <f>HYPERLINK("https://www.773grp.com/globalSearch/R1518  UT/page-1", "R1518  UT")</f>
        <v>R1518  UT</v>
      </c>
      <c r="B19355" s="3" t="s">
        <v>116</v>
      </c>
      <c r="C19355" s="6">
        <v>81</v>
      </c>
      <c r="D19355" s="7">
        <v>0</v>
      </c>
    </row>
    <row r="19356" spans="1:5" x14ac:dyDescent="0.25">
      <c r="A19356" t="str">
        <f>HYPERLINK("https://www.773grp.com/globalSearch/R1518 UT REJECTS/page-1", "R1518 UT REJECTS")</f>
        <v>R1518 UT REJECTS</v>
      </c>
      <c r="B19356" s="3" t="s">
        <v>116</v>
      </c>
      <c r="C19356" s="6">
        <v>150</v>
      </c>
      <c r="D19356" s="7">
        <v>0</v>
      </c>
    </row>
    <row r="19357" spans="1:5" x14ac:dyDescent="0.25">
      <c r="A19357" t="str">
        <f>HYPERLINK("https://www.773grp.com/globalSearch/ICL7612DMTV/page-1", "ICL7612DMTV")</f>
        <v>ICL7612DMTV</v>
      </c>
      <c r="B19357" s="3" t="s">
        <v>116</v>
      </c>
      <c r="C19357" s="6">
        <v>244</v>
      </c>
      <c r="D19357" s="7">
        <v>0</v>
      </c>
      <c r="E19357" t="s">
        <v>10</v>
      </c>
    </row>
    <row r="19358" spans="1:5" x14ac:dyDescent="0.25">
      <c r="A19358" t="str">
        <f>HYPERLINK("https://www.773grp.com/globalSearch/R1545/page-1", "R1545")</f>
        <v>R1545</v>
      </c>
      <c r="B19358" s="3" t="s">
        <v>116</v>
      </c>
      <c r="C19358" s="6">
        <v>321</v>
      </c>
      <c r="D19358" s="7">
        <v>0</v>
      </c>
    </row>
    <row r="19359" spans="1:5" x14ac:dyDescent="0.25">
      <c r="A19359" t="str">
        <f>HYPERLINK("https://www.773grp.com/globalSearch/27C128-30MD/page-1", "27C128-30MD")</f>
        <v>27C128-30MD</v>
      </c>
      <c r="B19359" s="3" t="s">
        <v>116</v>
      </c>
      <c r="C19359" s="6">
        <v>154</v>
      </c>
      <c r="D19359" s="7">
        <v>0</v>
      </c>
    </row>
    <row r="19360" spans="1:5" x14ac:dyDescent="0.25">
      <c r="A19360" t="str">
        <f>HYPERLINK("https://www.773grp.com/globalSearch/R1537/page-1", "R1537")</f>
        <v>R1537</v>
      </c>
      <c r="B19360" s="3" t="s">
        <v>116</v>
      </c>
      <c r="C19360" s="6">
        <v>23159</v>
      </c>
      <c r="D19360" s="7">
        <v>0</v>
      </c>
    </row>
    <row r="19361" spans="1:4" x14ac:dyDescent="0.25">
      <c r="A19361" t="str">
        <f>HYPERLINK("https://www.773grp.com/globalSearch/MC1505L  UF/page-1", "MC1505L  UF")</f>
        <v>MC1505L  UF</v>
      </c>
      <c r="B19361" s="3" t="s">
        <v>116</v>
      </c>
      <c r="C19361" s="6">
        <v>437</v>
      </c>
      <c r="D19361" s="7">
        <v>0</v>
      </c>
    </row>
    <row r="19362" spans="1:4" x14ac:dyDescent="0.25">
      <c r="A19362" t="str">
        <f>HYPERLINK("https://www.773grp.com/globalSearch/MC502F-R/page-1", "MC502F-R")</f>
        <v>MC502F-R</v>
      </c>
      <c r="B19362" s="3" t="s">
        <v>116</v>
      </c>
      <c r="C19362" s="6">
        <v>699</v>
      </c>
      <c r="D19362" s="7">
        <v>0</v>
      </c>
    </row>
    <row r="19363" spans="1:4" x14ac:dyDescent="0.25">
      <c r="A19363" t="str">
        <f>HYPERLINK("https://www.773grp.com/globalSearch/R1379/page-1", "R1379")</f>
        <v>R1379</v>
      </c>
      <c r="B19363" s="3" t="s">
        <v>116</v>
      </c>
      <c r="C19363" s="6">
        <v>26</v>
      </c>
      <c r="D19363" s="7">
        <v>0</v>
      </c>
    </row>
    <row r="19364" spans="1:4" x14ac:dyDescent="0.25">
      <c r="A19364" t="str">
        <f>HYPERLINK("https://www.773grp.com/globalSearch/100324-VYA/page-1", "100324-VYA")</f>
        <v>100324-VYA</v>
      </c>
      <c r="B19364" s="3" t="s">
        <v>116</v>
      </c>
      <c r="C19364" s="6">
        <v>200</v>
      </c>
      <c r="D19364" s="7">
        <v>0</v>
      </c>
    </row>
    <row r="19365" spans="1:4" x14ac:dyDescent="0.25">
      <c r="A19365" t="str">
        <f>HYPERLINK("https://www.773grp.com/globalSearch/100331-VYA/page-1", "100331-VYA")</f>
        <v>100331-VYA</v>
      </c>
      <c r="B19365" s="3" t="s">
        <v>116</v>
      </c>
      <c r="C19365" s="6">
        <v>215</v>
      </c>
      <c r="D19365" s="7">
        <v>0</v>
      </c>
    </row>
    <row r="19366" spans="1:4" x14ac:dyDescent="0.25">
      <c r="A19366" t="str">
        <f>HYPERLINK("https://www.773grp.com/globalSearch/11C70DC UT-UM/page-1", "11C70DC UT-UM")</f>
        <v>11C70DC UT-UM</v>
      </c>
      <c r="B19366" s="3" t="s">
        <v>116</v>
      </c>
      <c r="C19366" s="6">
        <v>301</v>
      </c>
      <c r="D19366" s="7">
        <v>0</v>
      </c>
    </row>
    <row r="19367" spans="1:4" x14ac:dyDescent="0.25">
      <c r="A19367" t="str">
        <f>HYPERLINK("https://www.773grp.com/globalSearch/27C16Q45-B/page-1", "27C16Q45-B")</f>
        <v>27C16Q45-B</v>
      </c>
      <c r="B19367" s="3" t="s">
        <v>116</v>
      </c>
      <c r="C19367" s="6">
        <v>717</v>
      </c>
      <c r="D19367" s="7">
        <v>0</v>
      </c>
    </row>
    <row r="19368" spans="1:4" x14ac:dyDescent="0.25">
      <c r="A19368" t="str">
        <f>HYPERLINK("https://www.773grp.com/globalSearch/4015A-BFA/page-1", "4015A-BFA")</f>
        <v>4015A-BFA</v>
      </c>
      <c r="B19368" s="3" t="s">
        <v>116</v>
      </c>
      <c r="C19368" s="6">
        <v>1630</v>
      </c>
      <c r="D19368" s="7">
        <v>0</v>
      </c>
    </row>
    <row r="19369" spans="1:4" x14ac:dyDescent="0.25">
      <c r="A19369" t="str">
        <f>HYPERLINK("https://www.773grp.com/globalSearch/4018B-BEA/page-1", "4018B-BEA")</f>
        <v>4018B-BEA</v>
      </c>
      <c r="B19369" s="3" t="s">
        <v>116</v>
      </c>
      <c r="C19369" s="6">
        <v>2226</v>
      </c>
      <c r="D19369" s="7">
        <v>0</v>
      </c>
    </row>
    <row r="19370" spans="1:4" x14ac:dyDescent="0.25">
      <c r="A19370" t="str">
        <f>HYPERLINK("https://www.773grp.com/globalSearch/4020A-BEA/page-1", "4020A-BEA")</f>
        <v>4020A-BEA</v>
      </c>
      <c r="B19370" s="3" t="s">
        <v>116</v>
      </c>
      <c r="C19370" s="6">
        <v>1417</v>
      </c>
      <c r="D19370" s="7">
        <v>0</v>
      </c>
    </row>
    <row r="19371" spans="1:4" x14ac:dyDescent="0.25">
      <c r="A19371" t="str">
        <f>HYPERLINK("https://www.773grp.com/globalSearch/4022A-BEA/page-1", "4022A-BEA")</f>
        <v>4022A-BEA</v>
      </c>
      <c r="B19371" s="3" t="s">
        <v>116</v>
      </c>
      <c r="C19371" s="6">
        <v>1665</v>
      </c>
      <c r="D19371" s="7">
        <v>0</v>
      </c>
    </row>
    <row r="19372" spans="1:4" x14ac:dyDescent="0.25">
      <c r="A19372" t="str">
        <f>HYPERLINK("https://www.773grp.com/globalSearch/4031A-BEA/page-1", "4031A-BEA")</f>
        <v>4031A-BEA</v>
      </c>
      <c r="B19372" s="3" t="s">
        <v>116</v>
      </c>
      <c r="C19372" s="6">
        <v>445</v>
      </c>
      <c r="D19372" s="7">
        <v>0</v>
      </c>
    </row>
    <row r="19373" spans="1:4" x14ac:dyDescent="0.25">
      <c r="A19373" t="str">
        <f>HYPERLINK("https://www.773grp.com/globalSearch/54121-BAA/page-1", "54121-BAA")</f>
        <v>54121-BAA</v>
      </c>
      <c r="B19373" s="3" t="s">
        <v>116</v>
      </c>
      <c r="C19373" s="6">
        <v>162</v>
      </c>
      <c r="D19373" s="7">
        <v>0</v>
      </c>
    </row>
    <row r="19374" spans="1:4" x14ac:dyDescent="0.25">
      <c r="A19374" t="str">
        <f>HYPERLINK("https://www.773grp.com/globalSearch/54126W-B  LT/page-1", "54126W-B  LT")</f>
        <v>54126W-B  LT</v>
      </c>
      <c r="B19374" s="3" t="s">
        <v>116</v>
      </c>
      <c r="C19374" s="6">
        <v>48</v>
      </c>
      <c r="D19374" s="7">
        <v>0</v>
      </c>
    </row>
    <row r="19375" spans="1:4" x14ac:dyDescent="0.25">
      <c r="A19375" t="str">
        <f>HYPERLINK("https://www.773grp.com/globalSearch/54161FM-B  UM/page-1", "54161FM-B  UM")</f>
        <v>54161FM-B  UM</v>
      </c>
      <c r="B19375" s="3" t="s">
        <v>116</v>
      </c>
      <c r="C19375" s="6">
        <v>478</v>
      </c>
      <c r="D19375" s="7">
        <v>0</v>
      </c>
    </row>
    <row r="19376" spans="1:4" x14ac:dyDescent="0.25">
      <c r="A19376" t="str">
        <f>HYPERLINK("https://www.773grp.com/globalSearch/5417-BCA/page-1", "5417-BCA")</f>
        <v>5417-BCA</v>
      </c>
      <c r="B19376" s="3" t="s">
        <v>116</v>
      </c>
      <c r="C19376" s="6">
        <v>999</v>
      </c>
      <c r="D19376" s="7">
        <v>0</v>
      </c>
    </row>
    <row r="19377" spans="1:4" x14ac:dyDescent="0.25">
      <c r="A19377" t="str">
        <f>HYPERLINK("https://www.773grp.com/globalSearch/5446-BEA/page-1", "5446-BEA")</f>
        <v>5446-BEA</v>
      </c>
      <c r="B19377" s="3" t="s">
        <v>116</v>
      </c>
      <c r="C19377" s="6">
        <v>2075</v>
      </c>
      <c r="D19377" s="7">
        <v>0</v>
      </c>
    </row>
    <row r="19378" spans="1:4" x14ac:dyDescent="0.25">
      <c r="A19378" t="str">
        <f>HYPERLINK("https://www.773grp.com/globalSearch/5490-BCA/page-1", "5490-BCA")</f>
        <v>5490-BCA</v>
      </c>
      <c r="B19378" s="3" t="s">
        <v>116</v>
      </c>
      <c r="C19378" s="6">
        <v>1030</v>
      </c>
      <c r="D19378" s="7">
        <v>0</v>
      </c>
    </row>
    <row r="19379" spans="1:4" x14ac:dyDescent="0.25">
      <c r="A19379" t="str">
        <f>HYPERLINK("https://www.773grp.com/globalSearch/5495A-BDA/page-1", "5495A-BDA")</f>
        <v>5495A-BDA</v>
      </c>
      <c r="B19379" s="3" t="s">
        <v>116</v>
      </c>
      <c r="C19379" s="6">
        <v>480</v>
      </c>
      <c r="D19379" s="7">
        <v>0</v>
      </c>
    </row>
    <row r="19380" spans="1:4" x14ac:dyDescent="0.25">
      <c r="A19380" t="str">
        <f>HYPERLINK("https://www.773grp.com/globalSearch/54AC05SDA-R/page-1", "54AC05SDA-R")</f>
        <v>54AC05SDA-R</v>
      </c>
      <c r="B19380" s="3" t="s">
        <v>116</v>
      </c>
      <c r="C19380" s="6">
        <v>273</v>
      </c>
      <c r="D19380" s="7">
        <v>0</v>
      </c>
    </row>
    <row r="19381" spans="1:4" x14ac:dyDescent="0.25">
      <c r="A19381" t="str">
        <f>HYPERLINK("https://www.773grp.com/globalSearch/54AC175-VFA-R/page-1", "54AC175-VFA-R")</f>
        <v>54AC175-VFA-R</v>
      </c>
      <c r="B19381" s="3" t="s">
        <v>116</v>
      </c>
      <c r="C19381" s="6">
        <v>159</v>
      </c>
      <c r="D19381" s="7">
        <v>0</v>
      </c>
    </row>
    <row r="19382" spans="1:4" x14ac:dyDescent="0.25">
      <c r="A19382" t="str">
        <f>HYPERLINK("https://www.773grp.com/globalSearch/54F648-BLA/page-1", "54F648-BLA")</f>
        <v>54F648-BLA</v>
      </c>
      <c r="B19382" s="3" t="s">
        <v>116</v>
      </c>
      <c r="C19382" s="6">
        <v>930</v>
      </c>
      <c r="D19382" s="7">
        <v>0</v>
      </c>
    </row>
    <row r="19383" spans="1:4" x14ac:dyDescent="0.25">
      <c r="A19383" t="str">
        <f>HYPERLINK("https://www.773grp.com/globalSearch/54HC221AJ-883C  LT/page-1", "54HC221AJ-883C  LT")</f>
        <v>54HC221AJ-883C  LT</v>
      </c>
      <c r="B19383" s="3" t="s">
        <v>116</v>
      </c>
      <c r="C19383" s="6">
        <v>48</v>
      </c>
      <c r="D19383" s="7">
        <v>0</v>
      </c>
    </row>
    <row r="19384" spans="1:4" x14ac:dyDescent="0.25">
      <c r="A19384" t="str">
        <f>HYPERLINK("https://www.773grp.com/globalSearch/54L73-BDA/page-1", "54L73-BDA")</f>
        <v>54L73-BDA</v>
      </c>
      <c r="B19384" s="3" t="s">
        <v>116</v>
      </c>
      <c r="C19384" s="6">
        <v>299</v>
      </c>
      <c r="D19384" s="7">
        <v>0</v>
      </c>
    </row>
    <row r="19385" spans="1:4" x14ac:dyDescent="0.25">
      <c r="A19385" t="str">
        <f>HYPERLINK("https://www.773grp.com/globalSearch/54L73FM-B  UF/page-1", "54L73FM-B  UF")</f>
        <v>54L73FM-B  UF</v>
      </c>
      <c r="B19385" s="3" t="s">
        <v>116</v>
      </c>
      <c r="C19385" s="6">
        <v>1718</v>
      </c>
      <c r="D19385" s="7">
        <v>0</v>
      </c>
    </row>
    <row r="19386" spans="1:4" x14ac:dyDescent="0.25">
      <c r="A19386" t="str">
        <f>HYPERLINK("https://www.773grp.com/globalSearch/54L74-BDA/page-1", "54L74-BDA")</f>
        <v>54L74-BDA</v>
      </c>
      <c r="B19386" s="3" t="s">
        <v>116</v>
      </c>
      <c r="C19386" s="6">
        <v>764</v>
      </c>
      <c r="D19386" s="7">
        <v>0</v>
      </c>
    </row>
    <row r="19387" spans="1:4" x14ac:dyDescent="0.25">
      <c r="A19387" t="str">
        <f>HYPERLINK("https://www.773grp.com/globalSearch/54L74-SCA/page-1", "54L74-SCA")</f>
        <v>54L74-SCA</v>
      </c>
      <c r="B19387" s="3" t="s">
        <v>116</v>
      </c>
      <c r="C19387" s="6">
        <v>196</v>
      </c>
      <c r="D19387" s="7">
        <v>0</v>
      </c>
    </row>
    <row r="19388" spans="1:4" x14ac:dyDescent="0.25">
      <c r="A19388" t="str">
        <f>HYPERLINK("https://www.773grp.com/globalSearch/54L95-BCA/page-1", "54L95-BCA")</f>
        <v>54L95-BCA</v>
      </c>
      <c r="B19388" s="3" t="s">
        <v>116</v>
      </c>
      <c r="C19388" s="6">
        <v>635</v>
      </c>
      <c r="D19388" s="7">
        <v>0</v>
      </c>
    </row>
    <row r="19389" spans="1:4" x14ac:dyDescent="0.25">
      <c r="A19389" t="str">
        <f>HYPERLINK("https://www.773grp.com/globalSearch/54L95-SCA/page-1", "54L95-SCA")</f>
        <v>54L95-SCA</v>
      </c>
      <c r="B19389" s="3" t="s">
        <v>116</v>
      </c>
      <c r="C19389" s="6">
        <v>198</v>
      </c>
      <c r="D19389" s="7">
        <v>0</v>
      </c>
    </row>
    <row r="19390" spans="1:4" x14ac:dyDescent="0.25">
      <c r="A19390" t="str">
        <f>HYPERLINK("https://www.773grp.com/globalSearch/54LS113FM-B LT/page-1", "54LS113FM-B LT")</f>
        <v>54LS113FM-B LT</v>
      </c>
      <c r="B19390" s="3" t="s">
        <v>116</v>
      </c>
      <c r="C19390" s="6">
        <v>48</v>
      </c>
      <c r="D19390" s="7">
        <v>0</v>
      </c>
    </row>
    <row r="19391" spans="1:4" x14ac:dyDescent="0.25">
      <c r="A19391" t="str">
        <f>HYPERLINK("https://www.773grp.com/globalSearch/54LS258B-BEA/page-1", "54LS258B-BEA")</f>
        <v>54LS258B-BEA</v>
      </c>
      <c r="B19391" s="3" t="s">
        <v>116</v>
      </c>
      <c r="C19391" s="6">
        <v>223</v>
      </c>
      <c r="D19391" s="7">
        <v>0</v>
      </c>
    </row>
    <row r="19392" spans="1:4" x14ac:dyDescent="0.25">
      <c r="A19392" t="str">
        <f>HYPERLINK("https://www.773grp.com/globalSearch/54LS353DM-B/page-1", "54LS353DM-B")</f>
        <v>54LS353DM-B</v>
      </c>
      <c r="B19392" s="3" t="s">
        <v>116</v>
      </c>
      <c r="C19392" s="6">
        <v>858</v>
      </c>
      <c r="D19392" s="7">
        <v>0</v>
      </c>
    </row>
    <row r="19393" spans="1:5" x14ac:dyDescent="0.25">
      <c r="A19393" t="str">
        <f>HYPERLINK("https://www.773grp.com/globalSearch/71L22DM-B UT/page-1", "71L22DM-B UT")</f>
        <v>71L22DM-B UT</v>
      </c>
      <c r="B19393" s="3" t="s">
        <v>116</v>
      </c>
      <c r="C19393" s="6">
        <v>744</v>
      </c>
      <c r="D19393" s="7">
        <v>0</v>
      </c>
    </row>
    <row r="19394" spans="1:5" x14ac:dyDescent="0.25">
      <c r="A19394" t="str">
        <f>HYPERLINK("https://www.773grp.com/globalSearch/74C941N/page-1", "74C941N")</f>
        <v>74C941N</v>
      </c>
      <c r="B19394" s="3" t="s">
        <v>116</v>
      </c>
      <c r="C19394" s="6">
        <v>2837</v>
      </c>
      <c r="D19394" s="7">
        <v>0</v>
      </c>
    </row>
    <row r="19395" spans="1:5" x14ac:dyDescent="0.25">
      <c r="A19395" t="str">
        <f>HYPERLINK("https://www.773grp.com/globalSearch/74FCT244APC/page-1", "74FCT244APC")</f>
        <v>74FCT244APC</v>
      </c>
      <c r="B19395" s="3" t="s">
        <v>116</v>
      </c>
      <c r="C19395" s="6">
        <v>1366</v>
      </c>
      <c r="D19395" s="7">
        <v>0</v>
      </c>
      <c r="E19395" t="s">
        <v>11</v>
      </c>
    </row>
    <row r="19396" spans="1:5" x14ac:dyDescent="0.25">
      <c r="A19396" t="str">
        <f>HYPERLINK("https://www.773grp.com/globalSearch/74S288N  UM/page-1", "74S288N  UM")</f>
        <v>74S288N  UM</v>
      </c>
      <c r="B19396" s="3" t="s">
        <v>116</v>
      </c>
      <c r="C19396" s="6">
        <v>11592</v>
      </c>
      <c r="D19396" s="7">
        <v>0</v>
      </c>
    </row>
    <row r="19397" spans="1:5" x14ac:dyDescent="0.25">
      <c r="A19397" t="str">
        <f>HYPERLINK("https://www.773grp.com/globalSearch/74S472AN/page-1", "74S472AN")</f>
        <v>74S472AN</v>
      </c>
      <c r="B19397" s="3" t="s">
        <v>116</v>
      </c>
      <c r="C19397" s="6">
        <v>2927</v>
      </c>
      <c r="D19397" s="7">
        <v>0</v>
      </c>
    </row>
    <row r="19398" spans="1:5" x14ac:dyDescent="0.25">
      <c r="A19398" t="str">
        <f>HYPERLINK("https://www.773grp.com/globalSearch/7641DM-C/page-1", "7641DM-C")</f>
        <v>7641DM-C</v>
      </c>
      <c r="B19398" s="3" t="s">
        <v>116</v>
      </c>
      <c r="C19398" s="6">
        <v>58</v>
      </c>
      <c r="D19398" s="7">
        <v>0</v>
      </c>
    </row>
    <row r="19399" spans="1:5" x14ac:dyDescent="0.25">
      <c r="A19399" t="str">
        <f>HYPERLINK("https://www.773grp.com/globalSearch/9109DM-R/page-1", "9109DM-R")</f>
        <v>9109DM-R</v>
      </c>
      <c r="B19399" s="3" t="s">
        <v>116</v>
      </c>
      <c r="C19399" s="6">
        <v>667</v>
      </c>
      <c r="D19399" s="7">
        <v>0</v>
      </c>
    </row>
    <row r="19400" spans="1:5" x14ac:dyDescent="0.25">
      <c r="A19400" t="str">
        <f>HYPERLINK("https://www.773grp.com/globalSearch/9317CDC/page-1", "9317CDC")</f>
        <v>9317CDC</v>
      </c>
      <c r="B19400" s="3" t="s">
        <v>116</v>
      </c>
      <c r="C19400" s="6">
        <v>894</v>
      </c>
      <c r="D19400" s="7">
        <v>0</v>
      </c>
    </row>
    <row r="19401" spans="1:5" x14ac:dyDescent="0.25">
      <c r="A19401" t="str">
        <f>HYPERLINK("https://www.773grp.com/globalSearch/9317CDM/page-1", "9317CDM")</f>
        <v>9317CDM</v>
      </c>
      <c r="B19401" s="3" t="s">
        <v>116</v>
      </c>
      <c r="C19401" s="6">
        <v>416</v>
      </c>
      <c r="D19401" s="7">
        <v>0</v>
      </c>
    </row>
    <row r="19402" spans="1:5" x14ac:dyDescent="0.25">
      <c r="A19402" t="str">
        <f>HYPERLINK("https://www.773grp.com/globalSearch/933HM-B/page-1", "933HM-B")</f>
        <v>933HM-B</v>
      </c>
      <c r="B19402" s="3" t="s">
        <v>116</v>
      </c>
      <c r="C19402" s="6">
        <v>285</v>
      </c>
      <c r="D19402" s="7">
        <v>0</v>
      </c>
    </row>
    <row r="19403" spans="1:5" x14ac:dyDescent="0.25">
      <c r="A19403" t="str">
        <f>HYPERLINK("https://www.773grp.com/globalSearch/93425DM-B/page-1", "93425DM-B")</f>
        <v>93425DM-B</v>
      </c>
      <c r="B19403" s="3" t="s">
        <v>116</v>
      </c>
      <c r="C19403" s="6">
        <v>206</v>
      </c>
      <c r="D19403" s="7">
        <v>0</v>
      </c>
    </row>
    <row r="19404" spans="1:5" x14ac:dyDescent="0.25">
      <c r="A19404" t="str">
        <f>HYPERLINK("https://www.773grp.com/globalSearch/93L22DM-B/page-1", "93L22DM-B")</f>
        <v>93L22DM-B</v>
      </c>
      <c r="B19404" s="3" t="s">
        <v>116</v>
      </c>
      <c r="C19404" s="6">
        <v>224</v>
      </c>
      <c r="D19404" s="7">
        <v>0</v>
      </c>
    </row>
    <row r="19405" spans="1:5" x14ac:dyDescent="0.25">
      <c r="A19405" t="str">
        <f>HYPERLINK("https://www.773grp.com/globalSearch/93L22FM-B/page-1", "93L22FM-B")</f>
        <v>93L22FM-B</v>
      </c>
      <c r="B19405" s="3" t="s">
        <v>116</v>
      </c>
      <c r="C19405" s="6">
        <v>1316</v>
      </c>
      <c r="D19405" s="7">
        <v>0</v>
      </c>
    </row>
    <row r="19406" spans="1:5" x14ac:dyDescent="0.25">
      <c r="A19406" t="str">
        <f>HYPERLINK("https://www.773grp.com/globalSearch/93L422DM-B/page-1", "93L422DM-B")</f>
        <v>93L422DM-B</v>
      </c>
      <c r="B19406" s="3" t="s">
        <v>116</v>
      </c>
      <c r="C19406" s="6">
        <v>10</v>
      </c>
      <c r="D19406" s="7">
        <v>0</v>
      </c>
    </row>
    <row r="19407" spans="1:5" x14ac:dyDescent="0.25">
      <c r="A19407" t="str">
        <f>HYPERLINK("https://www.773grp.com/globalSearch/93L422FM-B/page-1", "93L422FM-B")</f>
        <v>93L422FM-B</v>
      </c>
      <c r="B19407" s="3" t="s">
        <v>116</v>
      </c>
      <c r="C19407" s="6">
        <v>48</v>
      </c>
      <c r="D19407" s="7">
        <v>0</v>
      </c>
    </row>
    <row r="19408" spans="1:5" x14ac:dyDescent="0.25">
      <c r="A19408" t="str">
        <f>HYPERLINK("https://www.773grp.com/globalSearch/9601-BDA/page-1", "9601-BDA")</f>
        <v>9601-BDA</v>
      </c>
      <c r="B19408" s="3" t="s">
        <v>116</v>
      </c>
      <c r="C19408" s="6">
        <v>1786</v>
      </c>
      <c r="D19408" s="7">
        <v>0</v>
      </c>
    </row>
    <row r="19409" spans="1:5" x14ac:dyDescent="0.25">
      <c r="A19409" t="str">
        <f>HYPERLINK("https://www.773grp.com/globalSearch/CLC110A-BPA/page-1", "CLC110A-BPA")</f>
        <v>CLC110A-BPA</v>
      </c>
      <c r="B19409" s="3" t="s">
        <v>116</v>
      </c>
      <c r="C19409" s="6">
        <v>835</v>
      </c>
      <c r="D19409" s="7">
        <v>0</v>
      </c>
    </row>
    <row r="19410" spans="1:5" x14ac:dyDescent="0.25">
      <c r="A19410" t="str">
        <f>HYPERLINK("https://www.773grp.com/globalSearch/CLC400A-BPA/page-1", "CLC400A-BPA")</f>
        <v>CLC400A-BPA</v>
      </c>
      <c r="B19410" s="3" t="s">
        <v>116</v>
      </c>
      <c r="C19410" s="6">
        <v>1114</v>
      </c>
      <c r="D19410" s="7">
        <v>0</v>
      </c>
    </row>
    <row r="19411" spans="1:5" x14ac:dyDescent="0.25">
      <c r="A19411" t="str">
        <f>HYPERLINK("https://www.773grp.com/globalSearch/CLC449AD/page-1", "CLC449AD")</f>
        <v>CLC449AD</v>
      </c>
      <c r="B19411" s="3" t="s">
        <v>116</v>
      </c>
      <c r="C19411" s="6">
        <v>871</v>
      </c>
      <c r="D19411" s="7">
        <v>0</v>
      </c>
    </row>
    <row r="19412" spans="1:5" x14ac:dyDescent="0.25">
      <c r="A19412" t="str">
        <f>HYPERLINK("https://www.773grp.com/globalSearch/CLC449AJE/page-1", "CLC449AJE")</f>
        <v>CLC449AJE</v>
      </c>
      <c r="B19412" s="3" t="s">
        <v>116</v>
      </c>
      <c r="C19412" s="6">
        <v>341</v>
      </c>
      <c r="D19412" s="7">
        <v>0</v>
      </c>
    </row>
    <row r="19413" spans="1:5" x14ac:dyDescent="0.25">
      <c r="A19413" t="str">
        <f>HYPERLINK("https://www.773grp.com/globalSearch/CLC505AJ-B/page-1", "CLC505AJ-B")</f>
        <v>CLC505AJ-B</v>
      </c>
      <c r="B19413" s="3" t="s">
        <v>116</v>
      </c>
      <c r="C19413" s="6">
        <v>645</v>
      </c>
      <c r="D19413" s="7">
        <v>0</v>
      </c>
    </row>
    <row r="19414" spans="1:5" x14ac:dyDescent="0.25">
      <c r="A19414" t="str">
        <f>HYPERLINK("https://www.773grp.com/globalSearch/CLC533AIB/page-1", "CLC533AIB")</f>
        <v>CLC533AIB</v>
      </c>
      <c r="B19414" s="3" t="s">
        <v>116</v>
      </c>
      <c r="C19414" s="6">
        <v>181</v>
      </c>
      <c r="D19414" s="7">
        <v>0</v>
      </c>
      <c r="E19414" t="s">
        <v>46</v>
      </c>
    </row>
    <row r="19415" spans="1:5" x14ac:dyDescent="0.25">
      <c r="A19415" t="str">
        <f>HYPERLINK("https://www.773grp.com/globalSearch/DM5495J/page-1", "DM5495J")</f>
        <v>DM5495J</v>
      </c>
      <c r="B19415" s="3" t="s">
        <v>116</v>
      </c>
      <c r="C19415" s="6">
        <v>2509</v>
      </c>
      <c r="D19415" s="7">
        <v>0</v>
      </c>
      <c r="E19415" t="s">
        <v>28</v>
      </c>
    </row>
    <row r="19416" spans="1:5" x14ac:dyDescent="0.25">
      <c r="A19416" t="str">
        <f>HYPERLINK("https://www.773grp.com/globalSearch/DM74161J/page-1", "DM74161J")</f>
        <v>DM74161J</v>
      </c>
      <c r="B19416" s="3" t="s">
        <v>116</v>
      </c>
      <c r="C19416" s="6">
        <v>625</v>
      </c>
      <c r="D19416" s="7">
        <v>0</v>
      </c>
    </row>
    <row r="19417" spans="1:5" x14ac:dyDescent="0.25">
      <c r="A19417" t="str">
        <f>HYPERLINK("https://www.773grp.com/globalSearch/DM7440N/page-1", "DM7440N")</f>
        <v>DM7440N</v>
      </c>
      <c r="B19417" s="3" t="s">
        <v>116</v>
      </c>
      <c r="C19417" s="6">
        <v>1271</v>
      </c>
      <c r="D19417" s="7">
        <v>0</v>
      </c>
    </row>
    <row r="19418" spans="1:5" x14ac:dyDescent="0.25">
      <c r="A19418" t="str">
        <f>HYPERLINK("https://www.773grp.com/globalSearch/DM74LS22J/page-1", "DM74LS22J")</f>
        <v>DM74LS22J</v>
      </c>
      <c r="B19418" s="3" t="s">
        <v>116</v>
      </c>
      <c r="C19418" s="6">
        <v>6748</v>
      </c>
      <c r="D19418" s="7">
        <v>0</v>
      </c>
    </row>
    <row r="19419" spans="1:5" x14ac:dyDescent="0.25">
      <c r="A19419" t="str">
        <f>HYPERLINK("https://www.773grp.com/globalSearch/DM8556N UT/page-1", "DM8556N UT")</f>
        <v>DM8556N UT</v>
      </c>
      <c r="B19419" s="3" t="s">
        <v>116</v>
      </c>
      <c r="C19419" s="6">
        <v>1711</v>
      </c>
      <c r="D19419" s="7">
        <v>0</v>
      </c>
    </row>
    <row r="19420" spans="1:5" x14ac:dyDescent="0.25">
      <c r="A19420" t="str">
        <f>HYPERLINK("https://www.773grp.com/globalSearch/DP83907VF/page-1", "DP83907VF")</f>
        <v>DP83907VF</v>
      </c>
      <c r="B19420" s="3" t="s">
        <v>116</v>
      </c>
      <c r="C19420" s="6">
        <v>6</v>
      </c>
      <c r="D19420" s="7">
        <v>0</v>
      </c>
      <c r="E19420" t="s">
        <v>59</v>
      </c>
    </row>
    <row r="19421" spans="1:5" x14ac:dyDescent="0.25">
      <c r="A19421" t="str">
        <f>HYPERLINK("https://www.773grp.com/globalSearch/DP83907VF  UT/page-1", "DP83907VF  UT")</f>
        <v>DP83907VF  UT</v>
      </c>
      <c r="B19421" s="3" t="s">
        <v>116</v>
      </c>
      <c r="C19421" s="6">
        <v>4098</v>
      </c>
      <c r="D19421" s="7">
        <v>0</v>
      </c>
    </row>
    <row r="19422" spans="1:5" x14ac:dyDescent="0.25">
      <c r="A19422" t="str">
        <f>HYPERLINK("https://www.773grp.com/globalSearch/DP83907VF  UT REJECTS/page-1", "DP83907VF  UT REJECTS")</f>
        <v>DP83907VF  UT REJECTS</v>
      </c>
      <c r="B19422" s="3" t="s">
        <v>116</v>
      </c>
      <c r="C19422" s="6">
        <v>2382</v>
      </c>
      <c r="D19422" s="7">
        <v>0</v>
      </c>
    </row>
    <row r="19423" spans="1:5" x14ac:dyDescent="0.25">
      <c r="A19423" t="str">
        <f>HYPERLINK("https://www.773grp.com/globalSearch/DP83907VF-G  UT/page-1", "DP83907VF-G  UT")</f>
        <v>DP83907VF-G  UT</v>
      </c>
      <c r="B19423" s="3" t="s">
        <v>116</v>
      </c>
      <c r="C19423" s="6">
        <v>14328</v>
      </c>
      <c r="D19423" s="7">
        <v>0</v>
      </c>
    </row>
    <row r="19424" spans="1:5" x14ac:dyDescent="0.25">
      <c r="A19424" t="str">
        <f>HYPERLINK("https://www.773grp.com/globalSearch/DP83934CVUL-25/page-1", "DP83934CVUL-25")</f>
        <v>DP83934CVUL-25</v>
      </c>
      <c r="B19424" s="3" t="s">
        <v>116</v>
      </c>
      <c r="C19424" s="6">
        <v>569</v>
      </c>
      <c r="D19424" s="7">
        <v>0</v>
      </c>
    </row>
    <row r="19425" spans="1:5" x14ac:dyDescent="0.25">
      <c r="A19425" t="str">
        <f>HYPERLINK("https://www.773grp.com/globalSearch/DS3875-G/page-1", "DS3875-G")</f>
        <v>DS3875-G</v>
      </c>
      <c r="B19425" s="3" t="s">
        <v>116</v>
      </c>
      <c r="C19425" s="6">
        <v>8131</v>
      </c>
      <c r="D19425" s="7">
        <v>0</v>
      </c>
    </row>
    <row r="19426" spans="1:5" x14ac:dyDescent="0.25">
      <c r="A19426" t="str">
        <f>HYPERLINK("https://www.773grp.com/globalSearch/DS3884AVF/page-1", "DS3884AVF")</f>
        <v>DS3884AVF</v>
      </c>
      <c r="B19426" s="3" t="s">
        <v>116</v>
      </c>
      <c r="C19426" s="6">
        <v>914</v>
      </c>
      <c r="D19426" s="7">
        <v>0</v>
      </c>
      <c r="E19426" t="s">
        <v>17</v>
      </c>
    </row>
    <row r="19427" spans="1:5" x14ac:dyDescent="0.25">
      <c r="A19427" t="str">
        <f>HYPERLINK("https://www.773grp.com/globalSearch/DS3884AVF-G/page-1", "DS3884AVF-G")</f>
        <v>DS3884AVF-G</v>
      </c>
      <c r="B19427" s="3" t="s">
        <v>116</v>
      </c>
      <c r="C19427" s="6">
        <v>5888</v>
      </c>
      <c r="D19427" s="7">
        <v>0</v>
      </c>
    </row>
    <row r="19428" spans="1:5" x14ac:dyDescent="0.25">
      <c r="A19428" t="str">
        <f>HYPERLINK("https://www.773grp.com/globalSearch/DS3886AVF/page-1", "DS3886AVF")</f>
        <v>DS3886AVF</v>
      </c>
      <c r="B19428" s="3" t="s">
        <v>116</v>
      </c>
      <c r="C19428" s="6">
        <v>1422</v>
      </c>
      <c r="D19428" s="7">
        <v>0</v>
      </c>
      <c r="E19428" t="s">
        <v>17</v>
      </c>
    </row>
    <row r="19429" spans="1:5" x14ac:dyDescent="0.25">
      <c r="A19429" t="str">
        <f>HYPERLINK("https://www.773grp.com/globalSearch/DS3886AVF-G/page-1", "DS3886AVF-G")</f>
        <v>DS3886AVF-G</v>
      </c>
      <c r="B19429" s="3" t="s">
        <v>116</v>
      </c>
      <c r="C19429" s="6">
        <v>19895</v>
      </c>
      <c r="D19429" s="7">
        <v>0</v>
      </c>
    </row>
    <row r="19430" spans="1:5" x14ac:dyDescent="0.25">
      <c r="A19430" t="str">
        <f>HYPERLINK("https://www.773grp.com/globalSearch/DS7838J-B/page-1", "DS7838J-B")</f>
        <v>DS7838J-B</v>
      </c>
      <c r="B19430" s="3" t="s">
        <v>116</v>
      </c>
      <c r="C19430" s="6">
        <v>782</v>
      </c>
      <c r="D19430" s="7">
        <v>0</v>
      </c>
    </row>
    <row r="19431" spans="1:5" x14ac:dyDescent="0.25">
      <c r="A19431" t="str">
        <f>HYPERLINK("https://www.773grp.com/globalSearch/LM107J-14-883/page-1", "LM107J-14-883")</f>
        <v>LM107J-14-883</v>
      </c>
      <c r="B19431" s="3" t="s">
        <v>116</v>
      </c>
      <c r="C19431" s="6">
        <v>1156</v>
      </c>
      <c r="D19431" s="7">
        <v>0</v>
      </c>
      <c r="E19431" t="s">
        <v>10</v>
      </c>
    </row>
    <row r="19432" spans="1:5" x14ac:dyDescent="0.25">
      <c r="A19432" t="str">
        <f>HYPERLINK("https://www.773grp.com/globalSearch/LM146J-B/page-1", "LM146J-B")</f>
        <v>LM146J-B</v>
      </c>
      <c r="B19432" s="3" t="s">
        <v>116</v>
      </c>
      <c r="C19432" s="6">
        <v>921</v>
      </c>
      <c r="D19432" s="7">
        <v>0</v>
      </c>
    </row>
    <row r="19433" spans="1:5" x14ac:dyDescent="0.25">
      <c r="A19433" t="str">
        <f>HYPERLINK("https://www.773grp.com/globalSearch/LM1536H-883/page-1", "LM1536H-883")</f>
        <v>LM1536H-883</v>
      </c>
      <c r="B19433" s="3" t="s">
        <v>116</v>
      </c>
      <c r="C19433" s="6">
        <v>322</v>
      </c>
      <c r="D19433" s="7">
        <v>0</v>
      </c>
    </row>
    <row r="19434" spans="1:5" x14ac:dyDescent="0.25">
      <c r="A19434" t="str">
        <f>HYPERLINK("https://www.773grp.com/globalSearch/LM1893N UT/page-1", "LM1893N UT")</f>
        <v>LM1893N UT</v>
      </c>
      <c r="B19434" s="3" t="s">
        <v>116</v>
      </c>
      <c r="C19434" s="6">
        <v>2914</v>
      </c>
      <c r="D19434" s="7">
        <v>0</v>
      </c>
    </row>
    <row r="19435" spans="1:5" x14ac:dyDescent="0.25">
      <c r="A19435" t="str">
        <f>HYPERLINK("https://www.773grp.com/globalSearch/LM27297MTD-G  UT-UM/page-1", "LM27297MTD-G  UT-UM")</f>
        <v>LM27297MTD-G  UT-UM</v>
      </c>
      <c r="B19435" s="3" t="s">
        <v>116</v>
      </c>
      <c r="C19435" s="6">
        <v>317</v>
      </c>
      <c r="D19435" s="7">
        <v>0</v>
      </c>
    </row>
    <row r="19436" spans="1:5" x14ac:dyDescent="0.25">
      <c r="A19436" t="str">
        <f>HYPERLINK("https://www.773grp.com/globalSearch/LM307J/page-1", "LM307J")</f>
        <v>LM307J</v>
      </c>
      <c r="B19436" s="3" t="s">
        <v>116</v>
      </c>
      <c r="C19436" s="6">
        <v>139</v>
      </c>
      <c r="D19436" s="7">
        <v>0</v>
      </c>
      <c r="E19436" t="s">
        <v>10</v>
      </c>
    </row>
    <row r="19437" spans="1:5" x14ac:dyDescent="0.25">
      <c r="A19437" t="str">
        <f>HYPERLINK("https://www.773grp.com/globalSearch/LM361J/page-1", "LM361J")</f>
        <v>LM361J</v>
      </c>
      <c r="B19437" s="3" t="s">
        <v>116</v>
      </c>
      <c r="C19437" s="6">
        <v>46</v>
      </c>
      <c r="D19437" s="7">
        <v>0</v>
      </c>
      <c r="E19437" t="s">
        <v>6</v>
      </c>
    </row>
    <row r="19438" spans="1:5" x14ac:dyDescent="0.25">
      <c r="A19438" t="str">
        <f>HYPERLINK("https://www.773grp.com/globalSearch/LM3916N/page-1", "LM3916N")</f>
        <v>LM3916N</v>
      </c>
      <c r="B19438" s="3" t="s">
        <v>116</v>
      </c>
      <c r="C19438" s="6">
        <v>613</v>
      </c>
      <c r="D19438" s="7">
        <v>0</v>
      </c>
      <c r="E19438" t="s">
        <v>7</v>
      </c>
    </row>
    <row r="19439" spans="1:5" x14ac:dyDescent="0.25">
      <c r="A19439" t="str">
        <f>HYPERLINK("https://www.773grp.com/globalSearch/LM709H/page-1", "LM709H")</f>
        <v>LM709H</v>
      </c>
      <c r="B19439" s="3" t="s">
        <v>116</v>
      </c>
      <c r="C19439" s="6">
        <v>6</v>
      </c>
      <c r="D19439" s="7">
        <v>0</v>
      </c>
    </row>
    <row r="19440" spans="1:5" x14ac:dyDescent="0.25">
      <c r="A19440" t="str">
        <f>HYPERLINK("https://www.773grp.com/globalSearch/LM709H-B/page-1", "LM709H-B")</f>
        <v>LM709H-B</v>
      </c>
      <c r="B19440" s="3" t="s">
        <v>116</v>
      </c>
      <c r="C19440" s="6">
        <v>706</v>
      </c>
      <c r="D19440" s="7">
        <v>0</v>
      </c>
    </row>
    <row r="19441" spans="1:5" x14ac:dyDescent="0.25">
      <c r="A19441" t="str">
        <f>HYPERLINK("https://www.773grp.com/globalSearch/LM710H/page-1", "LM710H")</f>
        <v>LM710H</v>
      </c>
      <c r="B19441" s="3" t="s">
        <v>116</v>
      </c>
      <c r="C19441" s="6">
        <v>66</v>
      </c>
      <c r="D19441" s="7">
        <v>0</v>
      </c>
      <c r="E19441" t="s">
        <v>6</v>
      </c>
    </row>
    <row r="19442" spans="1:5" x14ac:dyDescent="0.25">
      <c r="A19442" t="str">
        <f>HYPERLINK("https://www.773grp.com/globalSearch/LMX2305WG-B/page-1", "LMX2305WG-B")</f>
        <v>LMX2305WG-B</v>
      </c>
      <c r="B19442" s="3" t="s">
        <v>116</v>
      </c>
      <c r="C19442" s="6">
        <v>16</v>
      </c>
      <c r="D19442" s="7">
        <v>0</v>
      </c>
    </row>
    <row r="19443" spans="1:5" x14ac:dyDescent="0.25">
      <c r="A19443" t="str">
        <f>HYPERLINK("https://www.773grp.com/globalSearch/LMX2325TMX-G/page-1", "LMX2325TMX-G")</f>
        <v>LMX2325TMX-G</v>
      </c>
      <c r="B19443" s="3" t="s">
        <v>116</v>
      </c>
      <c r="C19443" s="6">
        <v>40930</v>
      </c>
      <c r="D19443" s="7">
        <v>0</v>
      </c>
    </row>
    <row r="19444" spans="1:5" x14ac:dyDescent="0.25">
      <c r="A19444" t="str">
        <f>HYPERLINK("https://www.773grp.com/globalSearch/LMX2335UTMX-G  UT/page-1", "LMX2335UTMX-G  UT")</f>
        <v>LMX2335UTMX-G  UT</v>
      </c>
      <c r="B19444" s="3" t="s">
        <v>116</v>
      </c>
      <c r="C19444" s="6">
        <v>4203</v>
      </c>
      <c r="D19444" s="7">
        <v>0</v>
      </c>
    </row>
    <row r="19445" spans="1:5" x14ac:dyDescent="0.25">
      <c r="A19445" t="str">
        <f>HYPERLINK("https://www.773grp.com/globalSearch/LPC660AMJ-883/page-1", "LPC660AMJ-883")</f>
        <v>LPC660AMJ-883</v>
      </c>
      <c r="B19445" s="3" t="s">
        <v>116</v>
      </c>
      <c r="C19445" s="6">
        <v>632</v>
      </c>
      <c r="D19445" s="7">
        <v>0</v>
      </c>
      <c r="E19445" t="s">
        <v>10</v>
      </c>
    </row>
    <row r="19446" spans="1:5" x14ac:dyDescent="0.25">
      <c r="A19446" t="str">
        <f>HYPERLINK("https://www.773grp.com/globalSearch/MIS-29515-73  UT/page-1", "MIS-29515-73  UT")</f>
        <v>MIS-29515-73  UT</v>
      </c>
      <c r="B19446" s="3" t="s">
        <v>116</v>
      </c>
      <c r="C19446" s="6">
        <v>8</v>
      </c>
      <c r="D19446" s="7">
        <v>0</v>
      </c>
    </row>
    <row r="19447" spans="1:5" x14ac:dyDescent="0.25">
      <c r="A19447" t="str">
        <f>HYPERLINK("https://www.773grp.com/globalSearch/MM54C905J-B/page-1", "MM54C905J-B")</f>
        <v>MM54C905J-B</v>
      </c>
      <c r="B19447" s="3" t="s">
        <v>116</v>
      </c>
      <c r="C19447" s="6">
        <v>678</v>
      </c>
      <c r="D19447" s="7">
        <v>0</v>
      </c>
    </row>
    <row r="19448" spans="1:5" x14ac:dyDescent="0.25">
      <c r="A19448" t="str">
        <f>HYPERLINK("https://www.773grp.com/globalSearch/MM54HC154JS-883/page-1", "MM54HC154JS-883")</f>
        <v>MM54HC154JS-883</v>
      </c>
      <c r="B19448" s="3" t="s">
        <v>116</v>
      </c>
      <c r="C19448" s="6">
        <v>975</v>
      </c>
      <c r="D19448" s="7">
        <v>0</v>
      </c>
    </row>
    <row r="19449" spans="1:5" x14ac:dyDescent="0.25">
      <c r="A19449" t="str">
        <f>HYPERLINK("https://www.773grp.com/globalSearch/MM54HCT192J/page-1", "MM54HCT192J")</f>
        <v>MM54HCT192J</v>
      </c>
      <c r="B19449" s="3" t="s">
        <v>116</v>
      </c>
      <c r="C19449" s="6">
        <v>700</v>
      </c>
      <c r="D19449" s="7">
        <v>0</v>
      </c>
      <c r="E19449" t="s">
        <v>22</v>
      </c>
    </row>
    <row r="19450" spans="1:5" x14ac:dyDescent="0.25">
      <c r="A19450" t="str">
        <f>HYPERLINK("https://www.773grp.com/globalSearch/R1008/page-1", "R1008")</f>
        <v>R1008</v>
      </c>
      <c r="B19450" s="3" t="s">
        <v>116</v>
      </c>
      <c r="C19450" s="6">
        <v>368</v>
      </c>
      <c r="D19450" s="7">
        <v>0</v>
      </c>
    </row>
    <row r="19451" spans="1:5" x14ac:dyDescent="0.25">
      <c r="A19451" t="str">
        <f>HYPERLINK("https://www.773grp.com/globalSearch/R1052/page-1", "R1052")</f>
        <v>R1052</v>
      </c>
      <c r="B19451" s="3" t="s">
        <v>116</v>
      </c>
      <c r="C19451" s="6">
        <v>199</v>
      </c>
      <c r="D19451" s="7">
        <v>0</v>
      </c>
    </row>
    <row r="19452" spans="1:5" x14ac:dyDescent="0.25">
      <c r="A19452" t="str">
        <f>HYPERLINK("https://www.773grp.com/globalSearch/R1136/page-1", "R1136")</f>
        <v>R1136</v>
      </c>
      <c r="B19452" s="3" t="s">
        <v>116</v>
      </c>
      <c r="C19452" s="6">
        <v>352</v>
      </c>
      <c r="D19452" s="7">
        <v>0</v>
      </c>
    </row>
    <row r="19453" spans="1:5" x14ac:dyDescent="0.25">
      <c r="A19453" t="str">
        <f>HYPERLINK("https://www.773grp.com/globalSearch/R1197/page-1", "R1197")</f>
        <v>R1197</v>
      </c>
      <c r="B19453" s="3" t="s">
        <v>116</v>
      </c>
      <c r="C19453" s="6">
        <v>1182</v>
      </c>
      <c r="D19453" s="7">
        <v>0</v>
      </c>
    </row>
    <row r="19454" spans="1:5" x14ac:dyDescent="0.25">
      <c r="A19454" t="str">
        <f>HYPERLINK("https://www.773grp.com/globalSearch/R1210/page-1", "R1210")</f>
        <v>R1210</v>
      </c>
      <c r="B19454" s="3" t="s">
        <v>116</v>
      </c>
      <c r="C19454" s="6">
        <v>412</v>
      </c>
      <c r="D19454" s="7">
        <v>0</v>
      </c>
    </row>
    <row r="19455" spans="1:5" x14ac:dyDescent="0.25">
      <c r="A19455" t="str">
        <f>HYPERLINK("https://www.773grp.com/globalSearch/R1259/page-1", "R1259")</f>
        <v>R1259</v>
      </c>
      <c r="B19455" s="3" t="s">
        <v>116</v>
      </c>
      <c r="C19455" s="6">
        <v>138</v>
      </c>
      <c r="D19455" s="7">
        <v>0</v>
      </c>
    </row>
    <row r="19456" spans="1:5" x14ac:dyDescent="0.25">
      <c r="A19456" t="str">
        <f>HYPERLINK("https://www.773grp.com/globalSearch/R1302-S/page-1", "R1302-S")</f>
        <v>R1302-S</v>
      </c>
      <c r="B19456" s="3" t="s">
        <v>116</v>
      </c>
      <c r="C19456" s="6">
        <v>73</v>
      </c>
      <c r="D19456" s="7">
        <v>0</v>
      </c>
    </row>
    <row r="19457" spans="1:4" x14ac:dyDescent="0.25">
      <c r="A19457" t="str">
        <f>HYPERLINK("https://www.773grp.com/globalSearch/R1303-S/page-1", "R1303-S")</f>
        <v>R1303-S</v>
      </c>
      <c r="B19457" s="3" t="s">
        <v>116</v>
      </c>
      <c r="C19457" s="6">
        <v>38</v>
      </c>
      <c r="D19457" s="7">
        <v>0</v>
      </c>
    </row>
    <row r="19458" spans="1:4" x14ac:dyDescent="0.25">
      <c r="A19458" t="str">
        <f>HYPERLINK("https://www.773grp.com/globalSearch/R1314/page-1", "R1314")</f>
        <v>R1314</v>
      </c>
      <c r="B19458" s="3" t="s">
        <v>116</v>
      </c>
      <c r="C19458" s="6">
        <v>45</v>
      </c>
      <c r="D19458" s="7">
        <v>0</v>
      </c>
    </row>
    <row r="19459" spans="1:4" x14ac:dyDescent="0.25">
      <c r="A19459" t="str">
        <f>HYPERLINK("https://www.773grp.com/globalSearch/R1389  UT/page-1", "R1389  UT")</f>
        <v>R1389  UT</v>
      </c>
      <c r="B19459" s="3" t="s">
        <v>116</v>
      </c>
      <c r="C19459" s="6">
        <v>21939</v>
      </c>
      <c r="D19459" s="7">
        <v>0</v>
      </c>
    </row>
    <row r="19460" spans="1:4" x14ac:dyDescent="0.25">
      <c r="A19460" t="str">
        <f>HYPERLINK("https://www.773grp.com/globalSearch/R1394/page-1", "R1394")</f>
        <v>R1394</v>
      </c>
      <c r="B19460" s="3" t="s">
        <v>116</v>
      </c>
      <c r="C19460" s="6">
        <v>913</v>
      </c>
      <c r="D19460" s="7">
        <v>0</v>
      </c>
    </row>
    <row r="19461" spans="1:4" x14ac:dyDescent="0.25">
      <c r="A19461" t="str">
        <f>HYPERLINK("https://www.773grp.com/globalSearch/R1412/page-1", "R1412")</f>
        <v>R1412</v>
      </c>
      <c r="B19461" s="3" t="s">
        <v>116</v>
      </c>
      <c r="C19461" s="6">
        <v>484</v>
      </c>
      <c r="D19461" s="7">
        <v>0</v>
      </c>
    </row>
    <row r="19462" spans="1:4" x14ac:dyDescent="0.25">
      <c r="A19462" t="str">
        <f>HYPERLINK("https://www.773grp.com/globalSearch/R1445  UT/page-1", "R1445  UT")</f>
        <v>R1445  UT</v>
      </c>
      <c r="B19462" s="3" t="s">
        <v>116</v>
      </c>
      <c r="C19462" s="6">
        <v>584</v>
      </c>
      <c r="D19462" s="7">
        <v>0</v>
      </c>
    </row>
    <row r="19463" spans="1:4" x14ac:dyDescent="0.25">
      <c r="A19463" t="str">
        <f>HYPERLINK("https://www.773grp.com/globalSearch/R1515/page-1", "R1515")</f>
        <v>R1515</v>
      </c>
      <c r="B19463" s="3" t="s">
        <v>116</v>
      </c>
      <c r="C19463" s="6">
        <v>5</v>
      </c>
      <c r="D19463" s="7">
        <v>0</v>
      </c>
    </row>
    <row r="19464" spans="1:4" x14ac:dyDescent="0.25">
      <c r="A19464" t="str">
        <f>HYPERLINK("https://www.773grp.com/globalSearch/R1579/page-1", "R1579")</f>
        <v>R1579</v>
      </c>
      <c r="B19464" s="3" t="s">
        <v>116</v>
      </c>
      <c r="C19464" s="6">
        <v>238</v>
      </c>
      <c r="D19464" s="7">
        <v>0</v>
      </c>
    </row>
    <row r="19465" spans="1:4" x14ac:dyDescent="0.25">
      <c r="A19465" t="str">
        <f>HYPERLINK("https://www.773grp.com/globalSearch/R1617/page-1", "R1617")</f>
        <v>R1617</v>
      </c>
      <c r="B19465" s="3" t="s">
        <v>116</v>
      </c>
      <c r="C19465" s="6">
        <v>453</v>
      </c>
      <c r="D19465" s="7">
        <v>0</v>
      </c>
    </row>
    <row r="19466" spans="1:4" x14ac:dyDescent="0.25">
      <c r="A19466" t="str">
        <f>HYPERLINK("https://www.773grp.com/globalSearch/R271000/page-1", "R271000")</f>
        <v>R271000</v>
      </c>
      <c r="B19466" s="3" t="s">
        <v>116</v>
      </c>
      <c r="C19466" s="6">
        <v>30</v>
      </c>
      <c r="D19466" s="7">
        <v>0</v>
      </c>
    </row>
    <row r="19467" spans="1:4" x14ac:dyDescent="0.25">
      <c r="A19467" t="str">
        <f>HYPERLINK("https://www.773grp.com/globalSearch/R321000/page-1", "R321000")</f>
        <v>R321000</v>
      </c>
      <c r="B19467" s="3" t="s">
        <v>116</v>
      </c>
      <c r="C19467" s="6">
        <v>76</v>
      </c>
      <c r="D19467" s="7">
        <v>0</v>
      </c>
    </row>
    <row r="19468" spans="1:4" x14ac:dyDescent="0.25">
      <c r="A19468" t="str">
        <f>HYPERLINK("https://www.773grp.com/globalSearch/SCAN18541T-MXA/page-1", "SCAN18541T-MXA")</f>
        <v>SCAN18541T-MXA</v>
      </c>
      <c r="B19468" s="3" t="s">
        <v>116</v>
      </c>
      <c r="C19468" s="6">
        <v>402</v>
      </c>
      <c r="D19468" s="7">
        <v>0</v>
      </c>
    </row>
    <row r="19469" spans="1:4" x14ac:dyDescent="0.25">
      <c r="A19469" t="str">
        <f>HYPERLINK("https://www.773grp.com/globalSearch/SCAN18541TSSC-G/page-1", "SCAN18541TSSC-G")</f>
        <v>SCAN18541TSSC-G</v>
      </c>
      <c r="B19469" s="3" t="s">
        <v>116</v>
      </c>
      <c r="C19469" s="6">
        <v>1171</v>
      </c>
      <c r="D19469" s="7">
        <v>0</v>
      </c>
    </row>
    <row r="19470" spans="1:4" x14ac:dyDescent="0.25">
      <c r="A19470" t="str">
        <f>HYPERLINK("https://www.773grp.com/globalSearch/MC10115L  UT/page-1", "MC10115L  UT")</f>
        <v>MC10115L  UT</v>
      </c>
      <c r="B19470" s="3" t="s">
        <v>116</v>
      </c>
      <c r="C19470" s="6">
        <v>568</v>
      </c>
      <c r="D19470" s="7">
        <v>0</v>
      </c>
    </row>
    <row r="19471" spans="1:4" x14ac:dyDescent="0.25">
      <c r="A19471" t="str">
        <f>HYPERLINK("https://www.773grp.com/globalSearch/MC10501L UT/page-1", "MC10501L UT")</f>
        <v>MC10501L UT</v>
      </c>
      <c r="B19471" s="3" t="s">
        <v>116</v>
      </c>
      <c r="C19471" s="6">
        <v>994</v>
      </c>
      <c r="D19471" s="7">
        <v>0</v>
      </c>
    </row>
    <row r="19472" spans="1:4" x14ac:dyDescent="0.25">
      <c r="A19472" t="str">
        <f>HYPERLINK("https://www.773grp.com/globalSearch/MC10505L UT/page-1", "MC10505L UT")</f>
        <v>MC10505L UT</v>
      </c>
      <c r="B19472" s="3" t="s">
        <v>116</v>
      </c>
      <c r="C19472" s="6">
        <v>992</v>
      </c>
      <c r="D19472" s="7">
        <v>0</v>
      </c>
    </row>
    <row r="19473" spans="1:5" x14ac:dyDescent="0.25">
      <c r="A19473" t="str">
        <f>HYPERLINK("https://www.773grp.com/globalSearch/MC10509L UT/page-1", "MC10509L UT")</f>
        <v>MC10509L UT</v>
      </c>
      <c r="B19473" s="3" t="s">
        <v>116</v>
      </c>
      <c r="C19473" s="6">
        <v>997</v>
      </c>
      <c r="D19473" s="7">
        <v>0</v>
      </c>
    </row>
    <row r="19474" spans="1:5" x14ac:dyDescent="0.25">
      <c r="A19474" t="str">
        <f>HYPERLINK("https://www.773grp.com/globalSearch/MC10531L UT/page-1", "MC10531L UT")</f>
        <v>MC10531L UT</v>
      </c>
      <c r="B19474" s="3" t="s">
        <v>116</v>
      </c>
      <c r="C19474" s="6">
        <v>997</v>
      </c>
      <c r="D19474" s="7">
        <v>0</v>
      </c>
    </row>
    <row r="19475" spans="1:5" x14ac:dyDescent="0.25">
      <c r="A19475" t="str">
        <f>HYPERLINK("https://www.773grp.com/globalSearch/MC10538F-R/page-1", "MC10538F-R")</f>
        <v>MC10538F-R</v>
      </c>
      <c r="B19475" s="3" t="s">
        <v>116</v>
      </c>
      <c r="C19475" s="6">
        <v>81</v>
      </c>
      <c r="D19475" s="7">
        <v>0</v>
      </c>
    </row>
    <row r="19476" spans="1:5" x14ac:dyDescent="0.25">
      <c r="A19476" t="str">
        <f>HYPERLINK("https://www.773grp.com/globalSearch/MC10538F-R  UT/page-1", "MC10538F-R  UT")</f>
        <v>MC10538F-R  UT</v>
      </c>
      <c r="B19476" s="3" t="s">
        <v>116</v>
      </c>
      <c r="C19476" s="6">
        <v>728</v>
      </c>
      <c r="D19476" s="7">
        <v>0</v>
      </c>
    </row>
    <row r="19477" spans="1:5" x14ac:dyDescent="0.25">
      <c r="A19477" t="str">
        <f>HYPERLINK("https://www.773grp.com/globalSearch/MC14572UBAL-B/page-1", "MC14572UBAL-B")</f>
        <v>MC14572UBAL-B</v>
      </c>
      <c r="B19477" s="3" t="s">
        <v>116</v>
      </c>
      <c r="C19477" s="6">
        <v>735</v>
      </c>
      <c r="D19477" s="7">
        <v>0</v>
      </c>
    </row>
    <row r="19478" spans="1:5" x14ac:dyDescent="0.25">
      <c r="A19478" t="str">
        <f>HYPERLINK("https://www.773grp.com/globalSearch/MC33074AD/page-1", "MC33074AD")</f>
        <v>MC33074AD</v>
      </c>
      <c r="B19478" s="3" t="s">
        <v>116</v>
      </c>
      <c r="C19478" s="6">
        <v>1587</v>
      </c>
      <c r="D19478" s="7">
        <v>0</v>
      </c>
      <c r="E19478" t="s">
        <v>10</v>
      </c>
    </row>
    <row r="19479" spans="1:5" x14ac:dyDescent="0.25">
      <c r="A19479" t="str">
        <f>HYPERLINK("https://www.773grp.com/globalSearch/R1152  UF/page-1", "R1152  UF")</f>
        <v>R1152  UF</v>
      </c>
      <c r="B19479" s="3" t="s">
        <v>116</v>
      </c>
      <c r="C19479" s="6">
        <v>961</v>
      </c>
      <c r="D19479" s="7">
        <v>0</v>
      </c>
    </row>
    <row r="19480" spans="1:5" x14ac:dyDescent="0.25">
      <c r="A19480" t="str">
        <f>HYPERLINK("https://www.773grp.com/globalSearch/R1223/page-1", "R1223")</f>
        <v>R1223</v>
      </c>
      <c r="B19480" s="3" t="s">
        <v>116</v>
      </c>
      <c r="C19480" s="6">
        <v>155</v>
      </c>
      <c r="D19480" s="7">
        <v>0</v>
      </c>
    </row>
    <row r="19481" spans="1:5" x14ac:dyDescent="0.25">
      <c r="A19481" t="str">
        <f>HYPERLINK("https://www.773grp.com/globalSearch/R1270/page-1", "R1270")</f>
        <v>R1270</v>
      </c>
      <c r="B19481" s="3" t="s">
        <v>116</v>
      </c>
      <c r="C19481" s="6">
        <v>83</v>
      </c>
      <c r="D19481" s="7">
        <v>0</v>
      </c>
    </row>
    <row r="19482" spans="1:5" x14ac:dyDescent="0.25">
      <c r="A19482" t="str">
        <f>HYPERLINK("https://www.773grp.com/globalSearch/R1678/page-1", "R1678")</f>
        <v>R1678</v>
      </c>
      <c r="B19482" s="3" t="s">
        <v>116</v>
      </c>
      <c r="C19482" s="6">
        <v>612</v>
      </c>
      <c r="D19482" s="7">
        <v>0</v>
      </c>
    </row>
    <row r="19483" spans="1:5" x14ac:dyDescent="0.25">
      <c r="A19483" t="str">
        <f>HYPERLINK("https://www.773grp.com/globalSearch/QLGV360EPC-50LP/page-1", "QLGV360EPC-50LP")</f>
        <v>QLGV360EPC-50LP</v>
      </c>
      <c r="B19483" s="3" t="s">
        <v>116</v>
      </c>
      <c r="C19483" s="6">
        <v>3</v>
      </c>
      <c r="D19483" s="7">
        <v>0</v>
      </c>
    </row>
    <row r="19484" spans="1:5" x14ac:dyDescent="0.25">
      <c r="A19484" t="str">
        <f>HYPERLINK("https://www.773grp.com/globalSearch/25LS2518PC LT/page-1", "25LS2518PC LT")</f>
        <v>25LS2518PC LT</v>
      </c>
      <c r="B19484" s="3" t="s">
        <v>116</v>
      </c>
      <c r="C19484" s="6">
        <v>104</v>
      </c>
      <c r="D19484" s="7">
        <v>0</v>
      </c>
    </row>
    <row r="19485" spans="1:5" x14ac:dyDescent="0.25">
      <c r="A19485" t="str">
        <f>HYPERLINK("https://www.773grp.com/globalSearch/27LS00ADC  UT/page-1", "27LS00ADC  UT")</f>
        <v>27LS00ADC  UT</v>
      </c>
      <c r="B19485" s="3" t="s">
        <v>116</v>
      </c>
      <c r="C19485" s="6">
        <v>516</v>
      </c>
      <c r="D19485" s="7">
        <v>0</v>
      </c>
    </row>
    <row r="19486" spans="1:5" x14ac:dyDescent="0.25">
      <c r="A19486" t="str">
        <f>HYPERLINK("https://www.773grp.com/globalSearch/27LS00PC/page-1", "27LS00PC")</f>
        <v>27LS00PC</v>
      </c>
      <c r="B19486" s="3" t="s">
        <v>116</v>
      </c>
      <c r="C19486" s="6">
        <v>3808</v>
      </c>
      <c r="D19486" s="7">
        <v>0</v>
      </c>
    </row>
    <row r="19487" spans="1:5" x14ac:dyDescent="0.25">
      <c r="A19487" t="str">
        <f>HYPERLINK("https://www.773grp.com/globalSearch/27S185ADM-B/page-1", "27S185ADM-B")</f>
        <v>27S185ADM-B</v>
      </c>
      <c r="B19487" s="3" t="s">
        <v>116</v>
      </c>
      <c r="C19487" s="6">
        <v>17</v>
      </c>
      <c r="D19487" s="7">
        <v>0</v>
      </c>
    </row>
    <row r="19488" spans="1:5" x14ac:dyDescent="0.25">
      <c r="A19488" t="str">
        <f>HYPERLINK("https://www.773grp.com/globalSearch/27S19AJC/page-1", "27S19AJC")</f>
        <v>27S19AJC</v>
      </c>
      <c r="B19488" s="3" t="s">
        <v>116</v>
      </c>
      <c r="C19488" s="6">
        <v>3003</v>
      </c>
      <c r="D19488" s="7">
        <v>0</v>
      </c>
    </row>
    <row r="19489" spans="1:5" x14ac:dyDescent="0.25">
      <c r="A19489" t="str">
        <f>HYPERLINK("https://www.773grp.com/globalSearch/27S19APC/page-1", "27S19APC")</f>
        <v>27S19APC</v>
      </c>
      <c r="B19489" s="3" t="s">
        <v>116</v>
      </c>
      <c r="C19489" s="6">
        <v>3527</v>
      </c>
      <c r="D19489" s="7">
        <v>0</v>
      </c>
    </row>
    <row r="19490" spans="1:5" x14ac:dyDescent="0.25">
      <c r="A19490" t="str">
        <f>HYPERLINK("https://www.773grp.com/globalSearch/54123W-B  LT/page-1", "54123W-B  LT")</f>
        <v>54123W-B  LT</v>
      </c>
      <c r="B19490" s="3" t="s">
        <v>116</v>
      </c>
      <c r="C19490" s="6">
        <v>45</v>
      </c>
      <c r="D19490" s="7">
        <v>0</v>
      </c>
    </row>
    <row r="19491" spans="1:5" x14ac:dyDescent="0.25">
      <c r="A19491" t="str">
        <f>HYPERLINK("https://www.773grp.com/globalSearch/54F74-BCA/page-1", "54F74-BCA")</f>
        <v>54F74-BCA</v>
      </c>
      <c r="B19491" s="3" t="s">
        <v>116</v>
      </c>
      <c r="C19491" s="6">
        <v>956</v>
      </c>
      <c r="D19491" s="7">
        <v>0</v>
      </c>
      <c r="E19491" t="s">
        <v>31</v>
      </c>
    </row>
    <row r="19492" spans="1:5" x14ac:dyDescent="0.25">
      <c r="A19492" t="str">
        <f>HYPERLINK("https://www.773grp.com/globalSearch/5962-8672601EA/page-1", "5962-8672601EA")</f>
        <v>5962-8672601EA</v>
      </c>
      <c r="B19492" s="3" t="s">
        <v>116</v>
      </c>
      <c r="C19492" s="6">
        <v>442</v>
      </c>
      <c r="D19492" s="7">
        <v>0</v>
      </c>
      <c r="E19492" t="s">
        <v>38</v>
      </c>
    </row>
    <row r="19493" spans="1:5" x14ac:dyDescent="0.25">
      <c r="A19493" t="str">
        <f>HYPERLINK("https://www.773grp.com/globalSearch/5962-8672601FA/page-1", "5962-8672601FA")</f>
        <v>5962-8672601FA</v>
      </c>
      <c r="B19493" s="3" t="s">
        <v>116</v>
      </c>
      <c r="C19493" s="6">
        <v>335</v>
      </c>
      <c r="D19493" s="7">
        <v>0</v>
      </c>
      <c r="E19493" t="s">
        <v>38</v>
      </c>
    </row>
    <row r="19494" spans="1:5" x14ac:dyDescent="0.25">
      <c r="A19494" t="str">
        <f>HYPERLINK("https://www.773grp.com/globalSearch/74RACTQ16646Z6B_BDC  UP/page-1", "74RACTQ16646Z6B_BDC  UP")</f>
        <v>74RACTQ16646Z6B_BDC  UP</v>
      </c>
      <c r="B19494" s="3" t="s">
        <v>116</v>
      </c>
      <c r="C19494" s="6">
        <v>12</v>
      </c>
      <c r="D19494" s="7">
        <v>0</v>
      </c>
    </row>
    <row r="19495" spans="1:5" x14ac:dyDescent="0.25">
      <c r="A19495" t="str">
        <f>HYPERLINK("https://www.773grp.com/globalSearch/74REAC245S6B_BHA/page-1", "74REAC245S6B_BHA")</f>
        <v>74REAC245S6B_BHA</v>
      </c>
      <c r="B19495" s="3" t="s">
        <v>116</v>
      </c>
      <c r="C19495" s="6">
        <v>24</v>
      </c>
      <c r="D19495" s="7">
        <v>0</v>
      </c>
    </row>
    <row r="19496" spans="1:5" x14ac:dyDescent="0.25">
      <c r="A19496" t="str">
        <f>HYPERLINK("https://www.773grp.com/globalSearch/74REAC273Z6B_BBA/page-1", "74REAC273Z6B_BBA")</f>
        <v>74REAC273Z6B_BBA</v>
      </c>
      <c r="B19496" s="3" t="s">
        <v>116</v>
      </c>
      <c r="C19496" s="6">
        <v>12</v>
      </c>
      <c r="D19496" s="7">
        <v>0</v>
      </c>
    </row>
    <row r="19497" spans="1:5" x14ac:dyDescent="0.25">
      <c r="A19497" t="str">
        <f>HYPERLINK("https://www.773grp.com/globalSearch/74REACT244V6B_BFA  UP/page-1", "74REACT244V6B_BFA  UP")</f>
        <v>74REACT244V6B_BFA  UP</v>
      </c>
      <c r="B19497" s="3" t="s">
        <v>116</v>
      </c>
      <c r="C19497" s="6">
        <v>12</v>
      </c>
      <c r="D19497" s="7">
        <v>0</v>
      </c>
    </row>
    <row r="19498" spans="1:5" x14ac:dyDescent="0.25">
      <c r="A19498" t="str">
        <f>HYPERLINK("https://www.773grp.com/globalSearch/74REACTQ244T6B_BDC/page-1", "74REACTQ244T6B_BDC")</f>
        <v>74REACTQ244T6B_BDC</v>
      </c>
      <c r="B19498" s="3" t="s">
        <v>116</v>
      </c>
      <c r="C19498" s="6">
        <v>23</v>
      </c>
      <c r="D19498" s="7">
        <v>0</v>
      </c>
    </row>
    <row r="19499" spans="1:5" x14ac:dyDescent="0.25">
      <c r="A19499" t="str">
        <f>HYPERLINK("https://www.773grp.com/globalSearch/74REACTQ574T6B_BBC/page-1", "74REACTQ574T6B_BBC")</f>
        <v>74REACTQ574T6B_BBC</v>
      </c>
      <c r="B19499" s="3" t="s">
        <v>116</v>
      </c>
      <c r="C19499" s="6">
        <v>12</v>
      </c>
      <c r="D19499" s="7">
        <v>0</v>
      </c>
    </row>
    <row r="19500" spans="1:5" x14ac:dyDescent="0.25">
      <c r="A19500" t="str">
        <f>HYPERLINK("https://www.773grp.com/globalSearch/74REF161AT6B_BNH/page-1", "74REF161AT6B_BNH")</f>
        <v>74REF161AT6B_BNH</v>
      </c>
      <c r="B19500" s="3" t="s">
        <v>116</v>
      </c>
      <c r="C19500" s="6">
        <v>11</v>
      </c>
      <c r="D19500" s="7">
        <v>0</v>
      </c>
    </row>
    <row r="19501" spans="1:5" x14ac:dyDescent="0.25">
      <c r="A19501" t="str">
        <f>HYPERLINK("https://www.773grp.com/globalSearch/9513ADC/page-1", "9513ADC")</f>
        <v>9513ADC</v>
      </c>
      <c r="B19501" s="3" t="s">
        <v>116</v>
      </c>
      <c r="C19501" s="6">
        <v>3148</v>
      </c>
      <c r="D19501" s="7">
        <v>0</v>
      </c>
    </row>
    <row r="19502" spans="1:5" x14ac:dyDescent="0.25">
      <c r="A19502" t="str">
        <f>HYPERLINK("https://www.773grp.com/globalSearch/9513ADC-SPECIAL/page-1", "9513ADC-SPECIAL")</f>
        <v>9513ADC-SPECIAL</v>
      </c>
      <c r="B19502" s="3" t="s">
        <v>116</v>
      </c>
      <c r="C19502" s="6">
        <v>107</v>
      </c>
      <c r="D19502" s="7">
        <v>0</v>
      </c>
    </row>
    <row r="19503" spans="1:5" x14ac:dyDescent="0.25">
      <c r="A19503" t="str">
        <f>HYPERLINK("https://www.773grp.com/globalSearch/9513AJC/page-1", "9513AJC")</f>
        <v>9513AJC</v>
      </c>
      <c r="B19503" s="3" t="s">
        <v>116</v>
      </c>
      <c r="C19503" s="6">
        <v>3062</v>
      </c>
      <c r="D19503" s="7">
        <v>0</v>
      </c>
    </row>
    <row r="19504" spans="1:5" x14ac:dyDescent="0.25">
      <c r="A19504" t="str">
        <f>HYPERLINK("https://www.773grp.com/globalSearch/9513AJI-G/page-1", "9513AJI-G")</f>
        <v>9513AJI-G</v>
      </c>
      <c r="B19504" s="3" t="s">
        <v>116</v>
      </c>
      <c r="C19504" s="6">
        <v>5960</v>
      </c>
      <c r="D19504" s="7">
        <v>0</v>
      </c>
    </row>
    <row r="19505" spans="1:5" x14ac:dyDescent="0.25">
      <c r="A19505" t="str">
        <f>HYPERLINK("https://www.773grp.com/globalSearch/9513APC-G/page-1", "9513APC-G")</f>
        <v>9513APC-G</v>
      </c>
      <c r="B19505" s="3" t="s">
        <v>116</v>
      </c>
      <c r="C19505" s="6">
        <v>5943</v>
      </c>
      <c r="D19505" s="7">
        <v>0</v>
      </c>
    </row>
    <row r="19506" spans="1:5" x14ac:dyDescent="0.25">
      <c r="A19506" t="str">
        <f>HYPERLINK("https://www.773grp.com/globalSearch/9513ASP/page-1", "9513ASP")</f>
        <v>9513ASP</v>
      </c>
      <c r="B19506" s="3" t="s">
        <v>116</v>
      </c>
      <c r="C19506" s="6">
        <v>12</v>
      </c>
      <c r="D19506" s="7">
        <v>0</v>
      </c>
    </row>
    <row r="19507" spans="1:5" x14ac:dyDescent="0.25">
      <c r="A19507" t="str">
        <f>HYPERLINK("https://www.773grp.com/globalSearch/AM486 RED DOT REJECTS/page-1", "AM486 RED DOT REJECTS")</f>
        <v>AM486 RED DOT REJECTS</v>
      </c>
      <c r="B19507" s="3" t="s">
        <v>116</v>
      </c>
      <c r="C19507" s="6">
        <v>2</v>
      </c>
      <c r="D19507" s="7">
        <v>0</v>
      </c>
    </row>
    <row r="19508" spans="1:5" x14ac:dyDescent="0.25">
      <c r="A19508" t="str">
        <f>HYPERLINK("https://www.773grp.com/globalSearch/AM7968-125JC/page-1", "AM7968-125JC")</f>
        <v>AM7968-125JC</v>
      </c>
      <c r="B19508" s="3" t="s">
        <v>116</v>
      </c>
      <c r="C19508" s="6">
        <v>1502</v>
      </c>
      <c r="D19508" s="7">
        <v>0</v>
      </c>
      <c r="E19508" t="s">
        <v>17</v>
      </c>
    </row>
    <row r="19509" spans="1:5" x14ac:dyDescent="0.25">
      <c r="A19509" t="str">
        <f>HYPERLINK("https://www.773grp.com/globalSearch/AM7969-125DC/page-1", "AM7969-125DC")</f>
        <v>AM7969-125DC</v>
      </c>
      <c r="B19509" s="3" t="s">
        <v>116</v>
      </c>
      <c r="C19509" s="6">
        <v>537</v>
      </c>
      <c r="D19509" s="7">
        <v>0</v>
      </c>
      <c r="E19509" t="s">
        <v>17</v>
      </c>
    </row>
    <row r="19510" spans="1:5" x14ac:dyDescent="0.25">
      <c r="A19510" t="str">
        <f>HYPERLINK("https://www.773grp.com/globalSearch/AM9513ADIB/page-1", "AM9513ADIB")</f>
        <v>AM9513ADIB</v>
      </c>
      <c r="B19510" s="3" t="s">
        <v>116</v>
      </c>
      <c r="C19510" s="6">
        <v>481</v>
      </c>
      <c r="D19510" s="7">
        <v>0</v>
      </c>
    </row>
    <row r="19511" spans="1:5" x14ac:dyDescent="0.25">
      <c r="A19511" t="str">
        <f>HYPERLINK("https://www.773grp.com/globalSearch/D8274/page-1", "D8274")</f>
        <v>D8274</v>
      </c>
      <c r="B19511" s="3" t="s">
        <v>116</v>
      </c>
      <c r="C19511" s="6">
        <v>212</v>
      </c>
      <c r="D19511" s="7">
        <v>0</v>
      </c>
      <c r="E19511" t="s">
        <v>59</v>
      </c>
    </row>
    <row r="19512" spans="1:5" x14ac:dyDescent="0.25">
      <c r="A19512" t="str">
        <f>HYPERLINK("https://www.773grp.com/globalSearch/DM8136N/page-1", "DM8136N")</f>
        <v>DM8136N</v>
      </c>
      <c r="B19512" s="3" t="s">
        <v>116</v>
      </c>
      <c r="C19512" s="6">
        <v>7044</v>
      </c>
      <c r="D19512" s="7">
        <v>0</v>
      </c>
    </row>
    <row r="19513" spans="1:5" x14ac:dyDescent="0.25">
      <c r="A19513" t="str">
        <f>HYPERLINK("https://www.773grp.com/globalSearch/DS1631J-8-B/page-1", "DS1631J-8-B")</f>
        <v>DS1631J-8-B</v>
      </c>
      <c r="B19513" s="3" t="s">
        <v>116</v>
      </c>
      <c r="C19513" s="6">
        <v>156</v>
      </c>
      <c r="D19513" s="7">
        <v>0</v>
      </c>
    </row>
    <row r="19514" spans="1:5" x14ac:dyDescent="0.25">
      <c r="A19514" t="str">
        <f>HYPERLINK("https://www.773grp.com/globalSearch/DS3884AVFN/page-1", "DS3884AVFN")</f>
        <v>DS3884AVFN</v>
      </c>
      <c r="B19514" s="3" t="s">
        <v>116</v>
      </c>
      <c r="C19514" s="6">
        <v>4878</v>
      </c>
      <c r="D19514" s="7">
        <v>0</v>
      </c>
    </row>
    <row r="19515" spans="1:5" x14ac:dyDescent="0.25">
      <c r="A19515" t="str">
        <f>HYPERLINK("https://www.773grp.com/globalSearch/DS3886AVFN/page-1", "DS3886AVFN")</f>
        <v>DS3886AVFN</v>
      </c>
      <c r="B19515" s="3" t="s">
        <v>116</v>
      </c>
      <c r="C19515" s="6">
        <v>10659</v>
      </c>
      <c r="D19515" s="7">
        <v>0</v>
      </c>
    </row>
    <row r="19516" spans="1:5" x14ac:dyDescent="0.25">
      <c r="A19516" t="str">
        <f>HYPERLINK("https://www.773grp.com/globalSearch/EP1810GI-35/page-1", "EP1810GI-35")</f>
        <v>EP1810GI-35</v>
      </c>
      <c r="B19516" s="3" t="s">
        <v>116</v>
      </c>
      <c r="C19516" s="6">
        <v>150</v>
      </c>
      <c r="D19516" s="7">
        <v>0</v>
      </c>
    </row>
    <row r="19517" spans="1:5" x14ac:dyDescent="0.25">
      <c r="A19517" t="str">
        <f>HYPERLINK("https://www.773grp.com/globalSearch/EP1810GI-35  UM/page-1", "EP1810GI-35  UM")</f>
        <v>EP1810GI-35  UM</v>
      </c>
      <c r="B19517" s="3" t="s">
        <v>116</v>
      </c>
      <c r="C19517" s="6">
        <v>1497</v>
      </c>
      <c r="D19517" s="7">
        <v>0</v>
      </c>
    </row>
    <row r="19518" spans="1:5" x14ac:dyDescent="0.25">
      <c r="A19518" t="str">
        <f>HYPERLINK("https://www.773grp.com/globalSearch/ICM7170AIPG/page-1", "ICM7170AIPG")</f>
        <v>ICM7170AIPG</v>
      </c>
      <c r="B19518" s="3" t="s">
        <v>116</v>
      </c>
      <c r="C19518" s="6">
        <v>4717</v>
      </c>
      <c r="D19518" s="7">
        <v>0</v>
      </c>
      <c r="E19518" t="s">
        <v>67</v>
      </c>
    </row>
    <row r="19519" spans="1:5" x14ac:dyDescent="0.25">
      <c r="A19519" t="str">
        <f>HYPERLINK("https://www.773grp.com/globalSearch/LM105H-B/page-1", "LM105H-B")</f>
        <v>LM105H-B</v>
      </c>
      <c r="B19519" s="3" t="s">
        <v>116</v>
      </c>
      <c r="C19519" s="6">
        <v>149</v>
      </c>
      <c r="D19519" s="7">
        <v>0</v>
      </c>
    </row>
    <row r="19520" spans="1:5" x14ac:dyDescent="0.25">
      <c r="A19520" t="str">
        <f>HYPERLINK("https://www.773grp.com/globalSearch/LM7709AJ-883/page-1", "LM7709AJ-883")</f>
        <v>LM7709AJ-883</v>
      </c>
      <c r="B19520" s="3" t="s">
        <v>116</v>
      </c>
      <c r="C19520" s="6">
        <v>23</v>
      </c>
      <c r="D19520" s="7">
        <v>0</v>
      </c>
    </row>
    <row r="19521" spans="1:5" x14ac:dyDescent="0.25">
      <c r="A19521" t="str">
        <f>HYPERLINK("https://www.773grp.com/globalSearch/MD80C187-10-B  UM/page-1", "MD80C187-10-B  UM")</f>
        <v>MD80C187-10-B  UM</v>
      </c>
      <c r="B19521" s="3" t="s">
        <v>116</v>
      </c>
      <c r="C19521" s="6">
        <v>33</v>
      </c>
      <c r="D19521" s="7">
        <v>0</v>
      </c>
    </row>
    <row r="19522" spans="1:5" x14ac:dyDescent="0.25">
      <c r="A19522" t="str">
        <f>HYPERLINK("https://www.773grp.com/globalSearch/MD80C187-12-B  UM/page-1", "MD80C187-12-B  UM")</f>
        <v>MD80C187-12-B  UM</v>
      </c>
      <c r="B19522" s="3" t="s">
        <v>116</v>
      </c>
      <c r="C19522" s="6">
        <v>524</v>
      </c>
      <c r="D19522" s="7">
        <v>0</v>
      </c>
    </row>
    <row r="19523" spans="1:5" x14ac:dyDescent="0.25">
      <c r="A19523" t="str">
        <f>HYPERLINK("https://www.773grp.com/globalSearch/MD8251A/page-1", "MD8251A")</f>
        <v>MD8251A</v>
      </c>
      <c r="B19523" s="3" t="s">
        <v>116</v>
      </c>
      <c r="C19523" s="6">
        <v>608</v>
      </c>
      <c r="D19523" s="7">
        <v>0</v>
      </c>
      <c r="E19523" t="s">
        <v>59</v>
      </c>
    </row>
    <row r="19524" spans="1:5" x14ac:dyDescent="0.25">
      <c r="A19524" t="str">
        <f>HYPERLINK("https://www.773grp.com/globalSearch/MD8274-B/page-1", "MD8274-B")</f>
        <v>MD8274-B</v>
      </c>
      <c r="B19524" s="3" t="s">
        <v>116</v>
      </c>
      <c r="C19524" s="6">
        <v>107</v>
      </c>
      <c r="D19524" s="7">
        <v>0</v>
      </c>
    </row>
    <row r="19525" spans="1:5" x14ac:dyDescent="0.25">
      <c r="A19525" t="str">
        <f>HYPERLINK("https://www.773grp.com/globalSearch/MG80C186-10-B/page-1", "MG80C186-10-B")</f>
        <v>MG80C186-10-B</v>
      </c>
      <c r="B19525" s="3" t="s">
        <v>116</v>
      </c>
      <c r="C19525" s="6">
        <v>200</v>
      </c>
      <c r="D19525" s="7">
        <v>0</v>
      </c>
    </row>
    <row r="19526" spans="1:5" x14ac:dyDescent="0.25">
      <c r="A19526" t="str">
        <f>HYPERLINK("https://www.773grp.com/globalSearch/MG80C186-12-B  UM/page-1", "MG80C186-12-B  UM")</f>
        <v>MG80C186-12-B  UM</v>
      </c>
      <c r="B19526" s="3" t="s">
        <v>116</v>
      </c>
      <c r="C19526" s="6">
        <v>349</v>
      </c>
      <c r="D19526" s="7">
        <v>0</v>
      </c>
    </row>
    <row r="19527" spans="1:5" x14ac:dyDescent="0.25">
      <c r="A19527" t="str">
        <f>HYPERLINK("https://www.773grp.com/globalSearch/MG80C186-12-BZA/page-1", "MG80C186-12-BZA")</f>
        <v>MG80C186-12-BZA</v>
      </c>
      <c r="B19527" s="3" t="s">
        <v>116</v>
      </c>
      <c r="C19527" s="6">
        <v>320</v>
      </c>
      <c r="D19527" s="7">
        <v>0</v>
      </c>
    </row>
    <row r="19528" spans="1:5" x14ac:dyDescent="0.25">
      <c r="A19528" t="str">
        <f>HYPERLINK("https://www.773grp.com/globalSearch/MG80C186-12-BZC/page-1", "MG80C186-12-BZC")</f>
        <v>MG80C186-12-BZC</v>
      </c>
      <c r="B19528" s="3" t="s">
        <v>116</v>
      </c>
      <c r="C19528" s="6">
        <v>48</v>
      </c>
      <c r="D19528" s="7">
        <v>0</v>
      </c>
    </row>
    <row r="19529" spans="1:5" x14ac:dyDescent="0.25">
      <c r="A19529" t="str">
        <f>HYPERLINK("https://www.773grp.com/globalSearch/MG80C186-12-BZC  UM/page-1", "MG80C186-12-BZC  UM")</f>
        <v>MG80C186-12-BZC  UM</v>
      </c>
      <c r="B19529" s="3" t="s">
        <v>116</v>
      </c>
      <c r="C19529" s="6">
        <v>1015</v>
      </c>
      <c r="D19529" s="7">
        <v>0</v>
      </c>
    </row>
    <row r="19530" spans="1:5" x14ac:dyDescent="0.25">
      <c r="A19530" t="str">
        <f>HYPERLINK("https://www.773grp.com/globalSearch/R1127/page-1", "R1127")</f>
        <v>R1127</v>
      </c>
      <c r="B19530" s="3" t="s">
        <v>116</v>
      </c>
      <c r="C19530" s="6">
        <v>205</v>
      </c>
      <c r="D19530" s="7">
        <v>0</v>
      </c>
    </row>
    <row r="19531" spans="1:5" x14ac:dyDescent="0.25">
      <c r="A19531" t="str">
        <f>HYPERLINK("https://www.773grp.com/globalSearch/R1154/page-1", "R1154")</f>
        <v>R1154</v>
      </c>
      <c r="B19531" s="3" t="s">
        <v>116</v>
      </c>
      <c r="C19531" s="6">
        <v>1232</v>
      </c>
      <c r="D19531" s="7">
        <v>0</v>
      </c>
    </row>
    <row r="19532" spans="1:5" x14ac:dyDescent="0.25">
      <c r="A19532" t="str">
        <f>HYPERLINK("https://www.773grp.com/globalSearch/R1167/page-1", "R1167")</f>
        <v>R1167</v>
      </c>
      <c r="B19532" s="3" t="s">
        <v>116</v>
      </c>
      <c r="C19532" s="6">
        <v>254</v>
      </c>
      <c r="D19532" s="7">
        <v>0</v>
      </c>
    </row>
    <row r="19533" spans="1:5" x14ac:dyDescent="0.25">
      <c r="A19533" t="str">
        <f>HYPERLINK("https://www.773grp.com/globalSearch/R1316/page-1", "R1316")</f>
        <v>R1316</v>
      </c>
      <c r="B19533" s="3" t="s">
        <v>116</v>
      </c>
      <c r="C19533" s="6">
        <v>3742</v>
      </c>
      <c r="D19533" s="7">
        <v>0</v>
      </c>
    </row>
    <row r="19534" spans="1:5" x14ac:dyDescent="0.25">
      <c r="A19534" t="str">
        <f>HYPERLINK("https://www.773grp.com/globalSearch/R1382/page-1", "R1382")</f>
        <v>R1382</v>
      </c>
      <c r="B19534" s="3" t="s">
        <v>116</v>
      </c>
      <c r="C19534" s="6">
        <v>2818</v>
      </c>
      <c r="D19534" s="7">
        <v>0</v>
      </c>
    </row>
    <row r="19535" spans="1:5" x14ac:dyDescent="0.25">
      <c r="A19535" t="str">
        <f>HYPERLINK("https://www.773grp.com/globalSearch/R1403/page-1", "R1403")</f>
        <v>R1403</v>
      </c>
      <c r="B19535" s="3" t="s">
        <v>116</v>
      </c>
      <c r="C19535" s="6">
        <v>1515</v>
      </c>
      <c r="D19535" s="7">
        <v>0</v>
      </c>
    </row>
    <row r="19536" spans="1:5" x14ac:dyDescent="0.25">
      <c r="A19536" t="str">
        <f>HYPERLINK("https://www.773grp.com/globalSearch/R1424/page-1", "R1424")</f>
        <v>R1424</v>
      </c>
      <c r="B19536" s="3" t="s">
        <v>116</v>
      </c>
      <c r="C19536" s="6">
        <v>1116</v>
      </c>
      <c r="D19536" s="7">
        <v>0</v>
      </c>
    </row>
    <row r="19537" spans="1:5" x14ac:dyDescent="0.25">
      <c r="A19537" t="str">
        <f>HYPERLINK("https://www.773grp.com/globalSearch/R456000/page-1", "R456000")</f>
        <v>R456000</v>
      </c>
      <c r="B19537" s="3" t="s">
        <v>116</v>
      </c>
      <c r="C19537" s="6">
        <v>2762</v>
      </c>
      <c r="D19537" s="7">
        <v>0</v>
      </c>
    </row>
    <row r="19538" spans="1:5" x14ac:dyDescent="0.25">
      <c r="A19538" t="str">
        <f>HYPERLINK("https://www.773grp.com/globalSearch/UHC508J-883C/page-1", "UHC508J-883C")</f>
        <v>UHC508J-883C</v>
      </c>
      <c r="B19538" s="3" t="s">
        <v>116</v>
      </c>
      <c r="C19538" s="6">
        <v>1077</v>
      </c>
      <c r="D19538" s="7">
        <v>0</v>
      </c>
    </row>
    <row r="19539" spans="1:5" x14ac:dyDescent="0.25">
      <c r="A19539" t="str">
        <f>HYPERLINK("https://www.773grp.com/globalSearch/COM1553A-B/page-1", "COM1553A-B")</f>
        <v>COM1553A-B</v>
      </c>
      <c r="B19539" s="3" t="s">
        <v>116</v>
      </c>
      <c r="C19539" s="6">
        <v>74</v>
      </c>
      <c r="D19539" s="7">
        <v>0</v>
      </c>
    </row>
    <row r="19540" spans="1:5" x14ac:dyDescent="0.25">
      <c r="A19540" t="str">
        <f>HYPERLINK("https://www.773grp.com/globalSearch/27C010-120DI/page-1", "27C010-120DI")</f>
        <v>27C010-120DI</v>
      </c>
      <c r="B19540" s="3" t="s">
        <v>116</v>
      </c>
      <c r="C19540" s="6">
        <v>395</v>
      </c>
      <c r="D19540" s="7">
        <v>0</v>
      </c>
    </row>
    <row r="19541" spans="1:5" x14ac:dyDescent="0.25">
      <c r="A19541" t="str">
        <f>HYPERLINK("https://www.773grp.com/globalSearch/27C010-55DI UM/page-1", "27C010-55DI UM")</f>
        <v>27C010-55DI UM</v>
      </c>
      <c r="B19541" s="3" t="s">
        <v>116</v>
      </c>
      <c r="C19541" s="6">
        <v>876</v>
      </c>
      <c r="D19541" s="7">
        <v>0</v>
      </c>
    </row>
    <row r="19542" spans="1:5" x14ac:dyDescent="0.25">
      <c r="A19542" t="str">
        <f>HYPERLINK("https://www.773grp.com/globalSearch/27C512-150JI/page-1", "27C512-150JI")</f>
        <v>27C512-150JI</v>
      </c>
      <c r="B19542" s="3" t="s">
        <v>116</v>
      </c>
      <c r="C19542" s="6">
        <v>45</v>
      </c>
      <c r="D19542" s="7">
        <v>0</v>
      </c>
    </row>
    <row r="19543" spans="1:5" x14ac:dyDescent="0.25">
      <c r="A19543" t="str">
        <f>HYPERLINK("https://www.773grp.com/globalSearch/27C512-55DI UM/page-1", "27C512-55DI UM")</f>
        <v>27C512-55DI UM</v>
      </c>
      <c r="B19543" s="3" t="s">
        <v>116</v>
      </c>
      <c r="C19543" s="6">
        <v>1169</v>
      </c>
      <c r="D19543" s="7">
        <v>0</v>
      </c>
    </row>
    <row r="19544" spans="1:5" x14ac:dyDescent="0.25">
      <c r="A19544" t="str">
        <f>HYPERLINK("https://www.773grp.com/globalSearch/27C512-75DC/page-1", "27C512-75DC")</f>
        <v>27C512-75DC</v>
      </c>
      <c r="B19544" s="3" t="s">
        <v>116</v>
      </c>
      <c r="C19544" s="6">
        <v>85</v>
      </c>
      <c r="D19544" s="7">
        <v>0</v>
      </c>
    </row>
    <row r="19545" spans="1:5" x14ac:dyDescent="0.25">
      <c r="A19545" t="str">
        <f>HYPERLINK("https://www.773grp.com/globalSearch/27C512-XXJC  UM/page-1", "27C512-XXJC  UM")</f>
        <v>27C512-XXJC  UM</v>
      </c>
      <c r="B19545" s="3" t="s">
        <v>116</v>
      </c>
      <c r="C19545" s="6">
        <v>4347</v>
      </c>
      <c r="D19545" s="7">
        <v>0</v>
      </c>
    </row>
    <row r="19546" spans="1:5" x14ac:dyDescent="0.25">
      <c r="A19546" t="str">
        <f>HYPERLINK("https://www.773grp.com/globalSearch/27C512-XXJI  UM/page-1", "27C512-XXJI  UM")</f>
        <v>27C512-XXJI  UM</v>
      </c>
      <c r="B19546" s="3" t="s">
        <v>116</v>
      </c>
      <c r="C19546" s="6">
        <v>4322</v>
      </c>
      <c r="D19546" s="7">
        <v>0</v>
      </c>
    </row>
    <row r="19547" spans="1:5" x14ac:dyDescent="0.25">
      <c r="A19547" t="str">
        <f>HYPERLINK("https://www.773grp.com/globalSearch/AM27C010-150DI/page-1", "AM27C010-150DI")</f>
        <v>AM27C010-150DI</v>
      </c>
      <c r="B19547" s="3" t="s">
        <v>116</v>
      </c>
      <c r="C19547" s="6">
        <v>1098</v>
      </c>
      <c r="D19547" s="7">
        <v>0</v>
      </c>
      <c r="E19547" t="s">
        <v>52</v>
      </c>
    </row>
    <row r="19548" spans="1:5" x14ac:dyDescent="0.25">
      <c r="A19548" t="str">
        <f>HYPERLINK("https://www.773grp.com/globalSearch/AM27C010-55DC  UM/page-1", "AM27C010-55DC  UM")</f>
        <v>AM27C010-55DC  UM</v>
      </c>
      <c r="B19548" s="3" t="s">
        <v>116</v>
      </c>
      <c r="C19548" s="6">
        <v>1463</v>
      </c>
      <c r="D19548" s="7">
        <v>0</v>
      </c>
    </row>
    <row r="19549" spans="1:5" x14ac:dyDescent="0.25">
      <c r="A19549" t="str">
        <f>HYPERLINK("https://www.773grp.com/globalSearch/AM27C010-55JC UM/page-1", "AM27C010-55JC UM")</f>
        <v>AM27C010-55JC UM</v>
      </c>
      <c r="B19549" s="3" t="s">
        <v>116</v>
      </c>
      <c r="C19549" s="6">
        <v>4888</v>
      </c>
      <c r="D19549" s="7">
        <v>0</v>
      </c>
    </row>
    <row r="19550" spans="1:5" x14ac:dyDescent="0.25">
      <c r="A19550" t="str">
        <f>HYPERLINK("https://www.773grp.com/globalSearch/AM27C010-55PC  UM/page-1", "AM27C010-55PC  UM")</f>
        <v>AM27C010-55PC  UM</v>
      </c>
      <c r="B19550" s="3" t="s">
        <v>116</v>
      </c>
      <c r="C19550" s="6">
        <v>6402</v>
      </c>
      <c r="D19550" s="7">
        <v>0</v>
      </c>
    </row>
    <row r="19551" spans="1:5" x14ac:dyDescent="0.25">
      <c r="A19551" t="str">
        <f>HYPERLINK("https://www.773grp.com/globalSearch/AM27C256-120DI/page-1", "AM27C256-120DI")</f>
        <v>AM27C256-120DI</v>
      </c>
      <c r="B19551" s="3" t="s">
        <v>116</v>
      </c>
      <c r="C19551" s="6">
        <v>100</v>
      </c>
      <c r="D19551" s="7">
        <v>0</v>
      </c>
    </row>
    <row r="19552" spans="1:5" x14ac:dyDescent="0.25">
      <c r="A19552" t="str">
        <f>HYPERLINK("https://www.773grp.com/globalSearch/AM27C256-150DE/page-1", "AM27C256-150DE")</f>
        <v>AM27C256-150DE</v>
      </c>
      <c r="B19552" s="3" t="s">
        <v>116</v>
      </c>
      <c r="C19552" s="6">
        <v>378</v>
      </c>
      <c r="D19552" s="7">
        <v>0</v>
      </c>
    </row>
    <row r="19553" spans="1:5" x14ac:dyDescent="0.25">
      <c r="A19553" t="str">
        <f>HYPERLINK("https://www.773grp.com/globalSearch/AM27C256-45DI  UM/page-1", "AM27C256-45DI  UM")</f>
        <v>AM27C256-45DI  UM</v>
      </c>
      <c r="B19553" s="3" t="s">
        <v>116</v>
      </c>
      <c r="C19553" s="6">
        <v>355</v>
      </c>
      <c r="D19553" s="7">
        <v>0</v>
      </c>
    </row>
    <row r="19554" spans="1:5" x14ac:dyDescent="0.25">
      <c r="A19554" t="str">
        <f>HYPERLINK("https://www.773grp.com/globalSearch/AM27C256-55DI/page-1", "AM27C256-55DI")</f>
        <v>AM27C256-55DI</v>
      </c>
      <c r="B19554" s="3" t="s">
        <v>116</v>
      </c>
      <c r="C19554" s="6">
        <v>341</v>
      </c>
      <c r="D19554" s="7">
        <v>0</v>
      </c>
    </row>
    <row r="19555" spans="1:5" x14ac:dyDescent="0.25">
      <c r="A19555" t="str">
        <f>HYPERLINK("https://www.773grp.com/globalSearch/AM27C256-55DI UM/page-1", "AM27C256-55DI UM")</f>
        <v>AM27C256-55DI UM</v>
      </c>
      <c r="B19555" s="3" t="s">
        <v>116</v>
      </c>
      <c r="C19555" s="6">
        <v>5000</v>
      </c>
      <c r="D19555" s="7">
        <v>0</v>
      </c>
    </row>
    <row r="19556" spans="1:5" x14ac:dyDescent="0.25">
      <c r="A19556" t="str">
        <f>HYPERLINK("https://www.773grp.com/globalSearch/AM27C256-55PC  UM/page-1", "AM27C256-55PC  UM")</f>
        <v>AM27C256-55PC  UM</v>
      </c>
      <c r="B19556" s="3" t="s">
        <v>116</v>
      </c>
      <c r="C19556" s="6">
        <v>1295</v>
      </c>
      <c r="D19556" s="7">
        <v>0</v>
      </c>
    </row>
    <row r="19557" spans="1:5" x14ac:dyDescent="0.25">
      <c r="A19557" t="str">
        <f>HYPERLINK("https://www.773grp.com/globalSearch/AM27C512-120DC/page-1", "AM27C512-120DC")</f>
        <v>AM27C512-120DC</v>
      </c>
      <c r="B19557" s="3" t="s">
        <v>116</v>
      </c>
      <c r="C19557" s="6">
        <v>570</v>
      </c>
      <c r="D19557" s="7">
        <v>0</v>
      </c>
      <c r="E19557" t="s">
        <v>52</v>
      </c>
    </row>
    <row r="19558" spans="1:5" x14ac:dyDescent="0.25">
      <c r="A19558" t="str">
        <f>HYPERLINK("https://www.773grp.com/globalSearch/AM27C512-150DC/page-1", "AM27C512-150DC")</f>
        <v>AM27C512-150DC</v>
      </c>
      <c r="B19558" s="3" t="s">
        <v>116</v>
      </c>
      <c r="C19558" s="6">
        <v>100</v>
      </c>
      <c r="D19558" s="7">
        <v>0</v>
      </c>
      <c r="E19558" t="s">
        <v>52</v>
      </c>
    </row>
    <row r="19559" spans="1:5" x14ac:dyDescent="0.25">
      <c r="A19559" t="str">
        <f>HYPERLINK("https://www.773grp.com/globalSearch/AM27C512-200JI/page-1", "AM27C512-200JI")</f>
        <v>AM27C512-200JI</v>
      </c>
      <c r="B19559" s="3" t="s">
        <v>116</v>
      </c>
      <c r="C19559" s="6">
        <v>48</v>
      </c>
      <c r="D19559" s="7">
        <v>0</v>
      </c>
    </row>
    <row r="19560" spans="1:5" x14ac:dyDescent="0.25">
      <c r="A19560" t="str">
        <f>HYPERLINK("https://www.773grp.com/globalSearch/AM27C512-70DC/page-1", "AM27C512-70DC")</f>
        <v>AM27C512-70DC</v>
      </c>
      <c r="B19560" s="3" t="s">
        <v>116</v>
      </c>
      <c r="C19560" s="6">
        <v>95</v>
      </c>
      <c r="D19560" s="7">
        <v>0</v>
      </c>
      <c r="E19560" t="s">
        <v>52</v>
      </c>
    </row>
    <row r="19561" spans="1:5" x14ac:dyDescent="0.25">
      <c r="A19561" t="str">
        <f>HYPERLINK("https://www.773grp.com/globalSearch/2532A-45JM-B  LT/page-1", "2532A-45JM-B  LT")</f>
        <v>2532A-45JM-B  LT</v>
      </c>
      <c r="B19561" s="3" t="s">
        <v>116</v>
      </c>
      <c r="C19561" s="6">
        <v>48</v>
      </c>
      <c r="D19561" s="7">
        <v>0</v>
      </c>
    </row>
    <row r="19562" spans="1:5" x14ac:dyDescent="0.25">
      <c r="A19562" t="str">
        <f>HYPERLINK("https://www.773grp.com/globalSearch/54105J  UT/page-1", "54105J  UT")</f>
        <v>54105J  UT</v>
      </c>
      <c r="B19562" s="3" t="s">
        <v>116</v>
      </c>
      <c r="C19562" s="6">
        <v>268</v>
      </c>
      <c r="D19562" s="7">
        <v>0</v>
      </c>
    </row>
    <row r="19563" spans="1:5" x14ac:dyDescent="0.25">
      <c r="A19563" t="str">
        <f>HYPERLINK("https://www.773grp.com/globalSearch/5413J-B/page-1", "5413J-B")</f>
        <v>5413J-B</v>
      </c>
      <c r="B19563" s="3" t="s">
        <v>116</v>
      </c>
      <c r="C19563" s="6">
        <v>206</v>
      </c>
      <c r="D19563" s="7">
        <v>0</v>
      </c>
    </row>
    <row r="19564" spans="1:5" x14ac:dyDescent="0.25">
      <c r="A19564" t="str">
        <f>HYPERLINK("https://www.773grp.com/globalSearch/54175-BFA/page-1", "54175-BFA")</f>
        <v>54175-BFA</v>
      </c>
      <c r="B19564" s="3" t="s">
        <v>116</v>
      </c>
      <c r="C19564" s="6">
        <v>3779</v>
      </c>
      <c r="D19564" s="7">
        <v>0</v>
      </c>
      <c r="E19564" t="s">
        <v>31</v>
      </c>
    </row>
    <row r="19565" spans="1:5" x14ac:dyDescent="0.25">
      <c r="A19565" t="str">
        <f>HYPERLINK("https://www.773grp.com/globalSearch/54177J-B  LT/page-1", "54177J-B  LT")</f>
        <v>54177J-B  LT</v>
      </c>
      <c r="B19565" s="3" t="s">
        <v>116</v>
      </c>
      <c r="C19565" s="6">
        <v>48</v>
      </c>
      <c r="D19565" s="7">
        <v>0</v>
      </c>
    </row>
    <row r="19566" spans="1:5" x14ac:dyDescent="0.25">
      <c r="A19566" t="str">
        <f>HYPERLINK("https://www.773grp.com/globalSearch/54366AJ-B/page-1", "54366AJ-B")</f>
        <v>54366AJ-B</v>
      </c>
      <c r="B19566" s="3" t="s">
        <v>116</v>
      </c>
      <c r="C19566" s="6">
        <v>731</v>
      </c>
      <c r="D19566" s="7">
        <v>0</v>
      </c>
    </row>
    <row r="19567" spans="1:5" x14ac:dyDescent="0.25">
      <c r="A19567" t="str">
        <f>HYPERLINK("https://www.773grp.com/globalSearch/5446AW-B  LT/page-1", "5446AW-B  LT")</f>
        <v>5446AW-B  LT</v>
      </c>
      <c r="B19567" s="3" t="s">
        <v>116</v>
      </c>
      <c r="C19567" s="6">
        <v>48</v>
      </c>
      <c r="D19567" s="7">
        <v>0</v>
      </c>
    </row>
    <row r="19568" spans="1:5" x14ac:dyDescent="0.25">
      <c r="A19568" t="str">
        <f>HYPERLINK("https://www.773grp.com/globalSearch/5496J-B/page-1", "5496J-B")</f>
        <v>5496J-B</v>
      </c>
      <c r="B19568" s="3" t="s">
        <v>116</v>
      </c>
      <c r="C19568" s="6">
        <v>667</v>
      </c>
      <c r="D19568" s="7">
        <v>0</v>
      </c>
    </row>
    <row r="19569" spans="1:5" x14ac:dyDescent="0.25">
      <c r="A19569" t="str">
        <f>HYPERLINK("https://www.773grp.com/globalSearch/54ACT11032J-B/page-1", "54ACT11032J-B")</f>
        <v>54ACT11032J-B</v>
      </c>
      <c r="B19569" s="3" t="s">
        <v>116</v>
      </c>
      <c r="C19569" s="6">
        <v>120</v>
      </c>
      <c r="D19569" s="7">
        <v>0</v>
      </c>
    </row>
    <row r="19570" spans="1:5" x14ac:dyDescent="0.25">
      <c r="A19570" t="str">
        <f>HYPERLINK("https://www.773grp.com/globalSearch/54ACT11138FK-B/page-1", "54ACT11138FK-B")</f>
        <v>54ACT11138FK-B</v>
      </c>
      <c r="B19570" s="3" t="s">
        <v>116</v>
      </c>
      <c r="C19570" s="6">
        <v>425</v>
      </c>
      <c r="D19570" s="7">
        <v>0</v>
      </c>
    </row>
    <row r="19571" spans="1:5" x14ac:dyDescent="0.25">
      <c r="A19571" t="str">
        <f>HYPERLINK("https://www.773grp.com/globalSearch/54ACT11240JT-B LT/page-1", "54ACT11240JT-B LT")</f>
        <v>54ACT11240JT-B LT</v>
      </c>
      <c r="B19571" s="3" t="s">
        <v>116</v>
      </c>
      <c r="C19571" s="6">
        <v>48</v>
      </c>
      <c r="D19571" s="7">
        <v>0</v>
      </c>
    </row>
    <row r="19572" spans="1:5" x14ac:dyDescent="0.25">
      <c r="A19572" t="str">
        <f>HYPERLINK("https://www.773grp.com/globalSearch/54ACT11245JT-B/page-1", "54ACT11245JT-B")</f>
        <v>54ACT11245JT-B</v>
      </c>
      <c r="B19572" s="3" t="s">
        <v>116</v>
      </c>
      <c r="C19572" s="6">
        <v>139</v>
      </c>
      <c r="D19572" s="7">
        <v>0</v>
      </c>
    </row>
    <row r="19573" spans="1:5" x14ac:dyDescent="0.25">
      <c r="A19573" t="str">
        <f>HYPERLINK("https://www.773grp.com/globalSearch/54ALS162BJ-B  LT/page-1", "54ALS162BJ-B  LT")</f>
        <v>54ALS162BJ-B  LT</v>
      </c>
      <c r="B19573" s="3" t="s">
        <v>116</v>
      </c>
      <c r="C19573" s="6">
        <v>48</v>
      </c>
      <c r="D19573" s="7">
        <v>0</v>
      </c>
    </row>
    <row r="19574" spans="1:5" x14ac:dyDescent="0.25">
      <c r="A19574" t="str">
        <f>HYPERLINK("https://www.773grp.com/globalSearch/54AS882AJ-B  LT/page-1", "54AS882AJ-B  LT")</f>
        <v>54AS882AJ-B  LT</v>
      </c>
      <c r="B19574" s="3" t="s">
        <v>116</v>
      </c>
      <c r="C19574" s="6">
        <v>48</v>
      </c>
      <c r="D19574" s="7">
        <v>0</v>
      </c>
    </row>
    <row r="19575" spans="1:5" x14ac:dyDescent="0.25">
      <c r="A19575" t="str">
        <f>HYPERLINK("https://www.773grp.com/globalSearch/54F21-BCA/page-1", "54F21-BCA")</f>
        <v>54F21-BCA</v>
      </c>
      <c r="B19575" s="3" t="s">
        <v>116</v>
      </c>
      <c r="C19575" s="6">
        <v>757</v>
      </c>
      <c r="D19575" s="7">
        <v>0</v>
      </c>
    </row>
    <row r="19576" spans="1:5" x14ac:dyDescent="0.25">
      <c r="A19576" t="str">
        <f>HYPERLINK("https://www.773grp.com/globalSearch/54F245W-B  UT/page-1", "54F245W-B  UT")</f>
        <v>54F245W-B  UT</v>
      </c>
      <c r="B19576" s="3" t="s">
        <v>116</v>
      </c>
      <c r="C19576" s="6">
        <v>369</v>
      </c>
      <c r="D19576" s="7">
        <v>0</v>
      </c>
    </row>
    <row r="19577" spans="1:5" x14ac:dyDescent="0.25">
      <c r="A19577" t="str">
        <f>HYPERLINK("https://www.773grp.com/globalSearch/54F38-B2A/page-1", "54F38-B2A")</f>
        <v>54F38-B2A</v>
      </c>
      <c r="B19577" s="3" t="s">
        <v>116</v>
      </c>
      <c r="C19577" s="6">
        <v>731</v>
      </c>
      <c r="D19577" s="7">
        <v>0</v>
      </c>
      <c r="E19577" t="s">
        <v>27</v>
      </c>
    </row>
    <row r="19578" spans="1:5" x14ac:dyDescent="0.25">
      <c r="A19578" t="str">
        <f>HYPERLINK("https://www.773grp.com/globalSearch/54F381ADM-B LT/page-1", "54F381ADM-B LT")</f>
        <v>54F381ADM-B LT</v>
      </c>
      <c r="B19578" s="3" t="s">
        <v>116</v>
      </c>
      <c r="C19578" s="6">
        <v>48</v>
      </c>
      <c r="D19578" s="7">
        <v>0</v>
      </c>
    </row>
    <row r="19579" spans="1:5" x14ac:dyDescent="0.25">
      <c r="A19579" t="str">
        <f>HYPERLINK("https://www.773grp.com/globalSearch/54HC09J-B  LT/page-1", "54HC09J-B  LT")</f>
        <v>54HC09J-B  LT</v>
      </c>
      <c r="B19579" s="3" t="s">
        <v>116</v>
      </c>
      <c r="C19579" s="6">
        <v>48</v>
      </c>
      <c r="D19579" s="7">
        <v>0</v>
      </c>
    </row>
    <row r="19580" spans="1:5" x14ac:dyDescent="0.25">
      <c r="A19580" t="str">
        <f>HYPERLINK("https://www.773grp.com/globalSearch/54HC113J-B/page-1", "54HC113J-B")</f>
        <v>54HC113J-B</v>
      </c>
      <c r="B19580" s="3" t="s">
        <v>116</v>
      </c>
      <c r="C19580" s="6">
        <v>160</v>
      </c>
      <c r="D19580" s="7">
        <v>0</v>
      </c>
    </row>
    <row r="19581" spans="1:5" x14ac:dyDescent="0.25">
      <c r="A19581" t="str">
        <f>HYPERLINK("https://www.773grp.com/globalSearch/54HC152J-B/page-1", "54HC152J-B")</f>
        <v>54HC152J-B</v>
      </c>
      <c r="B19581" s="3" t="s">
        <v>116</v>
      </c>
      <c r="C19581" s="6">
        <v>784</v>
      </c>
      <c r="D19581" s="7">
        <v>0</v>
      </c>
    </row>
    <row r="19582" spans="1:5" x14ac:dyDescent="0.25">
      <c r="A19582" t="str">
        <f>HYPERLINK("https://www.773grp.com/globalSearch/54HC158-BEA/page-1", "54HC158-BEA")</f>
        <v>54HC158-BEA</v>
      </c>
      <c r="B19582" s="3" t="s">
        <v>116</v>
      </c>
      <c r="C19582" s="6">
        <v>977</v>
      </c>
      <c r="D19582" s="7">
        <v>0</v>
      </c>
    </row>
    <row r="19583" spans="1:5" x14ac:dyDescent="0.25">
      <c r="A19583" t="str">
        <f>HYPERLINK("https://www.773grp.com/globalSearch/54L122J-B/page-1", "54L122J-B")</f>
        <v>54L122J-B</v>
      </c>
      <c r="B19583" s="3" t="s">
        <v>116</v>
      </c>
      <c r="C19583" s="6">
        <v>1597</v>
      </c>
      <c r="D19583" s="7">
        <v>0</v>
      </c>
    </row>
    <row r="19584" spans="1:5" x14ac:dyDescent="0.25">
      <c r="A19584" t="str">
        <f>HYPERLINK("https://www.773grp.com/globalSearch/54LS107A-BCA/page-1", "54LS107A-BCA")</f>
        <v>54LS107A-BCA</v>
      </c>
      <c r="B19584" s="3" t="s">
        <v>116</v>
      </c>
      <c r="C19584" s="6">
        <v>1636</v>
      </c>
      <c r="D19584" s="7">
        <v>0</v>
      </c>
    </row>
    <row r="19585" spans="1:5" x14ac:dyDescent="0.25">
      <c r="A19585" t="str">
        <f>HYPERLINK("https://www.773grp.com/globalSearch/54LS122-BDA/page-1", "54LS122-BDA")</f>
        <v>54LS122-BDA</v>
      </c>
      <c r="B19585" s="3" t="s">
        <v>116</v>
      </c>
      <c r="C19585" s="6">
        <v>873</v>
      </c>
      <c r="D19585" s="7">
        <v>0</v>
      </c>
    </row>
    <row r="19586" spans="1:5" x14ac:dyDescent="0.25">
      <c r="A19586" t="str">
        <f>HYPERLINK("https://www.773grp.com/globalSearch/54LS122-SCA/page-1", "54LS122-SCA")</f>
        <v>54LS122-SCA</v>
      </c>
      <c r="B19586" s="3" t="s">
        <v>116</v>
      </c>
      <c r="C19586" s="6">
        <v>103</v>
      </c>
      <c r="D19586" s="7">
        <v>0</v>
      </c>
    </row>
    <row r="19587" spans="1:5" x14ac:dyDescent="0.25">
      <c r="A19587" t="str">
        <f>HYPERLINK("https://www.773grp.com/globalSearch/54LS122-SDA/page-1", "54LS122-SDA")</f>
        <v>54LS122-SDA</v>
      </c>
      <c r="B19587" s="3" t="s">
        <v>116</v>
      </c>
      <c r="C19587" s="6">
        <v>303</v>
      </c>
      <c r="D19587" s="7">
        <v>0</v>
      </c>
    </row>
    <row r="19588" spans="1:5" x14ac:dyDescent="0.25">
      <c r="A19588" t="str">
        <f>HYPERLINK("https://www.773grp.com/globalSearch/54LS126A-BCA/page-1", "54LS126A-BCA")</f>
        <v>54LS126A-BCA</v>
      </c>
      <c r="B19588" s="3" t="s">
        <v>116</v>
      </c>
      <c r="C19588" s="6">
        <v>1157</v>
      </c>
      <c r="D19588" s="7">
        <v>0</v>
      </c>
    </row>
    <row r="19589" spans="1:5" x14ac:dyDescent="0.25">
      <c r="A19589" t="str">
        <f>HYPERLINK("https://www.773grp.com/globalSearch/54LS126AJ-B  LT/page-1", "54LS126AJ-B  LT")</f>
        <v>54LS126AJ-B  LT</v>
      </c>
      <c r="B19589" s="3" t="s">
        <v>116</v>
      </c>
      <c r="C19589" s="6">
        <v>48</v>
      </c>
      <c r="D19589" s="7">
        <v>0</v>
      </c>
    </row>
    <row r="19590" spans="1:5" x14ac:dyDescent="0.25">
      <c r="A19590" t="str">
        <f>HYPERLINK("https://www.773grp.com/globalSearch/54LS196W-B  LT/page-1", "54LS196W-B  LT")</f>
        <v>54LS196W-B  LT</v>
      </c>
      <c r="B19590" s="3" t="s">
        <v>116</v>
      </c>
      <c r="C19590" s="6">
        <v>48</v>
      </c>
      <c r="D19590" s="7">
        <v>0</v>
      </c>
    </row>
    <row r="19591" spans="1:5" x14ac:dyDescent="0.25">
      <c r="A19591" t="str">
        <f>HYPERLINK("https://www.773grp.com/globalSearch/54LS248J-B  LT/page-1", "54LS248J-B  LT")</f>
        <v>54LS248J-B  LT</v>
      </c>
      <c r="B19591" s="3" t="s">
        <v>116</v>
      </c>
      <c r="C19591" s="6">
        <v>48</v>
      </c>
      <c r="D19591" s="7">
        <v>0</v>
      </c>
    </row>
    <row r="19592" spans="1:5" x14ac:dyDescent="0.25">
      <c r="A19592" t="str">
        <f>HYPERLINK("https://www.773grp.com/globalSearch/54LS259B-BEA/page-1", "54LS259B-BEA")</f>
        <v>54LS259B-BEA</v>
      </c>
      <c r="B19592" s="3" t="s">
        <v>116</v>
      </c>
      <c r="C19592" s="6">
        <v>2319</v>
      </c>
      <c r="D19592" s="7">
        <v>0</v>
      </c>
    </row>
    <row r="19593" spans="1:5" x14ac:dyDescent="0.25">
      <c r="A19593" t="str">
        <f>HYPERLINK("https://www.773grp.com/globalSearch/54LS28-BDA/page-1", "54LS28-BDA")</f>
        <v>54LS28-BDA</v>
      </c>
      <c r="B19593" s="3" t="s">
        <v>116</v>
      </c>
      <c r="C19593" s="6">
        <v>551</v>
      </c>
      <c r="D19593" s="7">
        <v>0</v>
      </c>
    </row>
    <row r="19594" spans="1:5" x14ac:dyDescent="0.25">
      <c r="A19594" t="str">
        <f>HYPERLINK("https://www.773grp.com/globalSearch/54LS290-BDA/page-1", "54LS290-BDA")</f>
        <v>54LS290-BDA</v>
      </c>
      <c r="B19594" s="3" t="s">
        <v>116</v>
      </c>
      <c r="C19594" s="6">
        <v>1342</v>
      </c>
      <c r="D19594" s="7">
        <v>0</v>
      </c>
    </row>
    <row r="19595" spans="1:5" x14ac:dyDescent="0.25">
      <c r="A19595" t="str">
        <f>HYPERLINK("https://www.773grp.com/globalSearch/54LS293-BCA/page-1", "54LS293-BCA")</f>
        <v>54LS293-BCA</v>
      </c>
      <c r="B19595" s="3" t="s">
        <v>116</v>
      </c>
      <c r="C19595" s="6">
        <v>1422</v>
      </c>
      <c r="D19595" s="7">
        <v>0</v>
      </c>
    </row>
    <row r="19596" spans="1:5" x14ac:dyDescent="0.25">
      <c r="A19596" t="str">
        <f>HYPERLINK("https://www.773grp.com/globalSearch/54LS295B-BCA/page-1", "54LS295B-BCA")</f>
        <v>54LS295B-BCA</v>
      </c>
      <c r="B19596" s="3" t="s">
        <v>116</v>
      </c>
      <c r="C19596" s="6">
        <v>773</v>
      </c>
      <c r="D19596" s="7">
        <v>0</v>
      </c>
      <c r="E19596" t="s">
        <v>28</v>
      </c>
    </row>
    <row r="19597" spans="1:5" x14ac:dyDescent="0.25">
      <c r="A19597" t="str">
        <f>HYPERLINK("https://www.773grp.com/globalSearch/54LS48J-B  LT/page-1", "54LS48J-B  LT")</f>
        <v>54LS48J-B  LT</v>
      </c>
      <c r="B19597" s="3" t="s">
        <v>116</v>
      </c>
      <c r="C19597" s="6">
        <v>48</v>
      </c>
      <c r="D19597" s="7">
        <v>0</v>
      </c>
    </row>
    <row r="19598" spans="1:5" x14ac:dyDescent="0.25">
      <c r="A19598" t="str">
        <f>HYPERLINK("https://www.773grp.com/globalSearch/54LS54-BCA/page-1", "54LS54-BCA")</f>
        <v>54LS54-BCA</v>
      </c>
      <c r="B19598" s="3" t="s">
        <v>116</v>
      </c>
      <c r="C19598" s="6">
        <v>904</v>
      </c>
      <c r="D19598" s="7">
        <v>0</v>
      </c>
    </row>
    <row r="19599" spans="1:5" x14ac:dyDescent="0.25">
      <c r="A19599" t="str">
        <f>HYPERLINK("https://www.773grp.com/globalSearch/54LS54-SDA/page-1", "54LS54-SDA")</f>
        <v>54LS54-SDA</v>
      </c>
      <c r="B19599" s="3" t="s">
        <v>116</v>
      </c>
      <c r="C19599" s="6">
        <v>208</v>
      </c>
      <c r="D19599" s="7">
        <v>0</v>
      </c>
    </row>
    <row r="19600" spans="1:5" x14ac:dyDescent="0.25">
      <c r="A19600" t="str">
        <f>HYPERLINK("https://www.773grp.com/globalSearch/54LS626J-B  LT/page-1", "54LS626J-B  LT")</f>
        <v>54LS626J-B  LT</v>
      </c>
      <c r="B19600" s="3" t="s">
        <v>116</v>
      </c>
      <c r="C19600" s="6">
        <v>45</v>
      </c>
      <c r="D19600" s="7">
        <v>0</v>
      </c>
    </row>
    <row r="19601" spans="1:4" x14ac:dyDescent="0.25">
      <c r="A19601" t="str">
        <f>HYPERLINK("https://www.773grp.com/globalSearch/54LS646JT-B  LT/page-1", "54LS646JT-B  LT")</f>
        <v>54LS646JT-B  LT</v>
      </c>
      <c r="B19601" s="3" t="s">
        <v>116</v>
      </c>
      <c r="C19601" s="6">
        <v>45</v>
      </c>
      <c r="D19601" s="7">
        <v>0</v>
      </c>
    </row>
    <row r="19602" spans="1:4" x14ac:dyDescent="0.25">
      <c r="A19602" t="str">
        <f>HYPERLINK("https://www.773grp.com/globalSearch/54LS691FK-B  LT/page-1", "54LS691FK-B  LT")</f>
        <v>54LS691FK-B  LT</v>
      </c>
      <c r="B19602" s="3" t="s">
        <v>116</v>
      </c>
      <c r="C19602" s="6">
        <v>48</v>
      </c>
      <c r="D19602" s="7">
        <v>0</v>
      </c>
    </row>
    <row r="19603" spans="1:4" x14ac:dyDescent="0.25">
      <c r="A19603" t="str">
        <f>HYPERLINK("https://www.773grp.com/globalSearch/54LS83AW-B  UT/page-1", "54LS83AW-B  UT")</f>
        <v>54LS83AW-B  UT</v>
      </c>
      <c r="B19603" s="3" t="s">
        <v>116</v>
      </c>
      <c r="C19603" s="6">
        <v>2266</v>
      </c>
      <c r="D19603" s="7">
        <v>0</v>
      </c>
    </row>
    <row r="19604" spans="1:4" x14ac:dyDescent="0.25">
      <c r="A19604" t="str">
        <f>HYPERLINK("https://www.773grp.com/globalSearch/54LS95B-BCA/page-1", "54LS95B-BCA")</f>
        <v>54LS95B-BCA</v>
      </c>
      <c r="B19604" s="3" t="s">
        <v>116</v>
      </c>
      <c r="C19604" s="6">
        <v>3635</v>
      </c>
      <c r="D19604" s="7">
        <v>0</v>
      </c>
    </row>
    <row r="19605" spans="1:4" x14ac:dyDescent="0.25">
      <c r="A19605" t="str">
        <f>HYPERLINK("https://www.773grp.com/globalSearch/54LS95BJ-B LT/page-1", "54LS95BJ-B LT")</f>
        <v>54LS95BJ-B LT</v>
      </c>
      <c r="B19605" s="3" t="s">
        <v>116</v>
      </c>
      <c r="C19605" s="6">
        <v>45</v>
      </c>
      <c r="D19605" s="7">
        <v>0</v>
      </c>
    </row>
    <row r="19606" spans="1:4" x14ac:dyDescent="0.25">
      <c r="A19606" t="str">
        <f>HYPERLINK("https://www.773grp.com/globalSearch/54S197J-B  LT/page-1", "54S197J-B  LT")</f>
        <v>54S197J-B  LT</v>
      </c>
      <c r="B19606" s="3" t="s">
        <v>116</v>
      </c>
      <c r="C19606" s="6">
        <v>48</v>
      </c>
      <c r="D19606" s="7">
        <v>0</v>
      </c>
    </row>
    <row r="19607" spans="1:4" x14ac:dyDescent="0.25">
      <c r="A19607" t="str">
        <f>HYPERLINK("https://www.773grp.com/globalSearch/54S22FK-B  LT/page-1", "54S22FK-B  LT")</f>
        <v>54S22FK-B  LT</v>
      </c>
      <c r="B19607" s="3" t="s">
        <v>116</v>
      </c>
      <c r="C19607" s="6">
        <v>48</v>
      </c>
      <c r="D19607" s="7">
        <v>0</v>
      </c>
    </row>
    <row r="19608" spans="1:4" x14ac:dyDescent="0.25">
      <c r="A19608" t="str">
        <f>HYPERLINK("https://www.773grp.com/globalSearch/55157JG-B LT/page-1", "55157JG-B LT")</f>
        <v>55157JG-B LT</v>
      </c>
      <c r="B19608" s="3" t="s">
        <v>116</v>
      </c>
      <c r="C19608" s="6">
        <v>96</v>
      </c>
      <c r="D19608" s="7">
        <v>0</v>
      </c>
    </row>
    <row r="19609" spans="1:4" x14ac:dyDescent="0.25">
      <c r="A19609" t="str">
        <f>HYPERLINK("https://www.773grp.com/globalSearch/55461JG-B/page-1", "55461JG-B")</f>
        <v>55461JG-B</v>
      </c>
      <c r="B19609" s="3" t="s">
        <v>116</v>
      </c>
      <c r="C19609" s="6">
        <v>48</v>
      </c>
      <c r="D19609" s="7">
        <v>0</v>
      </c>
    </row>
    <row r="19610" spans="1:4" x14ac:dyDescent="0.25">
      <c r="A19610" t="str">
        <f>HYPERLINK("https://www.773grp.com/globalSearch/55462H-B/page-1", "55462H-B")</f>
        <v>55462H-B</v>
      </c>
      <c r="B19610" s="3" t="s">
        <v>116</v>
      </c>
      <c r="C19610" s="6">
        <v>453</v>
      </c>
      <c r="D19610" s="7">
        <v>0</v>
      </c>
    </row>
    <row r="19611" spans="1:4" x14ac:dyDescent="0.25">
      <c r="A19611" t="str">
        <f>HYPERLINK("https://www.773grp.com/globalSearch/55463-BPA/page-1", "55463-BPA")</f>
        <v>55463-BPA</v>
      </c>
      <c r="B19611" s="3" t="s">
        <v>116</v>
      </c>
      <c r="C19611" s="6">
        <v>1177</v>
      </c>
      <c r="D19611" s="7">
        <v>0</v>
      </c>
    </row>
    <row r="19612" spans="1:4" x14ac:dyDescent="0.25">
      <c r="A19612" t="str">
        <f>HYPERLINK("https://www.773grp.com/globalSearch/55500EFD-BZA/page-1", "55500EFD-BZA")</f>
        <v>55500EFD-BZA</v>
      </c>
      <c r="B19612" s="3" t="s">
        <v>116</v>
      </c>
      <c r="C19612" s="6">
        <v>453</v>
      </c>
      <c r="D19612" s="7">
        <v>0</v>
      </c>
    </row>
    <row r="19613" spans="1:4" x14ac:dyDescent="0.25">
      <c r="A19613" t="str">
        <f>HYPERLINK("https://www.773grp.com/globalSearch/55500EFJ-R  UT/page-1", "55500EFJ-R  UT")</f>
        <v>55500EFJ-R  UT</v>
      </c>
      <c r="B19613" s="3" t="s">
        <v>116</v>
      </c>
      <c r="C19613" s="6">
        <v>286</v>
      </c>
      <c r="D19613" s="7">
        <v>0</v>
      </c>
    </row>
    <row r="19614" spans="1:4" x14ac:dyDescent="0.25">
      <c r="A19614" t="str">
        <f>HYPERLINK("https://www.773grp.com/globalSearch/55500EJ-B LT/page-1", "55500EJ-B LT")</f>
        <v>55500EJ-B LT</v>
      </c>
      <c r="B19614" s="3" t="s">
        <v>116</v>
      </c>
      <c r="C19614" s="6">
        <v>140</v>
      </c>
      <c r="D19614" s="7">
        <v>0</v>
      </c>
    </row>
    <row r="19615" spans="1:4" x14ac:dyDescent="0.25">
      <c r="A19615" t="str">
        <f>HYPERLINK("https://www.773grp.com/globalSearch/55500EJ-R UT/page-1", "55500EJ-R UT")</f>
        <v>55500EJ-R UT</v>
      </c>
      <c r="B19615" s="3" t="s">
        <v>116</v>
      </c>
      <c r="C19615" s="6">
        <v>582</v>
      </c>
      <c r="D19615" s="7">
        <v>0</v>
      </c>
    </row>
    <row r="19616" spans="1:4" x14ac:dyDescent="0.25">
      <c r="A19616" t="str">
        <f>HYPERLINK("https://www.773grp.com/globalSearch/55501EFD-BZA/page-1", "55501EFD-BZA")</f>
        <v>55501EFD-BZA</v>
      </c>
      <c r="B19616" s="3" t="s">
        <v>116</v>
      </c>
      <c r="C19616" s="6">
        <v>75</v>
      </c>
      <c r="D19616" s="7">
        <v>0</v>
      </c>
    </row>
    <row r="19617" spans="1:5" x14ac:dyDescent="0.25">
      <c r="A19617" t="str">
        <f>HYPERLINK("https://www.773grp.com/globalSearch/55501EFJ/page-1", "55501EFJ")</f>
        <v>55501EFJ</v>
      </c>
      <c r="B19617" s="3" t="s">
        <v>116</v>
      </c>
      <c r="C19617" s="6">
        <v>327</v>
      </c>
      <c r="D19617" s="7">
        <v>0</v>
      </c>
    </row>
    <row r="19618" spans="1:5" x14ac:dyDescent="0.25">
      <c r="A19618" t="str">
        <f>HYPERLINK("https://www.773grp.com/globalSearch/55501EJ-B LT/page-1", "55501EJ-B LT")</f>
        <v>55501EJ-B LT</v>
      </c>
      <c r="B19618" s="3" t="s">
        <v>116</v>
      </c>
      <c r="C19618" s="6">
        <v>46</v>
      </c>
      <c r="D19618" s="7">
        <v>0</v>
      </c>
    </row>
    <row r="19619" spans="1:5" x14ac:dyDescent="0.25">
      <c r="A19619" t="str">
        <f>HYPERLINK("https://www.773grp.com/globalSearch/74143N  UT/page-1", "74143N  UT")</f>
        <v>74143N  UT</v>
      </c>
      <c r="B19619" s="3" t="s">
        <v>116</v>
      </c>
      <c r="C19619" s="6">
        <v>726</v>
      </c>
      <c r="D19619" s="7">
        <v>0</v>
      </c>
    </row>
    <row r="19620" spans="1:5" x14ac:dyDescent="0.25">
      <c r="A19620" t="str">
        <f>HYPERLINK("https://www.773grp.com/globalSearch/74174J/page-1", "74174J")</f>
        <v>74174J</v>
      </c>
      <c r="B19620" s="3" t="s">
        <v>116</v>
      </c>
      <c r="C19620" s="6">
        <v>4167</v>
      </c>
      <c r="D19620" s="7">
        <v>0</v>
      </c>
    </row>
    <row r="19621" spans="1:5" x14ac:dyDescent="0.25">
      <c r="A19621" t="str">
        <f>HYPERLINK("https://www.773grp.com/globalSearch/7473N/page-1", "7473N")</f>
        <v>7473N</v>
      </c>
      <c r="B19621" s="3" t="s">
        <v>116</v>
      </c>
      <c r="C19621" s="6">
        <v>2185</v>
      </c>
      <c r="D19621" s="7">
        <v>0</v>
      </c>
    </row>
    <row r="19622" spans="1:5" x14ac:dyDescent="0.25">
      <c r="A19622" t="str">
        <f>HYPERLINK("https://www.773grp.com/globalSearch/7495ADC  UT/page-1", "7495ADC  UT")</f>
        <v>7495ADC  UT</v>
      </c>
      <c r="B19622" s="3" t="s">
        <v>116</v>
      </c>
      <c r="C19622" s="6">
        <v>1770</v>
      </c>
      <c r="D19622" s="7">
        <v>0</v>
      </c>
    </row>
    <row r="19623" spans="1:5" x14ac:dyDescent="0.25">
      <c r="A19623" t="str">
        <f>HYPERLINK("https://www.773grp.com/globalSearch/74ALS34N  UT/page-1", "74ALS34N  UT")</f>
        <v>74ALS34N  UT</v>
      </c>
      <c r="B19623" s="3" t="s">
        <v>116</v>
      </c>
      <c r="C19623" s="6">
        <v>3200</v>
      </c>
      <c r="D19623" s="7">
        <v>0</v>
      </c>
    </row>
    <row r="19624" spans="1:5" x14ac:dyDescent="0.25">
      <c r="A19624" t="str">
        <f>HYPERLINK("https://www.773grp.com/globalSearch/74ALS878ADW/page-1", "74ALS878ADW")</f>
        <v>74ALS878ADW</v>
      </c>
      <c r="B19624" s="3" t="s">
        <v>116</v>
      </c>
      <c r="C19624" s="6">
        <v>1500</v>
      </c>
      <c r="D19624" s="7">
        <v>0</v>
      </c>
    </row>
    <row r="19625" spans="1:5" x14ac:dyDescent="0.25">
      <c r="A19625" t="str">
        <f>HYPERLINK("https://www.773grp.com/globalSearch/74AS881ANT  UT/page-1", "74AS881ANT  UT")</f>
        <v>74AS881ANT  UT</v>
      </c>
      <c r="B19625" s="3" t="s">
        <v>116</v>
      </c>
      <c r="C19625" s="6">
        <v>1000</v>
      </c>
      <c r="D19625" s="7">
        <v>0</v>
      </c>
    </row>
    <row r="19626" spans="1:5" x14ac:dyDescent="0.25">
      <c r="A19626" t="str">
        <f>HYPERLINK("https://www.773grp.com/globalSearch/74HC804N/page-1", "74HC804N")</f>
        <v>74HC804N</v>
      </c>
      <c r="B19626" s="3" t="s">
        <v>116</v>
      </c>
      <c r="C19626" s="6">
        <v>1557</v>
      </c>
      <c r="D19626" s="7">
        <v>0</v>
      </c>
    </row>
    <row r="19627" spans="1:5" x14ac:dyDescent="0.25">
      <c r="A19627" t="str">
        <f>HYPERLINK("https://www.773grp.com/globalSearch/74HC805N/page-1", "74HC805N")</f>
        <v>74HC805N</v>
      </c>
      <c r="B19627" s="3" t="s">
        <v>116</v>
      </c>
      <c r="C19627" s="6">
        <v>1551</v>
      </c>
      <c r="D19627" s="7">
        <v>0</v>
      </c>
    </row>
    <row r="19628" spans="1:5" x14ac:dyDescent="0.25">
      <c r="A19628" t="str">
        <f>HYPERLINK("https://www.773grp.com/globalSearch/74LS190N UT/page-1", "74LS190N UT")</f>
        <v>74LS190N UT</v>
      </c>
      <c r="B19628" s="3" t="s">
        <v>116</v>
      </c>
      <c r="C19628" s="6">
        <v>5388</v>
      </c>
      <c r="D19628" s="7">
        <v>0</v>
      </c>
    </row>
    <row r="19629" spans="1:5" x14ac:dyDescent="0.25">
      <c r="A19629" t="str">
        <f>HYPERLINK("https://www.773grp.com/globalSearch/74LS384N/page-1", "74LS384N")</f>
        <v>74LS384N</v>
      </c>
      <c r="B19629" s="3" t="s">
        <v>116</v>
      </c>
      <c r="C19629" s="6">
        <v>1239</v>
      </c>
      <c r="D19629" s="7">
        <v>0</v>
      </c>
    </row>
    <row r="19630" spans="1:5" x14ac:dyDescent="0.25">
      <c r="A19630" t="str">
        <f>HYPERLINK("https://www.773grp.com/globalSearch/74S40J/page-1", "74S40J")</f>
        <v>74S40J</v>
      </c>
      <c r="B19630" s="3" t="s">
        <v>116</v>
      </c>
      <c r="C19630" s="6">
        <v>1390</v>
      </c>
      <c r="D19630" s="7">
        <v>0</v>
      </c>
      <c r="E19630" t="s">
        <v>27</v>
      </c>
    </row>
    <row r="19631" spans="1:5" x14ac:dyDescent="0.25">
      <c r="A19631" t="str">
        <f>HYPERLINK("https://www.773grp.com/globalSearch/ADC0808MJ-B/page-1", "ADC0808MJ-B")</f>
        <v>ADC0808MJ-B</v>
      </c>
      <c r="B19631" s="3" t="s">
        <v>116</v>
      </c>
      <c r="C19631" s="6">
        <v>54</v>
      </c>
      <c r="D19631" s="7">
        <v>0</v>
      </c>
    </row>
    <row r="19632" spans="1:5" x14ac:dyDescent="0.25">
      <c r="A19632" t="str">
        <f>HYPERLINK("https://www.773grp.com/globalSearch/OP37AL/page-1", "OP37AL")</f>
        <v>OP37AL</v>
      </c>
      <c r="B19632" s="3" t="s">
        <v>116</v>
      </c>
      <c r="C19632" s="6">
        <v>79</v>
      </c>
      <c r="D19632" s="7">
        <v>0</v>
      </c>
    </row>
    <row r="19633" spans="1:5" x14ac:dyDescent="0.25">
      <c r="A19633" t="str">
        <f>HYPERLINK("https://www.773grp.com/globalSearch/R1019/page-1", "R1019")</f>
        <v>R1019</v>
      </c>
      <c r="B19633" s="3" t="s">
        <v>116</v>
      </c>
      <c r="C19633" s="6">
        <v>373</v>
      </c>
      <c r="D19633" s="7">
        <v>0</v>
      </c>
    </row>
    <row r="19634" spans="1:5" x14ac:dyDescent="0.25">
      <c r="A19634" t="str">
        <f>HYPERLINK("https://www.773grp.com/globalSearch/R1020/page-1", "R1020")</f>
        <v>R1020</v>
      </c>
      <c r="B19634" s="3" t="s">
        <v>116</v>
      </c>
      <c r="C19634" s="6">
        <v>360</v>
      </c>
      <c r="D19634" s="7">
        <v>0</v>
      </c>
      <c r="E19634" t="s">
        <v>101</v>
      </c>
    </row>
    <row r="19635" spans="1:5" x14ac:dyDescent="0.25">
      <c r="A19635" t="str">
        <f>HYPERLINK("https://www.773grp.com/globalSearch/R1045/page-1", "R1045")</f>
        <v>R1045</v>
      </c>
      <c r="B19635" s="3" t="s">
        <v>116</v>
      </c>
      <c r="C19635" s="6">
        <v>173</v>
      </c>
      <c r="D19635" s="7">
        <v>0</v>
      </c>
    </row>
    <row r="19636" spans="1:5" x14ac:dyDescent="0.25">
      <c r="A19636" t="str">
        <f>HYPERLINK("https://www.773grp.com/globalSearch/R1051/page-1", "R1051")</f>
        <v>R1051</v>
      </c>
      <c r="B19636" s="3" t="s">
        <v>116</v>
      </c>
      <c r="C19636" s="6">
        <v>452</v>
      </c>
      <c r="D19636" s="7">
        <v>0</v>
      </c>
    </row>
    <row r="19637" spans="1:5" x14ac:dyDescent="0.25">
      <c r="A19637" t="str">
        <f>HYPERLINK("https://www.773grp.com/globalSearch/R1145/page-1", "R1145")</f>
        <v>R1145</v>
      </c>
      <c r="B19637" s="3" t="s">
        <v>116</v>
      </c>
      <c r="C19637" s="6">
        <v>141</v>
      </c>
      <c r="D19637" s="7">
        <v>0</v>
      </c>
    </row>
    <row r="19638" spans="1:5" x14ac:dyDescent="0.25">
      <c r="A19638" t="str">
        <f>HYPERLINK("https://www.773grp.com/globalSearch/R1186/page-1", "R1186")</f>
        <v>R1186</v>
      </c>
      <c r="B19638" s="3" t="s">
        <v>116</v>
      </c>
      <c r="C19638" s="6">
        <v>344</v>
      </c>
      <c r="D19638" s="7">
        <v>0</v>
      </c>
    </row>
    <row r="19639" spans="1:5" x14ac:dyDescent="0.25">
      <c r="A19639" t="str">
        <f>HYPERLINK("https://www.773grp.com/globalSearch/R1189/page-1", "R1189")</f>
        <v>R1189</v>
      </c>
      <c r="B19639" s="3" t="s">
        <v>116</v>
      </c>
      <c r="C19639" s="6">
        <v>601</v>
      </c>
      <c r="D19639" s="7">
        <v>0</v>
      </c>
    </row>
    <row r="19640" spans="1:5" x14ac:dyDescent="0.25">
      <c r="A19640" t="str">
        <f>HYPERLINK("https://www.773grp.com/globalSearch/R1196/page-1", "R1196")</f>
        <v>R1196</v>
      </c>
      <c r="B19640" s="3" t="s">
        <v>116</v>
      </c>
      <c r="C19640" s="6">
        <v>1396</v>
      </c>
      <c r="D19640" s="7">
        <v>0</v>
      </c>
    </row>
    <row r="19641" spans="1:5" x14ac:dyDescent="0.25">
      <c r="A19641" t="str">
        <f>HYPERLINK("https://www.773grp.com/globalSearch/R1203/page-1", "R1203")</f>
        <v>R1203</v>
      </c>
      <c r="B19641" s="3" t="s">
        <v>116</v>
      </c>
      <c r="C19641" s="6">
        <v>336</v>
      </c>
      <c r="D19641" s="7">
        <v>0</v>
      </c>
    </row>
    <row r="19642" spans="1:5" x14ac:dyDescent="0.25">
      <c r="A19642" t="str">
        <f>HYPERLINK("https://www.773grp.com/globalSearch/R1361/page-1", "R1361")</f>
        <v>R1361</v>
      </c>
      <c r="B19642" s="3" t="s">
        <v>116</v>
      </c>
      <c r="C19642" s="6">
        <v>79</v>
      </c>
      <c r="D19642" s="7">
        <v>0</v>
      </c>
    </row>
    <row r="19643" spans="1:5" x14ac:dyDescent="0.25">
      <c r="A19643" t="str">
        <f>HYPERLINK("https://www.773grp.com/globalSearch/R1416/page-1", "R1416")</f>
        <v>R1416</v>
      </c>
      <c r="B19643" s="3" t="s">
        <v>116</v>
      </c>
      <c r="C19643" s="6">
        <v>246</v>
      </c>
      <c r="D19643" s="7">
        <v>0</v>
      </c>
    </row>
    <row r="19644" spans="1:5" x14ac:dyDescent="0.25">
      <c r="A19644" t="str">
        <f>HYPERLINK("https://www.773grp.com/globalSearch/R1431/page-1", "R1431")</f>
        <v>R1431</v>
      </c>
      <c r="B19644" s="3" t="s">
        <v>116</v>
      </c>
      <c r="C19644" s="6">
        <v>247</v>
      </c>
      <c r="D19644" s="7">
        <v>0</v>
      </c>
    </row>
    <row r="19645" spans="1:5" x14ac:dyDescent="0.25">
      <c r="A19645" t="str">
        <f>HYPERLINK("https://www.773grp.com/globalSearch/R1432/page-1", "R1432")</f>
        <v>R1432</v>
      </c>
      <c r="B19645" s="3" t="s">
        <v>116</v>
      </c>
      <c r="C19645" s="6">
        <v>193</v>
      </c>
      <c r="D19645" s="7">
        <v>0</v>
      </c>
    </row>
    <row r="19646" spans="1:5" x14ac:dyDescent="0.25">
      <c r="A19646" t="str">
        <f>HYPERLINK("https://www.773grp.com/globalSearch/R1492/page-1", "R1492")</f>
        <v>R1492</v>
      </c>
      <c r="B19646" s="3" t="s">
        <v>116</v>
      </c>
      <c r="C19646" s="6">
        <v>204</v>
      </c>
      <c r="D19646" s="7">
        <v>0</v>
      </c>
    </row>
    <row r="19647" spans="1:5" x14ac:dyDescent="0.25">
      <c r="A19647" t="str">
        <f>HYPERLINK("https://www.773grp.com/globalSearch/R1539/page-1", "R1539")</f>
        <v>R1539</v>
      </c>
      <c r="B19647" s="3" t="s">
        <v>116</v>
      </c>
      <c r="C19647" s="6">
        <v>142</v>
      </c>
      <c r="D19647" s="7">
        <v>0</v>
      </c>
    </row>
    <row r="19648" spans="1:5" x14ac:dyDescent="0.25">
      <c r="A19648" t="str">
        <f>HYPERLINK("https://www.773grp.com/globalSearch/R4108000/page-1", "R4108000")</f>
        <v>R4108000</v>
      </c>
      <c r="B19648" s="3" t="s">
        <v>116</v>
      </c>
      <c r="C19648" s="6">
        <v>57</v>
      </c>
      <c r="D19648" s="7">
        <v>0</v>
      </c>
    </row>
    <row r="19649" spans="1:5" x14ac:dyDescent="0.25">
      <c r="A19649" t="str">
        <f>HYPERLINK("https://www.773grp.com/globalSearch/R469001/page-1", "R469001")</f>
        <v>R469001</v>
      </c>
      <c r="B19649" s="3" t="s">
        <v>116</v>
      </c>
      <c r="C19649" s="6">
        <v>202</v>
      </c>
      <c r="D19649" s="7">
        <v>0</v>
      </c>
    </row>
    <row r="19650" spans="1:5" x14ac:dyDescent="0.25">
      <c r="A19650" t="str">
        <f>HYPERLINK("https://www.773grp.com/globalSearch/R494001 UT/page-1", "R494001 UT")</f>
        <v>R494001 UT</v>
      </c>
      <c r="B19650" s="3" t="s">
        <v>116</v>
      </c>
      <c r="C19650" s="6">
        <v>48</v>
      </c>
      <c r="D19650" s="7">
        <v>0</v>
      </c>
    </row>
    <row r="19651" spans="1:5" x14ac:dyDescent="0.25">
      <c r="A19651" t="str">
        <f>HYPERLINK("https://www.773grp.com/globalSearch/R534003  LT/page-1", "R534003  LT")</f>
        <v>R534003  LT</v>
      </c>
      <c r="B19651" s="3" t="s">
        <v>116</v>
      </c>
      <c r="C19651" s="6">
        <v>48</v>
      </c>
      <c r="D19651" s="7">
        <v>0</v>
      </c>
    </row>
    <row r="19652" spans="1:5" x14ac:dyDescent="0.25">
      <c r="A19652" t="str">
        <f>HYPERLINK("https://www.773grp.com/globalSearch/R754103/page-1", "R754103")</f>
        <v>R754103</v>
      </c>
      <c r="B19652" s="3" t="s">
        <v>116</v>
      </c>
      <c r="C19652" s="6">
        <v>391</v>
      </c>
      <c r="D19652" s="7">
        <v>0</v>
      </c>
    </row>
    <row r="19653" spans="1:5" x14ac:dyDescent="0.25">
      <c r="A19653" t="str">
        <f>HYPERLINK("https://www.773grp.com/globalSearch/SN74LS490N/page-1", "SN74LS490N")</f>
        <v>SN74LS490N</v>
      </c>
      <c r="B19653" s="3" t="s">
        <v>116</v>
      </c>
      <c r="C19653" s="6">
        <v>1393</v>
      </c>
      <c r="D19653" s="7">
        <v>0</v>
      </c>
    </row>
    <row r="19654" spans="1:5" x14ac:dyDescent="0.25">
      <c r="A19654" t="str">
        <f>HYPERLINK("https://www.773grp.com/globalSearch/SN75325J  UT/page-1", "SN75325J  UT")</f>
        <v>SN75325J  UT</v>
      </c>
      <c r="B19654" s="3" t="s">
        <v>116</v>
      </c>
      <c r="C19654" s="6">
        <v>167</v>
      </c>
      <c r="D19654" s="7">
        <v>0</v>
      </c>
    </row>
    <row r="19655" spans="1:5" x14ac:dyDescent="0.25">
      <c r="A19655" t="str">
        <f>HYPERLINK("https://www.773grp.com/globalSearch/TL32088CN  UT/page-1", "TL32088CN  UT")</f>
        <v>TL32088CN  UT</v>
      </c>
      <c r="B19655" s="3" t="s">
        <v>116</v>
      </c>
      <c r="C19655" s="6">
        <v>5569</v>
      </c>
      <c r="D19655" s="7">
        <v>0</v>
      </c>
    </row>
    <row r="19656" spans="1:5" x14ac:dyDescent="0.25">
      <c r="A19656" t="str">
        <f>HYPERLINK("https://www.773grp.com/globalSearch/TL32088CNS UT/page-1", "TL32088CNS UT")</f>
        <v>TL32088CNS UT</v>
      </c>
      <c r="B19656" s="3" t="s">
        <v>116</v>
      </c>
      <c r="C19656" s="6">
        <v>9261</v>
      </c>
      <c r="D19656" s="7">
        <v>0</v>
      </c>
    </row>
    <row r="19657" spans="1:5" x14ac:dyDescent="0.25">
      <c r="A19657" t="str">
        <f>HYPERLINK("https://www.773grp.com/globalSearch/TLC2472ID  UT/page-1", "TLC2472ID  UT")</f>
        <v>TLC2472ID  UT</v>
      </c>
      <c r="B19657" s="3" t="s">
        <v>116</v>
      </c>
      <c r="C19657" s="6">
        <v>1235</v>
      </c>
      <c r="D19657" s="7">
        <v>0</v>
      </c>
    </row>
    <row r="19658" spans="1:5" x14ac:dyDescent="0.25">
      <c r="A19658" t="str">
        <f>HYPERLINK("https://www.773grp.com/globalSearch/TLC32042EFN/page-1", "TLC32042EFN")</f>
        <v>TLC32042EFN</v>
      </c>
      <c r="B19658" s="3" t="s">
        <v>116</v>
      </c>
      <c r="C19658" s="6">
        <v>280</v>
      </c>
      <c r="D19658" s="7">
        <v>0</v>
      </c>
    </row>
    <row r="19659" spans="1:5" x14ac:dyDescent="0.25">
      <c r="A19659" t="str">
        <f>HYPERLINK("https://www.773grp.com/globalSearch/TLC32044EFN/page-1", "TLC32044EFN")</f>
        <v>TLC32044EFN</v>
      </c>
      <c r="B19659" s="3" t="s">
        <v>116</v>
      </c>
      <c r="C19659" s="6">
        <v>1890</v>
      </c>
      <c r="D19659" s="7">
        <v>0</v>
      </c>
      <c r="E19659" t="s">
        <v>54</v>
      </c>
    </row>
    <row r="19660" spans="1:5" x14ac:dyDescent="0.25">
      <c r="A19660" t="str">
        <f>HYPERLINK("https://www.773grp.com/globalSearch/TLC32044IFK/page-1", "TLC32044IFK")</f>
        <v>TLC32044IFK</v>
      </c>
      <c r="B19660" s="3" t="s">
        <v>116</v>
      </c>
      <c r="C19660" s="6">
        <v>411</v>
      </c>
      <c r="D19660" s="7">
        <v>0</v>
      </c>
      <c r="E19660" t="s">
        <v>54</v>
      </c>
    </row>
    <row r="19661" spans="1:5" x14ac:dyDescent="0.25">
      <c r="A19661" t="str">
        <f>HYPERLINK("https://www.773grp.com/globalSearch/TLC32044IN/page-1", "TLC32044IN")</f>
        <v>TLC32044IN</v>
      </c>
      <c r="B19661" s="3" t="s">
        <v>116</v>
      </c>
      <c r="C19661" s="6">
        <v>664</v>
      </c>
      <c r="D19661" s="7">
        <v>0</v>
      </c>
      <c r="E19661" t="s">
        <v>54</v>
      </c>
    </row>
    <row r="19662" spans="1:5" x14ac:dyDescent="0.25">
      <c r="A19662" t="str">
        <f>HYPERLINK("https://www.773grp.com/globalSearch/UA733M-BIA/page-1", "UA733M-BIA")</f>
        <v>UA733M-BIA</v>
      </c>
      <c r="B19662" s="3" t="s">
        <v>116</v>
      </c>
      <c r="C19662" s="6">
        <v>539</v>
      </c>
      <c r="D19662" s="7">
        <v>0</v>
      </c>
    </row>
    <row r="19663" spans="1:5" x14ac:dyDescent="0.25">
      <c r="A19663" t="str">
        <f>HYPERLINK("https://www.773grp.com/globalSearch/UA78M05MJG-B/page-1", "UA78M05MJG-B")</f>
        <v>UA78M05MJG-B</v>
      </c>
      <c r="B19663" s="3" t="s">
        <v>116</v>
      </c>
      <c r="C19663" s="6">
        <v>1653</v>
      </c>
      <c r="D19663" s="7">
        <v>0</v>
      </c>
    </row>
    <row r="19664" spans="1:5" x14ac:dyDescent="0.25">
      <c r="A19664" t="str">
        <f>HYPERLINK("https://www.773grp.com/globalSearch/UC2633N-G/page-1", "UC2633N-G")</f>
        <v>UC2633N-G</v>
      </c>
      <c r="B19664" s="3" t="s">
        <v>116</v>
      </c>
      <c r="C19664" s="6">
        <v>103</v>
      </c>
      <c r="D19664" s="7">
        <v>0</v>
      </c>
    </row>
    <row r="19665" spans="1:5" x14ac:dyDescent="0.25">
      <c r="A19665" t="str">
        <f>HYPERLINK("https://www.773grp.com/globalSearch/TE505S16-40LC/page-1", "TE505S16-40LC")</f>
        <v>TE505S16-40LC</v>
      </c>
      <c r="B19665" s="3" t="s">
        <v>116</v>
      </c>
      <c r="C19665" s="6">
        <v>80</v>
      </c>
      <c r="D19665" s="7">
        <v>0</v>
      </c>
    </row>
    <row r="19666" spans="1:5" x14ac:dyDescent="0.25">
      <c r="A19666" t="str">
        <f>HYPERLINK("https://www.773grp.com/globalSearch/TE505S16-40QC/page-1", "TE505S16-40QC")</f>
        <v>TE505S16-40QC</v>
      </c>
      <c r="B19666" s="3" t="s">
        <v>116</v>
      </c>
      <c r="C19666" s="6">
        <v>707</v>
      </c>
      <c r="D19666" s="7">
        <v>0</v>
      </c>
    </row>
    <row r="19667" spans="1:5" x14ac:dyDescent="0.25">
      <c r="A19667" t="str">
        <f>HYPERLINK("https://www.773grp.com/globalSearch/TE505S16-40QI/page-1", "TE505S16-40QI")</f>
        <v>TE505S16-40QI</v>
      </c>
      <c r="B19667" s="3" t="s">
        <v>116</v>
      </c>
      <c r="C19667" s="6">
        <v>2045</v>
      </c>
      <c r="D19667" s="7">
        <v>0</v>
      </c>
    </row>
    <row r="19668" spans="1:5" x14ac:dyDescent="0.25">
      <c r="A19668" t="str">
        <f>HYPERLINK("https://www.773grp.com/globalSearch/TE505S16-40QI-G/page-1", "TE505S16-40QI-G")</f>
        <v>TE505S16-40QI-G</v>
      </c>
      <c r="B19668" s="3" t="s">
        <v>116</v>
      </c>
      <c r="C19668" s="6">
        <v>4622</v>
      </c>
      <c r="D19668" s="7">
        <v>0</v>
      </c>
    </row>
    <row r="19669" spans="1:5" x14ac:dyDescent="0.25">
      <c r="A19669" t="str">
        <f>HYPERLINK("https://www.773grp.com/globalSearch/DM74S40N/page-1", "DM74S40N")</f>
        <v>DM74S40N</v>
      </c>
      <c r="B19669" s="3" t="s">
        <v>116</v>
      </c>
      <c r="C19669" s="6">
        <v>7082</v>
      </c>
      <c r="D19669" s="7">
        <v>1.79</v>
      </c>
      <c r="E19669" t="s">
        <v>27</v>
      </c>
    </row>
    <row r="19670" spans="1:5" x14ac:dyDescent="0.25">
      <c r="A19670" t="str">
        <f>HYPERLINK("https://www.773grp.com/globalSearch/CA3080AE/page-1", "CA3080AE")</f>
        <v>CA3080AE</v>
      </c>
      <c r="B19670" s="3" t="s">
        <v>116</v>
      </c>
      <c r="C19670" s="6">
        <v>10215</v>
      </c>
      <c r="D19670" s="7">
        <v>4.43</v>
      </c>
      <c r="E19670" t="s">
        <v>10</v>
      </c>
    </row>
    <row r="19671" spans="1:5" x14ac:dyDescent="0.25">
      <c r="A19671" t="str">
        <f>HYPERLINK("https://www.773grp.com/globalSearch/CA3080M/page-1", "CA3080M")</f>
        <v>CA3080M</v>
      </c>
      <c r="B19671" s="3" t="s">
        <v>116</v>
      </c>
      <c r="C19671" s="6">
        <v>23484</v>
      </c>
      <c r="D19671" s="7">
        <v>4.74</v>
      </c>
      <c r="E19671" t="s">
        <v>10</v>
      </c>
    </row>
    <row r="19672" spans="1:5" x14ac:dyDescent="0.25">
      <c r="A19672" t="str">
        <f>HYPERLINK("https://www.773grp.com/globalSearch/74S22PC/page-1", "74S22PC")</f>
        <v>74S22PC</v>
      </c>
      <c r="B19672" s="3" t="s">
        <v>116</v>
      </c>
      <c r="C19672" s="6">
        <v>1278</v>
      </c>
      <c r="D19672" s="7">
        <v>4.91</v>
      </c>
    </row>
    <row r="19673" spans="1:5" x14ac:dyDescent="0.25">
      <c r="A19673" t="str">
        <f>HYPERLINK("https://www.773grp.com/globalSearch/CA3080AE-G/page-1", "CA3080AE-G")</f>
        <v>CA3080AE-G</v>
      </c>
      <c r="B19673" s="3" t="s">
        <v>116</v>
      </c>
      <c r="C19673" s="6">
        <v>6701</v>
      </c>
      <c r="D19673" s="7">
        <v>4.91</v>
      </c>
    </row>
    <row r="19674" spans="1:5" x14ac:dyDescent="0.25">
      <c r="A19674" t="str">
        <f>HYPERLINK("https://www.773grp.com/globalSearch/7412N/page-1", "7412N")</f>
        <v>7412N</v>
      </c>
      <c r="B19674" s="3" t="s">
        <v>116</v>
      </c>
      <c r="C19674" s="6">
        <v>934</v>
      </c>
      <c r="D19674" s="7">
        <v>5.05</v>
      </c>
      <c r="E19674" t="s">
        <v>27</v>
      </c>
    </row>
    <row r="19675" spans="1:5" x14ac:dyDescent="0.25">
      <c r="A19675" t="str">
        <f>HYPERLINK("https://www.773grp.com/globalSearch/CA3080AM-G/page-1", "CA3080AM-G")</f>
        <v>CA3080AM-G</v>
      </c>
      <c r="B19675" s="3" t="s">
        <v>116</v>
      </c>
      <c r="C19675" s="6">
        <v>8408</v>
      </c>
      <c r="D19675" s="7">
        <v>5.16</v>
      </c>
    </row>
    <row r="19676" spans="1:5" x14ac:dyDescent="0.25">
      <c r="A19676" t="str">
        <f>HYPERLINK("https://www.773grp.com/globalSearch/MC10116FNR2/page-1", "MC10116FNR2")</f>
        <v>MC10116FNR2</v>
      </c>
      <c r="B19676" s="3" t="s">
        <v>116</v>
      </c>
      <c r="C19676" s="6">
        <v>8946</v>
      </c>
      <c r="D19676" s="7">
        <v>5.73</v>
      </c>
      <c r="E19676" t="s">
        <v>17</v>
      </c>
    </row>
    <row r="19677" spans="1:5" x14ac:dyDescent="0.25">
      <c r="A19677" t="str">
        <f>HYPERLINK("https://www.773grp.com/globalSearch/CA3080M-G/page-1", "CA3080M-G")</f>
        <v>CA3080M-G</v>
      </c>
      <c r="B19677" s="3" t="s">
        <v>116</v>
      </c>
      <c r="C19677" s="6">
        <v>9087</v>
      </c>
      <c r="D19677" s="7">
        <v>5.78</v>
      </c>
    </row>
    <row r="19678" spans="1:5" x14ac:dyDescent="0.25">
      <c r="A19678" t="str">
        <f>HYPERLINK("https://www.773grp.com/globalSearch/TL510CP/page-1", "TL510CP")</f>
        <v>TL510CP</v>
      </c>
      <c r="B19678" s="3" t="s">
        <v>116</v>
      </c>
      <c r="C19678" s="6">
        <v>114</v>
      </c>
      <c r="D19678" s="7">
        <v>7.44</v>
      </c>
    </row>
    <row r="19679" spans="1:5" x14ac:dyDescent="0.25">
      <c r="A19679" t="str">
        <f>HYPERLINK("https://www.773grp.com/globalSearch/LM3080N/page-1", "LM3080N")</f>
        <v>LM3080N</v>
      </c>
      <c r="B19679" s="3" t="s">
        <v>116</v>
      </c>
      <c r="C19679" s="6">
        <v>50495</v>
      </c>
      <c r="D19679" s="7">
        <v>7.44</v>
      </c>
      <c r="E19679" t="s">
        <v>10</v>
      </c>
    </row>
    <row r="19680" spans="1:5" x14ac:dyDescent="0.25">
      <c r="A19680" t="str">
        <f>HYPERLINK("https://www.773grp.com/globalSearch/74ACT11175DW/page-1", "74ACT11175DW")</f>
        <v>74ACT11175DW</v>
      </c>
      <c r="B19680" s="3" t="s">
        <v>116</v>
      </c>
      <c r="C19680" s="6">
        <v>2498</v>
      </c>
      <c r="D19680" s="7">
        <v>8.1999999999999993</v>
      </c>
      <c r="E19680" t="s">
        <v>31</v>
      </c>
    </row>
    <row r="19681" spans="1:5" x14ac:dyDescent="0.25">
      <c r="A19681" t="str">
        <f>HYPERLINK("https://www.773grp.com/globalSearch/74AC521SC  REEL/page-1", "74AC521SC  REEL")</f>
        <v>74AC521SC  REEL</v>
      </c>
      <c r="B19681" s="3" t="s">
        <v>116</v>
      </c>
      <c r="C19681" s="6">
        <v>22000</v>
      </c>
      <c r="D19681" s="7">
        <v>9.73</v>
      </c>
    </row>
    <row r="19682" spans="1:5" x14ac:dyDescent="0.25">
      <c r="A19682" t="str">
        <f>HYPERLINK("https://www.773grp.com/globalSearch/74178PC/page-1", "74178PC")</f>
        <v>74178PC</v>
      </c>
      <c r="B19682" s="3" t="s">
        <v>116</v>
      </c>
      <c r="C19682" s="6">
        <v>430</v>
      </c>
      <c r="D19682" s="7">
        <v>9.9600000000000009</v>
      </c>
      <c r="E19682" t="s">
        <v>28</v>
      </c>
    </row>
    <row r="19683" spans="1:5" x14ac:dyDescent="0.25">
      <c r="A19683" t="str">
        <f>HYPERLINK("https://www.773grp.com/globalSearch/74ACTQ245SCX-G  REEL/page-1", "74ACTQ245SCX-G  REEL")</f>
        <v>74ACTQ245SCX-G  REEL</v>
      </c>
      <c r="B19683" s="3" t="s">
        <v>116</v>
      </c>
      <c r="C19683" s="6">
        <v>18160</v>
      </c>
      <c r="D19683" s="7">
        <v>10.06</v>
      </c>
    </row>
    <row r="19684" spans="1:5" x14ac:dyDescent="0.25">
      <c r="A19684" t="str">
        <f>HYPERLINK("https://www.773grp.com/globalSearch/ULN2429A/page-1", "ULN2429A")</f>
        <v>ULN2429A</v>
      </c>
      <c r="B19684" s="3" t="s">
        <v>116</v>
      </c>
      <c r="C19684" s="6">
        <v>5401</v>
      </c>
      <c r="D19684" s="7">
        <v>11.99</v>
      </c>
      <c r="E19684" t="s">
        <v>36</v>
      </c>
    </row>
    <row r="19685" spans="1:5" x14ac:dyDescent="0.25">
      <c r="A19685" t="str">
        <f>HYPERLINK("https://www.773grp.com/globalSearch/74F552SC/page-1", "74F552SC")</f>
        <v>74F552SC</v>
      </c>
      <c r="B19685" s="3" t="s">
        <v>116</v>
      </c>
      <c r="C19685" s="6">
        <v>2391</v>
      </c>
      <c r="D19685" s="7">
        <v>12.48</v>
      </c>
      <c r="E19685" t="s">
        <v>11</v>
      </c>
    </row>
    <row r="19686" spans="1:5" x14ac:dyDescent="0.25">
      <c r="A19686" t="str">
        <f>HYPERLINK("https://www.773grp.com/globalSearch/74141PC/page-1", "74141PC")</f>
        <v>74141PC</v>
      </c>
      <c r="B19686" s="3" t="s">
        <v>116</v>
      </c>
      <c r="C19686" s="6">
        <v>1503</v>
      </c>
      <c r="D19686" s="7">
        <v>12.48</v>
      </c>
    </row>
    <row r="19687" spans="1:5" x14ac:dyDescent="0.25">
      <c r="A19687" t="str">
        <f>HYPERLINK("https://www.773grp.com/globalSearch/74F353D/page-1", "74F353D")</f>
        <v>74F353D</v>
      </c>
      <c r="B19687" s="3" t="s">
        <v>116</v>
      </c>
      <c r="C19687" s="6">
        <v>3013</v>
      </c>
      <c r="D19687" s="7">
        <v>13.11</v>
      </c>
      <c r="E19687" t="s">
        <v>16</v>
      </c>
    </row>
    <row r="19688" spans="1:5" x14ac:dyDescent="0.25">
      <c r="A19688" t="str">
        <f>HYPERLINK("https://www.773grp.com/globalSearch/IN80C188-12/page-1", "IN80C188-12")</f>
        <v>IN80C188-12</v>
      </c>
      <c r="B19688" s="3" t="s">
        <v>116</v>
      </c>
      <c r="C19688" s="6">
        <v>910</v>
      </c>
      <c r="D19688" s="7">
        <v>13.35</v>
      </c>
    </row>
    <row r="19689" spans="1:5" x14ac:dyDescent="0.25">
      <c r="A19689" t="str">
        <f>HYPERLINK("https://www.773grp.com/globalSearch/DM8556N/page-1", "DM8556N")</f>
        <v>DM8556N</v>
      </c>
      <c r="B19689" s="3" t="s">
        <v>116</v>
      </c>
      <c r="C19689" s="6">
        <v>156</v>
      </c>
      <c r="D19689" s="7">
        <v>13.88</v>
      </c>
      <c r="E19689" t="s">
        <v>22</v>
      </c>
    </row>
    <row r="19690" spans="1:5" x14ac:dyDescent="0.25">
      <c r="A19690" t="str">
        <f>HYPERLINK("https://www.773grp.com/globalSearch/8T26APC/page-1", "8T26APC")</f>
        <v>8T26APC</v>
      </c>
      <c r="B19690" s="3" t="s">
        <v>116</v>
      </c>
      <c r="C19690" s="6">
        <v>562</v>
      </c>
      <c r="D19690" s="7">
        <v>13.98</v>
      </c>
    </row>
    <row r="19691" spans="1:5" x14ac:dyDescent="0.25">
      <c r="A19691" t="str">
        <f>HYPERLINK("https://www.773grp.com/globalSearch/N80C188-25-G/page-1", "N80C188-25-G")</f>
        <v>N80C188-25-G</v>
      </c>
      <c r="B19691" s="3" t="s">
        <v>116</v>
      </c>
      <c r="C19691" s="6">
        <v>97</v>
      </c>
      <c r="D19691" s="7">
        <v>14.41</v>
      </c>
    </row>
    <row r="19692" spans="1:5" x14ac:dyDescent="0.25">
      <c r="A19692" t="str">
        <f>HYPERLINK("https://www.773grp.com/globalSearch/N80C186-20 UM/page-1", "N80C186-20 UM")</f>
        <v>N80C186-20 UM</v>
      </c>
      <c r="B19692" s="3" t="s">
        <v>116</v>
      </c>
      <c r="C19692" s="6">
        <v>20</v>
      </c>
      <c r="D19692" s="7">
        <v>14.5</v>
      </c>
    </row>
    <row r="19693" spans="1:5" x14ac:dyDescent="0.25">
      <c r="A19693" t="str">
        <f>HYPERLINK("https://www.773grp.com/globalSearch/74S472AV/page-1", "74S472AV")</f>
        <v>74S472AV</v>
      </c>
      <c r="B19693" s="3" t="s">
        <v>116</v>
      </c>
      <c r="C19693" s="6">
        <v>4823</v>
      </c>
      <c r="D19693" s="7">
        <v>14.5</v>
      </c>
    </row>
    <row r="19694" spans="1:5" x14ac:dyDescent="0.25">
      <c r="A19694" t="str">
        <f>HYPERLINK("https://www.773grp.com/globalSearch/29825AJC/page-1", "29825AJC")</f>
        <v>29825AJC</v>
      </c>
      <c r="B19694" s="3" t="s">
        <v>116</v>
      </c>
      <c r="C19694" s="6">
        <v>2595</v>
      </c>
      <c r="D19694" s="7">
        <v>15</v>
      </c>
    </row>
    <row r="19695" spans="1:5" x14ac:dyDescent="0.25">
      <c r="A19695" t="str">
        <f>HYPERLINK("https://www.773grp.com/globalSearch/DM8136N/page-1", "DM8136N")</f>
        <v>DM8136N</v>
      </c>
      <c r="B19695" s="3" t="s">
        <v>116</v>
      </c>
      <c r="C19695" s="6">
        <v>17</v>
      </c>
      <c r="D19695" s="7">
        <v>15.13</v>
      </c>
    </row>
    <row r="19696" spans="1:5" x14ac:dyDescent="0.25">
      <c r="A19696" t="str">
        <f>HYPERLINK("https://www.773grp.com/globalSearch/DS96174N/page-1", "DS96174N")</f>
        <v>DS96174N</v>
      </c>
      <c r="B19696" s="3" t="s">
        <v>116</v>
      </c>
      <c r="C19696" s="6">
        <v>4965</v>
      </c>
      <c r="D19696" s="7">
        <v>15.13</v>
      </c>
      <c r="E19696" t="s">
        <v>17</v>
      </c>
    </row>
    <row r="19697" spans="1:5" x14ac:dyDescent="0.25">
      <c r="A19697" t="str">
        <f>HYPERLINK("https://www.773grp.com/globalSearch/26S02PC/page-1", "26S02PC")</f>
        <v>26S02PC</v>
      </c>
      <c r="B19697" s="3" t="s">
        <v>116</v>
      </c>
      <c r="C19697" s="6">
        <v>2366</v>
      </c>
      <c r="D19697" s="7">
        <v>15.83</v>
      </c>
    </row>
    <row r="19698" spans="1:5" x14ac:dyDescent="0.25">
      <c r="A19698" t="str">
        <f>HYPERLINK("https://www.773grp.com/globalSearch/MM74C914M/page-1", "MM74C914M")</f>
        <v>MM74C914M</v>
      </c>
      <c r="B19698" s="3" t="s">
        <v>116</v>
      </c>
      <c r="C19698" s="6">
        <v>15115</v>
      </c>
      <c r="D19698" s="7">
        <v>16.39</v>
      </c>
      <c r="E19698" t="s">
        <v>27</v>
      </c>
    </row>
    <row r="19699" spans="1:5" x14ac:dyDescent="0.25">
      <c r="A19699" t="str">
        <f>HYPERLINK("https://www.773grp.com/globalSearch/7423N/page-1", "7423N")</f>
        <v>7423N</v>
      </c>
      <c r="B19699" s="3" t="s">
        <v>116</v>
      </c>
      <c r="C19699" s="6">
        <v>5015</v>
      </c>
      <c r="D19699" s="7">
        <v>16.39</v>
      </c>
      <c r="E19699" t="s">
        <v>27</v>
      </c>
    </row>
    <row r="19700" spans="1:5" x14ac:dyDescent="0.25">
      <c r="A19700" t="str">
        <f>HYPERLINK("https://www.773grp.com/globalSearch/7433N/page-1", "7433N")</f>
        <v>7433N</v>
      </c>
      <c r="B19700" s="3" t="s">
        <v>116</v>
      </c>
      <c r="C19700" s="6">
        <v>920</v>
      </c>
      <c r="D19700" s="7">
        <v>16.39</v>
      </c>
      <c r="E19700" t="s">
        <v>27</v>
      </c>
    </row>
    <row r="19701" spans="1:5" x14ac:dyDescent="0.25">
      <c r="A19701" t="str">
        <f>HYPERLINK("https://www.773grp.com/globalSearch/74S288N/page-1", "74S288N")</f>
        <v>74S288N</v>
      </c>
      <c r="B19701" s="3" t="s">
        <v>116</v>
      </c>
      <c r="C19701" s="6">
        <v>649</v>
      </c>
      <c r="D19701" s="7">
        <v>16.5</v>
      </c>
    </row>
    <row r="19702" spans="1:5" x14ac:dyDescent="0.25">
      <c r="A19702" t="str">
        <f>HYPERLINK("https://www.773grp.com/globalSearch/74ACTQ16543MTD-G/page-1", "74ACTQ16543MTD-G")</f>
        <v>74ACTQ16543MTD-G</v>
      </c>
      <c r="B19702" s="3" t="s">
        <v>116</v>
      </c>
      <c r="C19702" s="6">
        <v>744</v>
      </c>
      <c r="D19702" s="7">
        <v>16.78</v>
      </c>
    </row>
    <row r="19703" spans="1:5" x14ac:dyDescent="0.25">
      <c r="A19703" t="str">
        <f>HYPERLINK("https://www.773grp.com/globalSearch/CD40106BCN-G/page-1", "CD40106BCN-G")</f>
        <v>CD40106BCN-G</v>
      </c>
      <c r="B19703" s="3" t="s">
        <v>116</v>
      </c>
      <c r="C19703" s="6">
        <v>9854</v>
      </c>
      <c r="D19703" s="7">
        <v>16.96</v>
      </c>
    </row>
    <row r="19704" spans="1:5" x14ac:dyDescent="0.25">
      <c r="A19704" t="str">
        <f>HYPERLINK("https://www.773grp.com/globalSearch/93L16DM/page-1", "93L16DM")</f>
        <v>93L16DM</v>
      </c>
      <c r="B19704" s="3" t="s">
        <v>116</v>
      </c>
      <c r="C19704" s="6">
        <v>394</v>
      </c>
      <c r="D19704" s="7">
        <v>17.03</v>
      </c>
    </row>
    <row r="19705" spans="1:5" x14ac:dyDescent="0.25">
      <c r="A19705" t="str">
        <f>HYPERLINK("https://www.773grp.com/globalSearch/74S288AV/page-1", "74S288AV")</f>
        <v>74S288AV</v>
      </c>
      <c r="B19705" s="3" t="s">
        <v>116</v>
      </c>
      <c r="C19705" s="6">
        <v>14255</v>
      </c>
      <c r="D19705" s="7">
        <v>17.03</v>
      </c>
    </row>
    <row r="19706" spans="1:5" x14ac:dyDescent="0.25">
      <c r="A19706" t="str">
        <f>HYPERLINK("https://www.773grp.com/globalSearch/74S288AN/page-1", "74S288AN")</f>
        <v>74S288AN</v>
      </c>
      <c r="B19706" s="3" t="s">
        <v>116</v>
      </c>
      <c r="C19706" s="6">
        <v>3186</v>
      </c>
      <c r="D19706" s="7">
        <v>17.260000000000002</v>
      </c>
    </row>
    <row r="19707" spans="1:5" x14ac:dyDescent="0.25">
      <c r="A19707" t="str">
        <f>HYPERLINK("https://www.773grp.com/globalSearch/74ALS647-1NT/page-1", "74ALS647-1NT")</f>
        <v>74ALS647-1NT</v>
      </c>
      <c r="B19707" s="3" t="s">
        <v>116</v>
      </c>
      <c r="C19707" s="6">
        <v>727</v>
      </c>
      <c r="D19707" s="7">
        <v>17.510000000000002</v>
      </c>
    </row>
    <row r="19708" spans="1:5" x14ac:dyDescent="0.25">
      <c r="A19708" t="str">
        <f>HYPERLINK("https://www.773grp.com/globalSearch/74AS842DWR/page-1", "74AS842DWR")</f>
        <v>74AS842DWR</v>
      </c>
      <c r="B19708" s="3" t="s">
        <v>116</v>
      </c>
      <c r="C19708" s="6">
        <v>1694</v>
      </c>
      <c r="D19708" s="7">
        <v>17.510000000000002</v>
      </c>
    </row>
    <row r="19709" spans="1:5" x14ac:dyDescent="0.25">
      <c r="A19709" t="str">
        <f>HYPERLINK("https://www.773grp.com/globalSearch/TL060ID/page-1", "TL060ID")</f>
        <v>TL060ID</v>
      </c>
      <c r="B19709" s="3" t="s">
        <v>116</v>
      </c>
      <c r="C19709" s="6">
        <v>2739</v>
      </c>
      <c r="D19709" s="7">
        <v>17.510000000000002</v>
      </c>
      <c r="E19709" t="s">
        <v>10</v>
      </c>
    </row>
    <row r="19710" spans="1:5" x14ac:dyDescent="0.25">
      <c r="A19710" t="str">
        <f>HYPERLINK("https://www.773grp.com/globalSearch/25LS2538PC/page-1", "25LS2538PC")</f>
        <v>25LS2538PC</v>
      </c>
      <c r="B19710" s="3" t="s">
        <v>116</v>
      </c>
      <c r="C19710" s="6">
        <v>5314</v>
      </c>
      <c r="D19710" s="7">
        <v>17.600000000000001</v>
      </c>
    </row>
    <row r="19711" spans="1:5" x14ac:dyDescent="0.25">
      <c r="A19711" t="str">
        <f>HYPERLINK("https://www.773grp.com/globalSearch/DM74LS533N/page-1", "DM74LS533N")</f>
        <v>DM74LS533N</v>
      </c>
      <c r="B19711" s="3" t="s">
        <v>116</v>
      </c>
      <c r="C19711" s="6">
        <v>4798</v>
      </c>
      <c r="D19711" s="7">
        <v>17.649999999999999</v>
      </c>
      <c r="E19711" t="s">
        <v>11</v>
      </c>
    </row>
    <row r="19712" spans="1:5" x14ac:dyDescent="0.25">
      <c r="A19712" t="str">
        <f>HYPERLINK("https://www.773grp.com/globalSearch/25S10PC/page-1", "25S10PC")</f>
        <v>25S10PC</v>
      </c>
      <c r="B19712" s="3" t="s">
        <v>116</v>
      </c>
      <c r="C19712" s="6">
        <v>5755</v>
      </c>
      <c r="D19712" s="7">
        <v>17.84</v>
      </c>
    </row>
    <row r="19713" spans="1:5" x14ac:dyDescent="0.25">
      <c r="A19713" t="str">
        <f>HYPERLINK("https://www.773grp.com/globalSearch/74AS870NT/page-1", "74AS870NT")</f>
        <v>74AS870NT</v>
      </c>
      <c r="B19713" s="3" t="s">
        <v>116</v>
      </c>
      <c r="C19713" s="6">
        <v>213</v>
      </c>
      <c r="D19713" s="7">
        <v>18.29</v>
      </c>
    </row>
    <row r="19714" spans="1:5" x14ac:dyDescent="0.25">
      <c r="A19714" t="str">
        <f>HYPERLINK("https://www.773grp.com/globalSearch/ML4875CS-3/page-1", "ML4875CS-3")</f>
        <v>ML4875CS-3</v>
      </c>
      <c r="B19714" s="3" t="s">
        <v>116</v>
      </c>
      <c r="C19714" s="6">
        <v>1284</v>
      </c>
      <c r="D19714" s="7">
        <v>18.899999999999999</v>
      </c>
      <c r="E19714" t="s">
        <v>5</v>
      </c>
    </row>
    <row r="19715" spans="1:5" x14ac:dyDescent="0.25">
      <c r="A19715" t="str">
        <f>HYPERLINK("https://www.773grp.com/globalSearch/ML4875CS-T/page-1", "ML4875CS-T")</f>
        <v>ML4875CS-T</v>
      </c>
      <c r="B19715" s="3" t="s">
        <v>116</v>
      </c>
      <c r="C19715" s="6">
        <v>153</v>
      </c>
      <c r="D19715" s="7">
        <v>18.899999999999999</v>
      </c>
      <c r="E19715" t="s">
        <v>5</v>
      </c>
    </row>
    <row r="19716" spans="1:5" x14ac:dyDescent="0.25">
      <c r="A19716" t="str">
        <f>HYPERLINK("https://www.773grp.com/globalSearch/CA3078E/page-1", "CA3078E")</f>
        <v>CA3078E</v>
      </c>
      <c r="B19716" s="3" t="s">
        <v>116</v>
      </c>
      <c r="C19716" s="6">
        <v>9933</v>
      </c>
      <c r="D19716" s="7">
        <v>18.899999999999999</v>
      </c>
      <c r="E19716" t="s">
        <v>10</v>
      </c>
    </row>
    <row r="19717" spans="1:5" x14ac:dyDescent="0.25">
      <c r="A19717" t="str">
        <f>HYPERLINK("https://www.773grp.com/globalSearch/74LS12N/page-1", "74LS12N")</f>
        <v>74LS12N</v>
      </c>
      <c r="B19717" s="3" t="s">
        <v>116</v>
      </c>
      <c r="C19717" s="6">
        <v>13073</v>
      </c>
      <c r="D19717" s="7">
        <v>19.29</v>
      </c>
      <c r="E19717" t="s">
        <v>27</v>
      </c>
    </row>
    <row r="19718" spans="1:5" x14ac:dyDescent="0.25">
      <c r="A19718" t="str">
        <f>HYPERLINK("https://www.773grp.com/globalSearch/74AS242N/page-1", "74AS242N")</f>
        <v>74AS242N</v>
      </c>
      <c r="B19718" s="3" t="s">
        <v>116</v>
      </c>
      <c r="C19718" s="6">
        <v>1647</v>
      </c>
      <c r="D19718" s="7">
        <v>19.510000000000002</v>
      </c>
    </row>
    <row r="19719" spans="1:5" x14ac:dyDescent="0.25">
      <c r="A19719" t="str">
        <f>HYPERLINK("https://www.773grp.com/globalSearch/CA3078AE/page-1", "CA3078AE")</f>
        <v>CA3078AE</v>
      </c>
      <c r="B19719" s="3" t="s">
        <v>116</v>
      </c>
      <c r="C19719" s="6">
        <v>7927</v>
      </c>
      <c r="D19719" s="7">
        <v>19.54</v>
      </c>
      <c r="E19719" t="s">
        <v>10</v>
      </c>
    </row>
    <row r="19720" spans="1:5" x14ac:dyDescent="0.25">
      <c r="A19720" t="str">
        <f>HYPERLINK("https://www.773grp.com/globalSearch/LMX2325TMX/page-1", "LMX2325TMX")</f>
        <v>LMX2325TMX</v>
      </c>
      <c r="B19720" s="3" t="s">
        <v>116</v>
      </c>
      <c r="C19720" s="6">
        <v>905</v>
      </c>
      <c r="D19720" s="7">
        <v>20</v>
      </c>
      <c r="E19720" t="s">
        <v>34</v>
      </c>
    </row>
    <row r="19721" spans="1:5" x14ac:dyDescent="0.25">
      <c r="A19721" t="str">
        <f>HYPERLINK("https://www.773grp.com/globalSearch/27LS00PC  UT/page-1", "27LS00PC  UT")</f>
        <v>27LS00PC  UT</v>
      </c>
      <c r="B19721" s="3" t="s">
        <v>116</v>
      </c>
      <c r="C19721" s="6">
        <v>51</v>
      </c>
      <c r="D19721" s="7">
        <v>20.03</v>
      </c>
    </row>
    <row r="19722" spans="1:5" x14ac:dyDescent="0.25">
      <c r="A19722" t="str">
        <f>HYPERLINK("https://www.773grp.com/globalSearch/27LS00PC/page-1", "27LS00PC")</f>
        <v>27LS00PC</v>
      </c>
      <c r="B19722" s="3" t="s">
        <v>116</v>
      </c>
      <c r="C19722" s="6">
        <v>93</v>
      </c>
      <c r="D19722" s="7">
        <v>20.03</v>
      </c>
    </row>
    <row r="19723" spans="1:5" x14ac:dyDescent="0.25">
      <c r="A19723" t="str">
        <f>HYPERLINK("https://www.773grp.com/globalSearch/27S21PC/page-1", "27S21PC")</f>
        <v>27S21PC</v>
      </c>
      <c r="B19723" s="3" t="s">
        <v>116</v>
      </c>
      <c r="C19723" s="6">
        <v>3338</v>
      </c>
      <c r="D19723" s="7">
        <v>20.03</v>
      </c>
    </row>
    <row r="19724" spans="1:5" x14ac:dyDescent="0.25">
      <c r="A19724" t="str">
        <f>HYPERLINK("https://www.773grp.com/globalSearch/DM8160N/page-1", "DM8160N")</f>
        <v>DM8160N</v>
      </c>
      <c r="B19724" s="3" t="s">
        <v>116</v>
      </c>
      <c r="C19724" s="6">
        <v>1354</v>
      </c>
      <c r="D19724" s="7">
        <v>20.03</v>
      </c>
      <c r="E19724" t="s">
        <v>38</v>
      </c>
    </row>
    <row r="19725" spans="1:5" x14ac:dyDescent="0.25">
      <c r="A19725" t="str">
        <f>HYPERLINK("https://www.773grp.com/globalSearch/2908PC/page-1", "2908PC")</f>
        <v>2908PC</v>
      </c>
      <c r="B19725" s="3" t="s">
        <v>116</v>
      </c>
      <c r="C19725" s="6">
        <v>5584</v>
      </c>
      <c r="D19725" s="7">
        <v>20.11</v>
      </c>
    </row>
    <row r="19726" spans="1:5" x14ac:dyDescent="0.25">
      <c r="A19726" t="str">
        <f>HYPERLINK("https://www.773grp.com/globalSearch/26LS31JC/page-1", "26LS31JC")</f>
        <v>26LS31JC</v>
      </c>
      <c r="B19726" s="3" t="s">
        <v>116</v>
      </c>
      <c r="C19726" s="6">
        <v>6377</v>
      </c>
      <c r="D19726" s="7">
        <v>20.16</v>
      </c>
    </row>
    <row r="19727" spans="1:5" x14ac:dyDescent="0.25">
      <c r="A19727" t="str">
        <f>HYPERLINK("https://www.773grp.com/globalSearch/26LS31PC/page-1", "26LS31PC")</f>
        <v>26LS31PC</v>
      </c>
      <c r="B19727" s="3" t="s">
        <v>116</v>
      </c>
      <c r="C19727" s="6">
        <v>4957</v>
      </c>
      <c r="D19727" s="7">
        <v>20.16</v>
      </c>
    </row>
    <row r="19728" spans="1:5" x14ac:dyDescent="0.25">
      <c r="A19728" t="str">
        <f>HYPERLINK("https://www.773grp.com/globalSearch/26LS33PC/page-1", "26LS33PC")</f>
        <v>26LS33PC</v>
      </c>
      <c r="B19728" s="3" t="s">
        <v>116</v>
      </c>
      <c r="C19728" s="6">
        <v>3123</v>
      </c>
      <c r="D19728" s="7">
        <v>20.16</v>
      </c>
    </row>
    <row r="19729" spans="1:5" x14ac:dyDescent="0.25">
      <c r="A19729" t="str">
        <f>HYPERLINK("https://www.773grp.com/globalSearch/27S25AJC/page-1", "27S25AJC")</f>
        <v>27S25AJC</v>
      </c>
      <c r="B19729" s="3" t="s">
        <v>116</v>
      </c>
      <c r="C19729" s="6">
        <v>5307</v>
      </c>
      <c r="D19729" s="7">
        <v>20.16</v>
      </c>
    </row>
    <row r="19730" spans="1:5" x14ac:dyDescent="0.25">
      <c r="A19730" t="str">
        <f>HYPERLINK("https://www.773grp.com/globalSearch/DM9368N/page-1", "DM9368N")</f>
        <v>DM9368N</v>
      </c>
      <c r="B19730" s="3" t="s">
        <v>116</v>
      </c>
      <c r="C19730" s="6">
        <v>821</v>
      </c>
      <c r="D19730" s="7">
        <v>20.16</v>
      </c>
      <c r="E19730" t="s">
        <v>32</v>
      </c>
    </row>
    <row r="19731" spans="1:5" x14ac:dyDescent="0.25">
      <c r="A19731" t="str">
        <f>HYPERLINK("https://www.773grp.com/globalSearch/CA3078AM/page-1", "CA3078AM")</f>
        <v>CA3078AM</v>
      </c>
      <c r="B19731" s="3" t="s">
        <v>116</v>
      </c>
      <c r="C19731" s="6">
        <v>1785</v>
      </c>
      <c r="D19731" s="7">
        <v>20.16</v>
      </c>
      <c r="E19731" t="s">
        <v>10</v>
      </c>
    </row>
    <row r="19732" spans="1:5" x14ac:dyDescent="0.25">
      <c r="A19732" t="str">
        <f>HYPERLINK("https://www.773grp.com/globalSearch/P8243/page-1", "P8243")</f>
        <v>P8243</v>
      </c>
      <c r="B19732" s="3" t="s">
        <v>116</v>
      </c>
      <c r="C19732" s="6">
        <v>14080</v>
      </c>
      <c r="D19732" s="7">
        <v>20.16</v>
      </c>
      <c r="E19732" t="s">
        <v>71</v>
      </c>
    </row>
    <row r="19733" spans="1:5" x14ac:dyDescent="0.25">
      <c r="A19733" t="str">
        <f>HYPERLINK("https://www.773grp.com/globalSearch/P8259A-2/page-1", "P8259A-2")</f>
        <v>P8259A-2</v>
      </c>
      <c r="B19733" s="3" t="s">
        <v>116</v>
      </c>
      <c r="C19733" s="6">
        <v>20352</v>
      </c>
      <c r="D19733" s="7">
        <v>20.16</v>
      </c>
      <c r="E19733" t="s">
        <v>102</v>
      </c>
    </row>
    <row r="19734" spans="1:5" x14ac:dyDescent="0.25">
      <c r="A19734" t="str">
        <f>HYPERLINK("https://www.773grp.com/globalSearch/25LS2519PC/page-1", "25LS2519PC")</f>
        <v>25LS2519PC</v>
      </c>
      <c r="B19734" s="3" t="s">
        <v>116</v>
      </c>
      <c r="C19734" s="6">
        <v>4876</v>
      </c>
      <c r="D19734" s="7">
        <v>20.81</v>
      </c>
    </row>
    <row r="19735" spans="1:5" x14ac:dyDescent="0.25">
      <c r="A19735" t="str">
        <f>HYPERLINK("https://www.773grp.com/globalSearch/74S65N/page-1", "74S65N")</f>
        <v>74S65N</v>
      </c>
      <c r="B19735" s="3" t="s">
        <v>116</v>
      </c>
      <c r="C19735" s="6">
        <v>689</v>
      </c>
      <c r="D19735" s="7">
        <v>20.81</v>
      </c>
    </row>
    <row r="19736" spans="1:5" x14ac:dyDescent="0.25">
      <c r="A19736" t="str">
        <f>HYPERLINK("https://www.773grp.com/globalSearch/CA3081M-G/page-1", "CA3081M-G")</f>
        <v>CA3081M-G</v>
      </c>
      <c r="B19736" s="3" t="s">
        <v>116</v>
      </c>
      <c r="C19736" s="6">
        <v>893</v>
      </c>
      <c r="D19736" s="7">
        <v>21.16</v>
      </c>
    </row>
    <row r="19737" spans="1:5" x14ac:dyDescent="0.25">
      <c r="A19737" t="str">
        <f>HYPERLINK("https://www.773grp.com/globalSearch/74F779PC/page-1", "74F779PC")</f>
        <v>74F779PC</v>
      </c>
      <c r="B19737" s="3" t="s">
        <v>116</v>
      </c>
      <c r="C19737" s="6">
        <v>1706</v>
      </c>
      <c r="D19737" s="7">
        <v>21.21</v>
      </c>
    </row>
    <row r="19738" spans="1:5" x14ac:dyDescent="0.25">
      <c r="A19738" t="str">
        <f>HYPERLINK("https://www.773grp.com/globalSearch/26S12APC/page-1", "26S12APC")</f>
        <v>26S12APC</v>
      </c>
      <c r="B19738" s="3" t="s">
        <v>116</v>
      </c>
      <c r="C19738" s="6">
        <v>9931</v>
      </c>
      <c r="D19738" s="7">
        <v>21.35</v>
      </c>
    </row>
    <row r="19739" spans="1:5" x14ac:dyDescent="0.25">
      <c r="A19739" t="str">
        <f>HYPERLINK("https://www.773grp.com/globalSearch/74H101PC/page-1", "74H101PC")</f>
        <v>74H101PC</v>
      </c>
      <c r="B19739" s="3" t="s">
        <v>116</v>
      </c>
      <c r="C19739" s="6">
        <v>1684</v>
      </c>
      <c r="D19739" s="7">
        <v>21.44</v>
      </c>
    </row>
    <row r="19740" spans="1:5" x14ac:dyDescent="0.25">
      <c r="A19740" t="str">
        <f>HYPERLINK("https://www.773grp.com/globalSearch/27S21APC/page-1", "27S21APC")</f>
        <v>27S21APC</v>
      </c>
      <c r="B19740" s="3" t="s">
        <v>116</v>
      </c>
      <c r="C19740" s="6">
        <v>6246</v>
      </c>
      <c r="D19740" s="7">
        <v>21.44</v>
      </c>
    </row>
    <row r="19741" spans="1:5" x14ac:dyDescent="0.25">
      <c r="A19741" t="str">
        <f>HYPERLINK("https://www.773grp.com/globalSearch/PAL16L8-7PC/page-1", "PAL16L8-7PC")</f>
        <v>PAL16L8-7PC</v>
      </c>
      <c r="B19741" s="3" t="s">
        <v>116</v>
      </c>
      <c r="C19741" s="6">
        <v>2050</v>
      </c>
      <c r="D19741" s="7">
        <v>21.55</v>
      </c>
      <c r="E19741" t="s">
        <v>42</v>
      </c>
    </row>
    <row r="19742" spans="1:5" x14ac:dyDescent="0.25">
      <c r="A19742" t="str">
        <f>HYPERLINK("https://www.773grp.com/globalSearch/DM74LS154N/page-1", "DM74LS154N")</f>
        <v>DM74LS154N</v>
      </c>
      <c r="B19742" s="3" t="s">
        <v>116</v>
      </c>
      <c r="C19742" s="6">
        <v>8304</v>
      </c>
      <c r="D19742" s="7">
        <v>22.08</v>
      </c>
      <c r="E19742" t="s">
        <v>32</v>
      </c>
    </row>
    <row r="19743" spans="1:5" x14ac:dyDescent="0.25">
      <c r="A19743" t="str">
        <f>HYPERLINK("https://www.773grp.com/globalSearch/CA3079/page-1", "CA3079")</f>
        <v>CA3079</v>
      </c>
      <c r="B19743" s="3" t="s">
        <v>116</v>
      </c>
      <c r="C19743" s="6">
        <v>8266</v>
      </c>
      <c r="D19743" s="7">
        <v>22.08</v>
      </c>
      <c r="E19743" t="s">
        <v>36</v>
      </c>
    </row>
    <row r="19744" spans="1:5" x14ac:dyDescent="0.25">
      <c r="A19744" t="str">
        <f>HYPERLINK("https://www.773grp.com/globalSearch/DM7411N/page-1", "DM7411N")</f>
        <v>DM7411N</v>
      </c>
      <c r="B19744" s="3" t="s">
        <v>116</v>
      </c>
      <c r="C19744" s="6">
        <v>1353</v>
      </c>
      <c r="D19744" s="7">
        <v>22.08</v>
      </c>
      <c r="E19744" t="s">
        <v>27</v>
      </c>
    </row>
    <row r="19745" spans="1:5" x14ac:dyDescent="0.25">
      <c r="A19745" t="str">
        <f>HYPERLINK("https://www.773grp.com/globalSearch/DM74LS197N/page-1", "DM74LS197N")</f>
        <v>DM74LS197N</v>
      </c>
      <c r="B19745" s="3" t="s">
        <v>116</v>
      </c>
      <c r="C19745" s="6">
        <v>694</v>
      </c>
      <c r="D19745" s="7">
        <v>22.08</v>
      </c>
    </row>
    <row r="19746" spans="1:5" x14ac:dyDescent="0.25">
      <c r="A19746" t="str">
        <f>HYPERLINK("https://www.773grp.com/globalSearch/26LS32JC/page-1", "26LS32JC")</f>
        <v>26LS32JC</v>
      </c>
      <c r="B19746" s="3" t="s">
        <v>116</v>
      </c>
      <c r="C19746" s="6">
        <v>5239</v>
      </c>
      <c r="D19746" s="7">
        <v>22.56</v>
      </c>
    </row>
    <row r="19747" spans="1:5" x14ac:dyDescent="0.25">
      <c r="A19747" t="str">
        <f>HYPERLINK("https://www.773grp.com/globalSearch/26LS32PC/page-1", "26LS32PC")</f>
        <v>26LS32PC</v>
      </c>
      <c r="B19747" s="3" t="s">
        <v>116</v>
      </c>
      <c r="C19747" s="6">
        <v>9934</v>
      </c>
      <c r="D19747" s="7">
        <v>22.56</v>
      </c>
    </row>
    <row r="19748" spans="1:5" x14ac:dyDescent="0.25">
      <c r="A19748" t="str">
        <f>HYPERLINK("https://www.773grp.com/globalSearch/CA3085AE/page-1", "CA3085AE")</f>
        <v>CA3085AE</v>
      </c>
      <c r="B19748" s="3" t="s">
        <v>116</v>
      </c>
      <c r="C19748" s="6">
        <v>4894</v>
      </c>
      <c r="D19748" s="7">
        <v>22.56</v>
      </c>
      <c r="E19748" t="s">
        <v>18</v>
      </c>
    </row>
    <row r="19749" spans="1:5" x14ac:dyDescent="0.25">
      <c r="A19749" t="str">
        <f>HYPERLINK("https://www.773grp.com/globalSearch/74FR16245QC/page-1", "74FR16245QC")</f>
        <v>74FR16245QC</v>
      </c>
      <c r="B19749" s="3" t="s">
        <v>116</v>
      </c>
      <c r="C19749" s="6">
        <v>1491</v>
      </c>
      <c r="D19749" s="7">
        <v>22.58</v>
      </c>
      <c r="E19749" t="s">
        <v>11</v>
      </c>
    </row>
    <row r="19750" spans="1:5" x14ac:dyDescent="0.25">
      <c r="A19750" t="str">
        <f>HYPERLINK("https://www.773grp.com/globalSearch/2946PC/page-1", "2946PC")</f>
        <v>2946PC</v>
      </c>
      <c r="B19750" s="3" t="s">
        <v>116</v>
      </c>
      <c r="C19750" s="6">
        <v>5419</v>
      </c>
      <c r="D19750" s="7">
        <v>22.68</v>
      </c>
    </row>
    <row r="19751" spans="1:5" x14ac:dyDescent="0.25">
      <c r="A19751" t="str">
        <f>HYPERLINK("https://www.773grp.com/globalSearch/P8279/page-1", "P8279")</f>
        <v>P8279</v>
      </c>
      <c r="B19751" s="3" t="s">
        <v>116</v>
      </c>
      <c r="C19751" s="6">
        <v>7393</v>
      </c>
      <c r="D19751" s="7">
        <v>22.68</v>
      </c>
      <c r="E19751" t="s">
        <v>37</v>
      </c>
    </row>
    <row r="19752" spans="1:5" x14ac:dyDescent="0.25">
      <c r="A19752" t="str">
        <f>HYPERLINK("https://www.773grp.com/globalSearch/74HC677NT/page-1", "74HC677NT")</f>
        <v>74HC677NT</v>
      </c>
      <c r="B19752" s="3" t="s">
        <v>116</v>
      </c>
      <c r="C19752" s="6">
        <v>853</v>
      </c>
      <c r="D19752" s="7">
        <v>23.06</v>
      </c>
    </row>
    <row r="19753" spans="1:5" x14ac:dyDescent="0.25">
      <c r="A19753" t="str">
        <f>HYPERLINK("https://www.773grp.com/globalSearch/SN74HC298N/page-1", "SN74HC298N")</f>
        <v>SN74HC298N</v>
      </c>
      <c r="B19753" s="3" t="s">
        <v>116</v>
      </c>
      <c r="C19753" s="6">
        <v>786</v>
      </c>
      <c r="D19753" s="7">
        <v>23.06</v>
      </c>
    </row>
    <row r="19754" spans="1:5" x14ac:dyDescent="0.25">
      <c r="A19754" t="str">
        <f>HYPERLINK("https://www.773grp.com/globalSearch/CA3310M/page-1", "CA3310M")</f>
        <v>CA3310M</v>
      </c>
      <c r="B19754" s="3" t="s">
        <v>116</v>
      </c>
      <c r="C19754" s="6">
        <v>2513</v>
      </c>
      <c r="D19754" s="7">
        <v>23.33</v>
      </c>
      <c r="E19754" t="s">
        <v>35</v>
      </c>
    </row>
    <row r="19755" spans="1:5" x14ac:dyDescent="0.25">
      <c r="A19755" t="str">
        <f>HYPERLINK("https://www.773grp.com/globalSearch/74ALS29809DW/page-1", "74ALS29809DW")</f>
        <v>74ALS29809DW</v>
      </c>
      <c r="B19755" s="3" t="s">
        <v>116</v>
      </c>
      <c r="C19755" s="6">
        <v>839</v>
      </c>
      <c r="D19755" s="7">
        <v>23.48</v>
      </c>
    </row>
    <row r="19756" spans="1:5" x14ac:dyDescent="0.25">
      <c r="A19756" t="str">
        <f>HYPERLINK("https://www.773grp.com/globalSearch/CA3081/page-1", "CA3081")</f>
        <v>CA3081</v>
      </c>
      <c r="B19756" s="3" t="s">
        <v>116</v>
      </c>
      <c r="C19756" s="6">
        <v>4139</v>
      </c>
      <c r="D19756" s="7">
        <v>23.56</v>
      </c>
      <c r="E19756" t="s">
        <v>57</v>
      </c>
    </row>
    <row r="19757" spans="1:5" x14ac:dyDescent="0.25">
      <c r="A19757" t="str">
        <f>HYPERLINK("https://www.773grp.com/globalSearch/CA3082/page-1", "CA3082")</f>
        <v>CA3082</v>
      </c>
      <c r="B19757" s="3" t="s">
        <v>116</v>
      </c>
      <c r="C19757" s="6">
        <v>16528</v>
      </c>
      <c r="D19757" s="7">
        <v>23.56</v>
      </c>
      <c r="E19757" t="s">
        <v>57</v>
      </c>
    </row>
    <row r="19758" spans="1:5" x14ac:dyDescent="0.25">
      <c r="A19758" t="str">
        <f>HYPERLINK("https://www.773grp.com/globalSearch/2907PC/page-1", "2907PC")</f>
        <v>2907PC</v>
      </c>
      <c r="B19758" s="3" t="s">
        <v>116</v>
      </c>
      <c r="C19758" s="6">
        <v>6770</v>
      </c>
      <c r="D19758" s="7">
        <v>23.68</v>
      </c>
    </row>
    <row r="19759" spans="1:5" x14ac:dyDescent="0.25">
      <c r="A19759" t="str">
        <f>HYPERLINK("https://www.773grp.com/globalSearch/CA3089E/page-1", "CA3089E")</f>
        <v>CA3089E</v>
      </c>
      <c r="B19759" s="3" t="s">
        <v>116</v>
      </c>
      <c r="C19759" s="6">
        <v>1700</v>
      </c>
      <c r="D19759" s="7">
        <v>23.81</v>
      </c>
      <c r="E19759" t="s">
        <v>48</v>
      </c>
    </row>
    <row r="19760" spans="1:5" x14ac:dyDescent="0.25">
      <c r="A19760" t="str">
        <f>HYPERLINK("https://www.773grp.com/globalSearch/74ALS646FN/page-1", "74ALS646FN")</f>
        <v>74ALS646FN</v>
      </c>
      <c r="B19760" s="3" t="s">
        <v>116</v>
      </c>
      <c r="C19760" s="6">
        <v>1027</v>
      </c>
      <c r="D19760" s="7">
        <v>23.95</v>
      </c>
    </row>
    <row r="19761" spans="1:5" x14ac:dyDescent="0.25">
      <c r="A19761" t="str">
        <f>HYPERLINK("https://www.773grp.com/globalSearch/74AC11158N/page-1", "74AC11158N")</f>
        <v>74AC11158N</v>
      </c>
      <c r="B19761" s="3" t="s">
        <v>116</v>
      </c>
      <c r="C19761" s="6">
        <v>1025</v>
      </c>
      <c r="D19761" s="7">
        <v>23.95</v>
      </c>
      <c r="E19761" t="s">
        <v>16</v>
      </c>
    </row>
    <row r="19762" spans="1:5" x14ac:dyDescent="0.25">
      <c r="A19762" t="str">
        <f>HYPERLINK("https://www.773grp.com/globalSearch/74LS461ANS/page-1", "74LS461ANS")</f>
        <v>74LS461ANS</v>
      </c>
      <c r="B19762" s="3" t="s">
        <v>116</v>
      </c>
      <c r="C19762" s="6">
        <v>3693</v>
      </c>
      <c r="D19762" s="7">
        <v>24.14</v>
      </c>
    </row>
    <row r="19763" spans="1:5" x14ac:dyDescent="0.25">
      <c r="A19763" t="str">
        <f>HYPERLINK("https://www.773grp.com/globalSearch/74LS491ANS/page-1", "74LS491ANS")</f>
        <v>74LS491ANS</v>
      </c>
      <c r="B19763" s="3" t="s">
        <v>116</v>
      </c>
      <c r="C19763" s="6">
        <v>2957</v>
      </c>
      <c r="D19763" s="7">
        <v>24.14</v>
      </c>
    </row>
    <row r="19764" spans="1:5" x14ac:dyDescent="0.25">
      <c r="A19764" t="str">
        <f>HYPERLINK("https://www.773grp.com/globalSearch/74HC378N/page-1", "74HC378N")</f>
        <v>74HC378N</v>
      </c>
      <c r="B19764" s="3" t="s">
        <v>116</v>
      </c>
      <c r="C19764" s="6">
        <v>1381</v>
      </c>
      <c r="D19764" s="7">
        <v>24.5</v>
      </c>
    </row>
    <row r="19765" spans="1:5" x14ac:dyDescent="0.25">
      <c r="A19765" t="str">
        <f>HYPERLINK("https://www.773grp.com/globalSearch/26LS32SC/page-1", "26LS32SC")</f>
        <v>26LS32SC</v>
      </c>
      <c r="B19765" s="3" t="s">
        <v>116</v>
      </c>
      <c r="C19765" s="6">
        <v>2465</v>
      </c>
      <c r="D19765" s="7">
        <v>24.59</v>
      </c>
    </row>
    <row r="19766" spans="1:5" x14ac:dyDescent="0.25">
      <c r="A19766" t="str">
        <f>HYPERLINK("https://www.773grp.com/globalSearch/27S21AJC/page-1", "27S21AJC")</f>
        <v>27S21AJC</v>
      </c>
      <c r="B19766" s="3" t="s">
        <v>116</v>
      </c>
      <c r="C19766" s="6">
        <v>5142</v>
      </c>
      <c r="D19766" s="7">
        <v>24.59</v>
      </c>
    </row>
    <row r="19767" spans="1:5" x14ac:dyDescent="0.25">
      <c r="A19767" t="str">
        <f>HYPERLINK("https://www.773grp.com/globalSearch/P8254/page-1", "P8254")</f>
        <v>P8254</v>
      </c>
      <c r="B19767" s="3" t="s">
        <v>116</v>
      </c>
      <c r="C19767" s="6">
        <v>2607</v>
      </c>
      <c r="D19767" s="7">
        <v>24.59</v>
      </c>
      <c r="E19767" t="s">
        <v>67</v>
      </c>
    </row>
    <row r="19768" spans="1:5" x14ac:dyDescent="0.25">
      <c r="A19768" t="str">
        <f>HYPERLINK("https://www.773grp.com/globalSearch/74ACT11520DW/page-1", "74ACT11520DW")</f>
        <v>74ACT11520DW</v>
      </c>
      <c r="B19768" s="3" t="s">
        <v>116</v>
      </c>
      <c r="C19768" s="6">
        <v>1051</v>
      </c>
      <c r="D19768" s="7">
        <v>24.59</v>
      </c>
      <c r="E19768" t="s">
        <v>38</v>
      </c>
    </row>
    <row r="19769" spans="1:5" x14ac:dyDescent="0.25">
      <c r="A19769" t="str">
        <f>HYPERLINK("https://www.773grp.com/globalSearch/75150N/page-1", "75150N")</f>
        <v>75150N</v>
      </c>
      <c r="B19769" s="3" t="s">
        <v>116</v>
      </c>
      <c r="C19769" s="6">
        <v>2628</v>
      </c>
      <c r="D19769" s="7">
        <v>24.69</v>
      </c>
    </row>
    <row r="19770" spans="1:5" x14ac:dyDescent="0.25">
      <c r="A19770" t="str">
        <f>HYPERLINK("https://www.773grp.com/globalSearch/ICL8211CPA/page-1", "ICL8211CPA")</f>
        <v>ICL8211CPA</v>
      </c>
      <c r="B19770" s="3" t="s">
        <v>116</v>
      </c>
      <c r="C19770" s="6">
        <v>1972</v>
      </c>
      <c r="D19770" s="7">
        <v>24.69</v>
      </c>
      <c r="E19770" t="s">
        <v>26</v>
      </c>
    </row>
    <row r="19771" spans="1:5" x14ac:dyDescent="0.25">
      <c r="A19771" t="str">
        <f>HYPERLINK("https://www.773grp.com/globalSearch/2947PC/page-1", "2947PC")</f>
        <v>2947PC</v>
      </c>
      <c r="B19771" s="3" t="s">
        <v>116</v>
      </c>
      <c r="C19771" s="6">
        <v>976</v>
      </c>
      <c r="D19771" s="7">
        <v>24.74</v>
      </c>
    </row>
    <row r="19772" spans="1:5" x14ac:dyDescent="0.25">
      <c r="A19772" t="str">
        <f>HYPERLINK("https://www.773grp.com/globalSearch/74LS626N/page-1", "74LS626N")</f>
        <v>74LS626N</v>
      </c>
      <c r="B19772" s="3" t="s">
        <v>116</v>
      </c>
      <c r="C19772" s="6">
        <v>3574</v>
      </c>
      <c r="D19772" s="7">
        <v>24.83</v>
      </c>
    </row>
    <row r="19773" spans="1:5" x14ac:dyDescent="0.25">
      <c r="A19773" t="str">
        <f>HYPERLINK("https://www.773grp.com/globalSearch/ICL7662CBD-0/page-1", "ICL7662CBD-0")</f>
        <v>ICL7662CBD-0</v>
      </c>
      <c r="B19773" s="3" t="s">
        <v>116</v>
      </c>
      <c r="C19773" s="6">
        <v>289</v>
      </c>
      <c r="D19773" s="7">
        <v>24.89</v>
      </c>
      <c r="E19773" t="s">
        <v>5</v>
      </c>
    </row>
    <row r="19774" spans="1:5" x14ac:dyDescent="0.25">
      <c r="A19774" t="str">
        <f>HYPERLINK("https://www.773grp.com/globalSearch/LM4665LDX-G/page-1", "LM4665LDX-G")</f>
        <v>LM4665LDX-G</v>
      </c>
      <c r="B19774" s="3" t="s">
        <v>116</v>
      </c>
      <c r="C19774" s="6">
        <v>616</v>
      </c>
      <c r="D19774" s="7">
        <v>24.94</v>
      </c>
    </row>
    <row r="19775" spans="1:5" x14ac:dyDescent="0.25">
      <c r="A19775" t="str">
        <f>HYPERLINK("https://www.773grp.com/globalSearch/26LS33SC/page-1", "26LS33SC")</f>
        <v>26LS33SC</v>
      </c>
      <c r="B19775" s="3" t="s">
        <v>116</v>
      </c>
      <c r="C19775" s="6">
        <v>3292</v>
      </c>
      <c r="D19775" s="7">
        <v>25.08</v>
      </c>
    </row>
    <row r="19776" spans="1:5" x14ac:dyDescent="0.25">
      <c r="A19776" t="str">
        <f>HYPERLINK("https://www.773grp.com/globalSearch/79865JC/page-1", "79865JC")</f>
        <v>79865JC</v>
      </c>
      <c r="B19776" s="3" t="s">
        <v>116</v>
      </c>
      <c r="C19776" s="6">
        <v>955</v>
      </c>
      <c r="D19776" s="7">
        <v>25.21</v>
      </c>
    </row>
    <row r="19777" spans="1:5" x14ac:dyDescent="0.25">
      <c r="A19777" t="str">
        <f>HYPERLINK("https://www.773grp.com/globalSearch/7992BJC/page-1", "7992BJC")</f>
        <v>7992BJC</v>
      </c>
      <c r="B19777" s="3" t="s">
        <v>116</v>
      </c>
      <c r="C19777" s="6">
        <v>481</v>
      </c>
      <c r="D19777" s="7">
        <v>25.21</v>
      </c>
    </row>
    <row r="19778" spans="1:5" x14ac:dyDescent="0.25">
      <c r="A19778" t="str">
        <f>HYPERLINK("https://www.773grp.com/globalSearch/AM79865JC/page-1", "AM79865JC")</f>
        <v>AM79865JC</v>
      </c>
      <c r="B19778" s="3" t="s">
        <v>116</v>
      </c>
      <c r="C19778" s="6">
        <v>11847</v>
      </c>
      <c r="D19778" s="7">
        <v>25.21</v>
      </c>
      <c r="E19778" t="s">
        <v>55</v>
      </c>
    </row>
    <row r="19779" spans="1:5" x14ac:dyDescent="0.25">
      <c r="A19779" t="str">
        <f>HYPERLINK("https://www.773grp.com/globalSearch/AM7992BJC/page-1", "AM7992BJC")</f>
        <v>AM7992BJC</v>
      </c>
      <c r="B19779" s="3" t="s">
        <v>116</v>
      </c>
      <c r="C19779" s="6">
        <v>10195</v>
      </c>
      <c r="D19779" s="7">
        <v>25.21</v>
      </c>
    </row>
    <row r="19780" spans="1:5" x14ac:dyDescent="0.25">
      <c r="A19780" t="str">
        <f>HYPERLINK("https://www.773grp.com/globalSearch/AM7992BPC/page-1", "AM7992BPC")</f>
        <v>AM7992BPC</v>
      </c>
      <c r="B19780" s="3" t="s">
        <v>116</v>
      </c>
      <c r="C19780" s="6">
        <v>17261</v>
      </c>
      <c r="D19780" s="7">
        <v>25.21</v>
      </c>
    </row>
    <row r="19781" spans="1:5" x14ac:dyDescent="0.25">
      <c r="A19781" t="str">
        <f>HYPERLINK("https://www.773grp.com/globalSearch/P8212/page-1", "P8212")</f>
        <v>P8212</v>
      </c>
      <c r="B19781" s="3" t="s">
        <v>116</v>
      </c>
      <c r="C19781" s="6">
        <v>1008</v>
      </c>
      <c r="D19781" s="7">
        <v>25.21</v>
      </c>
      <c r="E19781" t="s">
        <v>11</v>
      </c>
    </row>
    <row r="19782" spans="1:5" x14ac:dyDescent="0.25">
      <c r="A19782" t="str">
        <f>HYPERLINK("https://www.773grp.com/globalSearch/N8259A-2/page-1", "N8259A-2")</f>
        <v>N8259A-2</v>
      </c>
      <c r="B19782" s="3" t="s">
        <v>116</v>
      </c>
      <c r="C19782" s="6">
        <v>8557</v>
      </c>
      <c r="D19782" s="7">
        <v>25.36</v>
      </c>
      <c r="E19782" t="s">
        <v>102</v>
      </c>
    </row>
    <row r="19783" spans="1:5" x14ac:dyDescent="0.25">
      <c r="A19783" t="str">
        <f>HYPERLINK("https://www.773grp.com/globalSearch/74HC133D-G/page-1", "74HC133D-G")</f>
        <v>74HC133D-G</v>
      </c>
      <c r="B19783" s="3" t="s">
        <v>116</v>
      </c>
      <c r="C19783" s="6">
        <v>1816</v>
      </c>
      <c r="D19783" s="7">
        <v>25.55</v>
      </c>
    </row>
    <row r="19784" spans="1:5" x14ac:dyDescent="0.25">
      <c r="A19784" t="str">
        <f>HYPERLINK("https://www.773grp.com/globalSearch/P82530/page-1", "P82530")</f>
        <v>P82530</v>
      </c>
      <c r="B19784" s="3" t="s">
        <v>116</v>
      </c>
      <c r="C19784" s="6">
        <v>4885</v>
      </c>
      <c r="D19784" s="7">
        <v>25.71</v>
      </c>
      <c r="E19784" t="s">
        <v>59</v>
      </c>
    </row>
    <row r="19785" spans="1:5" x14ac:dyDescent="0.25">
      <c r="A19785" t="str">
        <f>HYPERLINK("https://www.773grp.com/globalSearch/P8253-5/page-1", "P8253-5")</f>
        <v>P8253-5</v>
      </c>
      <c r="B19785" s="3" t="s">
        <v>116</v>
      </c>
      <c r="C19785" s="6">
        <v>731</v>
      </c>
      <c r="D19785" s="7">
        <v>25.71</v>
      </c>
      <c r="E19785" t="s">
        <v>67</v>
      </c>
    </row>
    <row r="19786" spans="1:5" x14ac:dyDescent="0.25">
      <c r="A19786" t="str">
        <f>HYPERLINK("https://www.773grp.com/globalSearch/8T28PC/page-1", "8T28PC")</f>
        <v>8T28PC</v>
      </c>
      <c r="B19786" s="3" t="s">
        <v>116</v>
      </c>
      <c r="C19786" s="6">
        <v>196</v>
      </c>
      <c r="D19786" s="7">
        <v>26.09</v>
      </c>
    </row>
    <row r="19787" spans="1:5" x14ac:dyDescent="0.25">
      <c r="A19787" t="str">
        <f>HYPERLINK("https://www.773grp.com/globalSearch/26LS32BPC/page-1", "26LS32BPC")</f>
        <v>26LS32BPC</v>
      </c>
      <c r="B19787" s="3" t="s">
        <v>116</v>
      </c>
      <c r="C19787" s="6">
        <v>3216</v>
      </c>
      <c r="D19787" s="7">
        <v>26.09</v>
      </c>
    </row>
    <row r="19788" spans="1:5" x14ac:dyDescent="0.25">
      <c r="A19788" t="str">
        <f>HYPERLINK("https://www.773grp.com/globalSearch/TL505CN/page-1", "TL505CN")</f>
        <v>TL505CN</v>
      </c>
      <c r="B19788" s="3" t="s">
        <v>116</v>
      </c>
      <c r="C19788" s="6">
        <v>124</v>
      </c>
      <c r="D19788" s="7">
        <v>26.09</v>
      </c>
      <c r="E19788" t="s">
        <v>35</v>
      </c>
    </row>
    <row r="19789" spans="1:5" x14ac:dyDescent="0.25">
      <c r="A19789" t="str">
        <f>HYPERLINK("https://www.773grp.com/globalSearch/29818APC/page-1", "29818APC")</f>
        <v>29818APC</v>
      </c>
      <c r="B19789" s="3" t="s">
        <v>116</v>
      </c>
      <c r="C19789" s="6">
        <v>4441</v>
      </c>
      <c r="D19789" s="7">
        <v>26.23</v>
      </c>
    </row>
    <row r="19790" spans="1:5" x14ac:dyDescent="0.25">
      <c r="A19790" t="str">
        <f>HYPERLINK("https://www.773grp.com/globalSearch/P8255A-5/page-1", "P8255A-5")</f>
        <v>P8255A-5</v>
      </c>
      <c r="B19790" s="3" t="s">
        <v>116</v>
      </c>
      <c r="C19790" s="6">
        <v>530</v>
      </c>
      <c r="D19790" s="7">
        <v>26.31</v>
      </c>
      <c r="E19790" t="s">
        <v>71</v>
      </c>
    </row>
    <row r="19791" spans="1:5" x14ac:dyDescent="0.25">
      <c r="A19791" t="str">
        <f>HYPERLINK("https://www.773grp.com/globalSearch/74AC11191DW/page-1", "74AC11191DW")</f>
        <v>74AC11191DW</v>
      </c>
      <c r="B19791" s="3" t="s">
        <v>116</v>
      </c>
      <c r="C19791" s="6">
        <v>737</v>
      </c>
      <c r="D19791" s="7">
        <v>26.34</v>
      </c>
      <c r="E19791" t="s">
        <v>22</v>
      </c>
    </row>
    <row r="19792" spans="1:5" x14ac:dyDescent="0.25">
      <c r="A19792" t="str">
        <f>HYPERLINK("https://www.773grp.com/globalSearch/93S48PC/page-1", "93S48PC")</f>
        <v>93S48PC</v>
      </c>
      <c r="B19792" s="3" t="s">
        <v>116</v>
      </c>
      <c r="C19792" s="6">
        <v>12594</v>
      </c>
      <c r="D19792" s="7">
        <v>26.55</v>
      </c>
    </row>
    <row r="19793" spans="1:5" x14ac:dyDescent="0.25">
      <c r="A19793" t="str">
        <f>HYPERLINK("https://www.773grp.com/globalSearch/MC10131P/page-1", "MC10131P")</f>
        <v>MC10131P</v>
      </c>
      <c r="B19793" s="3" t="s">
        <v>116</v>
      </c>
      <c r="C19793" s="6">
        <v>1883</v>
      </c>
      <c r="D19793" s="7">
        <v>26.6</v>
      </c>
      <c r="E19793" t="s">
        <v>31</v>
      </c>
    </row>
    <row r="19794" spans="1:5" x14ac:dyDescent="0.25">
      <c r="A19794" t="str">
        <f>HYPERLINK("https://www.773grp.com/globalSearch/DM8160N/page-1", "DM8160N")</f>
        <v>DM8160N</v>
      </c>
      <c r="B19794" s="3" t="s">
        <v>116</v>
      </c>
      <c r="C19794" s="6">
        <v>2</v>
      </c>
      <c r="D19794" s="7">
        <v>26.63</v>
      </c>
      <c r="E19794" t="s">
        <v>38</v>
      </c>
    </row>
    <row r="19795" spans="1:5" x14ac:dyDescent="0.25">
      <c r="A19795" t="str">
        <f>HYPERLINK("https://www.773grp.com/globalSearch/74ALS878ANT/page-1", "74ALS878ANT")</f>
        <v>74ALS878ANT</v>
      </c>
      <c r="B19795" s="3" t="s">
        <v>116</v>
      </c>
      <c r="C19795" s="6">
        <v>549</v>
      </c>
      <c r="D19795" s="7">
        <v>27.34</v>
      </c>
    </row>
    <row r="19796" spans="1:5" x14ac:dyDescent="0.25">
      <c r="A19796" t="str">
        <f>HYPERLINK("https://www.773grp.com/globalSearch/74LS681N/page-1", "74LS681N")</f>
        <v>74LS681N</v>
      </c>
      <c r="B19796" s="3" t="s">
        <v>116</v>
      </c>
      <c r="C19796" s="6">
        <v>1964</v>
      </c>
      <c r="D19796" s="7">
        <v>27.34</v>
      </c>
    </row>
    <row r="19797" spans="1:5" x14ac:dyDescent="0.25">
      <c r="A19797" t="str">
        <f>HYPERLINK("https://www.773grp.com/globalSearch/P82C55A-2/page-1", "P82C55A-2")</f>
        <v>P82C55A-2</v>
      </c>
      <c r="B19797" s="3" t="s">
        <v>116</v>
      </c>
      <c r="C19797" s="6">
        <v>8104</v>
      </c>
      <c r="D19797" s="7">
        <v>27.59</v>
      </c>
      <c r="E19797" t="s">
        <v>71</v>
      </c>
    </row>
    <row r="19798" spans="1:5" x14ac:dyDescent="0.25">
      <c r="A19798" t="str">
        <f>HYPERLINK("https://www.773grp.com/globalSearch/26LS32BJC/page-1", "26LS32BJC")</f>
        <v>26LS32BJC</v>
      </c>
      <c r="B19798" s="3" t="s">
        <v>116</v>
      </c>
      <c r="C19798" s="6">
        <v>5224</v>
      </c>
      <c r="D19798" s="7">
        <v>27.73</v>
      </c>
    </row>
    <row r="19799" spans="1:5" x14ac:dyDescent="0.25">
      <c r="A19799" t="str">
        <f>HYPERLINK("https://www.773grp.com/globalSearch/29705APC/page-1", "29705APC")</f>
        <v>29705APC</v>
      </c>
      <c r="B19799" s="3" t="s">
        <v>116</v>
      </c>
      <c r="C19799" s="6">
        <v>87</v>
      </c>
      <c r="D19799" s="7">
        <v>27.73</v>
      </c>
    </row>
    <row r="19800" spans="1:5" x14ac:dyDescent="0.25">
      <c r="A19800" t="str">
        <f>HYPERLINK("https://www.773grp.com/globalSearch/TDC1044AN9C/page-1", "TDC1044AN9C")</f>
        <v>TDC1044AN9C</v>
      </c>
      <c r="B19800" s="3" t="s">
        <v>116</v>
      </c>
      <c r="C19800" s="6">
        <v>10111</v>
      </c>
      <c r="D19800" s="7">
        <v>27.73</v>
      </c>
      <c r="E19800" t="s">
        <v>35</v>
      </c>
    </row>
    <row r="19801" spans="1:5" x14ac:dyDescent="0.25">
      <c r="A19801" t="str">
        <f>HYPERLINK("https://www.773grp.com/globalSearch/LMX1501AMX/page-1", "LMX1501AMX")</f>
        <v>LMX1501AMX</v>
      </c>
      <c r="B19801" s="3" t="s">
        <v>116</v>
      </c>
      <c r="C19801" s="6">
        <v>45</v>
      </c>
      <c r="D19801" s="7">
        <v>27.73</v>
      </c>
      <c r="E19801" t="s">
        <v>34</v>
      </c>
    </row>
    <row r="19802" spans="1:5" x14ac:dyDescent="0.25">
      <c r="A19802" t="str">
        <f>HYPERLINK("https://www.773grp.com/globalSearch/74185AN/page-1", "74185AN")</f>
        <v>74185AN</v>
      </c>
      <c r="B19802" s="3" t="s">
        <v>116</v>
      </c>
      <c r="C19802" s="6">
        <v>779</v>
      </c>
      <c r="D19802" s="7">
        <v>27.73</v>
      </c>
    </row>
    <row r="19803" spans="1:5" x14ac:dyDescent="0.25">
      <c r="A19803" t="str">
        <f>HYPERLINK("https://www.773grp.com/globalSearch/DM8131N/page-1", "DM8131N")</f>
        <v>DM8131N</v>
      </c>
      <c r="B19803" s="3" t="s">
        <v>116</v>
      </c>
      <c r="C19803" s="6">
        <v>5164</v>
      </c>
      <c r="D19803" s="7">
        <v>28.24</v>
      </c>
    </row>
    <row r="19804" spans="1:5" x14ac:dyDescent="0.25">
      <c r="A19804" t="str">
        <f>HYPERLINK("https://www.773grp.com/globalSearch/75491J/page-1", "75491J")</f>
        <v>75491J</v>
      </c>
      <c r="B19804" s="3" t="s">
        <v>116</v>
      </c>
      <c r="C19804" s="6">
        <v>82</v>
      </c>
      <c r="D19804" s="7">
        <v>28.36</v>
      </c>
    </row>
    <row r="19805" spans="1:5" x14ac:dyDescent="0.25">
      <c r="A19805" t="str">
        <f>HYPERLINK("https://www.773grp.com/globalSearch/27LS00APC/page-1", "27LS00APC")</f>
        <v>27LS00APC</v>
      </c>
      <c r="B19805" s="3" t="s">
        <v>116</v>
      </c>
      <c r="C19805" s="6">
        <v>2660</v>
      </c>
      <c r="D19805" s="7">
        <v>28.41</v>
      </c>
    </row>
    <row r="19806" spans="1:5" x14ac:dyDescent="0.25">
      <c r="A19806" t="str">
        <f>HYPERLINK("https://www.773grp.com/globalSearch/TDC1044AR4C/page-1", "TDC1044AR4C")</f>
        <v>TDC1044AR4C</v>
      </c>
      <c r="B19806" s="3" t="s">
        <v>116</v>
      </c>
      <c r="C19806" s="6">
        <v>50146</v>
      </c>
      <c r="D19806" s="7">
        <v>28.69</v>
      </c>
      <c r="E19806" t="s">
        <v>35</v>
      </c>
    </row>
    <row r="19807" spans="1:5" x14ac:dyDescent="0.25">
      <c r="A19807" t="str">
        <f>HYPERLINK("https://www.773grp.com/globalSearch/74S22SC/page-1", "74S22SC")</f>
        <v>74S22SC</v>
      </c>
      <c r="B19807" s="3" t="s">
        <v>116</v>
      </c>
      <c r="C19807" s="6">
        <v>214</v>
      </c>
      <c r="D19807" s="7">
        <v>28.74</v>
      </c>
    </row>
    <row r="19808" spans="1:5" x14ac:dyDescent="0.25">
      <c r="A19808" t="str">
        <f>HYPERLINK("https://www.773grp.com/globalSearch/N8251A-G/page-1", "N8251A-G")</f>
        <v>N8251A-G</v>
      </c>
      <c r="B19808" s="3" t="s">
        <v>116</v>
      </c>
      <c r="C19808" s="6">
        <v>1255</v>
      </c>
      <c r="D19808" s="7">
        <v>28.75</v>
      </c>
    </row>
    <row r="19809" spans="1:5" x14ac:dyDescent="0.25">
      <c r="A19809" t="str">
        <f>HYPERLINK("https://www.773grp.com/globalSearch/CA3310AM/page-1", "CA3310AM")</f>
        <v>CA3310AM</v>
      </c>
      <c r="B19809" s="3" t="s">
        <v>116</v>
      </c>
      <c r="C19809" s="6">
        <v>188</v>
      </c>
      <c r="D19809" s="7">
        <v>28.79</v>
      </c>
      <c r="E19809" t="s">
        <v>35</v>
      </c>
    </row>
    <row r="19810" spans="1:5" x14ac:dyDescent="0.25">
      <c r="A19810" t="str">
        <f>HYPERLINK("https://www.773grp.com/globalSearch/P8251A/page-1", "P8251A")</f>
        <v>P8251A</v>
      </c>
      <c r="B19810" s="3" t="s">
        <v>116</v>
      </c>
      <c r="C19810" s="6">
        <v>7848</v>
      </c>
      <c r="D19810" s="7">
        <v>28.91</v>
      </c>
      <c r="E19810" t="s">
        <v>59</v>
      </c>
    </row>
    <row r="19811" spans="1:5" x14ac:dyDescent="0.25">
      <c r="A19811" t="str">
        <f>HYPERLINK("https://www.773grp.com/globalSearch/MM74C922N/page-1", "MM74C922N")</f>
        <v>MM74C922N</v>
      </c>
      <c r="B19811" s="3" t="s">
        <v>116</v>
      </c>
      <c r="C19811" s="6">
        <v>1364</v>
      </c>
      <c r="D19811" s="7">
        <v>28.99</v>
      </c>
    </row>
    <row r="19812" spans="1:5" x14ac:dyDescent="0.25">
      <c r="A19812" t="str">
        <f>HYPERLINK("https://www.773grp.com/globalSearch/75126D/page-1", "75126D")</f>
        <v>75126D</v>
      </c>
      <c r="B19812" s="3" t="s">
        <v>116</v>
      </c>
      <c r="C19812" s="6">
        <v>1212</v>
      </c>
      <c r="D19812" s="7">
        <v>28.99</v>
      </c>
    </row>
    <row r="19813" spans="1:5" x14ac:dyDescent="0.25">
      <c r="A19813" t="str">
        <f>HYPERLINK("https://www.773grp.com/globalSearch/MM74C922N-G/page-1", "MM74C922N-G")</f>
        <v>MM74C922N-G</v>
      </c>
      <c r="B19813" s="3" t="s">
        <v>116</v>
      </c>
      <c r="C19813" s="6">
        <v>798</v>
      </c>
      <c r="D19813" s="7">
        <v>29.51</v>
      </c>
    </row>
    <row r="19814" spans="1:5" x14ac:dyDescent="0.25">
      <c r="A19814" t="str">
        <f>HYPERLINK("https://www.773grp.com/globalSearch/CA3059/page-1", "CA3059")</f>
        <v>CA3059</v>
      </c>
      <c r="B19814" s="3" t="s">
        <v>116</v>
      </c>
      <c r="C19814" s="6">
        <v>13787</v>
      </c>
      <c r="D19814" s="7">
        <v>29.66</v>
      </c>
      <c r="E19814" t="s">
        <v>36</v>
      </c>
    </row>
    <row r="19815" spans="1:5" x14ac:dyDescent="0.25">
      <c r="A19815" t="str">
        <f>HYPERLINK("https://www.773grp.com/globalSearch/74HC133D/page-1", "74HC133D")</f>
        <v>74HC133D</v>
      </c>
      <c r="B19815" s="3" t="s">
        <v>116</v>
      </c>
      <c r="C19815" s="6">
        <v>982</v>
      </c>
      <c r="D19815" s="7">
        <v>29.88</v>
      </c>
      <c r="E19815" t="s">
        <v>27</v>
      </c>
    </row>
    <row r="19816" spans="1:5" x14ac:dyDescent="0.25">
      <c r="A19816" t="str">
        <f>HYPERLINK("https://www.773grp.com/globalSearch/74AC11828NT/page-1", "74AC11828NT")</f>
        <v>74AC11828NT</v>
      </c>
      <c r="B19816" s="3" t="s">
        <v>116</v>
      </c>
      <c r="C19816" s="6">
        <v>117</v>
      </c>
      <c r="D19816" s="7">
        <v>30.13</v>
      </c>
      <c r="E19816" t="s">
        <v>11</v>
      </c>
    </row>
    <row r="19817" spans="1:5" x14ac:dyDescent="0.25">
      <c r="A19817" t="str">
        <f>HYPERLINK("https://www.773grp.com/globalSearch/TLC2472ID/page-1", "TLC2472ID")</f>
        <v>TLC2472ID</v>
      </c>
      <c r="B19817" s="3" t="s">
        <v>116</v>
      </c>
      <c r="C19817" s="6">
        <v>500</v>
      </c>
      <c r="D19817" s="7">
        <v>30.24</v>
      </c>
    </row>
    <row r="19818" spans="1:5" x14ac:dyDescent="0.25">
      <c r="A19818" t="str">
        <f>HYPERLINK("https://www.773grp.com/globalSearch/26LS32BSC/page-1", "26LS32BSC")</f>
        <v>26LS32BSC</v>
      </c>
      <c r="B19818" s="3" t="s">
        <v>116</v>
      </c>
      <c r="C19818" s="6">
        <v>7784</v>
      </c>
      <c r="D19818" s="7">
        <v>30.63</v>
      </c>
    </row>
    <row r="19819" spans="1:5" x14ac:dyDescent="0.25">
      <c r="A19819" t="str">
        <f>HYPERLINK("https://www.773grp.com/globalSearch/74HC239N/page-1", "74HC239N")</f>
        <v>74HC239N</v>
      </c>
      <c r="B19819" s="3" t="s">
        <v>116</v>
      </c>
      <c r="C19819" s="6">
        <v>3042</v>
      </c>
      <c r="D19819" s="7">
        <v>31.19</v>
      </c>
    </row>
    <row r="19820" spans="1:5" x14ac:dyDescent="0.25">
      <c r="A19820" t="str">
        <f>HYPERLINK("https://www.773grp.com/globalSearch/27S33APC/page-1", "27S33APC")</f>
        <v>27S33APC</v>
      </c>
      <c r="B19820" s="3" t="s">
        <v>116</v>
      </c>
      <c r="C19820" s="6">
        <v>13619</v>
      </c>
      <c r="D19820" s="7">
        <v>31.38</v>
      </c>
    </row>
    <row r="19821" spans="1:5" x14ac:dyDescent="0.25">
      <c r="A19821" t="str">
        <f>HYPERLINK("https://www.773grp.com/globalSearch/ML6554CUX/page-1", "ML6554CUX")</f>
        <v>ML6554CUX</v>
      </c>
      <c r="B19821" s="3" t="s">
        <v>116</v>
      </c>
      <c r="C19821" s="6">
        <v>1823</v>
      </c>
      <c r="D19821" s="7">
        <v>31.38</v>
      </c>
    </row>
    <row r="19822" spans="1:5" x14ac:dyDescent="0.25">
      <c r="A19822" t="str">
        <f>HYPERLINK("https://www.773grp.com/globalSearch/MM88C30N/page-1", "MM88C30N")</f>
        <v>MM88C30N</v>
      </c>
      <c r="B19822" s="3" t="s">
        <v>116</v>
      </c>
      <c r="C19822" s="6">
        <v>1780</v>
      </c>
      <c r="D19822" s="7">
        <v>31.5</v>
      </c>
      <c r="E19822" t="s">
        <v>17</v>
      </c>
    </row>
    <row r="19823" spans="1:5" x14ac:dyDescent="0.25">
      <c r="A19823" t="str">
        <f>HYPERLINK("https://www.773grp.com/globalSearch/74LS190N/page-1", "74LS190N")</f>
        <v>74LS190N</v>
      </c>
      <c r="B19823" s="3" t="s">
        <v>116</v>
      </c>
      <c r="C19823" s="6">
        <v>193</v>
      </c>
      <c r="D19823" s="7">
        <v>31.5</v>
      </c>
    </row>
    <row r="19824" spans="1:5" x14ac:dyDescent="0.25">
      <c r="A19824" t="str">
        <f>HYPERLINK("https://www.773grp.com/globalSearch/27S29APC/page-1", "27S29APC")</f>
        <v>27S29APC</v>
      </c>
      <c r="B19824" s="3" t="s">
        <v>116</v>
      </c>
      <c r="C19824" s="6">
        <v>1469</v>
      </c>
      <c r="D19824" s="7">
        <v>31.69</v>
      </c>
    </row>
    <row r="19825" spans="1:5" x14ac:dyDescent="0.25">
      <c r="A19825" t="str">
        <f>HYPERLINK("https://www.773grp.com/globalSearch/MM74HC123AN-G/page-1", "MM74HC123AN-G")</f>
        <v>MM74HC123AN-G</v>
      </c>
      <c r="B19825" s="3" t="s">
        <v>116</v>
      </c>
      <c r="C19825" s="6">
        <v>7441</v>
      </c>
      <c r="D19825" s="7">
        <v>32.15</v>
      </c>
    </row>
    <row r="19826" spans="1:5" x14ac:dyDescent="0.25">
      <c r="A19826" t="str">
        <f>HYPERLINK("https://www.773grp.com/globalSearch/CA3146AE/page-1", "CA3146AE")</f>
        <v>CA3146AE</v>
      </c>
      <c r="B19826" s="3" t="s">
        <v>116</v>
      </c>
      <c r="C19826" s="6">
        <v>1572</v>
      </c>
      <c r="D19826" s="7">
        <v>32.29</v>
      </c>
    </row>
    <row r="19827" spans="1:5" x14ac:dyDescent="0.25">
      <c r="A19827" t="str">
        <f>HYPERLINK("https://www.773grp.com/globalSearch/P8085AH/page-1", "P8085AH")</f>
        <v>P8085AH</v>
      </c>
      <c r="B19827" s="3" t="s">
        <v>116</v>
      </c>
      <c r="C19827" s="6">
        <v>94</v>
      </c>
      <c r="D19827" s="7">
        <v>32.39</v>
      </c>
      <c r="E19827" t="s">
        <v>66</v>
      </c>
    </row>
    <row r="19828" spans="1:5" x14ac:dyDescent="0.25">
      <c r="A19828" t="str">
        <f>HYPERLINK("https://www.773grp.com/globalSearch/74HC659DW/page-1", "74HC659DW")</f>
        <v>74HC659DW</v>
      </c>
      <c r="B19828" s="3" t="s">
        <v>116</v>
      </c>
      <c r="C19828" s="6">
        <v>405</v>
      </c>
      <c r="D19828" s="7">
        <v>32.39</v>
      </c>
    </row>
    <row r="19829" spans="1:5" x14ac:dyDescent="0.25">
      <c r="A19829" t="str">
        <f>HYPERLINK("https://www.773grp.com/globalSearch/P8279-5/page-1", "P8279-5")</f>
        <v>P8279-5</v>
      </c>
      <c r="B19829" s="3" t="s">
        <v>116</v>
      </c>
      <c r="C19829" s="6">
        <v>8071</v>
      </c>
      <c r="D19829" s="7">
        <v>32.630000000000003</v>
      </c>
      <c r="E19829" t="s">
        <v>37</v>
      </c>
    </row>
    <row r="19830" spans="1:5" x14ac:dyDescent="0.25">
      <c r="A19830" t="str">
        <f>HYPERLINK("https://www.773grp.com/globalSearch/MC10198FNR2/page-1", "MC10198FNR2")</f>
        <v>MC10198FNR2</v>
      </c>
      <c r="B19830" s="3" t="s">
        <v>116</v>
      </c>
      <c r="C19830" s="6">
        <v>2327</v>
      </c>
      <c r="D19830" s="7">
        <v>32.64</v>
      </c>
      <c r="E19830" t="s">
        <v>44</v>
      </c>
    </row>
    <row r="19831" spans="1:5" x14ac:dyDescent="0.25">
      <c r="A19831" t="str">
        <f>HYPERLINK("https://www.773grp.com/globalSearch/DS8838N/page-1", "DS8838N")</f>
        <v>DS8838N</v>
      </c>
      <c r="B19831" s="3" t="s">
        <v>116</v>
      </c>
      <c r="C19831" s="6">
        <v>2068</v>
      </c>
      <c r="D19831" s="7">
        <v>32.69</v>
      </c>
      <c r="E19831" t="s">
        <v>17</v>
      </c>
    </row>
    <row r="19832" spans="1:5" x14ac:dyDescent="0.25">
      <c r="A19832" t="str">
        <f>HYPERLINK("https://www.773grp.com/globalSearch/74AS850AN/page-1", "74AS850AN")</f>
        <v>74AS850AN</v>
      </c>
      <c r="B19832" s="3" t="s">
        <v>116</v>
      </c>
      <c r="C19832" s="6">
        <v>724</v>
      </c>
      <c r="D19832" s="7">
        <v>32.729999999999997</v>
      </c>
    </row>
    <row r="19833" spans="1:5" x14ac:dyDescent="0.25">
      <c r="A19833" t="str">
        <f>HYPERLINK("https://www.773grp.com/globalSearch/DM2502CN/page-1", "DM2502CN")</f>
        <v>DM2502CN</v>
      </c>
      <c r="B19833" s="3" t="s">
        <v>116</v>
      </c>
      <c r="C19833" s="6">
        <v>379</v>
      </c>
      <c r="D19833" s="7">
        <v>32.78</v>
      </c>
      <c r="E19833" t="s">
        <v>28</v>
      </c>
    </row>
    <row r="19834" spans="1:5" x14ac:dyDescent="0.25">
      <c r="A19834" t="str">
        <f>HYPERLINK("https://www.773grp.com/globalSearch/P8254-2/page-1", "P8254-2")</f>
        <v>P8254-2</v>
      </c>
      <c r="B19834" s="3" t="s">
        <v>116</v>
      </c>
      <c r="C19834" s="6">
        <v>101</v>
      </c>
      <c r="D19834" s="7">
        <v>32.85</v>
      </c>
      <c r="E19834" t="s">
        <v>67</v>
      </c>
    </row>
    <row r="19835" spans="1:5" x14ac:dyDescent="0.25">
      <c r="A19835" t="str">
        <f>HYPERLINK("https://www.773grp.com/globalSearch/UCN5801LW/page-1", "UCN5801LW")</f>
        <v>UCN5801LW</v>
      </c>
      <c r="B19835" s="3" t="s">
        <v>116</v>
      </c>
      <c r="C19835" s="6">
        <v>1432</v>
      </c>
      <c r="D19835" s="7">
        <v>33.299999999999997</v>
      </c>
    </row>
    <row r="19836" spans="1:5" x14ac:dyDescent="0.25">
      <c r="A19836" t="str">
        <f>HYPERLINK("https://www.773grp.com/globalSearch/74LS295BN/page-1", "74LS295BN")</f>
        <v>74LS295BN</v>
      </c>
      <c r="B19836" s="3" t="s">
        <v>116</v>
      </c>
      <c r="C19836" s="6">
        <v>2085</v>
      </c>
      <c r="D19836" s="7">
        <v>33.409999999999997</v>
      </c>
    </row>
    <row r="19837" spans="1:5" x14ac:dyDescent="0.25">
      <c r="A19837" t="str">
        <f>HYPERLINK("https://www.773grp.com/globalSearch/27S185APC/page-1", "27S185APC")</f>
        <v>27S185APC</v>
      </c>
      <c r="B19837" s="3" t="s">
        <v>116</v>
      </c>
      <c r="C19837" s="6">
        <v>1429</v>
      </c>
      <c r="D19837" s="7">
        <v>33.9</v>
      </c>
    </row>
    <row r="19838" spans="1:5" x14ac:dyDescent="0.25">
      <c r="A19838" t="str">
        <f>HYPERLINK("https://www.773grp.com/globalSearch/54L164DM/page-1", "54L164DM")</f>
        <v>54L164DM</v>
      </c>
      <c r="B19838" s="3" t="s">
        <v>116</v>
      </c>
      <c r="C19838" s="6">
        <v>163</v>
      </c>
      <c r="D19838" s="7">
        <v>34.03</v>
      </c>
    </row>
    <row r="19839" spans="1:5" x14ac:dyDescent="0.25">
      <c r="A19839" t="str">
        <f>HYPERLINK("https://www.773grp.com/globalSearch/74ALS29809NT/page-1", "74ALS29809NT")</f>
        <v>74ALS29809NT</v>
      </c>
      <c r="B19839" s="3" t="s">
        <v>116</v>
      </c>
      <c r="C19839" s="6">
        <v>165</v>
      </c>
      <c r="D19839" s="7">
        <v>34.03</v>
      </c>
    </row>
    <row r="19840" spans="1:5" x14ac:dyDescent="0.25">
      <c r="A19840" t="str">
        <f>HYPERLINK("https://www.773grp.com/globalSearch/AD584IR/page-1", "AD584IR")</f>
        <v>AD584IR</v>
      </c>
      <c r="B19840" s="3" t="s">
        <v>116</v>
      </c>
      <c r="C19840" s="6">
        <v>1099</v>
      </c>
      <c r="D19840" s="7">
        <v>34.03</v>
      </c>
    </row>
    <row r="19841" spans="1:5" x14ac:dyDescent="0.25">
      <c r="A19841" t="str">
        <f>HYPERLINK("https://www.773grp.com/globalSearch/P82530-6/page-1", "P82530-6")</f>
        <v>P82530-6</v>
      </c>
      <c r="B19841" s="3" t="s">
        <v>116</v>
      </c>
      <c r="C19841" s="6">
        <v>1660</v>
      </c>
      <c r="D19841" s="7">
        <v>34.15</v>
      </c>
      <c r="E19841" t="s">
        <v>59</v>
      </c>
    </row>
    <row r="19842" spans="1:5" x14ac:dyDescent="0.25">
      <c r="A19842" t="str">
        <f>HYPERLINK("https://www.773grp.com/globalSearch/26LS34PC/page-1", "26LS34PC")</f>
        <v>26LS34PC</v>
      </c>
      <c r="B19842" s="3" t="s">
        <v>116</v>
      </c>
      <c r="C19842" s="6">
        <v>2369</v>
      </c>
      <c r="D19842" s="7">
        <v>34.659999999999997</v>
      </c>
    </row>
    <row r="19843" spans="1:5" x14ac:dyDescent="0.25">
      <c r="A19843" t="str">
        <f>HYPERLINK("https://www.773grp.com/globalSearch/74ALS993NT/page-1", "74ALS993NT")</f>
        <v>74ALS993NT</v>
      </c>
      <c r="B19843" s="3" t="s">
        <v>116</v>
      </c>
      <c r="C19843" s="6">
        <v>929</v>
      </c>
      <c r="D19843" s="7">
        <v>34.659999999999997</v>
      </c>
    </row>
    <row r="19844" spans="1:5" x14ac:dyDescent="0.25">
      <c r="A19844" t="str">
        <f>HYPERLINK("https://www.773grp.com/globalSearch/SN74HC534DW/page-1", "SN74HC534DW")</f>
        <v>SN74HC534DW</v>
      </c>
      <c r="B19844" s="3" t="s">
        <v>116</v>
      </c>
      <c r="C19844" s="6">
        <v>3477</v>
      </c>
      <c r="D19844" s="7">
        <v>34.659999999999997</v>
      </c>
      <c r="E19844" t="s">
        <v>11</v>
      </c>
    </row>
    <row r="19845" spans="1:5" x14ac:dyDescent="0.25">
      <c r="A19845" t="str">
        <f>HYPERLINK("https://www.773grp.com/globalSearch/TE28F800B5B90/page-1", "TE28F800B5B90")</f>
        <v>TE28F800B5B90</v>
      </c>
      <c r="B19845" s="3" t="s">
        <v>116</v>
      </c>
      <c r="C19845" s="6">
        <v>22284</v>
      </c>
      <c r="D19845" s="7">
        <v>35.159999999999997</v>
      </c>
      <c r="E19845" t="s">
        <v>52</v>
      </c>
    </row>
    <row r="19846" spans="1:5" x14ac:dyDescent="0.25">
      <c r="A19846" t="str">
        <f>HYPERLINK("https://www.773grp.com/globalSearch/93H72PC/page-1", "93H72PC")</f>
        <v>93H72PC</v>
      </c>
      <c r="B19846" s="3" t="s">
        <v>116</v>
      </c>
      <c r="C19846" s="6">
        <v>2416</v>
      </c>
      <c r="D19846" s="7">
        <v>35.29</v>
      </c>
    </row>
    <row r="19847" spans="1:5" x14ac:dyDescent="0.25">
      <c r="A19847" t="str">
        <f>HYPERLINK("https://www.773grp.com/globalSearch/27S29AJC/page-1", "27S29AJC")</f>
        <v>27S29AJC</v>
      </c>
      <c r="B19847" s="3" t="s">
        <v>116</v>
      </c>
      <c r="C19847" s="6">
        <v>5366</v>
      </c>
      <c r="D19847" s="7">
        <v>35.29</v>
      </c>
    </row>
    <row r="19848" spans="1:5" x14ac:dyDescent="0.25">
      <c r="A19848" t="str">
        <f>HYPERLINK("https://www.773grp.com/globalSearch/74LS652NS/page-1", "74LS652NS")</f>
        <v>74LS652NS</v>
      </c>
      <c r="B19848" s="3" t="s">
        <v>116</v>
      </c>
      <c r="C19848" s="6">
        <v>3524</v>
      </c>
      <c r="D19848" s="7">
        <v>35.29</v>
      </c>
    </row>
    <row r="19849" spans="1:5" x14ac:dyDescent="0.25">
      <c r="A19849" t="str">
        <f>HYPERLINK("https://www.773grp.com/globalSearch/79866AJC/page-1", "79866AJC")</f>
        <v>79866AJC</v>
      </c>
      <c r="B19849" s="3" t="s">
        <v>116</v>
      </c>
      <c r="C19849" s="6">
        <v>594</v>
      </c>
      <c r="D19849" s="7">
        <v>35.29</v>
      </c>
    </row>
    <row r="19850" spans="1:5" x14ac:dyDescent="0.25">
      <c r="A19850" t="str">
        <f>HYPERLINK("https://www.773grp.com/globalSearch/ICM7213IPD/page-1", "ICM7213IPD")</f>
        <v>ICM7213IPD</v>
      </c>
      <c r="B19850" s="3" t="s">
        <v>116</v>
      </c>
      <c r="C19850" s="6">
        <v>1068</v>
      </c>
      <c r="D19850" s="7">
        <v>35.29</v>
      </c>
      <c r="E19850" t="s">
        <v>64</v>
      </c>
    </row>
    <row r="19851" spans="1:5" x14ac:dyDescent="0.25">
      <c r="A19851" t="str">
        <f>HYPERLINK("https://www.773grp.com/globalSearch/27S13PC/page-1", "27S13PC")</f>
        <v>27S13PC</v>
      </c>
      <c r="B19851" s="3" t="s">
        <v>116</v>
      </c>
      <c r="C19851" s="6">
        <v>1424</v>
      </c>
      <c r="D19851" s="7">
        <v>35.29</v>
      </c>
    </row>
    <row r="19852" spans="1:5" x14ac:dyDescent="0.25">
      <c r="A19852" t="str">
        <f>HYPERLINK("https://www.773grp.com/globalSearch/AM79866AJC/page-1", "AM79866AJC")</f>
        <v>AM79866AJC</v>
      </c>
      <c r="B19852" s="3" t="s">
        <v>116</v>
      </c>
      <c r="C19852" s="6">
        <v>15</v>
      </c>
      <c r="D19852" s="7">
        <v>35.29</v>
      </c>
      <c r="E19852" t="s">
        <v>55</v>
      </c>
    </row>
    <row r="19853" spans="1:5" x14ac:dyDescent="0.25">
      <c r="A19853" t="str">
        <f>HYPERLINK("https://www.773grp.com/globalSearch/25LS2518PC/page-1", "25LS2518PC")</f>
        <v>25LS2518PC</v>
      </c>
      <c r="B19853" s="3" t="s">
        <v>116</v>
      </c>
      <c r="C19853" s="6">
        <v>1817</v>
      </c>
      <c r="D19853" s="7">
        <v>35.44</v>
      </c>
    </row>
    <row r="19854" spans="1:5" x14ac:dyDescent="0.25">
      <c r="A19854" t="str">
        <f>HYPERLINK("https://www.773grp.com/globalSearch/AMPAL20L10APC/page-1", "AMPAL20L10APC")</f>
        <v>AMPAL20L10APC</v>
      </c>
      <c r="B19854" s="3" t="s">
        <v>116</v>
      </c>
      <c r="C19854" s="6">
        <v>1197</v>
      </c>
      <c r="D19854" s="7">
        <v>35.76</v>
      </c>
      <c r="E19854" t="s">
        <v>42</v>
      </c>
    </row>
    <row r="19855" spans="1:5" x14ac:dyDescent="0.25">
      <c r="A19855" t="str">
        <f>HYPERLINK("https://www.773grp.com/globalSearch/RC1472U/page-1", "RC1472U")</f>
        <v>RC1472U</v>
      </c>
      <c r="B19855" s="3" t="s">
        <v>116</v>
      </c>
      <c r="C19855" s="6">
        <v>385</v>
      </c>
      <c r="D19855" s="7">
        <v>35.93</v>
      </c>
    </row>
    <row r="19856" spans="1:5" x14ac:dyDescent="0.25">
      <c r="A19856" t="str">
        <f>HYPERLINK("https://www.773grp.com/globalSearch/27S23JC/page-1", "27S23JC")</f>
        <v>27S23JC</v>
      </c>
      <c r="B19856" s="3" t="s">
        <v>116</v>
      </c>
      <c r="C19856" s="6">
        <v>4235</v>
      </c>
      <c r="D19856" s="7">
        <v>35.93</v>
      </c>
    </row>
    <row r="19857" spans="1:5" x14ac:dyDescent="0.25">
      <c r="A19857" t="str">
        <f>HYPERLINK("https://www.773grp.com/globalSearch/TE505S16-25QC-G/page-1", "TE505S16-25QC-G")</f>
        <v>TE505S16-25QC-G</v>
      </c>
      <c r="B19857" s="3" t="s">
        <v>116</v>
      </c>
      <c r="C19857" s="6">
        <v>2423</v>
      </c>
      <c r="D19857" s="7">
        <v>36.159999999999997</v>
      </c>
    </row>
    <row r="19858" spans="1:5" x14ac:dyDescent="0.25">
      <c r="A19858" t="str">
        <f>HYPERLINK("https://www.773grp.com/globalSearch/100351QIX/page-1", "100351QIX")</f>
        <v>100351QIX</v>
      </c>
      <c r="B19858" s="3" t="s">
        <v>116</v>
      </c>
      <c r="C19858" s="6">
        <v>1012</v>
      </c>
      <c r="D19858" s="7">
        <v>36.18</v>
      </c>
    </row>
    <row r="19859" spans="1:5" x14ac:dyDescent="0.25">
      <c r="A19859" t="str">
        <f>HYPERLINK("https://www.773grp.com/globalSearch/74167N/page-1", "74167N")</f>
        <v>74167N</v>
      </c>
      <c r="B19859" s="3" t="s">
        <v>116</v>
      </c>
      <c r="C19859" s="6">
        <v>2829</v>
      </c>
      <c r="D19859" s="7">
        <v>36.409999999999997</v>
      </c>
    </row>
    <row r="19860" spans="1:5" x14ac:dyDescent="0.25">
      <c r="A19860" t="str">
        <f>HYPERLINK("https://www.773grp.com/globalSearch/54L153DM/page-1", "54L153DM")</f>
        <v>54L153DM</v>
      </c>
      <c r="B19860" s="3" t="s">
        <v>116</v>
      </c>
      <c r="C19860" s="6">
        <v>342</v>
      </c>
      <c r="D19860" s="7">
        <v>36.549999999999997</v>
      </c>
    </row>
    <row r="19861" spans="1:5" x14ac:dyDescent="0.25">
      <c r="A19861" t="str">
        <f>HYPERLINK("https://www.773grp.com/globalSearch/944PC/page-1", "944PC")</f>
        <v>944PC</v>
      </c>
      <c r="B19861" s="3" t="s">
        <v>116</v>
      </c>
      <c r="C19861" s="6">
        <v>2601</v>
      </c>
      <c r="D19861" s="7">
        <v>36.549999999999997</v>
      </c>
    </row>
    <row r="19862" spans="1:5" x14ac:dyDescent="0.25">
      <c r="A19862" t="str">
        <f>HYPERLINK("https://www.773grp.com/globalSearch/946PC/page-1", "946PC")</f>
        <v>946PC</v>
      </c>
      <c r="B19862" s="3" t="s">
        <v>116</v>
      </c>
      <c r="C19862" s="6">
        <v>670</v>
      </c>
      <c r="D19862" s="7">
        <v>36.549999999999997</v>
      </c>
      <c r="E19862" t="s">
        <v>27</v>
      </c>
    </row>
    <row r="19863" spans="1:5" x14ac:dyDescent="0.25">
      <c r="A19863" t="str">
        <f>HYPERLINK("https://www.773grp.com/globalSearch/74LS56P/page-1", "74LS56P")</f>
        <v>74LS56P</v>
      </c>
      <c r="B19863" s="3" t="s">
        <v>116</v>
      </c>
      <c r="C19863" s="6">
        <v>1590</v>
      </c>
      <c r="D19863" s="7">
        <v>36.68</v>
      </c>
    </row>
    <row r="19864" spans="1:5" x14ac:dyDescent="0.25">
      <c r="A19864" t="str">
        <f>HYPERLINK("https://www.773grp.com/globalSearch/2952APC/page-1", "2952APC")</f>
        <v>2952APC</v>
      </c>
      <c r="B19864" s="3" t="s">
        <v>116</v>
      </c>
      <c r="C19864" s="6">
        <v>4079</v>
      </c>
      <c r="D19864" s="7">
        <v>36.83</v>
      </c>
    </row>
    <row r="19865" spans="1:5" x14ac:dyDescent="0.25">
      <c r="A19865" t="str">
        <f>HYPERLINK("https://www.773grp.com/globalSearch/PAL16R8-5JC/page-1", "PAL16R8-5JC")</f>
        <v>PAL16R8-5JC</v>
      </c>
      <c r="B19865" s="3" t="s">
        <v>116</v>
      </c>
      <c r="C19865" s="6">
        <v>3952</v>
      </c>
      <c r="D19865" s="7">
        <v>37.19</v>
      </c>
      <c r="E19865" t="s">
        <v>42</v>
      </c>
    </row>
    <row r="19866" spans="1:5" x14ac:dyDescent="0.25">
      <c r="A19866" t="str">
        <f>HYPERLINK("https://www.773grp.com/globalSearch/2966PC/page-1", "2966PC")</f>
        <v>2966PC</v>
      </c>
      <c r="B19866" s="3" t="s">
        <v>116</v>
      </c>
      <c r="C19866" s="6">
        <v>5491</v>
      </c>
      <c r="D19866" s="7">
        <v>37.43</v>
      </c>
    </row>
    <row r="19867" spans="1:5" x14ac:dyDescent="0.25">
      <c r="A19867" t="str">
        <f>HYPERLINK("https://www.773grp.com/globalSearch/P8284A/page-1", "P8284A")</f>
        <v>P8284A</v>
      </c>
      <c r="B19867" s="3" t="s">
        <v>116</v>
      </c>
      <c r="C19867" s="6">
        <v>7532</v>
      </c>
      <c r="D19867" s="7">
        <v>37.43</v>
      </c>
      <c r="E19867" t="s">
        <v>65</v>
      </c>
    </row>
    <row r="19868" spans="1:5" x14ac:dyDescent="0.25">
      <c r="A19868" t="str">
        <f>HYPERLINK("https://www.773grp.com/globalSearch/2504PC/page-1", "2504PC")</f>
        <v>2504PC</v>
      </c>
      <c r="B19868" s="3" t="s">
        <v>116</v>
      </c>
      <c r="C19868" s="6">
        <v>1712</v>
      </c>
      <c r="D19868" s="7">
        <v>37.69</v>
      </c>
    </row>
    <row r="19869" spans="1:5" x14ac:dyDescent="0.25">
      <c r="A19869" t="str">
        <f>HYPERLINK("https://www.773grp.com/globalSearch/27S23AJC/page-1", "27S23AJC")</f>
        <v>27S23AJC</v>
      </c>
      <c r="B19869" s="3" t="s">
        <v>116</v>
      </c>
      <c r="C19869" s="6">
        <v>3251</v>
      </c>
      <c r="D19869" s="7">
        <v>37.81</v>
      </c>
    </row>
    <row r="19870" spans="1:5" x14ac:dyDescent="0.25">
      <c r="A19870" t="str">
        <f>HYPERLINK("https://www.773grp.com/globalSearch/TN28F010-90-G/page-1", "TN28F010-90-G")</f>
        <v>TN28F010-90-G</v>
      </c>
      <c r="B19870" s="3" t="s">
        <v>116</v>
      </c>
      <c r="C19870" s="6">
        <v>100</v>
      </c>
      <c r="D19870" s="7">
        <v>38.28</v>
      </c>
    </row>
    <row r="19871" spans="1:5" x14ac:dyDescent="0.25">
      <c r="A19871" t="str">
        <f>HYPERLINK("https://www.773grp.com/globalSearch/2102-1N/page-1", "2102-1N")</f>
        <v>2102-1N</v>
      </c>
      <c r="B19871" s="3" t="s">
        <v>116</v>
      </c>
      <c r="C19871" s="6">
        <v>328</v>
      </c>
      <c r="D19871" s="7">
        <v>38.44</v>
      </c>
    </row>
    <row r="19872" spans="1:5" x14ac:dyDescent="0.25">
      <c r="A19872" t="str">
        <f>HYPERLINK("https://www.773grp.com/globalSearch/74LS574N/page-1", "74LS574N")</f>
        <v>74LS574N</v>
      </c>
      <c r="B19872" s="3" t="s">
        <v>116</v>
      </c>
      <c r="C19872" s="6">
        <v>3778</v>
      </c>
      <c r="D19872" s="7">
        <v>38.68</v>
      </c>
    </row>
    <row r="19873" spans="1:5" x14ac:dyDescent="0.25">
      <c r="A19873" t="str">
        <f>HYPERLINK("https://www.773grp.com/globalSearch/FM93CS46M8/page-1", "FM93CS46M8")</f>
        <v>FM93CS46M8</v>
      </c>
      <c r="B19873" s="3" t="s">
        <v>116</v>
      </c>
      <c r="C19873" s="6">
        <v>5293</v>
      </c>
      <c r="D19873" s="7">
        <v>38.68</v>
      </c>
      <c r="E19873" t="s">
        <v>52</v>
      </c>
    </row>
    <row r="19874" spans="1:5" x14ac:dyDescent="0.25">
      <c r="A19874" t="str">
        <f>HYPERLINK("https://www.773grp.com/globalSearch/TP82530-6/page-1", "TP82530-6")</f>
        <v>TP82530-6</v>
      </c>
      <c r="B19874" s="3" t="s">
        <v>116</v>
      </c>
      <c r="C19874" s="6">
        <v>118</v>
      </c>
      <c r="D19874" s="7">
        <v>39.299999999999997</v>
      </c>
    </row>
    <row r="19875" spans="1:5" x14ac:dyDescent="0.25">
      <c r="A19875" t="str">
        <f>HYPERLINK("https://www.773grp.com/globalSearch/74177N/page-1", "74177N")</f>
        <v>74177N</v>
      </c>
      <c r="B19875" s="3" t="s">
        <v>116</v>
      </c>
      <c r="C19875" s="6">
        <v>1479</v>
      </c>
      <c r="D19875" s="7">
        <v>39.33</v>
      </c>
    </row>
    <row r="19876" spans="1:5" x14ac:dyDescent="0.25">
      <c r="A19876" t="str">
        <f>HYPERLINK("https://www.773grp.com/globalSearch/54LS92J-B/page-1", "54LS92J-B")</f>
        <v>54LS92J-B</v>
      </c>
      <c r="B19876" s="3" t="s">
        <v>116</v>
      </c>
      <c r="C19876" s="6">
        <v>2606</v>
      </c>
      <c r="D19876" s="7">
        <v>39.5</v>
      </c>
    </row>
    <row r="19877" spans="1:5" x14ac:dyDescent="0.25">
      <c r="A19877" t="str">
        <f>HYPERLINK("https://www.773grp.com/globalSearch/TN28F020-150/page-1", "TN28F020-150")</f>
        <v>TN28F020-150</v>
      </c>
      <c r="B19877" s="3" t="s">
        <v>116</v>
      </c>
      <c r="C19877" s="6">
        <v>600</v>
      </c>
      <c r="D19877" s="7">
        <v>39.6</v>
      </c>
    </row>
    <row r="19878" spans="1:5" x14ac:dyDescent="0.25">
      <c r="A19878" t="str">
        <f>HYPERLINK("https://www.773grp.com/globalSearch/PAL16R8-4JC/page-1", "PAL16R8-4JC")</f>
        <v>PAL16R8-4JC</v>
      </c>
      <c r="B19878" s="3" t="s">
        <v>116</v>
      </c>
      <c r="C19878" s="6">
        <v>604</v>
      </c>
      <c r="D19878" s="7">
        <v>39.71</v>
      </c>
      <c r="E19878" t="s">
        <v>42</v>
      </c>
    </row>
    <row r="19879" spans="1:5" x14ac:dyDescent="0.25">
      <c r="A19879" t="str">
        <f>HYPERLINK("https://www.773grp.com/globalSearch/N82C54-2/page-1", "N82C54-2")</f>
        <v>N82C54-2</v>
      </c>
      <c r="B19879" s="3" t="s">
        <v>116</v>
      </c>
      <c r="C19879" s="6">
        <v>1827</v>
      </c>
      <c r="D19879" s="7">
        <v>39.729999999999997</v>
      </c>
      <c r="E19879" t="s">
        <v>67</v>
      </c>
    </row>
    <row r="19880" spans="1:5" x14ac:dyDescent="0.25">
      <c r="A19880" t="str">
        <f>HYPERLINK("https://www.773grp.com/globalSearch/27LS00DC/page-1", "27LS00DC")</f>
        <v>27LS00DC</v>
      </c>
      <c r="B19880" s="3" t="s">
        <v>116</v>
      </c>
      <c r="C19880" s="6">
        <v>32</v>
      </c>
      <c r="D19880" s="7">
        <v>40.200000000000003</v>
      </c>
    </row>
    <row r="19881" spans="1:5" x14ac:dyDescent="0.25">
      <c r="A19881" t="str">
        <f>HYPERLINK("https://www.773grp.com/globalSearch/P8086/page-1", "P8086")</f>
        <v>P8086</v>
      </c>
      <c r="B19881" s="3" t="s">
        <v>116</v>
      </c>
      <c r="C19881" s="6">
        <v>7624</v>
      </c>
      <c r="D19881" s="7">
        <v>40.200000000000003</v>
      </c>
      <c r="E19881" t="s">
        <v>66</v>
      </c>
    </row>
    <row r="19882" spans="1:5" x14ac:dyDescent="0.25">
      <c r="A19882" t="str">
        <f>HYPERLINK("https://www.773grp.com/globalSearch/74LS468N/page-1", "74LS468N")</f>
        <v>74LS468N</v>
      </c>
      <c r="B19882" s="3" t="s">
        <v>116</v>
      </c>
      <c r="C19882" s="6">
        <v>754</v>
      </c>
      <c r="D19882" s="7">
        <v>40.200000000000003</v>
      </c>
    </row>
    <row r="19883" spans="1:5" x14ac:dyDescent="0.25">
      <c r="A19883" t="str">
        <f>HYPERLINK("https://www.773grp.com/globalSearch/ICL8212CPA/page-1", "ICL8212CPA")</f>
        <v>ICL8212CPA</v>
      </c>
      <c r="B19883" s="3" t="s">
        <v>116</v>
      </c>
      <c r="C19883" s="6">
        <v>2475</v>
      </c>
      <c r="D19883" s="7">
        <v>40.340000000000003</v>
      </c>
      <c r="E19883" t="s">
        <v>26</v>
      </c>
    </row>
    <row r="19884" spans="1:5" x14ac:dyDescent="0.25">
      <c r="A19884" t="str">
        <f>HYPERLINK("https://www.773grp.com/globalSearch/P8085AH-2-G/page-1", "P8085AH-2-G")</f>
        <v>P8085AH-2-G</v>
      </c>
      <c r="B19884" s="3" t="s">
        <v>116</v>
      </c>
      <c r="C19884" s="6">
        <v>203</v>
      </c>
      <c r="D19884" s="7">
        <v>40.36</v>
      </c>
    </row>
    <row r="19885" spans="1:5" x14ac:dyDescent="0.25">
      <c r="A19885" t="str">
        <f>HYPERLINK("https://www.773grp.com/globalSearch/AM188EM-33KC\W/page-1", "AM188EM-33KC-W")</f>
        <v>AM188EM-33KC-W</v>
      </c>
      <c r="B19885" s="3" t="s">
        <v>116</v>
      </c>
      <c r="C19885" s="6">
        <v>2225</v>
      </c>
      <c r="D19885" s="7">
        <v>40.729999999999997</v>
      </c>
    </row>
    <row r="19886" spans="1:5" x14ac:dyDescent="0.25">
      <c r="A19886" t="str">
        <f>HYPERLINK("https://www.773grp.com/globalSearch/TE502S08-25LC/page-1", "TE502S08-25LC")</f>
        <v>TE502S08-25LC</v>
      </c>
      <c r="B19886" s="3" t="s">
        <v>116</v>
      </c>
      <c r="C19886" s="6">
        <v>432</v>
      </c>
      <c r="D19886" s="7">
        <v>40.729999999999997</v>
      </c>
    </row>
    <row r="19887" spans="1:5" x14ac:dyDescent="0.25">
      <c r="A19887" t="str">
        <f>HYPERLINK("https://www.773grp.com/globalSearch/IP82C83H/page-1", "IP82C83H")</f>
        <v>IP82C83H</v>
      </c>
      <c r="B19887" s="3" t="s">
        <v>116</v>
      </c>
      <c r="C19887" s="6">
        <v>696</v>
      </c>
      <c r="D19887" s="7">
        <v>41.4</v>
      </c>
    </row>
    <row r="19888" spans="1:5" x14ac:dyDescent="0.25">
      <c r="A19888" t="str">
        <f>HYPERLINK("https://www.773grp.com/globalSearch/AM188EM-33KC\W-G/page-1", "AM188EM-33KC-W-G")</f>
        <v>AM188EM-33KC-W-G</v>
      </c>
      <c r="B19888" s="3" t="s">
        <v>116</v>
      </c>
      <c r="C19888" s="6">
        <v>427</v>
      </c>
      <c r="D19888" s="7">
        <v>41.6</v>
      </c>
    </row>
    <row r="19889" spans="1:5" x14ac:dyDescent="0.25">
      <c r="A19889" t="str">
        <f>HYPERLINK("https://www.773grp.com/globalSearch/CLC111AJE/page-1", "CLC111AJE")</f>
        <v>CLC111AJE</v>
      </c>
      <c r="B19889" s="3" t="s">
        <v>116</v>
      </c>
      <c r="C19889" s="6">
        <v>1848</v>
      </c>
      <c r="D19889" s="7">
        <v>41.69</v>
      </c>
    </row>
    <row r="19890" spans="1:5" x14ac:dyDescent="0.25">
      <c r="A19890" t="str">
        <f>HYPERLINK("https://www.773grp.com/globalSearch/OP15GZ/page-1", "OP15GZ")</f>
        <v>OP15GZ</v>
      </c>
      <c r="B19890" s="3" t="s">
        <v>116</v>
      </c>
      <c r="C19890" s="6">
        <v>20</v>
      </c>
      <c r="D19890" s="7">
        <v>42.03</v>
      </c>
      <c r="E19890" t="s">
        <v>10</v>
      </c>
    </row>
    <row r="19891" spans="1:5" x14ac:dyDescent="0.25">
      <c r="A19891" t="str">
        <f>HYPERLINK("https://www.773grp.com/globalSearch/74ALS8161NT/page-1", "74ALS8161NT")</f>
        <v>74ALS8161NT</v>
      </c>
      <c r="B19891" s="3" t="s">
        <v>116</v>
      </c>
      <c r="C19891" s="6">
        <v>856</v>
      </c>
      <c r="D19891" s="7">
        <v>42.24</v>
      </c>
    </row>
    <row r="19892" spans="1:5" x14ac:dyDescent="0.25">
      <c r="A19892" t="str">
        <f>HYPERLINK("https://www.773grp.com/globalSearch/UCC1926DS  REEL/page-1", "UCC1926DS  REEL")</f>
        <v>UCC1926DS  REEL</v>
      </c>
      <c r="B19892" s="3" t="s">
        <v>116</v>
      </c>
      <c r="C19892" s="6">
        <v>430</v>
      </c>
      <c r="D19892" s="7">
        <v>42.33</v>
      </c>
    </row>
    <row r="19893" spans="1:5" x14ac:dyDescent="0.25">
      <c r="A19893" t="str">
        <f>HYPERLINK("https://www.773grp.com/globalSearch/N8085AH-2-G/page-1", "N8085AH-2-G")</f>
        <v>N8085AH-2-G</v>
      </c>
      <c r="B19893" s="3" t="s">
        <v>116</v>
      </c>
      <c r="C19893" s="6">
        <v>1008</v>
      </c>
      <c r="D19893" s="7">
        <v>42.41</v>
      </c>
    </row>
    <row r="19894" spans="1:5" x14ac:dyDescent="0.25">
      <c r="A19894" t="str">
        <f>HYPERLINK("https://www.773grp.com/globalSearch/AM27LS07PC/page-1", "AM27LS07PC")</f>
        <v>AM27LS07PC</v>
      </c>
      <c r="B19894" s="3" t="s">
        <v>116</v>
      </c>
      <c r="C19894" s="6">
        <v>5684</v>
      </c>
      <c r="D19894" s="7">
        <v>42.46</v>
      </c>
      <c r="E19894" t="s">
        <v>63</v>
      </c>
    </row>
    <row r="19895" spans="1:5" x14ac:dyDescent="0.25">
      <c r="A19895" t="str">
        <f>HYPERLINK("https://www.773grp.com/globalSearch/963HC/page-1", "963HC")</f>
        <v>963HC</v>
      </c>
      <c r="B19895" s="3" t="s">
        <v>116</v>
      </c>
      <c r="C19895" s="6">
        <v>28</v>
      </c>
      <c r="D19895" s="7">
        <v>42.56</v>
      </c>
    </row>
    <row r="19896" spans="1:5" x14ac:dyDescent="0.25">
      <c r="A19896" t="str">
        <f>HYPERLINK("https://www.773grp.com/globalSearch/R534145  LT/page-1", "R534145  LT")</f>
        <v>R534145  LT</v>
      </c>
      <c r="B19896" s="3" t="s">
        <v>116</v>
      </c>
      <c r="C19896" s="6">
        <v>40</v>
      </c>
      <c r="D19896" s="7">
        <v>42.85</v>
      </c>
    </row>
    <row r="19897" spans="1:5" x14ac:dyDescent="0.25">
      <c r="A19897" t="str">
        <f>HYPERLINK("https://www.773grp.com/globalSearch/N80C152JB/page-1", "N80C152JB")</f>
        <v>N80C152JB</v>
      </c>
      <c r="B19897" s="3" t="s">
        <v>116</v>
      </c>
      <c r="C19897" s="6">
        <v>976</v>
      </c>
      <c r="D19897" s="7">
        <v>42.85</v>
      </c>
      <c r="E19897" t="s">
        <v>43</v>
      </c>
    </row>
    <row r="19898" spans="1:5" x14ac:dyDescent="0.25">
      <c r="A19898" t="str">
        <f>HYPERLINK("https://www.773grp.com/globalSearch/100183FC/page-1", "100183FC")</f>
        <v>100183FC</v>
      </c>
      <c r="B19898" s="3" t="s">
        <v>116</v>
      </c>
      <c r="C19898" s="6">
        <v>204</v>
      </c>
      <c r="D19898" s="7">
        <v>43.6</v>
      </c>
      <c r="E19898" t="s">
        <v>38</v>
      </c>
    </row>
    <row r="19899" spans="1:5" x14ac:dyDescent="0.25">
      <c r="A19899" t="str">
        <f>HYPERLINK("https://www.773grp.com/globalSearch/AM27C256-55PC/page-1", "AM27C256-55PC")</f>
        <v>AM27C256-55PC</v>
      </c>
      <c r="B19899" s="3" t="s">
        <v>116</v>
      </c>
      <c r="C19899" s="6">
        <v>75</v>
      </c>
      <c r="D19899" s="7">
        <v>43.79</v>
      </c>
    </row>
    <row r="19900" spans="1:5" x14ac:dyDescent="0.25">
      <c r="A19900" t="str">
        <f>HYPERLINK("https://www.773grp.com/globalSearch/MM74C911N/page-1", "MM74C911N")</f>
        <v>MM74C911N</v>
      </c>
      <c r="B19900" s="3" t="s">
        <v>116</v>
      </c>
      <c r="C19900" s="6">
        <v>2021</v>
      </c>
      <c r="D19900" s="7">
        <v>43.86</v>
      </c>
      <c r="E19900" t="s">
        <v>7</v>
      </c>
    </row>
    <row r="19901" spans="1:5" x14ac:dyDescent="0.25">
      <c r="A19901" t="str">
        <f>HYPERLINK("https://www.773grp.com/globalSearch/D8243/page-1", "D8243")</f>
        <v>D8243</v>
      </c>
      <c r="B19901" s="3" t="s">
        <v>116</v>
      </c>
      <c r="C19901" s="6">
        <v>837</v>
      </c>
      <c r="D19901" s="7">
        <v>43.98</v>
      </c>
      <c r="E19901" t="s">
        <v>40</v>
      </c>
    </row>
    <row r="19902" spans="1:5" x14ac:dyDescent="0.25">
      <c r="A19902" t="str">
        <f>HYPERLINK("https://www.773grp.com/globalSearch/74LS794N/page-1", "74LS794N")</f>
        <v>74LS794N</v>
      </c>
      <c r="B19902" s="3" t="s">
        <v>116</v>
      </c>
      <c r="C19902" s="6">
        <v>1545</v>
      </c>
      <c r="D19902" s="7">
        <v>44.11</v>
      </c>
    </row>
    <row r="19903" spans="1:5" x14ac:dyDescent="0.25">
      <c r="A19903" t="str">
        <f>HYPERLINK("https://www.773grp.com/globalSearch/9519AJC/page-1", "9519AJC")</f>
        <v>9519AJC</v>
      </c>
      <c r="B19903" s="3" t="s">
        <v>116</v>
      </c>
      <c r="C19903" s="6">
        <v>49</v>
      </c>
      <c r="D19903" s="7">
        <v>44.36</v>
      </c>
    </row>
    <row r="19904" spans="1:5" x14ac:dyDescent="0.25">
      <c r="A19904" t="str">
        <f>HYPERLINK("https://www.773grp.com/globalSearch/946HM/page-1", "946HM")</f>
        <v>946HM</v>
      </c>
      <c r="B19904" s="3" t="s">
        <v>116</v>
      </c>
      <c r="C19904" s="6">
        <v>192</v>
      </c>
      <c r="D19904" s="7">
        <v>44.56</v>
      </c>
    </row>
    <row r="19905" spans="1:5" x14ac:dyDescent="0.25">
      <c r="A19905" t="str">
        <f>HYPERLINK("https://www.773grp.com/globalSearch/P8085AH-2/page-1", "P8085AH-2")</f>
        <v>P8085AH-2</v>
      </c>
      <c r="B19905" s="3" t="s">
        <v>116</v>
      </c>
      <c r="C19905" s="6">
        <v>221</v>
      </c>
      <c r="D19905" s="7">
        <v>44.99</v>
      </c>
      <c r="E19905" t="s">
        <v>66</v>
      </c>
    </row>
    <row r="19906" spans="1:5" x14ac:dyDescent="0.25">
      <c r="A19906" t="str">
        <f>HYPERLINK("https://www.773grp.com/globalSearch/9305DM/page-1", "9305DM")</f>
        <v>9305DM</v>
      </c>
      <c r="B19906" s="3" t="s">
        <v>116</v>
      </c>
      <c r="C19906" s="6">
        <v>20</v>
      </c>
      <c r="D19906" s="7">
        <v>45.38</v>
      </c>
    </row>
    <row r="19907" spans="1:5" x14ac:dyDescent="0.25">
      <c r="A19907" t="str">
        <f>HYPERLINK("https://www.773grp.com/globalSearch/ICL8211CTY/page-1", "ICL8211CTY")</f>
        <v>ICL8211CTY</v>
      </c>
      <c r="B19907" s="3" t="s">
        <v>116</v>
      </c>
      <c r="C19907" s="6">
        <v>599</v>
      </c>
      <c r="D19907" s="7">
        <v>45.38</v>
      </c>
      <c r="E19907" t="s">
        <v>26</v>
      </c>
    </row>
    <row r="19908" spans="1:5" x14ac:dyDescent="0.25">
      <c r="A19908" t="str">
        <f>HYPERLINK("https://www.773grp.com/globalSearch/2952ADC/page-1", "2952ADC")</f>
        <v>2952ADC</v>
      </c>
      <c r="B19908" s="3" t="s">
        <v>116</v>
      </c>
      <c r="C19908" s="6">
        <v>566</v>
      </c>
      <c r="D19908" s="7">
        <v>45.38</v>
      </c>
    </row>
    <row r="19909" spans="1:5" x14ac:dyDescent="0.25">
      <c r="A19909" t="str">
        <f>HYPERLINK("https://www.773grp.com/globalSearch/74HCT620N/page-1", "74HCT620N")</f>
        <v>74HCT620N</v>
      </c>
      <c r="B19909" s="3" t="s">
        <v>116</v>
      </c>
      <c r="C19909" s="6">
        <v>2311</v>
      </c>
      <c r="D19909" s="7">
        <v>45.38</v>
      </c>
    </row>
    <row r="19910" spans="1:5" x14ac:dyDescent="0.25">
      <c r="A19910" t="str">
        <f>HYPERLINK("https://www.773grp.com/globalSearch/MC10125L/page-1", "MC10125L")</f>
        <v>MC10125L</v>
      </c>
      <c r="B19910" s="3" t="s">
        <v>116</v>
      </c>
      <c r="C19910" s="6">
        <v>805</v>
      </c>
      <c r="D19910" s="7">
        <v>45.66</v>
      </c>
      <c r="E19910" t="s">
        <v>61</v>
      </c>
    </row>
    <row r="19911" spans="1:5" x14ac:dyDescent="0.25">
      <c r="A19911" t="str">
        <f>HYPERLINK("https://www.773grp.com/globalSearch/TL514CN/page-1", "TL514CN")</f>
        <v>TL514CN</v>
      </c>
      <c r="B19911" s="3" t="s">
        <v>116</v>
      </c>
      <c r="C19911" s="6">
        <v>2498</v>
      </c>
      <c r="D19911" s="7">
        <v>45.74</v>
      </c>
    </row>
    <row r="19912" spans="1:5" x14ac:dyDescent="0.25">
      <c r="A19912" t="str">
        <f>HYPERLINK("https://www.773grp.com/globalSearch/TD8259A-2/page-1", "TD8259A-2")</f>
        <v>TD8259A-2</v>
      </c>
      <c r="B19912" s="3" t="s">
        <v>116</v>
      </c>
      <c r="C19912" s="6">
        <v>2235</v>
      </c>
      <c r="D19912" s="7">
        <v>45.81</v>
      </c>
      <c r="E19912" t="s">
        <v>102</v>
      </c>
    </row>
    <row r="19913" spans="1:5" x14ac:dyDescent="0.25">
      <c r="A19913" t="str">
        <f>HYPERLINK("https://www.773grp.com/globalSearch/HA3-2425-5/page-1", "HA3-2425-5")</f>
        <v>HA3-2425-5</v>
      </c>
      <c r="B19913" s="3" t="s">
        <v>116</v>
      </c>
      <c r="C19913" s="6">
        <v>344</v>
      </c>
      <c r="D19913" s="7">
        <v>46.3</v>
      </c>
    </row>
    <row r="19914" spans="1:5" x14ac:dyDescent="0.25">
      <c r="A19914" t="str">
        <f>HYPERLINK("https://www.773grp.com/globalSearch/54L86DM/page-1", "54L86DM")</f>
        <v>54L86DM</v>
      </c>
      <c r="B19914" s="3" t="s">
        <v>116</v>
      </c>
      <c r="C19914" s="6">
        <v>1</v>
      </c>
      <c r="D19914" s="7">
        <v>46.63</v>
      </c>
    </row>
    <row r="19915" spans="1:5" x14ac:dyDescent="0.25">
      <c r="A19915" t="str">
        <f>HYPERLINK("https://www.773grp.com/globalSearch/R534145/page-1", "R534145")</f>
        <v>R534145</v>
      </c>
      <c r="B19915" s="3" t="s">
        <v>116</v>
      </c>
      <c r="C19915" s="6">
        <v>44</v>
      </c>
      <c r="D19915" s="7">
        <v>46.63</v>
      </c>
    </row>
    <row r="19916" spans="1:5" x14ac:dyDescent="0.25">
      <c r="A19916" t="str">
        <f>HYPERLINK("https://www.773grp.com/globalSearch/D8253-5/page-1", "D8253-5")</f>
        <v>D8253-5</v>
      </c>
      <c r="B19916" s="3" t="s">
        <v>116</v>
      </c>
      <c r="C19916" s="6">
        <v>2</v>
      </c>
      <c r="D19916" s="7">
        <v>47.74</v>
      </c>
      <c r="E19916" t="s">
        <v>67</v>
      </c>
    </row>
    <row r="19917" spans="1:5" x14ac:dyDescent="0.25">
      <c r="A19917" t="str">
        <f>HYPERLINK("https://www.773grp.com/globalSearch/D8253-5/page-1", "D8253-5")</f>
        <v>D8253-5</v>
      </c>
      <c r="B19917" s="3" t="s">
        <v>116</v>
      </c>
      <c r="C19917" s="6">
        <v>462</v>
      </c>
      <c r="D19917" s="7">
        <v>47.74</v>
      </c>
      <c r="E19917" t="s">
        <v>67</v>
      </c>
    </row>
    <row r="19918" spans="1:5" x14ac:dyDescent="0.25">
      <c r="A19918" t="str">
        <f>HYPERLINK("https://www.773grp.com/globalSearch/R932172/page-1", "R932172")</f>
        <v>R932172</v>
      </c>
      <c r="B19918" s="3" t="s">
        <v>116</v>
      </c>
      <c r="C19918" s="6">
        <v>456</v>
      </c>
      <c r="D19918" s="7">
        <v>47.89</v>
      </c>
    </row>
    <row r="19919" spans="1:5" x14ac:dyDescent="0.25">
      <c r="A19919" t="str">
        <f>HYPERLINK("https://www.773grp.com/globalSearch/R932172  LT/page-1", "R932172  LT")</f>
        <v>R932172  LT</v>
      </c>
      <c r="B19919" s="3" t="s">
        <v>116</v>
      </c>
      <c r="C19919" s="6">
        <v>90</v>
      </c>
      <c r="D19919" s="7">
        <v>47.89</v>
      </c>
    </row>
    <row r="19920" spans="1:5" x14ac:dyDescent="0.25">
      <c r="A19920" t="str">
        <f>HYPERLINK("https://www.773grp.com/globalSearch/DS3632J-8/page-1", "DS3632J-8")</f>
        <v>DS3632J-8</v>
      </c>
      <c r="B19920" s="3" t="s">
        <v>116</v>
      </c>
      <c r="C19920" s="6">
        <v>2261</v>
      </c>
      <c r="D19920" s="7">
        <v>47.89</v>
      </c>
    </row>
    <row r="19921" spans="1:5" x14ac:dyDescent="0.25">
      <c r="A19921" t="str">
        <f>HYPERLINK("https://www.773grp.com/globalSearch/AM27C256-120PC/page-1", "AM27C256-120PC")</f>
        <v>AM27C256-120PC</v>
      </c>
      <c r="B19921" s="3" t="s">
        <v>116</v>
      </c>
      <c r="C19921" s="6">
        <v>126</v>
      </c>
      <c r="D19921" s="7">
        <v>47.89</v>
      </c>
      <c r="E19921" t="s">
        <v>52</v>
      </c>
    </row>
    <row r="19922" spans="1:5" x14ac:dyDescent="0.25">
      <c r="A19922" t="str">
        <f>HYPERLINK("https://www.773grp.com/globalSearch/TE512S32-25LC/page-1", "TE512S32-25LC")</f>
        <v>TE512S32-25LC</v>
      </c>
      <c r="B19922" s="3" t="s">
        <v>116</v>
      </c>
      <c r="C19922" s="6">
        <v>901</v>
      </c>
      <c r="D19922" s="7">
        <v>47.99</v>
      </c>
    </row>
    <row r="19923" spans="1:5" x14ac:dyDescent="0.25">
      <c r="A19923" t="str">
        <f>HYPERLINK("https://www.773grp.com/globalSearch/93L12FM/page-1", "93L12FM")</f>
        <v>93L12FM</v>
      </c>
      <c r="B19923" s="3" t="s">
        <v>116</v>
      </c>
      <c r="C19923" s="6">
        <v>341</v>
      </c>
      <c r="D19923" s="7">
        <v>48.21</v>
      </c>
    </row>
    <row r="19924" spans="1:5" x14ac:dyDescent="0.25">
      <c r="A19924" t="str">
        <f>HYPERLINK("https://www.773grp.com/globalSearch/AM7992BDC/page-1", "AM7992BDC")</f>
        <v>AM7992BDC</v>
      </c>
      <c r="B19924" s="3" t="s">
        <v>116</v>
      </c>
      <c r="C19924" s="6">
        <v>1034</v>
      </c>
      <c r="D19924" s="7">
        <v>48.28</v>
      </c>
    </row>
    <row r="19925" spans="1:5" x14ac:dyDescent="0.25">
      <c r="A19925" t="str">
        <f>HYPERLINK("https://www.773grp.com/globalSearch/79C90JC/page-1", "79C90JC")</f>
        <v>79C90JC</v>
      </c>
      <c r="B19925" s="3" t="s">
        <v>116</v>
      </c>
      <c r="C19925" s="6">
        <v>7732</v>
      </c>
      <c r="D19925" s="7">
        <v>48.3</v>
      </c>
    </row>
    <row r="19926" spans="1:5" x14ac:dyDescent="0.25">
      <c r="A19926" t="str">
        <f>HYPERLINK("https://www.773grp.com/globalSearch/AM79C90JC/page-1", "AM79C90JC")</f>
        <v>AM79C90JC</v>
      </c>
      <c r="B19926" s="3" t="s">
        <v>116</v>
      </c>
      <c r="C19926" s="6">
        <v>11443</v>
      </c>
      <c r="D19926" s="7">
        <v>48.3</v>
      </c>
      <c r="E19926" t="s">
        <v>59</v>
      </c>
    </row>
    <row r="19927" spans="1:5" x14ac:dyDescent="0.25">
      <c r="A19927" t="str">
        <f>HYPERLINK("https://www.773grp.com/globalSearch/R552114  LT/page-1", "R552114  LT")</f>
        <v>R552114  LT</v>
      </c>
      <c r="B19927" s="3" t="s">
        <v>116</v>
      </c>
      <c r="C19927" s="6">
        <v>48</v>
      </c>
      <c r="D19927" s="7">
        <v>48.54</v>
      </c>
    </row>
    <row r="19928" spans="1:5" x14ac:dyDescent="0.25">
      <c r="A19928" t="str">
        <f>HYPERLINK("https://www.773grp.com/globalSearch/5482W-R/page-1", "5482W-R")</f>
        <v>5482W-R</v>
      </c>
      <c r="B19928" s="3" t="s">
        <v>116</v>
      </c>
      <c r="C19928" s="6">
        <v>167</v>
      </c>
      <c r="D19928" s="7">
        <v>49.16</v>
      </c>
    </row>
    <row r="19929" spans="1:5" x14ac:dyDescent="0.25">
      <c r="A19929" t="str">
        <f>HYPERLINK("https://www.773grp.com/globalSearch/LD8752BH/page-1", "LD8752BH")</f>
        <v>LD8752BH</v>
      </c>
      <c r="B19929" s="3" t="s">
        <v>116</v>
      </c>
      <c r="C19929" s="6">
        <v>71</v>
      </c>
      <c r="D19929" s="7">
        <v>49.16</v>
      </c>
      <c r="E19929" t="s">
        <v>43</v>
      </c>
    </row>
    <row r="19930" spans="1:5" x14ac:dyDescent="0.25">
      <c r="A19930" t="str">
        <f>HYPERLINK("https://www.773grp.com/globalSearch/N80C152JB-1/page-1", "N80C152JB-1")</f>
        <v>N80C152JB-1</v>
      </c>
      <c r="B19930" s="3" t="s">
        <v>116</v>
      </c>
      <c r="C19930" s="6">
        <v>794</v>
      </c>
      <c r="D19930" s="7">
        <v>49.16</v>
      </c>
      <c r="E19930" t="s">
        <v>43</v>
      </c>
    </row>
    <row r="19931" spans="1:5" x14ac:dyDescent="0.25">
      <c r="A19931" t="str">
        <f>HYPERLINK("https://www.773grp.com/globalSearch/CLC406AJE/page-1", "CLC406AJE")</f>
        <v>CLC406AJE</v>
      </c>
      <c r="B19931" s="3" t="s">
        <v>116</v>
      </c>
      <c r="C19931" s="6">
        <v>4836</v>
      </c>
      <c r="D19931" s="7">
        <v>49.16</v>
      </c>
      <c r="E19931" t="s">
        <v>10</v>
      </c>
    </row>
    <row r="19932" spans="1:5" x14ac:dyDescent="0.25">
      <c r="A19932" t="str">
        <f>HYPERLINK("https://www.773grp.com/globalSearch/2502DC/page-1", "2502DC")</f>
        <v>2502DC</v>
      </c>
      <c r="B19932" s="3" t="s">
        <v>116</v>
      </c>
      <c r="C19932" s="6">
        <v>230</v>
      </c>
      <c r="D19932" s="7">
        <v>49.16</v>
      </c>
    </row>
    <row r="19933" spans="1:5" x14ac:dyDescent="0.25">
      <c r="A19933" t="str">
        <f>HYPERLINK("https://www.773grp.com/globalSearch/DM7136J  LT/page-1", "DM7136J  LT")</f>
        <v>DM7136J  LT</v>
      </c>
      <c r="B19933" s="3" t="s">
        <v>116</v>
      </c>
      <c r="C19933" s="6">
        <v>43</v>
      </c>
      <c r="D19933" s="7">
        <v>49.8</v>
      </c>
    </row>
    <row r="19934" spans="1:5" x14ac:dyDescent="0.25">
      <c r="A19934" t="str">
        <f>HYPERLINK("https://www.773grp.com/globalSearch/9519A-1JC/page-1", "9519A-1JC")</f>
        <v>9519A-1JC</v>
      </c>
      <c r="B19934" s="3" t="s">
        <v>116</v>
      </c>
      <c r="C19934" s="6">
        <v>2465</v>
      </c>
      <c r="D19934" s="7">
        <v>50.04</v>
      </c>
    </row>
    <row r="19935" spans="1:5" x14ac:dyDescent="0.25">
      <c r="A19935" t="str">
        <f>HYPERLINK("https://www.773grp.com/globalSearch/74184N/page-1", "74184N")</f>
        <v>74184N</v>
      </c>
      <c r="B19935" s="3" t="s">
        <v>116</v>
      </c>
      <c r="C19935" s="6">
        <v>1866</v>
      </c>
      <c r="D19935" s="7">
        <v>50.4</v>
      </c>
    </row>
    <row r="19936" spans="1:5" x14ac:dyDescent="0.25">
      <c r="A19936" t="str">
        <f>HYPERLINK("https://www.773grp.com/globalSearch/HC9P55564-9/page-1", "HC9P55564-9")</f>
        <v>HC9P55564-9</v>
      </c>
      <c r="B19936" s="3" t="s">
        <v>116</v>
      </c>
      <c r="C19936" s="6">
        <v>11</v>
      </c>
      <c r="D19936" s="7">
        <v>50.4</v>
      </c>
      <c r="E19936" t="s">
        <v>54</v>
      </c>
    </row>
    <row r="19937" spans="1:4" x14ac:dyDescent="0.25">
      <c r="A19937" t="str">
        <f>HYPERLINK("https://www.773grp.com/globalSearch/AM188EM-40KC\W-G  UM/page-1", "AM188EM-40KC-W-G  UM")</f>
        <v>AM188EM-40KC-W-G  UM</v>
      </c>
      <c r="B19937" s="3" t="s">
        <v>116</v>
      </c>
      <c r="C19937" s="6">
        <v>2694</v>
      </c>
      <c r="D19937" s="7">
        <v>51.1</v>
      </c>
    </row>
    <row r="19938" spans="1:4" x14ac:dyDescent="0.25">
      <c r="A19938" t="str">
        <f>HYPERLINK("https://www.773grp.com/globalSearch/54H62J-B/page-1", "54H62J-B")</f>
        <v>54H62J-B</v>
      </c>
      <c r="B19938" s="3" t="s">
        <v>116</v>
      </c>
      <c r="C19938" s="6">
        <v>61</v>
      </c>
      <c r="D19938" s="7">
        <v>51.29</v>
      </c>
    </row>
    <row r="19939" spans="1:4" x14ac:dyDescent="0.25">
      <c r="A19939" t="str">
        <f>HYPERLINK("https://www.773grp.com/globalSearch/MAX3657ETC-G/page-1", "MAX3657ETC-G")</f>
        <v>MAX3657ETC-G</v>
      </c>
      <c r="B19939" s="3" t="s">
        <v>116</v>
      </c>
      <c r="C19939" s="6">
        <v>148</v>
      </c>
      <c r="D19939" s="7">
        <v>51.29</v>
      </c>
    </row>
    <row r="19940" spans="1:4" x14ac:dyDescent="0.25">
      <c r="A19940" t="str">
        <f>HYPERLINK("https://www.773grp.com/globalSearch/ADC1005CCJ/page-1", "ADC1005CCJ")</f>
        <v>ADC1005CCJ</v>
      </c>
      <c r="B19940" s="3" t="s">
        <v>116</v>
      </c>
      <c r="C19940" s="6">
        <v>1196</v>
      </c>
      <c r="D19940" s="7">
        <v>52.59</v>
      </c>
    </row>
    <row r="19941" spans="1:4" x14ac:dyDescent="0.25">
      <c r="A19941" t="str">
        <f>HYPERLINK("https://www.773grp.com/globalSearch/9L00FM/page-1", "9L00FM")</f>
        <v>9L00FM</v>
      </c>
      <c r="B19941" s="3" t="s">
        <v>116</v>
      </c>
      <c r="C19941" s="6">
        <v>177</v>
      </c>
      <c r="D19941" s="7">
        <v>52.94</v>
      </c>
    </row>
    <row r="19942" spans="1:4" x14ac:dyDescent="0.25">
      <c r="A19942" t="str">
        <f>HYPERLINK("https://www.773grp.com/globalSearch/R652106/page-1", "R652106")</f>
        <v>R652106</v>
      </c>
      <c r="B19942" s="3" t="s">
        <v>116</v>
      </c>
      <c r="C19942" s="6">
        <v>162</v>
      </c>
      <c r="D19942" s="7">
        <v>52.94</v>
      </c>
    </row>
    <row r="19943" spans="1:4" x14ac:dyDescent="0.25">
      <c r="A19943" t="str">
        <f>HYPERLINK("https://www.773grp.com/globalSearch/27S29ADC/page-1", "27S29ADC")</f>
        <v>27S29ADC</v>
      </c>
      <c r="B19943" s="3" t="s">
        <v>116</v>
      </c>
      <c r="C19943" s="6">
        <v>819</v>
      </c>
      <c r="D19943" s="7">
        <v>52.94</v>
      </c>
    </row>
    <row r="19944" spans="1:4" x14ac:dyDescent="0.25">
      <c r="A19944" t="str">
        <f>HYPERLINK("https://www.773grp.com/globalSearch/COP370N/page-1", "COP370N")</f>
        <v>COP370N</v>
      </c>
      <c r="B19944" s="3" t="s">
        <v>116</v>
      </c>
      <c r="C19944" s="6">
        <v>962</v>
      </c>
      <c r="D19944" s="7">
        <v>52.94</v>
      </c>
    </row>
    <row r="19945" spans="1:4" x14ac:dyDescent="0.25">
      <c r="A19945" t="str">
        <f>HYPERLINK("https://www.773grp.com/globalSearch/9513APC/page-1", "9513APC")</f>
        <v>9513APC</v>
      </c>
      <c r="B19945" s="3" t="s">
        <v>116</v>
      </c>
      <c r="C19945" s="6">
        <v>1413</v>
      </c>
      <c r="D19945" s="7">
        <v>53.41</v>
      </c>
    </row>
    <row r="19946" spans="1:4" x14ac:dyDescent="0.25">
      <c r="A19946" t="str">
        <f>HYPERLINK("https://www.773grp.com/globalSearch/TE505S16-40QC-G/page-1", "TE505S16-40QC-G")</f>
        <v>TE505S16-40QC-G</v>
      </c>
      <c r="B19946" s="3" t="s">
        <v>116</v>
      </c>
      <c r="C19946" s="6">
        <v>317</v>
      </c>
      <c r="D19946" s="7">
        <v>54.24</v>
      </c>
    </row>
    <row r="19947" spans="1:4" x14ac:dyDescent="0.25">
      <c r="A19947" t="str">
        <f>HYPERLINK("https://www.773grp.com/globalSearch/AM27C512-150JI/page-1", "AM27C512-150JI")</f>
        <v>AM27C512-150JI</v>
      </c>
      <c r="B19947" s="3" t="s">
        <v>116</v>
      </c>
      <c r="C19947" s="6">
        <v>50</v>
      </c>
      <c r="D19947" s="7">
        <v>54.38</v>
      </c>
    </row>
    <row r="19948" spans="1:4" x14ac:dyDescent="0.25">
      <c r="A19948" t="str">
        <f>HYPERLINK("https://www.773grp.com/globalSearch/54H01J-B/page-1", "54H01J-B")</f>
        <v>54H01J-B</v>
      </c>
      <c r="B19948" s="3" t="s">
        <v>116</v>
      </c>
      <c r="C19948" s="6">
        <v>146</v>
      </c>
      <c r="D19948" s="7">
        <v>54.83</v>
      </c>
    </row>
    <row r="19949" spans="1:4" x14ac:dyDescent="0.25">
      <c r="A19949" t="str">
        <f>HYPERLINK("https://www.773grp.com/globalSearch/54H10J-C/page-1", "54H10J-C")</f>
        <v>54H10J-C</v>
      </c>
      <c r="B19949" s="3" t="s">
        <v>116</v>
      </c>
      <c r="C19949" s="6">
        <v>163</v>
      </c>
      <c r="D19949" s="7">
        <v>54.83</v>
      </c>
    </row>
    <row r="19950" spans="1:4" x14ac:dyDescent="0.25">
      <c r="A19950" t="str">
        <f>HYPERLINK("https://www.773grp.com/globalSearch/54H74J-C/page-1", "54H74J-C")</f>
        <v>54H74J-C</v>
      </c>
      <c r="B19950" s="3" t="s">
        <v>116</v>
      </c>
      <c r="C19950" s="6">
        <v>138</v>
      </c>
      <c r="D19950" s="7">
        <v>54.83</v>
      </c>
    </row>
    <row r="19951" spans="1:4" x14ac:dyDescent="0.25">
      <c r="A19951" t="str">
        <f>HYPERLINK("https://www.773grp.com/globalSearch/AM186ED-40KC\W/page-1", "AM186ED-40KC-W")</f>
        <v>AM186ED-40KC-W</v>
      </c>
      <c r="B19951" s="3" t="s">
        <v>116</v>
      </c>
      <c r="C19951" s="6">
        <v>55</v>
      </c>
      <c r="D19951" s="7">
        <v>55</v>
      </c>
    </row>
    <row r="19952" spans="1:4" x14ac:dyDescent="0.25">
      <c r="A19952" t="str">
        <f>HYPERLINK("https://www.773grp.com/globalSearch/54S226J/page-1", "54S226J")</f>
        <v>54S226J</v>
      </c>
      <c r="B19952" s="3" t="s">
        <v>116</v>
      </c>
      <c r="C19952" s="6">
        <v>209</v>
      </c>
      <c r="D19952" s="7">
        <v>55.45</v>
      </c>
    </row>
    <row r="19953" spans="1:5" x14ac:dyDescent="0.25">
      <c r="A19953" t="str">
        <f>HYPERLINK("https://www.773grp.com/globalSearch/P8085AH-1/page-1", "P8085AH-1")</f>
        <v>P8085AH-1</v>
      </c>
      <c r="B19953" s="3" t="s">
        <v>116</v>
      </c>
      <c r="C19953" s="6">
        <v>338</v>
      </c>
      <c r="D19953" s="7">
        <v>55.45</v>
      </c>
      <c r="E19953" t="s">
        <v>66</v>
      </c>
    </row>
    <row r="19954" spans="1:5" x14ac:dyDescent="0.25">
      <c r="A19954" t="str">
        <f>HYPERLINK("https://www.773grp.com/globalSearch/26S02DI/page-1", "26S02DI")</f>
        <v>26S02DI</v>
      </c>
      <c r="B19954" s="3" t="s">
        <v>116</v>
      </c>
      <c r="C19954" s="6">
        <v>1731</v>
      </c>
      <c r="D19954" s="7">
        <v>55.86</v>
      </c>
    </row>
    <row r="19955" spans="1:5" x14ac:dyDescent="0.25">
      <c r="A19955" t="str">
        <f>HYPERLINK("https://www.773grp.com/globalSearch/CLC533AJE/page-1", "CLC533AJE")</f>
        <v>CLC533AJE</v>
      </c>
      <c r="B19955" s="3" t="s">
        <v>116</v>
      </c>
      <c r="C19955" s="6">
        <v>2415</v>
      </c>
      <c r="D19955" s="7">
        <v>56.4</v>
      </c>
      <c r="E19955" t="s">
        <v>46</v>
      </c>
    </row>
    <row r="19956" spans="1:5" x14ac:dyDescent="0.25">
      <c r="A19956" t="str">
        <f>HYPERLINK("https://www.773grp.com/globalSearch/2911ADC/page-1", "2911ADC")</f>
        <v>2911ADC</v>
      </c>
      <c r="B19956" s="3" t="s">
        <v>116</v>
      </c>
      <c r="C19956" s="6">
        <v>12</v>
      </c>
      <c r="D19956" s="7">
        <v>56.71</v>
      </c>
    </row>
    <row r="19957" spans="1:5" x14ac:dyDescent="0.25">
      <c r="A19957" t="str">
        <f>HYPERLINK("https://www.773grp.com/globalSearch/SCANPSC110FSC/page-1", "SCANPSC110FSC")</f>
        <v>SCANPSC110FSC</v>
      </c>
      <c r="B19957" s="3" t="s">
        <v>116</v>
      </c>
      <c r="C19957" s="6">
        <v>836</v>
      </c>
      <c r="D19957" s="7">
        <v>56.71</v>
      </c>
    </row>
    <row r="19958" spans="1:5" x14ac:dyDescent="0.25">
      <c r="A19958" t="str">
        <f>HYPERLINK("https://www.773grp.com/globalSearch/75478JG/page-1", "75478JG")</f>
        <v>75478JG</v>
      </c>
      <c r="B19958" s="3" t="s">
        <v>116</v>
      </c>
      <c r="C19958" s="6">
        <v>305</v>
      </c>
      <c r="D19958" s="7">
        <v>56.98</v>
      </c>
    </row>
    <row r="19959" spans="1:5" x14ac:dyDescent="0.25">
      <c r="A19959" t="str">
        <f>HYPERLINK("https://www.773grp.com/globalSearch/54196DM-B/page-1", "54196DM-B")</f>
        <v>54196DM-B</v>
      </c>
      <c r="B19959" s="3" t="s">
        <v>116</v>
      </c>
      <c r="C19959" s="6">
        <v>248</v>
      </c>
      <c r="D19959" s="7">
        <v>58.61</v>
      </c>
    </row>
    <row r="19960" spans="1:5" x14ac:dyDescent="0.25">
      <c r="A19960" t="str">
        <f>HYPERLINK("https://www.773grp.com/globalSearch/N82C288-10/page-1", "N82C288-10")</f>
        <v>N82C288-10</v>
      </c>
      <c r="B19960" s="3" t="s">
        <v>116</v>
      </c>
      <c r="C19960" s="6">
        <v>4069</v>
      </c>
      <c r="D19960" s="7">
        <v>58.84</v>
      </c>
      <c r="E19960" t="s">
        <v>72</v>
      </c>
    </row>
    <row r="19961" spans="1:5" x14ac:dyDescent="0.25">
      <c r="A19961" t="str">
        <f>HYPERLINK("https://www.773grp.com/globalSearch/7123J-C/page-1", "7123J-C")</f>
        <v>7123J-C</v>
      </c>
      <c r="B19961" s="3" t="s">
        <v>116</v>
      </c>
      <c r="C19961" s="6">
        <v>110</v>
      </c>
      <c r="D19961" s="7">
        <v>59.24</v>
      </c>
    </row>
    <row r="19962" spans="1:5" x14ac:dyDescent="0.25">
      <c r="A19962" t="str">
        <f>HYPERLINK("https://www.773grp.com/globalSearch/HA7-5221-5/page-1", "HA7-5221-5")</f>
        <v>HA7-5221-5</v>
      </c>
      <c r="B19962" s="3" t="s">
        <v>116</v>
      </c>
      <c r="C19962" s="6">
        <v>820</v>
      </c>
      <c r="D19962" s="7">
        <v>59.8</v>
      </c>
      <c r="E19962" t="s">
        <v>10</v>
      </c>
    </row>
    <row r="19963" spans="1:5" x14ac:dyDescent="0.25">
      <c r="A19963" t="str">
        <f>HYPERLINK("https://www.773grp.com/globalSearch/970088-51/page-1", "970088-51")</f>
        <v>970088-51</v>
      </c>
      <c r="B19963" s="3" t="s">
        <v>116</v>
      </c>
      <c r="C19963" s="6">
        <v>311</v>
      </c>
      <c r="D19963" s="7">
        <v>59.88</v>
      </c>
    </row>
    <row r="19964" spans="1:5" x14ac:dyDescent="0.25">
      <c r="A19964" t="str">
        <f>HYPERLINK("https://www.773grp.com/globalSearch/100182FC/page-1", "100182FC")</f>
        <v>100182FC</v>
      </c>
      <c r="B19964" s="3" t="s">
        <v>116</v>
      </c>
      <c r="C19964" s="6">
        <v>128</v>
      </c>
      <c r="D19964" s="7">
        <v>60.09</v>
      </c>
      <c r="E19964" t="s">
        <v>38</v>
      </c>
    </row>
    <row r="19965" spans="1:5" x14ac:dyDescent="0.25">
      <c r="A19965" t="str">
        <f>HYPERLINK("https://www.773grp.com/globalSearch/TE512S32-40LC/page-1", "TE512S32-40LC")</f>
        <v>TE512S32-40LC</v>
      </c>
      <c r="B19965" s="3" t="s">
        <v>116</v>
      </c>
      <c r="C19965" s="6">
        <v>746</v>
      </c>
      <c r="D19965" s="7">
        <v>60.11</v>
      </c>
    </row>
    <row r="19966" spans="1:5" x14ac:dyDescent="0.25">
      <c r="A19966" t="str">
        <f>HYPERLINK("https://www.773grp.com/globalSearch/HIP0081AS2/page-1", "HIP0081AS2")</f>
        <v>HIP0081AS2</v>
      </c>
      <c r="B19966" s="3" t="s">
        <v>116</v>
      </c>
      <c r="C19966" s="6">
        <v>817</v>
      </c>
      <c r="D19966" s="7">
        <v>60.5</v>
      </c>
      <c r="E19966" t="s">
        <v>8</v>
      </c>
    </row>
    <row r="19967" spans="1:5" x14ac:dyDescent="0.25">
      <c r="A19967" t="str">
        <f>HYPERLINK("https://www.773grp.com/globalSearch/MC1505L/page-1", "MC1505L")</f>
        <v>MC1505L</v>
      </c>
      <c r="B19967" s="3" t="s">
        <v>116</v>
      </c>
      <c r="C19967" s="6">
        <v>563</v>
      </c>
      <c r="D19967" s="7">
        <v>60.5</v>
      </c>
    </row>
    <row r="19968" spans="1:5" x14ac:dyDescent="0.25">
      <c r="A19968" t="str">
        <f>HYPERLINK("https://www.773grp.com/globalSearch/LM310J-8/page-1", "LM310J-8")</f>
        <v>LM310J-8</v>
      </c>
      <c r="B19968" s="3" t="s">
        <v>116</v>
      </c>
      <c r="C19968" s="6">
        <v>1843</v>
      </c>
      <c r="D19968" s="7">
        <v>60.5</v>
      </c>
    </row>
    <row r="19969" spans="1:5" x14ac:dyDescent="0.25">
      <c r="A19969" t="str">
        <f>HYPERLINK("https://www.773grp.com/globalSearch/LM615AIN/page-1", "LM615AIN")</f>
        <v>LM615AIN</v>
      </c>
      <c r="B19969" s="3" t="s">
        <v>116</v>
      </c>
      <c r="C19969" s="6">
        <v>483</v>
      </c>
      <c r="D19969" s="7">
        <v>60.5</v>
      </c>
      <c r="E19969" t="s">
        <v>6</v>
      </c>
    </row>
    <row r="19970" spans="1:5" x14ac:dyDescent="0.25">
      <c r="A19970" t="str">
        <f>HYPERLINK("https://www.773grp.com/globalSearch/LM615IM/page-1", "LM615IM")</f>
        <v>LM615IM</v>
      </c>
      <c r="B19970" s="3" t="s">
        <v>116</v>
      </c>
      <c r="C19970" s="6">
        <v>1485</v>
      </c>
      <c r="D19970" s="7">
        <v>60.5</v>
      </c>
    </row>
    <row r="19971" spans="1:5" x14ac:dyDescent="0.25">
      <c r="A19971" t="str">
        <f>HYPERLINK("https://www.773grp.com/globalSearch/74143N/page-1", "74143N")</f>
        <v>74143N</v>
      </c>
      <c r="B19971" s="3" t="s">
        <v>116</v>
      </c>
      <c r="C19971" s="6">
        <v>311</v>
      </c>
      <c r="D19971" s="7">
        <v>60.5</v>
      </c>
    </row>
    <row r="19972" spans="1:5" x14ac:dyDescent="0.25">
      <c r="A19972" t="str">
        <f>HYPERLINK("https://www.773grp.com/globalSearch/74AS881ANT/page-1", "74AS881ANT")</f>
        <v>74AS881ANT</v>
      </c>
      <c r="B19972" s="3" t="s">
        <v>116</v>
      </c>
      <c r="C19972" s="6">
        <v>214</v>
      </c>
      <c r="D19972" s="7">
        <v>60.74</v>
      </c>
    </row>
    <row r="19973" spans="1:5" x14ac:dyDescent="0.25">
      <c r="A19973" t="str">
        <f>HYPERLINK("https://www.773grp.com/globalSearch/AM186ED-40VI\W/page-1", "AM186ED-40VI-W")</f>
        <v>AM186ED-40VI-W</v>
      </c>
      <c r="B19973" s="3" t="s">
        <v>116</v>
      </c>
      <c r="C19973" s="6">
        <v>1879</v>
      </c>
      <c r="D19973" s="7">
        <v>61.14</v>
      </c>
    </row>
    <row r="19974" spans="1:5" x14ac:dyDescent="0.25">
      <c r="A19974" t="str">
        <f>HYPERLINK("https://www.773grp.com/globalSearch/P82050/page-1", "P82050")</f>
        <v>P82050</v>
      </c>
      <c r="B19974" s="3" t="s">
        <v>116</v>
      </c>
      <c r="C19974" s="6">
        <v>2011</v>
      </c>
      <c r="D19974" s="7">
        <v>61.65</v>
      </c>
      <c r="E19974" t="s">
        <v>59</v>
      </c>
    </row>
    <row r="19975" spans="1:5" x14ac:dyDescent="0.25">
      <c r="A19975" t="str">
        <f>HYPERLINK("https://www.773grp.com/globalSearch/P82510/page-1", "P82510")</f>
        <v>P82510</v>
      </c>
      <c r="B19975" s="3" t="s">
        <v>116</v>
      </c>
      <c r="C19975" s="6">
        <v>4249</v>
      </c>
      <c r="D19975" s="7">
        <v>61.65</v>
      </c>
      <c r="E19975" t="s">
        <v>59</v>
      </c>
    </row>
    <row r="19976" spans="1:5" x14ac:dyDescent="0.25">
      <c r="A19976" t="str">
        <f>HYPERLINK("https://www.773grp.com/globalSearch/P8749H/page-1", "P8749H")</f>
        <v>P8749H</v>
      </c>
      <c r="B19976" s="3" t="s">
        <v>116</v>
      </c>
      <c r="C19976" s="6">
        <v>820</v>
      </c>
      <c r="D19976" s="7">
        <v>61.88</v>
      </c>
      <c r="E19976" t="s">
        <v>43</v>
      </c>
    </row>
    <row r="19977" spans="1:5" x14ac:dyDescent="0.25">
      <c r="A19977" t="str">
        <f>HYPERLINK("https://www.773grp.com/globalSearch/9519A-1PC/page-1", "9519A-1PC")</f>
        <v>9519A-1PC</v>
      </c>
      <c r="B19977" s="3" t="s">
        <v>116</v>
      </c>
      <c r="C19977" s="6">
        <v>680</v>
      </c>
      <c r="D19977" s="7">
        <v>62.01</v>
      </c>
    </row>
    <row r="19978" spans="1:5" x14ac:dyDescent="0.25">
      <c r="A19978" t="str">
        <f>HYPERLINK("https://www.773grp.com/globalSearch/960DC/page-1", "960DC")</f>
        <v>960DC</v>
      </c>
      <c r="B19978" s="3" t="s">
        <v>116</v>
      </c>
      <c r="C19978" s="6">
        <v>382</v>
      </c>
      <c r="D19978" s="7">
        <v>63.01</v>
      </c>
    </row>
    <row r="19979" spans="1:5" x14ac:dyDescent="0.25">
      <c r="A19979" t="str">
        <f>HYPERLINK("https://www.773grp.com/globalSearch/SN7495AJ/page-1", "SN7495AJ")</f>
        <v>SN7495AJ</v>
      </c>
      <c r="B19979" s="3" t="s">
        <v>116</v>
      </c>
      <c r="C19979" s="6">
        <v>788</v>
      </c>
      <c r="D19979" s="7">
        <v>63.01</v>
      </c>
    </row>
    <row r="19980" spans="1:5" x14ac:dyDescent="0.25">
      <c r="A19980" t="str">
        <f>HYPERLINK("https://www.773grp.com/globalSearch/74LS384N/page-1", "74LS384N")</f>
        <v>74LS384N</v>
      </c>
      <c r="B19980" s="3" t="s">
        <v>116</v>
      </c>
      <c r="C19980" s="6">
        <v>25</v>
      </c>
      <c r="D19980" s="7">
        <v>63.75</v>
      </c>
    </row>
    <row r="19981" spans="1:5" x14ac:dyDescent="0.25">
      <c r="A19981" t="str">
        <f>HYPERLINK("https://www.773grp.com/globalSearch/N82050/page-1", "N82050")</f>
        <v>N82050</v>
      </c>
      <c r="B19981" s="3" t="s">
        <v>116</v>
      </c>
      <c r="C19981" s="6">
        <v>1196</v>
      </c>
      <c r="D19981" s="7">
        <v>64.180000000000007</v>
      </c>
      <c r="E19981" t="s">
        <v>59</v>
      </c>
    </row>
    <row r="19982" spans="1:5" x14ac:dyDescent="0.25">
      <c r="A19982" t="str">
        <f>HYPERLINK("https://www.773grp.com/globalSearch/CY7C429-20VC/page-1", "CY7C429-20VC")</f>
        <v>CY7C429-20VC</v>
      </c>
      <c r="B19982" s="3" t="s">
        <v>116</v>
      </c>
      <c r="C19982" s="6">
        <v>185</v>
      </c>
      <c r="D19982" s="7">
        <v>64.28</v>
      </c>
      <c r="E19982" t="s">
        <v>70</v>
      </c>
    </row>
    <row r="19983" spans="1:5" x14ac:dyDescent="0.25">
      <c r="A19983" t="str">
        <f>HYPERLINK("https://www.773grp.com/globalSearch/P8044AH/page-1", "P8044AH")</f>
        <v>P8044AH</v>
      </c>
      <c r="B19983" s="3" t="s">
        <v>116</v>
      </c>
      <c r="C19983" s="6">
        <v>22250</v>
      </c>
      <c r="D19983" s="7">
        <v>65.540000000000006</v>
      </c>
      <c r="E19983" t="s">
        <v>43</v>
      </c>
    </row>
    <row r="19984" spans="1:5" x14ac:dyDescent="0.25">
      <c r="A19984" t="str">
        <f>HYPERLINK("https://www.773grp.com/globalSearch/P80C152JC/page-1", "P80C152JC")</f>
        <v>P80C152JC</v>
      </c>
      <c r="B19984" s="3" t="s">
        <v>116</v>
      </c>
      <c r="C19984" s="6">
        <v>654</v>
      </c>
      <c r="D19984" s="7">
        <v>65.540000000000006</v>
      </c>
      <c r="E19984" t="s">
        <v>43</v>
      </c>
    </row>
    <row r="19985" spans="1:5" x14ac:dyDescent="0.25">
      <c r="A19985" t="str">
        <f>HYPERLINK("https://www.773grp.com/globalSearch/TN82527/page-1", "TN82527")</f>
        <v>TN82527</v>
      </c>
      <c r="B19985" s="3" t="s">
        <v>116</v>
      </c>
      <c r="C19985" s="6">
        <v>129</v>
      </c>
      <c r="D19985" s="7">
        <v>66.19</v>
      </c>
      <c r="E19985" t="s">
        <v>59</v>
      </c>
    </row>
    <row r="19986" spans="1:5" x14ac:dyDescent="0.25">
      <c r="A19986" t="str">
        <f>HYPERLINK("https://www.773grp.com/globalSearch/ADC1038CIWM/page-1", "ADC1038CIWM")</f>
        <v>ADC1038CIWM</v>
      </c>
      <c r="B19986" s="3" t="s">
        <v>116</v>
      </c>
      <c r="C19986" s="6">
        <v>793</v>
      </c>
      <c r="D19986" s="7">
        <v>66.19</v>
      </c>
      <c r="E19986" t="s">
        <v>35</v>
      </c>
    </row>
    <row r="19987" spans="1:5" x14ac:dyDescent="0.25">
      <c r="A19987" t="str">
        <f>HYPERLINK("https://www.773grp.com/globalSearch/11C90DM/page-1", "11C90DM")</f>
        <v>11C90DM</v>
      </c>
      <c r="B19987" s="3" t="s">
        <v>116</v>
      </c>
      <c r="C19987" s="6">
        <v>1334</v>
      </c>
      <c r="D19987" s="7">
        <v>66.540000000000006</v>
      </c>
      <c r="E19987" t="s">
        <v>44</v>
      </c>
    </row>
    <row r="19988" spans="1:5" x14ac:dyDescent="0.25">
      <c r="A19988" t="str">
        <f>HYPERLINK("https://www.773grp.com/globalSearch/54L20W-C/page-1", "54L20W-C")</f>
        <v>54L20W-C</v>
      </c>
      <c r="B19988" s="3" t="s">
        <v>116</v>
      </c>
      <c r="C19988" s="6">
        <v>245</v>
      </c>
      <c r="D19988" s="7">
        <v>66.790000000000006</v>
      </c>
    </row>
    <row r="19989" spans="1:5" x14ac:dyDescent="0.25">
      <c r="A19989" t="str">
        <f>HYPERLINK("https://www.773grp.com/globalSearch/ICL8049CCPE/page-1", "ICL8049CCPE")</f>
        <v>ICL8049CCPE</v>
      </c>
      <c r="B19989" s="3" t="s">
        <v>116</v>
      </c>
      <c r="C19989" s="6">
        <v>3957</v>
      </c>
      <c r="D19989" s="7">
        <v>66.790000000000006</v>
      </c>
    </row>
    <row r="19990" spans="1:5" x14ac:dyDescent="0.25">
      <c r="A19990" t="str">
        <f>HYPERLINK("https://www.773grp.com/globalSearch/MC68HC711E9CFU3/page-1", "MC68HC711E9CFU3")</f>
        <v>MC68HC711E9CFU3</v>
      </c>
      <c r="B19990" s="3" t="s">
        <v>116</v>
      </c>
      <c r="C19990" s="6">
        <v>1440</v>
      </c>
      <c r="D19990" s="7">
        <v>67.08</v>
      </c>
    </row>
    <row r="19991" spans="1:5" x14ac:dyDescent="0.25">
      <c r="A19991" t="str">
        <f>HYPERLINK("https://www.773grp.com/globalSearch/AM79C940BKC\W/page-1", "AM79C940BKC-W")</f>
        <v>AM79C940BKC-W</v>
      </c>
      <c r="B19991" s="3" t="s">
        <v>116</v>
      </c>
      <c r="C19991" s="6">
        <v>1286</v>
      </c>
      <c r="D19991" s="7">
        <v>67.739999999999995</v>
      </c>
    </row>
    <row r="19992" spans="1:5" x14ac:dyDescent="0.25">
      <c r="A19992" t="str">
        <f>HYPERLINK("https://www.773grp.com/globalSearch/25LS2521DC/page-1", "25LS2521DC")</f>
        <v>25LS2521DC</v>
      </c>
      <c r="B19992" s="3" t="s">
        <v>116</v>
      </c>
      <c r="C19992" s="6">
        <v>25</v>
      </c>
      <c r="D19992" s="7">
        <v>67.8</v>
      </c>
    </row>
    <row r="19993" spans="1:5" x14ac:dyDescent="0.25">
      <c r="A19993" t="str">
        <f>HYPERLINK("https://www.773grp.com/globalSearch/R534176/page-1", "R534176")</f>
        <v>R534176</v>
      </c>
      <c r="B19993" s="3" t="s">
        <v>116</v>
      </c>
      <c r="C19993" s="6">
        <v>1123</v>
      </c>
      <c r="D19993" s="7">
        <v>68.06</v>
      </c>
    </row>
    <row r="19994" spans="1:5" x14ac:dyDescent="0.25">
      <c r="A19994" t="str">
        <f>HYPERLINK("https://www.773grp.com/globalSearch/R534176  LT/page-1", "R534176  LT")</f>
        <v>R534176  LT</v>
      </c>
      <c r="B19994" s="3" t="s">
        <v>116</v>
      </c>
      <c r="C19994" s="6">
        <v>45</v>
      </c>
      <c r="D19994" s="7">
        <v>68.06</v>
      </c>
    </row>
    <row r="19995" spans="1:5" x14ac:dyDescent="0.25">
      <c r="A19995" t="str">
        <f>HYPERLINK("https://www.773grp.com/globalSearch/26LS29DM-B/page-1", "26LS29DM-B")</f>
        <v>26LS29DM-B</v>
      </c>
      <c r="B19995" s="3" t="s">
        <v>116</v>
      </c>
      <c r="C19995" s="6">
        <v>1037</v>
      </c>
      <c r="D19995" s="7">
        <v>68.06</v>
      </c>
    </row>
    <row r="19996" spans="1:5" x14ac:dyDescent="0.25">
      <c r="A19996" t="str">
        <f>HYPERLINK("https://www.773grp.com/globalSearch/26LS31DM-B/page-1", "26LS31DM-B")</f>
        <v>26LS31DM-B</v>
      </c>
      <c r="B19996" s="3" t="s">
        <v>116</v>
      </c>
      <c r="C19996" s="6">
        <v>730</v>
      </c>
      <c r="D19996" s="7">
        <v>68.06</v>
      </c>
    </row>
    <row r="19997" spans="1:5" x14ac:dyDescent="0.25">
      <c r="A19997" t="str">
        <f>HYPERLINK("https://www.773grp.com/globalSearch/26LS32DM-B/page-1", "26LS32DM-B")</f>
        <v>26LS32DM-B</v>
      </c>
      <c r="B19997" s="3" t="s">
        <v>116</v>
      </c>
      <c r="C19997" s="6">
        <v>1245</v>
      </c>
      <c r="D19997" s="7">
        <v>68.06</v>
      </c>
    </row>
    <row r="19998" spans="1:5" x14ac:dyDescent="0.25">
      <c r="A19998" t="str">
        <f>HYPERLINK("https://www.773grp.com/globalSearch/26LS33DM-B/page-1", "26LS33DM-B")</f>
        <v>26LS33DM-B</v>
      </c>
      <c r="B19998" s="3" t="s">
        <v>116</v>
      </c>
      <c r="C19998" s="6">
        <v>1324</v>
      </c>
      <c r="D19998" s="7">
        <v>68.06</v>
      </c>
    </row>
    <row r="19999" spans="1:5" x14ac:dyDescent="0.25">
      <c r="A19999" t="str">
        <f>HYPERLINK("https://www.773grp.com/globalSearch/N8044AH/page-1", "N8044AH")</f>
        <v>N8044AH</v>
      </c>
      <c r="B19999" s="3" t="s">
        <v>116</v>
      </c>
      <c r="C19999" s="6">
        <v>1618</v>
      </c>
      <c r="D19999" s="7">
        <v>68.06</v>
      </c>
      <c r="E19999" t="s">
        <v>43</v>
      </c>
    </row>
    <row r="20000" spans="1:5" x14ac:dyDescent="0.25">
      <c r="A20000" t="str">
        <f>HYPERLINK("https://www.773grp.com/globalSearch/54HC238FK-B/page-1", "54HC238FK-B")</f>
        <v>54HC238FK-B</v>
      </c>
      <c r="B20000" s="3" t="s">
        <v>116</v>
      </c>
      <c r="C20000" s="6">
        <v>183</v>
      </c>
      <c r="D20000" s="7">
        <v>68.7</v>
      </c>
    </row>
    <row r="20001" spans="1:5" x14ac:dyDescent="0.25">
      <c r="A20001" t="str">
        <f>HYPERLINK("https://www.773grp.com/globalSearch/26S02-BEA/page-1", "26S02-BEA")</f>
        <v>26S02-BEA</v>
      </c>
      <c r="B20001" s="3" t="s">
        <v>116</v>
      </c>
      <c r="C20001" s="6">
        <v>691</v>
      </c>
      <c r="D20001" s="7">
        <v>68.8</v>
      </c>
    </row>
    <row r="20002" spans="1:5" x14ac:dyDescent="0.25">
      <c r="A20002" t="str">
        <f>HYPERLINK("https://www.773grp.com/globalSearch/D8254-2/page-1", "D8254-2")</f>
        <v>D8254-2</v>
      </c>
      <c r="B20002" s="3" t="s">
        <v>116</v>
      </c>
      <c r="C20002" s="6">
        <v>2102</v>
      </c>
      <c r="D20002" s="7">
        <v>68.89</v>
      </c>
      <c r="E20002" t="s">
        <v>67</v>
      </c>
    </row>
    <row r="20003" spans="1:5" x14ac:dyDescent="0.25">
      <c r="A20003" t="str">
        <f>HYPERLINK("https://www.773grp.com/globalSearch/AN82527/page-1", "AN82527")</f>
        <v>AN82527</v>
      </c>
      <c r="B20003" s="3" t="s">
        <v>116</v>
      </c>
      <c r="C20003" s="6">
        <v>2201</v>
      </c>
      <c r="D20003" s="7">
        <v>68.94</v>
      </c>
      <c r="E20003" t="s">
        <v>59</v>
      </c>
    </row>
    <row r="20004" spans="1:5" x14ac:dyDescent="0.25">
      <c r="A20004" t="str">
        <f>HYPERLINK("https://www.773grp.com/globalSearch/ADC1005BCJ-1/page-1", "ADC1005BCJ-1")</f>
        <v>ADC1005BCJ-1</v>
      </c>
      <c r="B20004" s="3" t="s">
        <v>116</v>
      </c>
      <c r="C20004" s="6">
        <v>800</v>
      </c>
      <c r="D20004" s="7">
        <v>68.94</v>
      </c>
      <c r="E20004" t="s">
        <v>35</v>
      </c>
    </row>
    <row r="20005" spans="1:5" x14ac:dyDescent="0.25">
      <c r="A20005" t="str">
        <f>HYPERLINK("https://www.773grp.com/globalSearch/P8291A/page-1", "P8291A")</f>
        <v>P8291A</v>
      </c>
      <c r="B20005" s="3" t="s">
        <v>116</v>
      </c>
      <c r="C20005" s="6">
        <v>2162</v>
      </c>
      <c r="D20005" s="7">
        <v>69.19</v>
      </c>
      <c r="E20005" t="s">
        <v>56</v>
      </c>
    </row>
    <row r="20006" spans="1:5" x14ac:dyDescent="0.25">
      <c r="A20006" t="str">
        <f>HYPERLINK("https://www.773grp.com/globalSearch/D82C284-8/page-1", "D82C284-8")</f>
        <v>D82C284-8</v>
      </c>
      <c r="B20006" s="3" t="s">
        <v>116</v>
      </c>
      <c r="C20006" s="6">
        <v>120</v>
      </c>
      <c r="D20006" s="7">
        <v>69.56</v>
      </c>
      <c r="E20006" t="s">
        <v>65</v>
      </c>
    </row>
    <row r="20007" spans="1:5" x14ac:dyDescent="0.25">
      <c r="A20007" t="str">
        <f>HYPERLINK("https://www.773grp.com/globalSearch/TL604IP/page-1", "TL604IP")</f>
        <v>TL604IP</v>
      </c>
      <c r="B20007" s="3" t="s">
        <v>116</v>
      </c>
      <c r="C20007" s="6">
        <v>1567</v>
      </c>
      <c r="D20007" s="7">
        <v>69.849999999999994</v>
      </c>
      <c r="E20007" t="s">
        <v>46</v>
      </c>
    </row>
    <row r="20008" spans="1:5" x14ac:dyDescent="0.25">
      <c r="A20008" t="str">
        <f>HYPERLINK("https://www.773grp.com/globalSearch/AM7968-175JC-G/page-1", "AM7968-175JC-G")</f>
        <v>AM7968-175JC-G</v>
      </c>
      <c r="B20008" s="3" t="s">
        <v>116</v>
      </c>
      <c r="C20008" s="6">
        <v>45</v>
      </c>
      <c r="D20008" s="7">
        <v>69.959999999999994</v>
      </c>
    </row>
    <row r="20009" spans="1:5" x14ac:dyDescent="0.25">
      <c r="A20009" t="str">
        <f>HYPERLINK("https://www.773grp.com/globalSearch/CLC522AJE/page-1", "CLC522AJE")</f>
        <v>CLC522AJE</v>
      </c>
      <c r="B20009" s="3" t="s">
        <v>116</v>
      </c>
      <c r="C20009" s="6">
        <v>1915</v>
      </c>
      <c r="D20009" s="7">
        <v>69.959999999999994</v>
      </c>
      <c r="E20009" t="s">
        <v>36</v>
      </c>
    </row>
    <row r="20010" spans="1:5" x14ac:dyDescent="0.25">
      <c r="A20010" t="str">
        <f>HYPERLINK("https://www.773grp.com/globalSearch/P8748H/page-1", "P8748H")</f>
        <v>P8748H</v>
      </c>
      <c r="B20010" s="3" t="s">
        <v>116</v>
      </c>
      <c r="C20010" s="6">
        <v>5171</v>
      </c>
      <c r="D20010" s="7">
        <v>70.19</v>
      </c>
      <c r="E20010" t="s">
        <v>43</v>
      </c>
    </row>
    <row r="20011" spans="1:5" x14ac:dyDescent="0.25">
      <c r="A20011" t="str">
        <f>HYPERLINK("https://www.773grp.com/globalSearch/54H30J/page-1", "54H30J")</f>
        <v>54H30J</v>
      </c>
      <c r="B20011" s="3" t="s">
        <v>116</v>
      </c>
      <c r="C20011" s="6">
        <v>202</v>
      </c>
      <c r="D20011" s="7">
        <v>70.58</v>
      </c>
      <c r="E20011" t="s">
        <v>27</v>
      </c>
    </row>
    <row r="20012" spans="1:5" x14ac:dyDescent="0.25">
      <c r="A20012" t="str">
        <f>HYPERLINK("https://www.773grp.com/globalSearch/915PC/page-1", "915PC")</f>
        <v>915PC</v>
      </c>
      <c r="B20012" s="3" t="s">
        <v>116</v>
      </c>
      <c r="C20012" s="6">
        <v>2313</v>
      </c>
      <c r="D20012" s="7">
        <v>70.58</v>
      </c>
    </row>
    <row r="20013" spans="1:5" x14ac:dyDescent="0.25">
      <c r="A20013" t="str">
        <f>HYPERLINK("https://www.773grp.com/globalSearch/93L18DC/page-1", "93L18DC")</f>
        <v>93L18DC</v>
      </c>
      <c r="B20013" s="3" t="s">
        <v>116</v>
      </c>
      <c r="C20013" s="6">
        <v>269</v>
      </c>
      <c r="D20013" s="7">
        <v>70.58</v>
      </c>
    </row>
    <row r="20014" spans="1:5" x14ac:dyDescent="0.25">
      <c r="A20014" t="str">
        <f>HYPERLINK("https://www.773grp.com/globalSearch/5410W-B/page-1", "5410W-B")</f>
        <v>5410W-B</v>
      </c>
      <c r="B20014" s="3" t="s">
        <v>116</v>
      </c>
      <c r="C20014" s="6">
        <v>228</v>
      </c>
      <c r="D20014" s="7">
        <v>70.58</v>
      </c>
    </row>
    <row r="20015" spans="1:5" x14ac:dyDescent="0.25">
      <c r="A20015" t="str">
        <f>HYPERLINK("https://www.773grp.com/globalSearch/54LS183J/page-1", "54LS183J")</f>
        <v>54LS183J</v>
      </c>
      <c r="B20015" s="3" t="s">
        <v>116</v>
      </c>
      <c r="C20015" s="6">
        <v>300</v>
      </c>
      <c r="D20015" s="7">
        <v>70.58</v>
      </c>
    </row>
    <row r="20016" spans="1:5" x14ac:dyDescent="0.25">
      <c r="A20016" t="str">
        <f>HYPERLINK("https://www.773grp.com/globalSearch/54H00W-B/page-1", "54H00W-B")</f>
        <v>54H00W-B</v>
      </c>
      <c r="B20016" s="3" t="s">
        <v>116</v>
      </c>
      <c r="C20016" s="6">
        <v>420</v>
      </c>
      <c r="D20016" s="7">
        <v>70.709999999999994</v>
      </c>
    </row>
    <row r="20017" spans="1:5" x14ac:dyDescent="0.25">
      <c r="A20017" t="str">
        <f>HYPERLINK("https://www.773grp.com/globalSearch/946DM/page-1", "946DM")</f>
        <v>946DM</v>
      </c>
      <c r="B20017" s="3" t="s">
        <v>116</v>
      </c>
      <c r="C20017" s="6">
        <v>970</v>
      </c>
      <c r="D20017" s="7">
        <v>70.94</v>
      </c>
    </row>
    <row r="20018" spans="1:5" x14ac:dyDescent="0.25">
      <c r="A20018" t="str">
        <f>HYPERLINK("https://www.773grp.com/globalSearch/TE512S32-40LI/page-1", "TE512S32-40LI")</f>
        <v>TE512S32-40LI</v>
      </c>
      <c r="B20018" s="3" t="s">
        <v>116</v>
      </c>
      <c r="C20018" s="6">
        <v>268</v>
      </c>
      <c r="D20018" s="7">
        <v>70.959999999999994</v>
      </c>
    </row>
    <row r="20019" spans="1:5" x14ac:dyDescent="0.25">
      <c r="A20019" t="str">
        <f>HYPERLINK("https://www.773grp.com/globalSearch/AS82527/page-1", "AS82527")</f>
        <v>AS82527</v>
      </c>
      <c r="B20019" s="3" t="s">
        <v>116</v>
      </c>
      <c r="C20019" s="6">
        <v>5231</v>
      </c>
      <c r="D20019" s="7">
        <v>71.33</v>
      </c>
      <c r="E20019" t="s">
        <v>59</v>
      </c>
    </row>
    <row r="20020" spans="1:5" x14ac:dyDescent="0.25">
      <c r="A20020" t="str">
        <f>HYPERLINK("https://www.773grp.com/globalSearch/N80C152JD/page-1", "N80C152JD")</f>
        <v>N80C152JD</v>
      </c>
      <c r="B20020" s="3" t="s">
        <v>116</v>
      </c>
      <c r="C20020" s="6">
        <v>5425</v>
      </c>
      <c r="D20020" s="7">
        <v>71.84</v>
      </c>
      <c r="E20020" t="s">
        <v>43</v>
      </c>
    </row>
    <row r="20021" spans="1:5" x14ac:dyDescent="0.25">
      <c r="A20021" t="str">
        <f>HYPERLINK("https://www.773grp.com/globalSearch/54LS190J/page-1", "54LS190J")</f>
        <v>54LS190J</v>
      </c>
      <c r="B20021" s="3" t="s">
        <v>116</v>
      </c>
      <c r="C20021" s="6">
        <v>1286</v>
      </c>
      <c r="D20021" s="7">
        <v>71.84</v>
      </c>
    </row>
    <row r="20022" spans="1:5" x14ac:dyDescent="0.25">
      <c r="A20022" t="str">
        <f>HYPERLINK("https://www.773grp.com/globalSearch/9003DM-B/page-1", "9003DM-B")</f>
        <v>9003DM-B</v>
      </c>
      <c r="B20022" s="3" t="s">
        <v>116</v>
      </c>
      <c r="C20022" s="6">
        <v>548</v>
      </c>
      <c r="D20022" s="7">
        <v>72.14</v>
      </c>
    </row>
    <row r="20023" spans="1:5" x14ac:dyDescent="0.25">
      <c r="A20023" t="str">
        <f>HYPERLINK("https://www.773grp.com/globalSearch/958HC/page-1", "958HC")</f>
        <v>958HC</v>
      </c>
      <c r="B20023" s="3" t="s">
        <v>116</v>
      </c>
      <c r="C20023" s="6">
        <v>60</v>
      </c>
      <c r="D20023" s="7">
        <v>72.14</v>
      </c>
    </row>
    <row r="20024" spans="1:5" x14ac:dyDescent="0.25">
      <c r="A20024" t="str">
        <f>HYPERLINK("https://www.773grp.com/globalSearch/R554153/page-1", "R554153")</f>
        <v>R554153</v>
      </c>
      <c r="B20024" s="3" t="s">
        <v>116</v>
      </c>
      <c r="C20024" s="6">
        <v>154</v>
      </c>
      <c r="D20024" s="7">
        <v>72.48</v>
      </c>
    </row>
    <row r="20025" spans="1:5" x14ac:dyDescent="0.25">
      <c r="A20025" t="str">
        <f>HYPERLINK("https://www.773grp.com/globalSearch/S8T28F/page-1", "S8T28F")</f>
        <v>S8T28F</v>
      </c>
      <c r="B20025" s="3" t="s">
        <v>116</v>
      </c>
      <c r="C20025" s="6">
        <v>105</v>
      </c>
      <c r="D20025" s="7">
        <v>72.58</v>
      </c>
      <c r="E20025" t="s">
        <v>11</v>
      </c>
    </row>
    <row r="20026" spans="1:5" x14ac:dyDescent="0.25">
      <c r="A20026" t="str">
        <f>HYPERLINK("https://www.773grp.com/globalSearch/RC1688F/page-1", "RC1688F")</f>
        <v>RC1688F</v>
      </c>
      <c r="B20026" s="3" t="s">
        <v>116</v>
      </c>
      <c r="C20026" s="6">
        <v>64</v>
      </c>
      <c r="D20026" s="7">
        <v>73.099999999999994</v>
      </c>
    </row>
    <row r="20027" spans="1:5" x14ac:dyDescent="0.25">
      <c r="A20027" t="str">
        <f>HYPERLINK("https://www.773grp.com/globalSearch/AM7968-125DC/page-1", "AM7968-125DC")</f>
        <v>AM7968-125DC</v>
      </c>
      <c r="B20027" s="3" t="s">
        <v>116</v>
      </c>
      <c r="C20027" s="6">
        <v>287</v>
      </c>
      <c r="D20027" s="7">
        <v>73.099999999999994</v>
      </c>
      <c r="E20027" t="s">
        <v>17</v>
      </c>
    </row>
    <row r="20028" spans="1:5" x14ac:dyDescent="0.25">
      <c r="A20028" t="str">
        <f>HYPERLINK("https://www.773grp.com/globalSearch/D8742/page-1", "D8742")</f>
        <v>D8742</v>
      </c>
      <c r="B20028" s="3" t="s">
        <v>116</v>
      </c>
      <c r="C20028" s="6">
        <v>186</v>
      </c>
      <c r="D20028" s="7">
        <v>73.099999999999994</v>
      </c>
      <c r="E20028" t="s">
        <v>43</v>
      </c>
    </row>
    <row r="20029" spans="1:5" x14ac:dyDescent="0.25">
      <c r="A20029" t="str">
        <f>HYPERLINK("https://www.773grp.com/globalSearch/P80C152JC-1/page-1", "P80C152JC-1")</f>
        <v>P80C152JC-1</v>
      </c>
      <c r="B20029" s="3" t="s">
        <v>116</v>
      </c>
      <c r="C20029" s="6">
        <v>164</v>
      </c>
      <c r="D20029" s="7">
        <v>73.099999999999994</v>
      </c>
      <c r="E20029" t="s">
        <v>43</v>
      </c>
    </row>
    <row r="20030" spans="1:5" x14ac:dyDescent="0.25">
      <c r="A20030" t="str">
        <f>HYPERLINK("https://www.773grp.com/globalSearch/ICM7170AIBG/page-1", "ICM7170AIBG")</f>
        <v>ICM7170AIBG</v>
      </c>
      <c r="B20030" s="3" t="s">
        <v>116</v>
      </c>
      <c r="C20030" s="6">
        <v>900</v>
      </c>
      <c r="D20030" s="7">
        <v>73.099999999999994</v>
      </c>
      <c r="E20030" t="s">
        <v>67</v>
      </c>
    </row>
    <row r="20031" spans="1:5" x14ac:dyDescent="0.25">
      <c r="A20031" t="str">
        <f>HYPERLINK("https://www.773grp.com/globalSearch/AM79C940BKI/page-1", "AM79C940BKI")</f>
        <v>AM79C940BKI</v>
      </c>
      <c r="B20031" s="3" t="s">
        <v>116</v>
      </c>
      <c r="C20031" s="6">
        <v>4634</v>
      </c>
      <c r="D20031" s="7">
        <v>73.48</v>
      </c>
    </row>
    <row r="20032" spans="1:5" x14ac:dyDescent="0.25">
      <c r="A20032" t="str">
        <f>HYPERLINK("https://www.773grp.com/globalSearch/P80C152JA-1/page-1", "P80C152JA-1")</f>
        <v>P80C152JA-1</v>
      </c>
      <c r="B20032" s="3" t="s">
        <v>116</v>
      </c>
      <c r="C20032" s="6">
        <v>8</v>
      </c>
      <c r="D20032" s="7">
        <v>74.11</v>
      </c>
      <c r="E20032" t="s">
        <v>43</v>
      </c>
    </row>
    <row r="20033" spans="1:5" x14ac:dyDescent="0.25">
      <c r="A20033" t="str">
        <f>HYPERLINK("https://www.773grp.com/globalSearch/AMD27C256-120DC/page-1", "AMD27C256-120DC")</f>
        <v>AMD27C256-120DC</v>
      </c>
      <c r="B20033" s="3" t="s">
        <v>116</v>
      </c>
      <c r="C20033" s="6">
        <v>50</v>
      </c>
      <c r="D20033" s="7">
        <v>74.989999999999995</v>
      </c>
    </row>
    <row r="20034" spans="1:5" x14ac:dyDescent="0.25">
      <c r="A20034" t="str">
        <f>HYPERLINK("https://www.773grp.com/globalSearch/54H08DM-B/page-1", "54H08DM-B")</f>
        <v>54H08DM-B</v>
      </c>
      <c r="B20034" s="3" t="s">
        <v>116</v>
      </c>
      <c r="C20034" s="6">
        <v>541</v>
      </c>
      <c r="D20034" s="7">
        <v>75.489999999999995</v>
      </c>
    </row>
    <row r="20035" spans="1:5" x14ac:dyDescent="0.25">
      <c r="A20035" t="str">
        <f>HYPERLINK("https://www.773grp.com/globalSearch/R503102/page-1", "R503102")</f>
        <v>R503102</v>
      </c>
      <c r="B20035" s="3" t="s">
        <v>116</v>
      </c>
      <c r="C20035" s="6">
        <v>278</v>
      </c>
      <c r="D20035" s="7">
        <v>75.489999999999995</v>
      </c>
    </row>
    <row r="20036" spans="1:5" x14ac:dyDescent="0.25">
      <c r="A20036" t="str">
        <f>HYPERLINK("https://www.773grp.com/globalSearch/54H54W-C/page-1", "54H54W-C")</f>
        <v>54H54W-C</v>
      </c>
      <c r="B20036" s="3" t="s">
        <v>116</v>
      </c>
      <c r="C20036" s="6">
        <v>241</v>
      </c>
      <c r="D20036" s="7">
        <v>75.61</v>
      </c>
    </row>
    <row r="20037" spans="1:5" x14ac:dyDescent="0.25">
      <c r="A20037" t="str">
        <f>HYPERLINK("https://www.773grp.com/globalSearch/26LS29-BEA/page-1", "26LS29-BEA")</f>
        <v>26LS29-BEA</v>
      </c>
      <c r="B20037" s="3" t="s">
        <v>116</v>
      </c>
      <c r="C20037" s="6">
        <v>150</v>
      </c>
      <c r="D20037" s="7">
        <v>75.61</v>
      </c>
    </row>
    <row r="20038" spans="1:5" x14ac:dyDescent="0.25">
      <c r="A20038" t="str">
        <f>HYPERLINK("https://www.773grp.com/globalSearch/26LS30-BEA/page-1", "26LS30-BEA")</f>
        <v>26LS30-BEA</v>
      </c>
      <c r="B20038" s="3" t="s">
        <v>116</v>
      </c>
      <c r="C20038" s="6">
        <v>17</v>
      </c>
      <c r="D20038" s="7">
        <v>75.61</v>
      </c>
    </row>
    <row r="20039" spans="1:5" x14ac:dyDescent="0.25">
      <c r="A20039" t="str">
        <f>HYPERLINK("https://www.773grp.com/globalSearch/26LS31-BEA/page-1", "26LS31-BEA")</f>
        <v>26LS31-BEA</v>
      </c>
      <c r="B20039" s="3" t="s">
        <v>116</v>
      </c>
      <c r="C20039" s="6">
        <v>4028</v>
      </c>
      <c r="D20039" s="7">
        <v>75.61</v>
      </c>
      <c r="E20039" t="s">
        <v>17</v>
      </c>
    </row>
    <row r="20040" spans="1:5" x14ac:dyDescent="0.25">
      <c r="A20040" t="str">
        <f>HYPERLINK("https://www.773grp.com/globalSearch/26LS32B-BEA/page-1", "26LS32B-BEA")</f>
        <v>26LS32B-BEA</v>
      </c>
      <c r="B20040" s="3" t="s">
        <v>116</v>
      </c>
      <c r="C20040" s="6">
        <v>2730</v>
      </c>
      <c r="D20040" s="7">
        <v>75.61</v>
      </c>
    </row>
    <row r="20041" spans="1:5" x14ac:dyDescent="0.25">
      <c r="A20041" t="str">
        <f>HYPERLINK("https://www.773grp.com/globalSearch/26LS33-BEA/page-1", "26LS33-BEA")</f>
        <v>26LS33-BEA</v>
      </c>
      <c r="B20041" s="3" t="s">
        <v>116</v>
      </c>
      <c r="C20041" s="6">
        <v>766</v>
      </c>
      <c r="D20041" s="7">
        <v>75.61</v>
      </c>
      <c r="E20041" t="s">
        <v>17</v>
      </c>
    </row>
    <row r="20042" spans="1:5" x14ac:dyDescent="0.25">
      <c r="A20042" t="str">
        <f>HYPERLINK("https://www.773grp.com/globalSearch/26LS34-BEA/page-1", "26LS34-BEA")</f>
        <v>26LS34-BEA</v>
      </c>
      <c r="B20042" s="3" t="s">
        <v>116</v>
      </c>
      <c r="C20042" s="6">
        <v>1312</v>
      </c>
      <c r="D20042" s="7">
        <v>75.61</v>
      </c>
    </row>
    <row r="20043" spans="1:5" x14ac:dyDescent="0.25">
      <c r="A20043" t="str">
        <f>HYPERLINK("https://www.773grp.com/globalSearch/54S163J-B/page-1", "54S163J-B")</f>
        <v>54S163J-B</v>
      </c>
      <c r="B20043" s="3" t="s">
        <v>116</v>
      </c>
      <c r="C20043" s="6">
        <v>72</v>
      </c>
      <c r="D20043" s="7">
        <v>76.180000000000007</v>
      </c>
    </row>
    <row r="20044" spans="1:5" x14ac:dyDescent="0.25">
      <c r="A20044" t="str">
        <f>HYPERLINK("https://www.773grp.com/globalSearch/TL082ML/page-1", "TL082ML")</f>
        <v>TL082ML</v>
      </c>
      <c r="B20044" s="3" t="s">
        <v>116</v>
      </c>
      <c r="C20044" s="6">
        <v>88</v>
      </c>
      <c r="D20044" s="7">
        <v>76.36</v>
      </c>
    </row>
    <row r="20045" spans="1:5" x14ac:dyDescent="0.25">
      <c r="A20045" t="str">
        <f>HYPERLINK("https://www.773grp.com/globalSearch/54L121DM-B/page-1", "54L121DM-B")</f>
        <v>54L121DM-B</v>
      </c>
      <c r="B20045" s="3" t="s">
        <v>116</v>
      </c>
      <c r="C20045" s="6">
        <v>384</v>
      </c>
      <c r="D20045" s="7">
        <v>76.75</v>
      </c>
    </row>
    <row r="20046" spans="1:5" x14ac:dyDescent="0.25">
      <c r="A20046" t="str">
        <f>HYPERLINK("https://www.773grp.com/globalSearch/ID8155H/page-1", "ID8155H")</f>
        <v>ID8155H</v>
      </c>
      <c r="B20046" s="3" t="s">
        <v>116</v>
      </c>
      <c r="C20046" s="6">
        <v>850</v>
      </c>
      <c r="D20046" s="7">
        <v>77.290000000000006</v>
      </c>
    </row>
    <row r="20047" spans="1:5" x14ac:dyDescent="0.25">
      <c r="A20047" t="str">
        <f>HYPERLINK("https://www.773grp.com/globalSearch/TP8256AH/page-1", "TP8256AH")</f>
        <v>TP8256AH</v>
      </c>
      <c r="B20047" s="3" t="s">
        <v>116</v>
      </c>
      <c r="C20047" s="6">
        <v>2933</v>
      </c>
      <c r="D20047" s="7">
        <v>77.709999999999994</v>
      </c>
    </row>
    <row r="20048" spans="1:5" x14ac:dyDescent="0.25">
      <c r="A20048" t="str">
        <f>HYPERLINK("https://www.773grp.com/globalSearch/R554155/page-1", "R554155")</f>
        <v>R554155</v>
      </c>
      <c r="B20048" s="3" t="s">
        <v>116</v>
      </c>
      <c r="C20048" s="6">
        <v>57</v>
      </c>
      <c r="D20048" s="7">
        <v>78.010000000000005</v>
      </c>
    </row>
    <row r="20049" spans="1:5" x14ac:dyDescent="0.25">
      <c r="A20049" t="str">
        <f>HYPERLINK("https://www.773grp.com/globalSearch/RC1533L/page-1", "RC1533L")</f>
        <v>RC1533L</v>
      </c>
      <c r="B20049" s="3" t="s">
        <v>116</v>
      </c>
      <c r="C20049" s="6">
        <v>138</v>
      </c>
      <c r="D20049" s="7">
        <v>78.14</v>
      </c>
    </row>
    <row r="20050" spans="1:5" x14ac:dyDescent="0.25">
      <c r="A20050" t="str">
        <f>HYPERLINK("https://www.773grp.com/globalSearch/AM27C256-200DI/page-1", "AM27C256-200DI")</f>
        <v>AM27C256-200DI</v>
      </c>
      <c r="B20050" s="3" t="s">
        <v>116</v>
      </c>
      <c r="C20050" s="6">
        <v>2</v>
      </c>
      <c r="D20050" s="7">
        <v>78.14</v>
      </c>
      <c r="E20050" t="s">
        <v>52</v>
      </c>
    </row>
    <row r="20051" spans="1:5" x14ac:dyDescent="0.25">
      <c r="A20051" t="str">
        <f>HYPERLINK("https://www.773grp.com/globalSearch/AM27C256-55DC/page-1", "AM27C256-55DC")</f>
        <v>AM27C256-55DC</v>
      </c>
      <c r="B20051" s="3" t="s">
        <v>116</v>
      </c>
      <c r="C20051" s="6">
        <v>96</v>
      </c>
      <c r="D20051" s="7">
        <v>78.14</v>
      </c>
      <c r="E20051" t="s">
        <v>52</v>
      </c>
    </row>
    <row r="20052" spans="1:5" x14ac:dyDescent="0.25">
      <c r="A20052" t="str">
        <f>HYPERLINK("https://www.773grp.com/globalSearch/AM79C940BVI-G/page-1", "AM79C940BVI-G")</f>
        <v>AM79C940BVI-G</v>
      </c>
      <c r="B20052" s="3" t="s">
        <v>116</v>
      </c>
      <c r="C20052" s="6">
        <v>787</v>
      </c>
      <c r="D20052" s="7">
        <v>78.53</v>
      </c>
    </row>
    <row r="20053" spans="1:5" x14ac:dyDescent="0.25">
      <c r="A20053" t="str">
        <f>HYPERLINK("https://www.773grp.com/globalSearch/R554154/page-1", "R554154")</f>
        <v>R554154</v>
      </c>
      <c r="B20053" s="3" t="s">
        <v>116</v>
      </c>
      <c r="C20053" s="6">
        <v>251</v>
      </c>
      <c r="D20053" s="7">
        <v>79.260000000000005</v>
      </c>
    </row>
    <row r="20054" spans="1:5" x14ac:dyDescent="0.25">
      <c r="A20054" t="str">
        <f>HYPERLINK("https://www.773grp.com/globalSearch/P8273-4/page-1", "P8273-4")</f>
        <v>P8273-4</v>
      </c>
      <c r="B20054" s="3" t="s">
        <v>116</v>
      </c>
      <c r="C20054" s="6">
        <v>9639</v>
      </c>
      <c r="D20054" s="7">
        <v>79.260000000000005</v>
      </c>
    </row>
    <row r="20055" spans="1:5" x14ac:dyDescent="0.25">
      <c r="A20055" t="str">
        <f>HYPERLINK("https://www.773grp.com/globalSearch/29C60APC/page-1", "29C60APC")</f>
        <v>29C60APC</v>
      </c>
      <c r="B20055" s="3" t="s">
        <v>116</v>
      </c>
      <c r="C20055" s="6">
        <v>4844</v>
      </c>
      <c r="D20055" s="7">
        <v>80.66</v>
      </c>
    </row>
    <row r="20056" spans="1:5" x14ac:dyDescent="0.25">
      <c r="A20056" t="str">
        <f>HYPERLINK("https://www.773grp.com/globalSearch/D2716/page-1", "D2716")</f>
        <v>D2716</v>
      </c>
      <c r="B20056" s="3" t="s">
        <v>116</v>
      </c>
      <c r="C20056" s="6">
        <v>28473</v>
      </c>
      <c r="D20056" s="7">
        <v>80.66</v>
      </c>
    </row>
    <row r="20057" spans="1:5" x14ac:dyDescent="0.25">
      <c r="A20057" t="str">
        <f>HYPERLINK("https://www.773grp.com/globalSearch/AM27C256-45DI UM/page-1", "AM27C256-45DI UM")</f>
        <v>AM27C256-45DI UM</v>
      </c>
      <c r="B20057" s="3" t="s">
        <v>116</v>
      </c>
      <c r="C20057" s="6">
        <v>1663</v>
      </c>
      <c r="D20057" s="7">
        <v>80.66</v>
      </c>
    </row>
    <row r="20058" spans="1:5" x14ac:dyDescent="0.25">
      <c r="A20058" t="str">
        <f>HYPERLINK("https://www.773grp.com/globalSearch/AM27C256-90DI/page-1", "AM27C256-90DI")</f>
        <v>AM27C256-90DI</v>
      </c>
      <c r="B20058" s="3" t="s">
        <v>116</v>
      </c>
      <c r="C20058" s="6">
        <v>79</v>
      </c>
      <c r="D20058" s="7">
        <v>80.66</v>
      </c>
      <c r="E20058" t="s">
        <v>52</v>
      </c>
    </row>
    <row r="20059" spans="1:5" x14ac:dyDescent="0.25">
      <c r="A20059" t="str">
        <f>HYPERLINK("https://www.773grp.com/globalSearch/26LS33-BFA/page-1", "26LS33-BFA")</f>
        <v>26LS33-BFA</v>
      </c>
      <c r="B20059" s="3" t="s">
        <v>116</v>
      </c>
      <c r="C20059" s="6">
        <v>902</v>
      </c>
      <c r="D20059" s="7">
        <v>81.180000000000007</v>
      </c>
    </row>
    <row r="20060" spans="1:5" x14ac:dyDescent="0.25">
      <c r="A20060" t="str">
        <f>HYPERLINK("https://www.773grp.com/globalSearch/D82C284-12/page-1", "D82C284-12")</f>
        <v>D82C284-12</v>
      </c>
      <c r="B20060" s="3" t="s">
        <v>116</v>
      </c>
      <c r="C20060" s="6">
        <v>15</v>
      </c>
      <c r="D20060" s="7">
        <v>81.790000000000006</v>
      </c>
    </row>
    <row r="20061" spans="1:5" x14ac:dyDescent="0.25">
      <c r="A20061" t="str">
        <f>HYPERLINK("https://www.773grp.com/globalSearch/N8273-4/page-1", "N8273-4")</f>
        <v>N8273-4</v>
      </c>
      <c r="B20061" s="3" t="s">
        <v>116</v>
      </c>
      <c r="C20061" s="6">
        <v>4743</v>
      </c>
      <c r="D20061" s="7">
        <v>81.790000000000006</v>
      </c>
    </row>
    <row r="20062" spans="1:5" x14ac:dyDescent="0.25">
      <c r="A20062" t="str">
        <f>HYPERLINK("https://www.773grp.com/globalSearch/N8273-4  UT/page-1", "N8273-4  UT")</f>
        <v>N8273-4  UT</v>
      </c>
      <c r="B20062" s="3" t="s">
        <v>116</v>
      </c>
      <c r="C20062" s="6">
        <v>6515</v>
      </c>
      <c r="D20062" s="7">
        <v>81.790000000000006</v>
      </c>
    </row>
    <row r="20063" spans="1:5" x14ac:dyDescent="0.25">
      <c r="A20063" t="str">
        <f>HYPERLINK("https://www.773grp.com/globalSearch/54L72J/page-1", "54L72J")</f>
        <v>54L72J</v>
      </c>
      <c r="B20063" s="3" t="s">
        <v>116</v>
      </c>
      <c r="C20063" s="6">
        <v>308</v>
      </c>
      <c r="D20063" s="7">
        <v>82.79</v>
      </c>
    </row>
    <row r="20064" spans="1:5" x14ac:dyDescent="0.25">
      <c r="A20064" t="str">
        <f>HYPERLINK("https://www.773grp.com/globalSearch/AM79C970AVI\W/page-1", "AM79C970AVI-W")</f>
        <v>AM79C970AVI-W</v>
      </c>
      <c r="B20064" s="3" t="s">
        <v>116</v>
      </c>
      <c r="C20064" s="6">
        <v>1208</v>
      </c>
      <c r="D20064" s="7">
        <v>82.86</v>
      </c>
    </row>
    <row r="20065" spans="1:5" x14ac:dyDescent="0.25">
      <c r="A20065" t="str">
        <f>HYPERLINK("https://www.773grp.com/globalSearch/54122W-B/page-1", "54122W-B")</f>
        <v>54122W-B</v>
      </c>
      <c r="B20065" s="3" t="s">
        <v>116</v>
      </c>
      <c r="C20065" s="6">
        <v>2020</v>
      </c>
      <c r="D20065" s="7">
        <v>83.18</v>
      </c>
    </row>
    <row r="20066" spans="1:5" x14ac:dyDescent="0.25">
      <c r="A20066" t="str">
        <f>HYPERLINK("https://www.773grp.com/globalSearch/93S48DM/page-1", "93S48DM")</f>
        <v>93S48DM</v>
      </c>
      <c r="B20066" s="3" t="s">
        <v>116</v>
      </c>
      <c r="C20066" s="6">
        <v>154</v>
      </c>
      <c r="D20066" s="7">
        <v>83.18</v>
      </c>
    </row>
    <row r="20067" spans="1:5" x14ac:dyDescent="0.25">
      <c r="A20067" t="str">
        <f>HYPERLINK("https://www.773grp.com/globalSearch/MD8259A-B  UT/page-1", "MD8259A-B  UT")</f>
        <v>MD8259A-B  UT</v>
      </c>
      <c r="B20067" s="3" t="s">
        <v>116</v>
      </c>
      <c r="C20067" s="6">
        <v>48</v>
      </c>
      <c r="D20067" s="7">
        <v>83.18</v>
      </c>
    </row>
    <row r="20068" spans="1:5" x14ac:dyDescent="0.25">
      <c r="A20068" t="str">
        <f>HYPERLINK("https://www.773grp.com/globalSearch/N80C152JA-1/page-1", "N80C152JA-1")</f>
        <v>N80C152JA-1</v>
      </c>
      <c r="B20068" s="3" t="s">
        <v>116</v>
      </c>
      <c r="C20068" s="6">
        <v>67</v>
      </c>
      <c r="D20068" s="7">
        <v>83.18</v>
      </c>
      <c r="E20068" t="s">
        <v>43</v>
      </c>
    </row>
    <row r="20069" spans="1:5" x14ac:dyDescent="0.25">
      <c r="A20069" t="str">
        <f>HYPERLINK("https://www.773grp.com/globalSearch/2946-BRA/page-1", "2946-BRA")</f>
        <v>2946-BRA</v>
      </c>
      <c r="B20069" s="3" t="s">
        <v>116</v>
      </c>
      <c r="C20069" s="6">
        <v>549</v>
      </c>
      <c r="D20069" s="7">
        <v>83.31</v>
      </c>
    </row>
    <row r="20070" spans="1:5" x14ac:dyDescent="0.25">
      <c r="A20070" t="str">
        <f>HYPERLINK("https://www.773grp.com/globalSearch/9002DM-B/page-1", "9002DM-B")</f>
        <v>9002DM-B</v>
      </c>
      <c r="B20070" s="3" t="s">
        <v>116</v>
      </c>
      <c r="C20070" s="6">
        <v>279</v>
      </c>
      <c r="D20070" s="7">
        <v>84.63</v>
      </c>
    </row>
    <row r="20071" spans="1:5" x14ac:dyDescent="0.25">
      <c r="A20071" t="str">
        <f>HYPERLINK("https://www.773grp.com/globalSearch/CLC411AJE/page-1", "CLC411AJE")</f>
        <v>CLC411AJE</v>
      </c>
      <c r="B20071" s="3" t="s">
        <v>116</v>
      </c>
      <c r="C20071" s="6">
        <v>127</v>
      </c>
      <c r="D20071" s="7">
        <v>85.04</v>
      </c>
      <c r="E20071" t="s">
        <v>14</v>
      </c>
    </row>
    <row r="20072" spans="1:5" x14ac:dyDescent="0.25">
      <c r="A20072" t="str">
        <f>HYPERLINK("https://www.773grp.com/globalSearch/DM54S288J/page-1", "DM54S288J")</f>
        <v>DM54S288J</v>
      </c>
      <c r="B20072" s="3" t="s">
        <v>116</v>
      </c>
      <c r="C20072" s="6">
        <v>899</v>
      </c>
      <c r="D20072" s="7">
        <v>85.09</v>
      </c>
      <c r="E20072" t="s">
        <v>52</v>
      </c>
    </row>
    <row r="20073" spans="1:5" x14ac:dyDescent="0.25">
      <c r="A20073" t="str">
        <f>HYPERLINK("https://www.773grp.com/globalSearch/74AS866AN/page-1", "74AS866AN")</f>
        <v>74AS866AN</v>
      </c>
      <c r="B20073" s="3" t="s">
        <v>116</v>
      </c>
      <c r="C20073" s="6">
        <v>5190</v>
      </c>
      <c r="D20073" s="7">
        <v>85.33</v>
      </c>
    </row>
    <row r="20074" spans="1:5" x14ac:dyDescent="0.25">
      <c r="A20074" t="str">
        <f>HYPERLINK("https://www.773grp.com/globalSearch/54F251ADM/page-1", "54F251ADM")</f>
        <v>54F251ADM</v>
      </c>
      <c r="B20074" s="3" t="s">
        <v>116</v>
      </c>
      <c r="C20074" s="6">
        <v>565</v>
      </c>
      <c r="D20074" s="7">
        <v>85.33</v>
      </c>
      <c r="E20074" t="s">
        <v>16</v>
      </c>
    </row>
    <row r="20075" spans="1:5" x14ac:dyDescent="0.25">
      <c r="A20075" t="str">
        <f>HYPERLINK("https://www.773grp.com/globalSearch/74S226J/page-1", "74S226J")</f>
        <v>74S226J</v>
      </c>
      <c r="B20075" s="3" t="s">
        <v>116</v>
      </c>
      <c r="C20075" s="6">
        <v>176</v>
      </c>
      <c r="D20075" s="7">
        <v>85.69</v>
      </c>
    </row>
    <row r="20076" spans="1:5" x14ac:dyDescent="0.25">
      <c r="A20076" t="str">
        <f>HYPERLINK("https://www.773grp.com/globalSearch/54LS95BJ/page-1", "54LS95BJ")</f>
        <v>54LS95BJ</v>
      </c>
      <c r="B20076" s="3" t="s">
        <v>116</v>
      </c>
      <c r="C20076" s="6">
        <v>228</v>
      </c>
      <c r="D20076" s="7">
        <v>85.69</v>
      </c>
    </row>
    <row r="20077" spans="1:5" x14ac:dyDescent="0.25">
      <c r="A20077" t="str">
        <f>HYPERLINK("https://www.773grp.com/globalSearch/LMX2305TM/page-1", "LMX2305TM")</f>
        <v>LMX2305TM</v>
      </c>
      <c r="B20077" s="3" t="s">
        <v>116</v>
      </c>
      <c r="C20077" s="6">
        <v>4172</v>
      </c>
      <c r="D20077" s="7">
        <v>86.08</v>
      </c>
      <c r="E20077" t="s">
        <v>34</v>
      </c>
    </row>
    <row r="20078" spans="1:5" x14ac:dyDescent="0.25">
      <c r="A20078" t="str">
        <f>HYPERLINK("https://www.773grp.com/globalSearch/54LS113FM-B/page-1", "54LS113FM-B")</f>
        <v>54LS113FM-B</v>
      </c>
      <c r="B20078" s="3" t="s">
        <v>116</v>
      </c>
      <c r="C20078" s="6">
        <v>615</v>
      </c>
      <c r="D20078" s="7">
        <v>86.96</v>
      </c>
    </row>
    <row r="20079" spans="1:5" x14ac:dyDescent="0.25">
      <c r="A20079" t="str">
        <f>HYPERLINK("https://www.773grp.com/globalSearch/5476-BEA/page-1", "5476-BEA")</f>
        <v>5476-BEA</v>
      </c>
      <c r="B20079" s="3" t="s">
        <v>116</v>
      </c>
      <c r="C20079" s="6">
        <v>105</v>
      </c>
      <c r="D20079" s="7">
        <v>87.21</v>
      </c>
    </row>
    <row r="20080" spans="1:5" x14ac:dyDescent="0.25">
      <c r="A20080" t="str">
        <f>HYPERLINK("https://www.773grp.com/globalSearch/LM310H/page-1", "LM310H")</f>
        <v>LM310H</v>
      </c>
      <c r="B20080" s="3" t="s">
        <v>116</v>
      </c>
      <c r="C20080" s="6">
        <v>336</v>
      </c>
      <c r="D20080" s="7">
        <v>87.36</v>
      </c>
      <c r="E20080" t="s">
        <v>41</v>
      </c>
    </row>
    <row r="20081" spans="1:5" x14ac:dyDescent="0.25">
      <c r="A20081" t="str">
        <f>HYPERLINK("https://www.773grp.com/globalSearch/CLC114AJE/page-1", "CLC114AJE")</f>
        <v>CLC114AJE</v>
      </c>
      <c r="B20081" s="3" t="s">
        <v>116</v>
      </c>
      <c r="C20081" s="6">
        <v>636</v>
      </c>
      <c r="D20081" s="7">
        <v>87.75</v>
      </c>
      <c r="E20081" t="s">
        <v>41</v>
      </c>
    </row>
    <row r="20082" spans="1:5" x14ac:dyDescent="0.25">
      <c r="A20082" t="str">
        <f>HYPERLINK("https://www.773grp.com/globalSearch/CLC114AJP/page-1", "CLC114AJP")</f>
        <v>CLC114AJP</v>
      </c>
      <c r="B20082" s="3" t="s">
        <v>116</v>
      </c>
      <c r="C20082" s="6">
        <v>721</v>
      </c>
      <c r="D20082" s="7">
        <v>87.75</v>
      </c>
      <c r="E20082" t="s">
        <v>41</v>
      </c>
    </row>
    <row r="20083" spans="1:5" x14ac:dyDescent="0.25">
      <c r="A20083" t="str">
        <f>HYPERLINK("https://www.773grp.com/globalSearch/RC529F-R/page-1", "RC529F-R")</f>
        <v>RC529F-R</v>
      </c>
      <c r="B20083" s="3" t="s">
        <v>116</v>
      </c>
      <c r="C20083" s="6">
        <v>101</v>
      </c>
      <c r="D20083" s="7">
        <v>88.23</v>
      </c>
    </row>
    <row r="20084" spans="1:5" x14ac:dyDescent="0.25">
      <c r="A20084" t="str">
        <f>HYPERLINK("https://www.773grp.com/globalSearch/MD8243-B/page-1", "MD8243-B")</f>
        <v>MD8243-B</v>
      </c>
      <c r="B20084" s="3" t="s">
        <v>116</v>
      </c>
      <c r="C20084" s="6">
        <v>496</v>
      </c>
      <c r="D20084" s="7">
        <v>88.23</v>
      </c>
    </row>
    <row r="20085" spans="1:5" x14ac:dyDescent="0.25">
      <c r="A20085" t="str">
        <f>HYPERLINK("https://www.773grp.com/globalSearch/D8255A/page-1", "D8255A")</f>
        <v>D8255A</v>
      </c>
      <c r="B20085" s="3" t="s">
        <v>116</v>
      </c>
      <c r="C20085" s="6">
        <v>434</v>
      </c>
      <c r="D20085" s="7">
        <v>88.88</v>
      </c>
      <c r="E20085" t="s">
        <v>71</v>
      </c>
    </row>
    <row r="20086" spans="1:5" x14ac:dyDescent="0.25">
      <c r="A20086" t="str">
        <f>HYPERLINK("https://www.773grp.com/globalSearch/54H21W-C  LT/page-1", "54H21W-C  LT")</f>
        <v>54H21W-C  LT</v>
      </c>
      <c r="B20086" s="3" t="s">
        <v>116</v>
      </c>
      <c r="C20086" s="6">
        <v>45</v>
      </c>
      <c r="D20086" s="7">
        <v>89.49</v>
      </c>
    </row>
    <row r="20087" spans="1:5" x14ac:dyDescent="0.25">
      <c r="A20087" t="str">
        <f>HYPERLINK("https://www.773grp.com/globalSearch/TN87C51FC-1/page-1", "TN87C51FC-1")</f>
        <v>TN87C51FC-1</v>
      </c>
      <c r="B20087" s="3" t="s">
        <v>116</v>
      </c>
      <c r="C20087" s="6">
        <v>697</v>
      </c>
      <c r="D20087" s="7">
        <v>89.76</v>
      </c>
      <c r="E20087" t="s">
        <v>43</v>
      </c>
    </row>
    <row r="20088" spans="1:5" x14ac:dyDescent="0.25">
      <c r="A20088" t="str">
        <f>HYPERLINK("https://www.773grp.com/globalSearch/N2912A/page-1", "N2912A")</f>
        <v>N2912A</v>
      </c>
      <c r="B20088" s="3" t="s">
        <v>116</v>
      </c>
      <c r="C20088" s="6">
        <v>11</v>
      </c>
      <c r="D20088" s="7">
        <v>90.13</v>
      </c>
    </row>
    <row r="20089" spans="1:5" x14ac:dyDescent="0.25">
      <c r="A20089" t="str">
        <f>HYPERLINK("https://www.773grp.com/globalSearch/9097DM-C/page-1", "9097DM-C")</f>
        <v>9097DM-C</v>
      </c>
      <c r="B20089" s="3" t="s">
        <v>116</v>
      </c>
      <c r="C20089" s="6">
        <v>118</v>
      </c>
      <c r="D20089" s="7">
        <v>90.63</v>
      </c>
    </row>
    <row r="20090" spans="1:5" x14ac:dyDescent="0.25">
      <c r="A20090" t="str">
        <f>HYPERLINK("https://www.773grp.com/globalSearch/25LS2521-BRA/page-1", "25LS2521-BRA")</f>
        <v>25LS2521-BRA</v>
      </c>
      <c r="B20090" s="3" t="s">
        <v>116</v>
      </c>
      <c r="C20090" s="6">
        <v>252</v>
      </c>
      <c r="D20090" s="7">
        <v>90.74</v>
      </c>
    </row>
    <row r="20091" spans="1:5" x14ac:dyDescent="0.25">
      <c r="A20091" t="str">
        <f>HYPERLINK("https://www.773grp.com/globalSearch/D82C288-10/page-1", "D82C288-10")</f>
        <v>D82C288-10</v>
      </c>
      <c r="B20091" s="3" t="s">
        <v>116</v>
      </c>
      <c r="C20091" s="6">
        <v>139</v>
      </c>
      <c r="D20091" s="7">
        <v>91.55</v>
      </c>
      <c r="E20091" t="s">
        <v>72</v>
      </c>
    </row>
    <row r="20092" spans="1:5" x14ac:dyDescent="0.25">
      <c r="A20092" t="str">
        <f>HYPERLINK("https://www.773grp.com/globalSearch/TN82510/page-1", "TN82510")</f>
        <v>TN82510</v>
      </c>
      <c r="B20092" s="3" t="s">
        <v>116</v>
      </c>
      <c r="C20092" s="6">
        <v>237</v>
      </c>
      <c r="D20092" s="7">
        <v>91.85</v>
      </c>
      <c r="E20092" t="s">
        <v>59</v>
      </c>
    </row>
    <row r="20093" spans="1:5" x14ac:dyDescent="0.25">
      <c r="A20093" t="str">
        <f>HYPERLINK("https://www.773grp.com/globalSearch/MD27C64-35/page-1", "MD27C64-35")</f>
        <v>MD27C64-35</v>
      </c>
      <c r="B20093" s="3" t="s">
        <v>116</v>
      </c>
      <c r="C20093" s="6">
        <v>249</v>
      </c>
      <c r="D20093" s="7">
        <v>92.75</v>
      </c>
    </row>
    <row r="20094" spans="1:5" x14ac:dyDescent="0.25">
      <c r="A20094" t="str">
        <f>HYPERLINK("https://www.773grp.com/globalSearch/944DM/page-1", "944DM")</f>
        <v>944DM</v>
      </c>
      <c r="B20094" s="3" t="s">
        <v>116</v>
      </c>
      <c r="C20094" s="6">
        <v>287</v>
      </c>
      <c r="D20094" s="7">
        <v>93.26</v>
      </c>
      <c r="E20094" t="s">
        <v>27</v>
      </c>
    </row>
    <row r="20095" spans="1:5" x14ac:dyDescent="0.25">
      <c r="A20095" t="str">
        <f>HYPERLINK("https://www.773grp.com/globalSearch/R554137/page-1", "R554137")</f>
        <v>R554137</v>
      </c>
      <c r="B20095" s="3" t="s">
        <v>116</v>
      </c>
      <c r="C20095" s="6">
        <v>348</v>
      </c>
      <c r="D20095" s="7">
        <v>93.26</v>
      </c>
    </row>
    <row r="20096" spans="1:5" x14ac:dyDescent="0.25">
      <c r="A20096" t="str">
        <f>HYPERLINK("https://www.773grp.com/globalSearch/R554139/page-1", "R554139")</f>
        <v>R554139</v>
      </c>
      <c r="B20096" s="3" t="s">
        <v>116</v>
      </c>
      <c r="C20096" s="6">
        <v>2</v>
      </c>
      <c r="D20096" s="7">
        <v>93.26</v>
      </c>
    </row>
    <row r="20097" spans="1:5" x14ac:dyDescent="0.25">
      <c r="A20097" t="str">
        <f>HYPERLINK("https://www.773grp.com/globalSearch/R554169/page-1", "R554169")</f>
        <v>R554169</v>
      </c>
      <c r="B20097" s="3" t="s">
        <v>116</v>
      </c>
      <c r="C20097" s="6">
        <v>335</v>
      </c>
      <c r="D20097" s="7">
        <v>93.26</v>
      </c>
    </row>
    <row r="20098" spans="1:5" x14ac:dyDescent="0.25">
      <c r="A20098" t="str">
        <f>HYPERLINK("https://www.773grp.com/globalSearch/R554906/page-1", "R554906")</f>
        <v>R554906</v>
      </c>
      <c r="B20098" s="3" t="s">
        <v>116</v>
      </c>
      <c r="C20098" s="6">
        <v>374</v>
      </c>
      <c r="D20098" s="7">
        <v>93.26</v>
      </c>
    </row>
    <row r="20099" spans="1:5" x14ac:dyDescent="0.25">
      <c r="A20099" t="str">
        <f>HYPERLINK("https://www.773grp.com/globalSearch/26LS30FM-B/page-1", "26LS30FM-B")</f>
        <v>26LS30FM-B</v>
      </c>
      <c r="B20099" s="3" t="s">
        <v>116</v>
      </c>
      <c r="C20099" s="6">
        <v>523</v>
      </c>
      <c r="D20099" s="7">
        <v>93.26</v>
      </c>
    </row>
    <row r="20100" spans="1:5" x14ac:dyDescent="0.25">
      <c r="A20100" t="str">
        <f>HYPERLINK("https://www.773grp.com/globalSearch/54F381ADM-B/page-1", "54F381ADM-B")</f>
        <v>54F381ADM-B</v>
      </c>
      <c r="B20100" s="3" t="s">
        <v>116</v>
      </c>
      <c r="C20100" s="6">
        <v>258</v>
      </c>
      <c r="D20100" s="7">
        <v>93.26</v>
      </c>
    </row>
    <row r="20101" spans="1:5" x14ac:dyDescent="0.25">
      <c r="A20101" t="str">
        <f>HYPERLINK("https://www.773grp.com/globalSearch/54LS28J-B/page-1", "54LS28J-B")</f>
        <v>54LS28J-B</v>
      </c>
      <c r="B20101" s="3" t="s">
        <v>116</v>
      </c>
      <c r="C20101" s="6">
        <v>104</v>
      </c>
      <c r="D20101" s="7">
        <v>93.26</v>
      </c>
    </row>
    <row r="20102" spans="1:5" x14ac:dyDescent="0.25">
      <c r="A20102" t="str">
        <f>HYPERLINK("https://www.773grp.com/globalSearch/D8748H/page-1", "D8748H")</f>
        <v>D8748H</v>
      </c>
      <c r="B20102" s="3" t="s">
        <v>116</v>
      </c>
      <c r="C20102" s="6">
        <v>1453</v>
      </c>
      <c r="D20102" s="7">
        <v>93.64</v>
      </c>
      <c r="E20102" t="s">
        <v>43</v>
      </c>
    </row>
    <row r="20103" spans="1:5" x14ac:dyDescent="0.25">
      <c r="A20103" t="str">
        <f>HYPERLINK("https://www.773grp.com/globalSearch/AM27C512-200DI/page-1", "AM27C512-200DI")</f>
        <v>AM27C512-200DI</v>
      </c>
      <c r="B20103" s="3" t="s">
        <v>116</v>
      </c>
      <c r="C20103" s="6">
        <v>69</v>
      </c>
      <c r="D20103" s="7">
        <v>93.78</v>
      </c>
      <c r="E20103" t="s">
        <v>52</v>
      </c>
    </row>
    <row r="20104" spans="1:5" x14ac:dyDescent="0.25">
      <c r="A20104" t="str">
        <f>HYPERLINK("https://www.773grp.com/globalSearch/54L04J/page-1", "54L04J")</f>
        <v>54L04J</v>
      </c>
      <c r="B20104" s="3" t="s">
        <v>116</v>
      </c>
      <c r="C20104" s="6">
        <v>139</v>
      </c>
      <c r="D20104" s="7">
        <v>93.91</v>
      </c>
    </row>
    <row r="20105" spans="1:5" x14ac:dyDescent="0.25">
      <c r="A20105" t="str">
        <f>HYPERLINK("https://www.773grp.com/globalSearch/HA2-5102-5/page-1", "HA2-5102-5")</f>
        <v>HA2-5102-5</v>
      </c>
      <c r="B20105" s="3" t="s">
        <v>116</v>
      </c>
      <c r="C20105" s="6">
        <v>8067</v>
      </c>
      <c r="D20105" s="7">
        <v>94.93</v>
      </c>
      <c r="E20105" t="s">
        <v>10</v>
      </c>
    </row>
    <row r="20106" spans="1:5" x14ac:dyDescent="0.25">
      <c r="A20106" t="str">
        <f>HYPERLINK("https://www.773grp.com/globalSearch/54S40-BCA/page-1", "54S40-BCA")</f>
        <v>54S40-BCA</v>
      </c>
      <c r="B20106" s="3" t="s">
        <v>116</v>
      </c>
      <c r="C20106" s="6">
        <v>2246</v>
      </c>
      <c r="D20106" s="7">
        <v>95.09</v>
      </c>
      <c r="E20106" t="s">
        <v>27</v>
      </c>
    </row>
    <row r="20107" spans="1:5" x14ac:dyDescent="0.25">
      <c r="A20107" t="str">
        <f>HYPERLINK("https://www.773grp.com/globalSearch/29705APCB/page-1", "29705APCB")</f>
        <v>29705APCB</v>
      </c>
      <c r="B20107" s="3" t="s">
        <v>116</v>
      </c>
      <c r="C20107" s="6">
        <v>205</v>
      </c>
      <c r="D20107" s="7">
        <v>95.36</v>
      </c>
    </row>
    <row r="20108" spans="1:5" x14ac:dyDescent="0.25">
      <c r="A20108" t="str">
        <f>HYPERLINK("https://www.773grp.com/globalSearch/MD27C64-25/page-1", "MD27C64-25")</f>
        <v>MD27C64-25</v>
      </c>
      <c r="B20108" s="3" t="s">
        <v>116</v>
      </c>
      <c r="C20108" s="6">
        <v>434</v>
      </c>
      <c r="D20108" s="7">
        <v>95.65</v>
      </c>
    </row>
    <row r="20109" spans="1:5" x14ac:dyDescent="0.25">
      <c r="A20109" t="str">
        <f>HYPERLINK("https://www.773grp.com/globalSearch/2102AJ-R/page-1", "2102AJ-R")</f>
        <v>2102AJ-R</v>
      </c>
      <c r="B20109" s="3" t="s">
        <v>116</v>
      </c>
      <c r="C20109" s="6">
        <v>15</v>
      </c>
      <c r="D20109" s="7">
        <v>95.79</v>
      </c>
    </row>
    <row r="20110" spans="1:5" x14ac:dyDescent="0.25">
      <c r="A20110" t="str">
        <f>HYPERLINK("https://www.773grp.com/globalSearch/54H04-BCA/page-1", "54H04-BCA")</f>
        <v>54H04-BCA</v>
      </c>
      <c r="B20110" s="3" t="s">
        <v>116</v>
      </c>
      <c r="C20110" s="6">
        <v>51</v>
      </c>
      <c r="D20110" s="7">
        <v>95.79</v>
      </c>
    </row>
    <row r="20111" spans="1:5" x14ac:dyDescent="0.25">
      <c r="A20111" t="str">
        <f>HYPERLINK("https://www.773grp.com/globalSearch/54H20DM-B/page-1", "54H20DM-B")</f>
        <v>54H20DM-B</v>
      </c>
      <c r="B20111" s="3" t="s">
        <v>116</v>
      </c>
      <c r="C20111" s="6">
        <v>212</v>
      </c>
      <c r="D20111" s="7">
        <v>95.79</v>
      </c>
    </row>
    <row r="20112" spans="1:5" x14ac:dyDescent="0.25">
      <c r="A20112" t="str">
        <f>HYPERLINK("https://www.773grp.com/globalSearch/R574145/page-1", "R574145")</f>
        <v>R574145</v>
      </c>
      <c r="B20112" s="3" t="s">
        <v>116</v>
      </c>
      <c r="C20112" s="6">
        <v>481</v>
      </c>
      <c r="D20112" s="7">
        <v>95.79</v>
      </c>
    </row>
    <row r="20113" spans="1:5" x14ac:dyDescent="0.25">
      <c r="A20113" t="str">
        <f>HYPERLINK("https://www.773grp.com/globalSearch/26LS32-BFA/page-1", "26LS32-BFA")</f>
        <v>26LS32-BFA</v>
      </c>
      <c r="B20113" s="3" t="s">
        <v>116</v>
      </c>
      <c r="C20113" s="6">
        <v>229</v>
      </c>
      <c r="D20113" s="7">
        <v>95.79</v>
      </c>
      <c r="E20113" t="s">
        <v>17</v>
      </c>
    </row>
    <row r="20114" spans="1:5" x14ac:dyDescent="0.25">
      <c r="A20114" t="str">
        <f>HYPERLINK("https://www.773grp.com/globalSearch/29C60AJC/page-1", "29C60AJC")</f>
        <v>29C60AJC</v>
      </c>
      <c r="B20114" s="3" t="s">
        <v>116</v>
      </c>
      <c r="C20114" s="6">
        <v>995</v>
      </c>
      <c r="D20114" s="7">
        <v>95.79</v>
      </c>
    </row>
    <row r="20115" spans="1:5" x14ac:dyDescent="0.25">
      <c r="A20115" t="str">
        <f>HYPERLINK("https://www.773grp.com/globalSearch/9513ADC/page-1", "9513ADC")</f>
        <v>9513ADC</v>
      </c>
      <c r="B20115" s="3" t="s">
        <v>116</v>
      </c>
      <c r="C20115" s="6">
        <v>50</v>
      </c>
      <c r="D20115" s="7">
        <v>95.79</v>
      </c>
    </row>
    <row r="20116" spans="1:5" x14ac:dyDescent="0.25">
      <c r="A20116" t="str">
        <f>HYPERLINK("https://www.773grp.com/globalSearch/9519ADC/page-1", "9519ADC")</f>
        <v>9519ADC</v>
      </c>
      <c r="B20116" s="3" t="s">
        <v>116</v>
      </c>
      <c r="C20116" s="6">
        <v>31</v>
      </c>
      <c r="D20116" s="7">
        <v>95.79</v>
      </c>
    </row>
    <row r="20117" spans="1:5" x14ac:dyDescent="0.25">
      <c r="A20117" t="str">
        <f>HYPERLINK("https://www.773grp.com/globalSearch/MD2764A-35-B/page-1", "MD2764A-35-B")</f>
        <v>MD2764A-35-B</v>
      </c>
      <c r="B20117" s="3" t="s">
        <v>116</v>
      </c>
      <c r="C20117" s="6">
        <v>8</v>
      </c>
      <c r="D20117" s="7">
        <v>95.79</v>
      </c>
    </row>
    <row r="20118" spans="1:5" x14ac:dyDescent="0.25">
      <c r="A20118" t="str">
        <f>HYPERLINK("https://www.773grp.com/globalSearch/DS0026CH/page-1", "DS0026CH")</f>
        <v>DS0026CH</v>
      </c>
      <c r="B20118" s="3" t="s">
        <v>116</v>
      </c>
      <c r="C20118" s="6">
        <v>748</v>
      </c>
      <c r="D20118" s="7">
        <v>95.79</v>
      </c>
    </row>
    <row r="20119" spans="1:5" x14ac:dyDescent="0.25">
      <c r="A20119" t="str">
        <f>HYPERLINK("https://www.773grp.com/globalSearch/54H22-BCA/page-1", "54H22-BCA")</f>
        <v>54H22-BCA</v>
      </c>
      <c r="B20119" s="3" t="s">
        <v>116</v>
      </c>
      <c r="C20119" s="6">
        <v>601</v>
      </c>
      <c r="D20119" s="7">
        <v>95.79</v>
      </c>
    </row>
    <row r="20120" spans="1:5" x14ac:dyDescent="0.25">
      <c r="A20120" t="str">
        <f>HYPERLINK("https://www.773grp.com/globalSearch/54LS03-BCA/page-1", "54LS03-BCA")</f>
        <v>54LS03-BCA</v>
      </c>
      <c r="B20120" s="3" t="s">
        <v>116</v>
      </c>
      <c r="C20120" s="6">
        <v>909</v>
      </c>
      <c r="D20120" s="7">
        <v>95.79</v>
      </c>
    </row>
    <row r="20121" spans="1:5" x14ac:dyDescent="0.25">
      <c r="A20121" t="str">
        <f>HYPERLINK("https://www.773grp.com/globalSearch/54LS13-BCA/page-1", "54LS13-BCA")</f>
        <v>54LS13-BCA</v>
      </c>
      <c r="B20121" s="3" t="s">
        <v>116</v>
      </c>
      <c r="C20121" s="6">
        <v>1030</v>
      </c>
      <c r="D20121" s="7">
        <v>95.79</v>
      </c>
    </row>
    <row r="20122" spans="1:5" x14ac:dyDescent="0.25">
      <c r="A20122" t="str">
        <f>HYPERLINK("https://www.773grp.com/globalSearch/54LS147-BEA/page-1", "54LS147-BEA")</f>
        <v>54LS147-BEA</v>
      </c>
      <c r="B20122" s="3" t="s">
        <v>116</v>
      </c>
      <c r="C20122" s="6">
        <v>1070</v>
      </c>
      <c r="D20122" s="7">
        <v>95.79</v>
      </c>
    </row>
    <row r="20123" spans="1:5" x14ac:dyDescent="0.25">
      <c r="A20123" t="str">
        <f>HYPERLINK("https://www.773grp.com/globalSearch/54LS48J-B/page-1", "54LS48J-B")</f>
        <v>54LS48J-B</v>
      </c>
      <c r="B20123" s="3" t="s">
        <v>116</v>
      </c>
      <c r="C20123" s="6">
        <v>2</v>
      </c>
      <c r="D20123" s="7">
        <v>95.79</v>
      </c>
    </row>
    <row r="20124" spans="1:5" x14ac:dyDescent="0.25">
      <c r="A20124" t="str">
        <f>HYPERLINK("https://www.773grp.com/globalSearch/54H73J-C/page-1", "54H73J-C")</f>
        <v>54H73J-C</v>
      </c>
      <c r="B20124" s="3" t="s">
        <v>116</v>
      </c>
      <c r="C20124" s="6">
        <v>134</v>
      </c>
      <c r="D20124" s="7">
        <v>96.04</v>
      </c>
    </row>
    <row r="20125" spans="1:5" x14ac:dyDescent="0.25">
      <c r="A20125" t="str">
        <f>HYPERLINK("https://www.773grp.com/globalSearch/54L78J-C/page-1", "54L78J-C")</f>
        <v>54L78J-C</v>
      </c>
      <c r="B20125" s="3" t="s">
        <v>116</v>
      </c>
      <c r="C20125" s="6">
        <v>201</v>
      </c>
      <c r="D20125" s="7">
        <v>96.33</v>
      </c>
    </row>
    <row r="20126" spans="1:5" x14ac:dyDescent="0.25">
      <c r="A20126" t="str">
        <f>HYPERLINK("https://www.773grp.com/globalSearch/74AS632FN/page-1", "74AS632FN")</f>
        <v>74AS632FN</v>
      </c>
      <c r="B20126" s="3" t="s">
        <v>116</v>
      </c>
      <c r="C20126" s="6">
        <v>66</v>
      </c>
      <c r="D20126" s="7">
        <v>96.75</v>
      </c>
    </row>
    <row r="20127" spans="1:5" x14ac:dyDescent="0.25">
      <c r="A20127" t="str">
        <f>HYPERLINK("https://www.773grp.com/globalSearch/5410-BDA/page-1", "5410-BDA")</f>
        <v>5410-BDA</v>
      </c>
      <c r="B20127" s="3" t="s">
        <v>116</v>
      </c>
      <c r="C20127" s="6">
        <v>373</v>
      </c>
      <c r="D20127" s="7">
        <v>97.21</v>
      </c>
    </row>
    <row r="20128" spans="1:5" x14ac:dyDescent="0.25">
      <c r="A20128" t="str">
        <f>HYPERLINK("https://www.773grp.com/globalSearch/RC668L/page-1", "RC668L")</f>
        <v>RC668L</v>
      </c>
      <c r="B20128" s="3" t="s">
        <v>116</v>
      </c>
      <c r="C20128" s="6">
        <v>131</v>
      </c>
      <c r="D20128" s="7">
        <v>97.3</v>
      </c>
    </row>
    <row r="20129" spans="1:5" x14ac:dyDescent="0.25">
      <c r="A20129" t="str">
        <f>HYPERLINK("https://www.773grp.com/globalSearch/54F38-QCA/page-1", "54F38-QCA")</f>
        <v>54F38-QCA</v>
      </c>
      <c r="B20129" s="3" t="s">
        <v>116</v>
      </c>
      <c r="C20129" s="6">
        <v>244</v>
      </c>
      <c r="D20129" s="7">
        <v>97.55</v>
      </c>
    </row>
    <row r="20130" spans="1:5" x14ac:dyDescent="0.25">
      <c r="A20130" t="str">
        <f>HYPERLINK("https://www.773grp.com/globalSearch/D8255A-5/page-1", "D8255A-5")</f>
        <v>D8255A-5</v>
      </c>
      <c r="B20130" s="3" t="s">
        <v>116</v>
      </c>
      <c r="C20130" s="6">
        <v>321</v>
      </c>
      <c r="D20130" s="7">
        <v>97.69</v>
      </c>
    </row>
    <row r="20131" spans="1:5" x14ac:dyDescent="0.25">
      <c r="A20131" t="str">
        <f>HYPERLINK("https://www.773grp.com/globalSearch/11C90DM-B/page-1", "11C90DM-B")</f>
        <v>11C90DM-B</v>
      </c>
      <c r="B20131" s="3" t="s">
        <v>116</v>
      </c>
      <c r="C20131" s="6">
        <v>3192</v>
      </c>
      <c r="D20131" s="7">
        <v>97.69</v>
      </c>
    </row>
    <row r="20132" spans="1:5" x14ac:dyDescent="0.25">
      <c r="A20132" t="str">
        <f>HYPERLINK("https://www.773grp.com/globalSearch/54152AW-B/page-1", "54152AW-B")</f>
        <v>54152AW-B</v>
      </c>
      <c r="B20132" s="3" t="s">
        <v>116</v>
      </c>
      <c r="C20132" s="6">
        <v>226</v>
      </c>
      <c r="D20132" s="7">
        <v>98.18</v>
      </c>
    </row>
    <row r="20133" spans="1:5" x14ac:dyDescent="0.25">
      <c r="A20133" t="str">
        <f>HYPERLINK("https://www.773grp.com/globalSearch/5403-BCA/page-1", "5403-BCA")</f>
        <v>5403-BCA</v>
      </c>
      <c r="B20133" s="3" t="s">
        <v>116</v>
      </c>
      <c r="C20133" s="6">
        <v>908</v>
      </c>
      <c r="D20133" s="7">
        <v>98.26</v>
      </c>
    </row>
    <row r="20134" spans="1:5" x14ac:dyDescent="0.25">
      <c r="A20134" t="str">
        <f>HYPERLINK("https://www.773grp.com/globalSearch/R554152/page-1", "R554152")</f>
        <v>R554152</v>
      </c>
      <c r="B20134" s="3" t="s">
        <v>116</v>
      </c>
      <c r="C20134" s="6">
        <v>372</v>
      </c>
      <c r="D20134" s="7">
        <v>98.3</v>
      </c>
    </row>
    <row r="20135" spans="1:5" x14ac:dyDescent="0.25">
      <c r="A20135" t="str">
        <f>HYPERLINK("https://www.773grp.com/globalSearch/R554901/page-1", "R554901")</f>
        <v>R554901</v>
      </c>
      <c r="B20135" s="3" t="s">
        <v>116</v>
      </c>
      <c r="C20135" s="6">
        <v>119</v>
      </c>
      <c r="D20135" s="7">
        <v>98.3</v>
      </c>
    </row>
    <row r="20136" spans="1:5" x14ac:dyDescent="0.25">
      <c r="A20136" t="str">
        <f>HYPERLINK("https://www.773grp.com/globalSearch/2947-BRA/page-1", "2947-BRA")</f>
        <v>2947-BRA</v>
      </c>
      <c r="B20136" s="3" t="s">
        <v>116</v>
      </c>
      <c r="C20136" s="6">
        <v>658</v>
      </c>
      <c r="D20136" s="7">
        <v>98.3</v>
      </c>
    </row>
    <row r="20137" spans="1:5" x14ac:dyDescent="0.25">
      <c r="A20137" t="str">
        <f>HYPERLINK("https://www.773grp.com/globalSearch/3448AL-R/page-1", "3448AL-R")</f>
        <v>3448AL-R</v>
      </c>
      <c r="B20137" s="3" t="s">
        <v>116</v>
      </c>
      <c r="C20137" s="6">
        <v>578</v>
      </c>
      <c r="D20137" s="7">
        <v>98.3</v>
      </c>
    </row>
    <row r="20138" spans="1:5" x14ac:dyDescent="0.25">
      <c r="A20138" t="str">
        <f>HYPERLINK("https://www.773grp.com/globalSearch/7200-50DC/page-1", "7200-50DC")</f>
        <v>7200-50DC</v>
      </c>
      <c r="B20138" s="3" t="s">
        <v>116</v>
      </c>
      <c r="C20138" s="6">
        <v>98</v>
      </c>
      <c r="D20138" s="7">
        <v>98.3</v>
      </c>
    </row>
    <row r="20139" spans="1:5" x14ac:dyDescent="0.25">
      <c r="A20139" t="str">
        <f>HYPERLINK("https://www.773grp.com/globalSearch/MD27256-25-B/page-1", "MD27256-25-B")</f>
        <v>MD27256-25-B</v>
      </c>
      <c r="B20139" s="3" t="s">
        <v>116</v>
      </c>
      <c r="C20139" s="6">
        <v>77</v>
      </c>
      <c r="D20139" s="7">
        <v>98.3</v>
      </c>
    </row>
    <row r="20140" spans="1:5" x14ac:dyDescent="0.25">
      <c r="A20140" t="str">
        <f>HYPERLINK("https://www.773grp.com/globalSearch/CA3080A/page-1", "CA3080A")</f>
        <v>CA3080A</v>
      </c>
      <c r="B20140" s="3" t="s">
        <v>116</v>
      </c>
      <c r="C20140" s="6">
        <v>368</v>
      </c>
      <c r="D20140" s="7">
        <v>98.3</v>
      </c>
    </row>
    <row r="20141" spans="1:5" x14ac:dyDescent="0.25">
      <c r="A20141" t="str">
        <f>HYPERLINK("https://www.773grp.com/globalSearch/54141DM/page-1", "54141DM")</f>
        <v>54141DM</v>
      </c>
      <c r="B20141" s="3" t="s">
        <v>116</v>
      </c>
      <c r="C20141" s="6">
        <v>283</v>
      </c>
      <c r="D20141" s="7">
        <v>98.3</v>
      </c>
    </row>
    <row r="20142" spans="1:5" x14ac:dyDescent="0.25">
      <c r="A20142" t="str">
        <f>HYPERLINK("https://www.773grp.com/globalSearch/54LS293J-B/page-1", "54LS293J-B")</f>
        <v>54LS293J-B</v>
      </c>
      <c r="B20142" s="3" t="s">
        <v>116</v>
      </c>
      <c r="C20142" s="6">
        <v>30</v>
      </c>
      <c r="D20142" s="7">
        <v>98.3</v>
      </c>
    </row>
    <row r="20143" spans="1:5" x14ac:dyDescent="0.25">
      <c r="A20143" t="str">
        <f>HYPERLINK("https://www.773grp.com/globalSearch/TP8032AH/page-1", "TP8032AH")</f>
        <v>TP8032AH</v>
      </c>
      <c r="B20143" s="3" t="s">
        <v>116</v>
      </c>
      <c r="C20143" s="6">
        <v>1681</v>
      </c>
      <c r="D20143" s="7">
        <v>98.46</v>
      </c>
      <c r="E20143" t="s">
        <v>43</v>
      </c>
    </row>
    <row r="20144" spans="1:5" x14ac:dyDescent="0.25">
      <c r="A20144" t="str">
        <f>HYPERLINK("https://www.773grp.com/globalSearch/MD27C64-20/page-1", "MD27C64-20")</f>
        <v>MD27C64-20</v>
      </c>
      <c r="B20144" s="3" t="s">
        <v>116</v>
      </c>
      <c r="C20144" s="6">
        <v>698</v>
      </c>
      <c r="D20144" s="7">
        <v>98.56</v>
      </c>
    </row>
    <row r="20145" spans="1:5" x14ac:dyDescent="0.25">
      <c r="A20145" t="str">
        <f>HYPERLINK("https://www.773grp.com/globalSearch/N82510/page-1", "N82510")</f>
        <v>N82510</v>
      </c>
      <c r="B20145" s="3" t="s">
        <v>116</v>
      </c>
      <c r="C20145" s="6">
        <v>33213</v>
      </c>
      <c r="D20145" s="7">
        <v>98.74</v>
      </c>
      <c r="E20145" t="s">
        <v>59</v>
      </c>
    </row>
    <row r="20146" spans="1:5" x14ac:dyDescent="0.25">
      <c r="A20146" t="str">
        <f>HYPERLINK("https://www.773grp.com/globalSearch/AM27C010-55DI/page-1", "AM27C010-55DI")</f>
        <v>AM27C010-55DI</v>
      </c>
      <c r="B20146" s="3" t="s">
        <v>116</v>
      </c>
      <c r="C20146" s="6">
        <v>50</v>
      </c>
      <c r="D20146" s="7">
        <v>99.09</v>
      </c>
    </row>
    <row r="20147" spans="1:5" x14ac:dyDescent="0.25">
      <c r="A20147" t="str">
        <f>HYPERLINK("https://www.773grp.com/globalSearch/R82C501AD/page-1", "R82C501AD")</f>
        <v>R82C501AD</v>
      </c>
      <c r="B20147" s="3" t="s">
        <v>116</v>
      </c>
      <c r="C20147" s="6">
        <v>1168</v>
      </c>
      <c r="D20147" s="7">
        <v>99.29</v>
      </c>
    </row>
    <row r="20148" spans="1:5" x14ac:dyDescent="0.25">
      <c r="A20148" t="str">
        <f>HYPERLINK("https://www.773grp.com/globalSearch/D8251A/page-1", "D8251A")</f>
        <v>D8251A</v>
      </c>
      <c r="B20148" s="3" t="s">
        <v>116</v>
      </c>
      <c r="C20148" s="6">
        <v>914</v>
      </c>
      <c r="D20148" s="7">
        <v>99.56</v>
      </c>
      <c r="E20148" t="s">
        <v>59</v>
      </c>
    </row>
    <row r="20149" spans="1:5" x14ac:dyDescent="0.25">
      <c r="A20149" t="str">
        <f>HYPERLINK("https://www.773grp.com/globalSearch/54C905J/page-1", "54C905J")</f>
        <v>54C905J</v>
      </c>
      <c r="B20149" s="3" t="s">
        <v>116</v>
      </c>
      <c r="C20149" s="6">
        <v>541</v>
      </c>
      <c r="D20149" s="7">
        <v>99.7</v>
      </c>
    </row>
    <row r="20150" spans="1:5" x14ac:dyDescent="0.25">
      <c r="A20150" t="str">
        <f>HYPERLINK("https://www.773grp.com/globalSearch/SN55450BJ/page-1", "SN55450BJ")</f>
        <v>SN55450BJ</v>
      </c>
      <c r="B20150" s="3" t="s">
        <v>116</v>
      </c>
      <c r="C20150" s="6">
        <v>739</v>
      </c>
      <c r="D20150" s="7">
        <v>100.2</v>
      </c>
    </row>
    <row r="20151" spans="1:5" x14ac:dyDescent="0.25">
      <c r="A20151" t="str">
        <f>HYPERLINK("https://www.773grp.com/globalSearch/5496-BEA/page-1", "5496-BEA")</f>
        <v>5496-BEA</v>
      </c>
      <c r="B20151" s="3" t="s">
        <v>116</v>
      </c>
      <c r="C20151" s="6">
        <v>1147</v>
      </c>
      <c r="D20151" s="7">
        <v>100.61</v>
      </c>
    </row>
    <row r="20152" spans="1:5" x14ac:dyDescent="0.25">
      <c r="A20152" t="str">
        <f>HYPERLINK("https://www.773grp.com/globalSearch/R554151/page-1", "R554151")</f>
        <v>R554151</v>
      </c>
      <c r="B20152" s="3" t="s">
        <v>116</v>
      </c>
      <c r="C20152" s="6">
        <v>178</v>
      </c>
      <c r="D20152" s="7">
        <v>100.69</v>
      </c>
    </row>
    <row r="20153" spans="1:5" x14ac:dyDescent="0.25">
      <c r="A20153" t="str">
        <f>HYPERLINK("https://www.773grp.com/globalSearch/CA3085B/page-1", "CA3085B")</f>
        <v>CA3085B</v>
      </c>
      <c r="B20153" s="3" t="s">
        <v>116</v>
      </c>
      <c r="C20153" s="6">
        <v>1190</v>
      </c>
      <c r="D20153" s="7">
        <v>100.69</v>
      </c>
    </row>
    <row r="20154" spans="1:5" x14ac:dyDescent="0.25">
      <c r="A20154" t="str">
        <f>HYPERLINK("https://www.773grp.com/globalSearch/9320DM/page-1", "9320DM")</f>
        <v>9320DM</v>
      </c>
      <c r="B20154" s="3" t="s">
        <v>116</v>
      </c>
      <c r="C20154" s="6">
        <v>242</v>
      </c>
      <c r="D20154" s="7">
        <v>100.83</v>
      </c>
    </row>
    <row r="20155" spans="1:5" x14ac:dyDescent="0.25">
      <c r="A20155" t="str">
        <f>HYPERLINK("https://www.773grp.com/globalSearch/MC502F-R/page-1", "MC502F-R")</f>
        <v>MC502F-R</v>
      </c>
      <c r="B20155" s="3" t="s">
        <v>116</v>
      </c>
      <c r="C20155" s="6">
        <v>621</v>
      </c>
      <c r="D20155" s="7">
        <v>100.83</v>
      </c>
    </row>
    <row r="20156" spans="1:5" x14ac:dyDescent="0.25">
      <c r="A20156" t="str">
        <f>HYPERLINK("https://www.773grp.com/globalSearch/R534112/page-1", "R534112")</f>
        <v>R534112</v>
      </c>
      <c r="B20156" s="3" t="s">
        <v>116</v>
      </c>
      <c r="C20156" s="6">
        <v>243</v>
      </c>
      <c r="D20156" s="7">
        <v>100.83</v>
      </c>
    </row>
    <row r="20157" spans="1:5" x14ac:dyDescent="0.25">
      <c r="A20157" t="str">
        <f>HYPERLINK("https://www.773grp.com/globalSearch/R554135/page-1", "R554135")</f>
        <v>R554135</v>
      </c>
      <c r="B20157" s="3" t="s">
        <v>116</v>
      </c>
      <c r="C20157" s="6">
        <v>229</v>
      </c>
      <c r="D20157" s="7">
        <v>100.83</v>
      </c>
    </row>
    <row r="20158" spans="1:5" x14ac:dyDescent="0.25">
      <c r="A20158" t="str">
        <f>HYPERLINK("https://www.773grp.com/globalSearch/R554910/page-1", "R554910")</f>
        <v>R554910</v>
      </c>
      <c r="B20158" s="3" t="s">
        <v>116</v>
      </c>
      <c r="C20158" s="6">
        <v>350</v>
      </c>
      <c r="D20158" s="7">
        <v>100.83</v>
      </c>
    </row>
    <row r="20159" spans="1:5" x14ac:dyDescent="0.25">
      <c r="A20159" t="str">
        <f>HYPERLINK("https://www.773grp.com/globalSearch/PAL22V10-12DM-B/page-1", "PAL22V10-12DM-B")</f>
        <v>PAL22V10-12DM-B</v>
      </c>
      <c r="B20159" s="3" t="s">
        <v>116</v>
      </c>
      <c r="C20159" s="6">
        <v>403</v>
      </c>
      <c r="D20159" s="7">
        <v>100.83</v>
      </c>
    </row>
    <row r="20160" spans="1:5" x14ac:dyDescent="0.25">
      <c r="A20160" t="str">
        <f>HYPERLINK("https://www.773grp.com/globalSearch/931DM/page-1", "931DM")</f>
        <v>931DM</v>
      </c>
      <c r="B20160" s="3" t="s">
        <v>116</v>
      </c>
      <c r="C20160" s="6">
        <v>593</v>
      </c>
      <c r="D20160" s="7">
        <v>100.83</v>
      </c>
    </row>
    <row r="20161" spans="1:5" x14ac:dyDescent="0.25">
      <c r="A20161" t="str">
        <f>HYPERLINK("https://www.773grp.com/globalSearch/U8797BH/page-1", "U8797BH")</f>
        <v>U8797BH</v>
      </c>
      <c r="B20161" s="3" t="s">
        <v>116</v>
      </c>
      <c r="C20161" s="6">
        <v>5542</v>
      </c>
      <c r="D20161" s="7">
        <v>100.83</v>
      </c>
      <c r="E20161" t="s">
        <v>43</v>
      </c>
    </row>
    <row r="20162" spans="1:5" x14ac:dyDescent="0.25">
      <c r="A20162" t="str">
        <f>HYPERLINK("https://www.773grp.com/globalSearch/U8797JF/page-1", "U8797JF")</f>
        <v>U8797JF</v>
      </c>
      <c r="B20162" s="3" t="s">
        <v>116</v>
      </c>
      <c r="C20162" s="6">
        <v>16</v>
      </c>
      <c r="D20162" s="7">
        <v>100.83</v>
      </c>
      <c r="E20162" t="s">
        <v>43</v>
      </c>
    </row>
    <row r="20163" spans="1:5" x14ac:dyDescent="0.25">
      <c r="A20163" t="str">
        <f>HYPERLINK("https://www.773grp.com/globalSearch/54LS192-BEA/page-1", "54LS192-BEA")</f>
        <v>54LS192-BEA</v>
      </c>
      <c r="B20163" s="3" t="s">
        <v>116</v>
      </c>
      <c r="C20163" s="6">
        <v>743</v>
      </c>
      <c r="D20163" s="7">
        <v>100.83</v>
      </c>
    </row>
    <row r="20164" spans="1:5" x14ac:dyDescent="0.25">
      <c r="A20164" t="str">
        <f>HYPERLINK("https://www.773grp.com/globalSearch/54LS356J/page-1", "54LS356J")</f>
        <v>54LS356J</v>
      </c>
      <c r="B20164" s="3" t="s">
        <v>116</v>
      </c>
      <c r="C20164" s="6">
        <v>212</v>
      </c>
      <c r="D20164" s="7">
        <v>100.83</v>
      </c>
    </row>
    <row r="20165" spans="1:5" x14ac:dyDescent="0.25">
      <c r="A20165" t="str">
        <f>HYPERLINK("https://www.773grp.com/globalSearch/54F38-QDA/page-1", "54F38-QDA")</f>
        <v>54F38-QDA</v>
      </c>
      <c r="B20165" s="3" t="s">
        <v>116</v>
      </c>
      <c r="C20165" s="6">
        <v>756</v>
      </c>
      <c r="D20165" s="7">
        <v>100.93</v>
      </c>
    </row>
    <row r="20166" spans="1:5" x14ac:dyDescent="0.25">
      <c r="A20166" t="str">
        <f>HYPERLINK("https://www.773grp.com/globalSearch/54L78FM-B/page-1", "54L78FM-B")</f>
        <v>54L78FM-B</v>
      </c>
      <c r="B20166" s="3" t="s">
        <v>116</v>
      </c>
      <c r="C20166" s="6">
        <v>60</v>
      </c>
      <c r="D20166" s="7">
        <v>101.48</v>
      </c>
    </row>
    <row r="20167" spans="1:5" x14ac:dyDescent="0.25">
      <c r="A20167" t="str">
        <f>HYPERLINK("https://www.773grp.com/globalSearch/MD27C64-15  UF/page-1", "MD27C64-15  UF")</f>
        <v>MD27C64-15  UF</v>
      </c>
      <c r="B20167" s="3" t="s">
        <v>116</v>
      </c>
      <c r="C20167" s="6">
        <v>2360</v>
      </c>
      <c r="D20167" s="7">
        <v>101.48</v>
      </c>
    </row>
    <row r="20168" spans="1:5" x14ac:dyDescent="0.25">
      <c r="A20168" t="str">
        <f>HYPERLINK("https://www.773grp.com/globalSearch/54198J-B/page-1", "54198J-B")</f>
        <v>54198J-B</v>
      </c>
      <c r="B20168" s="3" t="s">
        <v>116</v>
      </c>
      <c r="C20168" s="6">
        <v>1377</v>
      </c>
      <c r="D20168" s="7">
        <v>101.48</v>
      </c>
    </row>
    <row r="20169" spans="1:5" x14ac:dyDescent="0.25">
      <c r="A20169" t="str">
        <f>HYPERLINK("https://www.773grp.com/globalSearch/54HC76J-B/page-1", "54HC76J-B")</f>
        <v>54HC76J-B</v>
      </c>
      <c r="B20169" s="3" t="s">
        <v>116</v>
      </c>
      <c r="C20169" s="6">
        <v>65</v>
      </c>
      <c r="D20169" s="7">
        <v>103.34</v>
      </c>
    </row>
    <row r="20170" spans="1:5" x14ac:dyDescent="0.25">
      <c r="A20170" t="str">
        <f>HYPERLINK("https://www.773grp.com/globalSearch/R652119/page-1", "R652119")</f>
        <v>R652119</v>
      </c>
      <c r="B20170" s="3" t="s">
        <v>116</v>
      </c>
      <c r="C20170" s="6">
        <v>119</v>
      </c>
      <c r="D20170" s="7">
        <v>103.34</v>
      </c>
    </row>
    <row r="20171" spans="1:5" x14ac:dyDescent="0.25">
      <c r="A20171" t="str">
        <f>HYPERLINK("https://www.773grp.com/globalSearch/54LS160A-BEA/page-1", "54LS160A-BEA")</f>
        <v>54LS160A-BEA</v>
      </c>
      <c r="B20171" s="3" t="s">
        <v>116</v>
      </c>
      <c r="C20171" s="6">
        <v>3810</v>
      </c>
      <c r="D20171" s="7">
        <v>103.34</v>
      </c>
    </row>
    <row r="20172" spans="1:5" x14ac:dyDescent="0.25">
      <c r="A20172" t="str">
        <f>HYPERLINK("https://www.773grp.com/globalSearch/MC27C64-20/page-1", "MC27C64-20")</f>
        <v>MC27C64-20</v>
      </c>
      <c r="B20172" s="3" t="s">
        <v>116</v>
      </c>
      <c r="C20172" s="6">
        <v>38</v>
      </c>
      <c r="D20172" s="7">
        <v>103.85</v>
      </c>
    </row>
    <row r="20173" spans="1:5" x14ac:dyDescent="0.25">
      <c r="A20173" t="str">
        <f>HYPERLINK("https://www.773grp.com/globalSearch/74ALS34N/page-1", "74ALS34N")</f>
        <v>74ALS34N</v>
      </c>
      <c r="B20173" s="3" t="s">
        <v>116</v>
      </c>
      <c r="C20173" s="6">
        <v>100</v>
      </c>
      <c r="D20173" s="7">
        <v>104.35</v>
      </c>
    </row>
    <row r="20174" spans="1:5" x14ac:dyDescent="0.25">
      <c r="A20174" t="str">
        <f>HYPERLINK("https://www.773grp.com/globalSearch/5474-BCA/page-1", "5474-BCA")</f>
        <v>5474-BCA</v>
      </c>
      <c r="B20174" s="3" t="s">
        <v>116</v>
      </c>
      <c r="C20174" s="6">
        <v>721</v>
      </c>
      <c r="D20174" s="7">
        <v>104.78</v>
      </c>
    </row>
    <row r="20175" spans="1:5" x14ac:dyDescent="0.25">
      <c r="A20175" t="str">
        <f>HYPERLINK("https://www.773grp.com/globalSearch/93S47DM-B  LT/page-1", "93S47DM-B  LT")</f>
        <v>93S47DM-B  LT</v>
      </c>
      <c r="B20175" s="3" t="s">
        <v>116</v>
      </c>
      <c r="C20175" s="6">
        <v>48</v>
      </c>
      <c r="D20175" s="7">
        <v>105</v>
      </c>
    </row>
    <row r="20176" spans="1:5" x14ac:dyDescent="0.25">
      <c r="A20176" t="str">
        <f>HYPERLINK("https://www.773grp.com/globalSearch/DS0026CJ-8/page-1", "DS0026CJ-8")</f>
        <v>DS0026CJ-8</v>
      </c>
      <c r="B20176" s="3" t="s">
        <v>116</v>
      </c>
      <c r="C20176" s="6">
        <v>2600</v>
      </c>
      <c r="D20176" s="7">
        <v>105.54</v>
      </c>
      <c r="E20176" t="s">
        <v>30</v>
      </c>
    </row>
    <row r="20177" spans="1:5" x14ac:dyDescent="0.25">
      <c r="A20177" t="str">
        <f>HYPERLINK("https://www.773grp.com/globalSearch/54110DM-R/page-1", "54110DM-R")</f>
        <v>54110DM-R</v>
      </c>
      <c r="B20177" s="3" t="s">
        <v>116</v>
      </c>
      <c r="C20177" s="6">
        <v>866</v>
      </c>
      <c r="D20177" s="7">
        <v>105.86</v>
      </c>
    </row>
    <row r="20178" spans="1:5" x14ac:dyDescent="0.25">
      <c r="A20178" t="str">
        <f>HYPERLINK("https://www.773grp.com/globalSearch/5460DM-B/page-1", "5460DM-B")</f>
        <v>5460DM-B</v>
      </c>
      <c r="B20178" s="3" t="s">
        <v>116</v>
      </c>
      <c r="C20178" s="6">
        <v>648</v>
      </c>
      <c r="D20178" s="7">
        <v>105.86</v>
      </c>
    </row>
    <row r="20179" spans="1:5" x14ac:dyDescent="0.25">
      <c r="A20179" t="str">
        <f>HYPERLINK("https://www.773grp.com/globalSearch/54L153J-C/page-1", "54L153J-C")</f>
        <v>54L153J-C</v>
      </c>
      <c r="B20179" s="3" t="s">
        <v>116</v>
      </c>
      <c r="C20179" s="6">
        <v>361</v>
      </c>
      <c r="D20179" s="7">
        <v>105.86</v>
      </c>
    </row>
    <row r="20180" spans="1:5" x14ac:dyDescent="0.25">
      <c r="A20180" t="str">
        <f>HYPERLINK("https://www.773grp.com/globalSearch/AM27C512-120DE/page-1", "AM27C512-120DE")</f>
        <v>AM27C512-120DE</v>
      </c>
      <c r="B20180" s="3" t="s">
        <v>116</v>
      </c>
      <c r="C20180" s="6">
        <v>130</v>
      </c>
      <c r="D20180" s="7">
        <v>105.86</v>
      </c>
      <c r="E20180" t="s">
        <v>52</v>
      </c>
    </row>
    <row r="20181" spans="1:5" x14ac:dyDescent="0.25">
      <c r="A20181" t="str">
        <f>HYPERLINK("https://www.773grp.com/globalSearch/MD27256-20-B/page-1", "MD27256-20-B")</f>
        <v>MD27256-20-B</v>
      </c>
      <c r="B20181" s="3" t="s">
        <v>116</v>
      </c>
      <c r="C20181" s="6">
        <v>473</v>
      </c>
      <c r="D20181" s="7">
        <v>105.86</v>
      </c>
    </row>
    <row r="20182" spans="1:5" x14ac:dyDescent="0.25">
      <c r="A20182" t="str">
        <f>HYPERLINK("https://www.773grp.com/globalSearch/MD82C55-R/page-1", "MD82C55-R")</f>
        <v>MD82C55-R</v>
      </c>
      <c r="B20182" s="3" t="s">
        <v>116</v>
      </c>
      <c r="C20182" s="6">
        <v>1431</v>
      </c>
      <c r="D20182" s="7">
        <v>105.86</v>
      </c>
    </row>
    <row r="20183" spans="1:5" x14ac:dyDescent="0.25">
      <c r="A20183" t="str">
        <f>HYPERLINK("https://www.773grp.com/globalSearch/TD8251A/page-1", "TD8251A")</f>
        <v>TD8251A</v>
      </c>
      <c r="B20183" s="3" t="s">
        <v>116</v>
      </c>
      <c r="C20183" s="6">
        <v>461</v>
      </c>
      <c r="D20183" s="7">
        <v>105.86</v>
      </c>
      <c r="E20183" t="s">
        <v>59</v>
      </c>
    </row>
    <row r="20184" spans="1:5" x14ac:dyDescent="0.25">
      <c r="A20184" t="str">
        <f>HYPERLINK("https://www.773grp.com/globalSearch/TP80C51FA/page-1", "TP80C51FA")</f>
        <v>TP80C51FA</v>
      </c>
      <c r="B20184" s="3" t="s">
        <v>116</v>
      </c>
      <c r="C20184" s="6">
        <v>1457</v>
      </c>
      <c r="D20184" s="7">
        <v>105.86</v>
      </c>
      <c r="E20184" t="s">
        <v>43</v>
      </c>
    </row>
    <row r="20185" spans="1:5" x14ac:dyDescent="0.25">
      <c r="A20185" t="str">
        <f>HYPERLINK("https://www.773grp.com/globalSearch/CA3080AF/page-1", "CA3080AF")</f>
        <v>CA3080AF</v>
      </c>
      <c r="B20185" s="3" t="s">
        <v>116</v>
      </c>
      <c r="C20185" s="6">
        <v>533</v>
      </c>
      <c r="D20185" s="7">
        <v>105.86</v>
      </c>
    </row>
    <row r="20186" spans="1:5" x14ac:dyDescent="0.25">
      <c r="A20186" t="str">
        <f>HYPERLINK("https://www.773grp.com/globalSearch/54175-BEA/page-1", "54175-BEA")</f>
        <v>54175-BEA</v>
      </c>
      <c r="B20186" s="3" t="s">
        <v>116</v>
      </c>
      <c r="C20186" s="6">
        <v>326</v>
      </c>
      <c r="D20186" s="7">
        <v>105.86</v>
      </c>
      <c r="E20186" t="s">
        <v>31</v>
      </c>
    </row>
    <row r="20187" spans="1:5" x14ac:dyDescent="0.25">
      <c r="A20187" t="str">
        <f>HYPERLINK("https://www.773grp.com/globalSearch/54HC09J-B/page-1", "54HC09J-B")</f>
        <v>54HC09J-B</v>
      </c>
      <c r="B20187" s="3" t="s">
        <v>116</v>
      </c>
      <c r="C20187" s="6">
        <v>423</v>
      </c>
      <c r="D20187" s="7">
        <v>105.86</v>
      </c>
    </row>
    <row r="20188" spans="1:5" x14ac:dyDescent="0.25">
      <c r="A20188" t="str">
        <f>HYPERLINK("https://www.773grp.com/globalSearch/54HC133J-B/page-1", "54HC133J-B")</f>
        <v>54HC133J-B</v>
      </c>
      <c r="B20188" s="3" t="s">
        <v>116</v>
      </c>
      <c r="C20188" s="6">
        <v>801</v>
      </c>
      <c r="D20188" s="7">
        <v>105.86</v>
      </c>
    </row>
    <row r="20189" spans="1:5" x14ac:dyDescent="0.25">
      <c r="A20189" t="str">
        <f>HYPERLINK("https://www.773grp.com/globalSearch/MC2716M-BJA/page-1", "MC2716M-BJA")</f>
        <v>MC2716M-BJA</v>
      </c>
      <c r="B20189" s="3" t="s">
        <v>116</v>
      </c>
      <c r="C20189" s="6">
        <v>453</v>
      </c>
      <c r="D20189" s="7">
        <v>106.8</v>
      </c>
    </row>
    <row r="20190" spans="1:5" x14ac:dyDescent="0.25">
      <c r="A20190" t="str">
        <f>HYPERLINK("https://www.773grp.com/globalSearch/HA7-5221-R/page-1", "HA7-5221-R")</f>
        <v>HA7-5221-R</v>
      </c>
      <c r="B20190" s="3" t="s">
        <v>116</v>
      </c>
      <c r="C20190" s="6">
        <v>40</v>
      </c>
      <c r="D20190" s="7">
        <v>107.26</v>
      </c>
    </row>
    <row r="20191" spans="1:5" x14ac:dyDescent="0.25">
      <c r="A20191" t="str">
        <f>HYPERLINK("https://www.773grp.com/globalSearch/AM79C961AVC/page-1", "AM79C961AVC")</f>
        <v>AM79C961AVC</v>
      </c>
      <c r="B20191" s="3" t="s">
        <v>116</v>
      </c>
      <c r="C20191" s="6">
        <v>9238</v>
      </c>
      <c r="D20191" s="7">
        <v>108</v>
      </c>
      <c r="E20191" t="s">
        <v>59</v>
      </c>
    </row>
    <row r="20192" spans="1:5" x14ac:dyDescent="0.25">
      <c r="A20192" t="str">
        <f>HYPERLINK("https://www.773grp.com/globalSearch/93L16DM-B/page-1", "93L16DM-B")</f>
        <v>93L16DM-B</v>
      </c>
      <c r="B20192" s="3" t="s">
        <v>116</v>
      </c>
      <c r="C20192" s="6">
        <v>424</v>
      </c>
      <c r="D20192" s="7">
        <v>108.39</v>
      </c>
    </row>
    <row r="20193" spans="1:5" x14ac:dyDescent="0.25">
      <c r="A20193" t="str">
        <f>HYPERLINK("https://www.773grp.com/globalSearch/27128A-20-B/page-1", "27128A-20-B")</f>
        <v>27128A-20-B</v>
      </c>
      <c r="B20193" s="3" t="s">
        <v>116</v>
      </c>
      <c r="C20193" s="6">
        <v>56</v>
      </c>
      <c r="D20193" s="7">
        <v>108.39</v>
      </c>
    </row>
    <row r="20194" spans="1:5" x14ac:dyDescent="0.25">
      <c r="A20194" t="str">
        <f>HYPERLINK("https://www.773grp.com/globalSearch/TD8749H/page-1", "TD8749H")</f>
        <v>TD8749H</v>
      </c>
      <c r="B20194" s="3" t="s">
        <v>116</v>
      </c>
      <c r="C20194" s="6">
        <v>199</v>
      </c>
      <c r="D20194" s="7">
        <v>108.39</v>
      </c>
      <c r="E20194" t="s">
        <v>43</v>
      </c>
    </row>
    <row r="20195" spans="1:5" x14ac:dyDescent="0.25">
      <c r="A20195" t="str">
        <f>HYPERLINK("https://www.773grp.com/globalSearch/5409-BCA/page-1", "5409-BCA")</f>
        <v>5409-BCA</v>
      </c>
      <c r="B20195" s="3" t="s">
        <v>116</v>
      </c>
      <c r="C20195" s="6">
        <v>1671</v>
      </c>
      <c r="D20195" s="7">
        <v>108.39</v>
      </c>
    </row>
    <row r="20196" spans="1:5" x14ac:dyDescent="0.25">
      <c r="A20196" t="str">
        <f>HYPERLINK("https://www.773grp.com/globalSearch/54ALS113AJ-B/page-1", "54ALS113AJ-B")</f>
        <v>54ALS113AJ-B</v>
      </c>
      <c r="B20196" s="3" t="s">
        <v>116</v>
      </c>
      <c r="C20196" s="6">
        <v>870</v>
      </c>
      <c r="D20196" s="7">
        <v>108.39</v>
      </c>
    </row>
    <row r="20197" spans="1:5" x14ac:dyDescent="0.25">
      <c r="A20197" t="str">
        <f>HYPERLINK("https://www.773grp.com/globalSearch/54HC4078AJ-B/page-1", "54HC4078AJ-B")</f>
        <v>54HC4078AJ-B</v>
      </c>
      <c r="B20197" s="3" t="s">
        <v>116</v>
      </c>
      <c r="C20197" s="6">
        <v>2622</v>
      </c>
      <c r="D20197" s="7">
        <v>108.39</v>
      </c>
    </row>
    <row r="20198" spans="1:5" x14ac:dyDescent="0.25">
      <c r="A20198" t="str">
        <f>HYPERLINK("https://www.773grp.com/globalSearch/R704102/page-1", "R704102")</f>
        <v>R704102</v>
      </c>
      <c r="B20198" s="3" t="s">
        <v>116</v>
      </c>
      <c r="C20198" s="6">
        <v>29</v>
      </c>
      <c r="D20198" s="7">
        <v>108.78</v>
      </c>
    </row>
    <row r="20199" spans="1:5" x14ac:dyDescent="0.25">
      <c r="A20199" t="str">
        <f>HYPERLINK("https://www.773grp.com/globalSearch/54F32-B2A/page-1", "54F32-B2A")</f>
        <v>54F32-B2A</v>
      </c>
      <c r="B20199" s="3" t="s">
        <v>116</v>
      </c>
      <c r="C20199" s="6">
        <v>404</v>
      </c>
      <c r="D20199" s="7">
        <v>108.95</v>
      </c>
    </row>
    <row r="20200" spans="1:5" x14ac:dyDescent="0.25">
      <c r="A20200" t="str">
        <f>HYPERLINK("https://www.773grp.com/globalSearch/55234J-B/page-1", "55234J-B")</f>
        <v>55234J-B</v>
      </c>
      <c r="B20200" s="3" t="s">
        <v>116</v>
      </c>
      <c r="C20200" s="6">
        <v>52</v>
      </c>
      <c r="D20200" s="7">
        <v>109.78</v>
      </c>
    </row>
    <row r="20201" spans="1:5" x14ac:dyDescent="0.25">
      <c r="A20201" t="str">
        <f>HYPERLINK("https://www.773grp.com/globalSearch/MM54C42J-B/page-1", "MM54C42J-B")</f>
        <v>MM54C42J-B</v>
      </c>
      <c r="B20201" s="3" t="s">
        <v>116</v>
      </c>
      <c r="C20201" s="6">
        <v>873</v>
      </c>
      <c r="D20201" s="7">
        <v>109.94</v>
      </c>
    </row>
    <row r="20202" spans="1:5" x14ac:dyDescent="0.25">
      <c r="A20202" t="str">
        <f>HYPERLINK("https://www.773grp.com/globalSearch/MM54C30J-B/page-1", "MM54C30J-B")</f>
        <v>MM54C30J-B</v>
      </c>
      <c r="B20202" s="3" t="s">
        <v>116</v>
      </c>
      <c r="C20202" s="6">
        <v>636</v>
      </c>
      <c r="D20202" s="7">
        <v>109.94</v>
      </c>
    </row>
    <row r="20203" spans="1:5" x14ac:dyDescent="0.25">
      <c r="A20203" t="str">
        <f>HYPERLINK("https://www.773grp.com/globalSearch/27C128-12MD/page-1", "27C128-12MD")</f>
        <v>27C128-12MD</v>
      </c>
      <c r="B20203" s="3" t="s">
        <v>116</v>
      </c>
      <c r="C20203" s="6">
        <v>899</v>
      </c>
      <c r="D20203" s="7">
        <v>110.09</v>
      </c>
    </row>
    <row r="20204" spans="1:5" x14ac:dyDescent="0.25">
      <c r="A20204" t="str">
        <f>HYPERLINK("https://www.773grp.com/globalSearch/54152ADM-B/page-1", "54152ADM-B")</f>
        <v>54152ADM-B</v>
      </c>
      <c r="B20204" s="3" t="s">
        <v>116</v>
      </c>
      <c r="C20204" s="6">
        <v>269</v>
      </c>
      <c r="D20204" s="7">
        <v>110.9</v>
      </c>
    </row>
    <row r="20205" spans="1:5" x14ac:dyDescent="0.25">
      <c r="A20205" t="str">
        <f>HYPERLINK("https://www.773grp.com/globalSearch/RC3104F/page-1", "RC3104F")</f>
        <v>RC3104F</v>
      </c>
      <c r="B20205" s="3" t="s">
        <v>116</v>
      </c>
      <c r="C20205" s="6">
        <v>197</v>
      </c>
      <c r="D20205" s="7">
        <v>110.9</v>
      </c>
    </row>
    <row r="20206" spans="1:5" x14ac:dyDescent="0.25">
      <c r="A20206" t="str">
        <f>HYPERLINK("https://www.773grp.com/globalSearch/RC3107F/page-1", "RC3107F")</f>
        <v>RC3107F</v>
      </c>
      <c r="B20206" s="3" t="s">
        <v>116</v>
      </c>
      <c r="C20206" s="6">
        <v>983</v>
      </c>
      <c r="D20206" s="7">
        <v>110.9</v>
      </c>
    </row>
    <row r="20207" spans="1:5" x14ac:dyDescent="0.25">
      <c r="A20207" t="str">
        <f>HYPERLINK("https://www.773grp.com/globalSearch/2910ADC/page-1", "2910ADC")</f>
        <v>2910ADC</v>
      </c>
      <c r="B20207" s="3" t="s">
        <v>116</v>
      </c>
      <c r="C20207" s="6">
        <v>266</v>
      </c>
      <c r="D20207" s="7">
        <v>110.9</v>
      </c>
    </row>
    <row r="20208" spans="1:5" x14ac:dyDescent="0.25">
      <c r="A20208" t="str">
        <f>HYPERLINK("https://www.773grp.com/globalSearch/HI1-0509A-B/page-1", "HI1-0509A-B")</f>
        <v>HI1-0509A-B</v>
      </c>
      <c r="B20208" s="3" t="s">
        <v>116</v>
      </c>
      <c r="C20208" s="6">
        <v>2881</v>
      </c>
      <c r="D20208" s="7">
        <v>110.9</v>
      </c>
    </row>
    <row r="20209" spans="1:5" x14ac:dyDescent="0.25">
      <c r="A20209" t="str">
        <f>HYPERLINK("https://www.773grp.com/globalSearch/TN8797BH/page-1", "TN8797BH")</f>
        <v>TN8797BH</v>
      </c>
      <c r="B20209" s="3" t="s">
        <v>116</v>
      </c>
      <c r="C20209" s="6">
        <v>408</v>
      </c>
      <c r="D20209" s="7">
        <v>110.9</v>
      </c>
      <c r="E20209" t="s">
        <v>43</v>
      </c>
    </row>
    <row r="20210" spans="1:5" x14ac:dyDescent="0.25">
      <c r="A20210" t="str">
        <f>HYPERLINK("https://www.773grp.com/globalSearch/54HC298J-B/page-1", "54HC298J-B")</f>
        <v>54HC298J-B</v>
      </c>
      <c r="B20210" s="3" t="s">
        <v>116</v>
      </c>
      <c r="C20210" s="6">
        <v>465</v>
      </c>
      <c r="D20210" s="7">
        <v>110.9</v>
      </c>
    </row>
    <row r="20211" spans="1:5" x14ac:dyDescent="0.25">
      <c r="A20211" t="str">
        <f>HYPERLINK("https://www.773grp.com/globalSearch/5475-BEA/page-1", "5475-BEA")</f>
        <v>5475-BEA</v>
      </c>
      <c r="B20211" s="3" t="s">
        <v>116</v>
      </c>
      <c r="C20211" s="6">
        <v>417</v>
      </c>
      <c r="D20211" s="7">
        <v>110.9</v>
      </c>
    </row>
    <row r="20212" spans="1:5" x14ac:dyDescent="0.25">
      <c r="A20212" t="str">
        <f>HYPERLINK("https://www.773grp.com/globalSearch/54S197J-B/page-1", "54S197J-B")</f>
        <v>54S197J-B</v>
      </c>
      <c r="B20212" s="3" t="s">
        <v>116</v>
      </c>
      <c r="C20212" s="6">
        <v>72</v>
      </c>
      <c r="D20212" s="7">
        <v>110.9</v>
      </c>
    </row>
    <row r="20213" spans="1:5" x14ac:dyDescent="0.25">
      <c r="A20213" t="str">
        <f>HYPERLINK("https://www.773grp.com/globalSearch/54LS256DM/page-1", "54LS256DM")</f>
        <v>54LS256DM</v>
      </c>
      <c r="B20213" s="3" t="s">
        <v>116</v>
      </c>
      <c r="C20213" s="6">
        <v>649</v>
      </c>
      <c r="D20213" s="7">
        <v>110.95</v>
      </c>
    </row>
    <row r="20214" spans="1:5" x14ac:dyDescent="0.25">
      <c r="A20214" t="str">
        <f>HYPERLINK("https://www.773grp.com/globalSearch/100180FC/page-1", "100180FC")</f>
        <v>100180FC</v>
      </c>
      <c r="B20214" s="3" t="s">
        <v>116</v>
      </c>
      <c r="C20214" s="6">
        <v>1013</v>
      </c>
      <c r="D20214" s="7">
        <v>111.86</v>
      </c>
      <c r="E20214" t="s">
        <v>38</v>
      </c>
    </row>
    <row r="20215" spans="1:5" x14ac:dyDescent="0.25">
      <c r="A20215" t="str">
        <f>HYPERLINK("https://www.773grp.com/globalSearch/EP610LI-30/page-1", "EP610LI-30")</f>
        <v>EP610LI-30</v>
      </c>
      <c r="B20215" s="3" t="s">
        <v>116</v>
      </c>
      <c r="C20215" s="6">
        <v>1022</v>
      </c>
      <c r="D20215" s="7">
        <v>112.79</v>
      </c>
      <c r="E20215" t="s">
        <v>42</v>
      </c>
    </row>
    <row r="20216" spans="1:5" x14ac:dyDescent="0.25">
      <c r="A20216" t="str">
        <f>HYPERLINK("https://www.773grp.com/globalSearch/TCM3105NL/page-1", "TCM3105NL")</f>
        <v>TCM3105NL</v>
      </c>
      <c r="B20216" s="3" t="s">
        <v>116</v>
      </c>
      <c r="C20216" s="6">
        <v>6695</v>
      </c>
      <c r="D20216" s="7">
        <v>113.13</v>
      </c>
      <c r="E20216" t="s">
        <v>99</v>
      </c>
    </row>
    <row r="20217" spans="1:5" x14ac:dyDescent="0.25">
      <c r="A20217" t="str">
        <f>HYPERLINK("https://www.773grp.com/globalSearch/54H71DM/page-1", "54H71DM")</f>
        <v>54H71DM</v>
      </c>
      <c r="B20217" s="3" t="s">
        <v>116</v>
      </c>
      <c r="C20217" s="6">
        <v>362</v>
      </c>
      <c r="D20217" s="7">
        <v>113.44</v>
      </c>
    </row>
    <row r="20218" spans="1:5" x14ac:dyDescent="0.25">
      <c r="A20218" t="str">
        <f>HYPERLINK("https://www.773grp.com/globalSearch/7092J-B/page-1", "7092J-B")</f>
        <v>7092J-B</v>
      </c>
      <c r="B20218" s="3" t="s">
        <v>116</v>
      </c>
      <c r="C20218" s="6">
        <v>373</v>
      </c>
      <c r="D20218" s="7">
        <v>113.44</v>
      </c>
    </row>
    <row r="20219" spans="1:5" x14ac:dyDescent="0.25">
      <c r="A20219" t="str">
        <f>HYPERLINK("https://www.773grp.com/globalSearch/25S05DM-B/page-1", "25S05DM-B")</f>
        <v>25S05DM-B</v>
      </c>
      <c r="B20219" s="3" t="s">
        <v>116</v>
      </c>
      <c r="C20219" s="6">
        <v>856</v>
      </c>
      <c r="D20219" s="7">
        <v>113.44</v>
      </c>
    </row>
    <row r="20220" spans="1:5" x14ac:dyDescent="0.25">
      <c r="A20220" t="str">
        <f>HYPERLINK("https://www.773grp.com/globalSearch/MD27256-17-B/page-1", "MD27256-17-B")</f>
        <v>MD27256-17-B</v>
      </c>
      <c r="B20220" s="3" t="s">
        <v>116</v>
      </c>
      <c r="C20220" s="6">
        <v>98</v>
      </c>
      <c r="D20220" s="7">
        <v>113.44</v>
      </c>
    </row>
    <row r="20221" spans="1:5" x14ac:dyDescent="0.25">
      <c r="A20221" t="str">
        <f>HYPERLINK("https://www.773grp.com/globalSearch/54F352LM-B/page-1", "54F352LM-B")</f>
        <v>54F352LM-B</v>
      </c>
      <c r="B20221" s="3" t="s">
        <v>116</v>
      </c>
      <c r="C20221" s="6">
        <v>12</v>
      </c>
      <c r="D20221" s="7">
        <v>113.44</v>
      </c>
    </row>
    <row r="20222" spans="1:5" x14ac:dyDescent="0.25">
      <c r="A20222" t="str">
        <f>HYPERLINK("https://www.773grp.com/globalSearch/EP610DC-35/page-1", "EP610DC-35")</f>
        <v>EP610DC-35</v>
      </c>
      <c r="B20222" s="3" t="s">
        <v>116</v>
      </c>
      <c r="C20222" s="6">
        <v>94</v>
      </c>
      <c r="D20222" s="7">
        <v>114.28</v>
      </c>
      <c r="E20222" t="s">
        <v>42</v>
      </c>
    </row>
    <row r="20223" spans="1:5" x14ac:dyDescent="0.25">
      <c r="A20223" t="str">
        <f>HYPERLINK("https://www.773grp.com/globalSearch/54F00-BCA/page-1", "54F00-BCA")</f>
        <v>54F00-BCA</v>
      </c>
      <c r="B20223" s="3" t="s">
        <v>116</v>
      </c>
      <c r="C20223" s="6">
        <v>1853</v>
      </c>
      <c r="D20223" s="7">
        <v>114.43</v>
      </c>
      <c r="E20223" t="s">
        <v>27</v>
      </c>
    </row>
    <row r="20224" spans="1:5" x14ac:dyDescent="0.25">
      <c r="A20224" t="str">
        <f>HYPERLINK("https://www.773grp.com/globalSearch/54ACT520-BRA/page-1", "54ACT520-BRA")</f>
        <v>54ACT520-BRA</v>
      </c>
      <c r="B20224" s="3" t="s">
        <v>116</v>
      </c>
      <c r="C20224" s="6">
        <v>1766</v>
      </c>
      <c r="D20224" s="7">
        <v>114.69</v>
      </c>
    </row>
    <row r="20225" spans="1:5" x14ac:dyDescent="0.25">
      <c r="A20225" t="str">
        <f>HYPERLINK("https://www.773grp.com/globalSearch/9601-BCA/page-1", "9601-BCA")</f>
        <v>9601-BCA</v>
      </c>
      <c r="B20225" s="3" t="s">
        <v>116</v>
      </c>
      <c r="C20225" s="6">
        <v>223</v>
      </c>
      <c r="D20225" s="7">
        <v>114.99</v>
      </c>
    </row>
    <row r="20226" spans="1:5" x14ac:dyDescent="0.25">
      <c r="A20226" t="str">
        <f>HYPERLINK("https://www.773grp.com/globalSearch/54105J/page-1", "54105J")</f>
        <v>54105J</v>
      </c>
      <c r="B20226" s="3" t="s">
        <v>116</v>
      </c>
      <c r="C20226" s="6">
        <v>48</v>
      </c>
      <c r="D20226" s="7">
        <v>115.33</v>
      </c>
    </row>
    <row r="20227" spans="1:5" x14ac:dyDescent="0.25">
      <c r="A20227" t="str">
        <f>HYPERLINK("https://www.773grp.com/globalSearch/SN54H78W/page-1", "SN54H78W")</f>
        <v>SN54H78W</v>
      </c>
      <c r="B20227" s="3" t="s">
        <v>116</v>
      </c>
      <c r="C20227" s="6">
        <v>119</v>
      </c>
      <c r="D20227" s="7">
        <v>115.95</v>
      </c>
    </row>
    <row r="20228" spans="1:5" x14ac:dyDescent="0.25">
      <c r="A20228" t="str">
        <f>HYPERLINK("https://www.773grp.com/globalSearch/54L04-BCA/page-1", "54L04-BCA")</f>
        <v>54L04-BCA</v>
      </c>
      <c r="B20228" s="3" t="s">
        <v>116</v>
      </c>
      <c r="C20228" s="6">
        <v>459</v>
      </c>
      <c r="D20228" s="7">
        <v>115.95</v>
      </c>
    </row>
    <row r="20229" spans="1:5" x14ac:dyDescent="0.25">
      <c r="A20229" t="str">
        <f>HYPERLINK("https://www.773grp.com/globalSearch/54L10-BDA/page-1", "54L10-BDA")</f>
        <v>54L10-BDA</v>
      </c>
      <c r="B20229" s="3" t="s">
        <v>116</v>
      </c>
      <c r="C20229" s="6">
        <v>856</v>
      </c>
      <c r="D20229" s="7">
        <v>115.95</v>
      </c>
    </row>
    <row r="20230" spans="1:5" x14ac:dyDescent="0.25">
      <c r="A20230" t="str">
        <f>HYPERLINK("https://www.773grp.com/globalSearch/5401-BDA/page-1", "5401-BDA")</f>
        <v>5401-BDA</v>
      </c>
      <c r="B20230" s="3" t="s">
        <v>116</v>
      </c>
      <c r="C20230" s="6">
        <v>365</v>
      </c>
      <c r="D20230" s="7">
        <v>115.95</v>
      </c>
    </row>
    <row r="20231" spans="1:5" x14ac:dyDescent="0.25">
      <c r="A20231" t="str">
        <f>HYPERLINK("https://www.773grp.com/globalSearch/5408-BCA/page-1", "5408-BCA")</f>
        <v>5408-BCA</v>
      </c>
      <c r="B20231" s="3" t="s">
        <v>116</v>
      </c>
      <c r="C20231" s="6">
        <v>639</v>
      </c>
      <c r="D20231" s="7">
        <v>115.95</v>
      </c>
    </row>
    <row r="20232" spans="1:5" x14ac:dyDescent="0.25">
      <c r="A20232" t="str">
        <f>HYPERLINK("https://www.773grp.com/globalSearch/54185AJ-B/page-1", "54185AJ-B")</f>
        <v>54185AJ-B</v>
      </c>
      <c r="B20232" s="3" t="s">
        <v>116</v>
      </c>
      <c r="C20232" s="6">
        <v>171</v>
      </c>
      <c r="D20232" s="7">
        <v>115.95</v>
      </c>
    </row>
    <row r="20233" spans="1:5" x14ac:dyDescent="0.25">
      <c r="A20233" t="str">
        <f>HYPERLINK("https://www.773grp.com/globalSearch/5420-BDA/page-1", "5420-BDA")</f>
        <v>5420-BDA</v>
      </c>
      <c r="B20233" s="3" t="s">
        <v>116</v>
      </c>
      <c r="C20233" s="6">
        <v>832</v>
      </c>
      <c r="D20233" s="7">
        <v>115.95</v>
      </c>
    </row>
    <row r="20234" spans="1:5" x14ac:dyDescent="0.25">
      <c r="A20234" t="str">
        <f>HYPERLINK("https://www.773grp.com/globalSearch/54S30-BCA/page-1", "54S30-BCA")</f>
        <v>54S30-BCA</v>
      </c>
      <c r="B20234" s="3" t="s">
        <v>116</v>
      </c>
      <c r="C20234" s="6">
        <v>1160</v>
      </c>
      <c r="D20234" s="7">
        <v>115.95</v>
      </c>
    </row>
    <row r="20235" spans="1:5" x14ac:dyDescent="0.25">
      <c r="A20235" t="str">
        <f>HYPERLINK("https://www.773grp.com/globalSearch/5400-BDA/page-1", "5400-BDA")</f>
        <v>5400-BDA</v>
      </c>
      <c r="B20235" s="3" t="s">
        <v>116</v>
      </c>
      <c r="C20235" s="6">
        <v>642</v>
      </c>
      <c r="D20235" s="7">
        <v>116.59</v>
      </c>
      <c r="E20235" t="s">
        <v>27</v>
      </c>
    </row>
    <row r="20236" spans="1:5" x14ac:dyDescent="0.25">
      <c r="A20236" t="str">
        <f>HYPERLINK("https://www.773grp.com/globalSearch/54LS113A-BCA/page-1", "54LS113A-BCA")</f>
        <v>54LS113A-BCA</v>
      </c>
      <c r="B20236" s="3" t="s">
        <v>116</v>
      </c>
      <c r="C20236" s="6">
        <v>1365</v>
      </c>
      <c r="D20236" s="7">
        <v>117.25</v>
      </c>
    </row>
    <row r="20237" spans="1:5" x14ac:dyDescent="0.25">
      <c r="A20237" t="str">
        <f>HYPERLINK("https://www.773grp.com/globalSearch/54LS92-BDA/page-1", "54LS92-BDA")</f>
        <v>54LS92-BDA</v>
      </c>
      <c r="B20237" s="3" t="s">
        <v>116</v>
      </c>
      <c r="C20237" s="6">
        <v>320</v>
      </c>
      <c r="D20237" s="7">
        <v>117.34</v>
      </c>
    </row>
    <row r="20238" spans="1:5" x14ac:dyDescent="0.25">
      <c r="A20238" t="str">
        <f>HYPERLINK("https://www.773grp.com/globalSearch/54S153-BEA/page-1", "54S153-BEA")</f>
        <v>54S153-BEA</v>
      </c>
      <c r="B20238" s="3" t="s">
        <v>116</v>
      </c>
      <c r="C20238" s="6">
        <v>937</v>
      </c>
      <c r="D20238" s="7">
        <v>117.34</v>
      </c>
      <c r="E20238" t="s">
        <v>16</v>
      </c>
    </row>
    <row r="20239" spans="1:5" x14ac:dyDescent="0.25">
      <c r="A20239" t="str">
        <f>HYPERLINK("https://www.773grp.com/globalSearch/54S113J-B/page-1", "54S113J-B")</f>
        <v>54S113J-B</v>
      </c>
      <c r="B20239" s="3" t="s">
        <v>116</v>
      </c>
      <c r="C20239" s="6">
        <v>1283</v>
      </c>
      <c r="D20239" s="7">
        <v>117.44</v>
      </c>
    </row>
    <row r="20240" spans="1:5" x14ac:dyDescent="0.25">
      <c r="A20240" t="str">
        <f>HYPERLINK("https://www.773grp.com/globalSearch/LD8251A/page-1", "LD8251A")</f>
        <v>LD8251A</v>
      </c>
      <c r="B20240" s="3" t="s">
        <v>116</v>
      </c>
      <c r="C20240" s="6">
        <v>2411</v>
      </c>
      <c r="D20240" s="7">
        <v>117.85</v>
      </c>
      <c r="E20240" t="s">
        <v>59</v>
      </c>
    </row>
    <row r="20241" spans="1:5" x14ac:dyDescent="0.25">
      <c r="A20241" t="str">
        <f>HYPERLINK("https://www.773grp.com/globalSearch/54LS224AJ-B/page-1", "54LS224AJ-B")</f>
        <v>54LS224AJ-B</v>
      </c>
      <c r="B20241" s="3" t="s">
        <v>116</v>
      </c>
      <c r="C20241" s="6">
        <v>324</v>
      </c>
      <c r="D20241" s="7">
        <v>117.96</v>
      </c>
    </row>
    <row r="20242" spans="1:5" x14ac:dyDescent="0.25">
      <c r="A20242" t="str">
        <f>HYPERLINK("https://www.773grp.com/globalSearch/54LS190-BEA/page-1", "54LS190-BEA")</f>
        <v>54LS190-BEA</v>
      </c>
      <c r="B20242" s="3" t="s">
        <v>116</v>
      </c>
      <c r="C20242" s="6">
        <v>818</v>
      </c>
      <c r="D20242" s="7">
        <v>118.06</v>
      </c>
    </row>
    <row r="20243" spans="1:5" x14ac:dyDescent="0.25">
      <c r="A20243" t="str">
        <f>HYPERLINK("https://www.773grp.com/globalSearch/26LS30-B2A/page-1", "26LS30-B2A")</f>
        <v>26LS30-B2A</v>
      </c>
      <c r="B20243" s="3" t="s">
        <v>116</v>
      </c>
      <c r="C20243" s="6">
        <v>243</v>
      </c>
      <c r="D20243" s="7">
        <v>118.46</v>
      </c>
    </row>
    <row r="20244" spans="1:5" x14ac:dyDescent="0.25">
      <c r="A20244" t="str">
        <f>HYPERLINK("https://www.773grp.com/globalSearch/26LS31-B2A/page-1", "26LS31-B2A")</f>
        <v>26LS31-B2A</v>
      </c>
      <c r="B20244" s="3" t="s">
        <v>116</v>
      </c>
      <c r="C20244" s="6">
        <v>737</v>
      </c>
      <c r="D20244" s="7">
        <v>118.46</v>
      </c>
      <c r="E20244" t="s">
        <v>17</v>
      </c>
    </row>
    <row r="20245" spans="1:5" x14ac:dyDescent="0.25">
      <c r="A20245" t="str">
        <f>HYPERLINK("https://www.773grp.com/globalSearch/26LS32-B2A/page-1", "26LS32-B2A")</f>
        <v>26LS32-B2A</v>
      </c>
      <c r="B20245" s="3" t="s">
        <v>116</v>
      </c>
      <c r="C20245" s="6">
        <v>524</v>
      </c>
      <c r="D20245" s="7">
        <v>118.46</v>
      </c>
      <c r="E20245" t="s">
        <v>17</v>
      </c>
    </row>
    <row r="20246" spans="1:5" x14ac:dyDescent="0.25">
      <c r="A20246" t="str">
        <f>HYPERLINK("https://www.773grp.com/globalSearch/26LS33-B2A/page-1", "26LS33-B2A")</f>
        <v>26LS33-B2A</v>
      </c>
      <c r="B20246" s="3" t="s">
        <v>116</v>
      </c>
      <c r="C20246" s="6">
        <v>721</v>
      </c>
      <c r="D20246" s="7">
        <v>118.46</v>
      </c>
    </row>
    <row r="20247" spans="1:5" x14ac:dyDescent="0.25">
      <c r="A20247" t="str">
        <f>HYPERLINK("https://www.773grp.com/globalSearch/54AC02-BCA/page-1", "54AC02-BCA")</f>
        <v>54AC02-BCA</v>
      </c>
      <c r="B20247" s="3" t="s">
        <v>116</v>
      </c>
      <c r="C20247" s="6">
        <v>1157</v>
      </c>
      <c r="D20247" s="7">
        <v>118.46</v>
      </c>
    </row>
    <row r="20248" spans="1:5" x14ac:dyDescent="0.25">
      <c r="A20248" t="str">
        <f>HYPERLINK("https://www.773grp.com/globalSearch/54161DM-B/page-1", "54161DM-B")</f>
        <v>54161DM-B</v>
      </c>
      <c r="B20248" s="3" t="s">
        <v>116</v>
      </c>
      <c r="C20248" s="6">
        <v>740</v>
      </c>
      <c r="D20248" s="7">
        <v>118.46</v>
      </c>
    </row>
    <row r="20249" spans="1:5" x14ac:dyDescent="0.25">
      <c r="A20249" t="str">
        <f>HYPERLINK("https://www.773grp.com/globalSearch/93L14DM-B/page-1", "93L14DM-B")</f>
        <v>93L14DM-B</v>
      </c>
      <c r="B20249" s="3" t="s">
        <v>116</v>
      </c>
      <c r="C20249" s="6">
        <v>849</v>
      </c>
      <c r="D20249" s="7">
        <v>118.46</v>
      </c>
    </row>
    <row r="20250" spans="1:5" x14ac:dyDescent="0.25">
      <c r="A20250" t="str">
        <f>HYPERLINK("https://www.773grp.com/globalSearch/MD82C54-B/page-1", "MD82C54-B")</f>
        <v>MD82C54-B</v>
      </c>
      <c r="B20250" s="3" t="s">
        <v>116</v>
      </c>
      <c r="C20250" s="6">
        <v>1527</v>
      </c>
      <c r="D20250" s="7">
        <v>118.64</v>
      </c>
      <c r="E20250" t="s">
        <v>67</v>
      </c>
    </row>
    <row r="20251" spans="1:5" x14ac:dyDescent="0.25">
      <c r="A20251" t="str">
        <f>HYPERLINK("https://www.773grp.com/globalSearch/27S21DM-B/page-1", "27S21DM-B")</f>
        <v>27S21DM-B</v>
      </c>
      <c r="B20251" s="3" t="s">
        <v>116</v>
      </c>
      <c r="C20251" s="6">
        <v>321</v>
      </c>
      <c r="D20251" s="7">
        <v>119.03</v>
      </c>
    </row>
    <row r="20252" spans="1:5" x14ac:dyDescent="0.25">
      <c r="A20252" t="str">
        <f>HYPERLINK("https://www.773grp.com/globalSearch/54FCT244DM-B/page-1", "54FCT244DM-B")</f>
        <v>54FCT244DM-B</v>
      </c>
      <c r="B20252" s="3" t="s">
        <v>116</v>
      </c>
      <c r="C20252" s="6">
        <v>1417</v>
      </c>
      <c r="D20252" s="7">
        <v>119.1</v>
      </c>
    </row>
    <row r="20253" spans="1:5" x14ac:dyDescent="0.25">
      <c r="A20253" t="str">
        <f>HYPERLINK("https://www.773grp.com/globalSearch/54LS158-BEA/page-1", "54LS158-BEA")</f>
        <v>54LS158-BEA</v>
      </c>
      <c r="B20253" s="3" t="s">
        <v>116</v>
      </c>
      <c r="C20253" s="6">
        <v>312</v>
      </c>
      <c r="D20253" s="7">
        <v>119.1</v>
      </c>
    </row>
    <row r="20254" spans="1:5" x14ac:dyDescent="0.25">
      <c r="A20254" t="str">
        <f>HYPERLINK("https://www.773grp.com/globalSearch/54HC162-BEA/page-1", "54HC162-BEA")</f>
        <v>54HC162-BEA</v>
      </c>
      <c r="B20254" s="3" t="s">
        <v>116</v>
      </c>
      <c r="C20254" s="6">
        <v>666</v>
      </c>
      <c r="D20254" s="7">
        <v>119.15</v>
      </c>
    </row>
    <row r="20255" spans="1:5" x14ac:dyDescent="0.25">
      <c r="A20255" t="str">
        <f>HYPERLINK("https://www.773grp.com/globalSearch/CA3306D/page-1", "CA3306D")</f>
        <v>CA3306D</v>
      </c>
      <c r="B20255" s="3" t="s">
        <v>116</v>
      </c>
      <c r="C20255" s="6">
        <v>15</v>
      </c>
      <c r="D20255" s="7">
        <v>119.18</v>
      </c>
      <c r="E20255" t="s">
        <v>35</v>
      </c>
    </row>
    <row r="20256" spans="1:5" x14ac:dyDescent="0.25">
      <c r="A20256" t="str">
        <f>HYPERLINK("https://www.773grp.com/globalSearch/54HC390-BEA/page-1", "54HC390-BEA")</f>
        <v>54HC390-BEA</v>
      </c>
      <c r="B20256" s="3" t="s">
        <v>116</v>
      </c>
      <c r="C20256" s="6">
        <v>669</v>
      </c>
      <c r="D20256" s="7">
        <v>119.23</v>
      </c>
    </row>
    <row r="20257" spans="1:4" x14ac:dyDescent="0.25">
      <c r="A20257" t="str">
        <f>HYPERLINK("https://www.773grp.com/globalSearch/54LS76A-BEA/page-1", "54LS76A-BEA")</f>
        <v>54LS76A-BEA</v>
      </c>
      <c r="B20257" s="3" t="s">
        <v>116</v>
      </c>
      <c r="C20257" s="6">
        <v>856</v>
      </c>
      <c r="D20257" s="7">
        <v>119.23</v>
      </c>
    </row>
    <row r="20258" spans="1:4" x14ac:dyDescent="0.25">
      <c r="A20258" t="str">
        <f>HYPERLINK("https://www.773grp.com/globalSearch/27S35ADM-B/page-1", "27S35ADM-B")</f>
        <v>27S35ADM-B</v>
      </c>
      <c r="B20258" s="3" t="s">
        <v>116</v>
      </c>
      <c r="C20258" s="6">
        <v>434</v>
      </c>
      <c r="D20258" s="7">
        <v>119.34</v>
      </c>
    </row>
    <row r="20259" spans="1:4" x14ac:dyDescent="0.25">
      <c r="A20259" t="str">
        <f>HYPERLINK("https://www.773grp.com/globalSearch/54LS298-BEA/page-1", "54LS298-BEA")</f>
        <v>54LS298-BEA</v>
      </c>
      <c r="B20259" s="3" t="s">
        <v>116</v>
      </c>
      <c r="C20259" s="6">
        <v>1869</v>
      </c>
      <c r="D20259" s="7">
        <v>119.34</v>
      </c>
    </row>
    <row r="20260" spans="1:4" x14ac:dyDescent="0.25">
      <c r="A20260" t="str">
        <f>HYPERLINK("https://www.773grp.com/globalSearch/54LS279DM-B/page-1", "54LS279DM-B")</f>
        <v>54LS279DM-B</v>
      </c>
      <c r="B20260" s="3" t="s">
        <v>116</v>
      </c>
      <c r="C20260" s="6">
        <v>1838</v>
      </c>
      <c r="D20260" s="7">
        <v>119.73</v>
      </c>
    </row>
    <row r="20261" spans="1:4" x14ac:dyDescent="0.25">
      <c r="A20261" t="str">
        <f>HYPERLINK("https://www.773grp.com/globalSearch/54121-BCA/page-1", "54121-BCA")</f>
        <v>54121-BCA</v>
      </c>
      <c r="B20261" s="3" t="s">
        <v>116</v>
      </c>
      <c r="C20261" s="6">
        <v>209</v>
      </c>
      <c r="D20261" s="7">
        <v>119.86</v>
      </c>
    </row>
    <row r="20262" spans="1:4" x14ac:dyDescent="0.25">
      <c r="A20262" t="str">
        <f>HYPERLINK("https://www.773grp.com/globalSearch/54L98J/page-1", "54L98J")</f>
        <v>54L98J</v>
      </c>
      <c r="B20262" s="3" t="s">
        <v>116</v>
      </c>
      <c r="C20262" s="6">
        <v>162</v>
      </c>
      <c r="D20262" s="7">
        <v>119.88</v>
      </c>
    </row>
    <row r="20263" spans="1:4" x14ac:dyDescent="0.25">
      <c r="A20263" t="str">
        <f>HYPERLINK("https://www.773grp.com/globalSearch/MD8259A-B/page-1", "MD8259A-B")</f>
        <v>MD8259A-B</v>
      </c>
      <c r="B20263" s="3" t="s">
        <v>116</v>
      </c>
      <c r="C20263" s="6">
        <v>364</v>
      </c>
      <c r="D20263" s="7">
        <v>120.15</v>
      </c>
    </row>
    <row r="20264" spans="1:4" x14ac:dyDescent="0.25">
      <c r="A20264" t="str">
        <f>HYPERLINK("https://www.773grp.com/globalSearch/262416-1/page-1", "262416-1")</f>
        <v>262416-1</v>
      </c>
      <c r="B20264" s="3" t="s">
        <v>116</v>
      </c>
      <c r="C20264" s="6">
        <v>598</v>
      </c>
      <c r="D20264" s="7">
        <v>121</v>
      </c>
    </row>
    <row r="20265" spans="1:4" x14ac:dyDescent="0.25">
      <c r="A20265" t="str">
        <f>HYPERLINK("https://www.773grp.com/globalSearch/54H108J-C/page-1", "54H108J-C")</f>
        <v>54H108J-C</v>
      </c>
      <c r="B20265" s="3" t="s">
        <v>116</v>
      </c>
      <c r="C20265" s="6">
        <v>279</v>
      </c>
      <c r="D20265" s="7">
        <v>121</v>
      </c>
    </row>
    <row r="20266" spans="1:4" x14ac:dyDescent="0.25">
      <c r="A20266" t="str">
        <f>HYPERLINK("https://www.773grp.com/globalSearch/54L157J/page-1", "54L157J")</f>
        <v>54L157J</v>
      </c>
      <c r="B20266" s="3" t="s">
        <v>116</v>
      </c>
      <c r="C20266" s="6">
        <v>99</v>
      </c>
      <c r="D20266" s="7">
        <v>121</v>
      </c>
    </row>
    <row r="20267" spans="1:4" x14ac:dyDescent="0.25">
      <c r="A20267" t="str">
        <f>HYPERLINK("https://www.773grp.com/globalSearch/54L51J-C/page-1", "54L51J-C")</f>
        <v>54L51J-C</v>
      </c>
      <c r="B20267" s="3" t="s">
        <v>116</v>
      </c>
      <c r="C20267" s="6">
        <v>321</v>
      </c>
      <c r="D20267" s="7">
        <v>121</v>
      </c>
    </row>
    <row r="20268" spans="1:4" x14ac:dyDescent="0.25">
      <c r="A20268" t="str">
        <f>HYPERLINK("https://www.773grp.com/globalSearch/9307DM-B/page-1", "9307DM-B")</f>
        <v>9307DM-B</v>
      </c>
      <c r="B20268" s="3" t="s">
        <v>116</v>
      </c>
      <c r="C20268" s="6">
        <v>512</v>
      </c>
      <c r="D20268" s="7">
        <v>121</v>
      </c>
    </row>
    <row r="20269" spans="1:4" x14ac:dyDescent="0.25">
      <c r="A20269" t="str">
        <f>HYPERLINK("https://www.773grp.com/globalSearch/9L24DM-B/page-1", "9L24DM-B")</f>
        <v>9L24DM-B</v>
      </c>
      <c r="B20269" s="3" t="s">
        <v>116</v>
      </c>
      <c r="C20269" s="6">
        <v>858</v>
      </c>
      <c r="D20269" s="7">
        <v>121</v>
      </c>
    </row>
    <row r="20270" spans="1:4" x14ac:dyDescent="0.25">
      <c r="A20270" t="str">
        <f>HYPERLINK("https://www.773grp.com/globalSearch/MC2118L-R/page-1", "MC2118L-R")</f>
        <v>MC2118L-R</v>
      </c>
      <c r="B20270" s="3" t="s">
        <v>116</v>
      </c>
      <c r="C20270" s="6">
        <v>342</v>
      </c>
      <c r="D20270" s="7">
        <v>121</v>
      </c>
    </row>
    <row r="20271" spans="1:4" x14ac:dyDescent="0.25">
      <c r="A20271" t="str">
        <f>HYPERLINK("https://www.773grp.com/globalSearch/R532104/page-1", "R532104")</f>
        <v>R532104</v>
      </c>
      <c r="B20271" s="3" t="s">
        <v>116</v>
      </c>
      <c r="C20271" s="6">
        <v>422</v>
      </c>
      <c r="D20271" s="7">
        <v>121</v>
      </c>
    </row>
    <row r="20272" spans="1:4" x14ac:dyDescent="0.25">
      <c r="A20272" t="str">
        <f>HYPERLINK("https://www.773grp.com/globalSearch/R552133/page-1", "R552133")</f>
        <v>R552133</v>
      </c>
      <c r="B20272" s="3" t="s">
        <v>116</v>
      </c>
      <c r="C20272" s="6">
        <v>389</v>
      </c>
      <c r="D20272" s="7">
        <v>121</v>
      </c>
    </row>
    <row r="20273" spans="1:5" x14ac:dyDescent="0.25">
      <c r="A20273" t="str">
        <f>HYPERLINK("https://www.773grp.com/globalSearch/R982105/page-1", "R982105")</f>
        <v>R982105</v>
      </c>
      <c r="B20273" s="3" t="s">
        <v>116</v>
      </c>
      <c r="C20273" s="6">
        <v>325</v>
      </c>
      <c r="D20273" s="7">
        <v>121</v>
      </c>
    </row>
    <row r="20274" spans="1:5" x14ac:dyDescent="0.25">
      <c r="A20274" t="str">
        <f>HYPERLINK("https://www.773grp.com/globalSearch/EP600IPC-45/page-1", "EP600IPC-45")</f>
        <v>EP600IPC-45</v>
      </c>
      <c r="B20274" s="3" t="s">
        <v>116</v>
      </c>
      <c r="C20274" s="6">
        <v>501</v>
      </c>
      <c r="D20274" s="7">
        <v>121</v>
      </c>
    </row>
    <row r="20275" spans="1:5" x14ac:dyDescent="0.25">
      <c r="A20275" t="str">
        <f>HYPERLINK("https://www.773grp.com/globalSearch/EP610PC-35/page-1", "EP610PC-35")</f>
        <v>EP610PC-35</v>
      </c>
      <c r="B20275" s="3" t="s">
        <v>116</v>
      </c>
      <c r="C20275" s="6">
        <v>3386</v>
      </c>
      <c r="D20275" s="7">
        <v>121</v>
      </c>
      <c r="E20275" t="s">
        <v>42</v>
      </c>
    </row>
    <row r="20276" spans="1:5" x14ac:dyDescent="0.25">
      <c r="A20276" t="str">
        <f>HYPERLINK("https://www.773grp.com/globalSearch/EP610SC-15/page-1", "EP610SC-15")</f>
        <v>EP610SC-15</v>
      </c>
      <c r="B20276" s="3" t="s">
        <v>116</v>
      </c>
      <c r="C20276" s="6">
        <v>1762</v>
      </c>
      <c r="D20276" s="7">
        <v>121</v>
      </c>
    </row>
    <row r="20277" spans="1:5" x14ac:dyDescent="0.25">
      <c r="A20277" t="str">
        <f>HYPERLINK("https://www.773grp.com/globalSearch/PAL16L8B-4MJ-B/page-1", "PAL16L8B-4MJ-B")</f>
        <v>PAL16L8B-4MJ-B</v>
      </c>
      <c r="B20277" s="3" t="s">
        <v>116</v>
      </c>
      <c r="C20277" s="6">
        <v>348</v>
      </c>
      <c r="D20277" s="7">
        <v>121</v>
      </c>
    </row>
    <row r="20278" spans="1:5" x14ac:dyDescent="0.25">
      <c r="A20278" t="str">
        <f>HYPERLINK("https://www.773grp.com/globalSearch/HI4-0516-8-B/page-1", "HI4-0516-8-B")</f>
        <v>HI4-0516-8-B</v>
      </c>
      <c r="B20278" s="3" t="s">
        <v>116</v>
      </c>
      <c r="C20278" s="6">
        <v>424</v>
      </c>
      <c r="D20278" s="7">
        <v>121</v>
      </c>
    </row>
    <row r="20279" spans="1:5" x14ac:dyDescent="0.25">
      <c r="A20279" t="str">
        <f>HYPERLINK("https://www.773grp.com/globalSearch/D8086-2/page-1", "D8086-2")</f>
        <v>D8086-2</v>
      </c>
      <c r="B20279" s="3" t="s">
        <v>116</v>
      </c>
      <c r="C20279" s="6">
        <v>575</v>
      </c>
      <c r="D20279" s="7">
        <v>121</v>
      </c>
      <c r="E20279" t="s">
        <v>66</v>
      </c>
    </row>
    <row r="20280" spans="1:5" x14ac:dyDescent="0.25">
      <c r="A20280" t="str">
        <f>HYPERLINK("https://www.773grp.com/globalSearch/MC2764A-25-B/page-1", "MC2764A-25-B")</f>
        <v>MC2764A-25-B</v>
      </c>
      <c r="B20280" s="3" t="s">
        <v>116</v>
      </c>
      <c r="C20280" s="6">
        <v>399</v>
      </c>
      <c r="D20280" s="7">
        <v>121</v>
      </c>
    </row>
    <row r="20281" spans="1:5" x14ac:dyDescent="0.25">
      <c r="A20281" t="str">
        <f>HYPERLINK("https://www.773grp.com/globalSearch/MD2732A-45-B/page-1", "MD2732A-45-B")</f>
        <v>MD2732A-45-B</v>
      </c>
      <c r="B20281" s="3" t="s">
        <v>116</v>
      </c>
      <c r="C20281" s="6">
        <v>261</v>
      </c>
      <c r="D20281" s="7">
        <v>121</v>
      </c>
    </row>
    <row r="20282" spans="1:5" x14ac:dyDescent="0.25">
      <c r="A20282" t="str">
        <f>HYPERLINK("https://www.773grp.com/globalSearch/MR8259A-R/page-1", "MR8259A-R")</f>
        <v>MR8259A-R</v>
      </c>
      <c r="B20282" s="3" t="s">
        <v>116</v>
      </c>
      <c r="C20282" s="6">
        <v>463</v>
      </c>
      <c r="D20282" s="7">
        <v>121</v>
      </c>
    </row>
    <row r="20283" spans="1:5" x14ac:dyDescent="0.25">
      <c r="A20283" t="str">
        <f>HYPERLINK("https://www.773grp.com/globalSearch/54126W-B/page-1", "54126W-B")</f>
        <v>54126W-B</v>
      </c>
      <c r="B20283" s="3" t="s">
        <v>116</v>
      </c>
      <c r="C20283" s="6">
        <v>417</v>
      </c>
      <c r="D20283" s="7">
        <v>121</v>
      </c>
    </row>
    <row r="20284" spans="1:5" x14ac:dyDescent="0.25">
      <c r="A20284" t="str">
        <f>HYPERLINK("https://www.773grp.com/globalSearch/54S288AJ-B/page-1", "54S288AJ-B")</f>
        <v>54S288AJ-B</v>
      </c>
      <c r="B20284" s="3" t="s">
        <v>116</v>
      </c>
      <c r="C20284" s="6">
        <v>1076</v>
      </c>
      <c r="D20284" s="7">
        <v>121</v>
      </c>
    </row>
    <row r="20285" spans="1:5" x14ac:dyDescent="0.25">
      <c r="A20285" t="str">
        <f>HYPERLINK("https://www.773grp.com/globalSearch/9936-BCA/page-1", "9936-BCA")</f>
        <v>9936-BCA</v>
      </c>
      <c r="B20285" s="3" t="s">
        <v>116</v>
      </c>
      <c r="C20285" s="6">
        <v>1889</v>
      </c>
      <c r="D20285" s="7">
        <v>121</v>
      </c>
    </row>
    <row r="20286" spans="1:5" x14ac:dyDescent="0.25">
      <c r="A20286" t="str">
        <f>HYPERLINK("https://www.773grp.com/globalSearch/OP07J8-883/page-1", "OP07J8-883")</f>
        <v>OP07J8-883</v>
      </c>
      <c r="B20286" s="3" t="s">
        <v>116</v>
      </c>
      <c r="C20286" s="6">
        <v>559</v>
      </c>
      <c r="D20286" s="7">
        <v>121</v>
      </c>
    </row>
    <row r="20287" spans="1:5" x14ac:dyDescent="0.25">
      <c r="A20287" t="str">
        <f>HYPERLINK("https://www.773grp.com/globalSearch/2940DC/page-1", "2940DC")</f>
        <v>2940DC</v>
      </c>
      <c r="B20287" s="3" t="s">
        <v>116</v>
      </c>
      <c r="C20287" s="6">
        <v>5728</v>
      </c>
      <c r="D20287" s="7">
        <v>121</v>
      </c>
    </row>
    <row r="20288" spans="1:5" x14ac:dyDescent="0.25">
      <c r="A20288" t="str">
        <f>HYPERLINK("https://www.773grp.com/globalSearch/93S48DM-B/page-1", "93S48DM-B")</f>
        <v>93S48DM-B</v>
      </c>
      <c r="B20288" s="3" t="s">
        <v>116</v>
      </c>
      <c r="C20288" s="6">
        <v>440</v>
      </c>
      <c r="D20288" s="7">
        <v>121</v>
      </c>
    </row>
    <row r="20289" spans="1:5" x14ac:dyDescent="0.25">
      <c r="A20289" t="str">
        <f>HYPERLINK("https://www.773grp.com/globalSearch/LM108H/page-1", "LM108H")</f>
        <v>LM108H</v>
      </c>
      <c r="B20289" s="3" t="s">
        <v>116</v>
      </c>
      <c r="C20289" s="6">
        <v>480</v>
      </c>
      <c r="D20289" s="7">
        <v>121</v>
      </c>
      <c r="E20289" t="s">
        <v>10</v>
      </c>
    </row>
    <row r="20290" spans="1:5" x14ac:dyDescent="0.25">
      <c r="A20290" t="str">
        <f>HYPERLINK("https://www.773grp.com/globalSearch/54HC30-BCA/page-1", "54HC30-BCA")</f>
        <v>54HC30-BCA</v>
      </c>
      <c r="B20290" s="3" t="s">
        <v>116</v>
      </c>
      <c r="C20290" s="6">
        <v>1499</v>
      </c>
      <c r="D20290" s="7">
        <v>121</v>
      </c>
    </row>
    <row r="20291" spans="1:5" x14ac:dyDescent="0.25">
      <c r="A20291" t="str">
        <f>HYPERLINK("https://www.773grp.com/globalSearch/54L122J-C/page-1", "54L122J-C")</f>
        <v>54L122J-C</v>
      </c>
      <c r="B20291" s="3" t="s">
        <v>116</v>
      </c>
      <c r="C20291" s="6">
        <v>152</v>
      </c>
      <c r="D20291" s="7">
        <v>121</v>
      </c>
    </row>
    <row r="20292" spans="1:5" x14ac:dyDescent="0.25">
      <c r="A20292" t="str">
        <f>HYPERLINK("https://www.773grp.com/globalSearch/54LS156-BEA/page-1", "54LS156-BEA")</f>
        <v>54LS156-BEA</v>
      </c>
      <c r="B20292" s="3" t="s">
        <v>116</v>
      </c>
      <c r="C20292" s="6">
        <v>49</v>
      </c>
      <c r="D20292" s="7">
        <v>121</v>
      </c>
    </row>
    <row r="20293" spans="1:5" x14ac:dyDescent="0.25">
      <c r="A20293" t="str">
        <f>HYPERLINK("https://www.773grp.com/globalSearch/54LS162A-BEA/page-1", "54LS162A-BEA")</f>
        <v>54LS162A-BEA</v>
      </c>
      <c r="B20293" s="3" t="s">
        <v>116</v>
      </c>
      <c r="C20293" s="6">
        <v>989</v>
      </c>
      <c r="D20293" s="7">
        <v>121</v>
      </c>
    </row>
    <row r="20294" spans="1:5" x14ac:dyDescent="0.25">
      <c r="A20294" t="str">
        <f>HYPERLINK("https://www.773grp.com/globalSearch/54LS28-BCA/page-1", "54LS28-BCA")</f>
        <v>54LS28-BCA</v>
      </c>
      <c r="B20294" s="3" t="s">
        <v>116</v>
      </c>
      <c r="C20294" s="6">
        <v>1585</v>
      </c>
      <c r="D20294" s="7">
        <v>121</v>
      </c>
    </row>
    <row r="20295" spans="1:5" x14ac:dyDescent="0.25">
      <c r="A20295" t="str">
        <f>HYPERLINK("https://www.773grp.com/globalSearch/54LS95BJ-B/page-1", "54LS95BJ-B")</f>
        <v>54LS95BJ-B</v>
      </c>
      <c r="B20295" s="3" t="s">
        <v>116</v>
      </c>
      <c r="C20295" s="6">
        <v>173</v>
      </c>
      <c r="D20295" s="7">
        <v>121</v>
      </c>
    </row>
    <row r="20296" spans="1:5" x14ac:dyDescent="0.25">
      <c r="A20296" t="str">
        <f>HYPERLINK("https://www.773grp.com/globalSearch/M38510-12907BPA/page-1", "M38510-12907BPA")</f>
        <v>M38510-12907BPA</v>
      </c>
      <c r="B20296" s="3" t="s">
        <v>116</v>
      </c>
      <c r="C20296" s="6">
        <v>350</v>
      </c>
      <c r="D20296" s="7">
        <v>121</v>
      </c>
      <c r="E20296" t="s">
        <v>8</v>
      </c>
    </row>
    <row r="20297" spans="1:5" x14ac:dyDescent="0.25">
      <c r="A20297" t="str">
        <f>HYPERLINK("https://www.773grp.com/globalSearch/R449101/page-1", "R449101")</f>
        <v>R449101</v>
      </c>
      <c r="B20297" s="3" t="s">
        <v>116</v>
      </c>
      <c r="C20297" s="6">
        <v>587</v>
      </c>
      <c r="D20297" s="7">
        <v>121</v>
      </c>
    </row>
    <row r="20298" spans="1:5" x14ac:dyDescent="0.25">
      <c r="A20298" t="str">
        <f>HYPERLINK("https://www.773grp.com/globalSearch/R754133/page-1", "R754133")</f>
        <v>R754133</v>
      </c>
      <c r="B20298" s="3" t="s">
        <v>116</v>
      </c>
      <c r="C20298" s="6">
        <v>234</v>
      </c>
      <c r="D20298" s="7">
        <v>121</v>
      </c>
    </row>
    <row r="20299" spans="1:5" x14ac:dyDescent="0.25">
      <c r="A20299" t="str">
        <f>HYPERLINK("https://www.773grp.com/globalSearch/54F273-QRA/page-1", "54F273-QRA")</f>
        <v>54F273-QRA</v>
      </c>
      <c r="B20299" s="3" t="s">
        <v>116</v>
      </c>
      <c r="C20299" s="6">
        <v>976</v>
      </c>
      <c r="D20299" s="7">
        <v>121.64</v>
      </c>
    </row>
    <row r="20300" spans="1:5" x14ac:dyDescent="0.25">
      <c r="A20300" t="str">
        <f>HYPERLINK("https://www.773grp.com/globalSearch/54L02-BCA/page-1", "54L02-BCA")</f>
        <v>54L02-BCA</v>
      </c>
      <c r="B20300" s="3" t="s">
        <v>116</v>
      </c>
      <c r="C20300" s="6">
        <v>674</v>
      </c>
      <c r="D20300" s="7">
        <v>121.64</v>
      </c>
    </row>
    <row r="20301" spans="1:5" x14ac:dyDescent="0.25">
      <c r="A20301" t="str">
        <f>HYPERLINK("https://www.773grp.com/globalSearch/54LS42-BEA/page-1", "54LS42-BEA")</f>
        <v>54LS42-BEA</v>
      </c>
      <c r="B20301" s="3" t="s">
        <v>116</v>
      </c>
      <c r="C20301" s="6">
        <v>397</v>
      </c>
      <c r="D20301" s="7">
        <v>121.64</v>
      </c>
    </row>
    <row r="20302" spans="1:5" x14ac:dyDescent="0.25">
      <c r="A20302" t="str">
        <f>HYPERLINK("https://www.773grp.com/globalSearch/ELANSC300-33KC-G/page-1", "ELANSC300-33KC-G")</f>
        <v>ELANSC300-33KC-G</v>
      </c>
      <c r="B20302" s="3" t="s">
        <v>116</v>
      </c>
      <c r="C20302" s="6">
        <v>1584</v>
      </c>
      <c r="D20302" s="7">
        <v>121.74</v>
      </c>
    </row>
    <row r="20303" spans="1:5" x14ac:dyDescent="0.25">
      <c r="A20303" t="str">
        <f>HYPERLINK("https://www.773grp.com/globalSearch/CA3058-B/page-1", "CA3058-B")</f>
        <v>CA3058-B</v>
      </c>
      <c r="B20303" s="3" t="s">
        <v>116</v>
      </c>
      <c r="C20303" s="6">
        <v>17</v>
      </c>
      <c r="D20303" s="7">
        <v>121.78</v>
      </c>
    </row>
    <row r="20304" spans="1:5" x14ac:dyDescent="0.25">
      <c r="A20304" t="str">
        <f>HYPERLINK("https://www.773grp.com/globalSearch/MM54C922J-883/page-1", "MM54C922J-883")</f>
        <v>MM54C922J-883</v>
      </c>
      <c r="B20304" s="3" t="s">
        <v>116</v>
      </c>
      <c r="C20304" s="6">
        <v>1302</v>
      </c>
      <c r="D20304" s="7">
        <v>122.01</v>
      </c>
      <c r="E20304" t="s">
        <v>38</v>
      </c>
    </row>
    <row r="20305" spans="1:5" x14ac:dyDescent="0.25">
      <c r="A20305" t="str">
        <f>HYPERLINK("https://www.773grp.com/globalSearch/54LS183-BCA/page-1", "54LS183-BCA")</f>
        <v>54LS183-BCA</v>
      </c>
      <c r="B20305" s="3" t="s">
        <v>116</v>
      </c>
      <c r="C20305" s="6">
        <v>750</v>
      </c>
      <c r="D20305" s="7">
        <v>122.38</v>
      </c>
    </row>
    <row r="20306" spans="1:5" x14ac:dyDescent="0.25">
      <c r="A20306" t="str">
        <f>HYPERLINK("https://www.773grp.com/globalSearch/54F157-BEA/page-1", "54F157-BEA")</f>
        <v>54F157-BEA</v>
      </c>
      <c r="B20306" s="3" t="s">
        <v>116</v>
      </c>
      <c r="C20306" s="6">
        <v>956</v>
      </c>
      <c r="D20306" s="7">
        <v>122.76</v>
      </c>
    </row>
    <row r="20307" spans="1:5" x14ac:dyDescent="0.25">
      <c r="A20307" t="str">
        <f>HYPERLINK("https://www.773grp.com/globalSearch/MR8259A/page-1", "MR8259A")</f>
        <v>MR8259A</v>
      </c>
      <c r="B20307" s="3" t="s">
        <v>116</v>
      </c>
      <c r="C20307" s="6">
        <v>144</v>
      </c>
      <c r="D20307" s="7">
        <v>122.89</v>
      </c>
      <c r="E20307" t="s">
        <v>102</v>
      </c>
    </row>
    <row r="20308" spans="1:5" x14ac:dyDescent="0.25">
      <c r="A20308" t="str">
        <f>HYPERLINK("https://www.773grp.com/globalSearch/5427-BCA/page-1", "5427-BCA")</f>
        <v>5427-BCA</v>
      </c>
      <c r="B20308" s="3" t="s">
        <v>116</v>
      </c>
      <c r="C20308" s="6">
        <v>622</v>
      </c>
      <c r="D20308" s="7">
        <v>123.09</v>
      </c>
    </row>
    <row r="20309" spans="1:5" x14ac:dyDescent="0.25">
      <c r="A20309" t="str">
        <f>HYPERLINK("https://www.773grp.com/globalSearch/27S21ADM-B/page-1", "27S21ADM-B")</f>
        <v>27S21ADM-B</v>
      </c>
      <c r="B20309" s="3" t="s">
        <v>116</v>
      </c>
      <c r="C20309" s="6">
        <v>1062</v>
      </c>
      <c r="D20309" s="7">
        <v>123.19</v>
      </c>
    </row>
    <row r="20310" spans="1:5" x14ac:dyDescent="0.25">
      <c r="A20310" t="str">
        <f>HYPERLINK("https://www.773grp.com/globalSearch/UA7906CL-R/page-1", "UA7906CL-R")</f>
        <v>UA7906CL-R</v>
      </c>
      <c r="B20310" s="3" t="s">
        <v>116</v>
      </c>
      <c r="C20310" s="6">
        <v>77</v>
      </c>
      <c r="D20310" s="7">
        <v>123.51</v>
      </c>
    </row>
    <row r="20311" spans="1:5" x14ac:dyDescent="0.25">
      <c r="A20311" t="str">
        <f>HYPERLINK("https://www.773grp.com/globalSearch/25S05FM-B/page-1", "25S05FM-B")</f>
        <v>25S05FM-B</v>
      </c>
      <c r="B20311" s="3" t="s">
        <v>116</v>
      </c>
      <c r="C20311" s="6">
        <v>1460</v>
      </c>
      <c r="D20311" s="7">
        <v>123.51</v>
      </c>
    </row>
    <row r="20312" spans="1:5" x14ac:dyDescent="0.25">
      <c r="A20312" t="str">
        <f>HYPERLINK("https://www.773grp.com/globalSearch/5493ADM/page-1", "5493ADM")</f>
        <v>5493ADM</v>
      </c>
      <c r="B20312" s="3" t="s">
        <v>116</v>
      </c>
      <c r="C20312" s="6">
        <v>286</v>
      </c>
      <c r="D20312" s="7">
        <v>123.51</v>
      </c>
    </row>
    <row r="20313" spans="1:5" x14ac:dyDescent="0.25">
      <c r="A20313" t="str">
        <f>HYPERLINK("https://www.773grp.com/globalSearch/54LS22-BCA/page-1", "54LS22-BCA")</f>
        <v>54LS22-BCA</v>
      </c>
      <c r="B20313" s="3" t="s">
        <v>116</v>
      </c>
      <c r="C20313" s="6">
        <v>47</v>
      </c>
      <c r="D20313" s="7">
        <v>123.51</v>
      </c>
    </row>
    <row r="20314" spans="1:5" x14ac:dyDescent="0.25">
      <c r="A20314" t="str">
        <f>HYPERLINK("https://www.773grp.com/globalSearch/MM54C89J/page-1", "MM54C89J")</f>
        <v>MM54C89J</v>
      </c>
      <c r="B20314" s="3" t="s">
        <v>116</v>
      </c>
      <c r="C20314" s="6">
        <v>866</v>
      </c>
      <c r="D20314" s="7">
        <v>123.51</v>
      </c>
      <c r="E20314" t="s">
        <v>63</v>
      </c>
    </row>
    <row r="20315" spans="1:5" x14ac:dyDescent="0.25">
      <c r="A20315" t="str">
        <f>HYPERLINK("https://www.773grp.com/globalSearch/54LS243-BCA/page-1", "54LS243-BCA")</f>
        <v>54LS243-BCA</v>
      </c>
      <c r="B20315" s="3" t="s">
        <v>116</v>
      </c>
      <c r="C20315" s="6">
        <v>1280</v>
      </c>
      <c r="D20315" s="7">
        <v>123.51</v>
      </c>
    </row>
    <row r="20316" spans="1:5" x14ac:dyDescent="0.25">
      <c r="A20316" t="str">
        <f>HYPERLINK("https://www.773grp.com/globalSearch/MD8251A-B/page-1", "MD8251A-B")</f>
        <v>MD8251A-B</v>
      </c>
      <c r="B20316" s="3" t="s">
        <v>116</v>
      </c>
      <c r="C20316" s="6">
        <v>25</v>
      </c>
      <c r="D20316" s="7">
        <v>123.53</v>
      </c>
    </row>
    <row r="20317" spans="1:5" x14ac:dyDescent="0.25">
      <c r="A20317" t="str">
        <f>HYPERLINK("https://www.773grp.com/globalSearch/5447-BEA/page-1", "5447-BEA")</f>
        <v>5447-BEA</v>
      </c>
      <c r="B20317" s="3" t="s">
        <v>116</v>
      </c>
      <c r="C20317" s="6">
        <v>416</v>
      </c>
      <c r="D20317" s="7">
        <v>124.01</v>
      </c>
    </row>
    <row r="20318" spans="1:5" x14ac:dyDescent="0.25">
      <c r="A20318" t="str">
        <f>HYPERLINK("https://www.773grp.com/globalSearch/54F161-BEA/page-1", "54F161-BEA")</f>
        <v>54F161-BEA</v>
      </c>
      <c r="B20318" s="3" t="s">
        <v>116</v>
      </c>
      <c r="C20318" s="6">
        <v>841</v>
      </c>
      <c r="D20318" s="7">
        <v>124.15</v>
      </c>
    </row>
    <row r="20319" spans="1:5" x14ac:dyDescent="0.25">
      <c r="A20319" t="str">
        <f>HYPERLINK("https://www.773grp.com/globalSearch/27S19ADM-B/page-1", "27S19ADM-B")</f>
        <v>27S19ADM-B</v>
      </c>
      <c r="B20319" s="3" t="s">
        <v>116</v>
      </c>
      <c r="C20319" s="6">
        <v>157</v>
      </c>
      <c r="D20319" s="7">
        <v>124.15</v>
      </c>
    </row>
    <row r="20320" spans="1:5" x14ac:dyDescent="0.25">
      <c r="A20320" t="str">
        <f>HYPERLINK("https://www.773grp.com/globalSearch/54193-BFA/page-1", "54193-BFA")</f>
        <v>54193-BFA</v>
      </c>
      <c r="B20320" s="3" t="s">
        <v>116</v>
      </c>
      <c r="C20320" s="6">
        <v>254</v>
      </c>
      <c r="D20320" s="7">
        <v>124.15</v>
      </c>
      <c r="E20320" t="s">
        <v>22</v>
      </c>
    </row>
    <row r="20321" spans="1:5" x14ac:dyDescent="0.25">
      <c r="A20321" t="str">
        <f>HYPERLINK("https://www.773grp.com/globalSearch/54LS298-BFA/page-1", "54LS298-BFA")</f>
        <v>54LS298-BFA</v>
      </c>
      <c r="B20321" s="3" t="s">
        <v>116</v>
      </c>
      <c r="C20321" s="6">
        <v>621</v>
      </c>
      <c r="D20321" s="7">
        <v>124.15</v>
      </c>
    </row>
    <row r="20322" spans="1:5" x14ac:dyDescent="0.25">
      <c r="A20322" t="str">
        <f>HYPERLINK("https://www.773grp.com/globalSearch/MM54C164J-883/page-1", "MM54C164J-883")</f>
        <v>MM54C164J-883</v>
      </c>
      <c r="B20322" s="3" t="s">
        <v>116</v>
      </c>
      <c r="C20322" s="6">
        <v>1571</v>
      </c>
      <c r="D20322" s="7">
        <v>124.39</v>
      </c>
      <c r="E20322" t="s">
        <v>28</v>
      </c>
    </row>
    <row r="20323" spans="1:5" x14ac:dyDescent="0.25">
      <c r="A20323" t="str">
        <f>HYPERLINK("https://www.773grp.com/globalSearch/DS14C232J-B/page-1", "DS14C232J-B")</f>
        <v>DS14C232J-B</v>
      </c>
      <c r="B20323" s="3" t="s">
        <v>116</v>
      </c>
      <c r="C20323" s="6">
        <v>681</v>
      </c>
      <c r="D20323" s="7">
        <v>124.78</v>
      </c>
    </row>
    <row r="20324" spans="1:5" x14ac:dyDescent="0.25">
      <c r="A20324" t="str">
        <f>HYPERLINK("https://www.773grp.com/globalSearch/2909ADC/page-1", "2909ADC")</f>
        <v>2909ADC</v>
      </c>
      <c r="B20324" s="3" t="s">
        <v>116</v>
      </c>
      <c r="C20324" s="6">
        <v>2636</v>
      </c>
      <c r="D20324" s="7">
        <v>124.78</v>
      </c>
    </row>
    <row r="20325" spans="1:5" x14ac:dyDescent="0.25">
      <c r="A20325" t="str">
        <f>HYPERLINK("https://www.773grp.com/globalSearch/5496-BFA/page-1", "5496-BFA")</f>
        <v>5496-BFA</v>
      </c>
      <c r="B20325" s="3" t="s">
        <v>116</v>
      </c>
      <c r="C20325" s="6">
        <v>1251</v>
      </c>
      <c r="D20325" s="7">
        <v>124.78</v>
      </c>
    </row>
    <row r="20326" spans="1:5" x14ac:dyDescent="0.25">
      <c r="A20326" t="str">
        <f>HYPERLINK("https://www.773grp.com/globalSearch/4023A-BCA/page-1", "4023A-BCA")</f>
        <v>4023A-BCA</v>
      </c>
      <c r="B20326" s="3" t="s">
        <v>116</v>
      </c>
      <c r="C20326" s="6">
        <v>284</v>
      </c>
      <c r="D20326" s="7">
        <v>124.81</v>
      </c>
    </row>
    <row r="20327" spans="1:5" x14ac:dyDescent="0.25">
      <c r="A20327" t="str">
        <f>HYPERLINK("https://www.773grp.com/globalSearch/OP290AZ/page-1", "OP290AZ")</f>
        <v>OP290AZ</v>
      </c>
      <c r="B20327" s="3" t="s">
        <v>116</v>
      </c>
      <c r="C20327" s="6">
        <v>5</v>
      </c>
      <c r="D20327" s="7">
        <v>124.89</v>
      </c>
      <c r="E20327" t="s">
        <v>10</v>
      </c>
    </row>
    <row r="20328" spans="1:5" x14ac:dyDescent="0.25">
      <c r="A20328" t="str">
        <f>HYPERLINK("https://www.773grp.com/globalSearch/54F164A-QCA/page-1", "54F164A-QCA")</f>
        <v>54F164A-QCA</v>
      </c>
      <c r="B20328" s="3" t="s">
        <v>116</v>
      </c>
      <c r="C20328" s="6">
        <v>937</v>
      </c>
      <c r="D20328" s="7">
        <v>124.89</v>
      </c>
    </row>
    <row r="20329" spans="1:5" x14ac:dyDescent="0.25">
      <c r="A20329" t="str">
        <f>HYPERLINK("https://www.773grp.com/globalSearch/54ABT245-BRA/page-1", "54ABT245-BRA")</f>
        <v>54ABT245-BRA</v>
      </c>
      <c r="B20329" s="3" t="s">
        <v>116</v>
      </c>
      <c r="C20329" s="6">
        <v>408</v>
      </c>
      <c r="D20329" s="7">
        <v>125.15</v>
      </c>
      <c r="E20329" t="s">
        <v>11</v>
      </c>
    </row>
    <row r="20330" spans="1:5" x14ac:dyDescent="0.25">
      <c r="A20330" t="str">
        <f>HYPERLINK("https://www.773grp.com/globalSearch/54F399-B2A/page-1", "54F399-B2A")</f>
        <v>54F399-B2A</v>
      </c>
      <c r="B20330" s="3" t="s">
        <v>116</v>
      </c>
      <c r="C20330" s="6">
        <v>543</v>
      </c>
      <c r="D20330" s="7">
        <v>125.15</v>
      </c>
      <c r="E20330" t="s">
        <v>31</v>
      </c>
    </row>
    <row r="20331" spans="1:5" x14ac:dyDescent="0.25">
      <c r="A20331" t="str">
        <f>HYPERLINK("https://www.773grp.com/globalSearch/9310DM-C/page-1", "9310DM-C")</f>
        <v>9310DM-C</v>
      </c>
      <c r="B20331" s="3" t="s">
        <v>116</v>
      </c>
      <c r="C20331" s="6">
        <v>138</v>
      </c>
      <c r="D20331" s="7">
        <v>125.41</v>
      </c>
    </row>
    <row r="20332" spans="1:5" x14ac:dyDescent="0.25">
      <c r="A20332" t="str">
        <f>HYPERLINK("https://www.773grp.com/globalSearch/54L04-BDA/page-1", "54L04-BDA")</f>
        <v>54L04-BDA</v>
      </c>
      <c r="B20332" s="3" t="s">
        <v>116</v>
      </c>
      <c r="C20332" s="6">
        <v>278</v>
      </c>
      <c r="D20332" s="7">
        <v>125.41</v>
      </c>
    </row>
    <row r="20333" spans="1:5" x14ac:dyDescent="0.25">
      <c r="A20333" t="str">
        <f>HYPERLINK("https://www.773grp.com/globalSearch/54H52J-C/page-1", "54H52J-C")</f>
        <v>54H52J-C</v>
      </c>
      <c r="B20333" s="3" t="s">
        <v>116</v>
      </c>
      <c r="C20333" s="6">
        <v>202</v>
      </c>
      <c r="D20333" s="7">
        <v>125.65</v>
      </c>
    </row>
    <row r="20334" spans="1:5" x14ac:dyDescent="0.25">
      <c r="A20334" t="str">
        <f>HYPERLINK("https://www.773grp.com/globalSearch/54F174-BEA/page-1", "54F174-BEA")</f>
        <v>54F174-BEA</v>
      </c>
      <c r="B20334" s="3" t="s">
        <v>116</v>
      </c>
      <c r="C20334" s="6">
        <v>520</v>
      </c>
      <c r="D20334" s="7">
        <v>125.65</v>
      </c>
      <c r="E20334" t="s">
        <v>31</v>
      </c>
    </row>
    <row r="20335" spans="1:5" x14ac:dyDescent="0.25">
      <c r="A20335" t="str">
        <f>HYPERLINK("https://www.773grp.com/globalSearch/54F350-BEA/page-1", "54F350-BEA")</f>
        <v>54F350-BEA</v>
      </c>
      <c r="B20335" s="3" t="s">
        <v>116</v>
      </c>
      <c r="C20335" s="6">
        <v>419</v>
      </c>
      <c r="D20335" s="7">
        <v>125.65</v>
      </c>
      <c r="E20335" t="s">
        <v>38</v>
      </c>
    </row>
    <row r="20336" spans="1:5" x14ac:dyDescent="0.25">
      <c r="A20336" t="str">
        <f>HYPERLINK("https://www.773grp.com/globalSearch/54LS641J/page-1", "54LS641J")</f>
        <v>54LS641J</v>
      </c>
      <c r="B20336" s="3" t="s">
        <v>116</v>
      </c>
      <c r="C20336" s="6">
        <v>249</v>
      </c>
      <c r="D20336" s="7">
        <v>125.94</v>
      </c>
    </row>
    <row r="20337" spans="1:5" x14ac:dyDescent="0.25">
      <c r="A20337" t="str">
        <f>HYPERLINK("https://www.773grp.com/globalSearch/54H78FM/page-1", "54H78FM")</f>
        <v>54H78FM</v>
      </c>
      <c r="B20337" s="3" t="s">
        <v>116</v>
      </c>
      <c r="C20337" s="6">
        <v>517</v>
      </c>
      <c r="D20337" s="7">
        <v>126.03</v>
      </c>
    </row>
    <row r="20338" spans="1:5" x14ac:dyDescent="0.25">
      <c r="A20338" t="str">
        <f>HYPERLINK("https://www.773grp.com/globalSearch/CDP1859CE/page-1", "CDP1859CE")</f>
        <v>CDP1859CE</v>
      </c>
      <c r="B20338" s="3" t="s">
        <v>116</v>
      </c>
      <c r="C20338" s="6">
        <v>1</v>
      </c>
      <c r="D20338" s="7">
        <v>126.03</v>
      </c>
    </row>
    <row r="20339" spans="1:5" x14ac:dyDescent="0.25">
      <c r="A20339" t="str">
        <f>HYPERLINK("https://www.773grp.com/globalSearch/MD2732A-25-B/page-1", "MD2732A-25-B")</f>
        <v>MD2732A-25-B</v>
      </c>
      <c r="B20339" s="3" t="s">
        <v>116</v>
      </c>
      <c r="C20339" s="6">
        <v>120</v>
      </c>
      <c r="D20339" s="7">
        <v>126.03</v>
      </c>
    </row>
    <row r="20340" spans="1:5" x14ac:dyDescent="0.25">
      <c r="A20340" t="str">
        <f>HYPERLINK("https://www.773grp.com/globalSearch/93L425ADM-B/page-1", "93L425ADM-B")</f>
        <v>93L425ADM-B</v>
      </c>
      <c r="B20340" s="3" t="s">
        <v>116</v>
      </c>
      <c r="C20340" s="6">
        <v>42</v>
      </c>
      <c r="D20340" s="7">
        <v>126.03</v>
      </c>
    </row>
    <row r="20341" spans="1:5" x14ac:dyDescent="0.25">
      <c r="A20341" t="str">
        <f>HYPERLINK("https://www.773grp.com/globalSearch/54H73W/page-1", "54H73W")</f>
        <v>54H73W</v>
      </c>
      <c r="B20341" s="3" t="s">
        <v>116</v>
      </c>
      <c r="C20341" s="6">
        <v>426</v>
      </c>
      <c r="D20341" s="7">
        <v>126.03</v>
      </c>
    </row>
    <row r="20342" spans="1:5" x14ac:dyDescent="0.25">
      <c r="A20342" t="str">
        <f>HYPERLINK("https://www.773grp.com/globalSearch/54LS122-BCA/page-1", "54LS122-BCA")</f>
        <v>54LS122-BCA</v>
      </c>
      <c r="B20342" s="3" t="s">
        <v>116</v>
      </c>
      <c r="C20342" s="6">
        <v>702</v>
      </c>
      <c r="D20342" s="7">
        <v>128.72999999999999</v>
      </c>
    </row>
    <row r="20343" spans="1:5" x14ac:dyDescent="0.25">
      <c r="A20343" t="str">
        <f>HYPERLINK("https://www.773grp.com/globalSearch/54LS54-BDA/page-1", "54LS54-BDA")</f>
        <v>54LS54-BDA</v>
      </c>
      <c r="B20343" s="3" t="s">
        <v>116</v>
      </c>
      <c r="C20343" s="6">
        <v>1055</v>
      </c>
      <c r="D20343" s="7">
        <v>129.13</v>
      </c>
    </row>
    <row r="20344" spans="1:5" x14ac:dyDescent="0.25">
      <c r="A20344" t="str">
        <f>HYPERLINK("https://www.773grp.com/globalSearch/LM107J-883/page-1", "LM107J-883")</f>
        <v>LM107J-883</v>
      </c>
      <c r="B20344" s="3" t="s">
        <v>116</v>
      </c>
      <c r="C20344" s="6">
        <v>989</v>
      </c>
      <c r="D20344" s="7">
        <v>129.38</v>
      </c>
      <c r="E20344" t="s">
        <v>10</v>
      </c>
    </row>
    <row r="20345" spans="1:5" x14ac:dyDescent="0.25">
      <c r="A20345" t="str">
        <f>HYPERLINK("https://www.773grp.com/globalSearch/R1293/page-1", "R1293")</f>
        <v>R1293</v>
      </c>
      <c r="B20345" s="3" t="s">
        <v>116</v>
      </c>
      <c r="C20345" s="6">
        <v>321</v>
      </c>
      <c r="D20345" s="7">
        <v>130.08000000000001</v>
      </c>
    </row>
    <row r="20346" spans="1:5" x14ac:dyDescent="0.25">
      <c r="A20346" t="str">
        <f>HYPERLINK("https://www.773grp.com/globalSearch/4013A-BCA/page-1", "4013A-BCA")</f>
        <v>4013A-BCA</v>
      </c>
      <c r="B20346" s="3" t="s">
        <v>116</v>
      </c>
      <c r="C20346" s="6">
        <v>551</v>
      </c>
      <c r="D20346" s="7">
        <v>131.05000000000001</v>
      </c>
    </row>
    <row r="20347" spans="1:5" x14ac:dyDescent="0.25">
      <c r="A20347" t="str">
        <f>HYPERLINK("https://www.773grp.com/globalSearch/4013B-BCA/page-1", "4013B-BCA")</f>
        <v>4013B-BCA</v>
      </c>
      <c r="B20347" s="3" t="s">
        <v>116</v>
      </c>
      <c r="C20347" s="6">
        <v>1104</v>
      </c>
      <c r="D20347" s="7">
        <v>131.05000000000001</v>
      </c>
    </row>
    <row r="20348" spans="1:5" x14ac:dyDescent="0.25">
      <c r="A20348" t="str">
        <f>HYPERLINK("https://www.773grp.com/globalSearch/54H11W-R/page-1", "54H11W-R")</f>
        <v>54H11W-R</v>
      </c>
      <c r="B20348" s="3" t="s">
        <v>116</v>
      </c>
      <c r="C20348" s="6">
        <v>409</v>
      </c>
      <c r="D20348" s="7">
        <v>131.06</v>
      </c>
    </row>
    <row r="20349" spans="1:5" x14ac:dyDescent="0.25">
      <c r="A20349" t="str">
        <f>HYPERLINK("https://www.773grp.com/globalSearch/27C010-55DM-B/page-1", "27C010-55DM-B")</f>
        <v>27C010-55DM-B</v>
      </c>
      <c r="B20349" s="3" t="s">
        <v>116</v>
      </c>
      <c r="C20349" s="6">
        <v>3069</v>
      </c>
      <c r="D20349" s="7">
        <v>131.06</v>
      </c>
    </row>
    <row r="20350" spans="1:5" x14ac:dyDescent="0.25">
      <c r="A20350" t="str">
        <f>HYPERLINK("https://www.773grp.com/globalSearch/27S29DM-B/page-1", "27S29DM-B")</f>
        <v>27S29DM-B</v>
      </c>
      <c r="B20350" s="3" t="s">
        <v>116</v>
      </c>
      <c r="C20350" s="6">
        <v>54</v>
      </c>
      <c r="D20350" s="7">
        <v>131.06</v>
      </c>
    </row>
    <row r="20351" spans="1:5" x14ac:dyDescent="0.25">
      <c r="A20351" t="str">
        <f>HYPERLINK("https://www.773grp.com/globalSearch/HA7-5221-B/page-1", "HA7-5221-B")</f>
        <v>HA7-5221-B</v>
      </c>
      <c r="B20351" s="3" t="s">
        <v>116</v>
      </c>
      <c r="C20351" s="6">
        <v>222</v>
      </c>
      <c r="D20351" s="7">
        <v>131.06</v>
      </c>
    </row>
    <row r="20352" spans="1:5" x14ac:dyDescent="0.25">
      <c r="A20352" t="str">
        <f>HYPERLINK("https://www.773grp.com/globalSearch/93S48FM-B/page-1", "93S48FM-B")</f>
        <v>93S48FM-B</v>
      </c>
      <c r="B20352" s="3" t="s">
        <v>116</v>
      </c>
      <c r="C20352" s="6">
        <v>330</v>
      </c>
      <c r="D20352" s="7">
        <v>131.06</v>
      </c>
    </row>
    <row r="20353" spans="1:5" x14ac:dyDescent="0.25">
      <c r="A20353" t="str">
        <f>HYPERLINK("https://www.773grp.com/globalSearch/54LS681J-B/page-1", "54LS681J-B")</f>
        <v>54LS681J-B</v>
      </c>
      <c r="B20353" s="3" t="s">
        <v>116</v>
      </c>
      <c r="C20353" s="6">
        <v>1019</v>
      </c>
      <c r="D20353" s="7">
        <v>131.06</v>
      </c>
    </row>
    <row r="20354" spans="1:5" x14ac:dyDescent="0.25">
      <c r="A20354" t="str">
        <f>HYPERLINK("https://www.773grp.com/globalSearch/29705ADM-B/page-1", "29705ADM-B")</f>
        <v>29705ADM-B</v>
      </c>
      <c r="B20354" s="3" t="s">
        <v>116</v>
      </c>
      <c r="C20354" s="6">
        <v>985</v>
      </c>
      <c r="D20354" s="7">
        <v>132.34</v>
      </c>
    </row>
    <row r="20355" spans="1:5" x14ac:dyDescent="0.25">
      <c r="A20355" t="str">
        <f>HYPERLINK("https://www.773grp.com/globalSearch/54ABT245-B2A/page-1", "54ABT245-B2A")</f>
        <v>54ABT245-B2A</v>
      </c>
      <c r="B20355" s="3" t="s">
        <v>116</v>
      </c>
      <c r="C20355" s="6">
        <v>1422</v>
      </c>
      <c r="D20355" s="7">
        <v>132.34</v>
      </c>
      <c r="E20355" t="s">
        <v>11</v>
      </c>
    </row>
    <row r="20356" spans="1:5" x14ac:dyDescent="0.25">
      <c r="A20356" t="str">
        <f>HYPERLINK("https://www.773grp.com/globalSearch/EP610LI-15/page-1", "EP610LI-15")</f>
        <v>EP610LI-15</v>
      </c>
      <c r="B20356" s="3" t="s">
        <v>116</v>
      </c>
      <c r="C20356" s="6">
        <v>200</v>
      </c>
      <c r="D20356" s="7">
        <v>133.08000000000001</v>
      </c>
    </row>
    <row r="20357" spans="1:5" x14ac:dyDescent="0.25">
      <c r="A20357" t="str">
        <f>HYPERLINK("https://www.773grp.com/globalSearch/EP610PI-30/page-1", "EP610PI-30")</f>
        <v>EP610PI-30</v>
      </c>
      <c r="B20357" s="3" t="s">
        <v>116</v>
      </c>
      <c r="C20357" s="6">
        <v>244</v>
      </c>
      <c r="D20357" s="7">
        <v>133.08000000000001</v>
      </c>
      <c r="E20357" t="s">
        <v>42</v>
      </c>
    </row>
    <row r="20358" spans="1:5" x14ac:dyDescent="0.25">
      <c r="A20358" t="str">
        <f>HYPERLINK("https://www.773grp.com/globalSearch/54F174-B2A/page-1", "54F174-B2A")</f>
        <v>54F174-B2A</v>
      </c>
      <c r="B20358" s="3" t="s">
        <v>116</v>
      </c>
      <c r="C20358" s="6">
        <v>315</v>
      </c>
      <c r="D20358" s="7">
        <v>133.21</v>
      </c>
      <c r="E20358" t="s">
        <v>31</v>
      </c>
    </row>
    <row r="20359" spans="1:5" x14ac:dyDescent="0.25">
      <c r="A20359" t="str">
        <f>HYPERLINK("https://www.773grp.com/globalSearch/DS1631J-8-B/page-1", "DS1631J-8-B")</f>
        <v>DS1631J-8-B</v>
      </c>
      <c r="B20359" s="3" t="s">
        <v>116</v>
      </c>
      <c r="C20359" s="6">
        <v>321</v>
      </c>
      <c r="D20359" s="7">
        <v>133.44999999999999</v>
      </c>
    </row>
    <row r="20360" spans="1:5" x14ac:dyDescent="0.25">
      <c r="A20360" t="str">
        <f>HYPERLINK("https://www.773grp.com/globalSearch/DS1632J-8-B/page-1", "DS1632J-8-B")</f>
        <v>DS1632J-8-B</v>
      </c>
      <c r="B20360" s="3" t="s">
        <v>116</v>
      </c>
      <c r="C20360" s="6">
        <v>1305</v>
      </c>
      <c r="D20360" s="7">
        <v>133.44999999999999</v>
      </c>
    </row>
    <row r="20361" spans="1:5" x14ac:dyDescent="0.25">
      <c r="A20361" t="str">
        <f>HYPERLINK("https://www.773grp.com/globalSearch/DS1633J-8-B/page-1", "DS1633J-8-B")</f>
        <v>DS1633J-8-B</v>
      </c>
      <c r="B20361" s="3" t="s">
        <v>116</v>
      </c>
      <c r="C20361" s="6">
        <v>81</v>
      </c>
      <c r="D20361" s="7">
        <v>133.44999999999999</v>
      </c>
    </row>
    <row r="20362" spans="1:5" x14ac:dyDescent="0.25">
      <c r="A20362" t="str">
        <f>HYPERLINK("https://www.773grp.com/globalSearch/R532109/page-1", "R532109")</f>
        <v>R532109</v>
      </c>
      <c r="B20362" s="3" t="s">
        <v>116</v>
      </c>
      <c r="C20362" s="6">
        <v>332</v>
      </c>
      <c r="D20362" s="7">
        <v>133.59</v>
      </c>
    </row>
    <row r="20363" spans="1:5" x14ac:dyDescent="0.25">
      <c r="A20363" t="str">
        <f>HYPERLINK("https://www.773grp.com/globalSearch/RC665TL-R/page-1", "RC665TL-R")</f>
        <v>RC665TL-R</v>
      </c>
      <c r="B20363" s="3" t="s">
        <v>116</v>
      </c>
      <c r="C20363" s="6">
        <v>179</v>
      </c>
      <c r="D20363" s="7">
        <v>134.76</v>
      </c>
    </row>
    <row r="20364" spans="1:5" x14ac:dyDescent="0.25">
      <c r="A20364" t="str">
        <f>HYPERLINK("https://www.773grp.com/globalSearch/MD8251A-BXA/page-1", "MD8251A-BXA")</f>
        <v>MD8251A-BXA</v>
      </c>
      <c r="B20364" s="3" t="s">
        <v>116</v>
      </c>
      <c r="C20364" s="6">
        <v>292</v>
      </c>
      <c r="D20364" s="7">
        <v>135.49</v>
      </c>
    </row>
    <row r="20365" spans="1:5" x14ac:dyDescent="0.25">
      <c r="A20365" t="str">
        <f>HYPERLINK("https://www.773grp.com/globalSearch/MD8253-BJA/page-1", "MD8253-BJA")</f>
        <v>MD8253-BJA</v>
      </c>
      <c r="B20365" s="3" t="s">
        <v>116</v>
      </c>
      <c r="C20365" s="6">
        <v>478</v>
      </c>
      <c r="D20365" s="7">
        <v>135.58000000000001</v>
      </c>
    </row>
    <row r="20366" spans="1:5" x14ac:dyDescent="0.25">
      <c r="A20366" t="str">
        <f>HYPERLINK("https://www.773grp.com/globalSearch/R55212S/page-1", "R55212S")</f>
        <v>R55212S</v>
      </c>
      <c r="B20366" s="3" t="s">
        <v>116</v>
      </c>
      <c r="C20366" s="6">
        <v>341</v>
      </c>
      <c r="D20366" s="7">
        <v>136.11000000000001</v>
      </c>
    </row>
    <row r="20367" spans="1:5" x14ac:dyDescent="0.25">
      <c r="A20367" t="str">
        <f>HYPERLINK("https://www.773grp.com/globalSearch/RC524L-R/page-1", "RC524L-R")</f>
        <v>RC524L-R</v>
      </c>
      <c r="B20367" s="3" t="s">
        <v>116</v>
      </c>
      <c r="C20367" s="6">
        <v>193</v>
      </c>
      <c r="D20367" s="7">
        <v>136.11000000000001</v>
      </c>
    </row>
    <row r="20368" spans="1:5" x14ac:dyDescent="0.25">
      <c r="A20368" t="str">
        <f>HYPERLINK("https://www.773grp.com/globalSearch/ML6430CH/page-1", "ML6430CH")</f>
        <v>ML6430CH</v>
      </c>
      <c r="B20368" s="3" t="s">
        <v>116</v>
      </c>
      <c r="C20368" s="6">
        <v>1181</v>
      </c>
      <c r="D20368" s="7">
        <v>136.11000000000001</v>
      </c>
      <c r="E20368" t="s">
        <v>19</v>
      </c>
    </row>
    <row r="20369" spans="1:5" x14ac:dyDescent="0.25">
      <c r="A20369" t="str">
        <f>HYPERLINK("https://www.773grp.com/globalSearch/ML6431CH/page-1", "ML6431CH")</f>
        <v>ML6431CH</v>
      </c>
      <c r="B20369" s="3" t="s">
        <v>116</v>
      </c>
      <c r="C20369" s="6">
        <v>3799</v>
      </c>
      <c r="D20369" s="7">
        <v>136.11000000000001</v>
      </c>
      <c r="E20369" t="s">
        <v>19</v>
      </c>
    </row>
    <row r="20370" spans="1:5" x14ac:dyDescent="0.25">
      <c r="A20370" t="str">
        <f>HYPERLINK("https://www.773grp.com/globalSearch/MC27256-35-BYA/page-1", "MC27256-35-BYA")</f>
        <v>MC27256-35-BYA</v>
      </c>
      <c r="B20370" s="3" t="s">
        <v>116</v>
      </c>
      <c r="C20370" s="6">
        <v>49</v>
      </c>
      <c r="D20370" s="7">
        <v>136.11000000000001</v>
      </c>
    </row>
    <row r="20371" spans="1:5" x14ac:dyDescent="0.25">
      <c r="A20371" t="str">
        <f>HYPERLINK("https://www.773grp.com/globalSearch/54184J-B/page-1", "54184J-B")</f>
        <v>54184J-B</v>
      </c>
      <c r="B20371" s="3" t="s">
        <v>116</v>
      </c>
      <c r="C20371" s="6">
        <v>280</v>
      </c>
      <c r="D20371" s="7">
        <v>138.47999999999999</v>
      </c>
    </row>
    <row r="20372" spans="1:5" x14ac:dyDescent="0.25">
      <c r="A20372" t="str">
        <f>HYPERLINK("https://www.773grp.com/globalSearch/R922101/page-1", "R922101")</f>
        <v>R922101</v>
      </c>
      <c r="B20372" s="3" t="s">
        <v>116</v>
      </c>
      <c r="C20372" s="6">
        <v>50</v>
      </c>
      <c r="D20372" s="7">
        <v>138.63</v>
      </c>
    </row>
    <row r="20373" spans="1:5" x14ac:dyDescent="0.25">
      <c r="A20373" t="str">
        <f>HYPERLINK("https://www.773grp.com/globalSearch/DS0026H-883/page-1", "DS0026H-883")</f>
        <v>DS0026H-883</v>
      </c>
      <c r="B20373" s="3" t="s">
        <v>116</v>
      </c>
      <c r="C20373" s="6">
        <v>202</v>
      </c>
      <c r="D20373" s="7">
        <v>138.63</v>
      </c>
      <c r="E20373" t="s">
        <v>30</v>
      </c>
    </row>
    <row r="20374" spans="1:5" x14ac:dyDescent="0.25">
      <c r="A20374" t="str">
        <f>HYPERLINK("https://www.773grp.com/globalSearch/MM54C221J-883/page-1", "MM54C221J-883")</f>
        <v>MM54C221J-883</v>
      </c>
      <c r="B20374" s="3" t="s">
        <v>116</v>
      </c>
      <c r="C20374" s="6">
        <v>441</v>
      </c>
      <c r="D20374" s="7">
        <v>138.63</v>
      </c>
      <c r="E20374" t="s">
        <v>44</v>
      </c>
    </row>
    <row r="20375" spans="1:5" x14ac:dyDescent="0.25">
      <c r="A20375" t="str">
        <f>HYPERLINK("https://www.773grp.com/globalSearch/54LS610JD-B/page-1", "54LS610JD-B")</f>
        <v>54LS610JD-B</v>
      </c>
      <c r="B20375" s="3" t="s">
        <v>116</v>
      </c>
      <c r="C20375" s="6">
        <v>392</v>
      </c>
      <c r="D20375" s="7">
        <v>138.63</v>
      </c>
    </row>
    <row r="20376" spans="1:5" x14ac:dyDescent="0.25">
      <c r="A20376" t="str">
        <f>HYPERLINK("https://www.773grp.com/globalSearch/55450W-C/page-1", "55450W-C")</f>
        <v>55450W-C</v>
      </c>
      <c r="B20376" s="3" t="s">
        <v>116</v>
      </c>
      <c r="C20376" s="6">
        <v>321</v>
      </c>
      <c r="D20376" s="7">
        <v>139.28</v>
      </c>
    </row>
    <row r="20377" spans="1:5" x14ac:dyDescent="0.25">
      <c r="A20377" t="str">
        <f>HYPERLINK("https://www.773grp.com/globalSearch/TD82510/page-1", "TD82510")</f>
        <v>TD82510</v>
      </c>
      <c r="B20377" s="3" t="s">
        <v>116</v>
      </c>
      <c r="C20377" s="6">
        <v>245</v>
      </c>
      <c r="D20377" s="7">
        <v>139.28</v>
      </c>
    </row>
    <row r="20378" spans="1:5" x14ac:dyDescent="0.25">
      <c r="A20378" t="str">
        <f>HYPERLINK("https://www.773grp.com/globalSearch/TD82510  UF/page-1", "TD82510  UF")</f>
        <v>TD82510  UF</v>
      </c>
      <c r="B20378" s="3" t="s">
        <v>116</v>
      </c>
      <c r="C20378" s="6">
        <v>1129</v>
      </c>
      <c r="D20378" s="7">
        <v>139.28</v>
      </c>
    </row>
    <row r="20379" spans="1:5" x14ac:dyDescent="0.25">
      <c r="A20379" t="str">
        <f>HYPERLINK("https://www.773grp.com/globalSearch/LM110-BGA/page-1", "LM110-BGA")</f>
        <v>LM110-BGA</v>
      </c>
      <c r="B20379" s="3" t="s">
        <v>116</v>
      </c>
      <c r="C20379" s="6">
        <v>389</v>
      </c>
      <c r="D20379" s="7">
        <v>140.01</v>
      </c>
    </row>
    <row r="20380" spans="1:5" x14ac:dyDescent="0.25">
      <c r="A20380" t="str">
        <f>HYPERLINK("https://www.773grp.com/globalSearch/LM710CH/page-1", "LM710CH")</f>
        <v>LM710CH</v>
      </c>
      <c r="B20380" s="3" t="s">
        <v>116</v>
      </c>
      <c r="C20380" s="6">
        <v>1468</v>
      </c>
      <c r="D20380" s="7">
        <v>140.55000000000001</v>
      </c>
      <c r="E20380" t="s">
        <v>6</v>
      </c>
    </row>
    <row r="20381" spans="1:5" x14ac:dyDescent="0.25">
      <c r="A20381" t="str">
        <f>HYPERLINK("https://www.773grp.com/globalSearch/96L02FM-B/page-1", "96L02FM-B")</f>
        <v>96L02FM-B</v>
      </c>
      <c r="B20381" s="3" t="s">
        <v>116</v>
      </c>
      <c r="C20381" s="6">
        <v>516</v>
      </c>
      <c r="D20381" s="7">
        <v>141.30000000000001</v>
      </c>
    </row>
    <row r="20382" spans="1:5" x14ac:dyDescent="0.25">
      <c r="A20382" t="str">
        <f>HYPERLINK("https://www.773grp.com/globalSearch/5041-BEA/page-1", "5041-BEA")</f>
        <v>5041-BEA</v>
      </c>
      <c r="B20382" s="3" t="s">
        <v>116</v>
      </c>
      <c r="C20382" s="6">
        <v>1177</v>
      </c>
      <c r="D20382" s="7">
        <v>141.66</v>
      </c>
    </row>
    <row r="20383" spans="1:5" x14ac:dyDescent="0.25">
      <c r="A20383" t="str">
        <f>HYPERLINK("https://www.773grp.com/globalSearch/5043-BEA/page-1", "5043-BEA")</f>
        <v>5043-BEA</v>
      </c>
      <c r="B20383" s="3" t="s">
        <v>116</v>
      </c>
      <c r="C20383" s="6">
        <v>368</v>
      </c>
      <c r="D20383" s="7">
        <v>141.66</v>
      </c>
    </row>
    <row r="20384" spans="1:5" x14ac:dyDescent="0.25">
      <c r="A20384" t="str">
        <f>HYPERLINK("https://www.773grp.com/globalSearch/54LS356J-B/page-1", "54LS356J-B")</f>
        <v>54LS356J-B</v>
      </c>
      <c r="B20384" s="3" t="s">
        <v>116</v>
      </c>
      <c r="C20384" s="6">
        <v>111</v>
      </c>
      <c r="D20384" s="7">
        <v>142.33000000000001</v>
      </c>
    </row>
    <row r="20385" spans="1:5" x14ac:dyDescent="0.25">
      <c r="A20385" t="str">
        <f>HYPERLINK("https://www.773grp.com/globalSearch/MC27256-25-BYA/page-1", "MC27256-25-BYA")</f>
        <v>MC27256-25-BYA</v>
      </c>
      <c r="B20385" s="3" t="s">
        <v>116</v>
      </c>
      <c r="C20385" s="6">
        <v>20</v>
      </c>
      <c r="D20385" s="7">
        <v>142.94</v>
      </c>
    </row>
    <row r="20386" spans="1:5" x14ac:dyDescent="0.25">
      <c r="A20386" t="str">
        <f>HYPERLINK("https://www.773grp.com/globalSearch/5413J-R/page-1", "5413J-R")</f>
        <v>5413J-R</v>
      </c>
      <c r="B20386" s="3" t="s">
        <v>116</v>
      </c>
      <c r="C20386" s="6">
        <v>169</v>
      </c>
      <c r="D20386" s="7">
        <v>143.11000000000001</v>
      </c>
    </row>
    <row r="20387" spans="1:5" x14ac:dyDescent="0.25">
      <c r="A20387" t="str">
        <f>HYPERLINK("https://www.773grp.com/globalSearch/4257-12JL/page-1", "4257-12JL")</f>
        <v>4257-12JL</v>
      </c>
      <c r="B20387" s="3" t="s">
        <v>116</v>
      </c>
      <c r="C20387" s="6">
        <v>181</v>
      </c>
      <c r="D20387" s="7">
        <v>143.54</v>
      </c>
    </row>
    <row r="20388" spans="1:5" x14ac:dyDescent="0.25">
      <c r="A20388" t="str">
        <f>HYPERLINK("https://www.773grp.com/globalSearch/2910ADM/page-1", "2910ADM")</f>
        <v>2910ADM</v>
      </c>
      <c r="B20388" s="3" t="s">
        <v>116</v>
      </c>
      <c r="C20388" s="6">
        <v>77</v>
      </c>
      <c r="D20388" s="7">
        <v>143.68</v>
      </c>
    </row>
    <row r="20389" spans="1:5" x14ac:dyDescent="0.25">
      <c r="A20389" t="str">
        <f>HYPERLINK("https://www.773grp.com/globalSearch/MD27C256-25-B/page-1", "MD27C256-25-B")</f>
        <v>MD27C256-25-B</v>
      </c>
      <c r="B20389" s="3" t="s">
        <v>116</v>
      </c>
      <c r="C20389" s="6">
        <v>395</v>
      </c>
      <c r="D20389" s="7">
        <v>143.68</v>
      </c>
      <c r="E20389" t="s">
        <v>52</v>
      </c>
    </row>
    <row r="20390" spans="1:5" x14ac:dyDescent="0.25">
      <c r="A20390" t="str">
        <f>HYPERLINK("https://www.773grp.com/globalSearch/MC54F538J-B/page-1", "MC54F538J-B")</f>
        <v>MC54F538J-B</v>
      </c>
      <c r="B20390" s="3" t="s">
        <v>116</v>
      </c>
      <c r="C20390" s="6">
        <v>668</v>
      </c>
      <c r="D20390" s="7">
        <v>145.46</v>
      </c>
    </row>
    <row r="20391" spans="1:5" x14ac:dyDescent="0.25">
      <c r="A20391" t="str">
        <f>HYPERLINK("https://www.773grp.com/globalSearch/DM54LS168J-B/page-1", "DM54LS168J-B")</f>
        <v>DM54LS168J-B</v>
      </c>
      <c r="B20391" s="3" t="s">
        <v>116</v>
      </c>
      <c r="C20391" s="6">
        <v>189</v>
      </c>
      <c r="D20391" s="7">
        <v>145.81</v>
      </c>
    </row>
    <row r="20392" spans="1:5" x14ac:dyDescent="0.25">
      <c r="A20392" t="str">
        <f>HYPERLINK("https://www.773grp.com/globalSearch/UA741MJ-B/page-1", "UA741MJ-B")</f>
        <v>UA741MJ-B</v>
      </c>
      <c r="B20392" s="3" t="s">
        <v>116</v>
      </c>
      <c r="C20392" s="6">
        <v>1940</v>
      </c>
      <c r="D20392" s="7">
        <v>145.81</v>
      </c>
    </row>
    <row r="20393" spans="1:5" x14ac:dyDescent="0.25">
      <c r="A20393" t="str">
        <f>HYPERLINK("https://www.773grp.com/globalSearch/29825ADM-B/page-1", "29825ADM-B")</f>
        <v>29825ADM-B</v>
      </c>
      <c r="B20393" s="3" t="s">
        <v>116</v>
      </c>
      <c r="C20393" s="6">
        <v>2289</v>
      </c>
      <c r="D20393" s="7">
        <v>145.94</v>
      </c>
    </row>
    <row r="20394" spans="1:5" x14ac:dyDescent="0.25">
      <c r="A20394" t="str">
        <f>HYPERLINK("https://www.773grp.com/globalSearch/54L164DM-B/page-1", "54L164DM-B")</f>
        <v>54L164DM-B</v>
      </c>
      <c r="B20394" s="3" t="s">
        <v>116</v>
      </c>
      <c r="C20394" s="6">
        <v>555</v>
      </c>
      <c r="D20394" s="7">
        <v>146.19</v>
      </c>
    </row>
    <row r="20395" spans="1:5" x14ac:dyDescent="0.25">
      <c r="A20395" t="str">
        <f>HYPERLINK("https://www.773grp.com/globalSearch/54L51FM-B/page-1", "54L51FM-B")</f>
        <v>54L51FM-B</v>
      </c>
      <c r="B20395" s="3" t="s">
        <v>116</v>
      </c>
      <c r="C20395" s="6">
        <v>90</v>
      </c>
      <c r="D20395" s="7">
        <v>146.19</v>
      </c>
    </row>
    <row r="20396" spans="1:5" x14ac:dyDescent="0.25">
      <c r="A20396" t="str">
        <f>HYPERLINK("https://www.773grp.com/globalSearch/9319DM-B/page-1", "9319DM-B")</f>
        <v>9319DM-B</v>
      </c>
      <c r="B20396" s="3" t="s">
        <v>116</v>
      </c>
      <c r="C20396" s="6">
        <v>235</v>
      </c>
      <c r="D20396" s="7">
        <v>146.19</v>
      </c>
    </row>
    <row r="20397" spans="1:5" x14ac:dyDescent="0.25">
      <c r="A20397" t="str">
        <f>HYPERLINK("https://www.773grp.com/globalSearch/9S41DM-B/page-1", "9S41DM-B")</f>
        <v>9S41DM-B</v>
      </c>
      <c r="B20397" s="3" t="s">
        <v>116</v>
      </c>
      <c r="C20397" s="6">
        <v>154</v>
      </c>
      <c r="D20397" s="7">
        <v>146.19</v>
      </c>
    </row>
    <row r="20398" spans="1:5" x14ac:dyDescent="0.25">
      <c r="A20398" t="str">
        <f>HYPERLINK("https://www.773grp.com/globalSearch/9S42DM/page-1", "9S42DM")</f>
        <v>9S42DM</v>
      </c>
      <c r="B20398" s="3" t="s">
        <v>116</v>
      </c>
      <c r="C20398" s="6">
        <v>1115</v>
      </c>
      <c r="D20398" s="7">
        <v>146.19</v>
      </c>
    </row>
    <row r="20399" spans="1:5" x14ac:dyDescent="0.25">
      <c r="A20399" t="str">
        <f>HYPERLINK("https://www.773grp.com/globalSearch/R255106/page-1", "R255106")</f>
        <v>R255106</v>
      </c>
      <c r="B20399" s="3" t="s">
        <v>116</v>
      </c>
      <c r="C20399" s="6">
        <v>66</v>
      </c>
      <c r="D20399" s="7">
        <v>146.19</v>
      </c>
    </row>
    <row r="20400" spans="1:5" x14ac:dyDescent="0.25">
      <c r="A20400" t="str">
        <f>HYPERLINK("https://www.773grp.com/globalSearch/RC1904F/page-1", "RC1904F")</f>
        <v>RC1904F</v>
      </c>
      <c r="B20400" s="3" t="s">
        <v>116</v>
      </c>
      <c r="C20400" s="6">
        <v>238</v>
      </c>
      <c r="D20400" s="7">
        <v>146.19</v>
      </c>
    </row>
    <row r="20401" spans="1:5" x14ac:dyDescent="0.25">
      <c r="A20401" t="str">
        <f>HYPERLINK("https://www.773grp.com/globalSearch/RC1907F/page-1", "RC1907F")</f>
        <v>RC1907F</v>
      </c>
      <c r="B20401" s="3" t="s">
        <v>116</v>
      </c>
      <c r="C20401" s="6">
        <v>621</v>
      </c>
      <c r="D20401" s="7">
        <v>146.19</v>
      </c>
    </row>
    <row r="20402" spans="1:5" x14ac:dyDescent="0.25">
      <c r="A20402" t="str">
        <f>HYPERLINK("https://www.773grp.com/globalSearch/26LS33LM-B/page-1", "26LS33LM-B")</f>
        <v>26LS33LM-B</v>
      </c>
      <c r="B20402" s="3" t="s">
        <v>116</v>
      </c>
      <c r="C20402" s="6">
        <v>187</v>
      </c>
      <c r="D20402" s="7">
        <v>146.19</v>
      </c>
    </row>
    <row r="20403" spans="1:5" x14ac:dyDescent="0.25">
      <c r="A20403" t="str">
        <f>HYPERLINK("https://www.773grp.com/globalSearch/26S02-BFA/page-1", "26S02-BFA")</f>
        <v>26S02-BFA</v>
      </c>
      <c r="B20403" s="3" t="s">
        <v>116</v>
      </c>
      <c r="C20403" s="6">
        <v>914</v>
      </c>
      <c r="D20403" s="7">
        <v>146.19</v>
      </c>
    </row>
    <row r="20404" spans="1:5" x14ac:dyDescent="0.25">
      <c r="A20404" t="str">
        <f>HYPERLINK("https://www.773grp.com/globalSearch/26S02FM-B/page-1", "26S02FM-B")</f>
        <v>26S02FM-B</v>
      </c>
      <c r="B20404" s="3" t="s">
        <v>116</v>
      </c>
      <c r="C20404" s="6">
        <v>48</v>
      </c>
      <c r="D20404" s="7">
        <v>146.19</v>
      </c>
    </row>
    <row r="20405" spans="1:5" x14ac:dyDescent="0.25">
      <c r="A20405" t="str">
        <f>HYPERLINK("https://www.773grp.com/globalSearch/29C841DM-B/page-1", "29C841DM-B")</f>
        <v>29C841DM-B</v>
      </c>
      <c r="B20405" s="3" t="s">
        <v>116</v>
      </c>
      <c r="C20405" s="6">
        <v>705</v>
      </c>
      <c r="D20405" s="7">
        <v>146.19</v>
      </c>
    </row>
    <row r="20406" spans="1:5" x14ac:dyDescent="0.25">
      <c r="A20406" t="str">
        <f>HYPERLINK("https://www.773grp.com/globalSearch/MD8254-B UT/page-1", "MD8254-B UT")</f>
        <v>MD8254-B UT</v>
      </c>
      <c r="B20406" s="3" t="s">
        <v>116</v>
      </c>
      <c r="C20406" s="6">
        <v>48</v>
      </c>
      <c r="D20406" s="7">
        <v>146.19</v>
      </c>
    </row>
    <row r="20407" spans="1:5" x14ac:dyDescent="0.25">
      <c r="A20407" t="str">
        <f>HYPERLINK("https://www.773grp.com/globalSearch/MD8255A-BQA/page-1", "MD8255A-BQA")</f>
        <v>MD8255A-BQA</v>
      </c>
      <c r="B20407" s="3" t="s">
        <v>116</v>
      </c>
      <c r="C20407" s="6">
        <v>120</v>
      </c>
      <c r="D20407" s="7">
        <v>146.19</v>
      </c>
    </row>
    <row r="20408" spans="1:5" x14ac:dyDescent="0.25">
      <c r="A20408" t="str">
        <f>HYPERLINK("https://www.773grp.com/globalSearch/MR8255A-R/page-1", "MR8255A-R")</f>
        <v>MR8255A-R</v>
      </c>
      <c r="B20408" s="3" t="s">
        <v>116</v>
      </c>
      <c r="C20408" s="6">
        <v>520</v>
      </c>
      <c r="D20408" s="7">
        <v>146.19</v>
      </c>
    </row>
    <row r="20409" spans="1:5" x14ac:dyDescent="0.25">
      <c r="A20409" t="str">
        <f>HYPERLINK("https://www.773grp.com/globalSearch/93L422ADM-B/page-1", "93L422ADM-B")</f>
        <v>93L422ADM-B</v>
      </c>
      <c r="B20409" s="3" t="s">
        <v>116</v>
      </c>
      <c r="C20409" s="6">
        <v>50</v>
      </c>
      <c r="D20409" s="7">
        <v>146.19</v>
      </c>
    </row>
    <row r="20410" spans="1:5" x14ac:dyDescent="0.25">
      <c r="A20410" t="str">
        <f>HYPERLINK("https://www.773grp.com/globalSearch/54ALS162BJ-B/page-1", "54ALS162BJ-B")</f>
        <v>54ALS162BJ-B</v>
      </c>
      <c r="B20410" s="3" t="s">
        <v>116</v>
      </c>
      <c r="C20410" s="6">
        <v>93</v>
      </c>
      <c r="D20410" s="7">
        <v>146.19</v>
      </c>
    </row>
    <row r="20411" spans="1:5" x14ac:dyDescent="0.25">
      <c r="A20411" t="str">
        <f>HYPERLINK("https://www.773grp.com/globalSearch/54L164DM-B/page-1", "54L164DM-B")</f>
        <v>54L164DM-B</v>
      </c>
      <c r="B20411" s="3" t="s">
        <v>116</v>
      </c>
      <c r="C20411" s="6">
        <v>63</v>
      </c>
      <c r="D20411" s="7">
        <v>146.19</v>
      </c>
    </row>
    <row r="20412" spans="1:5" x14ac:dyDescent="0.25">
      <c r="A20412" t="str">
        <f>HYPERLINK("https://www.773grp.com/globalSearch/R754102/page-1", "R754102")</f>
        <v>R754102</v>
      </c>
      <c r="B20412" s="3" t="s">
        <v>116</v>
      </c>
      <c r="C20412" s="6">
        <v>5</v>
      </c>
      <c r="D20412" s="7">
        <v>146.19</v>
      </c>
    </row>
    <row r="20413" spans="1:5" x14ac:dyDescent="0.25">
      <c r="A20413" t="str">
        <f>HYPERLINK("https://www.773grp.com/globalSearch/EP910LC-40-G/page-1", "EP910LC-40-G")</f>
        <v>EP910LC-40-G</v>
      </c>
      <c r="B20413" s="3" t="s">
        <v>116</v>
      </c>
      <c r="C20413" s="6">
        <v>98</v>
      </c>
      <c r="D20413" s="7">
        <v>146.33000000000001</v>
      </c>
    </row>
    <row r="20414" spans="1:5" x14ac:dyDescent="0.25">
      <c r="A20414" t="str">
        <f>HYPERLINK("https://www.773grp.com/globalSearch/DS1631J-8-883/page-1", "DS1631J-8-883")</f>
        <v>DS1631J-8-883</v>
      </c>
      <c r="B20414" s="3" t="s">
        <v>116</v>
      </c>
      <c r="C20414" s="6">
        <v>1009</v>
      </c>
      <c r="D20414" s="7">
        <v>146.76</v>
      </c>
      <c r="E20414" t="s">
        <v>8</v>
      </c>
    </row>
    <row r="20415" spans="1:5" x14ac:dyDescent="0.25">
      <c r="A20415" t="str">
        <f>HYPERLINK("https://www.773grp.com/globalSearch/54HC4060E/page-1", "54HC4060E")</f>
        <v>54HC4060E</v>
      </c>
      <c r="B20415" s="3" t="s">
        <v>116</v>
      </c>
      <c r="C20415" s="6">
        <v>29</v>
      </c>
      <c r="D20415" s="7">
        <v>147.33000000000001</v>
      </c>
    </row>
    <row r="20416" spans="1:5" x14ac:dyDescent="0.25">
      <c r="A20416" t="str">
        <f>HYPERLINK("https://www.773grp.com/globalSearch/5414-BCA/page-1", "5414-BCA")</f>
        <v>5414-BCA</v>
      </c>
      <c r="B20416" s="3" t="s">
        <v>116</v>
      </c>
      <c r="C20416" s="6">
        <v>815</v>
      </c>
      <c r="D20416" s="7">
        <v>148.34</v>
      </c>
    </row>
    <row r="20417" spans="1:5" x14ac:dyDescent="0.25">
      <c r="A20417" t="str">
        <f>HYPERLINK("https://www.773grp.com/globalSearch/54L74-BCA/page-1", "54L74-BCA")</f>
        <v>54L74-BCA</v>
      </c>
      <c r="B20417" s="3" t="s">
        <v>116</v>
      </c>
      <c r="C20417" s="6">
        <v>488</v>
      </c>
      <c r="D20417" s="7">
        <v>148.34</v>
      </c>
    </row>
    <row r="20418" spans="1:5" x14ac:dyDescent="0.25">
      <c r="A20418" t="str">
        <f>HYPERLINK("https://www.773grp.com/globalSearch/MD2716-45-B/page-1", "MD2716-45-B")</f>
        <v>MD2716-45-B</v>
      </c>
      <c r="B20418" s="3" t="s">
        <v>116</v>
      </c>
      <c r="C20418" s="6">
        <v>1371</v>
      </c>
      <c r="D20418" s="7">
        <v>149.09</v>
      </c>
    </row>
    <row r="20419" spans="1:5" x14ac:dyDescent="0.25">
      <c r="A20419" t="str">
        <f>HYPERLINK("https://www.773grp.com/globalSearch/27LS07DM-B/page-1", "27LS07DM-B")</f>
        <v>27LS07DM-B</v>
      </c>
      <c r="B20419" s="3" t="s">
        <v>116</v>
      </c>
      <c r="C20419" s="6">
        <v>780</v>
      </c>
      <c r="D20419" s="7">
        <v>150.53</v>
      </c>
    </row>
    <row r="20420" spans="1:5" x14ac:dyDescent="0.25">
      <c r="A20420" t="str">
        <f>HYPERLINK("https://www.773grp.com/globalSearch/LM143H-883/page-1", "LM143H-883")</f>
        <v>LM143H-883</v>
      </c>
      <c r="B20420" s="3" t="s">
        <v>116</v>
      </c>
      <c r="C20420" s="6">
        <v>507</v>
      </c>
      <c r="D20420" s="7">
        <v>150.66</v>
      </c>
      <c r="E20420" t="s">
        <v>10</v>
      </c>
    </row>
    <row r="20421" spans="1:5" x14ac:dyDescent="0.25">
      <c r="A20421" t="str">
        <f>HYPERLINK("https://www.773grp.com/globalSearch/54C93DM-B/page-1", "54C93DM-B")</f>
        <v>54C93DM-B</v>
      </c>
      <c r="B20421" s="3" t="s">
        <v>116</v>
      </c>
      <c r="C20421" s="6">
        <v>305</v>
      </c>
      <c r="D20421" s="7">
        <v>151.24</v>
      </c>
    </row>
    <row r="20422" spans="1:5" x14ac:dyDescent="0.25">
      <c r="A20422" t="str">
        <f>HYPERLINK("https://www.773grp.com/globalSearch/RC14531BF-B/page-1", "RC14531BF-B")</f>
        <v>RC14531BF-B</v>
      </c>
      <c r="B20422" s="3" t="s">
        <v>116</v>
      </c>
      <c r="C20422" s="6">
        <v>2</v>
      </c>
      <c r="D20422" s="7">
        <v>151.24</v>
      </c>
    </row>
    <row r="20423" spans="1:5" x14ac:dyDescent="0.25">
      <c r="A20423" t="str">
        <f>HYPERLINK("https://www.773grp.com/globalSearch/RG240CK3RAY/page-1", "RG240CK3RAY")</f>
        <v>RG240CK3RAY</v>
      </c>
      <c r="B20423" s="3" t="s">
        <v>116</v>
      </c>
      <c r="C20423" s="6">
        <v>2</v>
      </c>
      <c r="D20423" s="7">
        <v>151.24</v>
      </c>
    </row>
    <row r="20424" spans="1:5" x14ac:dyDescent="0.25">
      <c r="A20424" t="str">
        <f>HYPERLINK("https://www.773grp.com/globalSearch/27C512-55DM-B/page-1", "27C512-55DM-B")</f>
        <v>27C512-55DM-B</v>
      </c>
      <c r="B20424" s="3" t="s">
        <v>116</v>
      </c>
      <c r="C20424" s="6">
        <v>2865</v>
      </c>
      <c r="D20424" s="7">
        <v>151.24</v>
      </c>
    </row>
    <row r="20425" spans="1:5" x14ac:dyDescent="0.25">
      <c r="A20425" t="str">
        <f>HYPERLINK("https://www.773grp.com/globalSearch/LM110J-8-883/page-1", "LM110J-8-883")</f>
        <v>LM110J-8-883</v>
      </c>
      <c r="B20425" s="3" t="s">
        <v>116</v>
      </c>
      <c r="C20425" s="6">
        <v>1075</v>
      </c>
      <c r="D20425" s="7">
        <v>151.24</v>
      </c>
      <c r="E20425" t="s">
        <v>41</v>
      </c>
    </row>
    <row r="20426" spans="1:5" x14ac:dyDescent="0.25">
      <c r="A20426" t="str">
        <f>HYPERLINK("https://www.773grp.com/globalSearch/TN87C51FA/page-1", "TN87C51FA")</f>
        <v>TN87C51FA</v>
      </c>
      <c r="B20426" s="3" t="s">
        <v>116</v>
      </c>
      <c r="C20426" s="6">
        <v>1965</v>
      </c>
      <c r="D20426" s="7">
        <v>151.38</v>
      </c>
      <c r="E20426" t="s">
        <v>43</v>
      </c>
    </row>
    <row r="20427" spans="1:5" x14ac:dyDescent="0.25">
      <c r="A20427" t="str">
        <f>HYPERLINK("https://www.773grp.com/globalSearch/R552117/page-1", "R552117")</f>
        <v>R552117</v>
      </c>
      <c r="B20427" s="3" t="s">
        <v>116</v>
      </c>
      <c r="C20427" s="6">
        <v>147</v>
      </c>
      <c r="D20427" s="7">
        <v>152.19999999999999</v>
      </c>
    </row>
    <row r="20428" spans="1:5" x14ac:dyDescent="0.25">
      <c r="A20428" t="str">
        <f>HYPERLINK("https://www.773grp.com/globalSearch/R552117  LT/page-1", "R552117  LT")</f>
        <v>R552117  LT</v>
      </c>
      <c r="B20428" s="3" t="s">
        <v>116</v>
      </c>
      <c r="C20428" s="6">
        <v>45</v>
      </c>
      <c r="D20428" s="7">
        <v>152.19999999999999</v>
      </c>
    </row>
    <row r="20429" spans="1:5" x14ac:dyDescent="0.25">
      <c r="A20429" t="str">
        <f>HYPERLINK("https://www.773grp.com/globalSearch/R552117/page-1", "R552117")</f>
        <v>R552117</v>
      </c>
      <c r="B20429" s="3" t="s">
        <v>116</v>
      </c>
      <c r="C20429" s="6">
        <v>18</v>
      </c>
      <c r="D20429" s="7">
        <v>152.19999999999999</v>
      </c>
    </row>
    <row r="20430" spans="1:5" x14ac:dyDescent="0.25">
      <c r="A20430" t="str">
        <f>HYPERLINK("https://www.773grp.com/globalSearch/MD8080A-C/page-1", "MD8080A-C")</f>
        <v>MD8080A-C</v>
      </c>
      <c r="B20430" s="3" t="s">
        <v>116</v>
      </c>
      <c r="C20430" s="6">
        <v>1129</v>
      </c>
      <c r="D20430" s="7">
        <v>154.28</v>
      </c>
    </row>
    <row r="20431" spans="1:5" x14ac:dyDescent="0.25">
      <c r="A20431" t="str">
        <f>HYPERLINK("https://www.773grp.com/globalSearch/LM7709AJ-883/page-1", "LM7709AJ-883")</f>
        <v>LM7709AJ-883</v>
      </c>
      <c r="B20431" s="3" t="s">
        <v>116</v>
      </c>
      <c r="C20431" s="6">
        <v>1205</v>
      </c>
      <c r="D20431" s="7">
        <v>155.49</v>
      </c>
    </row>
    <row r="20432" spans="1:5" x14ac:dyDescent="0.25">
      <c r="A20432" t="str">
        <f>HYPERLINK("https://www.773grp.com/globalSearch/MC2764A-35-B UF/page-1", "MC2764A-35-B UF")</f>
        <v>MC2764A-35-B UF</v>
      </c>
      <c r="B20432" s="3" t="s">
        <v>116</v>
      </c>
      <c r="C20432" s="6">
        <v>37</v>
      </c>
      <c r="D20432" s="7">
        <v>156.08000000000001</v>
      </c>
    </row>
    <row r="20433" spans="1:5" x14ac:dyDescent="0.25">
      <c r="A20433" t="str">
        <f>HYPERLINK("https://www.773grp.com/globalSearch/5482J/page-1", "5482J")</f>
        <v>5482J</v>
      </c>
      <c r="B20433" s="3" t="s">
        <v>116</v>
      </c>
      <c r="C20433" s="6">
        <v>272</v>
      </c>
      <c r="D20433" s="7">
        <v>156.28</v>
      </c>
    </row>
    <row r="20434" spans="1:5" x14ac:dyDescent="0.25">
      <c r="A20434" t="str">
        <f>HYPERLINK("https://www.773grp.com/globalSearch/MD27C256-17-B/page-1", "MD27C256-17-B")</f>
        <v>MD27C256-17-B</v>
      </c>
      <c r="B20434" s="3" t="s">
        <v>116</v>
      </c>
      <c r="C20434" s="6">
        <v>171</v>
      </c>
      <c r="D20434" s="7">
        <v>156.28</v>
      </c>
    </row>
    <row r="20435" spans="1:5" x14ac:dyDescent="0.25">
      <c r="A20435" t="str">
        <f>HYPERLINK("https://www.773grp.com/globalSearch/93422AFM-B/page-1", "93422AFM-B")</f>
        <v>93422AFM-B</v>
      </c>
      <c r="B20435" s="3" t="s">
        <v>116</v>
      </c>
      <c r="C20435" s="6">
        <v>102</v>
      </c>
      <c r="D20435" s="7">
        <v>156.28</v>
      </c>
    </row>
    <row r="20436" spans="1:5" x14ac:dyDescent="0.25">
      <c r="A20436" t="str">
        <f>HYPERLINK("https://www.773grp.com/globalSearch/54182J-B/page-1", "54182J-B")</f>
        <v>54182J-B</v>
      </c>
      <c r="B20436" s="3" t="s">
        <v>116</v>
      </c>
      <c r="C20436" s="6">
        <v>490</v>
      </c>
      <c r="D20436" s="7">
        <v>156.28</v>
      </c>
    </row>
    <row r="20437" spans="1:5" x14ac:dyDescent="0.25">
      <c r="A20437" t="str">
        <f>HYPERLINK("https://www.773grp.com/globalSearch/2925DM-B/page-1", "2925DM-B")</f>
        <v>2925DM-B</v>
      </c>
      <c r="B20437" s="3" t="s">
        <v>116</v>
      </c>
      <c r="C20437" s="6">
        <v>1171</v>
      </c>
      <c r="D20437" s="7">
        <v>157.11000000000001</v>
      </c>
    </row>
    <row r="20438" spans="1:5" x14ac:dyDescent="0.25">
      <c r="A20438" t="str">
        <f>HYPERLINK("https://www.773grp.com/globalSearch/55365J/page-1", "55365J")</f>
        <v>55365J</v>
      </c>
      <c r="B20438" s="3" t="s">
        <v>116</v>
      </c>
      <c r="C20438" s="6">
        <v>131</v>
      </c>
      <c r="D20438" s="7">
        <v>158.19999999999999</v>
      </c>
    </row>
    <row r="20439" spans="1:5" x14ac:dyDescent="0.25">
      <c r="A20439" t="str">
        <f>HYPERLINK("https://www.773grp.com/globalSearch/MD27C256-15-B/page-1", "MD27C256-15-B")</f>
        <v>MD27C256-15-B</v>
      </c>
      <c r="B20439" s="3" t="s">
        <v>116</v>
      </c>
      <c r="C20439" s="6">
        <v>163</v>
      </c>
      <c r="D20439" s="7">
        <v>158.80000000000001</v>
      </c>
    </row>
    <row r="20440" spans="1:5" x14ac:dyDescent="0.25">
      <c r="A20440" t="str">
        <f>HYPERLINK("https://www.773grp.com/globalSearch/NG82370-16/page-1", "NG82370-16")</f>
        <v>NG82370-16</v>
      </c>
      <c r="B20440" s="3" t="s">
        <v>116</v>
      </c>
      <c r="C20440" s="6">
        <v>2956</v>
      </c>
      <c r="D20440" s="7">
        <v>158.80000000000001</v>
      </c>
      <c r="E20440" t="s">
        <v>60</v>
      </c>
    </row>
    <row r="20441" spans="1:5" x14ac:dyDescent="0.25">
      <c r="A20441" t="str">
        <f>HYPERLINK("https://www.773grp.com/globalSearch/LM106H/page-1", "LM106H")</f>
        <v>LM106H</v>
      </c>
      <c r="B20441" s="3" t="s">
        <v>116</v>
      </c>
      <c r="C20441" s="6">
        <v>153</v>
      </c>
      <c r="D20441" s="7">
        <v>158.80000000000001</v>
      </c>
      <c r="E20441" t="s">
        <v>6</v>
      </c>
    </row>
    <row r="20442" spans="1:5" x14ac:dyDescent="0.25">
      <c r="A20442" t="str">
        <f>HYPERLINK("https://www.773grp.com/globalSearch/LM7709AH-B/page-1", "LM7709AH-B")</f>
        <v>LM7709AH-B</v>
      </c>
      <c r="B20442" s="3" t="s">
        <v>116</v>
      </c>
      <c r="C20442" s="6">
        <v>139</v>
      </c>
      <c r="D20442" s="7">
        <v>158.80000000000001</v>
      </c>
    </row>
    <row r="20443" spans="1:5" x14ac:dyDescent="0.25">
      <c r="A20443" t="str">
        <f>HYPERLINK("https://www.773grp.com/globalSearch/D8274/page-1", "D8274")</f>
        <v>D8274</v>
      </c>
      <c r="B20443" s="3" t="s">
        <v>116</v>
      </c>
      <c r="C20443" s="6">
        <v>1</v>
      </c>
      <c r="D20443" s="7">
        <v>160.94</v>
      </c>
      <c r="E20443" t="s">
        <v>59</v>
      </c>
    </row>
    <row r="20444" spans="1:5" x14ac:dyDescent="0.25">
      <c r="A20444" t="str">
        <f>HYPERLINK("https://www.773grp.com/globalSearch/54L75J-C/page-1", "54L75J-C")</f>
        <v>54L75J-C</v>
      </c>
      <c r="B20444" s="3" t="s">
        <v>116</v>
      </c>
      <c r="C20444" s="6">
        <v>130</v>
      </c>
      <c r="D20444" s="7">
        <v>161.31</v>
      </c>
    </row>
    <row r="20445" spans="1:5" x14ac:dyDescent="0.25">
      <c r="A20445" t="str">
        <f>HYPERLINK("https://www.773grp.com/globalSearch/950HM/page-1", "950HM")</f>
        <v>950HM</v>
      </c>
      <c r="B20445" s="3" t="s">
        <v>116</v>
      </c>
      <c r="C20445" s="6">
        <v>357</v>
      </c>
      <c r="D20445" s="7">
        <v>161.31</v>
      </c>
    </row>
    <row r="20446" spans="1:5" x14ac:dyDescent="0.25">
      <c r="A20446" t="str">
        <f>HYPERLINK("https://www.773grp.com/globalSearch/MC27256-17-BYA/page-1", "MC27256-17-BYA")</f>
        <v>MC27256-17-BYA</v>
      </c>
      <c r="B20446" s="3" t="s">
        <v>116</v>
      </c>
      <c r="C20446" s="6">
        <v>88</v>
      </c>
      <c r="D20446" s="7">
        <v>161.31</v>
      </c>
    </row>
    <row r="20447" spans="1:5" x14ac:dyDescent="0.25">
      <c r="A20447" t="str">
        <f>HYPERLINK("https://www.773grp.com/globalSearch/54L95-BDA/page-1", "54L95-BDA")</f>
        <v>54L95-BDA</v>
      </c>
      <c r="B20447" s="3" t="s">
        <v>116</v>
      </c>
      <c r="C20447" s="6">
        <v>538</v>
      </c>
      <c r="D20447" s="7">
        <v>161.31</v>
      </c>
    </row>
    <row r="20448" spans="1:5" x14ac:dyDescent="0.25">
      <c r="A20448" t="str">
        <f>HYPERLINK("https://www.773grp.com/globalSearch/X28C512DM-15/page-1", "X28C512DM-15")</f>
        <v>X28C512DM-15</v>
      </c>
      <c r="B20448" s="3" t="s">
        <v>116</v>
      </c>
      <c r="C20448" s="6">
        <v>307</v>
      </c>
      <c r="D20448" s="7">
        <v>161.5</v>
      </c>
    </row>
    <row r="20449" spans="1:5" x14ac:dyDescent="0.25">
      <c r="A20449" t="str">
        <f>HYPERLINK("https://www.773grp.com/globalSearch/74L192N/page-1", "74L192N")</f>
        <v>74L192N</v>
      </c>
      <c r="B20449" s="3" t="s">
        <v>116</v>
      </c>
      <c r="C20449" s="6">
        <v>181</v>
      </c>
      <c r="D20449" s="7">
        <v>161.69999999999999</v>
      </c>
    </row>
    <row r="20450" spans="1:5" x14ac:dyDescent="0.25">
      <c r="A20450" t="str">
        <f>HYPERLINK("https://www.773grp.com/globalSearch/54L72J-C/page-1", "54L72J-C")</f>
        <v>54L72J-C</v>
      </c>
      <c r="B20450" s="3" t="s">
        <v>116</v>
      </c>
      <c r="C20450" s="6">
        <v>169</v>
      </c>
      <c r="D20450" s="7">
        <v>162.58000000000001</v>
      </c>
    </row>
    <row r="20451" spans="1:5" x14ac:dyDescent="0.25">
      <c r="A20451" t="str">
        <f>HYPERLINK("https://www.773grp.com/globalSearch/9015DM-B  LT/page-1", "9015DM-B  LT")</f>
        <v>9015DM-B  LT</v>
      </c>
      <c r="B20451" s="3" t="s">
        <v>116</v>
      </c>
      <c r="C20451" s="6">
        <v>227</v>
      </c>
      <c r="D20451" s="7">
        <v>162.58000000000001</v>
      </c>
    </row>
    <row r="20452" spans="1:5" x14ac:dyDescent="0.25">
      <c r="A20452" t="str">
        <f>HYPERLINK("https://www.773grp.com/globalSearch/9621PC/page-1", "9621PC")</f>
        <v>9621PC</v>
      </c>
      <c r="B20452" s="3" t="s">
        <v>116</v>
      </c>
      <c r="C20452" s="6">
        <v>383</v>
      </c>
      <c r="D20452" s="7">
        <v>163.84</v>
      </c>
    </row>
    <row r="20453" spans="1:5" x14ac:dyDescent="0.25">
      <c r="A20453" t="str">
        <f>HYPERLINK("https://www.773grp.com/globalSearch/LM103H-3.3/page-1", "LM103H-3.3")</f>
        <v>LM103H-3.3</v>
      </c>
      <c r="B20453" s="3" t="s">
        <v>116</v>
      </c>
      <c r="C20453" s="6">
        <v>219</v>
      </c>
      <c r="D20453" s="7">
        <v>163.84</v>
      </c>
      <c r="E20453" t="s">
        <v>13</v>
      </c>
    </row>
    <row r="20454" spans="1:5" x14ac:dyDescent="0.25">
      <c r="A20454" t="str">
        <f>HYPERLINK("https://www.773grp.com/globalSearch/MC27C64-20-B/page-1", "MC27C64-20-B")</f>
        <v>MC27C64-20-B</v>
      </c>
      <c r="B20454" s="3" t="s">
        <v>116</v>
      </c>
      <c r="C20454" s="6">
        <v>150</v>
      </c>
      <c r="D20454" s="7">
        <v>164.35</v>
      </c>
    </row>
    <row r="20455" spans="1:5" x14ac:dyDescent="0.25">
      <c r="A20455" t="str">
        <f>HYPERLINK("https://www.773grp.com/globalSearch/93419DM-B/page-1", "93419DM-B")</f>
        <v>93419DM-B</v>
      </c>
      <c r="B20455" s="3" t="s">
        <v>116</v>
      </c>
      <c r="C20455" s="6">
        <v>193</v>
      </c>
      <c r="D20455" s="7">
        <v>165.1</v>
      </c>
    </row>
    <row r="20456" spans="1:5" x14ac:dyDescent="0.25">
      <c r="A20456" t="str">
        <f>HYPERLINK("https://www.773grp.com/globalSearch/R763101/page-1", "R763101")</f>
        <v>R763101</v>
      </c>
      <c r="B20456" s="3" t="s">
        <v>116</v>
      </c>
      <c r="C20456" s="6">
        <v>180</v>
      </c>
      <c r="D20456" s="7">
        <v>165.78</v>
      </c>
    </row>
    <row r="20457" spans="1:5" x14ac:dyDescent="0.25">
      <c r="A20457" t="str">
        <f>HYPERLINK("https://www.773grp.com/globalSearch/LM110-BPA/page-1", "LM110-BPA")</f>
        <v>LM110-BPA</v>
      </c>
      <c r="B20457" s="3" t="s">
        <v>116</v>
      </c>
      <c r="C20457" s="6">
        <v>2377</v>
      </c>
      <c r="D20457" s="7">
        <v>165.78</v>
      </c>
    </row>
    <row r="20458" spans="1:5" x14ac:dyDescent="0.25">
      <c r="A20458" t="str">
        <f>HYPERLINK("https://www.773grp.com/globalSearch/HA4-5114-883/page-1", "HA4-5114-883")</f>
        <v>HA4-5114-883</v>
      </c>
      <c r="B20458" s="3" t="s">
        <v>116</v>
      </c>
      <c r="C20458" s="6">
        <v>587</v>
      </c>
      <c r="D20458" s="7">
        <v>166.35</v>
      </c>
      <c r="E20458" t="s">
        <v>10</v>
      </c>
    </row>
    <row r="20459" spans="1:5" x14ac:dyDescent="0.25">
      <c r="A20459" t="str">
        <f>HYPERLINK("https://www.773grp.com/globalSearch/UHD503R-883/page-1", "UHD503R-883")</f>
        <v>UHD503R-883</v>
      </c>
      <c r="B20459" s="3" t="s">
        <v>116</v>
      </c>
      <c r="C20459" s="6">
        <v>804</v>
      </c>
      <c r="D20459" s="7">
        <v>168.59</v>
      </c>
    </row>
    <row r="20460" spans="1:5" x14ac:dyDescent="0.25">
      <c r="A20460" t="str">
        <f>HYPERLINK("https://www.773grp.com/globalSearch/54C89J-B/page-1", "54C89J-B")</f>
        <v>54C89J-B</v>
      </c>
      <c r="B20460" s="3" t="s">
        <v>116</v>
      </c>
      <c r="C20460" s="6">
        <v>798</v>
      </c>
      <c r="D20460" s="7">
        <v>168.89</v>
      </c>
    </row>
    <row r="20461" spans="1:5" x14ac:dyDescent="0.25">
      <c r="A20461" t="str">
        <f>HYPERLINK("https://www.773grp.com/globalSearch/CA3130AT/page-1", "CA3130AT")</f>
        <v>CA3130AT</v>
      </c>
      <c r="B20461" s="3" t="s">
        <v>116</v>
      </c>
      <c r="C20461" s="6">
        <v>40</v>
      </c>
      <c r="D20461" s="7">
        <v>169.94</v>
      </c>
    </row>
    <row r="20462" spans="1:5" x14ac:dyDescent="0.25">
      <c r="A20462" t="str">
        <f>HYPERLINK("https://www.773grp.com/globalSearch/54194W/page-1", "54194W")</f>
        <v>54194W</v>
      </c>
      <c r="B20462" s="3" t="s">
        <v>116</v>
      </c>
      <c r="C20462" s="6">
        <v>27</v>
      </c>
      <c r="D20462" s="7">
        <v>170.14</v>
      </c>
    </row>
    <row r="20463" spans="1:5" x14ac:dyDescent="0.25">
      <c r="A20463" t="str">
        <f>HYPERLINK("https://www.773grp.com/globalSearch/LM110H/page-1", "LM110H")</f>
        <v>LM110H</v>
      </c>
      <c r="B20463" s="3" t="s">
        <v>116</v>
      </c>
      <c r="C20463" s="6">
        <v>511</v>
      </c>
      <c r="D20463" s="7">
        <v>170.3</v>
      </c>
      <c r="E20463" t="s">
        <v>41</v>
      </c>
    </row>
    <row r="20464" spans="1:5" x14ac:dyDescent="0.25">
      <c r="A20464" t="str">
        <f>HYPERLINK("https://www.773grp.com/globalSearch/930DM-B/page-1", "930DM-B")</f>
        <v>930DM-B</v>
      </c>
      <c r="B20464" s="3" t="s">
        <v>116</v>
      </c>
      <c r="C20464" s="6">
        <v>47</v>
      </c>
      <c r="D20464" s="7">
        <v>170.43</v>
      </c>
    </row>
    <row r="20465" spans="1:5" x14ac:dyDescent="0.25">
      <c r="A20465" t="str">
        <f>HYPERLINK("https://www.773grp.com/globalSearch/LM107H-883/page-1", "LM107H-883")</f>
        <v>LM107H-883</v>
      </c>
      <c r="B20465" s="3" t="s">
        <v>116</v>
      </c>
      <c r="C20465" s="6">
        <v>704</v>
      </c>
      <c r="D20465" s="7">
        <v>171.01</v>
      </c>
      <c r="E20465" t="s">
        <v>10</v>
      </c>
    </row>
    <row r="20466" spans="1:5" x14ac:dyDescent="0.25">
      <c r="A20466" t="str">
        <f>HYPERLINK("https://www.773grp.com/globalSearch/LM104H-B/page-1", "LM104H-B")</f>
        <v>LM104H-B</v>
      </c>
      <c r="B20466" s="3" t="s">
        <v>116</v>
      </c>
      <c r="C20466" s="6">
        <v>1019</v>
      </c>
      <c r="D20466" s="7">
        <v>171.31</v>
      </c>
    </row>
    <row r="20467" spans="1:5" x14ac:dyDescent="0.25">
      <c r="A20467" t="str">
        <f>HYPERLINK("https://www.773grp.com/globalSearch/27C16Q55-B/page-1", "27C16Q55-B")</f>
        <v>27C16Q55-B</v>
      </c>
      <c r="B20467" s="3" t="s">
        <v>116</v>
      </c>
      <c r="C20467" s="6">
        <v>84</v>
      </c>
      <c r="D20467" s="7">
        <v>171.4</v>
      </c>
    </row>
    <row r="20468" spans="1:5" x14ac:dyDescent="0.25">
      <c r="A20468" t="str">
        <f>HYPERLINK("https://www.773grp.com/globalSearch/54L74W-B/page-1", "54L74W-B")</f>
        <v>54L74W-B</v>
      </c>
      <c r="B20468" s="3" t="s">
        <v>116</v>
      </c>
      <c r="C20468" s="6">
        <v>528</v>
      </c>
      <c r="D20468" s="7">
        <v>171.4</v>
      </c>
    </row>
    <row r="20469" spans="1:5" x14ac:dyDescent="0.25">
      <c r="A20469" t="str">
        <f>HYPERLINK("https://www.773grp.com/globalSearch/7C909-40FK-B/page-1", "7C909-40FK-B")</f>
        <v>7C909-40FK-B</v>
      </c>
      <c r="B20469" s="3" t="s">
        <v>116</v>
      </c>
      <c r="C20469" s="6">
        <v>14</v>
      </c>
      <c r="D20469" s="7">
        <v>171.4</v>
      </c>
    </row>
    <row r="20470" spans="1:5" x14ac:dyDescent="0.25">
      <c r="A20470" t="str">
        <f>HYPERLINK("https://www.773grp.com/globalSearch/9307FM-B/page-1", "9307FM-B")</f>
        <v>9307FM-B</v>
      </c>
      <c r="B20470" s="3" t="s">
        <v>116</v>
      </c>
      <c r="C20470" s="6">
        <v>174</v>
      </c>
      <c r="D20470" s="7">
        <v>171.4</v>
      </c>
    </row>
    <row r="20471" spans="1:5" x14ac:dyDescent="0.25">
      <c r="A20471" t="str">
        <f>HYPERLINK("https://www.773grp.com/globalSearch/93419DM/page-1", "93419DM")</f>
        <v>93419DM</v>
      </c>
      <c r="B20471" s="3" t="s">
        <v>116</v>
      </c>
      <c r="C20471" s="6">
        <v>289</v>
      </c>
      <c r="D20471" s="7">
        <v>171.4</v>
      </c>
    </row>
    <row r="20472" spans="1:5" x14ac:dyDescent="0.25">
      <c r="A20472" t="str">
        <f>HYPERLINK("https://www.773grp.com/globalSearch/RC1569G/page-1", "RC1569G")</f>
        <v>RC1569G</v>
      </c>
      <c r="B20472" s="3" t="s">
        <v>116</v>
      </c>
      <c r="C20472" s="6">
        <v>585</v>
      </c>
      <c r="D20472" s="7">
        <v>171.4</v>
      </c>
    </row>
    <row r="20473" spans="1:5" x14ac:dyDescent="0.25">
      <c r="A20473" t="str">
        <f>HYPERLINK("https://www.773grp.com/globalSearch/RC951F-R/page-1", "RC951F-R")</f>
        <v>RC951F-R</v>
      </c>
      <c r="B20473" s="3" t="s">
        <v>116</v>
      </c>
      <c r="C20473" s="6">
        <v>10</v>
      </c>
      <c r="D20473" s="7">
        <v>171.4</v>
      </c>
    </row>
    <row r="20474" spans="1:5" x14ac:dyDescent="0.25">
      <c r="A20474" t="str">
        <f>HYPERLINK("https://www.773grp.com/globalSearch/ULS2003H-R/page-1", "ULS2003H-R")</f>
        <v>ULS2003H-R</v>
      </c>
      <c r="B20474" s="3" t="s">
        <v>116</v>
      </c>
      <c r="C20474" s="6">
        <v>2176</v>
      </c>
      <c r="D20474" s="7">
        <v>171.4</v>
      </c>
    </row>
    <row r="20475" spans="1:5" x14ac:dyDescent="0.25">
      <c r="A20475" t="str">
        <f>HYPERLINK("https://www.773grp.com/globalSearch/ULS2022R-B/page-1", "ULS2022R-B")</f>
        <v>ULS2022R-B</v>
      </c>
      <c r="B20475" s="3" t="s">
        <v>116</v>
      </c>
      <c r="C20475" s="6">
        <v>56</v>
      </c>
      <c r="D20475" s="7">
        <v>171.4</v>
      </c>
    </row>
    <row r="20476" spans="1:5" x14ac:dyDescent="0.25">
      <c r="A20476" t="str">
        <f>HYPERLINK("https://www.773grp.com/globalSearch/EP610DM-35/page-1", "EP610DM-35")</f>
        <v>EP610DM-35</v>
      </c>
      <c r="B20476" s="3" t="s">
        <v>116</v>
      </c>
      <c r="C20476" s="6">
        <v>135</v>
      </c>
      <c r="D20476" s="7">
        <v>171.4</v>
      </c>
      <c r="E20476" t="s">
        <v>42</v>
      </c>
    </row>
    <row r="20477" spans="1:5" x14ac:dyDescent="0.25">
      <c r="A20477" t="str">
        <f>HYPERLINK("https://www.773grp.com/globalSearch/2902ADM-B/page-1", "2902ADM-B")</f>
        <v>2902ADM-B</v>
      </c>
      <c r="B20477" s="3" t="s">
        <v>116</v>
      </c>
      <c r="C20477" s="6">
        <v>35</v>
      </c>
      <c r="D20477" s="7">
        <v>171.4</v>
      </c>
    </row>
    <row r="20478" spans="1:5" x14ac:dyDescent="0.25">
      <c r="A20478" t="str">
        <f>HYPERLINK("https://www.773grp.com/globalSearch/9620DM-B/page-1", "9620DM-B")</f>
        <v>9620DM-B</v>
      </c>
      <c r="B20478" s="3" t="s">
        <v>116</v>
      </c>
      <c r="C20478" s="6">
        <v>149</v>
      </c>
      <c r="D20478" s="7">
        <v>171.4</v>
      </c>
    </row>
    <row r="20479" spans="1:5" x14ac:dyDescent="0.25">
      <c r="A20479" t="str">
        <f>HYPERLINK("https://www.773grp.com/globalSearch/5962-87518013A/page-1", "5962-87518013A")</f>
        <v>5962-87518013A</v>
      </c>
      <c r="B20479" s="3" t="s">
        <v>116</v>
      </c>
      <c r="C20479" s="6">
        <v>312</v>
      </c>
      <c r="D20479" s="7">
        <v>171.4</v>
      </c>
      <c r="E20479" t="s">
        <v>102</v>
      </c>
    </row>
    <row r="20480" spans="1:5" x14ac:dyDescent="0.25">
      <c r="A20480" t="str">
        <f>HYPERLINK("https://www.773grp.com/globalSearch/93425ADM-B/page-1", "93425ADM-B")</f>
        <v>93425ADM-B</v>
      </c>
      <c r="B20480" s="3" t="s">
        <v>116</v>
      </c>
      <c r="C20480" s="6">
        <v>88</v>
      </c>
      <c r="D20480" s="7">
        <v>171.4</v>
      </c>
    </row>
    <row r="20481" spans="1:5" x14ac:dyDescent="0.25">
      <c r="A20481" t="str">
        <f>HYPERLINK("https://www.773grp.com/globalSearch/LM110J-883/page-1", "LM110J-883")</f>
        <v>LM110J-883</v>
      </c>
      <c r="B20481" s="3" t="s">
        <v>116</v>
      </c>
      <c r="C20481" s="6">
        <v>708</v>
      </c>
      <c r="D20481" s="7">
        <v>171.4</v>
      </c>
      <c r="E20481" t="s">
        <v>41</v>
      </c>
    </row>
    <row r="20482" spans="1:5" x14ac:dyDescent="0.25">
      <c r="A20482" t="str">
        <f>HYPERLINK("https://www.773grp.com/globalSearch/LM7710-BCA/page-1", "LM7710-BCA")</f>
        <v>LM7710-BCA</v>
      </c>
      <c r="B20482" s="3" t="s">
        <v>116</v>
      </c>
      <c r="C20482" s="6">
        <v>407</v>
      </c>
      <c r="D20482" s="7">
        <v>171.4</v>
      </c>
    </row>
    <row r="20483" spans="1:5" x14ac:dyDescent="0.25">
      <c r="A20483" t="str">
        <f>HYPERLINK("https://www.773grp.com/globalSearch/27LS00DM-B/page-1", "27LS00DM-B")</f>
        <v>27LS00DM-B</v>
      </c>
      <c r="B20483" s="3" t="s">
        <v>116</v>
      </c>
      <c r="C20483" s="6">
        <v>508</v>
      </c>
      <c r="D20483" s="7">
        <v>171.4</v>
      </c>
    </row>
    <row r="20484" spans="1:5" x14ac:dyDescent="0.25">
      <c r="A20484" t="str">
        <f>HYPERLINK("https://www.773grp.com/globalSearch/LM7709AH-883/page-1", "LM7709AH-883")</f>
        <v>LM7709AH-883</v>
      </c>
      <c r="B20484" s="3" t="s">
        <v>116</v>
      </c>
      <c r="C20484" s="6">
        <v>832</v>
      </c>
      <c r="D20484" s="7">
        <v>171.4</v>
      </c>
    </row>
    <row r="20485" spans="1:5" x14ac:dyDescent="0.25">
      <c r="A20485" t="str">
        <f>HYPERLINK("https://www.773grp.com/globalSearch/5446AW-B/page-1", "5446AW-B")</f>
        <v>5446AW-B</v>
      </c>
      <c r="B20485" s="3" t="s">
        <v>116</v>
      </c>
      <c r="C20485" s="6">
        <v>52</v>
      </c>
      <c r="D20485" s="7">
        <v>171.4</v>
      </c>
    </row>
    <row r="20486" spans="1:5" x14ac:dyDescent="0.25">
      <c r="A20486" t="str">
        <f>HYPERLINK("https://www.773grp.com/globalSearch/54ACT11240JT-B/page-1", "54ACT11240JT-B")</f>
        <v>54ACT11240JT-B</v>
      </c>
      <c r="B20486" s="3" t="s">
        <v>116</v>
      </c>
      <c r="C20486" s="6">
        <v>118</v>
      </c>
      <c r="D20486" s="7">
        <v>171.4</v>
      </c>
    </row>
    <row r="20487" spans="1:5" x14ac:dyDescent="0.25">
      <c r="A20487" t="str">
        <f>HYPERLINK("https://www.773grp.com/globalSearch/54ALS15AFK-B/page-1", "54ALS15AFK-B")</f>
        <v>54ALS15AFK-B</v>
      </c>
      <c r="B20487" s="3" t="s">
        <v>116</v>
      </c>
      <c r="C20487" s="6">
        <v>96</v>
      </c>
      <c r="D20487" s="7">
        <v>171.4</v>
      </c>
    </row>
    <row r="20488" spans="1:5" x14ac:dyDescent="0.25">
      <c r="A20488" t="str">
        <f>HYPERLINK("https://www.773grp.com/globalSearch/D8031AH/page-1", "D8031AH")</f>
        <v>D8031AH</v>
      </c>
      <c r="B20488" s="3" t="s">
        <v>116</v>
      </c>
      <c r="C20488" s="6">
        <v>235</v>
      </c>
      <c r="D20488" s="7">
        <v>172.66</v>
      </c>
      <c r="E20488" t="s">
        <v>43</v>
      </c>
    </row>
    <row r="20489" spans="1:5" x14ac:dyDescent="0.25">
      <c r="A20489" t="str">
        <f>HYPERLINK("https://www.773grp.com/globalSearch/54S253DM-B/page-1", "54S253DM-B")</f>
        <v>54S253DM-B</v>
      </c>
      <c r="B20489" s="3" t="s">
        <v>116</v>
      </c>
      <c r="C20489" s="6">
        <v>40</v>
      </c>
      <c r="D20489" s="7">
        <v>172.79</v>
      </c>
    </row>
    <row r="20490" spans="1:5" x14ac:dyDescent="0.25">
      <c r="A20490" t="str">
        <f>HYPERLINK("https://www.773grp.com/globalSearch/UDS2981R-B/page-1", "UDS2981R-B")</f>
        <v>UDS2981R-B</v>
      </c>
      <c r="B20490" s="3" t="s">
        <v>116</v>
      </c>
      <c r="C20490" s="6">
        <v>357</v>
      </c>
      <c r="D20490" s="7">
        <v>174.33</v>
      </c>
    </row>
    <row r="20491" spans="1:5" x14ac:dyDescent="0.25">
      <c r="A20491" t="str">
        <f>HYPERLINK("https://www.773grp.com/globalSearch/ICL7660SMTV/page-1", "ICL7660SMTV")</f>
        <v>ICL7660SMTV</v>
      </c>
      <c r="B20491" s="3" t="s">
        <v>116</v>
      </c>
      <c r="C20491" s="6">
        <v>139</v>
      </c>
      <c r="D20491" s="7">
        <v>175.18</v>
      </c>
      <c r="E20491" t="s">
        <v>5</v>
      </c>
    </row>
    <row r="20492" spans="1:5" x14ac:dyDescent="0.25">
      <c r="A20492" t="str">
        <f>HYPERLINK("https://www.773grp.com/globalSearch/UDS2983R-B/page-1", "UDS2983R-B")</f>
        <v>UDS2983R-B</v>
      </c>
      <c r="B20492" s="3" t="s">
        <v>116</v>
      </c>
      <c r="C20492" s="6">
        <v>311</v>
      </c>
      <c r="D20492" s="7">
        <v>176.45</v>
      </c>
    </row>
    <row r="20493" spans="1:5" x14ac:dyDescent="0.25">
      <c r="A20493" t="str">
        <f>HYPERLINK("https://www.773grp.com/globalSearch/UHD507R-B/page-1", "UHD507R-B")</f>
        <v>UHD507R-B</v>
      </c>
      <c r="B20493" s="3" t="s">
        <v>116</v>
      </c>
      <c r="C20493" s="6">
        <v>104</v>
      </c>
      <c r="D20493" s="7">
        <v>176.45</v>
      </c>
    </row>
    <row r="20494" spans="1:5" x14ac:dyDescent="0.25">
      <c r="A20494" t="str">
        <f>HYPERLINK("https://www.773grp.com/globalSearch/9094DM/page-1", "9094DM")</f>
        <v>9094DM</v>
      </c>
      <c r="B20494" s="3" t="s">
        <v>116</v>
      </c>
      <c r="C20494" s="6">
        <v>3</v>
      </c>
      <c r="D20494" s="7">
        <v>176.45</v>
      </c>
    </row>
    <row r="20495" spans="1:5" x14ac:dyDescent="0.25">
      <c r="A20495" t="str">
        <f>HYPERLINK("https://www.773grp.com/globalSearch/55142AJ-B/page-1", "55142AJ-B")</f>
        <v>55142AJ-B</v>
      </c>
      <c r="B20495" s="3" t="s">
        <v>116</v>
      </c>
      <c r="C20495" s="6">
        <v>313</v>
      </c>
      <c r="D20495" s="7">
        <v>176.56</v>
      </c>
    </row>
    <row r="20496" spans="1:5" x14ac:dyDescent="0.25">
      <c r="A20496" t="str">
        <f>HYPERLINK("https://www.773grp.com/globalSearch/54121-BDA/page-1", "54121-BDA")</f>
        <v>54121-BDA</v>
      </c>
      <c r="B20496" s="3" t="s">
        <v>116</v>
      </c>
      <c r="C20496" s="6">
        <v>653</v>
      </c>
      <c r="D20496" s="7">
        <v>178.29</v>
      </c>
    </row>
    <row r="20497" spans="1:5" x14ac:dyDescent="0.25">
      <c r="A20497" t="str">
        <f>HYPERLINK("https://www.773grp.com/globalSearch/27S29ADM-B/page-1", "27S29ADM-B")</f>
        <v>27S29ADM-B</v>
      </c>
      <c r="B20497" s="3" t="s">
        <v>116</v>
      </c>
      <c r="C20497" s="6">
        <v>38</v>
      </c>
      <c r="D20497" s="7">
        <v>180.23</v>
      </c>
    </row>
    <row r="20498" spans="1:5" x14ac:dyDescent="0.25">
      <c r="A20498" t="str">
        <f>HYPERLINK("https://www.773grp.com/globalSearch/27S29ADM-B/page-1", "27S29ADM-B")</f>
        <v>27S29ADM-B</v>
      </c>
      <c r="B20498" s="3" t="s">
        <v>116</v>
      </c>
      <c r="C20498" s="6">
        <v>120</v>
      </c>
      <c r="D20498" s="7">
        <v>180.23</v>
      </c>
    </row>
    <row r="20499" spans="1:5" x14ac:dyDescent="0.25">
      <c r="A20499" t="str">
        <f>HYPERLINK("https://www.773grp.com/globalSearch/LM1536J-883/page-1", "LM1536J-883")</f>
        <v>LM1536J-883</v>
      </c>
      <c r="B20499" s="3" t="s">
        <v>116</v>
      </c>
      <c r="C20499" s="6">
        <v>256</v>
      </c>
      <c r="D20499" s="7">
        <v>180.23</v>
      </c>
    </row>
    <row r="20500" spans="1:5" x14ac:dyDescent="0.25">
      <c r="A20500" t="str">
        <f>HYPERLINK("https://www.773grp.com/globalSearch/LM759CH/page-1", "LM759CH")</f>
        <v>LM759CH</v>
      </c>
      <c r="B20500" s="3" t="s">
        <v>116</v>
      </c>
      <c r="C20500" s="6">
        <v>373</v>
      </c>
      <c r="D20500" s="7">
        <v>181.05</v>
      </c>
      <c r="E20500" t="s">
        <v>10</v>
      </c>
    </row>
    <row r="20501" spans="1:5" x14ac:dyDescent="0.25">
      <c r="A20501" t="str">
        <f>HYPERLINK("https://www.773grp.com/globalSearch/MD8155H-B/page-1", "MD8155H-B")</f>
        <v>MD8155H-B</v>
      </c>
      <c r="B20501" s="3" t="s">
        <v>116</v>
      </c>
      <c r="C20501" s="6">
        <v>1625</v>
      </c>
      <c r="D20501" s="7">
        <v>181.23</v>
      </c>
    </row>
    <row r="20502" spans="1:5" x14ac:dyDescent="0.25">
      <c r="A20502" t="str">
        <f>HYPERLINK("https://www.773grp.com/globalSearch/LM119W-883B/page-1", "LM119W-883B")</f>
        <v>LM119W-883B</v>
      </c>
      <c r="B20502" s="3" t="s">
        <v>116</v>
      </c>
      <c r="C20502" s="6">
        <v>264</v>
      </c>
      <c r="D20502" s="7">
        <v>181.25</v>
      </c>
    </row>
    <row r="20503" spans="1:5" x14ac:dyDescent="0.25">
      <c r="A20503" t="str">
        <f>HYPERLINK("https://www.773grp.com/globalSearch/R866104/page-1", "R866104")</f>
        <v>R866104</v>
      </c>
      <c r="B20503" s="3" t="s">
        <v>116</v>
      </c>
      <c r="C20503" s="6">
        <v>53</v>
      </c>
      <c r="D20503" s="7">
        <v>181.48</v>
      </c>
    </row>
    <row r="20504" spans="1:5" x14ac:dyDescent="0.25">
      <c r="A20504" t="str">
        <f>HYPERLINK("https://www.773grp.com/globalSearch/DG303A-BCA/page-1", "DG303A-BCA")</f>
        <v>DG303A-BCA</v>
      </c>
      <c r="B20504" s="3" t="s">
        <v>116</v>
      </c>
      <c r="C20504" s="6">
        <v>2377</v>
      </c>
      <c r="D20504" s="7">
        <v>181.48</v>
      </c>
    </row>
    <row r="20505" spans="1:5" x14ac:dyDescent="0.25">
      <c r="A20505" t="str">
        <f>HYPERLINK("https://www.773grp.com/globalSearch/MR2764A-25-B/page-1", "MR2764A-25-B")</f>
        <v>MR2764A-25-B</v>
      </c>
      <c r="B20505" s="3" t="s">
        <v>116</v>
      </c>
      <c r="C20505" s="6">
        <v>12</v>
      </c>
      <c r="D20505" s="7">
        <v>181.48</v>
      </c>
    </row>
    <row r="20506" spans="1:5" x14ac:dyDescent="0.25">
      <c r="A20506" t="str">
        <f>HYPERLINK("https://www.773grp.com/globalSearch/MR8255A-B/page-1", "MR8255A-B")</f>
        <v>MR8255A-B</v>
      </c>
      <c r="B20506" s="3" t="s">
        <v>116</v>
      </c>
      <c r="C20506" s="6">
        <v>83</v>
      </c>
      <c r="D20506" s="7">
        <v>181.48</v>
      </c>
      <c r="E20506" t="s">
        <v>71</v>
      </c>
    </row>
    <row r="20507" spans="1:5" x14ac:dyDescent="0.25">
      <c r="A20507" t="str">
        <f>HYPERLINK("https://www.773grp.com/globalSearch/27LS00A-BEA/page-1", "27LS00A-BEA")</f>
        <v>27LS00A-BEA</v>
      </c>
      <c r="B20507" s="3" t="s">
        <v>116</v>
      </c>
      <c r="C20507" s="6">
        <v>2316</v>
      </c>
      <c r="D20507" s="7">
        <v>181.48</v>
      </c>
    </row>
    <row r="20508" spans="1:5" x14ac:dyDescent="0.25">
      <c r="A20508" t="str">
        <f>HYPERLINK("https://www.773grp.com/globalSearch/79M06ML-B/page-1", "79M06ML-B")</f>
        <v>79M06ML-B</v>
      </c>
      <c r="B20508" s="3" t="s">
        <v>116</v>
      </c>
      <c r="C20508" s="6">
        <v>288</v>
      </c>
      <c r="D20508" s="7">
        <v>181.48</v>
      </c>
    </row>
    <row r="20509" spans="1:5" x14ac:dyDescent="0.25">
      <c r="A20509" t="str">
        <f>HYPERLINK("https://www.773grp.com/globalSearch/PAL20L10-25MJT-B/page-1", "PAL20L10-25MJT-B")</f>
        <v>PAL20L10-25MJT-B</v>
      </c>
      <c r="B20509" s="3" t="s">
        <v>116</v>
      </c>
      <c r="C20509" s="6">
        <v>493</v>
      </c>
      <c r="D20509" s="7">
        <v>181.48</v>
      </c>
    </row>
    <row r="20510" spans="1:5" x14ac:dyDescent="0.25">
      <c r="A20510" t="str">
        <f>HYPERLINK("https://www.773grp.com/globalSearch/R574141/page-1", "R574141")</f>
        <v>R574141</v>
      </c>
      <c r="B20510" s="3" t="s">
        <v>116</v>
      </c>
      <c r="C20510" s="6">
        <v>364</v>
      </c>
      <c r="D20510" s="7">
        <v>182.74</v>
      </c>
    </row>
    <row r="20511" spans="1:5" x14ac:dyDescent="0.25">
      <c r="A20511" t="str">
        <f>HYPERLINK("https://www.773grp.com/globalSearch/54196FM/page-1", "54196FM")</f>
        <v>54196FM</v>
      </c>
      <c r="B20511" s="3" t="s">
        <v>116</v>
      </c>
      <c r="C20511" s="6">
        <v>351</v>
      </c>
      <c r="D20511" s="7">
        <v>183.38</v>
      </c>
    </row>
    <row r="20512" spans="1:5" x14ac:dyDescent="0.25">
      <c r="A20512" t="str">
        <f>HYPERLINK("https://www.773grp.com/globalSearch/NG82370-20/page-1", "NG82370-20")</f>
        <v>NG82370-20</v>
      </c>
      <c r="B20512" s="3" t="s">
        <v>116</v>
      </c>
      <c r="C20512" s="6">
        <v>30</v>
      </c>
      <c r="D20512" s="7">
        <v>184</v>
      </c>
    </row>
    <row r="20513" spans="1:5" x14ac:dyDescent="0.25">
      <c r="A20513" t="str">
        <f>HYPERLINK("https://www.773grp.com/globalSearch/MD8086/page-1", "MD8086")</f>
        <v>MD8086</v>
      </c>
      <c r="B20513" s="3" t="s">
        <v>116</v>
      </c>
      <c r="C20513" s="6">
        <v>5</v>
      </c>
      <c r="D20513" s="7">
        <v>184.9</v>
      </c>
    </row>
    <row r="20514" spans="1:5" x14ac:dyDescent="0.25">
      <c r="A20514" t="str">
        <f>HYPERLINK("https://www.773grp.com/globalSearch/55154J-B/page-1", "55154J-B")</f>
        <v>55154J-B</v>
      </c>
      <c r="B20514" s="3" t="s">
        <v>116</v>
      </c>
      <c r="C20514" s="6">
        <v>351</v>
      </c>
      <c r="D20514" s="7">
        <v>186.53</v>
      </c>
    </row>
    <row r="20515" spans="1:5" x14ac:dyDescent="0.25">
      <c r="A20515" t="str">
        <f>HYPERLINK("https://www.773grp.com/globalSearch/903HM/page-1", "903HM")</f>
        <v>903HM</v>
      </c>
      <c r="B20515" s="3" t="s">
        <v>116</v>
      </c>
      <c r="C20515" s="6">
        <v>9</v>
      </c>
      <c r="D20515" s="7">
        <v>186.53</v>
      </c>
    </row>
    <row r="20516" spans="1:5" x14ac:dyDescent="0.25">
      <c r="A20516" t="str">
        <f>HYPERLINK("https://www.773grp.com/globalSearch/910HM/page-1", "910HM")</f>
        <v>910HM</v>
      </c>
      <c r="B20516" s="3" t="s">
        <v>116</v>
      </c>
      <c r="C20516" s="6">
        <v>185</v>
      </c>
      <c r="D20516" s="7">
        <v>186.53</v>
      </c>
      <c r="E20516" t="s">
        <v>27</v>
      </c>
    </row>
    <row r="20517" spans="1:5" x14ac:dyDescent="0.25">
      <c r="A20517" t="str">
        <f>HYPERLINK("https://www.773grp.com/globalSearch/911658-1/page-1", "911658-1")</f>
        <v>911658-1</v>
      </c>
      <c r="B20517" s="3" t="s">
        <v>116</v>
      </c>
      <c r="C20517" s="6">
        <v>312</v>
      </c>
      <c r="D20517" s="7">
        <v>186.53</v>
      </c>
    </row>
    <row r="20518" spans="1:5" x14ac:dyDescent="0.25">
      <c r="A20518" t="str">
        <f>HYPERLINK("https://www.773grp.com/globalSearch/923HC/page-1", "923HC")</f>
        <v>923HC</v>
      </c>
      <c r="B20518" s="3" t="s">
        <v>116</v>
      </c>
      <c r="C20518" s="6">
        <v>468</v>
      </c>
      <c r="D20518" s="7">
        <v>186.53</v>
      </c>
    </row>
    <row r="20519" spans="1:5" x14ac:dyDescent="0.25">
      <c r="A20519" t="str">
        <f>HYPERLINK("https://www.773grp.com/globalSearch/946HM-C/page-1", "946HM-C")</f>
        <v>946HM-C</v>
      </c>
      <c r="B20519" s="3" t="s">
        <v>116</v>
      </c>
      <c r="C20519" s="6">
        <v>249</v>
      </c>
      <c r="D20519" s="7">
        <v>186.53</v>
      </c>
    </row>
    <row r="20520" spans="1:5" x14ac:dyDescent="0.25">
      <c r="A20520" t="str">
        <f>HYPERLINK("https://www.773grp.com/globalSearch/949HM-B/page-1", "949HM-B")</f>
        <v>949HM-B</v>
      </c>
      <c r="B20520" s="3" t="s">
        <v>116</v>
      </c>
      <c r="C20520" s="6">
        <v>30</v>
      </c>
      <c r="D20520" s="7">
        <v>186.53</v>
      </c>
    </row>
    <row r="20521" spans="1:5" x14ac:dyDescent="0.25">
      <c r="A20521" t="str">
        <f>HYPERLINK("https://www.773grp.com/globalSearch/UHD432R-B/page-1", "UHD432R-B")</f>
        <v>UHD432R-B</v>
      </c>
      <c r="B20521" s="3" t="s">
        <v>116</v>
      </c>
      <c r="C20521" s="6">
        <v>77</v>
      </c>
      <c r="D20521" s="7">
        <v>186.53</v>
      </c>
    </row>
    <row r="20522" spans="1:5" x14ac:dyDescent="0.25">
      <c r="A20522" t="str">
        <f>HYPERLINK("https://www.773grp.com/globalSearch/UHD532-883/page-1", "UHD532-883")</f>
        <v>UHD532-883</v>
      </c>
      <c r="B20522" s="3" t="s">
        <v>116</v>
      </c>
      <c r="C20522" s="6">
        <v>560</v>
      </c>
      <c r="D20522" s="7">
        <v>186.53</v>
      </c>
    </row>
    <row r="20523" spans="1:5" x14ac:dyDescent="0.25">
      <c r="A20523" t="str">
        <f>HYPERLINK("https://www.773grp.com/globalSearch/UHD532R-B/page-1", "UHD532R-B")</f>
        <v>UHD532R-B</v>
      </c>
      <c r="B20523" s="3" t="s">
        <v>116</v>
      </c>
      <c r="C20523" s="6">
        <v>381</v>
      </c>
      <c r="D20523" s="7">
        <v>186.53</v>
      </c>
    </row>
    <row r="20524" spans="1:5" x14ac:dyDescent="0.25">
      <c r="A20524" t="str">
        <f>HYPERLINK("https://www.773grp.com/globalSearch/926HM/page-1", "926HM")</f>
        <v>926HM</v>
      </c>
      <c r="B20524" s="3" t="s">
        <v>116</v>
      </c>
      <c r="C20524" s="6">
        <v>258</v>
      </c>
      <c r="D20524" s="7">
        <v>186.53</v>
      </c>
    </row>
    <row r="20525" spans="1:5" x14ac:dyDescent="0.25">
      <c r="A20525" t="str">
        <f>HYPERLINK("https://www.773grp.com/globalSearch/MR27C64-20-B/page-1", "MR27C64-20-B")</f>
        <v>MR27C64-20-B</v>
      </c>
      <c r="B20525" s="3" t="s">
        <v>116</v>
      </c>
      <c r="C20525" s="6">
        <v>413</v>
      </c>
      <c r="D20525" s="7">
        <v>186.53</v>
      </c>
    </row>
    <row r="20526" spans="1:5" x14ac:dyDescent="0.25">
      <c r="A20526" t="str">
        <f>HYPERLINK("https://www.773grp.com/globalSearch/MR8251A-B/page-1", "MR8251A-B")</f>
        <v>MR8251A-B</v>
      </c>
      <c r="B20526" s="3" t="s">
        <v>116</v>
      </c>
      <c r="C20526" s="6">
        <v>1098</v>
      </c>
      <c r="D20526" s="7">
        <v>186.53</v>
      </c>
      <c r="E20526" t="s">
        <v>71</v>
      </c>
    </row>
    <row r="20527" spans="1:5" x14ac:dyDescent="0.25">
      <c r="A20527" t="str">
        <f>HYPERLINK("https://www.773grp.com/globalSearch/54ACT11004FK-B/page-1", "54ACT11004FK-B")</f>
        <v>54ACT11004FK-B</v>
      </c>
      <c r="B20527" s="3" t="s">
        <v>116</v>
      </c>
      <c r="C20527" s="6">
        <v>148</v>
      </c>
      <c r="D20527" s="7">
        <v>186.53</v>
      </c>
    </row>
    <row r="20528" spans="1:5" x14ac:dyDescent="0.25">
      <c r="A20528" t="str">
        <f>HYPERLINK("https://www.773grp.com/globalSearch/54L193W-C/page-1", "54L193W-C")</f>
        <v>54L193W-C</v>
      </c>
      <c r="B20528" s="3" t="s">
        <v>116</v>
      </c>
      <c r="C20528" s="6">
        <v>23</v>
      </c>
      <c r="D20528" s="7">
        <v>186.53</v>
      </c>
    </row>
    <row r="20529" spans="1:5" x14ac:dyDescent="0.25">
      <c r="A20529" t="str">
        <f>HYPERLINK("https://www.773grp.com/globalSearch/S8T98F/page-1", "S8T98F")</f>
        <v>S8T98F</v>
      </c>
      <c r="B20529" s="3" t="s">
        <v>116</v>
      </c>
      <c r="C20529" s="6">
        <v>57</v>
      </c>
      <c r="D20529" s="7">
        <v>187.79</v>
      </c>
      <c r="E20529" t="s">
        <v>11</v>
      </c>
    </row>
    <row r="20530" spans="1:5" x14ac:dyDescent="0.25">
      <c r="A20530" t="str">
        <f>HYPERLINK("https://www.773grp.com/globalSearch/27S185ALM-B/page-1", "27S185ALM-B")</f>
        <v>27S185ALM-B</v>
      </c>
      <c r="B20530" s="3" t="s">
        <v>116</v>
      </c>
      <c r="C20530" s="6">
        <v>109</v>
      </c>
      <c r="D20530" s="7">
        <v>187.79</v>
      </c>
    </row>
    <row r="20531" spans="1:5" x14ac:dyDescent="0.25">
      <c r="A20531" t="str">
        <f>HYPERLINK("https://www.773grp.com/globalSearch/MM78C29J-883/page-1", "MM78C29J-883")</f>
        <v>MM78C29J-883</v>
      </c>
      <c r="B20531" s="3" t="s">
        <v>116</v>
      </c>
      <c r="C20531" s="6">
        <v>401</v>
      </c>
      <c r="D20531" s="7">
        <v>187.8</v>
      </c>
      <c r="E20531" t="s">
        <v>17</v>
      </c>
    </row>
    <row r="20532" spans="1:5" x14ac:dyDescent="0.25">
      <c r="A20532" t="str">
        <f>HYPERLINK("https://www.773grp.com/globalSearch/MM78C30J-883/page-1", "MM78C30J-883")</f>
        <v>MM78C30J-883</v>
      </c>
      <c r="B20532" s="3" t="s">
        <v>116</v>
      </c>
      <c r="C20532" s="6">
        <v>233</v>
      </c>
      <c r="D20532" s="7">
        <v>187.8</v>
      </c>
      <c r="E20532" t="s">
        <v>17</v>
      </c>
    </row>
    <row r="20533" spans="1:5" x14ac:dyDescent="0.25">
      <c r="A20533" t="str">
        <f>HYPERLINK("https://www.773grp.com/globalSearch/TN80C186EB-16/page-1", "TN80C186EB-16")</f>
        <v>TN80C186EB-16</v>
      </c>
      <c r="B20533" s="3" t="s">
        <v>116</v>
      </c>
      <c r="C20533" s="6">
        <v>199</v>
      </c>
      <c r="D20533" s="7">
        <v>187.98</v>
      </c>
    </row>
    <row r="20534" spans="1:5" x14ac:dyDescent="0.25">
      <c r="A20534" t="str">
        <f>HYPERLINK("https://www.773grp.com/globalSearch/EP910LI-30/page-1", "EP910LI-30")</f>
        <v>EP910LI-30</v>
      </c>
      <c r="B20534" s="3" t="s">
        <v>116</v>
      </c>
      <c r="C20534" s="6">
        <v>1109</v>
      </c>
      <c r="D20534" s="7">
        <v>188.53</v>
      </c>
      <c r="E20534" t="s">
        <v>42</v>
      </c>
    </row>
    <row r="20535" spans="1:5" x14ac:dyDescent="0.25">
      <c r="A20535" t="str">
        <f>HYPERLINK("https://www.773grp.com/globalSearch/MC1906F/page-1", "MC1906F")</f>
        <v>MC1906F</v>
      </c>
      <c r="B20535" s="3" t="s">
        <v>116</v>
      </c>
      <c r="C20535" s="6">
        <v>968</v>
      </c>
      <c r="D20535" s="7">
        <v>189.05</v>
      </c>
    </row>
    <row r="20536" spans="1:5" x14ac:dyDescent="0.25">
      <c r="A20536" t="str">
        <f>HYPERLINK("https://www.773grp.com/globalSearch/R753108/page-1", "R753108")</f>
        <v>R753108</v>
      </c>
      <c r="B20536" s="3" t="s">
        <v>116</v>
      </c>
      <c r="C20536" s="6">
        <v>451</v>
      </c>
      <c r="D20536" s="7">
        <v>189.05</v>
      </c>
    </row>
    <row r="20537" spans="1:5" x14ac:dyDescent="0.25">
      <c r="A20537" t="str">
        <f>HYPERLINK("https://www.773grp.com/globalSearch/54165-BFA/page-1", "54165-BFA")</f>
        <v>54165-BFA</v>
      </c>
      <c r="B20537" s="3" t="s">
        <v>116</v>
      </c>
      <c r="C20537" s="6">
        <v>399</v>
      </c>
      <c r="D20537" s="7">
        <v>189.05</v>
      </c>
    </row>
    <row r="20538" spans="1:5" x14ac:dyDescent="0.25">
      <c r="A20538" t="str">
        <f>HYPERLINK("https://www.773grp.com/globalSearch/5493-BCA/page-1", "5493-BCA")</f>
        <v>5493-BCA</v>
      </c>
      <c r="B20538" s="3" t="s">
        <v>116</v>
      </c>
      <c r="C20538" s="6">
        <v>1452</v>
      </c>
      <c r="D20538" s="7">
        <v>190.19</v>
      </c>
      <c r="E20538" t="s">
        <v>22</v>
      </c>
    </row>
    <row r="20539" spans="1:5" x14ac:dyDescent="0.25">
      <c r="A20539" t="str">
        <f>HYPERLINK("https://www.773grp.com/globalSearch/DS7832W-883B/page-1", "DS7832W-883B")</f>
        <v>DS7832W-883B</v>
      </c>
      <c r="B20539" s="3" t="s">
        <v>116</v>
      </c>
      <c r="C20539" s="6">
        <v>924</v>
      </c>
      <c r="D20539" s="7">
        <v>191.81</v>
      </c>
    </row>
    <row r="20540" spans="1:5" x14ac:dyDescent="0.25">
      <c r="A20540" t="str">
        <f>HYPERLINK("https://www.773grp.com/globalSearch/LM104H-883/page-1", "LM104H-883")</f>
        <v>LM104H-883</v>
      </c>
      <c r="B20540" s="3" t="s">
        <v>116</v>
      </c>
      <c r="C20540" s="6">
        <v>350</v>
      </c>
      <c r="D20540" s="7">
        <v>192.24</v>
      </c>
    </row>
    <row r="20541" spans="1:5" x14ac:dyDescent="0.25">
      <c r="A20541" t="str">
        <f>HYPERLINK("https://www.773grp.com/globalSearch/LM759MH/page-1", "LM759MH")</f>
        <v>LM759MH</v>
      </c>
      <c r="B20541" s="3" t="s">
        <v>116</v>
      </c>
      <c r="C20541" s="6">
        <v>34</v>
      </c>
      <c r="D20541" s="7">
        <v>194.05</v>
      </c>
      <c r="E20541" t="s">
        <v>10</v>
      </c>
    </row>
    <row r="20542" spans="1:5" x14ac:dyDescent="0.25">
      <c r="A20542" t="str">
        <f>HYPERLINK("https://www.773grp.com/globalSearch/54L02J-C/page-1", "54L02J-C")</f>
        <v>54L02J-C</v>
      </c>
      <c r="B20542" s="3" t="s">
        <v>116</v>
      </c>
      <c r="C20542" s="6">
        <v>256</v>
      </c>
      <c r="D20542" s="7">
        <v>195.35</v>
      </c>
    </row>
    <row r="20543" spans="1:5" x14ac:dyDescent="0.25">
      <c r="A20543" t="str">
        <f>HYPERLINK("https://www.773grp.com/globalSearch/27S47SADM-B/page-1", "27S47SADM-B")</f>
        <v>27S47SADM-B</v>
      </c>
      <c r="B20543" s="3" t="s">
        <v>116</v>
      </c>
      <c r="C20543" s="6">
        <v>112</v>
      </c>
      <c r="D20543" s="7">
        <v>195.35</v>
      </c>
    </row>
    <row r="20544" spans="1:5" x14ac:dyDescent="0.25">
      <c r="A20544" t="str">
        <f>HYPERLINK("https://www.773grp.com/globalSearch/LM161J-883/page-1", "LM161J-883")</f>
        <v>LM161J-883</v>
      </c>
      <c r="B20544" s="3" t="s">
        <v>116</v>
      </c>
      <c r="C20544" s="6">
        <v>760</v>
      </c>
      <c r="D20544" s="7">
        <v>195.7</v>
      </c>
      <c r="E20544" t="s">
        <v>6</v>
      </c>
    </row>
    <row r="20545" spans="1:5" x14ac:dyDescent="0.25">
      <c r="A20545" t="str">
        <f>HYPERLINK("https://www.773grp.com/globalSearch/R534185/page-1", "R534185")</f>
        <v>R534185</v>
      </c>
      <c r="B20545" s="3" t="s">
        <v>116</v>
      </c>
      <c r="C20545" s="6">
        <v>305</v>
      </c>
      <c r="D20545" s="7">
        <v>195.8</v>
      </c>
    </row>
    <row r="20546" spans="1:5" x14ac:dyDescent="0.25">
      <c r="A20546" t="str">
        <f>HYPERLINK("https://www.773grp.com/globalSearch/54H30J-C/page-1", "54H30J-C")</f>
        <v>54H30J-C</v>
      </c>
      <c r="B20546" s="3" t="s">
        <v>116</v>
      </c>
      <c r="C20546" s="6">
        <v>191</v>
      </c>
      <c r="D20546" s="7">
        <v>196.61</v>
      </c>
    </row>
    <row r="20547" spans="1:5" x14ac:dyDescent="0.25">
      <c r="A20547" t="str">
        <f>HYPERLINK("https://www.773grp.com/globalSearch/9009DM-C/page-1", "9009DM-C")</f>
        <v>9009DM-C</v>
      </c>
      <c r="B20547" s="3" t="s">
        <v>116</v>
      </c>
      <c r="C20547" s="6">
        <v>288</v>
      </c>
      <c r="D20547" s="7">
        <v>196.61</v>
      </c>
    </row>
    <row r="20548" spans="1:5" x14ac:dyDescent="0.25">
      <c r="A20548" t="str">
        <f>HYPERLINK("https://www.773grp.com/globalSearch/9014DM-B/page-1", "9014DM-B")</f>
        <v>9014DM-B</v>
      </c>
      <c r="B20548" s="3" t="s">
        <v>116</v>
      </c>
      <c r="C20548" s="6">
        <v>306</v>
      </c>
      <c r="D20548" s="7">
        <v>196.61</v>
      </c>
    </row>
    <row r="20549" spans="1:5" x14ac:dyDescent="0.25">
      <c r="A20549" t="str">
        <f>HYPERLINK("https://www.773grp.com/globalSearch/932FM-R/page-1", "932FM-R")</f>
        <v>932FM-R</v>
      </c>
      <c r="B20549" s="3" t="s">
        <v>116</v>
      </c>
      <c r="C20549" s="6">
        <v>410</v>
      </c>
      <c r="D20549" s="7">
        <v>196.61</v>
      </c>
    </row>
    <row r="20550" spans="1:5" x14ac:dyDescent="0.25">
      <c r="A20550" t="str">
        <f>HYPERLINK("https://www.773grp.com/globalSearch/93L422FM-B/page-1", "93L422FM-B")</f>
        <v>93L422FM-B</v>
      </c>
      <c r="B20550" s="3" t="s">
        <v>116</v>
      </c>
      <c r="C20550" s="6">
        <v>615</v>
      </c>
      <c r="D20550" s="7">
        <v>196.61</v>
      </c>
    </row>
    <row r="20551" spans="1:5" x14ac:dyDescent="0.25">
      <c r="A20551" t="str">
        <f>HYPERLINK("https://www.773grp.com/globalSearch/950HM-R/page-1", "950HM-R")</f>
        <v>950HM-R</v>
      </c>
      <c r="B20551" s="3" t="s">
        <v>116</v>
      </c>
      <c r="C20551" s="6">
        <v>390</v>
      </c>
      <c r="D20551" s="7">
        <v>196.61</v>
      </c>
    </row>
    <row r="20552" spans="1:5" x14ac:dyDescent="0.25">
      <c r="A20552" t="str">
        <f>HYPERLINK("https://www.773grp.com/globalSearch/26S02LM-B/page-1", "26S02LM-B")</f>
        <v>26S02LM-B</v>
      </c>
      <c r="B20552" s="3" t="s">
        <v>116</v>
      </c>
      <c r="C20552" s="6">
        <v>75</v>
      </c>
      <c r="D20552" s="7">
        <v>196.61</v>
      </c>
    </row>
    <row r="20553" spans="1:5" x14ac:dyDescent="0.25">
      <c r="A20553" t="str">
        <f>HYPERLINK("https://www.773grp.com/globalSearch/DG201AAK/page-1", "DG201AAK")</f>
        <v>DG201AAK</v>
      </c>
      <c r="B20553" s="3" t="s">
        <v>116</v>
      </c>
      <c r="C20553" s="6">
        <v>655</v>
      </c>
      <c r="D20553" s="7">
        <v>196.61</v>
      </c>
      <c r="E20553" t="s">
        <v>46</v>
      </c>
    </row>
    <row r="20554" spans="1:5" x14ac:dyDescent="0.25">
      <c r="A20554" t="str">
        <f>HYPERLINK("https://www.773grp.com/globalSearch/54HC221AJ-883C/page-1", "54HC221AJ-883C")</f>
        <v>54HC221AJ-883C</v>
      </c>
      <c r="B20554" s="3" t="s">
        <v>116</v>
      </c>
      <c r="C20554" s="6">
        <v>144</v>
      </c>
      <c r="D20554" s="7">
        <v>196.61</v>
      </c>
    </row>
    <row r="20555" spans="1:5" x14ac:dyDescent="0.25">
      <c r="A20555" t="str">
        <f>HYPERLINK("https://www.773grp.com/globalSearch/933FM-B/page-1", "933FM-B")</f>
        <v>933FM-B</v>
      </c>
      <c r="B20555" s="3" t="s">
        <v>116</v>
      </c>
      <c r="C20555" s="6">
        <v>454</v>
      </c>
      <c r="D20555" s="7">
        <v>196.61</v>
      </c>
    </row>
    <row r="20556" spans="1:5" x14ac:dyDescent="0.25">
      <c r="A20556" t="str">
        <f>HYPERLINK("https://www.773grp.com/globalSearch/93425FM-B/page-1", "93425FM-B")</f>
        <v>93425FM-B</v>
      </c>
      <c r="B20556" s="3" t="s">
        <v>116</v>
      </c>
      <c r="C20556" s="6">
        <v>3580</v>
      </c>
      <c r="D20556" s="7">
        <v>196.61</v>
      </c>
    </row>
    <row r="20557" spans="1:5" x14ac:dyDescent="0.25">
      <c r="A20557" t="str">
        <f>HYPERLINK("https://www.773grp.com/globalSearch/9962-BCA/page-1", "9962-BCA")</f>
        <v>9962-BCA</v>
      </c>
      <c r="B20557" s="3" t="s">
        <v>116</v>
      </c>
      <c r="C20557" s="6">
        <v>1228</v>
      </c>
      <c r="D20557" s="7">
        <v>196.61</v>
      </c>
    </row>
    <row r="20558" spans="1:5" x14ac:dyDescent="0.25">
      <c r="A20558" t="str">
        <f>HYPERLINK("https://www.773grp.com/globalSearch/LM106H-B/page-1", "LM106H-B")</f>
        <v>LM106H-B</v>
      </c>
      <c r="B20558" s="3" t="s">
        <v>116</v>
      </c>
      <c r="C20558" s="6">
        <v>132</v>
      </c>
      <c r="D20558" s="7">
        <v>196.61</v>
      </c>
    </row>
    <row r="20559" spans="1:5" x14ac:dyDescent="0.25">
      <c r="A20559" t="str">
        <f>HYPERLINK("https://www.773grp.com/globalSearch/54HC30FK-B/page-1", "54HC30FK-B")</f>
        <v>54HC30FK-B</v>
      </c>
      <c r="B20559" s="3" t="s">
        <v>116</v>
      </c>
      <c r="C20559" s="6">
        <v>466</v>
      </c>
      <c r="D20559" s="7">
        <v>196.61</v>
      </c>
    </row>
    <row r="20560" spans="1:5" x14ac:dyDescent="0.25">
      <c r="A20560" t="str">
        <f>HYPERLINK("https://www.773grp.com/globalSearch/54LS196W-B/page-1", "54LS196W-B")</f>
        <v>54LS196W-B</v>
      </c>
      <c r="B20560" s="3" t="s">
        <v>116</v>
      </c>
      <c r="C20560" s="6">
        <v>115</v>
      </c>
      <c r="D20560" s="7">
        <v>196.61</v>
      </c>
    </row>
    <row r="20561" spans="1:5" x14ac:dyDescent="0.25">
      <c r="A20561" t="str">
        <f>HYPERLINK("https://www.773grp.com/globalSearch/54LS348-BEA/page-1", "54LS348-BEA")</f>
        <v>54LS348-BEA</v>
      </c>
      <c r="B20561" s="3" t="s">
        <v>116</v>
      </c>
      <c r="C20561" s="6">
        <v>441</v>
      </c>
      <c r="D20561" s="7">
        <v>196.61</v>
      </c>
    </row>
    <row r="20562" spans="1:5" x14ac:dyDescent="0.25">
      <c r="A20562" t="str">
        <f>HYPERLINK("https://www.773grp.com/globalSearch/54S22FK-B/page-1", "54S22FK-B")</f>
        <v>54S22FK-B</v>
      </c>
      <c r="B20562" s="3" t="s">
        <v>116</v>
      </c>
      <c r="C20562" s="6">
        <v>24</v>
      </c>
      <c r="D20562" s="7">
        <v>196.61</v>
      </c>
    </row>
    <row r="20563" spans="1:5" x14ac:dyDescent="0.25">
      <c r="A20563" t="str">
        <f>HYPERLINK("https://www.773grp.com/globalSearch/TL514MJ-R/page-1", "TL514MJ-R")</f>
        <v>TL514MJ-R</v>
      </c>
      <c r="B20563" s="3" t="s">
        <v>116</v>
      </c>
      <c r="C20563" s="6">
        <v>890</v>
      </c>
      <c r="D20563" s="7">
        <v>196.61</v>
      </c>
    </row>
    <row r="20564" spans="1:5" x14ac:dyDescent="0.25">
      <c r="A20564" t="str">
        <f>HYPERLINK("https://www.773grp.com/globalSearch/TL820MJ-R/page-1", "TL820MJ-R")</f>
        <v>TL820MJ-R</v>
      </c>
      <c r="B20564" s="3" t="s">
        <v>116</v>
      </c>
      <c r="C20564" s="6">
        <v>1840</v>
      </c>
      <c r="D20564" s="7">
        <v>196.61</v>
      </c>
    </row>
    <row r="20565" spans="1:5" x14ac:dyDescent="0.25">
      <c r="A20565" t="str">
        <f>HYPERLINK("https://www.773grp.com/globalSearch/UC1635J/page-1", "UC1635J")</f>
        <v>UC1635J</v>
      </c>
      <c r="B20565" s="3" t="s">
        <v>116</v>
      </c>
      <c r="C20565" s="6">
        <v>555</v>
      </c>
      <c r="D20565" s="7">
        <v>196.61</v>
      </c>
      <c r="E20565" t="s">
        <v>34</v>
      </c>
    </row>
    <row r="20566" spans="1:5" x14ac:dyDescent="0.25">
      <c r="A20566" t="str">
        <f>HYPERLINK("https://www.773grp.com/globalSearch/93L01DM-B/page-1", "93L01DM-B")</f>
        <v>93L01DM-B</v>
      </c>
      <c r="B20566" s="3" t="s">
        <v>116</v>
      </c>
      <c r="C20566" s="6">
        <v>50</v>
      </c>
      <c r="D20566" s="7">
        <v>196.94</v>
      </c>
    </row>
    <row r="20567" spans="1:5" x14ac:dyDescent="0.25">
      <c r="A20567" t="str">
        <f>HYPERLINK("https://www.773grp.com/globalSearch/2914FM-B/page-1", "2914FM-B")</f>
        <v>2914FM-B</v>
      </c>
      <c r="B20567" s="3" t="s">
        <v>116</v>
      </c>
      <c r="C20567" s="6">
        <v>293</v>
      </c>
      <c r="D20567" s="7">
        <v>197.11</v>
      </c>
    </row>
    <row r="20568" spans="1:5" x14ac:dyDescent="0.25">
      <c r="A20568" t="str">
        <f>HYPERLINK("https://www.773grp.com/globalSearch/27S35FM-B/page-1", "27S35FM-B")</f>
        <v>27S35FM-B</v>
      </c>
      <c r="B20568" s="3" t="s">
        <v>116</v>
      </c>
      <c r="C20568" s="6">
        <v>78</v>
      </c>
      <c r="D20568" s="7">
        <v>197.54</v>
      </c>
    </row>
    <row r="20569" spans="1:5" x14ac:dyDescent="0.25">
      <c r="A20569" t="str">
        <f>HYPERLINK("https://www.773grp.com/globalSearch/CA3040T-R/page-1", "CA3040T-R")</f>
        <v>CA3040T-R</v>
      </c>
      <c r="B20569" s="3" t="s">
        <v>116</v>
      </c>
      <c r="C20569" s="6">
        <v>15</v>
      </c>
      <c r="D20569" s="7">
        <v>198.5</v>
      </c>
    </row>
    <row r="20570" spans="1:5" x14ac:dyDescent="0.25">
      <c r="A20570" t="str">
        <f>HYPERLINK("https://www.773grp.com/globalSearch/96106DM-B/page-1", "96106DM-B")</f>
        <v>96106DM-B</v>
      </c>
      <c r="B20570" s="3" t="s">
        <v>116</v>
      </c>
      <c r="C20570" s="6">
        <v>24</v>
      </c>
      <c r="D20570" s="7">
        <v>198.96</v>
      </c>
    </row>
    <row r="20571" spans="1:5" x14ac:dyDescent="0.25">
      <c r="A20571" t="str">
        <f>HYPERLINK("https://www.773grp.com/globalSearch/54L98J-B/page-1", "54L98J-B")</f>
        <v>54L98J-B</v>
      </c>
      <c r="B20571" s="3" t="s">
        <v>116</v>
      </c>
      <c r="C20571" s="6">
        <v>98</v>
      </c>
      <c r="D20571" s="7">
        <v>199.13</v>
      </c>
    </row>
    <row r="20572" spans="1:5" x14ac:dyDescent="0.25">
      <c r="A20572" t="str">
        <f>HYPERLINK("https://www.773grp.com/globalSearch/54LS461AW-B/page-1", "54LS461AW-B")</f>
        <v>54LS461AW-B</v>
      </c>
      <c r="B20572" s="3" t="s">
        <v>116</v>
      </c>
      <c r="C20572" s="6">
        <v>931</v>
      </c>
      <c r="D20572" s="7">
        <v>199.13</v>
      </c>
    </row>
    <row r="20573" spans="1:5" x14ac:dyDescent="0.25">
      <c r="A20573" t="str">
        <f>HYPERLINK("https://www.773grp.com/globalSearch/MC27128A-30-BYA/page-1", "MC27128A-30-BYA")</f>
        <v>MC27128A-30-BYA</v>
      </c>
      <c r="B20573" s="3" t="s">
        <v>116</v>
      </c>
      <c r="C20573" s="6">
        <v>90</v>
      </c>
      <c r="D20573" s="7">
        <v>199.13</v>
      </c>
    </row>
    <row r="20574" spans="1:5" x14ac:dyDescent="0.25">
      <c r="A20574" t="str">
        <f>HYPERLINK("https://www.773grp.com/globalSearch/LM7711-BIA/page-1", "LM7711-BIA")</f>
        <v>LM7711-BIA</v>
      </c>
      <c r="B20574" s="3" t="s">
        <v>116</v>
      </c>
      <c r="C20574" s="6">
        <v>502</v>
      </c>
      <c r="D20574" s="7">
        <v>199.13</v>
      </c>
    </row>
    <row r="20575" spans="1:5" x14ac:dyDescent="0.25">
      <c r="A20575" t="str">
        <f>HYPERLINK("https://www.773grp.com/globalSearch/27S41ADM-B/page-1", "27S41ADM-B")</f>
        <v>27S41ADM-B</v>
      </c>
      <c r="B20575" s="3" t="s">
        <v>116</v>
      </c>
      <c r="C20575" s="6">
        <v>520</v>
      </c>
      <c r="D20575" s="7">
        <v>199.76</v>
      </c>
    </row>
    <row r="20576" spans="1:5" x14ac:dyDescent="0.25">
      <c r="A20576" t="str">
        <f>HYPERLINK("https://www.773grp.com/globalSearch/5493-BDA/page-1", "5493-BDA")</f>
        <v>5493-BDA</v>
      </c>
      <c r="B20576" s="3" t="s">
        <v>116</v>
      </c>
      <c r="C20576" s="6">
        <v>914</v>
      </c>
      <c r="D20576" s="7">
        <v>200.76</v>
      </c>
      <c r="E20576" t="s">
        <v>22</v>
      </c>
    </row>
    <row r="20577" spans="1:4" x14ac:dyDescent="0.25">
      <c r="A20577" t="str">
        <f>HYPERLINK("https://www.773grp.com/globalSearch/5433J-B/page-1", "5433J-B")</f>
        <v>5433J-B</v>
      </c>
      <c r="B20577" s="3" t="s">
        <v>116</v>
      </c>
      <c r="C20577" s="6">
        <v>1202</v>
      </c>
      <c r="D20577" s="7">
        <v>200.76</v>
      </c>
    </row>
    <row r="20578" spans="1:4" x14ac:dyDescent="0.25">
      <c r="A20578" t="str">
        <f>HYPERLINK("https://www.773grp.com/globalSearch/9022FM/page-1", "9022FM")</f>
        <v>9022FM</v>
      </c>
      <c r="B20578" s="3" t="s">
        <v>116</v>
      </c>
      <c r="C20578" s="6">
        <v>485</v>
      </c>
      <c r="D20578" s="7">
        <v>201.64</v>
      </c>
    </row>
    <row r="20579" spans="1:4" x14ac:dyDescent="0.25">
      <c r="A20579" t="str">
        <f>HYPERLINK("https://www.773grp.com/globalSearch/932210-2B/page-1", "932210-2B")</f>
        <v>932210-2B</v>
      </c>
      <c r="B20579" s="3" t="s">
        <v>116</v>
      </c>
      <c r="C20579" s="6">
        <v>292</v>
      </c>
      <c r="D20579" s="7">
        <v>201.64</v>
      </c>
    </row>
    <row r="20580" spans="1:4" x14ac:dyDescent="0.25">
      <c r="A20580" t="str">
        <f>HYPERLINK("https://www.773grp.com/globalSearch/932913-1B/page-1", "932913-1B")</f>
        <v>932913-1B</v>
      </c>
      <c r="B20580" s="3" t="s">
        <v>116</v>
      </c>
      <c r="C20580" s="6">
        <v>477</v>
      </c>
      <c r="D20580" s="7">
        <v>201.64</v>
      </c>
    </row>
    <row r="20581" spans="1:4" x14ac:dyDescent="0.25">
      <c r="A20581" t="str">
        <f>HYPERLINK("https://www.773grp.com/globalSearch/2904DM/page-1", "2904DM")</f>
        <v>2904DM</v>
      </c>
      <c r="B20581" s="3" t="s">
        <v>116</v>
      </c>
      <c r="C20581" s="6">
        <v>485</v>
      </c>
      <c r="D20581" s="7">
        <v>201.64</v>
      </c>
    </row>
    <row r="20582" spans="1:4" x14ac:dyDescent="0.25">
      <c r="A20582" t="str">
        <f>HYPERLINK("https://www.773grp.com/globalSearch/MD2114-BVA/page-1", "MD2114-BVA")</f>
        <v>MD2114-BVA</v>
      </c>
      <c r="B20582" s="3" t="s">
        <v>116</v>
      </c>
      <c r="C20582" s="6">
        <v>143</v>
      </c>
      <c r="D20582" s="7">
        <v>201.64</v>
      </c>
    </row>
    <row r="20583" spans="1:4" x14ac:dyDescent="0.25">
      <c r="A20583" t="str">
        <f>HYPERLINK("https://www.773grp.com/globalSearch/93L422AFM-B/page-1", "93L422AFM-B")</f>
        <v>93L422AFM-B</v>
      </c>
      <c r="B20583" s="3" t="s">
        <v>116</v>
      </c>
      <c r="C20583" s="6">
        <v>231</v>
      </c>
      <c r="D20583" s="7">
        <v>201.64</v>
      </c>
    </row>
    <row r="20584" spans="1:4" x14ac:dyDescent="0.25">
      <c r="A20584" t="str">
        <f>HYPERLINK("https://www.773grp.com/globalSearch/R1072/page-1", "R1072")</f>
        <v>R1072</v>
      </c>
      <c r="B20584" s="3" t="s">
        <v>116</v>
      </c>
      <c r="C20584" s="6">
        <v>688</v>
      </c>
      <c r="D20584" s="7">
        <v>201.64</v>
      </c>
    </row>
    <row r="20585" spans="1:4" x14ac:dyDescent="0.25">
      <c r="A20585" t="str">
        <f>HYPERLINK("https://www.773grp.com/globalSearch/54ACT11280FK-R/page-1", "54ACT11280FK-R")</f>
        <v>54ACT11280FK-R</v>
      </c>
      <c r="B20585" s="3" t="s">
        <v>116</v>
      </c>
      <c r="C20585" s="6">
        <v>268</v>
      </c>
      <c r="D20585" s="7">
        <v>201.64</v>
      </c>
    </row>
    <row r="20586" spans="1:4" x14ac:dyDescent="0.25">
      <c r="A20586" t="str">
        <f>HYPERLINK("https://www.773grp.com/globalSearch/54H30W-C/page-1", "54H30W-C")</f>
        <v>54H30W-C</v>
      </c>
      <c r="B20586" s="3" t="s">
        <v>116</v>
      </c>
      <c r="C20586" s="6">
        <v>242</v>
      </c>
      <c r="D20586" s="7">
        <v>203.14</v>
      </c>
    </row>
    <row r="20587" spans="1:4" x14ac:dyDescent="0.25">
      <c r="A20587" t="str">
        <f>HYPERLINK("https://www.773grp.com/globalSearch/54123W-B/page-1", "54123W-B")</f>
        <v>54123W-B</v>
      </c>
      <c r="B20587" s="3" t="s">
        <v>116</v>
      </c>
      <c r="C20587" s="6">
        <v>5</v>
      </c>
      <c r="D20587" s="7">
        <v>204.9</v>
      </c>
    </row>
    <row r="20588" spans="1:4" x14ac:dyDescent="0.25">
      <c r="A20588" t="str">
        <f>HYPERLINK("https://www.773grp.com/globalSearch/54177J-B/page-1", "54177J-B")</f>
        <v>54177J-B</v>
      </c>
      <c r="B20588" s="3" t="s">
        <v>116</v>
      </c>
      <c r="C20588" s="6">
        <v>195</v>
      </c>
      <c r="D20588" s="7">
        <v>205.01</v>
      </c>
    </row>
    <row r="20589" spans="1:4" x14ac:dyDescent="0.25">
      <c r="A20589" t="str">
        <f>HYPERLINK("https://www.773grp.com/globalSearch/MD8254-B/page-1", "MD8254-B")</f>
        <v>MD8254-B</v>
      </c>
      <c r="B20589" s="3" t="s">
        <v>116</v>
      </c>
      <c r="C20589" s="6">
        <v>1271</v>
      </c>
      <c r="D20589" s="7">
        <v>205.89</v>
      </c>
    </row>
    <row r="20590" spans="1:4" x14ac:dyDescent="0.25">
      <c r="A20590" t="str">
        <f>HYPERLINK("https://www.773grp.com/globalSearch/78M05MFK/page-1", "78M05MFK")</f>
        <v>78M05MFK</v>
      </c>
      <c r="B20590" s="3" t="s">
        <v>116</v>
      </c>
      <c r="C20590" s="6">
        <v>19</v>
      </c>
      <c r="D20590" s="7">
        <v>206.44</v>
      </c>
    </row>
    <row r="20591" spans="1:4" x14ac:dyDescent="0.25">
      <c r="A20591" t="str">
        <f>HYPERLINK("https://www.773grp.com/globalSearch/27LS00FM-B/page-1", "27LS00FM-B")</f>
        <v>27LS00FM-B</v>
      </c>
      <c r="B20591" s="3" t="s">
        <v>116</v>
      </c>
      <c r="C20591" s="6">
        <v>1582</v>
      </c>
      <c r="D20591" s="7">
        <v>206.69</v>
      </c>
    </row>
    <row r="20592" spans="1:4" x14ac:dyDescent="0.25">
      <c r="A20592" t="str">
        <f>HYPERLINK("https://www.773grp.com/globalSearch/54L96DM-B/page-1", "54L96DM-B")</f>
        <v>54L96DM-B</v>
      </c>
      <c r="B20592" s="3" t="s">
        <v>116</v>
      </c>
      <c r="C20592" s="6">
        <v>709</v>
      </c>
      <c r="D20592" s="7">
        <v>206.69</v>
      </c>
    </row>
    <row r="20593" spans="1:5" x14ac:dyDescent="0.25">
      <c r="A20593" t="str">
        <f>HYPERLINK("https://www.773grp.com/globalSearch/C8231A-8/page-1", "C8231A-8")</f>
        <v>C8231A-8</v>
      </c>
      <c r="B20593" s="3" t="s">
        <v>116</v>
      </c>
      <c r="C20593" s="6">
        <v>208</v>
      </c>
      <c r="D20593" s="7">
        <v>206.69</v>
      </c>
    </row>
    <row r="20594" spans="1:5" x14ac:dyDescent="0.25">
      <c r="A20594" t="str">
        <f>HYPERLINK("https://www.773grp.com/globalSearch/R80186-10/page-1", "R80186-10")</f>
        <v>R80186-10</v>
      </c>
      <c r="B20594" s="3" t="s">
        <v>116</v>
      </c>
      <c r="C20594" s="6">
        <v>35</v>
      </c>
      <c r="D20594" s="7">
        <v>206.69</v>
      </c>
      <c r="E20594" t="s">
        <v>66</v>
      </c>
    </row>
    <row r="20595" spans="1:5" x14ac:dyDescent="0.25">
      <c r="A20595" t="str">
        <f>HYPERLINK("https://www.773grp.com/globalSearch/27LS00FM-B/page-1", "27LS00FM-B")</f>
        <v>27LS00FM-B</v>
      </c>
      <c r="B20595" s="3" t="s">
        <v>116</v>
      </c>
      <c r="C20595" s="6">
        <v>226</v>
      </c>
      <c r="D20595" s="7">
        <v>206.69</v>
      </c>
    </row>
    <row r="20596" spans="1:5" x14ac:dyDescent="0.25">
      <c r="A20596" t="str">
        <f>HYPERLINK("https://www.773grp.com/globalSearch/7160J-B/page-1", "7160J-B")</f>
        <v>7160J-B</v>
      </c>
      <c r="B20596" s="3" t="s">
        <v>116</v>
      </c>
      <c r="C20596" s="6">
        <v>17</v>
      </c>
      <c r="D20596" s="7">
        <v>207.95</v>
      </c>
    </row>
    <row r="20597" spans="1:5" x14ac:dyDescent="0.25">
      <c r="A20597" t="str">
        <f>HYPERLINK("https://www.773grp.com/globalSearch/27S47AFM-B/page-1", "27S47AFM-B")</f>
        <v>27S47AFM-B</v>
      </c>
      <c r="B20597" s="3" t="s">
        <v>116</v>
      </c>
      <c r="C20597" s="6">
        <v>7</v>
      </c>
      <c r="D20597" s="7">
        <v>211.6</v>
      </c>
    </row>
    <row r="20598" spans="1:5" x14ac:dyDescent="0.25">
      <c r="A20598" t="str">
        <f>HYPERLINK("https://www.773grp.com/globalSearch/9020DM-B/page-1", "9020DM-B")</f>
        <v>9020DM-B</v>
      </c>
      <c r="B20598" s="3" t="s">
        <v>116</v>
      </c>
      <c r="C20598" s="6">
        <v>89</v>
      </c>
      <c r="D20598" s="7">
        <v>211.73</v>
      </c>
    </row>
    <row r="20599" spans="1:5" x14ac:dyDescent="0.25">
      <c r="A20599" t="str">
        <f>HYPERLINK("https://www.773grp.com/globalSearch/54LS469AJ-B/page-1", "54LS469AJ-B")</f>
        <v>54LS469AJ-B</v>
      </c>
      <c r="B20599" s="3" t="s">
        <v>116</v>
      </c>
      <c r="C20599" s="6">
        <v>132</v>
      </c>
      <c r="D20599" s="7">
        <v>211.73</v>
      </c>
    </row>
    <row r="20600" spans="1:5" x14ac:dyDescent="0.25">
      <c r="A20600" t="str">
        <f>HYPERLINK("https://www.773grp.com/globalSearch/9020DM-B/page-1", "9020DM-B")</f>
        <v>9020DM-B</v>
      </c>
      <c r="B20600" s="3" t="s">
        <v>116</v>
      </c>
      <c r="C20600" s="6">
        <v>10</v>
      </c>
      <c r="D20600" s="7">
        <v>211.73</v>
      </c>
    </row>
    <row r="20601" spans="1:5" x14ac:dyDescent="0.25">
      <c r="A20601" t="str">
        <f>HYPERLINK("https://www.773grp.com/globalSearch/P8095BH/page-1", "P8095BH")</f>
        <v>P8095BH</v>
      </c>
      <c r="B20601" s="3" t="s">
        <v>116</v>
      </c>
      <c r="C20601" s="6">
        <v>774</v>
      </c>
      <c r="D20601" s="7">
        <v>211.73</v>
      </c>
      <c r="E20601" t="s">
        <v>43</v>
      </c>
    </row>
    <row r="20602" spans="1:5" x14ac:dyDescent="0.25">
      <c r="A20602" t="str">
        <f>HYPERLINK("https://www.773grp.com/globalSearch/2532A-45JM-B/page-1", "2532A-45JM-B")</f>
        <v>2532A-45JM-B</v>
      </c>
      <c r="B20602" s="3" t="s">
        <v>116</v>
      </c>
      <c r="C20602" s="6">
        <v>94</v>
      </c>
      <c r="D20602" s="7">
        <v>213.4</v>
      </c>
    </row>
    <row r="20603" spans="1:5" x14ac:dyDescent="0.25">
      <c r="A20603" t="str">
        <f>HYPERLINK("https://www.773grp.com/globalSearch/54S133-BEA/page-1", "54S133-BEA")</f>
        <v>54S133-BEA</v>
      </c>
      <c r="B20603" s="3" t="s">
        <v>116</v>
      </c>
      <c r="C20603" s="6">
        <v>836</v>
      </c>
      <c r="D20603" s="7">
        <v>213.68</v>
      </c>
      <c r="E20603" t="s">
        <v>27</v>
      </c>
    </row>
    <row r="20604" spans="1:5" x14ac:dyDescent="0.25">
      <c r="A20604" t="str">
        <f>HYPERLINK("https://www.773grp.com/globalSearch/ADSP-2111BS-66/page-1", "ADSP-2111BS-66")</f>
        <v>ADSP-2111BS-66</v>
      </c>
      <c r="B20604" s="3" t="s">
        <v>116</v>
      </c>
      <c r="C20604" s="6">
        <v>9362</v>
      </c>
      <c r="D20604" s="7">
        <v>214.25</v>
      </c>
      <c r="E20604" t="s">
        <v>103</v>
      </c>
    </row>
    <row r="20605" spans="1:5" x14ac:dyDescent="0.25">
      <c r="A20605" t="str">
        <f>HYPERLINK("https://www.773grp.com/globalSearch/DG300A-BIA/page-1", "DG300A-BIA")</f>
        <v>DG300A-BIA</v>
      </c>
      <c r="B20605" s="3" t="s">
        <v>116</v>
      </c>
      <c r="C20605" s="6">
        <v>546</v>
      </c>
      <c r="D20605" s="7">
        <v>214.25</v>
      </c>
    </row>
    <row r="20606" spans="1:5" x14ac:dyDescent="0.25">
      <c r="A20606" t="str">
        <f>HYPERLINK("https://www.773grp.com/globalSearch/IH5012CDE/page-1", "IH5012CDE")</f>
        <v>IH5012CDE</v>
      </c>
      <c r="B20606" s="3" t="s">
        <v>116</v>
      </c>
      <c r="C20606" s="6">
        <v>198</v>
      </c>
      <c r="D20606" s="7">
        <v>214.25</v>
      </c>
      <c r="E20606" t="s">
        <v>46</v>
      </c>
    </row>
    <row r="20607" spans="1:5" x14ac:dyDescent="0.25">
      <c r="A20607" t="str">
        <f>HYPERLINK("https://www.773grp.com/globalSearch/UC2907J/page-1", "UC2907J")</f>
        <v>UC2907J</v>
      </c>
      <c r="B20607" s="3" t="s">
        <v>116</v>
      </c>
      <c r="C20607" s="6">
        <v>139</v>
      </c>
      <c r="D20607" s="7">
        <v>214.25</v>
      </c>
      <c r="E20607" t="s">
        <v>26</v>
      </c>
    </row>
    <row r="20608" spans="1:5" x14ac:dyDescent="0.25">
      <c r="A20608" t="str">
        <f>HYPERLINK("https://www.773grp.com/globalSearch/R753001 LT/page-1", "R753001 LT")</f>
        <v>R753001 LT</v>
      </c>
      <c r="B20608" s="3" t="s">
        <v>116</v>
      </c>
      <c r="C20608" s="6">
        <v>47</v>
      </c>
      <c r="D20608" s="7">
        <v>216.33</v>
      </c>
    </row>
    <row r="20609" spans="1:5" x14ac:dyDescent="0.25">
      <c r="A20609" t="str">
        <f>HYPERLINK("https://www.773grp.com/globalSearch/54HC4049E-B/page-1", "54HC4049E-B")</f>
        <v>54HC4049E-B</v>
      </c>
      <c r="B20609" s="3" t="s">
        <v>116</v>
      </c>
      <c r="C20609" s="6">
        <v>122</v>
      </c>
      <c r="D20609" s="7">
        <v>216.78</v>
      </c>
    </row>
    <row r="20610" spans="1:5" x14ac:dyDescent="0.25">
      <c r="A20610" t="str">
        <f>HYPERLINK("https://www.773grp.com/globalSearch/54HC4050E-B/page-1", "54HC4050E-B")</f>
        <v>54HC4050E-B</v>
      </c>
      <c r="B20610" s="3" t="s">
        <v>116</v>
      </c>
      <c r="C20610" s="6">
        <v>75</v>
      </c>
      <c r="D20610" s="7">
        <v>216.78</v>
      </c>
    </row>
    <row r="20611" spans="1:5" x14ac:dyDescent="0.25">
      <c r="A20611" t="str">
        <f>HYPERLINK("https://www.773grp.com/globalSearch/900HM-2/page-1", "900HM-2")</f>
        <v>900HM-2</v>
      </c>
      <c r="B20611" s="3" t="s">
        <v>116</v>
      </c>
      <c r="C20611" s="6">
        <v>131</v>
      </c>
      <c r="D20611" s="7">
        <v>216.78</v>
      </c>
    </row>
    <row r="20612" spans="1:5" x14ac:dyDescent="0.25">
      <c r="A20612" t="str">
        <f>HYPERLINK("https://www.773grp.com/globalSearch/914HM-2/page-1", "914HM-2")</f>
        <v>914HM-2</v>
      </c>
      <c r="B20612" s="3" t="s">
        <v>116</v>
      </c>
      <c r="C20612" s="6">
        <v>382</v>
      </c>
      <c r="D20612" s="7">
        <v>216.78</v>
      </c>
    </row>
    <row r="20613" spans="1:5" x14ac:dyDescent="0.25">
      <c r="A20613" t="str">
        <f>HYPERLINK("https://www.773grp.com/globalSearch/54LS691FK-B/page-1", "54LS691FK-B")</f>
        <v>54LS691FK-B</v>
      </c>
      <c r="B20613" s="3" t="s">
        <v>116</v>
      </c>
      <c r="C20613" s="6">
        <v>142</v>
      </c>
      <c r="D20613" s="7">
        <v>216.78</v>
      </c>
    </row>
    <row r="20614" spans="1:5" x14ac:dyDescent="0.25">
      <c r="A20614" t="str">
        <f>HYPERLINK("https://www.773grp.com/globalSearch/MM54C195J-883/page-1", "MM54C195J-883")</f>
        <v>MM54C195J-883</v>
      </c>
      <c r="B20614" s="3" t="s">
        <v>116</v>
      </c>
      <c r="C20614" s="6">
        <v>461</v>
      </c>
      <c r="D20614" s="7">
        <v>217.36</v>
      </c>
      <c r="E20614" t="s">
        <v>28</v>
      </c>
    </row>
    <row r="20615" spans="1:5" x14ac:dyDescent="0.25">
      <c r="A20615" t="str">
        <f>HYPERLINK("https://www.773grp.com/globalSearch/LM161H-883/page-1", "LM161H-883")</f>
        <v>LM161H-883</v>
      </c>
      <c r="B20615" s="3" t="s">
        <v>116</v>
      </c>
      <c r="C20615" s="6">
        <v>503</v>
      </c>
      <c r="D20615" s="7">
        <v>217.74</v>
      </c>
      <c r="E20615" t="s">
        <v>6</v>
      </c>
    </row>
    <row r="20616" spans="1:5" x14ac:dyDescent="0.25">
      <c r="A20616" t="str">
        <f>HYPERLINK("https://www.773grp.com/globalSearch/MD82C288-10-R/page-1", "MD82C288-10-R")</f>
        <v>MD82C288-10-R</v>
      </c>
      <c r="B20616" s="3" t="s">
        <v>116</v>
      </c>
      <c r="C20616" s="6">
        <v>4982</v>
      </c>
      <c r="D20616" s="7">
        <v>219.29</v>
      </c>
    </row>
    <row r="20617" spans="1:5" x14ac:dyDescent="0.25">
      <c r="A20617" t="str">
        <f>HYPERLINK("https://www.773grp.com/globalSearch/DP8572AMD/page-1", "DP8572AMD")</f>
        <v>DP8572AMD</v>
      </c>
      <c r="B20617" s="3" t="s">
        <v>116</v>
      </c>
      <c r="C20617" s="6">
        <v>20</v>
      </c>
      <c r="D20617" s="7">
        <v>219.29</v>
      </c>
    </row>
    <row r="20618" spans="1:5" x14ac:dyDescent="0.25">
      <c r="A20618" t="str">
        <f>HYPERLINK("https://www.773grp.com/globalSearch/CLC432A-BPA/page-1", "CLC432A-BPA")</f>
        <v>CLC432A-BPA</v>
      </c>
      <c r="B20618" s="3" t="s">
        <v>116</v>
      </c>
      <c r="C20618" s="6">
        <v>570</v>
      </c>
      <c r="D20618" s="7">
        <v>220.11</v>
      </c>
    </row>
    <row r="20619" spans="1:5" x14ac:dyDescent="0.25">
      <c r="A20619" t="str">
        <f>HYPERLINK("https://www.773grp.com/globalSearch/9519ADM-B/page-1", "9519ADM-B")</f>
        <v>9519ADM-B</v>
      </c>
      <c r="B20619" s="3" t="s">
        <v>116</v>
      </c>
      <c r="C20619" s="6">
        <v>2171</v>
      </c>
      <c r="D20619" s="7">
        <v>220.35</v>
      </c>
    </row>
    <row r="20620" spans="1:5" x14ac:dyDescent="0.25">
      <c r="A20620" t="str">
        <f>HYPERLINK("https://www.773grp.com/globalSearch/CLC449A-BPA/page-1", "CLC449A-BPA")</f>
        <v>CLC449A-BPA</v>
      </c>
      <c r="B20620" s="3" t="s">
        <v>116</v>
      </c>
      <c r="C20620" s="6">
        <v>538</v>
      </c>
      <c r="D20620" s="7">
        <v>220.68</v>
      </c>
    </row>
    <row r="20621" spans="1:5" x14ac:dyDescent="0.25">
      <c r="A20621" t="str">
        <f>HYPERLINK("https://www.773grp.com/globalSearch/74S201J-R/page-1", "74S201J-R")</f>
        <v>74S201J-R</v>
      </c>
      <c r="B20621" s="3" t="s">
        <v>116</v>
      </c>
      <c r="C20621" s="6">
        <v>237</v>
      </c>
      <c r="D20621" s="7">
        <v>220.74</v>
      </c>
    </row>
    <row r="20622" spans="1:5" x14ac:dyDescent="0.25">
      <c r="A20622" t="str">
        <f>HYPERLINK("https://www.773grp.com/globalSearch/25S18DM-B  LT/page-1", "25S18DM-B  LT")</f>
        <v>25S18DM-B  LT</v>
      </c>
      <c r="B20622" s="3" t="s">
        <v>116</v>
      </c>
      <c r="C20622" s="6">
        <v>48</v>
      </c>
      <c r="D20622" s="7">
        <v>221.8</v>
      </c>
    </row>
    <row r="20623" spans="1:5" x14ac:dyDescent="0.25">
      <c r="A20623" t="str">
        <f>HYPERLINK("https://www.773grp.com/globalSearch/54L91DM/page-1", "54L91DM")</f>
        <v>54L91DM</v>
      </c>
      <c r="B20623" s="3" t="s">
        <v>116</v>
      </c>
      <c r="C20623" s="6">
        <v>481</v>
      </c>
      <c r="D20623" s="7">
        <v>221.8</v>
      </c>
    </row>
    <row r="20624" spans="1:5" x14ac:dyDescent="0.25">
      <c r="A20624" t="str">
        <f>HYPERLINK("https://www.773grp.com/globalSearch/75120T/page-1", "75120T")</f>
        <v>75120T</v>
      </c>
      <c r="B20624" s="3" t="s">
        <v>116</v>
      </c>
      <c r="C20624" s="6">
        <v>210</v>
      </c>
      <c r="D20624" s="7">
        <v>221.8</v>
      </c>
    </row>
    <row r="20625" spans="1:4" x14ac:dyDescent="0.25">
      <c r="A20625" t="str">
        <f>HYPERLINK("https://www.773grp.com/globalSearch/9003FM-R/page-1", "9003FM-R")</f>
        <v>9003FM-R</v>
      </c>
      <c r="B20625" s="3" t="s">
        <v>116</v>
      </c>
      <c r="C20625" s="6">
        <v>22</v>
      </c>
      <c r="D20625" s="7">
        <v>221.8</v>
      </c>
    </row>
    <row r="20626" spans="1:4" x14ac:dyDescent="0.25">
      <c r="A20626" t="str">
        <f>HYPERLINK("https://www.773grp.com/globalSearch/9022DM-B/page-1", "9022DM-B")</f>
        <v>9022DM-B</v>
      </c>
      <c r="B20626" s="3" t="s">
        <v>116</v>
      </c>
      <c r="C20626" s="6">
        <v>55</v>
      </c>
      <c r="D20626" s="7">
        <v>221.8</v>
      </c>
    </row>
    <row r="20627" spans="1:4" x14ac:dyDescent="0.25">
      <c r="A20627" t="str">
        <f>HYPERLINK("https://www.773grp.com/globalSearch/923HM/page-1", "923HM")</f>
        <v>923HM</v>
      </c>
      <c r="B20627" s="3" t="s">
        <v>116</v>
      </c>
      <c r="C20627" s="6">
        <v>23</v>
      </c>
      <c r="D20627" s="7">
        <v>221.8</v>
      </c>
    </row>
    <row r="20628" spans="1:4" x14ac:dyDescent="0.25">
      <c r="A20628" t="str">
        <f>HYPERLINK("https://www.773grp.com/globalSearch/25S18FM-B/page-1", "25S18FM-B")</f>
        <v>25S18FM-B</v>
      </c>
      <c r="B20628" s="3" t="s">
        <v>116</v>
      </c>
      <c r="C20628" s="6">
        <v>2564</v>
      </c>
      <c r="D20628" s="7">
        <v>221.8</v>
      </c>
    </row>
    <row r="20629" spans="1:4" x14ac:dyDescent="0.25">
      <c r="A20629" t="str">
        <f>HYPERLINK("https://www.773grp.com/globalSearch/27S25ADM-B/page-1", "27S25ADM-B")</f>
        <v>27S25ADM-B</v>
      </c>
      <c r="B20629" s="3" t="s">
        <v>116</v>
      </c>
      <c r="C20629" s="6">
        <v>380</v>
      </c>
      <c r="D20629" s="7">
        <v>221.8</v>
      </c>
    </row>
    <row r="20630" spans="1:4" x14ac:dyDescent="0.25">
      <c r="A20630" t="str">
        <f>HYPERLINK("https://www.773grp.com/globalSearch/2911ADM-B/page-1", "2911ADM-B")</f>
        <v>2911ADM-B</v>
      </c>
      <c r="B20630" s="3" t="s">
        <v>116</v>
      </c>
      <c r="C20630" s="6">
        <v>375</v>
      </c>
      <c r="D20630" s="7">
        <v>221.8</v>
      </c>
    </row>
    <row r="20631" spans="1:4" x14ac:dyDescent="0.25">
      <c r="A20631" t="str">
        <f>HYPERLINK("https://www.773grp.com/globalSearch/2966J-B/page-1", "2966J-B")</f>
        <v>2966J-B</v>
      </c>
      <c r="B20631" s="3" t="s">
        <v>116</v>
      </c>
      <c r="C20631" s="6">
        <v>1420</v>
      </c>
      <c r="D20631" s="7">
        <v>221.8</v>
      </c>
    </row>
    <row r="20632" spans="1:4" x14ac:dyDescent="0.25">
      <c r="A20632" t="str">
        <f>HYPERLINK("https://www.773grp.com/globalSearch/2966J-B  LT/page-1", "2966J-B  LT")</f>
        <v>2966J-B  LT</v>
      </c>
      <c r="B20632" s="3" t="s">
        <v>116</v>
      </c>
      <c r="C20632" s="6">
        <v>48</v>
      </c>
      <c r="D20632" s="7">
        <v>221.8</v>
      </c>
    </row>
    <row r="20633" spans="1:4" x14ac:dyDescent="0.25">
      <c r="A20633" t="str">
        <f>HYPERLINK("https://www.773grp.com/globalSearch/93S16DM-B/page-1", "93S16DM-B")</f>
        <v>93S16DM-B</v>
      </c>
      <c r="B20633" s="3" t="s">
        <v>116</v>
      </c>
      <c r="C20633" s="6">
        <v>62</v>
      </c>
      <c r="D20633" s="7">
        <v>221.8</v>
      </c>
    </row>
    <row r="20634" spans="1:4" x14ac:dyDescent="0.25">
      <c r="A20634" t="str">
        <f>HYPERLINK("https://www.773grp.com/globalSearch/MD8212-B/page-1", "MD8212-B")</f>
        <v>MD8212-B</v>
      </c>
      <c r="B20634" s="3" t="s">
        <v>116</v>
      </c>
      <c r="C20634" s="6">
        <v>255</v>
      </c>
      <c r="D20634" s="7">
        <v>221.8</v>
      </c>
    </row>
    <row r="20635" spans="1:4" x14ac:dyDescent="0.25">
      <c r="A20635" t="str">
        <f>HYPERLINK("https://www.773grp.com/globalSearch/MD8284A-B/page-1", "MD8284A-B")</f>
        <v>MD8284A-B</v>
      </c>
      <c r="B20635" s="3" t="s">
        <v>116</v>
      </c>
      <c r="C20635" s="6">
        <v>1117</v>
      </c>
      <c r="D20635" s="7">
        <v>221.8</v>
      </c>
    </row>
    <row r="20636" spans="1:4" x14ac:dyDescent="0.25">
      <c r="A20636" t="str">
        <f>HYPERLINK("https://www.773grp.com/globalSearch/S82S62DM-B/page-1", "S82S62DM-B")</f>
        <v>S82S62DM-B</v>
      </c>
      <c r="B20636" s="3" t="s">
        <v>116</v>
      </c>
      <c r="C20636" s="6">
        <v>1169</v>
      </c>
      <c r="D20636" s="7">
        <v>221.8</v>
      </c>
    </row>
    <row r="20637" spans="1:4" x14ac:dyDescent="0.25">
      <c r="A20637" t="str">
        <f>HYPERLINK("https://www.773grp.com/globalSearch/MD8031AH-B/page-1", "MD8031AH-B")</f>
        <v>MD8031AH-B</v>
      </c>
      <c r="B20637" s="3" t="s">
        <v>116</v>
      </c>
      <c r="C20637" s="6">
        <v>502</v>
      </c>
      <c r="D20637" s="7">
        <v>221.8</v>
      </c>
    </row>
    <row r="20638" spans="1:4" x14ac:dyDescent="0.25">
      <c r="A20638" t="str">
        <f>HYPERLINK("https://www.773grp.com/globalSearch/2504DM-B/page-1", "2504DM-B")</f>
        <v>2504DM-B</v>
      </c>
      <c r="B20638" s="3" t="s">
        <v>116</v>
      </c>
      <c r="C20638" s="6">
        <v>1927</v>
      </c>
      <c r="D20638" s="7">
        <v>221.8</v>
      </c>
    </row>
    <row r="20639" spans="1:4" x14ac:dyDescent="0.25">
      <c r="A20639" t="str">
        <f>HYPERLINK("https://www.773grp.com/globalSearch/25L04DM-B/page-1", "25L04DM-B")</f>
        <v>25L04DM-B</v>
      </c>
      <c r="B20639" s="3" t="s">
        <v>116</v>
      </c>
      <c r="C20639" s="6">
        <v>2194</v>
      </c>
      <c r="D20639" s="7">
        <v>221.8</v>
      </c>
    </row>
    <row r="20640" spans="1:4" x14ac:dyDescent="0.25">
      <c r="A20640" t="str">
        <f>HYPERLINK("https://www.773grp.com/globalSearch/CLC425A-BPA/page-1", "CLC425A-BPA")</f>
        <v>CLC425A-BPA</v>
      </c>
      <c r="B20640" s="3" t="s">
        <v>116</v>
      </c>
      <c r="C20640" s="6">
        <v>1261</v>
      </c>
      <c r="D20640" s="7">
        <v>221.84</v>
      </c>
    </row>
    <row r="20641" spans="1:5" x14ac:dyDescent="0.25">
      <c r="A20641" t="str">
        <f>HYPERLINK("https://www.773grp.com/globalSearch/CLC428A-BPA/page-1", "CLC428A-BPA")</f>
        <v>CLC428A-BPA</v>
      </c>
      <c r="B20641" s="3" t="s">
        <v>116</v>
      </c>
      <c r="C20641" s="6">
        <v>137</v>
      </c>
      <c r="D20641" s="7">
        <v>221.84</v>
      </c>
    </row>
    <row r="20642" spans="1:5" x14ac:dyDescent="0.25">
      <c r="A20642" t="str">
        <f>HYPERLINK("https://www.773grp.com/globalSearch/54152AFM-B/page-1", "54152AFM-B")</f>
        <v>54152AFM-B</v>
      </c>
      <c r="B20642" s="3" t="s">
        <v>116</v>
      </c>
      <c r="C20642" s="6">
        <v>1021</v>
      </c>
      <c r="D20642" s="7">
        <v>222.09</v>
      </c>
    </row>
    <row r="20643" spans="1:5" x14ac:dyDescent="0.25">
      <c r="A20643" t="str">
        <f>HYPERLINK("https://www.773grp.com/globalSearch/2914DM-B/page-1", "2914DM-B")</f>
        <v>2914DM-B</v>
      </c>
      <c r="B20643" s="3" t="s">
        <v>116</v>
      </c>
      <c r="C20643" s="6">
        <v>37</v>
      </c>
      <c r="D20643" s="7">
        <v>222.69</v>
      </c>
    </row>
    <row r="20644" spans="1:5" x14ac:dyDescent="0.25">
      <c r="A20644" t="str">
        <f>HYPERLINK("https://www.773grp.com/globalSearch/CLC431A-BCA/page-1", "CLC431A-BCA")</f>
        <v>CLC431A-BCA</v>
      </c>
      <c r="B20644" s="3" t="s">
        <v>116</v>
      </c>
      <c r="C20644" s="6">
        <v>633</v>
      </c>
      <c r="D20644" s="7">
        <v>223.08</v>
      </c>
    </row>
    <row r="20645" spans="1:5" x14ac:dyDescent="0.25">
      <c r="A20645" t="str">
        <f>HYPERLINK("https://www.773grp.com/globalSearch/CLC522A-BCA/page-1", "CLC522A-BCA")</f>
        <v>CLC522A-BCA</v>
      </c>
      <c r="B20645" s="3" t="s">
        <v>116</v>
      </c>
      <c r="C20645" s="6">
        <v>820</v>
      </c>
      <c r="D20645" s="7">
        <v>223.08</v>
      </c>
    </row>
    <row r="20646" spans="1:5" x14ac:dyDescent="0.25">
      <c r="A20646" t="str">
        <f>HYPERLINK("https://www.773grp.com/globalSearch/CY7C4271-10AI/page-1", "CY7C4271-10AI")</f>
        <v>CY7C4271-10AI</v>
      </c>
      <c r="B20646" s="3" t="s">
        <v>116</v>
      </c>
      <c r="C20646" s="6">
        <v>2441</v>
      </c>
      <c r="D20646" s="7">
        <v>224.98</v>
      </c>
      <c r="E20646" t="s">
        <v>70</v>
      </c>
    </row>
    <row r="20647" spans="1:5" x14ac:dyDescent="0.25">
      <c r="A20647" t="str">
        <f>HYPERLINK("https://www.773grp.com/globalSearch/MR27C256-25-B/page-1", "MR27C256-25-B")</f>
        <v>MR27C256-25-B</v>
      </c>
      <c r="B20647" s="3" t="s">
        <v>116</v>
      </c>
      <c r="C20647" s="6">
        <v>47</v>
      </c>
      <c r="D20647" s="7">
        <v>225.99</v>
      </c>
    </row>
    <row r="20648" spans="1:5" x14ac:dyDescent="0.25">
      <c r="A20648" t="str">
        <f>HYPERLINK("https://www.773grp.com/globalSearch/2909AFM-B/page-1", "2909AFM-B")</f>
        <v>2909AFM-B</v>
      </c>
      <c r="B20648" s="3" t="s">
        <v>116</v>
      </c>
      <c r="C20648" s="6">
        <v>20</v>
      </c>
      <c r="D20648" s="7">
        <v>226.85</v>
      </c>
    </row>
    <row r="20649" spans="1:5" x14ac:dyDescent="0.25">
      <c r="A20649" t="str">
        <f>HYPERLINK("https://www.773grp.com/globalSearch/LD8755A/page-1", "LD8755A")</f>
        <v>LD8755A</v>
      </c>
      <c r="B20649" s="3" t="s">
        <v>116</v>
      </c>
      <c r="C20649" s="6">
        <v>692</v>
      </c>
      <c r="D20649" s="7">
        <v>226.85</v>
      </c>
      <c r="E20649" t="s">
        <v>71</v>
      </c>
    </row>
    <row r="20650" spans="1:5" x14ac:dyDescent="0.25">
      <c r="A20650" t="str">
        <f>HYPERLINK("https://www.773grp.com/globalSearch/54HC4543J-B/page-1", "54HC4543J-B")</f>
        <v>54HC4543J-B</v>
      </c>
      <c r="B20650" s="3" t="s">
        <v>116</v>
      </c>
      <c r="C20650" s="6">
        <v>676</v>
      </c>
      <c r="D20650" s="7">
        <v>226.85</v>
      </c>
    </row>
    <row r="20651" spans="1:5" x14ac:dyDescent="0.25">
      <c r="A20651" t="str">
        <f>HYPERLINK("https://www.773grp.com/globalSearch/54LS626J-B/page-1", "54LS626J-B")</f>
        <v>54LS626J-B</v>
      </c>
      <c r="B20651" s="3" t="s">
        <v>116</v>
      </c>
      <c r="C20651" s="6">
        <v>151</v>
      </c>
      <c r="D20651" s="7">
        <v>227.49</v>
      </c>
    </row>
    <row r="20652" spans="1:5" x14ac:dyDescent="0.25">
      <c r="A20652" t="str">
        <f>HYPERLINK("https://www.773grp.com/globalSearch/ICM7555MTV-883/page-1", "ICM7555MTV-883")</f>
        <v>ICM7555MTV-883</v>
      </c>
      <c r="B20652" s="3" t="s">
        <v>116</v>
      </c>
      <c r="C20652" s="6">
        <v>558</v>
      </c>
      <c r="D20652" s="7">
        <v>229</v>
      </c>
    </row>
    <row r="20653" spans="1:5" x14ac:dyDescent="0.25">
      <c r="A20653" t="str">
        <f>HYPERLINK("https://www.773grp.com/globalSearch/951FM/page-1", "951FM")</f>
        <v>951FM</v>
      </c>
      <c r="B20653" s="3" t="s">
        <v>116</v>
      </c>
      <c r="C20653" s="6">
        <v>211</v>
      </c>
      <c r="D20653" s="7">
        <v>229.36</v>
      </c>
    </row>
    <row r="20654" spans="1:5" x14ac:dyDescent="0.25">
      <c r="A20654" t="str">
        <f>HYPERLINK("https://www.773grp.com/globalSearch/C8231A/page-1", "C8231A")</f>
        <v>C8231A</v>
      </c>
      <c r="B20654" s="3" t="s">
        <v>116</v>
      </c>
      <c r="C20654" s="6">
        <v>381</v>
      </c>
      <c r="D20654" s="7">
        <v>229.65</v>
      </c>
      <c r="E20654" t="s">
        <v>104</v>
      </c>
    </row>
    <row r="20655" spans="1:5" x14ac:dyDescent="0.25">
      <c r="A20655" t="str">
        <f>HYPERLINK("https://www.773grp.com/globalSearch/5482J-B/page-1", "5482J-B")</f>
        <v>5482J-B</v>
      </c>
      <c r="B20655" s="3" t="s">
        <v>116</v>
      </c>
      <c r="C20655" s="6">
        <v>68</v>
      </c>
      <c r="D20655" s="7">
        <v>230.61</v>
      </c>
    </row>
    <row r="20656" spans="1:5" x14ac:dyDescent="0.25">
      <c r="A20656" t="str">
        <f>HYPERLINK("https://www.773grp.com/globalSearch/R534142/page-1", "R534142")</f>
        <v>R534142</v>
      </c>
      <c r="B20656" s="3" t="s">
        <v>116</v>
      </c>
      <c r="C20656" s="6">
        <v>1</v>
      </c>
      <c r="D20656" s="7">
        <v>231.28</v>
      </c>
    </row>
    <row r="20657" spans="1:5" x14ac:dyDescent="0.25">
      <c r="A20657" t="str">
        <f>HYPERLINK("https://www.773grp.com/globalSearch/MD82C284-6-B/page-1", "MD82C284-6-B")</f>
        <v>MD82C284-6-B</v>
      </c>
      <c r="B20657" s="3" t="s">
        <v>116</v>
      </c>
      <c r="C20657" s="6">
        <v>15</v>
      </c>
      <c r="D20657" s="7">
        <v>231.29</v>
      </c>
    </row>
    <row r="20658" spans="1:5" x14ac:dyDescent="0.25">
      <c r="A20658" t="str">
        <f>HYPERLINK("https://www.773grp.com/globalSearch/CLC412A-B2A/page-1", "CLC412A-B2A")</f>
        <v>CLC412A-B2A</v>
      </c>
      <c r="B20658" s="3" t="s">
        <v>116</v>
      </c>
      <c r="C20658" s="6">
        <v>454</v>
      </c>
      <c r="D20658" s="7">
        <v>231.64</v>
      </c>
    </row>
    <row r="20659" spans="1:5" x14ac:dyDescent="0.25">
      <c r="A20659" t="str">
        <f>HYPERLINK("https://www.773grp.com/globalSearch/27LS00AFM-B/page-1", "27LS00AFM-B")</f>
        <v>27LS00AFM-B</v>
      </c>
      <c r="B20659" s="3" t="s">
        <v>116</v>
      </c>
      <c r="C20659" s="6">
        <v>279</v>
      </c>
      <c r="D20659" s="7">
        <v>231.9</v>
      </c>
    </row>
    <row r="20660" spans="1:5" x14ac:dyDescent="0.25">
      <c r="A20660" t="str">
        <f>HYPERLINK("https://www.773grp.com/globalSearch/R554100/page-1", "R554100")</f>
        <v>R554100</v>
      </c>
      <c r="B20660" s="3" t="s">
        <v>116</v>
      </c>
      <c r="C20660" s="6">
        <v>238</v>
      </c>
      <c r="D20660" s="7">
        <v>231.9</v>
      </c>
    </row>
    <row r="20661" spans="1:5" x14ac:dyDescent="0.25">
      <c r="A20661" t="str">
        <f>HYPERLINK("https://www.773grp.com/globalSearch/R186000/page-1", "R186000")</f>
        <v>R186000</v>
      </c>
      <c r="B20661" s="3" t="s">
        <v>116</v>
      </c>
      <c r="C20661" s="6">
        <v>507</v>
      </c>
      <c r="D20661" s="7">
        <v>231.9</v>
      </c>
    </row>
    <row r="20662" spans="1:5" x14ac:dyDescent="0.25">
      <c r="A20662" t="str">
        <f>HYPERLINK("https://www.773grp.com/globalSearch/R618002/page-1", "R618002")</f>
        <v>R618002</v>
      </c>
      <c r="B20662" s="3" t="s">
        <v>116</v>
      </c>
      <c r="C20662" s="6">
        <v>491</v>
      </c>
      <c r="D20662" s="7">
        <v>231.9</v>
      </c>
    </row>
    <row r="20663" spans="1:5" x14ac:dyDescent="0.25">
      <c r="A20663" t="str">
        <f>HYPERLINK("https://www.773grp.com/globalSearch/LM131AH-B/page-1", "LM131AH-B")</f>
        <v>LM131AH-B</v>
      </c>
      <c r="B20663" s="3" t="s">
        <v>116</v>
      </c>
      <c r="C20663" s="6">
        <v>725</v>
      </c>
      <c r="D20663" s="7">
        <v>233.54</v>
      </c>
    </row>
    <row r="20664" spans="1:5" x14ac:dyDescent="0.25">
      <c r="A20664" t="str">
        <f>HYPERLINK("https://www.773grp.com/globalSearch/R552125/page-1", "R552125")</f>
        <v>R552125</v>
      </c>
      <c r="B20664" s="3" t="s">
        <v>116</v>
      </c>
      <c r="C20664" s="6">
        <v>339</v>
      </c>
      <c r="D20664" s="7">
        <v>233.74</v>
      </c>
    </row>
    <row r="20665" spans="1:5" x14ac:dyDescent="0.25">
      <c r="A20665" t="str">
        <f>HYPERLINK("https://www.773grp.com/globalSearch/R652116/page-1", "R652116")</f>
        <v>R652116</v>
      </c>
      <c r="B20665" s="3" t="s">
        <v>116</v>
      </c>
      <c r="C20665" s="6">
        <v>350</v>
      </c>
      <c r="D20665" s="7">
        <v>233.74</v>
      </c>
    </row>
    <row r="20666" spans="1:5" x14ac:dyDescent="0.25">
      <c r="A20666" t="str">
        <f>HYPERLINK("https://www.773grp.com/globalSearch/9001DM-B/page-1", "9001DM-B")</f>
        <v>9001DM-B</v>
      </c>
      <c r="B20666" s="3" t="s">
        <v>116</v>
      </c>
      <c r="C20666" s="6">
        <v>115</v>
      </c>
      <c r="D20666" s="7">
        <v>233.79</v>
      </c>
    </row>
    <row r="20667" spans="1:5" x14ac:dyDescent="0.25">
      <c r="A20667" t="str">
        <f>HYPERLINK("https://www.773grp.com/globalSearch/9001DM-B  LT/page-1", "9001DM-B  LT")</f>
        <v>9001DM-B  LT</v>
      </c>
      <c r="B20667" s="3" t="s">
        <v>116</v>
      </c>
      <c r="C20667" s="6">
        <v>90</v>
      </c>
      <c r="D20667" s="7">
        <v>233.79</v>
      </c>
    </row>
    <row r="20668" spans="1:5" x14ac:dyDescent="0.25">
      <c r="A20668" t="str">
        <f>HYPERLINK("https://www.773grp.com/globalSearch/9001DM-B/page-1", "9001DM-B")</f>
        <v>9001DM-B</v>
      </c>
      <c r="B20668" s="3" t="s">
        <v>116</v>
      </c>
      <c r="C20668" s="6">
        <v>34</v>
      </c>
      <c r="D20668" s="7">
        <v>233.79</v>
      </c>
    </row>
    <row r="20669" spans="1:5" x14ac:dyDescent="0.25">
      <c r="A20669" t="str">
        <f>HYPERLINK("https://www.773grp.com/globalSearch/LM110H-883/page-1", "LM110H-883")</f>
        <v>LM110H-883</v>
      </c>
      <c r="B20669" s="3" t="s">
        <v>116</v>
      </c>
      <c r="C20669" s="6">
        <v>786</v>
      </c>
      <c r="D20669" s="7">
        <v>235.29</v>
      </c>
      <c r="E20669" t="s">
        <v>41</v>
      </c>
    </row>
    <row r="20670" spans="1:5" x14ac:dyDescent="0.25">
      <c r="A20670" t="str">
        <f>HYPERLINK("https://www.773grp.com/globalSearch/932HM-B/page-1", "932HM-B")</f>
        <v>932HM-B</v>
      </c>
      <c r="B20670" s="3" t="s">
        <v>116</v>
      </c>
      <c r="C20670" s="6">
        <v>49</v>
      </c>
      <c r="D20670" s="7">
        <v>235.39</v>
      </c>
    </row>
    <row r="20671" spans="1:5" x14ac:dyDescent="0.25">
      <c r="A20671" t="str">
        <f>HYPERLINK("https://www.773grp.com/globalSearch/LM103H-3.0-883/page-1", "LM103H-3.0-883")</f>
        <v>LM103H-3.0-883</v>
      </c>
      <c r="B20671" s="3" t="s">
        <v>116</v>
      </c>
      <c r="C20671" s="6">
        <v>769</v>
      </c>
      <c r="D20671" s="7">
        <v>237.64</v>
      </c>
    </row>
    <row r="20672" spans="1:5" x14ac:dyDescent="0.25">
      <c r="A20672" t="str">
        <f>HYPERLINK("https://www.773grp.com/globalSearch/2909ADM-B/page-1", "2909ADM-B")</f>
        <v>2909ADM-B</v>
      </c>
      <c r="B20672" s="3" t="s">
        <v>116</v>
      </c>
      <c r="C20672" s="6">
        <v>386</v>
      </c>
      <c r="D20672" s="7">
        <v>237.8</v>
      </c>
    </row>
    <row r="20673" spans="1:5" x14ac:dyDescent="0.25">
      <c r="A20673" t="str">
        <f>HYPERLINK("https://www.773grp.com/globalSearch/54L55W-B/page-1", "54L55W-B")</f>
        <v>54L55W-B</v>
      </c>
      <c r="B20673" s="3" t="s">
        <v>116</v>
      </c>
      <c r="C20673" s="6">
        <v>123</v>
      </c>
      <c r="D20673" s="7">
        <v>239.46</v>
      </c>
    </row>
    <row r="20674" spans="1:5" x14ac:dyDescent="0.25">
      <c r="A20674" t="str">
        <f>HYPERLINK("https://www.773grp.com/globalSearch/NSC800N-4I/page-1", "NSC800N-4I")</f>
        <v>NSC800N-4I</v>
      </c>
      <c r="B20674" s="3" t="s">
        <v>116</v>
      </c>
      <c r="C20674" s="6">
        <v>4735</v>
      </c>
      <c r="D20674" s="7">
        <v>241.36</v>
      </c>
      <c r="E20674" t="s">
        <v>66</v>
      </c>
    </row>
    <row r="20675" spans="1:5" x14ac:dyDescent="0.25">
      <c r="A20675" t="str">
        <f>HYPERLINK("https://www.773grp.com/globalSearch/29520ALM-B/page-1", "29520ALM-B")</f>
        <v>29520ALM-B</v>
      </c>
      <c r="B20675" s="3" t="s">
        <v>116</v>
      </c>
      <c r="C20675" s="6">
        <v>169</v>
      </c>
      <c r="D20675" s="7">
        <v>241.5</v>
      </c>
    </row>
    <row r="20676" spans="1:5" x14ac:dyDescent="0.25">
      <c r="A20676" t="str">
        <f>HYPERLINK("https://www.773grp.com/globalSearch/TD87C51FA/page-1", "TD87C51FA")</f>
        <v>TD87C51FA</v>
      </c>
      <c r="B20676" s="3" t="s">
        <v>116</v>
      </c>
      <c r="C20676" s="6">
        <v>15</v>
      </c>
      <c r="D20676" s="7">
        <v>241.65</v>
      </c>
      <c r="E20676" t="s">
        <v>43</v>
      </c>
    </row>
    <row r="20677" spans="1:5" x14ac:dyDescent="0.25">
      <c r="A20677" t="str">
        <f>HYPERLINK("https://www.773grp.com/globalSearch/963DM-B/page-1", "963DM-B")</f>
        <v>963DM-B</v>
      </c>
      <c r="B20677" s="3" t="s">
        <v>116</v>
      </c>
      <c r="C20677" s="6">
        <v>147</v>
      </c>
      <c r="D20677" s="7">
        <v>241.88</v>
      </c>
    </row>
    <row r="20678" spans="1:5" x14ac:dyDescent="0.25">
      <c r="A20678" t="str">
        <f>HYPERLINK("https://www.773grp.com/globalSearch/54H11DM-C/page-1", "54H11DM-C")</f>
        <v>54H11DM-C</v>
      </c>
      <c r="B20678" s="3" t="s">
        <v>116</v>
      </c>
      <c r="C20678" s="6">
        <v>500</v>
      </c>
      <c r="D20678" s="7">
        <v>241.98</v>
      </c>
    </row>
    <row r="20679" spans="1:5" x14ac:dyDescent="0.25">
      <c r="A20679" t="str">
        <f>HYPERLINK("https://www.773grp.com/globalSearch/9L86DM-C/page-1", "9L86DM-C")</f>
        <v>9L86DM-C</v>
      </c>
      <c r="B20679" s="3" t="s">
        <v>116</v>
      </c>
      <c r="C20679" s="6">
        <v>308</v>
      </c>
      <c r="D20679" s="7">
        <v>241.98</v>
      </c>
    </row>
    <row r="20680" spans="1:5" x14ac:dyDescent="0.25">
      <c r="A20680" t="str">
        <f>HYPERLINK("https://www.773grp.com/globalSearch/MD82C284-8-B/page-1", "MD82C284-8-B")</f>
        <v>MD82C284-8-B</v>
      </c>
      <c r="B20680" s="3" t="s">
        <v>116</v>
      </c>
      <c r="C20680" s="6">
        <v>635</v>
      </c>
      <c r="D20680" s="7">
        <v>243.15</v>
      </c>
    </row>
    <row r="20681" spans="1:5" x14ac:dyDescent="0.25">
      <c r="A20681" t="str">
        <f>HYPERLINK("https://www.773grp.com/globalSearch/HA2-2542-883/page-1", "HA2-2542-883")</f>
        <v>HA2-2542-883</v>
      </c>
      <c r="B20681" s="3" t="s">
        <v>116</v>
      </c>
      <c r="C20681" s="6">
        <v>128</v>
      </c>
      <c r="D20681" s="7">
        <v>243.91</v>
      </c>
      <c r="E20681" t="s">
        <v>10</v>
      </c>
    </row>
    <row r="20682" spans="1:5" x14ac:dyDescent="0.25">
      <c r="A20682" t="str">
        <f>HYPERLINK("https://www.773grp.com/globalSearch/54H78J-B/page-1", "54H78J-B")</f>
        <v>54H78J-B</v>
      </c>
      <c r="B20682" s="3" t="s">
        <v>116</v>
      </c>
      <c r="C20682" s="6">
        <v>335</v>
      </c>
      <c r="D20682" s="7">
        <v>247.01</v>
      </c>
    </row>
    <row r="20683" spans="1:5" x14ac:dyDescent="0.25">
      <c r="A20683" t="str">
        <f>HYPERLINK("https://www.773grp.com/globalSearch/95016DC-B/page-1", "95016DC-B")</f>
        <v>95016DC-B</v>
      </c>
      <c r="B20683" s="3" t="s">
        <v>116</v>
      </c>
      <c r="C20683" s="6">
        <v>27</v>
      </c>
      <c r="D20683" s="7">
        <v>247.01</v>
      </c>
    </row>
    <row r="20684" spans="1:5" x14ac:dyDescent="0.25">
      <c r="A20684" t="str">
        <f>HYPERLINK("https://www.773grp.com/globalSearch/25LS2569DM-B/page-1", "25LS2569DM-B")</f>
        <v>25LS2569DM-B</v>
      </c>
      <c r="B20684" s="3" t="s">
        <v>116</v>
      </c>
      <c r="C20684" s="6">
        <v>340</v>
      </c>
      <c r="D20684" s="7">
        <v>247.01</v>
      </c>
    </row>
    <row r="20685" spans="1:5" x14ac:dyDescent="0.25">
      <c r="A20685" t="str">
        <f>HYPERLINK("https://www.773grp.com/globalSearch/26S10-BFA/page-1", "26S10-BFA")</f>
        <v>26S10-BFA</v>
      </c>
      <c r="B20685" s="3" t="s">
        <v>116</v>
      </c>
      <c r="C20685" s="6">
        <v>879</v>
      </c>
      <c r="D20685" s="7">
        <v>247.01</v>
      </c>
    </row>
    <row r="20686" spans="1:5" x14ac:dyDescent="0.25">
      <c r="A20686" t="str">
        <f>HYPERLINK("https://www.773grp.com/globalSearch/27S07ADM-B/page-1", "27S07ADM-B")</f>
        <v>27S07ADM-B</v>
      </c>
      <c r="B20686" s="3" t="s">
        <v>116</v>
      </c>
      <c r="C20686" s="6">
        <v>4928</v>
      </c>
      <c r="D20686" s="7">
        <v>247.01</v>
      </c>
    </row>
    <row r="20687" spans="1:5" x14ac:dyDescent="0.25">
      <c r="A20687" t="str">
        <f>HYPERLINK("https://www.773grp.com/globalSearch/2910ADM-B/page-1", "2910ADM-B")</f>
        <v>2910ADM-B</v>
      </c>
      <c r="B20687" s="3" t="s">
        <v>116</v>
      </c>
      <c r="C20687" s="6">
        <v>12</v>
      </c>
      <c r="D20687" s="7">
        <v>247.01</v>
      </c>
    </row>
    <row r="20688" spans="1:5" x14ac:dyDescent="0.25">
      <c r="A20688" t="str">
        <f>HYPERLINK("https://www.773grp.com/globalSearch/9S42DM-C/page-1", "9S42DM-C")</f>
        <v>9S42DM-C</v>
      </c>
      <c r="B20688" s="3" t="s">
        <v>116</v>
      </c>
      <c r="C20688" s="6">
        <v>322</v>
      </c>
      <c r="D20688" s="7">
        <v>247.01</v>
      </c>
    </row>
    <row r="20689" spans="1:5" x14ac:dyDescent="0.25">
      <c r="A20689" t="str">
        <f>HYPERLINK("https://www.773grp.com/globalSearch/DG201AK-B/page-1", "DG201AK-B")</f>
        <v>DG201AK-B</v>
      </c>
      <c r="B20689" s="3" t="s">
        <v>116</v>
      </c>
      <c r="C20689" s="6">
        <v>1119</v>
      </c>
      <c r="D20689" s="7">
        <v>247.01</v>
      </c>
    </row>
    <row r="20690" spans="1:5" x14ac:dyDescent="0.25">
      <c r="A20690" t="str">
        <f>HYPERLINK("https://www.773grp.com/globalSearch/IH5012MDE/page-1", "IH5012MDE")</f>
        <v>IH5012MDE</v>
      </c>
      <c r="B20690" s="3" t="s">
        <v>116</v>
      </c>
      <c r="C20690" s="6">
        <v>21</v>
      </c>
      <c r="D20690" s="7">
        <v>247.01</v>
      </c>
      <c r="E20690" t="s">
        <v>46</v>
      </c>
    </row>
    <row r="20691" spans="1:5" x14ac:dyDescent="0.25">
      <c r="A20691" t="str">
        <f>HYPERLINK("https://www.773grp.com/globalSearch/MC27128A-20-BYA/page-1", "MC27128A-20-BYA")</f>
        <v>MC27128A-20-BYA</v>
      </c>
      <c r="B20691" s="3" t="s">
        <v>116</v>
      </c>
      <c r="C20691" s="6">
        <v>455</v>
      </c>
      <c r="D20691" s="7">
        <v>247.01</v>
      </c>
    </row>
    <row r="20692" spans="1:5" x14ac:dyDescent="0.25">
      <c r="A20692" t="str">
        <f>HYPERLINK("https://www.773grp.com/globalSearch/MD82289-8/page-1", "MD82289-8")</f>
        <v>MD82289-8</v>
      </c>
      <c r="B20692" s="3" t="s">
        <v>116</v>
      </c>
      <c r="C20692" s="6">
        <v>450</v>
      </c>
      <c r="D20692" s="7">
        <v>247.01</v>
      </c>
    </row>
    <row r="20693" spans="1:5" x14ac:dyDescent="0.25">
      <c r="A20693" t="str">
        <f>HYPERLINK("https://www.773grp.com/globalSearch/4164-15JDS-BEA/page-1", "4164-15JDS-BEA")</f>
        <v>4164-15JDS-BEA</v>
      </c>
      <c r="B20693" s="3" t="s">
        <v>116</v>
      </c>
      <c r="C20693" s="6">
        <v>1128</v>
      </c>
      <c r="D20693" s="7">
        <v>247.01</v>
      </c>
    </row>
    <row r="20694" spans="1:5" x14ac:dyDescent="0.25">
      <c r="A20694" t="str">
        <f>HYPERLINK("https://www.773grp.com/globalSearch/R374001/page-1", "R374001")</f>
        <v>R374001</v>
      </c>
      <c r="B20694" s="3" t="s">
        <v>116</v>
      </c>
      <c r="C20694" s="6">
        <v>110</v>
      </c>
      <c r="D20694" s="7">
        <v>247.01</v>
      </c>
    </row>
    <row r="20695" spans="1:5" x14ac:dyDescent="0.25">
      <c r="A20695" t="str">
        <f>HYPERLINK("https://www.773grp.com/globalSearch/CDP1853CD-B/page-1", "CDP1853CD-B")</f>
        <v>CDP1853CD-B</v>
      </c>
      <c r="B20695" s="3" t="s">
        <v>116</v>
      </c>
      <c r="C20695" s="6">
        <v>14</v>
      </c>
      <c r="D20695" s="7">
        <v>247.66</v>
      </c>
    </row>
    <row r="20696" spans="1:5" x14ac:dyDescent="0.25">
      <c r="A20696" t="str">
        <f>HYPERLINK("https://www.773grp.com/globalSearch/MR2764A-25-BZA/page-1", "MR2764A-25-BZA")</f>
        <v>MR2764A-25-BZA</v>
      </c>
      <c r="B20696" s="3" t="s">
        <v>116</v>
      </c>
      <c r="C20696" s="6">
        <v>32</v>
      </c>
      <c r="D20696" s="7">
        <v>247.96</v>
      </c>
    </row>
    <row r="20697" spans="1:5" x14ac:dyDescent="0.25">
      <c r="A20697" t="str">
        <f>HYPERLINK("https://www.773grp.com/globalSearch/LM103H-3.3-883/page-1", "LM103H-3.3-883")</f>
        <v>LM103H-3.3-883</v>
      </c>
      <c r="B20697" s="3" t="s">
        <v>116</v>
      </c>
      <c r="C20697" s="6">
        <v>873</v>
      </c>
      <c r="D20697" s="7">
        <v>248.6</v>
      </c>
    </row>
    <row r="20698" spans="1:5" x14ac:dyDescent="0.25">
      <c r="A20698" t="str">
        <f>HYPERLINK("https://www.773grp.com/globalSearch/54LS219AJ-B/page-1", "54LS219AJ-B")</f>
        <v>54LS219AJ-B</v>
      </c>
      <c r="B20698" s="3" t="s">
        <v>116</v>
      </c>
      <c r="C20698" s="6">
        <v>181</v>
      </c>
      <c r="D20698" s="7">
        <v>249.11</v>
      </c>
    </row>
    <row r="20699" spans="1:5" x14ac:dyDescent="0.25">
      <c r="A20699" t="str">
        <f>HYPERLINK("https://www.773grp.com/globalSearch/R135102/page-1", "R135102")</f>
        <v>R135102</v>
      </c>
      <c r="B20699" s="3" t="s">
        <v>116</v>
      </c>
      <c r="C20699" s="6">
        <v>25</v>
      </c>
      <c r="D20699" s="7">
        <v>250.8</v>
      </c>
    </row>
    <row r="20700" spans="1:5" x14ac:dyDescent="0.25">
      <c r="A20700" t="str">
        <f>HYPERLINK("https://www.773grp.com/globalSearch/R652101/page-1", "R652101")</f>
        <v>R652101</v>
      </c>
      <c r="B20700" s="3" t="s">
        <v>116</v>
      </c>
      <c r="C20700" s="6">
        <v>181</v>
      </c>
      <c r="D20700" s="7">
        <v>251.54</v>
      </c>
    </row>
    <row r="20701" spans="1:5" x14ac:dyDescent="0.25">
      <c r="A20701" t="str">
        <f>HYPERLINK("https://www.773grp.com/globalSearch/54ALS808AFK-B/page-1", "54ALS808AFK-B")</f>
        <v>54ALS808AFK-B</v>
      </c>
      <c r="B20701" s="3" t="s">
        <v>116</v>
      </c>
      <c r="C20701" s="6">
        <v>289</v>
      </c>
      <c r="D20701" s="7">
        <v>251.93</v>
      </c>
    </row>
    <row r="20702" spans="1:5" x14ac:dyDescent="0.25">
      <c r="A20702" t="str">
        <f>HYPERLINK("https://www.773grp.com/globalSearch/R652107/page-1", "R652107")</f>
        <v>R652107</v>
      </c>
      <c r="B20702" s="3" t="s">
        <v>116</v>
      </c>
      <c r="C20702" s="6">
        <v>169</v>
      </c>
      <c r="D20702" s="7">
        <v>252.06</v>
      </c>
    </row>
    <row r="20703" spans="1:5" x14ac:dyDescent="0.25">
      <c r="A20703" t="str">
        <f>HYPERLINK("https://www.773grp.com/globalSearch/R866101/page-1", "R866101")</f>
        <v>R866101</v>
      </c>
      <c r="B20703" s="3" t="s">
        <v>116</v>
      </c>
      <c r="C20703" s="6">
        <v>277</v>
      </c>
      <c r="D20703" s="7">
        <v>254.58</v>
      </c>
    </row>
    <row r="20704" spans="1:5" x14ac:dyDescent="0.25">
      <c r="A20704" t="str">
        <f>HYPERLINK("https://www.773grp.com/globalSearch/MD82C284-10-B/page-1", "MD82C284-10-B")</f>
        <v>MD82C284-10-B</v>
      </c>
      <c r="B20704" s="3" t="s">
        <v>116</v>
      </c>
      <c r="C20704" s="6">
        <v>1242</v>
      </c>
      <c r="D20704" s="7">
        <v>255.04</v>
      </c>
    </row>
    <row r="20705" spans="1:5" x14ac:dyDescent="0.25">
      <c r="A20705" t="str">
        <f>HYPERLINK("https://www.773grp.com/globalSearch/25S18-BFA/page-1", "25S18-BFA")</f>
        <v>25S18-BFA</v>
      </c>
      <c r="B20705" s="3" t="s">
        <v>116</v>
      </c>
      <c r="C20705" s="6">
        <v>745</v>
      </c>
      <c r="D20705" s="7">
        <v>255.09</v>
      </c>
    </row>
    <row r="20706" spans="1:5" x14ac:dyDescent="0.25">
      <c r="A20706" t="str">
        <f>HYPERLINK("https://www.773grp.com/globalSearch/DP8572AMD-883/page-1", "DP8572AMD-883")</f>
        <v>DP8572AMD-883</v>
      </c>
      <c r="B20706" s="3" t="s">
        <v>116</v>
      </c>
      <c r="C20706" s="6">
        <v>21</v>
      </c>
      <c r="D20706" s="7">
        <v>255.84</v>
      </c>
      <c r="E20706" t="s">
        <v>67</v>
      </c>
    </row>
    <row r="20707" spans="1:5" x14ac:dyDescent="0.25">
      <c r="A20707" t="str">
        <f>HYPERLINK("https://www.773grp.com/globalSearch/8201008EA/page-1", "8201008EA")</f>
        <v>8201008EA</v>
      </c>
      <c r="B20707" s="3" t="s">
        <v>116</v>
      </c>
      <c r="C20707" s="6">
        <v>74</v>
      </c>
      <c r="D20707" s="7">
        <v>257.08999999999997</v>
      </c>
      <c r="E20707" t="s">
        <v>86</v>
      </c>
    </row>
    <row r="20708" spans="1:5" x14ac:dyDescent="0.25">
      <c r="A20708" t="str">
        <f>HYPERLINK("https://www.773grp.com/globalSearch/R754101/page-1", "R754101")</f>
        <v>R754101</v>
      </c>
      <c r="B20708" s="3" t="s">
        <v>116</v>
      </c>
      <c r="C20708" s="6">
        <v>61</v>
      </c>
      <c r="D20708" s="7">
        <v>257.95999999999998</v>
      </c>
    </row>
    <row r="20709" spans="1:5" x14ac:dyDescent="0.25">
      <c r="A20709" t="str">
        <f>HYPERLINK("https://www.773grp.com/globalSearch/LD87C51FC-1/page-1", "LD87C51FC-1")</f>
        <v>LD87C51FC-1</v>
      </c>
      <c r="B20709" s="3" t="s">
        <v>116</v>
      </c>
      <c r="C20709" s="6">
        <v>450</v>
      </c>
      <c r="D20709" s="7">
        <v>259.01</v>
      </c>
    </row>
    <row r="20710" spans="1:5" x14ac:dyDescent="0.25">
      <c r="A20710" t="str">
        <f>HYPERLINK("https://www.773grp.com/globalSearch/MD82C288-8-B/page-1", "MD82C288-8-B")</f>
        <v>MD82C288-8-B</v>
      </c>
      <c r="B20710" s="3" t="s">
        <v>116</v>
      </c>
      <c r="C20710" s="6">
        <v>308</v>
      </c>
      <c r="D20710" s="7">
        <v>259.63</v>
      </c>
    </row>
    <row r="20711" spans="1:5" x14ac:dyDescent="0.25">
      <c r="A20711" t="str">
        <f>HYPERLINK("https://www.773grp.com/globalSearch/9305DM-B/page-1", "9305DM-B")</f>
        <v>9305DM-B</v>
      </c>
      <c r="B20711" s="3" t="s">
        <v>116</v>
      </c>
      <c r="C20711" s="6">
        <v>128</v>
      </c>
      <c r="D20711" s="7">
        <v>262.69</v>
      </c>
    </row>
    <row r="20712" spans="1:5" x14ac:dyDescent="0.25">
      <c r="A20712" t="str">
        <f>HYPERLINK("https://www.773grp.com/globalSearch/25S18-BEA/page-1", "25S18-BEA")</f>
        <v>25S18-BEA</v>
      </c>
      <c r="B20712" s="3" t="s">
        <v>116</v>
      </c>
      <c r="C20712" s="6">
        <v>685</v>
      </c>
      <c r="D20712" s="7">
        <v>264.66000000000003</v>
      </c>
    </row>
    <row r="20713" spans="1:5" x14ac:dyDescent="0.25">
      <c r="A20713" t="str">
        <f>HYPERLINK("https://www.773grp.com/globalSearch/D87C51FA/page-1", "D87C51FA")</f>
        <v>D87C51FA</v>
      </c>
      <c r="B20713" s="3" t="s">
        <v>116</v>
      </c>
      <c r="C20713" s="6">
        <v>206</v>
      </c>
      <c r="D20713" s="7">
        <v>267.69</v>
      </c>
      <c r="E20713" t="s">
        <v>43</v>
      </c>
    </row>
    <row r="20714" spans="1:5" x14ac:dyDescent="0.25">
      <c r="A20714" t="str">
        <f>HYPERLINK("https://www.773grp.com/globalSearch/54164DM-B/page-1", "54164DM-B")</f>
        <v>54164DM-B</v>
      </c>
      <c r="B20714" s="3" t="s">
        <v>116</v>
      </c>
      <c r="C20714" s="6">
        <v>110</v>
      </c>
      <c r="D20714" s="7">
        <v>267.83</v>
      </c>
    </row>
    <row r="20715" spans="1:5" x14ac:dyDescent="0.25">
      <c r="A20715" t="str">
        <f>HYPERLINK("https://www.773grp.com/globalSearch/54164-BCA/page-1", "54164-BCA")</f>
        <v>54164-BCA</v>
      </c>
      <c r="B20715" s="3" t="s">
        <v>116</v>
      </c>
      <c r="C20715" s="6">
        <v>567</v>
      </c>
      <c r="D20715" s="7">
        <v>267.83</v>
      </c>
      <c r="E20715" t="s">
        <v>28</v>
      </c>
    </row>
    <row r="20716" spans="1:5" x14ac:dyDescent="0.25">
      <c r="A20716" t="str">
        <f>HYPERLINK("https://www.773grp.com/globalSearch/55118J-B/page-1", "55118J-B")</f>
        <v>55118J-B</v>
      </c>
      <c r="B20716" s="3" t="s">
        <v>116</v>
      </c>
      <c r="C20716" s="6">
        <v>11</v>
      </c>
      <c r="D20716" s="7">
        <v>268.45</v>
      </c>
    </row>
    <row r="20717" spans="1:5" x14ac:dyDescent="0.25">
      <c r="A20717" t="str">
        <f>HYPERLINK("https://www.773grp.com/globalSearch/DG181AP/page-1", "DG181AP")</f>
        <v>DG181AP</v>
      </c>
      <c r="B20717" s="3" t="s">
        <v>116</v>
      </c>
      <c r="C20717" s="6">
        <v>235</v>
      </c>
      <c r="D20717" s="7">
        <v>268.95</v>
      </c>
      <c r="E20717" t="s">
        <v>46</v>
      </c>
    </row>
    <row r="20718" spans="1:5" x14ac:dyDescent="0.25">
      <c r="A20718" t="str">
        <f>HYPERLINK("https://www.773grp.com/globalSearch/TMC2081KBC/page-1", "TMC2081KBC")</f>
        <v>TMC2081KBC</v>
      </c>
      <c r="B20718" s="3" t="s">
        <v>116</v>
      </c>
      <c r="C20718" s="6">
        <v>1065</v>
      </c>
      <c r="D20718" s="7">
        <v>269.85000000000002</v>
      </c>
      <c r="E20718" t="s">
        <v>19</v>
      </c>
    </row>
    <row r="20719" spans="1:5" x14ac:dyDescent="0.25">
      <c r="A20719" t="str">
        <f>HYPERLINK("https://www.773grp.com/globalSearch/2910A-BQA/page-1", "2910A-BQA")</f>
        <v>2910A-BQA</v>
      </c>
      <c r="B20719" s="3" t="s">
        <v>116</v>
      </c>
      <c r="C20719" s="6">
        <v>74</v>
      </c>
      <c r="D20719" s="7">
        <v>270.88</v>
      </c>
    </row>
    <row r="20720" spans="1:5" x14ac:dyDescent="0.25">
      <c r="A20720" t="str">
        <f>HYPERLINK("https://www.773grp.com/globalSearch/C8231A  UT/page-1", "C8231A  UT")</f>
        <v>C8231A  UT</v>
      </c>
      <c r="B20720" s="3" t="s">
        <v>116</v>
      </c>
      <c r="C20720" s="6">
        <v>58</v>
      </c>
      <c r="D20720" s="7">
        <v>270.95999999999998</v>
      </c>
    </row>
    <row r="20721" spans="1:5" x14ac:dyDescent="0.25">
      <c r="A20721" t="str">
        <f>HYPERLINK("https://www.773grp.com/globalSearch/MD28F010-90-R/page-1", "MD28F010-90-R")</f>
        <v>MD28F010-90-R</v>
      </c>
      <c r="B20721" s="3" t="s">
        <v>116</v>
      </c>
      <c r="C20721" s="6">
        <v>4417</v>
      </c>
      <c r="D20721" s="7">
        <v>272.23</v>
      </c>
    </row>
    <row r="20722" spans="1:5" x14ac:dyDescent="0.25">
      <c r="A20722" t="str">
        <f>HYPERLINK("https://www.773grp.com/globalSearch/4164-15FGS-BZA/page-1", "4164-15FGS-BZA")</f>
        <v>4164-15FGS-BZA</v>
      </c>
      <c r="B20722" s="3" t="s">
        <v>116</v>
      </c>
      <c r="C20722" s="6">
        <v>213</v>
      </c>
      <c r="D20722" s="7">
        <v>272.23</v>
      </c>
    </row>
    <row r="20723" spans="1:5" x14ac:dyDescent="0.25">
      <c r="A20723" t="str">
        <f>HYPERLINK("https://www.773grp.com/globalSearch/ICL8212MTY-B/page-1", "ICL8212MTY-B")</f>
        <v>ICL8212MTY-B</v>
      </c>
      <c r="B20723" s="3" t="s">
        <v>116</v>
      </c>
      <c r="C20723" s="6">
        <v>584</v>
      </c>
      <c r="D20723" s="7">
        <v>274</v>
      </c>
    </row>
    <row r="20724" spans="1:5" x14ac:dyDescent="0.25">
      <c r="A20724" t="str">
        <f>HYPERLINK("https://www.773grp.com/globalSearch/LM759H-B/page-1", "LM759H-B")</f>
        <v>LM759H-B</v>
      </c>
      <c r="B20724" s="3" t="s">
        <v>116</v>
      </c>
      <c r="C20724" s="6">
        <v>160</v>
      </c>
      <c r="D20724" s="7">
        <v>274.06</v>
      </c>
    </row>
    <row r="20725" spans="1:5" x14ac:dyDescent="0.25">
      <c r="A20725" t="str">
        <f>HYPERLINK("https://www.773grp.com/globalSearch/CY7C4285-15ASC/page-1", "CY7C4285-15ASC")</f>
        <v>CY7C4285-15ASC</v>
      </c>
      <c r="B20725" s="3" t="s">
        <v>116</v>
      </c>
      <c r="C20725" s="6">
        <v>334</v>
      </c>
      <c r="D20725" s="7">
        <v>276.04000000000002</v>
      </c>
      <c r="E20725" t="s">
        <v>70</v>
      </c>
    </row>
    <row r="20726" spans="1:5" x14ac:dyDescent="0.25">
      <c r="A20726" t="str">
        <f>HYPERLINK("https://www.773grp.com/globalSearch/UA79M20CKC/page-1", "UA79M20CKC")</f>
        <v>UA79M20CKC</v>
      </c>
      <c r="B20726" s="3" t="s">
        <v>116</v>
      </c>
      <c r="C20726" s="6">
        <v>371</v>
      </c>
      <c r="D20726" s="7">
        <v>276.13</v>
      </c>
      <c r="E20726" t="s">
        <v>53</v>
      </c>
    </row>
    <row r="20727" spans="1:5" x14ac:dyDescent="0.25">
      <c r="A20727" t="str">
        <f>HYPERLINK("https://www.773grp.com/globalSearch/EP1800ILC-70/page-1", "EP1800ILC-70")</f>
        <v>EP1800ILC-70</v>
      </c>
      <c r="B20727" s="3" t="s">
        <v>116</v>
      </c>
      <c r="C20727" s="6">
        <v>1061</v>
      </c>
      <c r="D20727" s="7">
        <v>276.26</v>
      </c>
    </row>
    <row r="20728" spans="1:5" x14ac:dyDescent="0.25">
      <c r="A20728" t="str">
        <f>HYPERLINK("https://www.773grp.com/globalSearch/EP1810LC-45/page-1", "EP1810LC-45")</f>
        <v>EP1810LC-45</v>
      </c>
      <c r="B20728" s="3" t="s">
        <v>116</v>
      </c>
      <c r="C20728" s="6">
        <v>391</v>
      </c>
      <c r="D20728" s="7">
        <v>276.26</v>
      </c>
    </row>
    <row r="20729" spans="1:5" x14ac:dyDescent="0.25">
      <c r="A20729" t="str">
        <f>HYPERLINK("https://www.773grp.com/globalSearch/CDP1852D-B/page-1", "CDP1852D-B")</f>
        <v>CDP1852D-B</v>
      </c>
      <c r="B20729" s="3" t="s">
        <v>116</v>
      </c>
      <c r="C20729" s="6">
        <v>184</v>
      </c>
      <c r="D20729" s="7">
        <v>276.64999999999998</v>
      </c>
    </row>
    <row r="20730" spans="1:5" x14ac:dyDescent="0.25">
      <c r="A20730" t="str">
        <f>HYPERLINK("https://www.773grp.com/globalSearch/LM106W-C/page-1", "LM106W-C")</f>
        <v>LM106W-C</v>
      </c>
      <c r="B20730" s="3" t="s">
        <v>116</v>
      </c>
      <c r="C20730" s="6">
        <v>314</v>
      </c>
      <c r="D20730" s="7">
        <v>277.26</v>
      </c>
    </row>
    <row r="20731" spans="1:5" x14ac:dyDescent="0.25">
      <c r="A20731" t="str">
        <f>HYPERLINK("https://www.773grp.com/globalSearch/R652124/page-1", "R652124")</f>
        <v>R652124</v>
      </c>
      <c r="B20731" s="3" t="s">
        <v>116</v>
      </c>
      <c r="C20731" s="6">
        <v>374</v>
      </c>
      <c r="D20731" s="7">
        <v>277.26</v>
      </c>
    </row>
    <row r="20732" spans="1:5" x14ac:dyDescent="0.25">
      <c r="A20732" t="str">
        <f>HYPERLINK("https://www.773grp.com/globalSearch/RC1520G-C/page-1", "RC1520G-C")</f>
        <v>RC1520G-C</v>
      </c>
      <c r="B20732" s="3" t="s">
        <v>116</v>
      </c>
      <c r="C20732" s="6">
        <v>8</v>
      </c>
      <c r="D20732" s="7">
        <v>277.26</v>
      </c>
    </row>
    <row r="20733" spans="1:5" x14ac:dyDescent="0.25">
      <c r="A20733" t="str">
        <f>HYPERLINK("https://www.773grp.com/globalSearch/9519A-BXA/page-1", "9519A-BXA")</f>
        <v>9519A-BXA</v>
      </c>
      <c r="B20733" s="3" t="s">
        <v>116</v>
      </c>
      <c r="C20733" s="6">
        <v>757</v>
      </c>
      <c r="D20733" s="7">
        <v>277.26</v>
      </c>
    </row>
    <row r="20734" spans="1:5" x14ac:dyDescent="0.25">
      <c r="A20734" t="str">
        <f>HYPERLINK("https://www.773grp.com/globalSearch/D87C51FA-1/page-1", "D87C51FA-1")</f>
        <v>D87C51FA-1</v>
      </c>
      <c r="B20734" s="3" t="s">
        <v>116</v>
      </c>
      <c r="C20734" s="6">
        <v>57</v>
      </c>
      <c r="D20734" s="7">
        <v>280.43</v>
      </c>
      <c r="E20734" t="s">
        <v>43</v>
      </c>
    </row>
    <row r="20735" spans="1:5" x14ac:dyDescent="0.25">
      <c r="A20735" t="str">
        <f>HYPERLINK("https://www.773grp.com/globalSearch/54HC390J-B/page-1", "54HC390J-B")</f>
        <v>54HC390J-B</v>
      </c>
      <c r="B20735" s="3" t="s">
        <v>116</v>
      </c>
      <c r="C20735" s="6">
        <v>85</v>
      </c>
      <c r="D20735" s="7">
        <v>282.3</v>
      </c>
    </row>
    <row r="20736" spans="1:5" x14ac:dyDescent="0.25">
      <c r="A20736" t="str">
        <f>HYPERLINK("https://www.773grp.com/globalSearch/TMS9900JDL/page-1", "TMS9900JDL")</f>
        <v>TMS9900JDL</v>
      </c>
      <c r="B20736" s="3" t="s">
        <v>116</v>
      </c>
      <c r="C20736" s="6">
        <v>618</v>
      </c>
      <c r="D20736" s="7">
        <v>282.3</v>
      </c>
    </row>
    <row r="20737" spans="1:5" x14ac:dyDescent="0.25">
      <c r="A20737" t="str">
        <f>HYPERLINK("https://www.773grp.com/globalSearch/MD8085AH-B/page-1", "MD8085AH-B")</f>
        <v>MD8085AH-B</v>
      </c>
      <c r="B20737" s="3" t="s">
        <v>116</v>
      </c>
      <c r="C20737" s="6">
        <v>278</v>
      </c>
      <c r="D20737" s="7">
        <v>287.3</v>
      </c>
    </row>
    <row r="20738" spans="1:5" x14ac:dyDescent="0.25">
      <c r="A20738" t="str">
        <f>HYPERLINK("https://www.773grp.com/globalSearch/25LS22FM-B/page-1", "25LS22FM-B")</f>
        <v>25LS22FM-B</v>
      </c>
      <c r="B20738" s="3" t="s">
        <v>116</v>
      </c>
      <c r="C20738" s="6">
        <v>916</v>
      </c>
      <c r="D20738" s="7">
        <v>287.35000000000002</v>
      </c>
    </row>
    <row r="20739" spans="1:5" x14ac:dyDescent="0.25">
      <c r="A20739" t="str">
        <f>HYPERLINK("https://www.773grp.com/globalSearch/MR8254-R/page-1", "MR8254-R")</f>
        <v>MR8254-R</v>
      </c>
      <c r="B20739" s="3" t="s">
        <v>116</v>
      </c>
      <c r="C20739" s="6">
        <v>689</v>
      </c>
      <c r="D20739" s="7">
        <v>287.35000000000002</v>
      </c>
    </row>
    <row r="20740" spans="1:5" x14ac:dyDescent="0.25">
      <c r="A20740" t="str">
        <f>HYPERLINK("https://www.773grp.com/globalSearch/MR28F010-90/page-1", "MR28F010-90")</f>
        <v>MR28F010-90</v>
      </c>
      <c r="B20740" s="3" t="s">
        <v>116</v>
      </c>
      <c r="C20740" s="6">
        <v>1425</v>
      </c>
      <c r="D20740" s="7">
        <v>292.39</v>
      </c>
      <c r="E20740" t="s">
        <v>52</v>
      </c>
    </row>
    <row r="20741" spans="1:5" x14ac:dyDescent="0.25">
      <c r="A20741" t="str">
        <f>HYPERLINK("https://www.773grp.com/globalSearch/C8744H/page-1", "C8744H")</f>
        <v>C8744H</v>
      </c>
      <c r="B20741" s="3" t="s">
        <v>116</v>
      </c>
      <c r="C20741" s="6">
        <v>202</v>
      </c>
      <c r="D20741" s="7">
        <v>293.08999999999997</v>
      </c>
    </row>
    <row r="20742" spans="1:5" x14ac:dyDescent="0.25">
      <c r="A20742" t="str">
        <f>HYPERLINK("https://www.773grp.com/globalSearch/55501EJ/page-1", "55501EJ")</f>
        <v>55501EJ</v>
      </c>
      <c r="B20742" s="3" t="s">
        <v>116</v>
      </c>
      <c r="C20742" s="6">
        <v>271</v>
      </c>
      <c r="D20742" s="7">
        <v>294.91000000000003</v>
      </c>
    </row>
    <row r="20743" spans="1:5" x14ac:dyDescent="0.25">
      <c r="A20743" t="str">
        <f>HYPERLINK("https://www.773grp.com/globalSearch/54100J-B  LT/page-1", "54100J-B  LT")</f>
        <v>54100J-B  LT</v>
      </c>
      <c r="B20743" s="3" t="s">
        <v>116</v>
      </c>
      <c r="C20743" s="6">
        <v>48</v>
      </c>
      <c r="D20743" s="7">
        <v>295.56</v>
      </c>
    </row>
    <row r="20744" spans="1:5" x14ac:dyDescent="0.25">
      <c r="A20744" t="str">
        <f>HYPERLINK("https://www.773grp.com/globalSearch/R1075/page-1", "R1075")</f>
        <v>R1075</v>
      </c>
      <c r="B20744" s="3" t="s">
        <v>116</v>
      </c>
      <c r="C20744" s="6">
        <v>149</v>
      </c>
      <c r="D20744" s="7">
        <v>296.04000000000002</v>
      </c>
    </row>
    <row r="20745" spans="1:5" x14ac:dyDescent="0.25">
      <c r="A20745" t="str">
        <f>HYPERLINK("https://www.773grp.com/globalSearch/ICL8211MTY-883B/page-1", "ICL8211MTY-883B")</f>
        <v>ICL8211MTY-883B</v>
      </c>
      <c r="B20745" s="3" t="s">
        <v>116</v>
      </c>
      <c r="C20745" s="6">
        <v>10</v>
      </c>
      <c r="D20745" s="7">
        <v>296.58</v>
      </c>
      <c r="E20745" t="s">
        <v>26</v>
      </c>
    </row>
    <row r="20746" spans="1:5" x14ac:dyDescent="0.25">
      <c r="A20746" t="str">
        <f>HYPERLINK("https://www.773grp.com/globalSearch/25S18FM-B/page-1", "25S18FM-B")</f>
        <v>25S18FM-B</v>
      </c>
      <c r="B20746" s="3" t="s">
        <v>116</v>
      </c>
      <c r="C20746" s="6">
        <v>48</v>
      </c>
      <c r="D20746" s="7">
        <v>297.43</v>
      </c>
    </row>
    <row r="20747" spans="1:5" x14ac:dyDescent="0.25">
      <c r="A20747" t="str">
        <f>HYPERLINK("https://www.773grp.com/globalSearch/HA4-5177-B/page-1", "HA4-5177-B")</f>
        <v>HA4-5177-B</v>
      </c>
      <c r="B20747" s="3" t="s">
        <v>116</v>
      </c>
      <c r="C20747" s="6">
        <v>2470</v>
      </c>
      <c r="D20747" s="7">
        <v>297.43</v>
      </c>
    </row>
    <row r="20748" spans="1:5" x14ac:dyDescent="0.25">
      <c r="A20748" t="str">
        <f>HYPERLINK("https://www.773grp.com/globalSearch/HA2-5102-2/page-1", "HA2-5102-2")</f>
        <v>HA2-5102-2</v>
      </c>
      <c r="B20748" s="3" t="s">
        <v>116</v>
      </c>
      <c r="C20748" s="6">
        <v>465</v>
      </c>
      <c r="D20748" s="7">
        <v>299.55</v>
      </c>
      <c r="E20748" t="s">
        <v>10</v>
      </c>
    </row>
    <row r="20749" spans="1:5" x14ac:dyDescent="0.25">
      <c r="A20749" t="str">
        <f>HYPERLINK("https://www.773grp.com/globalSearch/54144J-B/page-1", "54144J-B")</f>
        <v>54144J-B</v>
      </c>
      <c r="B20749" s="3" t="s">
        <v>116</v>
      </c>
      <c r="C20749" s="6">
        <v>307</v>
      </c>
      <c r="D20749" s="7">
        <v>302.45999999999998</v>
      </c>
    </row>
    <row r="20750" spans="1:5" x14ac:dyDescent="0.25">
      <c r="A20750" t="str">
        <f>HYPERLINK("https://www.773grp.com/globalSearch/DS55122J-B/page-1", "DS55122J-B")</f>
        <v>DS55122J-B</v>
      </c>
      <c r="B20750" s="3" t="s">
        <v>116</v>
      </c>
      <c r="C20750" s="6">
        <v>363</v>
      </c>
      <c r="D20750" s="7">
        <v>308.58999999999997</v>
      </c>
    </row>
    <row r="20751" spans="1:5" x14ac:dyDescent="0.25">
      <c r="A20751" t="str">
        <f>HYPERLINK("https://www.773grp.com/globalSearch/93S46DM/page-1", "93S46DM")</f>
        <v>93S46DM</v>
      </c>
      <c r="B20751" s="3" t="s">
        <v>116</v>
      </c>
      <c r="C20751" s="6">
        <v>12</v>
      </c>
      <c r="D20751" s="7">
        <v>310.26</v>
      </c>
    </row>
    <row r="20752" spans="1:5" x14ac:dyDescent="0.25">
      <c r="A20752" t="str">
        <f>HYPERLINK("https://www.773grp.com/globalSearch/900HM-B/page-1", "900HM-B")</f>
        <v>900HM-B</v>
      </c>
      <c r="B20752" s="3" t="s">
        <v>116</v>
      </c>
      <c r="C20752" s="6">
        <v>179</v>
      </c>
      <c r="D20752" s="7">
        <v>312.56</v>
      </c>
    </row>
    <row r="20753" spans="1:5" x14ac:dyDescent="0.25">
      <c r="A20753" t="str">
        <f>HYPERLINK("https://www.773grp.com/globalSearch/915HM-C/page-1", "915HM-C")</f>
        <v>915HM-C</v>
      </c>
      <c r="B20753" s="3" t="s">
        <v>116</v>
      </c>
      <c r="C20753" s="6">
        <v>166</v>
      </c>
      <c r="D20753" s="7">
        <v>312.56</v>
      </c>
    </row>
    <row r="20754" spans="1:5" x14ac:dyDescent="0.25">
      <c r="A20754" t="str">
        <f>HYPERLINK("https://www.773grp.com/globalSearch/923HM-2/page-1", "923HM-2")</f>
        <v>923HM-2</v>
      </c>
      <c r="B20754" s="3" t="s">
        <v>116</v>
      </c>
      <c r="C20754" s="6">
        <v>1123</v>
      </c>
      <c r="D20754" s="7">
        <v>312.56</v>
      </c>
    </row>
    <row r="20755" spans="1:5" x14ac:dyDescent="0.25">
      <c r="A20755" t="str">
        <f>HYPERLINK("https://www.773grp.com/globalSearch/25LS2569FM-B/page-1", "25LS2569FM-B")</f>
        <v>25LS2569FM-B</v>
      </c>
      <c r="B20755" s="3" t="s">
        <v>116</v>
      </c>
      <c r="C20755" s="6">
        <v>74</v>
      </c>
      <c r="D20755" s="7">
        <v>312.56</v>
      </c>
    </row>
    <row r="20756" spans="1:5" x14ac:dyDescent="0.25">
      <c r="A20756" t="str">
        <f>HYPERLINK("https://www.773grp.com/globalSearch/EP1810LI-45/page-1", "EP1810LI-45")</f>
        <v>EP1810LI-45</v>
      </c>
      <c r="B20756" s="3" t="s">
        <v>116</v>
      </c>
      <c r="C20756" s="6">
        <v>1153</v>
      </c>
      <c r="D20756" s="7">
        <v>313</v>
      </c>
      <c r="E20756" t="s">
        <v>42</v>
      </c>
    </row>
    <row r="20757" spans="1:5" x14ac:dyDescent="0.25">
      <c r="A20757" t="str">
        <f>HYPERLINK("https://www.773grp.com/globalSearch/MD82510-B/page-1", "MD82510-B")</f>
        <v>MD82510-B</v>
      </c>
      <c r="B20757" s="3" t="s">
        <v>116</v>
      </c>
      <c r="C20757" s="6">
        <v>3349</v>
      </c>
      <c r="D20757" s="7">
        <v>313.81</v>
      </c>
      <c r="E20757" t="s">
        <v>59</v>
      </c>
    </row>
    <row r="20758" spans="1:5" x14ac:dyDescent="0.25">
      <c r="A20758" t="str">
        <f>HYPERLINK("https://www.773grp.com/globalSearch/54LS147J-B/page-1", "54LS147J-B")</f>
        <v>54LS147J-B</v>
      </c>
      <c r="B20758" s="3" t="s">
        <v>116</v>
      </c>
      <c r="C20758" s="6">
        <v>67</v>
      </c>
      <c r="D20758" s="7">
        <v>314.79000000000002</v>
      </c>
    </row>
    <row r="20759" spans="1:5" x14ac:dyDescent="0.25">
      <c r="A20759" t="str">
        <f>HYPERLINK("https://www.773grp.com/globalSearch/54LS147J-B  LT/page-1", "54LS147J-B  LT")</f>
        <v>54LS147J-B  LT</v>
      </c>
      <c r="B20759" s="3" t="s">
        <v>116</v>
      </c>
      <c r="C20759" s="6">
        <v>48</v>
      </c>
      <c r="D20759" s="7">
        <v>314.79000000000002</v>
      </c>
    </row>
    <row r="20760" spans="1:5" x14ac:dyDescent="0.25">
      <c r="A20760" t="str">
        <f>HYPERLINK("https://www.773grp.com/globalSearch/29825AW-B/page-1", "29825AW-B")</f>
        <v>29825AW-B</v>
      </c>
      <c r="B20760" s="3" t="s">
        <v>116</v>
      </c>
      <c r="C20760" s="6">
        <v>238</v>
      </c>
      <c r="D20760" s="7">
        <v>320.29000000000002</v>
      </c>
    </row>
    <row r="20761" spans="1:5" x14ac:dyDescent="0.25">
      <c r="A20761" t="str">
        <f>HYPERLINK("https://www.773grp.com/globalSearch/962HM-B/page-1", "962HM-B")</f>
        <v>962HM-B</v>
      </c>
      <c r="B20761" s="3" t="s">
        <v>116</v>
      </c>
      <c r="C20761" s="6">
        <v>1</v>
      </c>
      <c r="D20761" s="7">
        <v>322.64</v>
      </c>
    </row>
    <row r="20762" spans="1:5" x14ac:dyDescent="0.25">
      <c r="A20762" t="str">
        <f>HYPERLINK("https://www.773grp.com/globalSearch/2910ALM-B/page-1", "2910ALM-B")</f>
        <v>2910ALM-B</v>
      </c>
      <c r="B20762" s="3" t="s">
        <v>116</v>
      </c>
      <c r="C20762" s="6">
        <v>455</v>
      </c>
      <c r="D20762" s="7">
        <v>322.64</v>
      </c>
    </row>
    <row r="20763" spans="1:5" x14ac:dyDescent="0.25">
      <c r="A20763" t="str">
        <f>HYPERLINK("https://www.773grp.com/globalSearch/MR28F010-90-R/page-1", "MR28F010-90-R")</f>
        <v>MR28F010-90-R</v>
      </c>
      <c r="B20763" s="3" t="s">
        <v>116</v>
      </c>
      <c r="C20763" s="6">
        <v>2365</v>
      </c>
      <c r="D20763" s="7">
        <v>322.64</v>
      </c>
    </row>
    <row r="20764" spans="1:5" x14ac:dyDescent="0.25">
      <c r="A20764" t="str">
        <f>HYPERLINK("https://www.773grp.com/globalSearch/LM1578AH-883/page-1", "LM1578AH-883")</f>
        <v>LM1578AH-883</v>
      </c>
      <c r="B20764" s="3" t="s">
        <v>116</v>
      </c>
      <c r="C20764" s="6">
        <v>513</v>
      </c>
      <c r="D20764" s="7">
        <v>324.54000000000002</v>
      </c>
      <c r="E20764" t="s">
        <v>5</v>
      </c>
    </row>
    <row r="20765" spans="1:5" x14ac:dyDescent="0.25">
      <c r="A20765" t="str">
        <f>HYPERLINK("https://www.773grp.com/globalSearch/R241408/page-1", "R241408")</f>
        <v>R241408</v>
      </c>
      <c r="B20765" s="3" t="s">
        <v>116</v>
      </c>
      <c r="C20765" s="6">
        <v>21</v>
      </c>
      <c r="D20765" s="7">
        <v>324.58</v>
      </c>
    </row>
    <row r="20766" spans="1:5" x14ac:dyDescent="0.25">
      <c r="A20766" t="str">
        <f>HYPERLINK("https://www.773grp.com/globalSearch/MR8254-B/page-1", "MR8254-B")</f>
        <v>MR8254-B</v>
      </c>
      <c r="B20766" s="3" t="s">
        <v>116</v>
      </c>
      <c r="C20766" s="6">
        <v>244</v>
      </c>
      <c r="D20766" s="7">
        <v>326.18</v>
      </c>
    </row>
    <row r="20767" spans="1:5" x14ac:dyDescent="0.25">
      <c r="A20767" t="str">
        <f>HYPERLINK("https://www.773grp.com/globalSearch/MD80C31BH/page-1", "MD80C31BH")</f>
        <v>MD80C31BH</v>
      </c>
      <c r="B20767" s="3" t="s">
        <v>116</v>
      </c>
      <c r="C20767" s="6">
        <v>185</v>
      </c>
      <c r="D20767" s="7">
        <v>326.98</v>
      </c>
      <c r="E20767" t="s">
        <v>43</v>
      </c>
    </row>
    <row r="20768" spans="1:5" x14ac:dyDescent="0.25">
      <c r="A20768" t="str">
        <f>HYPERLINK("https://www.773grp.com/globalSearch/951G-C/page-1", "951G-C")</f>
        <v>951G-C</v>
      </c>
      <c r="B20768" s="3" t="s">
        <v>116</v>
      </c>
      <c r="C20768" s="6">
        <v>37</v>
      </c>
      <c r="D20768" s="7">
        <v>327.05</v>
      </c>
    </row>
    <row r="20769" spans="1:4" x14ac:dyDescent="0.25">
      <c r="A20769" t="str">
        <f>HYPERLINK("https://www.773grp.com/globalSearch/2940FM-B/page-1", "2940FM-B")</f>
        <v>2940FM-B</v>
      </c>
      <c r="B20769" s="3" t="s">
        <v>116</v>
      </c>
      <c r="C20769" s="6">
        <v>109</v>
      </c>
      <c r="D20769" s="7">
        <v>337.75</v>
      </c>
    </row>
    <row r="20770" spans="1:4" x14ac:dyDescent="0.25">
      <c r="A20770" t="str">
        <f>HYPERLINK("https://www.773grp.com/globalSearch/9158DM-C/page-1", "9158DM-C")</f>
        <v>9158DM-C</v>
      </c>
      <c r="B20770" s="3" t="s">
        <v>116</v>
      </c>
      <c r="C20770" s="6">
        <v>166</v>
      </c>
      <c r="D20770" s="7">
        <v>339.66</v>
      </c>
    </row>
    <row r="20771" spans="1:4" x14ac:dyDescent="0.25">
      <c r="A20771" t="str">
        <f>HYPERLINK("https://www.773grp.com/globalSearch/R151001/page-1", "R151001")</f>
        <v>R151001</v>
      </c>
      <c r="B20771" s="3" t="s">
        <v>116</v>
      </c>
      <c r="C20771" s="6">
        <v>142</v>
      </c>
      <c r="D20771" s="7">
        <v>340.01</v>
      </c>
    </row>
    <row r="20772" spans="1:4" x14ac:dyDescent="0.25">
      <c r="A20772" t="str">
        <f>HYPERLINK("https://www.773grp.com/globalSearch/R151001  LT/page-1", "R151001  LT")</f>
        <v>R151001  LT</v>
      </c>
      <c r="B20772" s="3" t="s">
        <v>116</v>
      </c>
      <c r="C20772" s="6">
        <v>90</v>
      </c>
      <c r="D20772" s="7">
        <v>340.01</v>
      </c>
    </row>
    <row r="20773" spans="1:4" x14ac:dyDescent="0.25">
      <c r="A20773" t="str">
        <f>HYPERLINK("https://www.773grp.com/globalSearch/R652130/page-1", "R652130")</f>
        <v>R652130</v>
      </c>
      <c r="B20773" s="3" t="s">
        <v>116</v>
      </c>
      <c r="C20773" s="6">
        <v>140</v>
      </c>
      <c r="D20773" s="7">
        <v>340.29</v>
      </c>
    </row>
    <row r="20774" spans="1:4" x14ac:dyDescent="0.25">
      <c r="A20774" t="str">
        <f>HYPERLINK("https://www.773grp.com/globalSearch/R932401/page-1", "R932401")</f>
        <v>R932401</v>
      </c>
      <c r="B20774" s="3" t="s">
        <v>116</v>
      </c>
      <c r="C20774" s="6">
        <v>106</v>
      </c>
      <c r="D20774" s="7">
        <v>341.54</v>
      </c>
    </row>
    <row r="20775" spans="1:4" x14ac:dyDescent="0.25">
      <c r="A20775" t="str">
        <f>HYPERLINK("https://www.773grp.com/globalSearch/54HC58J-B/page-1", "54HC58J-B")</f>
        <v>54HC58J-B</v>
      </c>
      <c r="B20775" s="3" t="s">
        <v>116</v>
      </c>
      <c r="C20775" s="6">
        <v>121</v>
      </c>
      <c r="D20775" s="7">
        <v>347.33</v>
      </c>
    </row>
    <row r="20776" spans="1:4" x14ac:dyDescent="0.25">
      <c r="A20776" t="str">
        <f>HYPERLINK("https://www.773grp.com/globalSearch/CLC114A-BCA/page-1", "CLC114A-BCA")</f>
        <v>CLC114A-BCA</v>
      </c>
      <c r="B20776" s="3" t="s">
        <v>116</v>
      </c>
      <c r="C20776" s="6">
        <v>285</v>
      </c>
      <c r="D20776" s="7">
        <v>347.46</v>
      </c>
    </row>
    <row r="20777" spans="1:4" x14ac:dyDescent="0.25">
      <c r="A20777" t="str">
        <f>HYPERLINK("https://www.773grp.com/globalSearch/2925ALM-B/page-1", "2925ALM-B")</f>
        <v>2925ALM-B</v>
      </c>
      <c r="B20777" s="3" t="s">
        <v>116</v>
      </c>
      <c r="C20777" s="6">
        <v>97</v>
      </c>
      <c r="D20777" s="7">
        <v>347.85</v>
      </c>
    </row>
    <row r="20778" spans="1:4" x14ac:dyDescent="0.25">
      <c r="A20778" t="str">
        <f>HYPERLINK("https://www.773grp.com/globalSearch/R1138/page-1", "R1138")</f>
        <v>R1138</v>
      </c>
      <c r="B20778" s="3" t="s">
        <v>116</v>
      </c>
      <c r="C20778" s="6">
        <v>460</v>
      </c>
      <c r="D20778" s="7">
        <v>352</v>
      </c>
    </row>
    <row r="20779" spans="1:4" x14ac:dyDescent="0.25">
      <c r="A20779" t="str">
        <f>HYPERLINK("https://www.773grp.com/globalSearch/TA80C186XL-20/page-1", "TA80C186XL-20")</f>
        <v>TA80C186XL-20</v>
      </c>
      <c r="B20779" s="3" t="s">
        <v>116</v>
      </c>
      <c r="C20779" s="6">
        <v>38</v>
      </c>
      <c r="D20779" s="7">
        <v>358.86</v>
      </c>
    </row>
    <row r="20780" spans="1:4" x14ac:dyDescent="0.25">
      <c r="A20780" t="str">
        <f>HYPERLINK("https://www.773grp.com/globalSearch/9094FM-B/page-1", "9094FM-B")</f>
        <v>9094FM-B</v>
      </c>
      <c r="B20780" s="3" t="s">
        <v>116</v>
      </c>
      <c r="C20780" s="6">
        <v>358</v>
      </c>
      <c r="D20780" s="7">
        <v>360.44</v>
      </c>
    </row>
    <row r="20781" spans="1:4" x14ac:dyDescent="0.25">
      <c r="A20781" t="str">
        <f>HYPERLINK("https://www.773grp.com/globalSearch/A80C286-12/page-1", "A80C286-12")</f>
        <v>A80C286-12</v>
      </c>
      <c r="B20781" s="3" t="s">
        <v>116</v>
      </c>
      <c r="C20781" s="6">
        <v>3182</v>
      </c>
      <c r="D20781" s="7">
        <v>368.65</v>
      </c>
    </row>
    <row r="20782" spans="1:4" x14ac:dyDescent="0.25">
      <c r="A20782" t="str">
        <f>HYPERLINK("https://www.773grp.com/globalSearch/RC1550F-B/page-1", "RC1550F-B")</f>
        <v>RC1550F-B</v>
      </c>
      <c r="B20782" s="3" t="s">
        <v>116</v>
      </c>
      <c r="C20782" s="6">
        <v>83</v>
      </c>
      <c r="D20782" s="7">
        <v>370.53</v>
      </c>
    </row>
    <row r="20783" spans="1:4" x14ac:dyDescent="0.25">
      <c r="A20783" t="str">
        <f>HYPERLINK("https://www.773grp.com/globalSearch/R449100/page-1", "R449100")</f>
        <v>R449100</v>
      </c>
      <c r="B20783" s="3" t="s">
        <v>116</v>
      </c>
      <c r="C20783" s="6">
        <v>21</v>
      </c>
      <c r="D20783" s="7">
        <v>372.3</v>
      </c>
    </row>
    <row r="20784" spans="1:4" x14ac:dyDescent="0.25">
      <c r="A20784" t="str">
        <f>HYPERLINK("https://www.773grp.com/globalSearch/CDP1823CD-B/page-1", "CDP1823CD-B")</f>
        <v>CDP1823CD-B</v>
      </c>
      <c r="B20784" s="3" t="s">
        <v>116</v>
      </c>
      <c r="C20784" s="6">
        <v>78</v>
      </c>
      <c r="D20784" s="7">
        <v>372.66</v>
      </c>
    </row>
    <row r="20785" spans="1:5" x14ac:dyDescent="0.25">
      <c r="A20785" t="str">
        <f>HYPERLINK("https://www.773grp.com/globalSearch/DG181AA-B/page-1", "DG181AA-B")</f>
        <v>DG181AA-B</v>
      </c>
      <c r="B20785" s="3" t="s">
        <v>116</v>
      </c>
      <c r="C20785" s="6">
        <v>1</v>
      </c>
      <c r="D20785" s="7">
        <v>372.66</v>
      </c>
    </row>
    <row r="20786" spans="1:5" x14ac:dyDescent="0.25">
      <c r="A20786" t="str">
        <f>HYPERLINK("https://www.773grp.com/globalSearch/HI4-0549-883/page-1", "HI4-0549-883")</f>
        <v>HI4-0549-883</v>
      </c>
      <c r="B20786" s="3" t="s">
        <v>116</v>
      </c>
      <c r="C20786" s="6">
        <v>139</v>
      </c>
      <c r="D20786" s="7">
        <v>372.71</v>
      </c>
      <c r="E20786" t="s">
        <v>46</v>
      </c>
    </row>
    <row r="20787" spans="1:5" x14ac:dyDescent="0.25">
      <c r="A20787" t="str">
        <f>HYPERLINK("https://www.773grp.com/globalSearch/MD80C31BH-B/page-1", "MD80C31BH-B")</f>
        <v>MD80C31BH-B</v>
      </c>
      <c r="B20787" s="3" t="s">
        <v>116</v>
      </c>
      <c r="C20787" s="6">
        <v>1015</v>
      </c>
      <c r="D20787" s="7">
        <v>372.79</v>
      </c>
      <c r="E20787" t="s">
        <v>43</v>
      </c>
    </row>
    <row r="20788" spans="1:5" x14ac:dyDescent="0.25">
      <c r="A20788" t="str">
        <f>HYPERLINK("https://www.773grp.com/globalSearch/9517A-4DM-B/page-1", "9517A-4DM-B")</f>
        <v>9517A-4DM-B</v>
      </c>
      <c r="B20788" s="3" t="s">
        <v>116</v>
      </c>
      <c r="C20788" s="6">
        <v>760</v>
      </c>
      <c r="D20788" s="7">
        <v>373.04</v>
      </c>
    </row>
    <row r="20789" spans="1:5" x14ac:dyDescent="0.25">
      <c r="A20789" t="str">
        <f>HYPERLINK("https://www.773grp.com/globalSearch/9946-BCA/page-1", "9946-BCA")</f>
        <v>9946-BCA</v>
      </c>
      <c r="B20789" s="3" t="s">
        <v>116</v>
      </c>
      <c r="C20789" s="6">
        <v>517</v>
      </c>
      <c r="D20789" s="7">
        <v>374.61</v>
      </c>
    </row>
    <row r="20790" spans="1:5" x14ac:dyDescent="0.25">
      <c r="A20790" t="str">
        <f>HYPERLINK("https://www.773grp.com/globalSearch/MD87C51-16-B/page-1", "MD87C51-16-B")</f>
        <v>MD87C51-16-B</v>
      </c>
      <c r="B20790" s="3" t="s">
        <v>116</v>
      </c>
      <c r="C20790" s="6">
        <v>108</v>
      </c>
      <c r="D20790" s="7">
        <v>375.29</v>
      </c>
    </row>
    <row r="20791" spans="1:5" x14ac:dyDescent="0.25">
      <c r="A20791" t="str">
        <f>HYPERLINK("https://www.773grp.com/globalSearch/54HC51J-B/page-1", "54HC51J-B")</f>
        <v>54HC51J-B</v>
      </c>
      <c r="B20791" s="3" t="s">
        <v>116</v>
      </c>
      <c r="C20791" s="6">
        <v>201</v>
      </c>
      <c r="D20791" s="7">
        <v>382.98</v>
      </c>
    </row>
    <row r="20792" spans="1:5" x14ac:dyDescent="0.25">
      <c r="A20792" t="str">
        <f>HYPERLINK("https://www.773grp.com/globalSearch/MD8086-2-B/page-1", "MD8086-2-B")</f>
        <v>MD8086-2-B</v>
      </c>
      <c r="B20792" s="3" t="s">
        <v>116</v>
      </c>
      <c r="C20792" s="6">
        <v>230</v>
      </c>
      <c r="D20792" s="7">
        <v>385.65</v>
      </c>
      <c r="E20792" t="s">
        <v>66</v>
      </c>
    </row>
    <row r="20793" spans="1:5" x14ac:dyDescent="0.25">
      <c r="A20793" t="str">
        <f>HYPERLINK("https://www.773grp.com/globalSearch/EP1810GI-45/page-1", "EP1810GI-45")</f>
        <v>EP1810GI-45</v>
      </c>
      <c r="B20793" s="3" t="s">
        <v>116</v>
      </c>
      <c r="C20793" s="6">
        <v>83</v>
      </c>
      <c r="D20793" s="7">
        <v>385.65</v>
      </c>
      <c r="E20793" t="s">
        <v>42</v>
      </c>
    </row>
    <row r="20794" spans="1:5" x14ac:dyDescent="0.25">
      <c r="A20794" t="str">
        <f>HYPERLINK("https://www.773grp.com/globalSearch/TL080MJG-C/page-1", "TL080MJG-C")</f>
        <v>TL080MJG-C</v>
      </c>
      <c r="B20794" s="3" t="s">
        <v>116</v>
      </c>
      <c r="C20794" s="6">
        <v>119</v>
      </c>
      <c r="D20794" s="7">
        <v>388.43</v>
      </c>
    </row>
    <row r="20795" spans="1:5" x14ac:dyDescent="0.25">
      <c r="A20795" t="str">
        <f>HYPERLINK("https://www.773grp.com/globalSearch/2964B-BUA/page-1", "2964B-BUA")</f>
        <v>2964B-BUA</v>
      </c>
      <c r="B20795" s="3" t="s">
        <v>116</v>
      </c>
      <c r="C20795" s="6">
        <v>1320</v>
      </c>
      <c r="D20795" s="7">
        <v>390.64</v>
      </c>
    </row>
    <row r="20796" spans="1:5" x14ac:dyDescent="0.25">
      <c r="A20796" t="str">
        <f>HYPERLINK("https://www.773grp.com/globalSearch/R754105/page-1", "R754105")</f>
        <v>R754105</v>
      </c>
      <c r="B20796" s="3" t="s">
        <v>116</v>
      </c>
      <c r="C20796" s="6">
        <v>297</v>
      </c>
      <c r="D20796" s="7">
        <v>395.21</v>
      </c>
    </row>
    <row r="20797" spans="1:5" x14ac:dyDescent="0.25">
      <c r="A20797" t="str">
        <f>HYPERLINK("https://www.773grp.com/globalSearch/2910A-BZC/page-1", "2910A-BZC")</f>
        <v>2910A-BZC</v>
      </c>
      <c r="B20797" s="3" t="s">
        <v>116</v>
      </c>
      <c r="C20797" s="6">
        <v>36</v>
      </c>
      <c r="D20797" s="7">
        <v>395.74</v>
      </c>
    </row>
    <row r="20798" spans="1:5" x14ac:dyDescent="0.25">
      <c r="A20798" t="str">
        <f>HYPERLINK("https://www.773grp.com/globalSearch/TL514MJ-B/page-1", "TL514MJ-B")</f>
        <v>TL514MJ-B</v>
      </c>
      <c r="B20798" s="3" t="s">
        <v>116</v>
      </c>
      <c r="C20798" s="6">
        <v>46</v>
      </c>
      <c r="D20798" s="7">
        <v>396.99</v>
      </c>
    </row>
    <row r="20799" spans="1:5" x14ac:dyDescent="0.25">
      <c r="A20799" t="str">
        <f>HYPERLINK("https://www.773grp.com/globalSearch/2904-BQA/page-1", "2904-BQA")</f>
        <v>2904-BQA</v>
      </c>
      <c r="B20799" s="3" t="s">
        <v>116</v>
      </c>
      <c r="C20799" s="6">
        <v>854</v>
      </c>
      <c r="D20799" s="7">
        <v>403.88</v>
      </c>
    </row>
    <row r="20800" spans="1:5" x14ac:dyDescent="0.25">
      <c r="A20800" t="str">
        <f>HYPERLINK("https://www.773grp.com/globalSearch/A8797BH-G/page-1", "A8797BH-G")</f>
        <v>A8797BH-G</v>
      </c>
      <c r="B20800" s="3" t="s">
        <v>116</v>
      </c>
      <c r="C20800" s="6">
        <v>248</v>
      </c>
      <c r="D20800" s="7">
        <v>404.9</v>
      </c>
    </row>
    <row r="20801" spans="1:5" x14ac:dyDescent="0.25">
      <c r="A20801" t="str">
        <f>HYPERLINK("https://www.773grp.com/globalSearch/27S03ALM-B/page-1", "27S03ALM-B")</f>
        <v>27S03ALM-B</v>
      </c>
      <c r="B20801" s="3" t="s">
        <v>116</v>
      </c>
      <c r="C20801" s="6">
        <v>67</v>
      </c>
      <c r="D20801" s="7">
        <v>408.36</v>
      </c>
    </row>
    <row r="20802" spans="1:5" x14ac:dyDescent="0.25">
      <c r="A20802" t="str">
        <f>HYPERLINK("https://www.773grp.com/globalSearch/910HM-B/page-1", "910HM-B")</f>
        <v>910HM-B</v>
      </c>
      <c r="B20802" s="3" t="s">
        <v>116</v>
      </c>
      <c r="C20802" s="6">
        <v>155</v>
      </c>
      <c r="D20802" s="7">
        <v>413.38</v>
      </c>
    </row>
    <row r="20803" spans="1:5" x14ac:dyDescent="0.25">
      <c r="A20803" t="str">
        <f>HYPERLINK("https://www.773grp.com/globalSearch/87C51-BQA/page-1", "87C51-BQA")</f>
        <v>87C51-BQA</v>
      </c>
      <c r="B20803" s="3" t="s">
        <v>116</v>
      </c>
      <c r="C20803" s="6">
        <v>258</v>
      </c>
      <c r="D20803" s="7">
        <v>414.49</v>
      </c>
      <c r="E20803" t="s">
        <v>43</v>
      </c>
    </row>
    <row r="20804" spans="1:5" x14ac:dyDescent="0.25">
      <c r="A20804" t="str">
        <f>HYPERLINK("https://www.773grp.com/globalSearch/MD87C51-BQA/page-1", "MD87C51-BQA")</f>
        <v>MD87C51-BQA</v>
      </c>
      <c r="B20804" s="3" t="s">
        <v>116</v>
      </c>
      <c r="C20804" s="6">
        <v>487</v>
      </c>
      <c r="D20804" s="7">
        <v>414.49</v>
      </c>
    </row>
    <row r="20805" spans="1:5" x14ac:dyDescent="0.25">
      <c r="A20805" t="str">
        <f>HYPERLINK("https://www.773grp.com/globalSearch/MD28F020-12-R/page-1", "MD28F020-12-R")</f>
        <v>MD28F020-12-R</v>
      </c>
      <c r="B20805" s="3" t="s">
        <v>116</v>
      </c>
      <c r="C20805" s="6">
        <v>392</v>
      </c>
      <c r="D20805" s="7">
        <v>415.14</v>
      </c>
    </row>
    <row r="20806" spans="1:5" x14ac:dyDescent="0.25">
      <c r="A20806" t="str">
        <f>HYPERLINK("https://www.773grp.com/globalSearch/MC80C31BH-B/page-1", "MC80C31BH-B")</f>
        <v>MC80C31BH-B</v>
      </c>
      <c r="B20806" s="3" t="s">
        <v>116</v>
      </c>
      <c r="C20806" s="6">
        <v>166</v>
      </c>
      <c r="D20806" s="7">
        <v>415.64</v>
      </c>
    </row>
    <row r="20807" spans="1:5" x14ac:dyDescent="0.25">
      <c r="A20807" t="str">
        <f>HYPERLINK("https://www.773grp.com/globalSearch/ER2051HR-006/page-1", "ER2051HR-006")</f>
        <v>ER2051HR-006</v>
      </c>
      <c r="B20807" s="3" t="s">
        <v>116</v>
      </c>
      <c r="C20807" s="6">
        <v>477</v>
      </c>
      <c r="D20807" s="7">
        <v>415.9</v>
      </c>
    </row>
    <row r="20808" spans="1:5" x14ac:dyDescent="0.25">
      <c r="A20808" t="str">
        <f>HYPERLINK("https://www.773grp.com/globalSearch/A82786SX365/page-1", "A82786SX365")</f>
        <v>A82786SX365</v>
      </c>
      <c r="B20808" s="3" t="s">
        <v>116</v>
      </c>
      <c r="C20808" s="6">
        <v>467</v>
      </c>
      <c r="D20808" s="7">
        <v>417.59</v>
      </c>
    </row>
    <row r="20809" spans="1:5" x14ac:dyDescent="0.25">
      <c r="A20809" t="str">
        <f>HYPERLINK("https://www.773grp.com/globalSearch/55501EJ-B/page-1", "55501EJ-B")</f>
        <v>55501EJ-B</v>
      </c>
      <c r="B20809" s="3" t="s">
        <v>116</v>
      </c>
      <c r="C20809" s="6">
        <v>7</v>
      </c>
      <c r="D20809" s="7">
        <v>420.93</v>
      </c>
    </row>
    <row r="20810" spans="1:5" x14ac:dyDescent="0.25">
      <c r="A20810" t="str">
        <f>HYPERLINK("https://www.773grp.com/globalSearch/55501EJ-BQA/page-1", "55501EJ-BQA")</f>
        <v>55501EJ-BQA</v>
      </c>
      <c r="B20810" s="3" t="s">
        <v>116</v>
      </c>
      <c r="C20810" s="6">
        <v>617</v>
      </c>
      <c r="D20810" s="7">
        <v>420.93</v>
      </c>
    </row>
    <row r="20811" spans="1:5" x14ac:dyDescent="0.25">
      <c r="A20811" t="str">
        <f>HYPERLINK("https://www.773grp.com/globalSearch/494000/page-1", "494000")</f>
        <v>494000</v>
      </c>
      <c r="B20811" s="3" t="s">
        <v>116</v>
      </c>
      <c r="C20811" s="6">
        <v>790</v>
      </c>
      <c r="D20811" s="7">
        <v>423.46</v>
      </c>
    </row>
    <row r="20812" spans="1:5" x14ac:dyDescent="0.25">
      <c r="A20812" t="str">
        <f>HYPERLINK("https://www.773grp.com/globalSearch/LM747A-BCA/page-1", "LM747A-BCA")</f>
        <v>LM747A-BCA</v>
      </c>
      <c r="B20812" s="3" t="s">
        <v>116</v>
      </c>
      <c r="C20812" s="6">
        <v>1538</v>
      </c>
      <c r="D20812" s="7">
        <v>424.54</v>
      </c>
    </row>
    <row r="20813" spans="1:5" x14ac:dyDescent="0.25">
      <c r="A20813" t="str">
        <f>HYPERLINK("https://www.773grp.com/globalSearch/54L165AJ-B/page-1", "54L165AJ-B")</f>
        <v>54L165AJ-B</v>
      </c>
      <c r="B20813" s="3" t="s">
        <v>116</v>
      </c>
      <c r="C20813" s="6">
        <v>246</v>
      </c>
      <c r="D20813" s="7">
        <v>425.84</v>
      </c>
    </row>
    <row r="20814" spans="1:5" x14ac:dyDescent="0.25">
      <c r="A20814" t="str">
        <f>HYPERLINK("https://www.773grp.com/globalSearch/MD80C51FB/page-1", "MD80C51FB")</f>
        <v>MD80C51FB</v>
      </c>
      <c r="B20814" s="3" t="s">
        <v>116</v>
      </c>
      <c r="C20814" s="6">
        <v>34</v>
      </c>
      <c r="D20814" s="7">
        <v>428.49</v>
      </c>
      <c r="E20814" t="s">
        <v>43</v>
      </c>
    </row>
    <row r="20815" spans="1:5" x14ac:dyDescent="0.25">
      <c r="A20815" t="str">
        <f>HYPERLINK("https://www.773grp.com/globalSearch/CLC522A-B2A/page-1", "CLC522A-B2A")</f>
        <v>CLC522A-B2A</v>
      </c>
      <c r="B20815" s="3" t="s">
        <v>116</v>
      </c>
      <c r="C20815" s="6">
        <v>275</v>
      </c>
      <c r="D20815" s="7">
        <v>431.73</v>
      </c>
    </row>
    <row r="20816" spans="1:5" x14ac:dyDescent="0.25">
      <c r="A20816" t="str">
        <f>HYPERLINK("https://www.773grp.com/globalSearch/MD8086-B/page-1", "MD8086-B")</f>
        <v>MD8086-B</v>
      </c>
      <c r="B20816" s="3" t="s">
        <v>116</v>
      </c>
      <c r="C20816" s="6">
        <v>102</v>
      </c>
      <c r="D20816" s="7">
        <v>434.93</v>
      </c>
    </row>
    <row r="20817" spans="1:5" x14ac:dyDescent="0.25">
      <c r="A20817" t="str">
        <f>HYPERLINK("https://www.773grp.com/globalSearch/MD28F020-90/page-1", "MD28F020-90")</f>
        <v>MD28F020-90</v>
      </c>
      <c r="B20817" s="3" t="s">
        <v>116</v>
      </c>
      <c r="C20817" s="6">
        <v>811</v>
      </c>
      <c r="D20817" s="7">
        <v>438.59</v>
      </c>
      <c r="E20817" t="s">
        <v>52</v>
      </c>
    </row>
    <row r="20818" spans="1:5" x14ac:dyDescent="0.25">
      <c r="A20818" t="str">
        <f>HYPERLINK("https://www.773grp.com/globalSearch/8751H-8-BQA/page-1", "8751H-8-BQA")</f>
        <v>8751H-8-BQA</v>
      </c>
      <c r="B20818" s="3" t="s">
        <v>116</v>
      </c>
      <c r="C20818" s="6">
        <v>1001</v>
      </c>
      <c r="D20818" s="7">
        <v>448.65</v>
      </c>
      <c r="E20818" t="s">
        <v>43</v>
      </c>
    </row>
    <row r="20819" spans="1:5" x14ac:dyDescent="0.25">
      <c r="A20819" t="str">
        <f>HYPERLINK("https://www.773grp.com/globalSearch/25LS2518FM-B/page-1", "25LS2518FM-B")</f>
        <v>25LS2518FM-B</v>
      </c>
      <c r="B20819" s="3" t="s">
        <v>116</v>
      </c>
      <c r="C20819" s="6">
        <v>635</v>
      </c>
      <c r="D20819" s="7">
        <v>453.7</v>
      </c>
    </row>
    <row r="20820" spans="1:5" x14ac:dyDescent="0.25">
      <c r="A20820" t="str">
        <f>HYPERLINK("https://www.773grp.com/globalSearch/LM7710-BGA/page-1", "LM7710-BGA")</f>
        <v>LM7710-BGA</v>
      </c>
      <c r="B20820" s="3" t="s">
        <v>116</v>
      </c>
      <c r="C20820" s="6">
        <v>637</v>
      </c>
      <c r="D20820" s="7">
        <v>461.26</v>
      </c>
    </row>
    <row r="20821" spans="1:5" x14ac:dyDescent="0.25">
      <c r="A20821" t="str">
        <f>HYPERLINK("https://www.773grp.com/globalSearch/MD28F020-90-R/page-1", "MD28F020-90-R")</f>
        <v>MD28F020-90-R</v>
      </c>
      <c r="B20821" s="3" t="s">
        <v>116</v>
      </c>
      <c r="C20821" s="6">
        <v>4873</v>
      </c>
      <c r="D20821" s="7">
        <v>466.31</v>
      </c>
    </row>
    <row r="20822" spans="1:5" x14ac:dyDescent="0.25">
      <c r="A20822" t="str">
        <f>HYPERLINK("https://www.773grp.com/globalSearch/R494001/page-1", "R494001")</f>
        <v>R494001</v>
      </c>
      <c r="B20822" s="3" t="s">
        <v>116</v>
      </c>
      <c r="C20822" s="6">
        <v>663</v>
      </c>
      <c r="D20822" s="7">
        <v>468.83</v>
      </c>
    </row>
    <row r="20823" spans="1:5" x14ac:dyDescent="0.25">
      <c r="A20823" t="str">
        <f>HYPERLINK("https://www.773grp.com/globalSearch/ADSP-2111BS-80/page-1", "ADSP-2111BS-80")</f>
        <v>ADSP-2111BS-80</v>
      </c>
      <c r="B20823" s="3" t="s">
        <v>116</v>
      </c>
      <c r="C20823" s="6">
        <v>29381</v>
      </c>
      <c r="D20823" s="7">
        <v>479.98</v>
      </c>
      <c r="E20823" t="s">
        <v>103</v>
      </c>
    </row>
    <row r="20824" spans="1:5" x14ac:dyDescent="0.25">
      <c r="A20824" t="str">
        <f>HYPERLINK("https://www.773grp.com/globalSearch/LM747A-BIA/page-1", "LM747A-BIA")</f>
        <v>LM747A-BIA</v>
      </c>
      <c r="B20824" s="3" t="s">
        <v>116</v>
      </c>
      <c r="C20824" s="6">
        <v>1740</v>
      </c>
      <c r="D20824" s="7">
        <v>485.21</v>
      </c>
    </row>
    <row r="20825" spans="1:5" x14ac:dyDescent="0.25">
      <c r="A20825" t="str">
        <f>HYPERLINK("https://www.773grp.com/globalSearch/MG80186-6-B/page-1", "MG80186-6-B")</f>
        <v>MG80186-6-B</v>
      </c>
      <c r="B20825" s="3" t="s">
        <v>116</v>
      </c>
      <c r="C20825" s="6">
        <v>1</v>
      </c>
      <c r="D20825" s="7">
        <v>491.51</v>
      </c>
    </row>
    <row r="20826" spans="1:5" x14ac:dyDescent="0.25">
      <c r="A20826" t="str">
        <f>HYPERLINK("https://www.773grp.com/globalSearch/2147-70-BYA/page-1", "2147-70-BYA")</f>
        <v>2147-70-BYA</v>
      </c>
      <c r="B20826" s="3" t="s">
        <v>116</v>
      </c>
      <c r="C20826" s="6">
        <v>7</v>
      </c>
      <c r="D20826" s="7">
        <v>499.08</v>
      </c>
    </row>
    <row r="20827" spans="1:5" x14ac:dyDescent="0.25">
      <c r="A20827" t="str">
        <f>HYPERLINK("https://www.773grp.com/globalSearch/11C05DM-B/page-1", "11C05DM-B")</f>
        <v>11C05DM-B</v>
      </c>
      <c r="B20827" s="3" t="s">
        <v>116</v>
      </c>
      <c r="C20827" s="6">
        <v>784</v>
      </c>
      <c r="D20827" s="7">
        <v>499.08</v>
      </c>
    </row>
    <row r="20828" spans="1:5" x14ac:dyDescent="0.25">
      <c r="A20828" t="str">
        <f>HYPERLINK("https://www.773grp.com/globalSearch/55ALS194-B2A/page-1", "55ALS194-B2A")</f>
        <v>55ALS194-B2A</v>
      </c>
      <c r="B20828" s="3" t="s">
        <v>116</v>
      </c>
      <c r="C20828" s="6">
        <v>477</v>
      </c>
      <c r="D20828" s="7">
        <v>499.08</v>
      </c>
    </row>
    <row r="20829" spans="1:5" x14ac:dyDescent="0.25">
      <c r="A20829" t="str">
        <f>HYPERLINK("https://www.773grp.com/globalSearch/55ALS194-BEA/page-1", "55ALS194-BEA")</f>
        <v>55ALS194-BEA</v>
      </c>
      <c r="B20829" s="3" t="s">
        <v>116</v>
      </c>
      <c r="C20829" s="6">
        <v>746</v>
      </c>
      <c r="D20829" s="7">
        <v>499.08</v>
      </c>
    </row>
    <row r="20830" spans="1:5" x14ac:dyDescent="0.25">
      <c r="A20830" t="str">
        <f>HYPERLINK("https://www.773grp.com/globalSearch/R574103/page-1", "R574103")</f>
        <v>R574103</v>
      </c>
      <c r="B20830" s="3" t="s">
        <v>116</v>
      </c>
      <c r="C20830" s="6">
        <v>93</v>
      </c>
      <c r="D20830" s="7">
        <v>500.21</v>
      </c>
    </row>
    <row r="20831" spans="1:5" x14ac:dyDescent="0.25">
      <c r="A20831" t="str">
        <f>HYPERLINK("https://www.773grp.com/globalSearch/54HC160-BEA/page-1", "54HC160-BEA")</f>
        <v>54HC160-BEA</v>
      </c>
      <c r="B20831" s="3" t="s">
        <v>116</v>
      </c>
      <c r="C20831" s="6">
        <v>649</v>
      </c>
      <c r="D20831" s="7">
        <v>500.46</v>
      </c>
    </row>
    <row r="20832" spans="1:5" x14ac:dyDescent="0.25">
      <c r="A20832" t="str">
        <f>HYPERLINK("https://www.773grp.com/globalSearch/MD28F020-12-B/page-1", "MD28F020-12-B")</f>
        <v>MD28F020-12-B</v>
      </c>
      <c r="B20832" s="3" t="s">
        <v>116</v>
      </c>
      <c r="C20832" s="6">
        <v>360</v>
      </c>
      <c r="D20832" s="7">
        <v>504.11</v>
      </c>
    </row>
    <row r="20833" spans="1:5" x14ac:dyDescent="0.25">
      <c r="A20833" t="str">
        <f>HYPERLINK("https://www.773grp.com/globalSearch/TA8797BH/page-1", "TA8797BH")</f>
        <v>TA8797BH</v>
      </c>
      <c r="B20833" s="3" t="s">
        <v>116</v>
      </c>
      <c r="C20833" s="6">
        <v>397</v>
      </c>
      <c r="D20833" s="7">
        <v>504.11</v>
      </c>
      <c r="E20833" t="s">
        <v>43</v>
      </c>
    </row>
    <row r="20834" spans="1:5" x14ac:dyDescent="0.25">
      <c r="A20834" t="str">
        <f>HYPERLINK("https://www.773grp.com/globalSearch/54LS646JT-B/page-1", "54LS646JT-B")</f>
        <v>54LS646JT-B</v>
      </c>
      <c r="B20834" s="3" t="s">
        <v>116</v>
      </c>
      <c r="C20834" s="6">
        <v>101</v>
      </c>
      <c r="D20834" s="7">
        <v>512.19000000000005</v>
      </c>
    </row>
    <row r="20835" spans="1:5" x14ac:dyDescent="0.25">
      <c r="A20835" t="str">
        <f>HYPERLINK("https://www.773grp.com/globalSearch/CLC502A-BPA/page-1", "CLC502A-BPA")</f>
        <v>CLC502A-BPA</v>
      </c>
      <c r="B20835" s="3" t="s">
        <v>116</v>
      </c>
      <c r="C20835" s="6">
        <v>815</v>
      </c>
      <c r="D20835" s="7">
        <v>523.9</v>
      </c>
    </row>
    <row r="20836" spans="1:5" x14ac:dyDescent="0.25">
      <c r="A20836" t="str">
        <f>HYPERLINK("https://www.773grp.com/globalSearch/54LS290-BCA/page-1", "54LS290-BCA")</f>
        <v>54LS290-BCA</v>
      </c>
      <c r="B20836" s="3" t="s">
        <v>116</v>
      </c>
      <c r="C20836" s="6">
        <v>1145</v>
      </c>
      <c r="D20836" s="7">
        <v>531.24</v>
      </c>
    </row>
    <row r="20837" spans="1:5" x14ac:dyDescent="0.25">
      <c r="A20837" t="str">
        <f>HYPERLINK("https://www.773grp.com/globalSearch/2147-55-BYA/page-1", "2147-55-BYA")</f>
        <v>2147-55-BYA</v>
      </c>
      <c r="B20837" s="3" t="s">
        <v>116</v>
      </c>
      <c r="C20837" s="6">
        <v>252</v>
      </c>
      <c r="D20837" s="7">
        <v>531.84</v>
      </c>
    </row>
    <row r="20838" spans="1:5" x14ac:dyDescent="0.25">
      <c r="A20838" t="str">
        <f>HYPERLINK("https://www.773grp.com/globalSearch/CD40116D/page-1", "CD40116D")</f>
        <v>CD40116D</v>
      </c>
      <c r="B20838" s="3" t="s">
        <v>116</v>
      </c>
      <c r="C20838" s="6">
        <v>251</v>
      </c>
      <c r="D20838" s="7">
        <v>538.41</v>
      </c>
    </row>
    <row r="20839" spans="1:5" x14ac:dyDescent="0.25">
      <c r="A20839" t="str">
        <f>HYPERLINK("https://www.773grp.com/globalSearch/HA1-5114-883/page-1", "HA1-5114-883")</f>
        <v>HA1-5114-883</v>
      </c>
      <c r="B20839" s="3" t="s">
        <v>116</v>
      </c>
      <c r="C20839" s="6">
        <v>812</v>
      </c>
      <c r="D20839" s="7">
        <v>538.95000000000005</v>
      </c>
      <c r="E20839" t="s">
        <v>10</v>
      </c>
    </row>
    <row r="20840" spans="1:5" x14ac:dyDescent="0.25">
      <c r="A20840" t="str">
        <f>HYPERLINK("https://www.773grp.com/globalSearch/MD28F020-90-B/page-1", "MD28F020-90-B")</f>
        <v>MD28F020-90-B</v>
      </c>
      <c r="B20840" s="3" t="s">
        <v>116</v>
      </c>
      <c r="C20840" s="6">
        <v>523</v>
      </c>
      <c r="D20840" s="7">
        <v>554.53</v>
      </c>
    </row>
    <row r="20841" spans="1:5" x14ac:dyDescent="0.25">
      <c r="A20841" t="str">
        <f>HYPERLINK("https://www.773grp.com/globalSearch/2903ADM-B/page-1", "2903ADM-B")</f>
        <v>2903ADM-B</v>
      </c>
      <c r="B20841" s="3" t="s">
        <v>116</v>
      </c>
      <c r="C20841" s="6">
        <v>152</v>
      </c>
      <c r="D20841" s="7">
        <v>567.14</v>
      </c>
    </row>
    <row r="20842" spans="1:5" x14ac:dyDescent="0.25">
      <c r="A20842" t="str">
        <f>HYPERLINK("https://www.773grp.com/globalSearch/TA82380-16/page-1", "TA82380-16")</f>
        <v>TA82380-16</v>
      </c>
      <c r="B20842" s="3" t="s">
        <v>116</v>
      </c>
      <c r="C20842" s="6">
        <v>172</v>
      </c>
      <c r="D20842" s="7">
        <v>593.84</v>
      </c>
    </row>
    <row r="20843" spans="1:5" x14ac:dyDescent="0.25">
      <c r="A20843" t="str">
        <f>HYPERLINK("https://www.773grp.com/globalSearch/LD8087/page-1", "LD8087")</f>
        <v>LD8087</v>
      </c>
      <c r="B20843" s="3" t="s">
        <v>116</v>
      </c>
      <c r="C20843" s="6">
        <v>43</v>
      </c>
      <c r="D20843" s="7">
        <v>597.38</v>
      </c>
    </row>
    <row r="20844" spans="1:5" x14ac:dyDescent="0.25">
      <c r="A20844" t="str">
        <f>HYPERLINK("https://www.773grp.com/globalSearch/54LS154F-883C/page-1", "54LS154F-883C")</f>
        <v>54LS154F-883C</v>
      </c>
      <c r="B20844" s="3" t="s">
        <v>116</v>
      </c>
      <c r="C20844" s="6">
        <v>175</v>
      </c>
      <c r="D20844" s="7">
        <v>613.25</v>
      </c>
    </row>
    <row r="20845" spans="1:5" x14ac:dyDescent="0.25">
      <c r="A20845" t="str">
        <f>HYPERLINK("https://www.773grp.com/globalSearch/MG80186-8/page-1", "MG80186-8")</f>
        <v>MG80186-8</v>
      </c>
      <c r="B20845" s="3" t="s">
        <v>116</v>
      </c>
      <c r="C20845" s="6">
        <v>1535</v>
      </c>
      <c r="D20845" s="7">
        <v>614.76</v>
      </c>
    </row>
    <row r="20846" spans="1:5" x14ac:dyDescent="0.25">
      <c r="A20846" t="str">
        <f>HYPERLINK("https://www.773grp.com/globalSearch/55117JG-883C/page-1", "55117JG-883C")</f>
        <v>55117JG-883C</v>
      </c>
      <c r="B20846" s="3" t="s">
        <v>116</v>
      </c>
      <c r="C20846" s="6">
        <v>112</v>
      </c>
      <c r="D20846" s="7">
        <v>625.1</v>
      </c>
    </row>
    <row r="20847" spans="1:5" x14ac:dyDescent="0.25">
      <c r="A20847" t="str">
        <f>HYPERLINK("https://www.773grp.com/globalSearch/55500EFD-B/page-1", "55500EFD-B")</f>
        <v>55500EFD-B</v>
      </c>
      <c r="B20847" s="3" t="s">
        <v>116</v>
      </c>
      <c r="C20847" s="6">
        <v>352</v>
      </c>
      <c r="D20847" s="7">
        <v>625.1</v>
      </c>
    </row>
    <row r="20848" spans="1:5" x14ac:dyDescent="0.25">
      <c r="A20848" t="str">
        <f>HYPERLINK("https://www.773grp.com/globalSearch/55500EJ-B/page-1", "55500EJ-B")</f>
        <v>55500EJ-B</v>
      </c>
      <c r="B20848" s="3" t="s">
        <v>116</v>
      </c>
      <c r="C20848" s="6">
        <v>572</v>
      </c>
      <c r="D20848" s="7">
        <v>625.1</v>
      </c>
    </row>
    <row r="20849" spans="1:5" x14ac:dyDescent="0.25">
      <c r="A20849" t="str">
        <f>HYPERLINK("https://www.773grp.com/globalSearch/2903ADM-B  LT/page-1", "2903ADM-B  LT")</f>
        <v>2903ADM-B  LT</v>
      </c>
      <c r="B20849" s="3" t="s">
        <v>116</v>
      </c>
      <c r="C20849" s="6">
        <v>48</v>
      </c>
      <c r="D20849" s="7">
        <v>630.15</v>
      </c>
    </row>
    <row r="20850" spans="1:5" x14ac:dyDescent="0.25">
      <c r="A20850" t="str">
        <f>HYPERLINK("https://www.773grp.com/globalSearch/2903AFM-B/page-1", "2903AFM-B")</f>
        <v>2903AFM-B</v>
      </c>
      <c r="B20850" s="3" t="s">
        <v>116</v>
      </c>
      <c r="C20850" s="6">
        <v>168</v>
      </c>
      <c r="D20850" s="7">
        <v>630.15</v>
      </c>
    </row>
    <row r="20851" spans="1:5" x14ac:dyDescent="0.25">
      <c r="A20851" t="str">
        <f>HYPERLINK("https://www.773grp.com/globalSearch/55500EFJ-R/page-1", "55500EFJ-R")</f>
        <v>55500EFJ-R</v>
      </c>
      <c r="B20851" s="3" t="s">
        <v>116</v>
      </c>
      <c r="C20851" s="6">
        <v>7</v>
      </c>
      <c r="D20851" s="7">
        <v>675.51</v>
      </c>
    </row>
    <row r="20852" spans="1:5" x14ac:dyDescent="0.25">
      <c r="A20852" t="str">
        <f>HYPERLINK("https://www.773grp.com/globalSearch/R618000/page-1", "R618000")</f>
        <v>R618000</v>
      </c>
      <c r="B20852" s="3" t="s">
        <v>116</v>
      </c>
      <c r="C20852" s="6">
        <v>94</v>
      </c>
      <c r="D20852" s="7">
        <v>689.81</v>
      </c>
    </row>
    <row r="20853" spans="1:5" x14ac:dyDescent="0.25">
      <c r="A20853" t="str">
        <f>HYPERLINK("https://www.773grp.com/globalSearch/MG80186-8-B/page-1", "MG80186-8-B")</f>
        <v>MG80186-8-B</v>
      </c>
      <c r="B20853" s="3" t="s">
        <v>116</v>
      </c>
      <c r="C20853" s="6">
        <v>543</v>
      </c>
      <c r="D20853" s="7">
        <v>696.85</v>
      </c>
    </row>
    <row r="20854" spans="1:5" x14ac:dyDescent="0.25">
      <c r="A20854" t="str">
        <f>HYPERLINK("https://www.773grp.com/globalSearch/R755120/page-1", "R755120")</f>
        <v>R755120</v>
      </c>
      <c r="B20854" s="3" t="s">
        <v>116</v>
      </c>
      <c r="C20854" s="6">
        <v>58</v>
      </c>
      <c r="D20854" s="7">
        <v>706.64</v>
      </c>
    </row>
    <row r="20855" spans="1:5" x14ac:dyDescent="0.25">
      <c r="A20855" t="str">
        <f>HYPERLINK("https://www.773grp.com/globalSearch/MQ80186-6-B/page-1", "MQ80186-6-B")</f>
        <v>MQ80186-6-B</v>
      </c>
      <c r="B20855" s="3" t="s">
        <v>116</v>
      </c>
      <c r="C20855" s="6">
        <v>335</v>
      </c>
      <c r="D20855" s="7">
        <v>728.44</v>
      </c>
    </row>
    <row r="20856" spans="1:5" x14ac:dyDescent="0.25">
      <c r="A20856" t="str">
        <f>HYPERLINK("https://www.773grp.com/globalSearch/NSC800D-B/page-1", "NSC800D-B")</f>
        <v>NSC800D-B</v>
      </c>
      <c r="B20856" s="3" t="s">
        <v>116</v>
      </c>
      <c r="C20856" s="6">
        <v>840</v>
      </c>
      <c r="D20856" s="7">
        <v>739.18</v>
      </c>
    </row>
    <row r="20857" spans="1:5" x14ac:dyDescent="0.25">
      <c r="A20857" t="str">
        <f>HYPERLINK("https://www.773grp.com/globalSearch/NSC810AD-B/page-1", "NSC810AD-B")</f>
        <v>NSC810AD-B</v>
      </c>
      <c r="B20857" s="3" t="s">
        <v>116</v>
      </c>
      <c r="C20857" s="6">
        <v>71</v>
      </c>
      <c r="D20857" s="7">
        <v>739.18</v>
      </c>
    </row>
    <row r="20858" spans="1:5" x14ac:dyDescent="0.25">
      <c r="A20858" t="str">
        <f>HYPERLINK("https://www.773grp.com/globalSearch/D8087-1/page-1", "D8087-1")</f>
        <v>D8087-1</v>
      </c>
      <c r="B20858" s="3" t="s">
        <v>116</v>
      </c>
      <c r="C20858" s="6">
        <v>405</v>
      </c>
      <c r="D20858" s="7">
        <v>743.56</v>
      </c>
      <c r="E20858" t="s">
        <v>104</v>
      </c>
    </row>
    <row r="20859" spans="1:5" x14ac:dyDescent="0.25">
      <c r="A20859" t="str">
        <f>HYPERLINK("https://www.773grp.com/globalSearch/MD8751H-8-B/page-1", "MD8751H-8-B")</f>
        <v>MD8751H-8-B</v>
      </c>
      <c r="B20859" s="3" t="s">
        <v>116</v>
      </c>
      <c r="C20859" s="6">
        <v>403</v>
      </c>
      <c r="D20859" s="7">
        <v>743.56</v>
      </c>
    </row>
    <row r="20860" spans="1:5" x14ac:dyDescent="0.25">
      <c r="A20860" t="str">
        <f>HYPERLINK("https://www.773grp.com/globalSearch/MR8751H-8-R/page-1", "MR8751H-8-R")</f>
        <v>MR8751H-8-R</v>
      </c>
      <c r="B20860" s="3" t="s">
        <v>116</v>
      </c>
      <c r="C20860" s="6">
        <v>1159</v>
      </c>
      <c r="D20860" s="7">
        <v>743.56</v>
      </c>
    </row>
    <row r="20861" spans="1:5" x14ac:dyDescent="0.25">
      <c r="A20861" t="str">
        <f>HYPERLINK("https://www.773grp.com/globalSearch/TA82380-25/page-1", "TA82380-25")</f>
        <v>TA82380-25</v>
      </c>
      <c r="B20861" s="3" t="s">
        <v>116</v>
      </c>
      <c r="C20861" s="6">
        <v>253</v>
      </c>
      <c r="D20861" s="7">
        <v>751.13</v>
      </c>
    </row>
    <row r="20862" spans="1:5" x14ac:dyDescent="0.25">
      <c r="A20862" t="str">
        <f>HYPERLINK("https://www.773grp.com/globalSearch/911HM/page-1", "911HM")</f>
        <v>911HM</v>
      </c>
      <c r="B20862" s="3" t="s">
        <v>116</v>
      </c>
      <c r="C20862" s="6">
        <v>302</v>
      </c>
      <c r="D20862" s="7">
        <v>762.48</v>
      </c>
      <c r="E20862" t="s">
        <v>27</v>
      </c>
    </row>
    <row r="20863" spans="1:5" x14ac:dyDescent="0.25">
      <c r="A20863" t="str">
        <f>HYPERLINK("https://www.773grp.com/globalSearch/MC8751H-8-R/page-1", "MC8751H-8-R")</f>
        <v>MC8751H-8-R</v>
      </c>
      <c r="B20863" s="3" t="s">
        <v>116</v>
      </c>
      <c r="C20863" s="6">
        <v>32</v>
      </c>
      <c r="D20863" s="7">
        <v>819.18</v>
      </c>
    </row>
    <row r="20864" spans="1:5" x14ac:dyDescent="0.25">
      <c r="A20864" t="str">
        <f>HYPERLINK("https://www.773grp.com/globalSearch/MG80C286-10/page-1", "MG80C286-10")</f>
        <v>MG80C286-10</v>
      </c>
      <c r="B20864" s="3" t="s">
        <v>116</v>
      </c>
      <c r="C20864" s="6">
        <v>1051</v>
      </c>
      <c r="D20864" s="7">
        <v>819.18</v>
      </c>
    </row>
    <row r="20865" spans="1:5" x14ac:dyDescent="0.25">
      <c r="A20865" t="str">
        <f>HYPERLINK("https://www.773grp.com/globalSearch/MC8751H-8-BQA/page-1", "MC8751H-8-BQA")</f>
        <v>MC8751H-8-BQA</v>
      </c>
      <c r="B20865" s="3" t="s">
        <v>116</v>
      </c>
      <c r="C20865" s="6">
        <v>53</v>
      </c>
      <c r="D20865" s="7">
        <v>869.6</v>
      </c>
    </row>
    <row r="20866" spans="1:5" x14ac:dyDescent="0.25">
      <c r="A20866" t="str">
        <f>HYPERLINK("https://www.773grp.com/globalSearch/A82380-20/page-1", "A82380-20")</f>
        <v>A82380-20</v>
      </c>
      <c r="B20866" s="3" t="s">
        <v>116</v>
      </c>
      <c r="C20866" s="6">
        <v>910</v>
      </c>
      <c r="D20866" s="7">
        <v>945.23</v>
      </c>
      <c r="E20866" t="s">
        <v>60</v>
      </c>
    </row>
    <row r="20867" spans="1:5" x14ac:dyDescent="0.25">
      <c r="A20867" t="str">
        <f>HYPERLINK("https://www.773grp.com/globalSearch/MG80186-6-BZA/page-1", "MG80186-6-BZA")</f>
        <v>MG80186-6-BZA</v>
      </c>
      <c r="B20867" s="3" t="s">
        <v>116</v>
      </c>
      <c r="C20867" s="6">
        <v>601</v>
      </c>
      <c r="D20867" s="7">
        <v>945.23</v>
      </c>
    </row>
    <row r="20868" spans="1:5" x14ac:dyDescent="0.25">
      <c r="A20868" t="str">
        <f>HYPERLINK("https://www.773grp.com/globalSearch/A82380-25/page-1", "A82380-25")</f>
        <v>A82380-25</v>
      </c>
      <c r="B20868" s="3" t="s">
        <v>116</v>
      </c>
      <c r="C20868" s="6">
        <v>7484</v>
      </c>
      <c r="D20868" s="7">
        <v>995.63</v>
      </c>
      <c r="E20868" t="s">
        <v>60</v>
      </c>
    </row>
    <row r="20869" spans="1:5" x14ac:dyDescent="0.25">
      <c r="A20869" t="str">
        <f>HYPERLINK("https://www.773grp.com/globalSearch/MC8094-R/page-1", "MC8094-R")</f>
        <v>MC8094-R</v>
      </c>
      <c r="B20869" s="3" t="s">
        <v>116</v>
      </c>
      <c r="C20869" s="6">
        <v>261</v>
      </c>
      <c r="D20869" s="7">
        <v>995.63</v>
      </c>
    </row>
    <row r="20870" spans="1:5" x14ac:dyDescent="0.25">
      <c r="A20870" t="str">
        <f>HYPERLINK("https://www.773grp.com/globalSearch/MG80186-8-BZA/page-1", "MG80186-8-BZA")</f>
        <v>MG80186-8-BZA</v>
      </c>
      <c r="B20870" s="3" t="s">
        <v>116</v>
      </c>
      <c r="C20870" s="6">
        <v>32</v>
      </c>
      <c r="D20870" s="7">
        <v>995.63</v>
      </c>
    </row>
    <row r="20871" spans="1:5" x14ac:dyDescent="0.25">
      <c r="A20871" t="str">
        <f>HYPERLINK("https://www.773grp.com/globalSearch/MQ80186-8-BYC/page-1", "MQ80186-8-BYC")</f>
        <v>MQ80186-8-BYC</v>
      </c>
      <c r="B20871" s="3" t="s">
        <v>116</v>
      </c>
      <c r="C20871" s="6">
        <v>1535</v>
      </c>
      <c r="D20871" s="7">
        <v>995.63</v>
      </c>
    </row>
    <row r="20872" spans="1:5" x14ac:dyDescent="0.25">
      <c r="A20872" t="str">
        <f>HYPERLINK("https://www.773grp.com/globalSearch/MF28F008-10/page-1", "MF28F008-10")</f>
        <v>MF28F008-10</v>
      </c>
      <c r="B20872" s="3" t="s">
        <v>116</v>
      </c>
      <c r="C20872" s="6">
        <v>287</v>
      </c>
      <c r="D20872" s="7">
        <v>1000.68</v>
      </c>
      <c r="E20872" t="s">
        <v>52</v>
      </c>
    </row>
    <row r="20873" spans="1:5" x14ac:dyDescent="0.25">
      <c r="A20873" t="str">
        <f>HYPERLINK("https://www.773grp.com/globalSearch/UC1840J-883/page-1", "UC1840J-883")</f>
        <v>UC1840J-883</v>
      </c>
      <c r="B20873" s="3" t="s">
        <v>116</v>
      </c>
      <c r="C20873" s="6">
        <v>813</v>
      </c>
      <c r="D20873" s="7">
        <v>1004.63</v>
      </c>
    </row>
    <row r="20874" spans="1:5" x14ac:dyDescent="0.25">
      <c r="A20874" t="str">
        <f>HYPERLINK("https://www.773grp.com/globalSearch/MG80C286-10-B/page-1", "MG80C286-10-B")</f>
        <v>MG80C286-10-B</v>
      </c>
      <c r="B20874" s="3" t="s">
        <v>116</v>
      </c>
      <c r="C20874" s="6">
        <v>76</v>
      </c>
      <c r="D20874" s="7">
        <v>1035.99</v>
      </c>
    </row>
    <row r="20875" spans="1:5" x14ac:dyDescent="0.25">
      <c r="A20875" t="str">
        <f>HYPERLINK("https://www.773grp.com/globalSearch/8501001YA/page-1", "8501001YA")</f>
        <v>8501001YA</v>
      </c>
      <c r="B20875" s="3" t="s">
        <v>116</v>
      </c>
      <c r="C20875" s="6">
        <v>35</v>
      </c>
      <c r="D20875" s="7">
        <v>1071.24</v>
      </c>
      <c r="E20875" t="s">
        <v>66</v>
      </c>
    </row>
    <row r="20876" spans="1:5" x14ac:dyDescent="0.25">
      <c r="A20876" t="str">
        <f>HYPERLINK("https://www.773grp.com/globalSearch/TA82370-20/page-1", "TA82370-20")</f>
        <v>TA82370-20</v>
      </c>
      <c r="B20876" s="3" t="s">
        <v>116</v>
      </c>
      <c r="C20876" s="6">
        <v>117</v>
      </c>
      <c r="D20876" s="7">
        <v>1071.24</v>
      </c>
    </row>
    <row r="20877" spans="1:5" x14ac:dyDescent="0.25">
      <c r="A20877" t="str">
        <f>HYPERLINK("https://www.773grp.com/globalSearch/MC87C51FCZ-B/page-1", "MC87C51FCZ-B")</f>
        <v>MC87C51FCZ-B</v>
      </c>
      <c r="B20877" s="3" t="s">
        <v>116</v>
      </c>
      <c r="C20877" s="6">
        <v>328</v>
      </c>
      <c r="D20877" s="7">
        <v>1121.6500000000001</v>
      </c>
    </row>
    <row r="20878" spans="1:5" x14ac:dyDescent="0.25">
      <c r="A20878" t="str">
        <f>HYPERLINK("https://www.773grp.com/globalSearch/MG80C186-10/page-1", "MG80C186-10")</f>
        <v>MG80C186-10</v>
      </c>
      <c r="B20878" s="3" t="s">
        <v>116</v>
      </c>
      <c r="C20878" s="6">
        <v>108</v>
      </c>
      <c r="D20878" s="7">
        <v>1121.6500000000001</v>
      </c>
      <c r="E20878" t="s">
        <v>66</v>
      </c>
    </row>
    <row r="20879" spans="1:5" x14ac:dyDescent="0.25">
      <c r="A20879" t="str">
        <f>HYPERLINK("https://www.773grp.com/globalSearch/8501002YC/page-1", "8501002YC")</f>
        <v>8501002YC</v>
      </c>
      <c r="B20879" s="3" t="s">
        <v>116</v>
      </c>
      <c r="C20879" s="6">
        <v>205</v>
      </c>
      <c r="D20879" s="7">
        <v>1134.25</v>
      </c>
      <c r="E20879" t="s">
        <v>66</v>
      </c>
    </row>
    <row r="20880" spans="1:5" x14ac:dyDescent="0.25">
      <c r="A20880" t="str">
        <f>HYPERLINK("https://www.773grp.com/globalSearch/MD8087-2/page-1", "MD8087-2")</f>
        <v>MD8087-2</v>
      </c>
      <c r="B20880" s="3" t="s">
        <v>116</v>
      </c>
      <c r="C20880" s="6">
        <v>42</v>
      </c>
      <c r="D20880" s="7">
        <v>1134.25</v>
      </c>
    </row>
    <row r="20881" spans="1:5" x14ac:dyDescent="0.25">
      <c r="A20881" t="str">
        <f>HYPERLINK("https://www.773grp.com/globalSearch/5962-8501002YA/page-1", "5962-8501002YA")</f>
        <v>5962-8501002YA</v>
      </c>
      <c r="B20881" s="3" t="s">
        <v>116</v>
      </c>
      <c r="C20881" s="6">
        <v>8</v>
      </c>
      <c r="D20881" s="7">
        <v>1159.46</v>
      </c>
    </row>
    <row r="20882" spans="1:5" x14ac:dyDescent="0.25">
      <c r="A20882" t="str">
        <f>HYPERLINK("https://www.773grp.com/globalSearch/MQ80186-6-BYA/page-1", "MQ80186-6-BYA")</f>
        <v>MQ80186-6-BYA</v>
      </c>
      <c r="B20882" s="3" t="s">
        <v>116</v>
      </c>
      <c r="C20882" s="6">
        <v>245</v>
      </c>
      <c r="D20882" s="7">
        <v>1159.46</v>
      </c>
    </row>
    <row r="20883" spans="1:5" x14ac:dyDescent="0.25">
      <c r="A20883" t="str">
        <f>HYPERLINK("https://www.773grp.com/globalSearch/MG80C186-12/page-1", "MG80C186-12")</f>
        <v>MG80C186-12</v>
      </c>
      <c r="B20883" s="3" t="s">
        <v>116</v>
      </c>
      <c r="C20883" s="6">
        <v>18</v>
      </c>
      <c r="D20883" s="7">
        <v>1209.8800000000001</v>
      </c>
      <c r="E20883" t="s">
        <v>66</v>
      </c>
    </row>
    <row r="20884" spans="1:5" x14ac:dyDescent="0.25">
      <c r="A20884" t="str">
        <f>HYPERLINK("https://www.773grp.com/globalSearch/MC28F008-10/page-1", "MC28F008-10")</f>
        <v>MC28F008-10</v>
      </c>
      <c r="B20884" s="3" t="s">
        <v>116</v>
      </c>
      <c r="C20884" s="6">
        <v>903</v>
      </c>
      <c r="D20884" s="7">
        <v>1247.69</v>
      </c>
      <c r="E20884" t="s">
        <v>52</v>
      </c>
    </row>
    <row r="20885" spans="1:5" x14ac:dyDescent="0.25">
      <c r="A20885" t="str">
        <f>HYPERLINK("https://www.773grp.com/globalSearch/MD8087-2-R/page-1", "MD8087-2-R")</f>
        <v>MD8087-2-R</v>
      </c>
      <c r="B20885" s="3" t="s">
        <v>116</v>
      </c>
      <c r="C20885" s="6">
        <v>696</v>
      </c>
      <c r="D20885" s="7">
        <v>1247.69</v>
      </c>
    </row>
    <row r="20886" spans="1:5" x14ac:dyDescent="0.25">
      <c r="A20886" t="str">
        <f>HYPERLINK("https://www.773grp.com/globalSearch/MG80C186-10-R/page-1", "MG80C186-10-R")</f>
        <v>MG80C186-10-R</v>
      </c>
      <c r="B20886" s="3" t="s">
        <v>116</v>
      </c>
      <c r="C20886" s="6">
        <v>879</v>
      </c>
      <c r="D20886" s="7">
        <v>1247.69</v>
      </c>
    </row>
    <row r="20887" spans="1:5" x14ac:dyDescent="0.25">
      <c r="A20887" t="str">
        <f>HYPERLINK("https://www.773grp.com/globalSearch/MQ80C186-12-BYC/page-1", "MQ80C186-12-BYC")</f>
        <v>MQ80C186-12-BYC</v>
      </c>
      <c r="B20887" s="3" t="s">
        <v>116</v>
      </c>
      <c r="C20887" s="6">
        <v>1022</v>
      </c>
      <c r="D20887" s="7">
        <v>1386.31</v>
      </c>
    </row>
    <row r="20888" spans="1:5" x14ac:dyDescent="0.25">
      <c r="A20888" t="str">
        <f>HYPERLINK("https://www.773grp.com/globalSearch/MG80C186XL-10/page-1", "MG80C186XL-10")</f>
        <v>MG80C186XL-10</v>
      </c>
      <c r="B20888" s="3" t="s">
        <v>116</v>
      </c>
      <c r="C20888" s="6">
        <v>113</v>
      </c>
      <c r="D20888" s="7">
        <v>1398.93</v>
      </c>
    </row>
    <row r="20889" spans="1:5" x14ac:dyDescent="0.25">
      <c r="A20889" t="str">
        <f>HYPERLINK("https://www.773grp.com/globalSearch/MG80C186-10-BZC/page-1", "MG80C186-10-BZC")</f>
        <v>MG80C186-10-BZC</v>
      </c>
      <c r="B20889" s="3" t="s">
        <v>116</v>
      </c>
      <c r="C20889" s="6">
        <v>74</v>
      </c>
      <c r="D20889" s="7">
        <v>1398.93</v>
      </c>
    </row>
    <row r="20890" spans="1:5" x14ac:dyDescent="0.25">
      <c r="A20890" t="str">
        <f>HYPERLINK("https://www.773grp.com/globalSearch/MG80C186-10-BZA/page-1", "MG80C186-10-BZA")</f>
        <v>MG80C186-10-BZA</v>
      </c>
      <c r="B20890" s="3" t="s">
        <v>116</v>
      </c>
      <c r="C20890" s="6">
        <v>151</v>
      </c>
      <c r="D20890" s="7">
        <v>1424.11</v>
      </c>
    </row>
    <row r="20891" spans="1:5" x14ac:dyDescent="0.25">
      <c r="A20891" t="str">
        <f>HYPERLINK("https://www.773grp.com/globalSearch/MC28F008-12-R/page-1", "MC28F008-12-R")</f>
        <v>MC28F008-12-R</v>
      </c>
      <c r="B20891" s="3" t="s">
        <v>116</v>
      </c>
      <c r="C20891" s="6">
        <v>1330</v>
      </c>
      <c r="D20891" s="7">
        <v>1449.33</v>
      </c>
    </row>
    <row r="20892" spans="1:5" x14ac:dyDescent="0.25">
      <c r="A20892" t="str">
        <f>HYPERLINK("https://www.773grp.com/globalSearch/MG80C186XL-16/page-1", "MG80C186XL-16")</f>
        <v>MG80C186XL-16</v>
      </c>
      <c r="B20892" s="3" t="s">
        <v>116</v>
      </c>
      <c r="C20892" s="6">
        <v>26</v>
      </c>
      <c r="D20892" s="7">
        <v>1474.54</v>
      </c>
      <c r="E20892" t="s">
        <v>66</v>
      </c>
    </row>
    <row r="20893" spans="1:5" x14ac:dyDescent="0.25">
      <c r="A20893" t="str">
        <f>HYPERLINK("https://www.773grp.com/globalSearch/MQ82370-20/page-1", "MQ82370-20")</f>
        <v>MQ82370-20</v>
      </c>
      <c r="B20893" s="3" t="s">
        <v>116</v>
      </c>
      <c r="C20893" s="6">
        <v>69</v>
      </c>
      <c r="D20893" s="7">
        <v>1474.54</v>
      </c>
    </row>
    <row r="20894" spans="1:5" x14ac:dyDescent="0.25">
      <c r="A20894" t="str">
        <f>HYPERLINK("https://www.773grp.com/globalSearch/MQ82380-20/page-1", "MQ82380-20")</f>
        <v>MQ82380-20</v>
      </c>
      <c r="B20894" s="3" t="s">
        <v>116</v>
      </c>
      <c r="C20894" s="6">
        <v>269</v>
      </c>
      <c r="D20894" s="7">
        <v>1474.54</v>
      </c>
    </row>
    <row r="20895" spans="1:5" x14ac:dyDescent="0.25">
      <c r="A20895" t="str">
        <f>HYPERLINK("https://www.773grp.com/globalSearch/MG80C186-12-B/page-1", "MG80C186-12-B")</f>
        <v>MG80C186-12-B</v>
      </c>
      <c r="B20895" s="3" t="s">
        <v>116</v>
      </c>
      <c r="C20895" s="6">
        <v>212</v>
      </c>
      <c r="D20895" s="7">
        <v>1474.54</v>
      </c>
    </row>
    <row r="20896" spans="1:5" x14ac:dyDescent="0.25">
      <c r="A20896" t="str">
        <f>HYPERLINK("https://www.773grp.com/globalSearch/MQ80C186-12-R/page-1", "MQ80C186-12-R")</f>
        <v>MQ80C186-12-R</v>
      </c>
      <c r="B20896" s="3" t="s">
        <v>116</v>
      </c>
      <c r="C20896" s="6">
        <v>2161</v>
      </c>
      <c r="D20896" s="7">
        <v>1492.81</v>
      </c>
    </row>
    <row r="20897" spans="1:5" x14ac:dyDescent="0.25">
      <c r="A20897" t="str">
        <f>HYPERLINK("https://www.773grp.com/globalSearch/MC28F008-10-B/page-1", "MC28F008-10-B")</f>
        <v>MC28F008-10-B</v>
      </c>
      <c r="B20897" s="3" t="s">
        <v>116</v>
      </c>
      <c r="C20897" s="6">
        <v>135</v>
      </c>
      <c r="D20897" s="7">
        <v>1499.74</v>
      </c>
    </row>
    <row r="20898" spans="1:5" x14ac:dyDescent="0.25">
      <c r="A20898" t="str">
        <f>HYPERLINK("https://www.773grp.com/globalSearch/MG8097BH-R/page-1", "MG8097BH-R")</f>
        <v>MG8097BH-R</v>
      </c>
      <c r="B20898" s="3" t="s">
        <v>116</v>
      </c>
      <c r="C20898" s="6">
        <v>123</v>
      </c>
      <c r="D20898" s="7">
        <v>1499.74</v>
      </c>
    </row>
    <row r="20899" spans="1:5" x14ac:dyDescent="0.25">
      <c r="A20899" t="str">
        <f>HYPERLINK("https://www.773grp.com/globalSearch/MG82380-20-B/page-1", "MG82380-20-B")</f>
        <v>MG82380-20-B</v>
      </c>
      <c r="B20899" s="3" t="s">
        <v>116</v>
      </c>
      <c r="C20899" s="6">
        <v>104</v>
      </c>
      <c r="D20899" s="7">
        <v>1550.15</v>
      </c>
    </row>
    <row r="20900" spans="1:5" x14ac:dyDescent="0.25">
      <c r="A20900" t="str">
        <f>HYPERLINK("https://www.773grp.com/globalSearch/MQ80286-6-B/page-1", "MQ80286-6-B")</f>
        <v>MQ80286-6-B</v>
      </c>
      <c r="B20900" s="3" t="s">
        <v>116</v>
      </c>
      <c r="C20900" s="6">
        <v>14</v>
      </c>
      <c r="D20900" s="7">
        <v>1557.71</v>
      </c>
    </row>
    <row r="20901" spans="1:5" x14ac:dyDescent="0.25">
      <c r="A20901" t="str">
        <f>HYPERLINK("https://www.773grp.com/globalSearch/MQ82380-20-R/page-1", "MQ82380-20-R")</f>
        <v>MQ82380-20-R</v>
      </c>
      <c r="B20901" s="3" t="s">
        <v>116</v>
      </c>
      <c r="C20901" s="6">
        <v>1</v>
      </c>
      <c r="D20901" s="7">
        <v>1575.35</v>
      </c>
    </row>
    <row r="20902" spans="1:5" x14ac:dyDescent="0.25">
      <c r="A20902" t="str">
        <f>HYPERLINK("https://www.773grp.com/globalSearch/MG87C196KC-R/page-1", "MG87C196KC-R")</f>
        <v>MG87C196KC-R</v>
      </c>
      <c r="B20902" s="3" t="s">
        <v>116</v>
      </c>
      <c r="C20902" s="6">
        <v>720</v>
      </c>
      <c r="D20902" s="7">
        <v>1593</v>
      </c>
    </row>
    <row r="20903" spans="1:5" x14ac:dyDescent="0.25">
      <c r="A20903" t="str">
        <f>HYPERLINK("https://www.773grp.com/globalSearch/MD8087-B/page-1", "MD8087-B")</f>
        <v>MD8087-B</v>
      </c>
      <c r="B20903" s="3" t="s">
        <v>116</v>
      </c>
      <c r="C20903" s="6">
        <v>1</v>
      </c>
      <c r="D20903" s="7">
        <v>1619.85</v>
      </c>
    </row>
    <row r="20904" spans="1:5" x14ac:dyDescent="0.25">
      <c r="A20904" t="str">
        <f>HYPERLINK("https://www.773grp.com/globalSearch/MG80C186EB-13-B/page-1", "MG80C186EB-13-B")</f>
        <v>MG80C186EB-13-B</v>
      </c>
      <c r="B20904" s="3" t="s">
        <v>116</v>
      </c>
      <c r="C20904" s="6">
        <v>70</v>
      </c>
      <c r="D20904" s="7">
        <v>1625.78</v>
      </c>
    </row>
    <row r="20905" spans="1:5" x14ac:dyDescent="0.25">
      <c r="A20905" t="str">
        <f>HYPERLINK("https://www.773grp.com/globalSearch/MG80C196KB-12-R/page-1", "MG80C196KB-12-R")</f>
        <v>MG80C196KB-12-R</v>
      </c>
      <c r="B20905" s="3" t="s">
        <v>116</v>
      </c>
      <c r="C20905" s="6">
        <v>105</v>
      </c>
      <c r="D20905" s="7">
        <v>1640.89</v>
      </c>
    </row>
    <row r="20906" spans="1:5" x14ac:dyDescent="0.25">
      <c r="A20906" t="str">
        <f>HYPERLINK("https://www.773grp.com/globalSearch/MG8797BH/page-1", "MG8797BH")</f>
        <v>MG8797BH</v>
      </c>
      <c r="B20906" s="3" t="s">
        <v>116</v>
      </c>
      <c r="C20906" s="6">
        <v>45</v>
      </c>
      <c r="D20906" s="7">
        <v>1650.96</v>
      </c>
    </row>
    <row r="20907" spans="1:5" x14ac:dyDescent="0.25">
      <c r="A20907" t="str">
        <f>HYPERLINK("https://www.773grp.com/globalSearch/MQ80286-8-B/page-1", "MQ80286-8-B")</f>
        <v>MQ80286-8-B</v>
      </c>
      <c r="B20907" s="3" t="s">
        <v>116</v>
      </c>
      <c r="C20907" s="6">
        <v>1</v>
      </c>
      <c r="D20907" s="7">
        <v>1683.74</v>
      </c>
    </row>
    <row r="20908" spans="1:5" x14ac:dyDescent="0.25">
      <c r="A20908" t="str">
        <f>HYPERLINK("https://www.773grp.com/globalSearch/MG80387-16/page-1", "MG80387-16")</f>
        <v>MG80387-16</v>
      </c>
      <c r="B20908" s="3" t="s">
        <v>116</v>
      </c>
      <c r="C20908" s="6">
        <v>127</v>
      </c>
      <c r="D20908" s="7">
        <v>1701.39</v>
      </c>
    </row>
    <row r="20909" spans="1:5" x14ac:dyDescent="0.25">
      <c r="A20909" t="str">
        <f>HYPERLINK("https://www.773grp.com/globalSearch/MG80C186EB-16-R/page-1", "MG80C186EB-16-R")</f>
        <v>MG80C186EB-16-R</v>
      </c>
      <c r="B20909" s="3" t="s">
        <v>116</v>
      </c>
      <c r="C20909" s="6">
        <v>201</v>
      </c>
      <c r="D20909" s="7">
        <v>1701.39</v>
      </c>
    </row>
    <row r="20910" spans="1:5" x14ac:dyDescent="0.25">
      <c r="A20910" t="str">
        <f>HYPERLINK("https://www.773grp.com/globalSearch/MG80C186XL-16-B/page-1", "MG80C186XL-16-B")</f>
        <v>MG80C186XL-16-B</v>
      </c>
      <c r="B20910" s="3" t="s">
        <v>116</v>
      </c>
      <c r="C20910" s="6">
        <v>33</v>
      </c>
      <c r="D20910" s="7">
        <v>1701.39</v>
      </c>
    </row>
    <row r="20911" spans="1:5" x14ac:dyDescent="0.25">
      <c r="A20911" t="str">
        <f>HYPERLINK("https://www.773grp.com/globalSearch/MQ80C196KB-12/page-1", "MQ80C196KB-12")</f>
        <v>MQ80C196KB-12</v>
      </c>
      <c r="B20911" s="3" t="s">
        <v>116</v>
      </c>
      <c r="C20911" s="6">
        <v>260</v>
      </c>
      <c r="D20911" s="7">
        <v>1751.8</v>
      </c>
      <c r="E20911" t="s">
        <v>43</v>
      </c>
    </row>
    <row r="20912" spans="1:5" x14ac:dyDescent="0.25">
      <c r="A20912" t="str">
        <f>HYPERLINK("https://www.773grp.com/globalSearch/MD80C187-10-B/page-1", "MD80C187-10-B")</f>
        <v>MD80C187-10-B</v>
      </c>
      <c r="B20912" s="3" t="s">
        <v>116</v>
      </c>
      <c r="C20912" s="6">
        <v>48</v>
      </c>
      <c r="D20912" s="7">
        <v>1782.69</v>
      </c>
    </row>
    <row r="20913" spans="1:5" x14ac:dyDescent="0.25">
      <c r="A20913" t="str">
        <f>HYPERLINK("https://www.773grp.com/globalSearch/MQ87C196KC-R/page-1", "MQ87C196KC-R")</f>
        <v>MQ87C196KC-R</v>
      </c>
      <c r="B20913" s="3" t="s">
        <v>116</v>
      </c>
      <c r="C20913" s="6">
        <v>857</v>
      </c>
      <c r="D20913" s="7">
        <v>1786.28</v>
      </c>
    </row>
    <row r="20914" spans="1:5" x14ac:dyDescent="0.25">
      <c r="A20914" t="str">
        <f>HYPERLINK("https://www.773grp.com/globalSearch/MG8797BH-B/page-1", "MG8797BH-B")</f>
        <v>MG8797BH-B</v>
      </c>
      <c r="B20914" s="3" t="s">
        <v>116</v>
      </c>
      <c r="C20914" s="6">
        <v>145</v>
      </c>
      <c r="D20914" s="7">
        <v>1826.35</v>
      </c>
    </row>
    <row r="20915" spans="1:5" x14ac:dyDescent="0.25">
      <c r="A20915" t="str">
        <f>HYPERLINK("https://www.773grp.com/globalSearch/MQ80C196KB-12-R/page-1", "MQ80C196KB-12-R")</f>
        <v>MQ80C196KB-12-R</v>
      </c>
      <c r="B20915" s="3" t="s">
        <v>116</v>
      </c>
      <c r="C20915" s="6">
        <v>690</v>
      </c>
      <c r="D20915" s="7">
        <v>1827.41</v>
      </c>
    </row>
    <row r="20916" spans="1:5" x14ac:dyDescent="0.25">
      <c r="A20916" t="str">
        <f>HYPERLINK("https://www.773grp.com/globalSearch/MD80C187-12-B/page-1", "MD80C187-12-B")</f>
        <v>MD80C187-12-B</v>
      </c>
      <c r="B20916" s="3" t="s">
        <v>116</v>
      </c>
      <c r="C20916" s="6">
        <v>225</v>
      </c>
      <c r="D20916" s="7">
        <v>1833.1</v>
      </c>
    </row>
    <row r="20917" spans="1:5" x14ac:dyDescent="0.25">
      <c r="A20917" t="str">
        <f>HYPERLINK("https://www.773grp.com/globalSearch/MIS-29515-73/page-1", "MIS-29515-73")</f>
        <v>MIS-29515-73</v>
      </c>
      <c r="B20917" s="3" t="s">
        <v>116</v>
      </c>
      <c r="C20917" s="6">
        <v>9</v>
      </c>
      <c r="D20917" s="7">
        <v>1840.01</v>
      </c>
    </row>
    <row r="20918" spans="1:5" x14ac:dyDescent="0.25">
      <c r="A20918" t="str">
        <f>HYPERLINK("https://www.773grp.com/globalSearch/MG8097-B/page-1", "MG8097-B")</f>
        <v>MG8097-B</v>
      </c>
      <c r="B20918" s="3" t="s">
        <v>116</v>
      </c>
      <c r="C20918" s="6">
        <v>214</v>
      </c>
      <c r="D20918" s="7">
        <v>1847.71</v>
      </c>
    </row>
    <row r="20919" spans="1:5" x14ac:dyDescent="0.25">
      <c r="A20919" t="str">
        <f>HYPERLINK("https://www.773grp.com/globalSearch/MG82389/page-1", "MG82389")</f>
        <v>MG82389</v>
      </c>
      <c r="B20919" s="3" t="s">
        <v>116</v>
      </c>
      <c r="C20919" s="6">
        <v>491</v>
      </c>
      <c r="D20919" s="7">
        <v>1847.71</v>
      </c>
      <c r="E20919" t="s">
        <v>56</v>
      </c>
    </row>
    <row r="20920" spans="1:5" x14ac:dyDescent="0.25">
      <c r="A20920" t="str">
        <f>HYPERLINK("https://www.773grp.com/globalSearch/MG80C186XL-20-B/page-1", "MG80C186XL-20-B")</f>
        <v>MG80C186XL-20-B</v>
      </c>
      <c r="B20920" s="3" t="s">
        <v>116</v>
      </c>
      <c r="C20920" s="6">
        <v>1739</v>
      </c>
      <c r="D20920" s="7">
        <v>1852.63</v>
      </c>
    </row>
    <row r="20921" spans="1:5" x14ac:dyDescent="0.25">
      <c r="A20921" t="str">
        <f>HYPERLINK("https://www.773grp.com/globalSearch/MD80C287-10-B/page-1", "MD80C287-10-B")</f>
        <v>MD80C287-10-B</v>
      </c>
      <c r="B20921" s="3" t="s">
        <v>116</v>
      </c>
      <c r="C20921" s="6">
        <v>125</v>
      </c>
      <c r="D20921" s="7">
        <v>1858.31</v>
      </c>
    </row>
    <row r="20922" spans="1:5" x14ac:dyDescent="0.25">
      <c r="A20922" t="str">
        <f>HYPERLINK("https://www.773grp.com/globalSearch/MG80387-25/page-1", "MG80387-25")</f>
        <v>MG80387-25</v>
      </c>
      <c r="B20922" s="3" t="s">
        <v>116</v>
      </c>
      <c r="C20922" s="6">
        <v>670</v>
      </c>
      <c r="D20922" s="7">
        <v>1877.81</v>
      </c>
    </row>
    <row r="20923" spans="1:5" x14ac:dyDescent="0.25">
      <c r="A20923" t="str">
        <f>HYPERLINK("https://www.773grp.com/globalSearch/MG8097/page-1", "MG8097")</f>
        <v>MG8097</v>
      </c>
      <c r="B20923" s="3" t="s">
        <v>116</v>
      </c>
      <c r="C20923" s="6">
        <v>212</v>
      </c>
      <c r="D20923" s="7">
        <v>1877.81</v>
      </c>
    </row>
    <row r="20924" spans="1:5" x14ac:dyDescent="0.25">
      <c r="A20924" t="str">
        <f>HYPERLINK("https://www.773grp.com/globalSearch/MG8097BH-B/page-1", "MG8097BH-B")</f>
        <v>MG8097BH-B</v>
      </c>
      <c r="B20924" s="3" t="s">
        <v>116</v>
      </c>
      <c r="C20924" s="6">
        <v>3</v>
      </c>
      <c r="D20924" s="7">
        <v>1877.81</v>
      </c>
    </row>
    <row r="20925" spans="1:5" x14ac:dyDescent="0.25">
      <c r="A20925" t="str">
        <f>HYPERLINK("https://www.773grp.com/globalSearch/MG87C196KC-B/page-1", "MG87C196KC-B")</f>
        <v>MG87C196KC-B</v>
      </c>
      <c r="B20925" s="3" t="s">
        <v>116</v>
      </c>
      <c r="C20925" s="6">
        <v>1972</v>
      </c>
      <c r="D20925" s="7">
        <v>1877.81</v>
      </c>
    </row>
    <row r="20926" spans="1:5" x14ac:dyDescent="0.25">
      <c r="A20926" t="str">
        <f>HYPERLINK("https://www.773grp.com/globalSearch/MG80C196KB-12-B/page-1", "MG80C196KB-12-B")</f>
        <v>MG80C196KB-12-B</v>
      </c>
      <c r="B20926" s="3" t="s">
        <v>116</v>
      </c>
      <c r="C20926" s="6">
        <v>79</v>
      </c>
      <c r="D20926" s="7">
        <v>1903.03</v>
      </c>
    </row>
    <row r="20927" spans="1:5" x14ac:dyDescent="0.25">
      <c r="A20927" t="str">
        <f>HYPERLINK("https://www.773grp.com/globalSearch/MG82389-R/page-1", "MG82389-R")</f>
        <v>MG82389-R</v>
      </c>
      <c r="B20927" s="3" t="s">
        <v>116</v>
      </c>
      <c r="C20927" s="6">
        <v>275</v>
      </c>
      <c r="D20927" s="7">
        <v>1911.79</v>
      </c>
    </row>
    <row r="20928" spans="1:5" x14ac:dyDescent="0.25">
      <c r="A20928" t="str">
        <f>HYPERLINK("https://www.773grp.com/globalSearch/MQ8097BH-BYA/page-1", "MQ8097BH-BYA")</f>
        <v>MQ8097BH-BYA</v>
      </c>
      <c r="B20928" s="3" t="s">
        <v>116</v>
      </c>
      <c r="C20928" s="6">
        <v>1820</v>
      </c>
      <c r="D20928" s="7">
        <v>1911.79</v>
      </c>
    </row>
    <row r="20929" spans="1:5" x14ac:dyDescent="0.25">
      <c r="A20929" t="str">
        <f>HYPERLINK("https://www.773grp.com/globalSearch/MG80C186EB-16-B/page-1", "MG80C186EB-16-B")</f>
        <v>MG80C186EB-16-B</v>
      </c>
      <c r="B20929" s="3" t="s">
        <v>116</v>
      </c>
      <c r="C20929" s="6">
        <v>57</v>
      </c>
      <c r="D20929" s="7">
        <v>1978.65</v>
      </c>
    </row>
    <row r="20930" spans="1:5" x14ac:dyDescent="0.25">
      <c r="A20930" t="str">
        <f>HYPERLINK("https://www.773grp.com/globalSearch/MQ8097BH-R/page-1", "MQ8097BH-R")</f>
        <v>MQ8097BH-R</v>
      </c>
      <c r="B20930" s="3" t="s">
        <v>116</v>
      </c>
      <c r="C20930" s="6">
        <v>218</v>
      </c>
      <c r="D20930" s="7">
        <v>1978.65</v>
      </c>
    </row>
    <row r="20931" spans="1:5" x14ac:dyDescent="0.25">
      <c r="A20931" t="str">
        <f>HYPERLINK("https://www.773grp.com/globalSearch/MG80387-25-R/page-1", "MG80387-25-R")</f>
        <v>MG80387-25-R</v>
      </c>
      <c r="B20931" s="3" t="s">
        <v>116</v>
      </c>
      <c r="C20931" s="6">
        <v>4467</v>
      </c>
      <c r="D20931" s="7">
        <v>2003.85</v>
      </c>
    </row>
    <row r="20932" spans="1:5" x14ac:dyDescent="0.25">
      <c r="A20932" t="str">
        <f>HYPERLINK("https://www.773grp.com/globalSearch/MQ87C196KD-20-R/page-1", "MQ87C196KD-20-R")</f>
        <v>MQ87C196KD-20-R</v>
      </c>
      <c r="B20932" s="3" t="s">
        <v>116</v>
      </c>
      <c r="C20932" s="6">
        <v>1189</v>
      </c>
      <c r="D20932" s="7">
        <v>2016.46</v>
      </c>
    </row>
    <row r="20933" spans="1:5" x14ac:dyDescent="0.25">
      <c r="A20933" t="str">
        <f>HYPERLINK("https://www.773grp.com/globalSearch/MG8097-R/page-1", "MG8097-R")</f>
        <v>MG8097-R</v>
      </c>
      <c r="B20933" s="3" t="s">
        <v>116</v>
      </c>
      <c r="C20933" s="6">
        <v>1113</v>
      </c>
      <c r="D20933" s="7">
        <v>2029.06</v>
      </c>
    </row>
    <row r="20934" spans="1:5" x14ac:dyDescent="0.25">
      <c r="A20934" t="str">
        <f>HYPERLINK("https://www.773grp.com/globalSearch/MG8097BH-BZC/page-1", "MG8097BH-BZC")</f>
        <v>MG8097BH-BZC</v>
      </c>
      <c r="B20934" s="3" t="s">
        <v>116</v>
      </c>
      <c r="C20934" s="6">
        <v>2711</v>
      </c>
      <c r="D20934" s="7">
        <v>2079.48</v>
      </c>
    </row>
    <row r="20935" spans="1:5" x14ac:dyDescent="0.25">
      <c r="A20935" t="str">
        <f>HYPERLINK("https://www.773grp.com/globalSearch/MQ8097BH-B/page-1", "MQ8097BH-B")</f>
        <v>MQ8097BH-B</v>
      </c>
      <c r="B20935" s="3" t="s">
        <v>116</v>
      </c>
      <c r="C20935" s="6">
        <v>114</v>
      </c>
      <c r="D20935" s="7">
        <v>2079.48</v>
      </c>
    </row>
    <row r="20936" spans="1:5" x14ac:dyDescent="0.25">
      <c r="A20936" t="str">
        <f>HYPERLINK("https://www.773grp.com/globalSearch/MQ80C286-10-B/page-1", "MQ80C286-10-B")</f>
        <v>MQ80C286-10-B</v>
      </c>
      <c r="B20936" s="3" t="s">
        <v>116</v>
      </c>
      <c r="C20936" s="6">
        <v>36</v>
      </c>
      <c r="D20936" s="7">
        <v>2097.11</v>
      </c>
    </row>
    <row r="20937" spans="1:5" x14ac:dyDescent="0.25">
      <c r="A20937" t="str">
        <f>HYPERLINK("https://www.773grp.com/globalSearch/MQ8097-B/page-1", "MQ8097-B")</f>
        <v>MQ8097-B</v>
      </c>
      <c r="B20937" s="3" t="s">
        <v>116</v>
      </c>
      <c r="C20937" s="6">
        <v>616</v>
      </c>
      <c r="D20937" s="7">
        <v>2104.04</v>
      </c>
    </row>
    <row r="20938" spans="1:5" x14ac:dyDescent="0.25">
      <c r="A20938" t="str">
        <f>HYPERLINK("https://www.773grp.com/globalSearch/MQ87C196KD-16-B/page-1", "MQ87C196KD-16-B")</f>
        <v>MQ87C196KD-16-B</v>
      </c>
      <c r="B20938" s="3" t="s">
        <v>116</v>
      </c>
      <c r="C20938" s="6">
        <v>539</v>
      </c>
      <c r="D20938" s="7">
        <v>2104.69</v>
      </c>
    </row>
    <row r="20939" spans="1:5" x14ac:dyDescent="0.25">
      <c r="A20939" t="str">
        <f>HYPERLINK("https://www.773grp.com/globalSearch/MG8097BH-BZA/page-1", "MG8097BH-BZA")</f>
        <v>MG8097BH-BZA</v>
      </c>
      <c r="B20939" s="3" t="s">
        <v>116</v>
      </c>
      <c r="C20939" s="6">
        <v>1212</v>
      </c>
      <c r="D20939" s="7">
        <v>2129.88</v>
      </c>
    </row>
    <row r="20940" spans="1:5" x14ac:dyDescent="0.25">
      <c r="A20940" t="str">
        <f>HYPERLINK("https://www.773grp.com/globalSearch/MQ80960MC-25/page-1", "MQ80960MC-25")</f>
        <v>MQ80960MC-25</v>
      </c>
      <c r="B20940" s="3" t="s">
        <v>116</v>
      </c>
      <c r="C20940" s="6">
        <v>422</v>
      </c>
      <c r="D20940" s="7">
        <v>2467.1799999999998</v>
      </c>
      <c r="E20940" t="s">
        <v>66</v>
      </c>
    </row>
    <row r="20941" spans="1:5" x14ac:dyDescent="0.25">
      <c r="A20941" t="str">
        <f>HYPERLINK("https://www.773grp.com/globalSearch/MQ80960MC-16-B/page-1", "MQ80960MC-16-B")</f>
        <v>MQ80960MC-16-B</v>
      </c>
      <c r="B20941" s="3" t="s">
        <v>116</v>
      </c>
      <c r="C20941" s="6">
        <v>3</v>
      </c>
      <c r="D20941" s="7">
        <v>2531.25</v>
      </c>
    </row>
    <row r="20942" spans="1:5" x14ac:dyDescent="0.25">
      <c r="A20942" t="str">
        <f>HYPERLINK("https://www.773grp.com/globalSearch/MQ80960MC-20-B/page-1", "MQ80960MC-20-B")</f>
        <v>MQ80960MC-20-B</v>
      </c>
      <c r="B20942" s="3" t="s">
        <v>116</v>
      </c>
      <c r="C20942" s="6">
        <v>91</v>
      </c>
      <c r="D20942" s="7">
        <v>2695.73</v>
      </c>
    </row>
    <row r="20943" spans="1:5" x14ac:dyDescent="0.25">
      <c r="A20943" t="str">
        <f>HYPERLINK("https://www.773grp.com/globalSearch/MQ80960MC-25-B/page-1", "MQ80960MC-25-B")</f>
        <v>MQ80960MC-25-B</v>
      </c>
      <c r="B20943" s="3" t="s">
        <v>116</v>
      </c>
      <c r="C20943" s="6">
        <v>607</v>
      </c>
      <c r="D20943" s="7">
        <v>2883.7</v>
      </c>
    </row>
    <row r="20944" spans="1:5" x14ac:dyDescent="0.25">
      <c r="A20944" t="str">
        <f>HYPERLINK("https://www.773grp.com/globalSearch/95C60-16GC/page-1", "95C60-16GC")</f>
        <v>95C60-16GC</v>
      </c>
      <c r="B20944" s="3" t="s">
        <v>116</v>
      </c>
      <c r="C20944" s="6">
        <v>8</v>
      </c>
      <c r="D20944" s="7">
        <v>3631.34</v>
      </c>
    </row>
    <row r="20945" spans="1:5" x14ac:dyDescent="0.25">
      <c r="A20945" t="str">
        <f>HYPERLINK("https://www.773grp.com/globalSearch/95C60-20GC/page-1", "95C60-20GC")</f>
        <v>95C60-20GC</v>
      </c>
      <c r="B20945" s="3" t="s">
        <v>116</v>
      </c>
      <c r="C20945" s="6">
        <v>3</v>
      </c>
      <c r="D20945" s="7">
        <v>3844.94</v>
      </c>
    </row>
    <row r="20946" spans="1:5" x14ac:dyDescent="0.25">
      <c r="A20946" t="str">
        <f>HYPERLINK("https://www.773grp.com/globalSearch/MQ80860-25/page-1", "MQ80860-25")</f>
        <v>MQ80860-25</v>
      </c>
      <c r="B20946" s="3" t="s">
        <v>116</v>
      </c>
      <c r="C20946" s="6">
        <v>4</v>
      </c>
      <c r="D20946" s="7">
        <v>3951.74</v>
      </c>
    </row>
    <row r="20947" spans="1:5" x14ac:dyDescent="0.25">
      <c r="A20947" t="str">
        <f>HYPERLINK("https://www.773grp.com/globalSearch/MQ80860-33/page-1", "MQ80860-33")</f>
        <v>MQ80860-33</v>
      </c>
      <c r="B20947" s="3" t="s">
        <v>116</v>
      </c>
      <c r="C20947" s="6">
        <v>321</v>
      </c>
      <c r="D20947" s="7">
        <v>4005.15</v>
      </c>
    </row>
    <row r="20948" spans="1:5" x14ac:dyDescent="0.25">
      <c r="A20948" t="str">
        <f>HYPERLINK("https://www.773grp.com/globalSearch/MQ80860-40/page-1", "MQ80860-40")</f>
        <v>MQ80860-40</v>
      </c>
      <c r="B20948" s="3" t="s">
        <v>116</v>
      </c>
      <c r="C20948" s="6">
        <v>35</v>
      </c>
      <c r="D20948" s="7">
        <v>4165.34</v>
      </c>
    </row>
    <row r="20949" spans="1:5" x14ac:dyDescent="0.25">
      <c r="A20949" t="str">
        <f>HYPERLINK("https://www.773grp.com/globalSearch/MQ80860-40-R/page-1", "MQ80860-40-R")</f>
        <v>MQ80860-40-R</v>
      </c>
      <c r="B20949" s="3" t="s">
        <v>116</v>
      </c>
      <c r="C20949" s="6">
        <v>1147</v>
      </c>
      <c r="D20949" s="7">
        <v>4310.5600000000004</v>
      </c>
    </row>
    <row r="20950" spans="1:5" x14ac:dyDescent="0.25">
      <c r="A20950" t="str">
        <f>HYPERLINK("https://www.773grp.com/globalSearch/PI6C9107U-05P9/page-1", "PI6C9107U-05P9")</f>
        <v>PI6C9107U-05P9</v>
      </c>
      <c r="B20950" s="3" t="s">
        <v>105</v>
      </c>
      <c r="C20950" s="6">
        <v>14340</v>
      </c>
      <c r="D20950" s="7">
        <v>0</v>
      </c>
    </row>
    <row r="20951" spans="1:5" x14ac:dyDescent="0.25">
      <c r="A20951" t="str">
        <f>HYPERLINK("https://www.773grp.com/globalSearch/PI6C9107U-05W9/page-1", "PI6C9107U-05W9")</f>
        <v>PI6C9107U-05W9</v>
      </c>
      <c r="B20951" s="3" t="s">
        <v>105</v>
      </c>
      <c r="C20951" s="6">
        <v>759</v>
      </c>
      <c r="D20951" s="7">
        <v>0</v>
      </c>
    </row>
    <row r="20952" spans="1:5" x14ac:dyDescent="0.25">
      <c r="A20952" t="str">
        <f>HYPERLINK("https://www.773grp.com/globalSearch/PI6C9108-05P9/page-1", "PI6C9108-05P9")</f>
        <v>PI6C9108-05P9</v>
      </c>
      <c r="B20952" s="3" t="s">
        <v>105</v>
      </c>
      <c r="C20952" s="6">
        <v>1413</v>
      </c>
      <c r="D20952" s="7">
        <v>0</v>
      </c>
    </row>
    <row r="20953" spans="1:5" x14ac:dyDescent="0.25">
      <c r="A20953" t="str">
        <f>HYPERLINK("https://www.773grp.com/globalSearch/PI6C9155U-01P9/page-1", "PI6C9155U-01P9")</f>
        <v>PI6C9155U-01P9</v>
      </c>
      <c r="B20953" s="3" t="s">
        <v>105</v>
      </c>
      <c r="C20953" s="6">
        <v>685</v>
      </c>
      <c r="D20953" s="7">
        <v>0</v>
      </c>
    </row>
    <row r="20954" spans="1:5" x14ac:dyDescent="0.25">
      <c r="A20954" t="str">
        <f>HYPERLINK("https://www.773grp.com/globalSearch/PI6C951-01W9/page-1", "PI6C951-01W9")</f>
        <v>PI6C951-01W9</v>
      </c>
      <c r="B20954" s="3" t="s">
        <v>105</v>
      </c>
      <c r="C20954" s="6">
        <v>2106</v>
      </c>
      <c r="D20954" s="7">
        <v>2.95</v>
      </c>
    </row>
    <row r="20955" spans="1:5" x14ac:dyDescent="0.25">
      <c r="A20955" t="str">
        <f>HYPERLINK("https://www.773grp.com/globalSearch/PI74FCT534ATQ9/page-1", "PI74FCT534ATQ9")</f>
        <v>PI74FCT534ATQ9</v>
      </c>
      <c r="B20955" s="3" t="s">
        <v>105</v>
      </c>
      <c r="C20955" s="6">
        <v>6716</v>
      </c>
      <c r="D20955" s="7">
        <v>2.95</v>
      </c>
    </row>
    <row r="20956" spans="1:5" x14ac:dyDescent="0.25">
      <c r="A20956" t="str">
        <f>HYPERLINK("https://www.773grp.com/globalSearch/PI74FCT534ATS9/page-1", "PI74FCT534ATS9")</f>
        <v>PI74FCT534ATS9</v>
      </c>
      <c r="B20956" s="3" t="s">
        <v>105</v>
      </c>
      <c r="C20956" s="6">
        <v>172</v>
      </c>
      <c r="D20956" s="7">
        <v>2.95</v>
      </c>
    </row>
    <row r="20957" spans="1:5" x14ac:dyDescent="0.25">
      <c r="A20957" t="str">
        <f>HYPERLINK("https://www.773grp.com/globalSearch/PI74FCT534TQ9/page-1", "PI74FCT534TQ9")</f>
        <v>PI74FCT534TQ9</v>
      </c>
      <c r="B20957" s="3" t="s">
        <v>105</v>
      </c>
      <c r="C20957" s="6">
        <v>587</v>
      </c>
      <c r="D20957" s="7">
        <v>2.95</v>
      </c>
    </row>
    <row r="20958" spans="1:5" x14ac:dyDescent="0.25">
      <c r="A20958" t="str">
        <f>HYPERLINK("https://www.773grp.com/globalSearch/PI74FCT534TS9/page-1", "PI74FCT534TS9")</f>
        <v>PI74FCT534TS9</v>
      </c>
      <c r="B20958" s="3" t="s">
        <v>105</v>
      </c>
      <c r="C20958" s="6">
        <v>75</v>
      </c>
      <c r="D20958" s="7">
        <v>2.95</v>
      </c>
    </row>
    <row r="20959" spans="1:5" x14ac:dyDescent="0.25">
      <c r="A20959" t="str">
        <f>HYPERLINK("https://www.773grp.com/globalSearch/PI5C32384P9/page-1", "PI5C32384P9")</f>
        <v>PI5C32384P9</v>
      </c>
      <c r="B20959" s="3" t="s">
        <v>105</v>
      </c>
      <c r="C20959" s="6">
        <v>2931</v>
      </c>
      <c r="D20959" s="7">
        <v>3.28</v>
      </c>
    </row>
    <row r="20960" spans="1:5" x14ac:dyDescent="0.25">
      <c r="A20960" t="str">
        <f>HYPERLINK("https://www.773grp.com/globalSearch/PI74FCT534ATQX/page-1", "PI74FCT534ATQX")</f>
        <v>PI74FCT534ATQX</v>
      </c>
      <c r="B20960" s="3" t="s">
        <v>105</v>
      </c>
      <c r="C20960" s="6">
        <v>3000</v>
      </c>
      <c r="D20960" s="7">
        <v>3.08</v>
      </c>
      <c r="E20960" t="s">
        <v>11</v>
      </c>
    </row>
    <row r="20961" spans="1:5" x14ac:dyDescent="0.25">
      <c r="A20961" t="str">
        <f>HYPERLINK("https://www.773grp.com/globalSearch/PI5C3253P9/page-1", "PI5C3253P9")</f>
        <v>PI5C3253P9</v>
      </c>
      <c r="B20961" s="3" t="s">
        <v>105</v>
      </c>
      <c r="C20961" s="6">
        <v>1992</v>
      </c>
      <c r="D20961" s="7">
        <v>3.15</v>
      </c>
    </row>
    <row r="20962" spans="1:5" x14ac:dyDescent="0.25">
      <c r="A20962" t="str">
        <f>HYPERLINK("https://www.773grp.com/globalSearch/PI74FCT845ATQ9/page-1", "PI74FCT845ATQ9")</f>
        <v>PI74FCT845ATQ9</v>
      </c>
      <c r="B20962" s="3" t="s">
        <v>105</v>
      </c>
      <c r="C20962" s="6">
        <v>334</v>
      </c>
      <c r="D20962" s="7">
        <v>3.33</v>
      </c>
    </row>
    <row r="20963" spans="1:5" x14ac:dyDescent="0.25">
      <c r="A20963" t="str">
        <f>HYPERLINK("https://www.773grp.com/globalSearch/PI74FCT845ATS9/page-1", "PI74FCT845ATS9")</f>
        <v>PI74FCT845ATS9</v>
      </c>
      <c r="B20963" s="3" t="s">
        <v>105</v>
      </c>
      <c r="C20963" s="6">
        <v>331</v>
      </c>
      <c r="D20963" s="7">
        <v>3.33</v>
      </c>
    </row>
    <row r="20964" spans="1:5" x14ac:dyDescent="0.25">
      <c r="A20964" t="str">
        <f>HYPERLINK("https://www.773grp.com/globalSearch/PI6C918AW9/page-1", "PI6C918AW9")</f>
        <v>PI6C918AW9</v>
      </c>
      <c r="B20964" s="3" t="s">
        <v>105</v>
      </c>
      <c r="C20964" s="6">
        <v>4</v>
      </c>
      <c r="D20964" s="7">
        <v>3.34</v>
      </c>
    </row>
    <row r="20965" spans="1:5" x14ac:dyDescent="0.25">
      <c r="A20965" t="str">
        <f>HYPERLINK("https://www.773grp.com/globalSearch/PI74FCT399TS/page-1", "PI74FCT399TS")</f>
        <v>PI74FCT399TS</v>
      </c>
      <c r="B20965" s="3" t="s">
        <v>105</v>
      </c>
      <c r="C20965" s="6">
        <v>468</v>
      </c>
      <c r="D20965" s="7">
        <v>3.51</v>
      </c>
      <c r="E20965" t="s">
        <v>31</v>
      </c>
    </row>
    <row r="20966" spans="1:5" x14ac:dyDescent="0.25">
      <c r="A20966" t="str">
        <f>HYPERLINK("https://www.773grp.com/globalSearch/PI74FCT399TS9/page-1", "PI74FCT399TS9")</f>
        <v>PI74FCT399TS9</v>
      </c>
      <c r="B20966" s="3" t="s">
        <v>105</v>
      </c>
      <c r="C20966" s="6">
        <v>421</v>
      </c>
      <c r="D20966" s="7">
        <v>3.51</v>
      </c>
    </row>
    <row r="20967" spans="1:5" x14ac:dyDescent="0.25">
      <c r="A20967" t="str">
        <f>HYPERLINK("https://www.773grp.com/globalSearch/PI6C918BW9/page-1", "PI6C918BW9")</f>
        <v>PI6C918BW9</v>
      </c>
      <c r="B20967" s="3" t="s">
        <v>105</v>
      </c>
      <c r="C20967" s="6">
        <v>43</v>
      </c>
      <c r="D20967" s="7">
        <v>3.58</v>
      </c>
    </row>
    <row r="20968" spans="1:5" x14ac:dyDescent="0.25">
      <c r="A20968" t="str">
        <f>HYPERLINK("https://www.773grp.com/globalSearch/PI74FCT534TP9/page-1", "PI74FCT534TP9")</f>
        <v>PI74FCT534TP9</v>
      </c>
      <c r="B20968" s="3" t="s">
        <v>105</v>
      </c>
      <c r="C20968" s="6">
        <v>1211</v>
      </c>
      <c r="D20968" s="7">
        <v>3.95</v>
      </c>
    </row>
    <row r="20969" spans="1:5" x14ac:dyDescent="0.25">
      <c r="A20969" t="str">
        <f>HYPERLINK("https://www.773grp.com/globalSearch/PI74FCT533ATP9/page-1", "PI74FCT533ATP9")</f>
        <v>PI74FCT533ATP9</v>
      </c>
      <c r="B20969" s="3" t="s">
        <v>105</v>
      </c>
      <c r="C20969" s="6">
        <v>2381</v>
      </c>
      <c r="D20969" s="7">
        <v>3.63</v>
      </c>
    </row>
    <row r="20970" spans="1:5" x14ac:dyDescent="0.25">
      <c r="A20970" t="str">
        <f>HYPERLINK("https://www.773grp.com/globalSearch/PI6C951-01CW9/page-1", "PI6C951-01CW9")</f>
        <v>PI6C951-01CW9</v>
      </c>
      <c r="B20970" s="3" t="s">
        <v>105</v>
      </c>
      <c r="C20970" s="6">
        <v>12</v>
      </c>
      <c r="D20970" s="7">
        <v>3.68</v>
      </c>
    </row>
    <row r="20971" spans="1:5" x14ac:dyDescent="0.25">
      <c r="A20971" t="str">
        <f>HYPERLINK("https://www.773grp.com/globalSearch/PI74FCT399TP9/page-1", "PI74FCT399TP9")</f>
        <v>PI74FCT399TP9</v>
      </c>
      <c r="B20971" s="3" t="s">
        <v>105</v>
      </c>
      <c r="C20971" s="6">
        <v>1305</v>
      </c>
      <c r="D20971" s="7">
        <v>3.89</v>
      </c>
    </row>
    <row r="20972" spans="1:5" x14ac:dyDescent="0.25">
      <c r="A20972" t="str">
        <f>HYPERLINK("https://www.773grp.com/globalSearch/PI74FCT399ATS9/page-1", "PI74FCT399ATS9")</f>
        <v>PI74FCT399ATS9</v>
      </c>
      <c r="B20972" s="3" t="s">
        <v>105</v>
      </c>
      <c r="C20972" s="6">
        <v>1079</v>
      </c>
      <c r="D20972" s="7">
        <v>4.09</v>
      </c>
    </row>
    <row r="20973" spans="1:5" x14ac:dyDescent="0.25">
      <c r="A20973" t="str">
        <f>HYPERLINK("https://www.773grp.com/globalSearch/PI74FCT534CTP9/page-1", "PI74FCT534CTP9")</f>
        <v>PI74FCT534CTP9</v>
      </c>
      <c r="B20973" s="3" t="s">
        <v>105</v>
      </c>
      <c r="C20973" s="6">
        <v>100</v>
      </c>
      <c r="D20973" s="7">
        <v>4.2300000000000004</v>
      </c>
    </row>
    <row r="20974" spans="1:5" x14ac:dyDescent="0.25">
      <c r="A20974" t="str">
        <f>HYPERLINK("https://www.773grp.com/globalSearch/PI74FCT533TQ9/page-1", "PI74FCT533TQ9")</f>
        <v>PI74FCT533TQ9</v>
      </c>
      <c r="B20974" s="3" t="s">
        <v>105</v>
      </c>
      <c r="C20974" s="6">
        <v>1301</v>
      </c>
      <c r="D20974" s="7">
        <v>4.79</v>
      </c>
    </row>
    <row r="20975" spans="1:5" x14ac:dyDescent="0.25">
      <c r="A20975" t="str">
        <f>HYPERLINK("https://www.773grp.com/globalSearch/PI74FCT533TS9/page-1", "PI74FCT533TS9")</f>
        <v>PI74FCT533TS9</v>
      </c>
      <c r="B20975" s="3" t="s">
        <v>105</v>
      </c>
      <c r="C20975" s="6">
        <v>1486</v>
      </c>
      <c r="D20975" s="7">
        <v>4.79</v>
      </c>
    </row>
    <row r="20976" spans="1:5" x14ac:dyDescent="0.25">
      <c r="A20976" t="str">
        <f>HYPERLINK("https://www.773grp.com/globalSearch/PI6C980-01S/page-1", "PI6C980-01S")</f>
        <v>PI6C980-01S</v>
      </c>
      <c r="B20976" s="3" t="s">
        <v>105</v>
      </c>
      <c r="C20976" s="6">
        <v>150</v>
      </c>
      <c r="D20976" s="7">
        <v>4.5</v>
      </c>
      <c r="E20976" t="s">
        <v>65</v>
      </c>
    </row>
    <row r="20977" spans="1:5" x14ac:dyDescent="0.25">
      <c r="A20977" t="str">
        <f>HYPERLINK("https://www.773grp.com/globalSearch/PI6C980-01S9/page-1", "PI6C980-01S9")</f>
        <v>PI6C980-01S9</v>
      </c>
      <c r="B20977" s="3" t="s">
        <v>105</v>
      </c>
      <c r="C20977" s="6">
        <v>2883</v>
      </c>
      <c r="D20977" s="7">
        <v>4.5</v>
      </c>
    </row>
    <row r="20978" spans="1:5" x14ac:dyDescent="0.25">
      <c r="A20978" t="str">
        <f>HYPERLINK("https://www.773grp.com/globalSearch/PI6C980H/page-1", "PI6C980H")</f>
        <v>PI6C980H</v>
      </c>
      <c r="B20978" s="3" t="s">
        <v>105</v>
      </c>
      <c r="C20978" s="6">
        <v>381</v>
      </c>
      <c r="D20978" s="7">
        <v>4.5</v>
      </c>
      <c r="E20978" t="s">
        <v>65</v>
      </c>
    </row>
    <row r="20979" spans="1:5" x14ac:dyDescent="0.25">
      <c r="A20979" t="str">
        <f>HYPERLINK("https://www.773grp.com/globalSearch/PI6C980H9/page-1", "PI6C980H9")</f>
        <v>PI6C980H9</v>
      </c>
      <c r="B20979" s="3" t="s">
        <v>105</v>
      </c>
      <c r="C20979" s="6">
        <v>1762</v>
      </c>
      <c r="D20979" s="7">
        <v>4.5</v>
      </c>
    </row>
    <row r="20980" spans="1:5" x14ac:dyDescent="0.25">
      <c r="A20980" t="str">
        <f>HYPERLINK("https://www.773grp.com/globalSearch/PI6C980S9/page-1", "PI6C980S9")</f>
        <v>PI6C980S9</v>
      </c>
      <c r="B20980" s="3" t="s">
        <v>105</v>
      </c>
      <c r="C20980" s="6">
        <v>5228</v>
      </c>
      <c r="D20980" s="7">
        <v>4.5</v>
      </c>
    </row>
    <row r="20981" spans="1:5" x14ac:dyDescent="0.25">
      <c r="A20981" t="str">
        <f>HYPERLINK("https://www.773grp.com/globalSearch/PI74FCT845BTQ9/page-1", "PI74FCT845BTQ9")</f>
        <v>PI74FCT845BTQ9</v>
      </c>
      <c r="B20981" s="3" t="s">
        <v>105</v>
      </c>
      <c r="C20981" s="6">
        <v>154</v>
      </c>
      <c r="D20981" s="7">
        <v>4.6399999999999997</v>
      </c>
    </row>
    <row r="20982" spans="1:5" x14ac:dyDescent="0.25">
      <c r="A20982" t="str">
        <f>HYPERLINK("https://www.773grp.com/globalSearch/PI74FCT845BTS9/page-1", "PI74FCT845BTS9")</f>
        <v>PI74FCT845BTS9</v>
      </c>
      <c r="B20982" s="3" t="s">
        <v>105</v>
      </c>
      <c r="C20982" s="6">
        <v>378</v>
      </c>
      <c r="D20982" s="7">
        <v>4.6399999999999997</v>
      </c>
    </row>
    <row r="20983" spans="1:5" x14ac:dyDescent="0.25">
      <c r="A20983" t="str">
        <f>HYPERLINK("https://www.773grp.com/globalSearch/PI6C1288-01H/page-1", "PI6C1288-01H")</f>
        <v>PI6C1288-01H</v>
      </c>
      <c r="B20983" s="3" t="s">
        <v>105</v>
      </c>
      <c r="C20983" s="6">
        <v>1456</v>
      </c>
      <c r="D20983" s="7">
        <v>5.2</v>
      </c>
      <c r="E20983" t="s">
        <v>65</v>
      </c>
    </row>
    <row r="20984" spans="1:5" x14ac:dyDescent="0.25">
      <c r="A20984" t="str">
        <f>HYPERLINK("https://www.773grp.com/globalSearch/PI74FCT845BTP9/page-1", "PI74FCT845BTP9")</f>
        <v>PI74FCT845BTP9</v>
      </c>
      <c r="B20984" s="3" t="s">
        <v>105</v>
      </c>
      <c r="C20984" s="6">
        <v>181</v>
      </c>
      <c r="D20984" s="7">
        <v>5.24</v>
      </c>
    </row>
    <row r="20985" spans="1:5" x14ac:dyDescent="0.25">
      <c r="A20985" t="str">
        <f>HYPERLINK("https://www.773grp.com/globalSearch/PI6C9155U-01S/page-1", "PI6C9155U-01S")</f>
        <v>PI6C9155U-01S</v>
      </c>
      <c r="B20985" s="3" t="s">
        <v>105</v>
      </c>
      <c r="C20985" s="6">
        <v>8</v>
      </c>
      <c r="D20985" s="7">
        <v>5.45</v>
      </c>
      <c r="E20985" t="s">
        <v>65</v>
      </c>
    </row>
    <row r="20986" spans="1:5" x14ac:dyDescent="0.25">
      <c r="A20986" t="str">
        <f>HYPERLINK("https://www.773grp.com/globalSearch/PI74FCT399CTS/page-1", "PI74FCT399CTS")</f>
        <v>PI74FCT399CTS</v>
      </c>
      <c r="B20986" s="3" t="s">
        <v>105</v>
      </c>
      <c r="C20986" s="6">
        <v>240</v>
      </c>
      <c r="D20986" s="7">
        <v>5.49</v>
      </c>
      <c r="E20986" t="s">
        <v>31</v>
      </c>
    </row>
    <row r="20987" spans="1:5" x14ac:dyDescent="0.25">
      <c r="A20987" t="str">
        <f>HYPERLINK("https://www.773grp.com/globalSearch/PI74FCT533ATQ9/page-1", "PI74FCT533ATQ9")</f>
        <v>PI74FCT533ATQ9</v>
      </c>
      <c r="B20987" s="3" t="s">
        <v>105</v>
      </c>
      <c r="C20987" s="6">
        <v>183</v>
      </c>
      <c r="D20987" s="7">
        <v>5.54</v>
      </c>
    </row>
    <row r="20988" spans="1:5" x14ac:dyDescent="0.25">
      <c r="A20988" t="str">
        <f>HYPERLINK("https://www.773grp.com/globalSearch/PI74FCT845CT09/page-1", "PI74FCT845CT09")</f>
        <v>PI74FCT845CT09</v>
      </c>
      <c r="B20988" s="3" t="s">
        <v>105</v>
      </c>
      <c r="C20988" s="6">
        <v>416</v>
      </c>
      <c r="D20988" s="7">
        <v>6.13</v>
      </c>
    </row>
    <row r="20989" spans="1:5" x14ac:dyDescent="0.25">
      <c r="A20989" t="str">
        <f>HYPERLINK("https://www.773grp.com/globalSearch/PI74FCT845TQ9/page-1", "PI74FCT845TQ9")</f>
        <v>PI74FCT845TQ9</v>
      </c>
      <c r="B20989" s="3" t="s">
        <v>105</v>
      </c>
      <c r="C20989" s="6">
        <v>1655</v>
      </c>
      <c r="D20989" s="7">
        <v>6.13</v>
      </c>
    </row>
    <row r="20990" spans="1:5" x14ac:dyDescent="0.25">
      <c r="A20990" t="str">
        <f>HYPERLINK("https://www.773grp.com/globalSearch/PI74FCT533CTP9/page-1", "PI74FCT533CTP9")</f>
        <v>PI74FCT533CTP9</v>
      </c>
      <c r="B20990" s="3" t="s">
        <v>105</v>
      </c>
      <c r="C20990" s="6">
        <v>1477</v>
      </c>
      <c r="D20990" s="7">
        <v>6.28</v>
      </c>
    </row>
    <row r="20991" spans="1:5" x14ac:dyDescent="0.25">
      <c r="A20991" t="str">
        <f>HYPERLINK("https://www.773grp.com/globalSearch/PI6C1288-03H9/page-1", "PI6C1288-03H9")</f>
        <v>PI6C1288-03H9</v>
      </c>
      <c r="B20991" s="3" t="s">
        <v>105</v>
      </c>
      <c r="C20991" s="6">
        <v>1474</v>
      </c>
      <c r="D20991" s="7">
        <v>6.5</v>
      </c>
    </row>
    <row r="20992" spans="1:5" x14ac:dyDescent="0.25">
      <c r="A20992" t="str">
        <f>HYPERLINK("https://www.773grp.com/globalSearch/PI74FCT534DTQ9/page-1", "PI74FCT534DTQ9")</f>
        <v>PI74FCT534DTQ9</v>
      </c>
      <c r="B20992" s="3" t="s">
        <v>105</v>
      </c>
      <c r="C20992" s="6">
        <v>372</v>
      </c>
      <c r="D20992" s="7">
        <v>6.64</v>
      </c>
    </row>
    <row r="20993" spans="1:5" x14ac:dyDescent="0.25">
      <c r="A20993" t="str">
        <f>HYPERLINK("https://www.773grp.com/globalSearch/PI6B3904W/page-1", "PI6B3904W")</f>
        <v>PI6B3904W</v>
      </c>
      <c r="B20993" s="3" t="s">
        <v>105</v>
      </c>
      <c r="C20993" s="6">
        <v>748</v>
      </c>
      <c r="D20993" s="7">
        <v>7.6</v>
      </c>
      <c r="E20993" t="s">
        <v>30</v>
      </c>
    </row>
    <row r="20994" spans="1:5" x14ac:dyDescent="0.25">
      <c r="A20994" t="str">
        <f>HYPERLINK("https://www.773grp.com/globalSearch/PI6B3904W9/page-1", "PI6B3904W9")</f>
        <v>PI6B3904W9</v>
      </c>
      <c r="B20994" s="3" t="s">
        <v>105</v>
      </c>
      <c r="C20994" s="6">
        <v>2328</v>
      </c>
      <c r="D20994" s="7">
        <v>7.6</v>
      </c>
    </row>
    <row r="20995" spans="1:5" x14ac:dyDescent="0.25">
      <c r="A20995" t="str">
        <f>HYPERLINK("https://www.773grp.com/globalSearch/PI6B3904WX/page-1", "PI6B3904WX")</f>
        <v>PI6B3904WX</v>
      </c>
      <c r="B20995" s="3" t="s">
        <v>105</v>
      </c>
      <c r="C20995" s="6">
        <v>3000</v>
      </c>
      <c r="D20995" s="7">
        <v>7.6</v>
      </c>
      <c r="E20995" t="s">
        <v>30</v>
      </c>
    </row>
    <row r="20996" spans="1:5" x14ac:dyDescent="0.25">
      <c r="A20996" t="str">
        <f>HYPERLINK("https://www.773grp.com/globalSearch/PI74FCT132DTW9/page-1", "PI74FCT132DTW9")</f>
        <v>PI74FCT132DTW9</v>
      </c>
      <c r="B20996" s="3" t="s">
        <v>105</v>
      </c>
      <c r="C20996" s="6">
        <v>1745</v>
      </c>
      <c r="D20996" s="7">
        <v>10.8</v>
      </c>
    </row>
    <row r="20997" spans="1:5" x14ac:dyDescent="0.25">
      <c r="A20997" t="str">
        <f>HYPERLINK("https://www.773grp.com/globalSearch/PI49FCT811TQ9/page-1", "PI49FCT811TQ9")</f>
        <v>PI49FCT811TQ9</v>
      </c>
      <c r="B20997" s="3" t="s">
        <v>105</v>
      </c>
      <c r="C20997" s="6">
        <v>2820</v>
      </c>
      <c r="D20997" s="7">
        <v>15.1</v>
      </c>
    </row>
    <row r="20998" spans="1:5" x14ac:dyDescent="0.25">
      <c r="A20998" t="str">
        <f>HYPERLINK("https://www.773grp.com/globalSearch/PI49FCT811TS9/page-1", "PI49FCT811TS9")</f>
        <v>PI49FCT811TS9</v>
      </c>
      <c r="B20998" s="3" t="s">
        <v>105</v>
      </c>
      <c r="C20998" s="6">
        <v>40</v>
      </c>
      <c r="D20998" s="7">
        <v>15.1</v>
      </c>
    </row>
    <row r="20999" spans="1:5" x14ac:dyDescent="0.25">
      <c r="A20999" t="str">
        <f>HYPERLINK("https://www.773grp.com/globalSearch/PI49FCT811ATS9/page-1", "PI49FCT811ATS9")</f>
        <v>PI49FCT811ATS9</v>
      </c>
      <c r="B20999" s="3" t="s">
        <v>105</v>
      </c>
      <c r="C20999" s="6">
        <v>161</v>
      </c>
      <c r="D20999" s="7">
        <v>16.59</v>
      </c>
    </row>
    <row r="21000" spans="1:5" x14ac:dyDescent="0.25">
      <c r="A21000" t="str">
        <f>HYPERLINK("https://www.773grp.com/globalSearch/PI49FCT811TP9/page-1", "PI49FCT811TP9")</f>
        <v>PI49FCT811TP9</v>
      </c>
      <c r="B21000" s="3" t="s">
        <v>105</v>
      </c>
      <c r="C21000" s="6">
        <v>2260</v>
      </c>
      <c r="D21000" s="7">
        <v>17.350000000000001</v>
      </c>
    </row>
    <row r="21001" spans="1:5" x14ac:dyDescent="0.25">
      <c r="A21001" t="str">
        <f>HYPERLINK("https://www.773grp.com/globalSearch/74LVCU04AD118/page-1", "74LVCU04AD118")</f>
        <v>74LVCU04AD118</v>
      </c>
      <c r="B21001" s="3" t="s">
        <v>106</v>
      </c>
      <c r="C21001" s="6">
        <v>2500</v>
      </c>
      <c r="D21001" s="7">
        <v>0.33</v>
      </c>
    </row>
    <row r="21002" spans="1:5" x14ac:dyDescent="0.25">
      <c r="A21002" t="str">
        <f>HYPERLINK("https://www.773grp.com/globalSearch/BGA2712115/page-1", "BGA2712115")</f>
        <v>BGA2712115</v>
      </c>
      <c r="B21002" s="3" t="s">
        <v>106</v>
      </c>
      <c r="C21002" s="6">
        <v>1715</v>
      </c>
      <c r="D21002" s="7">
        <v>0.38</v>
      </c>
    </row>
    <row r="21003" spans="1:5" x14ac:dyDescent="0.25">
      <c r="A21003" t="str">
        <f>HYPERLINK("https://www.773grp.com/globalSearch/BGA2715115/page-1", "BGA2715115")</f>
        <v>BGA2715115</v>
      </c>
      <c r="B21003" s="3" t="s">
        <v>106</v>
      </c>
      <c r="C21003" s="6">
        <v>465</v>
      </c>
      <c r="D21003" s="7">
        <v>0.38</v>
      </c>
    </row>
    <row r="21004" spans="1:5" x14ac:dyDescent="0.25">
      <c r="A21004" t="str">
        <f>HYPERLINK("https://www.773grp.com/globalSearch/74HC2G00DC125/page-1", "74HC2G00DC125")</f>
        <v>74HC2G00DC125</v>
      </c>
      <c r="B21004" s="3" t="s">
        <v>106</v>
      </c>
      <c r="C21004" s="6">
        <v>3000</v>
      </c>
      <c r="D21004" s="7">
        <v>0.64</v>
      </c>
    </row>
    <row r="21005" spans="1:5" x14ac:dyDescent="0.25">
      <c r="A21005" t="str">
        <f>HYPERLINK("https://www.773grp.com/globalSearch/74LVT74D118/page-1", "74LVT74D118")</f>
        <v>74LVT74D118</v>
      </c>
      <c r="B21005" s="3" t="s">
        <v>106</v>
      </c>
      <c r="C21005" s="6">
        <v>2500</v>
      </c>
      <c r="D21005" s="7">
        <v>1.59</v>
      </c>
    </row>
    <row r="21006" spans="1:5" x14ac:dyDescent="0.25">
      <c r="A21006" t="str">
        <f>HYPERLINK("https://www.773grp.com/globalSearch/TDA8551T-N1118/page-1", "TDA8551T-N1118")</f>
        <v>TDA8551T-N1118</v>
      </c>
      <c r="B21006" s="3" t="s">
        <v>106</v>
      </c>
      <c r="C21006" s="6">
        <v>2500</v>
      </c>
      <c r="D21006" s="7">
        <v>1.96</v>
      </c>
    </row>
    <row r="21007" spans="1:5" x14ac:dyDescent="0.25">
      <c r="A21007" t="str">
        <f>HYPERLINK("https://www.773grp.com/globalSearch/MPS6517/page-1", "MPS6517")</f>
        <v>MPS6517</v>
      </c>
      <c r="B21007" s="3" t="s">
        <v>106</v>
      </c>
      <c r="C21007" s="6">
        <v>799</v>
      </c>
      <c r="D21007" s="7">
        <v>2.64</v>
      </c>
      <c r="E21007" t="s">
        <v>57</v>
      </c>
    </row>
    <row r="21008" spans="1:5" x14ac:dyDescent="0.25">
      <c r="A21008" t="str">
        <f>HYPERLINK("https://www.773grp.com/globalSearch/HDMP-0422/page-1", "HDMP-0422")</f>
        <v>HDMP-0422</v>
      </c>
      <c r="B21008" s="3" t="s">
        <v>107</v>
      </c>
      <c r="C21008" s="6">
        <v>235</v>
      </c>
      <c r="D21008" s="7">
        <v>22.5</v>
      </c>
      <c r="E21008" t="s">
        <v>55</v>
      </c>
    </row>
    <row r="21009" spans="1:5" x14ac:dyDescent="0.25">
      <c r="A21009" t="str">
        <f>HYPERLINK("https://www.773grp.com/globalSearch/HDMP-0422G/page-1", "HDMP-0422G")</f>
        <v>HDMP-0422G</v>
      </c>
      <c r="B21009" s="3" t="s">
        <v>107</v>
      </c>
      <c r="C21009" s="6">
        <v>5041</v>
      </c>
      <c r="D21009" s="7">
        <v>25.31</v>
      </c>
    </row>
    <row r="21010" spans="1:5" x14ac:dyDescent="0.25">
      <c r="A21010" t="str">
        <f>HYPERLINK("https://www.773grp.com/globalSearch/HDMP-2630B/page-1", "HDMP-2630B")</f>
        <v>HDMP-2630B</v>
      </c>
      <c r="B21010" s="3" t="s">
        <v>107</v>
      </c>
      <c r="C21010" s="6">
        <v>3205</v>
      </c>
      <c r="D21010" s="7">
        <v>33.75</v>
      </c>
      <c r="E21010" t="s">
        <v>55</v>
      </c>
    </row>
    <row r="21011" spans="1:5" x14ac:dyDescent="0.25">
      <c r="A21011" t="str">
        <f>HYPERLINK("https://www.773grp.com/globalSearch/HDMP-0451/page-1", "HDMP-0451")</f>
        <v>HDMP-0451</v>
      </c>
      <c r="B21011" s="3" t="s">
        <v>107</v>
      </c>
      <c r="C21011" s="6">
        <v>6130</v>
      </c>
      <c r="D21011" s="7">
        <v>59.06</v>
      </c>
    </row>
    <row r="21012" spans="1:5" x14ac:dyDescent="0.25">
      <c r="A21012" t="str">
        <f>HYPERLINK("https://www.773grp.com/globalSearch/HDMP-0451G/page-1", "HDMP-0451G")</f>
        <v>HDMP-0451G</v>
      </c>
      <c r="B21012" s="3" t="s">
        <v>107</v>
      </c>
      <c r="C21012" s="6">
        <v>3567</v>
      </c>
      <c r="D21012" s="7">
        <v>61.88</v>
      </c>
    </row>
    <row r="21013" spans="1:5" x14ac:dyDescent="0.25">
      <c r="A21013" t="str">
        <f>HYPERLINK("https://www.773grp.com/globalSearch/PM8356-PI/page-1", "PM8356-PI")</f>
        <v>PM8356-PI</v>
      </c>
      <c r="B21013" s="3" t="s">
        <v>107</v>
      </c>
      <c r="C21013" s="6">
        <v>1420</v>
      </c>
      <c r="D21013" s="7">
        <v>95.63</v>
      </c>
    </row>
    <row r="21014" spans="1:5" x14ac:dyDescent="0.25">
      <c r="A21014" t="str">
        <f>HYPERLINK("https://www.773grp.com/globalSearch/PM8371-BI/page-1", "PM8371-BI")</f>
        <v>PM8371-BI</v>
      </c>
      <c r="B21014" s="3" t="s">
        <v>107</v>
      </c>
      <c r="C21014" s="6">
        <v>569</v>
      </c>
      <c r="D21014" s="7">
        <v>106.88</v>
      </c>
    </row>
    <row r="21015" spans="1:5" x14ac:dyDescent="0.25">
      <c r="A21015" t="str">
        <f>HYPERLINK("https://www.773grp.com/globalSearch/IC-EAC-030-A/page-1", "IC-EAC-030-A")</f>
        <v>IC-EAC-030-A</v>
      </c>
      <c r="B21015" s="3" t="s">
        <v>107</v>
      </c>
      <c r="C21015" s="6">
        <v>8673</v>
      </c>
      <c r="D21015" s="7">
        <v>120.94</v>
      </c>
    </row>
    <row r="21016" spans="1:5" x14ac:dyDescent="0.25">
      <c r="A21016" t="str">
        <f>HYPERLINK("https://www.773grp.com/globalSearch/IC-WAC-185-B/page-1", "IC-WAC-185-B")</f>
        <v>IC-WAC-185-B</v>
      </c>
      <c r="B21016" s="3" t="s">
        <v>107</v>
      </c>
      <c r="C21016" s="6">
        <v>20</v>
      </c>
      <c r="D21016" s="7">
        <v>135</v>
      </c>
    </row>
    <row r="21017" spans="1:5" x14ac:dyDescent="0.25">
      <c r="A21017" t="str">
        <f>HYPERLINK("https://www.773grp.com/globalSearch/HPFC-5166B/page-1", "HPFC-5166B")</f>
        <v>HPFC-5166B</v>
      </c>
      <c r="B21017" s="3" t="s">
        <v>107</v>
      </c>
      <c r="C21017" s="6">
        <v>14</v>
      </c>
      <c r="D21017" s="7">
        <v>219.38</v>
      </c>
    </row>
    <row r="21018" spans="1:5" x14ac:dyDescent="0.25">
      <c r="A21018" t="str">
        <f>HYPERLINK("https://www.773grp.com/globalSearch/HPFC-5100D/page-1", "HPFC-5100D")</f>
        <v>HPFC-5100D</v>
      </c>
      <c r="B21018" s="3" t="s">
        <v>107</v>
      </c>
      <c r="C21018" s="6">
        <v>41</v>
      </c>
      <c r="D21018" s="7">
        <v>253.13</v>
      </c>
    </row>
    <row r="21019" spans="1:5" x14ac:dyDescent="0.25">
      <c r="A21019" t="str">
        <f>HYPERLINK("https://www.773grp.com/globalSearch/IC-WAC-186-B/page-1", "IC-WAC-186-B")</f>
        <v>IC-WAC-186-B</v>
      </c>
      <c r="B21019" s="3" t="s">
        <v>107</v>
      </c>
      <c r="C21019" s="6">
        <v>92</v>
      </c>
      <c r="D21019" s="7">
        <v>278.44</v>
      </c>
    </row>
    <row r="21020" spans="1:5" x14ac:dyDescent="0.25">
      <c r="A21020" t="str">
        <f>HYPERLINK("https://www.773grp.com/globalSearch/HDMP-2840/page-1", "HDMP-2840")</f>
        <v>HDMP-2840</v>
      </c>
      <c r="B21020" s="3" t="s">
        <v>107</v>
      </c>
      <c r="C21020" s="6">
        <v>233</v>
      </c>
      <c r="D21020" s="7">
        <v>256.33999999999997</v>
      </c>
    </row>
    <row r="21021" spans="1:5" x14ac:dyDescent="0.25">
      <c r="A21021" t="str">
        <f>HYPERLINK("https://www.773grp.com/globalSearch/IC-WAC-188-A/page-1", "IC-WAC-188-A")</f>
        <v>IC-WAC-188-A</v>
      </c>
      <c r="B21021" s="3" t="s">
        <v>107</v>
      </c>
      <c r="C21021" s="6">
        <v>20</v>
      </c>
      <c r="D21021" s="7">
        <v>299.06</v>
      </c>
    </row>
    <row r="21022" spans="1:5" x14ac:dyDescent="0.25">
      <c r="A21022" t="str">
        <f>HYPERLINK("https://www.773grp.com/globalSearch/PM9314-HC/page-1", "PM9314-HC")</f>
        <v>PM9314-HC</v>
      </c>
      <c r="B21022" s="3" t="s">
        <v>107</v>
      </c>
      <c r="C21022" s="6">
        <v>1635</v>
      </c>
      <c r="D21022" s="7">
        <v>395.18</v>
      </c>
    </row>
    <row r="21023" spans="1:5" x14ac:dyDescent="0.25">
      <c r="A21023" t="str">
        <f>HYPERLINK("https://www.773grp.com/globalSearch/IC-WAC-035-D/page-1", "IC-WAC-035-D")</f>
        <v>IC-WAC-035-D</v>
      </c>
      <c r="B21023" s="3" t="s">
        <v>107</v>
      </c>
      <c r="C21023" s="6">
        <v>27</v>
      </c>
      <c r="D21023" s="7">
        <v>469.94</v>
      </c>
    </row>
    <row r="21024" spans="1:5" x14ac:dyDescent="0.25">
      <c r="A21024" t="str">
        <f>HYPERLINK("https://www.773grp.com/globalSearch/PM73488-PI/page-1", "PM73488-PI")</f>
        <v>PM73488-PI</v>
      </c>
      <c r="B21024" s="3" t="s">
        <v>107</v>
      </c>
      <c r="C21024" s="6">
        <v>4</v>
      </c>
      <c r="D21024" s="7">
        <v>608.79</v>
      </c>
      <c r="E21024" t="s">
        <v>108</v>
      </c>
    </row>
    <row r="21025" spans="1:5" x14ac:dyDescent="0.25">
      <c r="A21025" t="str">
        <f>HYPERLINK("https://www.773grp.com/globalSearch/PM7386-BI/page-1", "PM7386-BI")</f>
        <v>PM7386-BI</v>
      </c>
      <c r="B21025" s="3" t="s">
        <v>107</v>
      </c>
      <c r="C21025" s="6">
        <v>59</v>
      </c>
      <c r="D21025" s="7">
        <v>694.23</v>
      </c>
    </row>
    <row r="21026" spans="1:5" x14ac:dyDescent="0.25">
      <c r="A21026" t="str">
        <f>HYPERLINK("https://www.773grp.com/globalSearch/PM7389-BI/page-1", "PM7389-BI")</f>
        <v>PM7389-BI</v>
      </c>
      <c r="B21026" s="3" t="s">
        <v>107</v>
      </c>
      <c r="C21026" s="6">
        <v>650</v>
      </c>
      <c r="D21026" s="7">
        <v>907.83</v>
      </c>
    </row>
    <row r="21027" spans="1:5" x14ac:dyDescent="0.25">
      <c r="A21027" t="str">
        <f>HYPERLINK("https://www.773grp.com/globalSearch/HHBA-5418BP1-S01/page-1", "HHBA-5418BP1-S01")</f>
        <v>HHBA-5418BP1-S01</v>
      </c>
      <c r="B21027" s="3" t="s">
        <v>107</v>
      </c>
      <c r="C21027" s="6">
        <v>321</v>
      </c>
      <c r="D21027" s="7">
        <v>918.51</v>
      </c>
    </row>
    <row r="21028" spans="1:5" x14ac:dyDescent="0.25">
      <c r="A21028" t="str">
        <f>HYPERLINK("https://www.773grp.com/globalSearch/PM9312-UC-F/page-1", "PM9312-UC-F")</f>
        <v>PM9312-UC-F</v>
      </c>
      <c r="B21028" s="3" t="s">
        <v>107</v>
      </c>
      <c r="C21028" s="6">
        <v>297</v>
      </c>
      <c r="D21028" s="7">
        <v>1142.81</v>
      </c>
    </row>
    <row r="21029" spans="1:5" x14ac:dyDescent="0.25">
      <c r="A21029" t="str">
        <f>HYPERLINK("https://www.773grp.com/globalSearch/AD594AD/page-1", "AD594AD")</f>
        <v>AD594AD</v>
      </c>
      <c r="B21029" s="3" t="s">
        <v>109</v>
      </c>
      <c r="C21029" s="6">
        <v>18</v>
      </c>
      <c r="D21029" s="7">
        <v>0</v>
      </c>
      <c r="E21029" t="s">
        <v>58</v>
      </c>
    </row>
    <row r="21030" spans="1:5" x14ac:dyDescent="0.25">
      <c r="A21030" t="str">
        <f>HYPERLINK("https://www.773grp.com/globalSearch/SSM2302CPZ-REEL7/page-1", "SSM2302CPZ-REEL7")</f>
        <v>SSM2302CPZ-REEL7</v>
      </c>
      <c r="B21030" s="3" t="s">
        <v>109</v>
      </c>
      <c r="C21030" s="6">
        <v>2421</v>
      </c>
      <c r="D21030" s="7">
        <v>4.38</v>
      </c>
      <c r="E21030" t="s">
        <v>14</v>
      </c>
    </row>
    <row r="21031" spans="1:5" x14ac:dyDescent="0.25">
      <c r="A21031" t="str">
        <f>HYPERLINK("https://www.773grp.com/globalSearch/OP14CS/page-1", "OP14CS")</f>
        <v>OP14CS</v>
      </c>
      <c r="B21031" s="3" t="s">
        <v>109</v>
      </c>
      <c r="C21031" s="6">
        <v>1</v>
      </c>
      <c r="D21031" s="7">
        <v>5.49</v>
      </c>
      <c r="E21031" t="s">
        <v>10</v>
      </c>
    </row>
    <row r="21032" spans="1:5" x14ac:dyDescent="0.25">
      <c r="A21032" t="str">
        <f>HYPERLINK("https://www.773grp.com/globalSearch/SSM2019BN/page-1", "SSM2019BN")</f>
        <v>SSM2019BN</v>
      </c>
      <c r="B21032" s="3" t="s">
        <v>109</v>
      </c>
      <c r="C21032" s="6">
        <v>98</v>
      </c>
      <c r="D21032" s="7">
        <v>5.78</v>
      </c>
      <c r="E21032" t="s">
        <v>14</v>
      </c>
    </row>
    <row r="21033" spans="1:5" x14ac:dyDescent="0.25">
      <c r="A21033" t="str">
        <f>HYPERLINK("https://www.773grp.com/globalSearch/SSM2019BRW/page-1", "SSM2019BRW")</f>
        <v>SSM2019BRW</v>
      </c>
      <c r="B21033" s="3" t="s">
        <v>109</v>
      </c>
      <c r="C21033" s="6">
        <v>2741</v>
      </c>
      <c r="D21033" s="7">
        <v>5.78</v>
      </c>
      <c r="E21033" t="s">
        <v>14</v>
      </c>
    </row>
    <row r="21034" spans="1:5" x14ac:dyDescent="0.25">
      <c r="A21034" t="str">
        <f>HYPERLINK("https://www.773grp.com/globalSearch/AD587JR/page-1", "AD587JR")</f>
        <v>AD587JR</v>
      </c>
      <c r="B21034" s="3" t="s">
        <v>109</v>
      </c>
      <c r="C21034" s="6">
        <v>58</v>
      </c>
      <c r="D21034" s="7">
        <v>11.09</v>
      </c>
      <c r="E21034" t="s">
        <v>13</v>
      </c>
    </row>
    <row r="21035" spans="1:5" x14ac:dyDescent="0.25">
      <c r="A21035" t="str">
        <f>HYPERLINK("https://www.773grp.com/globalSearch/OP97EP/page-1", "OP97EP")</f>
        <v>OP97EP</v>
      </c>
      <c r="B21035" s="3" t="s">
        <v>109</v>
      </c>
      <c r="C21035" s="6">
        <v>1584</v>
      </c>
      <c r="D21035" s="7">
        <v>13.59</v>
      </c>
      <c r="E21035" t="s">
        <v>10</v>
      </c>
    </row>
    <row r="21036" spans="1:5" x14ac:dyDescent="0.25">
      <c r="A21036" t="str">
        <f>HYPERLINK("https://www.773grp.com/globalSearch/AD7888ARU/page-1", "AD7888ARU")</f>
        <v>AD7888ARU</v>
      </c>
      <c r="B21036" s="3" t="s">
        <v>109</v>
      </c>
      <c r="C21036" s="6">
        <v>142</v>
      </c>
      <c r="D21036" s="7">
        <v>15.9</v>
      </c>
      <c r="E21036" t="s">
        <v>35</v>
      </c>
    </row>
    <row r="21037" spans="1:5" x14ac:dyDescent="0.25">
      <c r="A21037" t="str">
        <f>HYPERLINK("https://www.773grp.com/globalSearch/AD621AR/page-1", "AD621AR")</f>
        <v>AD621AR</v>
      </c>
      <c r="B21037" s="3" t="s">
        <v>109</v>
      </c>
      <c r="C21037" s="6">
        <v>15</v>
      </c>
      <c r="D21037" s="7">
        <v>16.25</v>
      </c>
      <c r="E21037" t="s">
        <v>58</v>
      </c>
    </row>
    <row r="21038" spans="1:5" x14ac:dyDescent="0.25">
      <c r="A21038" t="str">
        <f>HYPERLINK("https://www.773grp.com/globalSearch/PM7528037S/page-1", "PM7528037S")</f>
        <v>PM7528037S</v>
      </c>
      <c r="B21038" s="3" t="s">
        <v>109</v>
      </c>
      <c r="C21038" s="6">
        <v>3237</v>
      </c>
      <c r="D21038" s="7">
        <v>20.89</v>
      </c>
    </row>
    <row r="21039" spans="1:5" x14ac:dyDescent="0.25">
      <c r="A21039" t="str">
        <f>HYPERLINK("https://www.773grp.com/globalSearch/AD1851R-J/page-1", "AD1851R-J")</f>
        <v>AD1851R-J</v>
      </c>
      <c r="B21039" s="3" t="s">
        <v>109</v>
      </c>
      <c r="C21039" s="6">
        <v>331</v>
      </c>
      <c r="D21039" s="7">
        <v>21.1</v>
      </c>
      <c r="E21039" t="s">
        <v>29</v>
      </c>
    </row>
    <row r="21040" spans="1:5" x14ac:dyDescent="0.25">
      <c r="A21040" t="str">
        <f>HYPERLINK("https://www.773grp.com/globalSearch/AD1865R-J/page-1", "AD1865R-J")</f>
        <v>AD1865R-J</v>
      </c>
      <c r="B21040" s="3" t="s">
        <v>109</v>
      </c>
      <c r="C21040" s="6">
        <v>3</v>
      </c>
      <c r="D21040" s="7">
        <v>21.1</v>
      </c>
      <c r="E21040" t="s">
        <v>29</v>
      </c>
    </row>
    <row r="21041" spans="1:5" x14ac:dyDescent="0.25">
      <c r="A21041" t="str">
        <f>HYPERLINK("https://www.773grp.com/globalSearch/DAC8840FP/page-1", "DAC8840FP")</f>
        <v>DAC8840FP</v>
      </c>
      <c r="B21041" s="3" t="s">
        <v>109</v>
      </c>
      <c r="C21041" s="6">
        <v>11</v>
      </c>
      <c r="D21041" s="7">
        <v>35.58</v>
      </c>
      <c r="E21041" t="s">
        <v>29</v>
      </c>
    </row>
    <row r="21042" spans="1:5" x14ac:dyDescent="0.25">
      <c r="A21042" t="str">
        <f>HYPERLINK("https://www.773grp.com/globalSearch/OP17BJ/page-1", "OP17BJ")</f>
        <v>OP17BJ</v>
      </c>
      <c r="B21042" s="3" t="s">
        <v>109</v>
      </c>
      <c r="C21042" s="6">
        <v>459</v>
      </c>
      <c r="D21042" s="7">
        <v>36.56</v>
      </c>
    </row>
    <row r="21043" spans="1:5" x14ac:dyDescent="0.25">
      <c r="A21043" t="str">
        <f>HYPERLINK("https://www.773grp.com/globalSearch/AD588JQ/page-1", "AD588JQ")</f>
        <v>AD588JQ</v>
      </c>
      <c r="B21043" s="3" t="s">
        <v>109</v>
      </c>
      <c r="C21043" s="6">
        <v>3</v>
      </c>
      <c r="D21043" s="7">
        <v>55.73</v>
      </c>
      <c r="E21043" t="s">
        <v>13</v>
      </c>
    </row>
    <row r="21044" spans="1:5" x14ac:dyDescent="0.25">
      <c r="A21044" t="str">
        <f>HYPERLINK("https://www.773grp.com/globalSearch/AD1865RZ-J/page-1", "AD1865RZ-J")</f>
        <v>AD1865RZ-J</v>
      </c>
      <c r="B21044" s="3" t="s">
        <v>109</v>
      </c>
      <c r="C21044" s="6">
        <v>20</v>
      </c>
      <c r="D21044" s="7">
        <v>55.83</v>
      </c>
    </row>
    <row r="21045" spans="1:5" x14ac:dyDescent="0.25">
      <c r="A21045" t="str">
        <f>HYPERLINK("https://www.773grp.com/globalSearch/REF01AZ/page-1", "REF01AZ")</f>
        <v>REF01AZ</v>
      </c>
      <c r="B21045" s="3" t="s">
        <v>109</v>
      </c>
      <c r="C21045" s="6">
        <v>12</v>
      </c>
      <c r="D21045" s="7">
        <v>59.06</v>
      </c>
    </row>
    <row r="21046" spans="1:5" x14ac:dyDescent="0.25">
      <c r="A21046" t="str">
        <f>HYPERLINK("https://www.773grp.com/globalSearch/REF01AZ  D1/page-1", "REF01AZ  D1")</f>
        <v>REF01AZ  D1</v>
      </c>
      <c r="B21046" s="3" t="s">
        <v>109</v>
      </c>
      <c r="C21046" s="6">
        <v>5</v>
      </c>
      <c r="D21046" s="7">
        <v>59.06</v>
      </c>
    </row>
    <row r="21047" spans="1:5" x14ac:dyDescent="0.25">
      <c r="A21047" t="str">
        <f>HYPERLINK("https://www.773grp.com/globalSearch/AD1890JP/page-1", "AD1890JP")</f>
        <v>AD1890JP</v>
      </c>
      <c r="B21047" s="3" t="s">
        <v>109</v>
      </c>
      <c r="C21047" s="6">
        <v>291</v>
      </c>
      <c r="D21047" s="7">
        <v>67.5</v>
      </c>
      <c r="E21047" t="s">
        <v>19</v>
      </c>
    </row>
    <row r="21048" spans="1:5" x14ac:dyDescent="0.25">
      <c r="A21048" t="str">
        <f>HYPERLINK("https://www.773grp.com/globalSearch/AD595AD/page-1", "AD595AD")</f>
        <v>AD595AD</v>
      </c>
      <c r="B21048" s="3" t="s">
        <v>109</v>
      </c>
      <c r="C21048" s="6">
        <v>3</v>
      </c>
      <c r="D21048" s="7">
        <v>73.08</v>
      </c>
      <c r="E21048" t="s">
        <v>58</v>
      </c>
    </row>
    <row r="21049" spans="1:5" x14ac:dyDescent="0.25">
      <c r="A21049" t="str">
        <f>HYPERLINK("https://www.773grp.com/globalSearch/PT79SR112V/page-1", "PT79SR112V")</f>
        <v>PT79SR112V</v>
      </c>
      <c r="B21049" s="3" t="s">
        <v>110</v>
      </c>
      <c r="C21049" s="6">
        <v>100</v>
      </c>
      <c r="D21049" s="7">
        <v>37.979999999999997</v>
      </c>
    </row>
    <row r="21050" spans="1:5" x14ac:dyDescent="0.25">
      <c r="A21050" t="str">
        <f>HYPERLINK("https://www.773grp.com/globalSearch/78SR105TC/page-1", "78SR105TC")</f>
        <v>78SR105TC</v>
      </c>
      <c r="B21050" s="3" t="s">
        <v>110</v>
      </c>
      <c r="C21050" s="6">
        <v>152</v>
      </c>
      <c r="D21050" s="7">
        <v>45.7</v>
      </c>
    </row>
    <row r="21051" spans="1:5" x14ac:dyDescent="0.25">
      <c r="A21051" t="str">
        <f>HYPERLINK("https://www.773grp.com/globalSearch/V292PBC-40LP/page-1", "V292PBC-40LP")</f>
        <v>V292PBC-40LP</v>
      </c>
      <c r="B21051" s="3" t="s">
        <v>111</v>
      </c>
      <c r="C21051" s="6">
        <v>167</v>
      </c>
      <c r="D21051" s="7">
        <v>0</v>
      </c>
      <c r="E21051" t="s">
        <v>56</v>
      </c>
    </row>
    <row r="21052" spans="1:5" x14ac:dyDescent="0.25">
      <c r="A21052" t="str">
        <f>HYPERLINK("https://www.773grp.com/globalSearch/V380SDC-75LP/page-1", "V380SDC-75LP")</f>
        <v>V380SDC-75LP</v>
      </c>
      <c r="B21052" s="3" t="s">
        <v>111</v>
      </c>
      <c r="C21052" s="6">
        <v>51116</v>
      </c>
      <c r="D21052" s="7">
        <v>42.19</v>
      </c>
    </row>
    <row r="21053" spans="1:5" x14ac:dyDescent="0.25">
      <c r="A21053" t="str">
        <f>HYPERLINK("https://www.773grp.com/globalSearch/V380SDC-75LPR REV A0/page-1", "V380SDC-75LPR REV A0")</f>
        <v>V380SDC-75LPR REV A0</v>
      </c>
      <c r="B21053" s="3" t="s">
        <v>111</v>
      </c>
      <c r="C21053" s="6">
        <v>4079</v>
      </c>
      <c r="D21053" s="7">
        <v>42.19</v>
      </c>
    </row>
    <row r="21054" spans="1:5" x14ac:dyDescent="0.25">
      <c r="A21054" t="str">
        <f>HYPERLINK("https://www.773grp.com/globalSearch/V96SSC-33LP/page-1", "V96SSC-33LP")</f>
        <v>V96SSC-33LP</v>
      </c>
      <c r="B21054" s="3" t="s">
        <v>111</v>
      </c>
      <c r="C21054" s="6">
        <v>43301</v>
      </c>
      <c r="D21054" s="7">
        <v>66.790000000000006</v>
      </c>
      <c r="E21054" t="s">
        <v>69</v>
      </c>
    </row>
    <row r="21055" spans="1:5" x14ac:dyDescent="0.25">
      <c r="A21055" t="str">
        <f>HYPERLINK("https://www.773grp.com/globalSearch/V96SSC-33LPR REV B1/page-1", "V96SSC-33LPR REV B1")</f>
        <v>V96SSC-33LPR REV B1</v>
      </c>
      <c r="B21055" s="3" t="s">
        <v>111</v>
      </c>
      <c r="C21055" s="6">
        <v>3940</v>
      </c>
      <c r="D21055" s="7">
        <v>66.790000000000006</v>
      </c>
    </row>
    <row r="21056" spans="1:5" x14ac:dyDescent="0.25">
      <c r="A21056" t="str">
        <f>HYPERLINK("https://www.773grp.com/globalSearch/V96BMC-33LP/page-1", "V96BMC-33LP")</f>
        <v>V96BMC-33LP</v>
      </c>
      <c r="B21056" s="3" t="s">
        <v>111</v>
      </c>
      <c r="C21056" s="6">
        <v>1296</v>
      </c>
      <c r="D21056" s="7">
        <v>67.5</v>
      </c>
      <c r="E21056" t="s">
        <v>69</v>
      </c>
    </row>
    <row r="21057" spans="1:5" x14ac:dyDescent="0.25">
      <c r="A21057" t="str">
        <f>HYPERLINK("https://www.773grp.com/globalSearch/V370PDC-66LP/page-1", "V370PDC-66LP")</f>
        <v>V370PDC-66LP</v>
      </c>
      <c r="B21057" s="3" t="s">
        <v>111</v>
      </c>
      <c r="C21057" s="6">
        <v>428</v>
      </c>
      <c r="D21057" s="7">
        <v>75.94</v>
      </c>
    </row>
    <row r="21058" spans="1:5" x14ac:dyDescent="0.25">
      <c r="A21058" t="str">
        <f>HYPERLINK("https://www.773grp.com/globalSearch/V96BMC-40LP/page-1", "V96BMC-40LP")</f>
        <v>V96BMC-40LP</v>
      </c>
      <c r="B21058" s="3" t="s">
        <v>111</v>
      </c>
      <c r="C21058" s="6">
        <v>1296</v>
      </c>
      <c r="D21058" s="7">
        <v>83.66</v>
      </c>
      <c r="E21058" t="s">
        <v>69</v>
      </c>
    </row>
    <row r="21059" spans="1:5" x14ac:dyDescent="0.25">
      <c r="A21059" t="str">
        <f>HYPERLINK("https://www.773grp.com/globalSearch/V292BMC-40LP/page-1", "V292BMC-40LP")</f>
        <v>V292BMC-40LP</v>
      </c>
      <c r="B21059" s="3" t="s">
        <v>111</v>
      </c>
      <c r="C21059" s="6">
        <v>1274</v>
      </c>
      <c r="D21059" s="7">
        <v>102.65</v>
      </c>
      <c r="E21059" t="s">
        <v>69</v>
      </c>
    </row>
    <row r="21060" spans="1:5" x14ac:dyDescent="0.25">
      <c r="A21060" t="str">
        <f>HYPERLINK("https://www.773grp.com/globalSearch/V360EPC-33LP/page-1", "V360EPC-33LP")</f>
        <v>V360EPC-33LP</v>
      </c>
      <c r="B21060" s="3" t="s">
        <v>111</v>
      </c>
      <c r="C21060" s="6">
        <v>2</v>
      </c>
      <c r="D21060" s="7">
        <v>115.31</v>
      </c>
    </row>
    <row r="21061" spans="1:5" x14ac:dyDescent="0.25">
      <c r="A21061" t="str">
        <f>HYPERLINK("https://www.773grp.com/globalSearch/V363EPC-50LP/page-1", "V363EPC-50LP")</f>
        <v>V363EPC-50LP</v>
      </c>
      <c r="B21061" s="3" t="s">
        <v>111</v>
      </c>
      <c r="C21061" s="6">
        <v>2958</v>
      </c>
      <c r="D21061" s="7">
        <v>123.75</v>
      </c>
    </row>
    <row r="21062" spans="1:5" x14ac:dyDescent="0.25">
      <c r="A21062" t="str">
        <f>HYPERLINK("https://www.773grp.com/globalSearch/V363EPC-50LPN REV A0/page-1", "V363EPC-50LPN REV A0")</f>
        <v>V363EPC-50LPN REV A0</v>
      </c>
      <c r="B21062" s="3" t="s">
        <v>111</v>
      </c>
      <c r="C21062" s="6">
        <v>407</v>
      </c>
      <c r="D21062" s="7">
        <v>123.75</v>
      </c>
    </row>
    <row r="21063" spans="1:5" x14ac:dyDescent="0.25">
      <c r="A21063" t="str">
        <f>HYPERLINK("https://www.773grp.com/globalSearch/V320USC-75LP/page-1", "V320USC-75LP")</f>
        <v>V320USC-75LP</v>
      </c>
      <c r="B21063" s="3" t="s">
        <v>111</v>
      </c>
      <c r="C21063" s="6">
        <v>128518</v>
      </c>
      <c r="D21063" s="7">
        <v>126.56</v>
      </c>
      <c r="E21063" t="s">
        <v>56</v>
      </c>
    </row>
    <row r="21064" spans="1:5" x14ac:dyDescent="0.25">
      <c r="A21064" t="str">
        <f>HYPERLINK("https://www.773grp.com/globalSearch/V350EPC-33LP/page-1", "V350EPC-33LP")</f>
        <v>V350EPC-33LP</v>
      </c>
      <c r="B21064" s="3" t="s">
        <v>111</v>
      </c>
      <c r="C21064" s="6">
        <v>330</v>
      </c>
      <c r="D21064" s="7">
        <v>135</v>
      </c>
    </row>
    <row r="21065" spans="1:5" x14ac:dyDescent="0.25">
      <c r="A21065" t="str">
        <f>HYPERLINK("https://www.773grp.com/globalSearch/V960PBC-33LP/page-1", "V960PBC-33LP")</f>
        <v>V960PBC-33LP</v>
      </c>
      <c r="B21065" s="3" t="s">
        <v>111</v>
      </c>
      <c r="C21065" s="6">
        <v>458</v>
      </c>
      <c r="D21065" s="7">
        <v>146.25</v>
      </c>
      <c r="E21065" t="s">
        <v>56</v>
      </c>
    </row>
    <row r="21066" spans="1:5" x14ac:dyDescent="0.25">
      <c r="A21066" t="str">
        <f>HYPERLINK("https://www.773grp.com/globalSearch/V961PBC-33LP/page-1", "V961PBC-33LP")</f>
        <v>V961PBC-33LP</v>
      </c>
      <c r="B21066" s="3" t="s">
        <v>111</v>
      </c>
      <c r="C21066" s="6">
        <v>5862</v>
      </c>
      <c r="D21066" s="7">
        <v>151.88</v>
      </c>
      <c r="E21066" t="s">
        <v>56</v>
      </c>
    </row>
    <row r="21067" spans="1:5" x14ac:dyDescent="0.25">
      <c r="A21067" t="str">
        <f>HYPERLINK("https://www.773grp.com/globalSearch/V961PBC-40LP/page-1", "V961PBC-40LP")</f>
        <v>V961PBC-40LP</v>
      </c>
      <c r="B21067" s="3" t="s">
        <v>111</v>
      </c>
      <c r="C21067" s="6">
        <v>2576</v>
      </c>
      <c r="D21067" s="7">
        <v>154.69</v>
      </c>
      <c r="E21067" t="s">
        <v>56</v>
      </c>
    </row>
    <row r="21068" spans="1:5" x14ac:dyDescent="0.25">
      <c r="A21068" t="str">
        <f>HYPERLINK("https://www.773grp.com/globalSearch/V962PBC-40LP/page-1", "V962PBC-40LP")</f>
        <v>V962PBC-40LP</v>
      </c>
      <c r="B21068" s="3" t="s">
        <v>111</v>
      </c>
      <c r="C21068" s="6">
        <v>2448</v>
      </c>
      <c r="D21068" s="7">
        <v>154.69</v>
      </c>
      <c r="E21068" t="s">
        <v>56</v>
      </c>
    </row>
    <row r="21069" spans="1:5" x14ac:dyDescent="0.25">
      <c r="A21069" t="str">
        <f>HYPERLINK("https://www.773grp.com/globalSearch/QL12X16B-0CG84I  WIP/page-1", "QL12X16B-0CG84I  WIP")</f>
        <v>QL12X16B-0CG84I  WIP</v>
      </c>
      <c r="B21069" s="3" t="s">
        <v>111</v>
      </c>
      <c r="C21069" s="6">
        <v>68</v>
      </c>
      <c r="D21069" s="7">
        <v>270.70999999999998</v>
      </c>
    </row>
    <row r="21070" spans="1:5" x14ac:dyDescent="0.25">
      <c r="A21070" t="str">
        <f>HYPERLINK("https://www.773grp.com/globalSearch/QL12X16B-1CG84I  WIP/page-1", "QL12X16B-1CG84I  WIP")</f>
        <v>QL12X16B-1CG84I  WIP</v>
      </c>
      <c r="B21070" s="3" t="s">
        <v>111</v>
      </c>
      <c r="C21070" s="6">
        <v>322</v>
      </c>
      <c r="D21070" s="7">
        <v>401.58</v>
      </c>
    </row>
    <row r="21071" spans="1:5" x14ac:dyDescent="0.25">
      <c r="A21071" t="str">
        <f>HYPERLINK("https://www.773grp.com/globalSearch/QL12X16B-2CG84I  WIP/page-1", "QL12X16B-2CG84I  WIP")</f>
        <v>QL12X16B-2CG84I  WIP</v>
      </c>
      <c r="B21071" s="3" t="s">
        <v>111</v>
      </c>
      <c r="C21071" s="6">
        <v>233</v>
      </c>
      <c r="D21071" s="7">
        <v>401.58</v>
      </c>
    </row>
    <row r="21072" spans="1:5" x14ac:dyDescent="0.25">
      <c r="A21072" t="str">
        <f>HYPERLINK("https://www.773grp.com/globalSearch/5991ZQ-QS5991-7JRIZQ/page-1", "5991ZQ-QS5991-7JRIZQ")</f>
        <v>5991ZQ-QS5991-7JRIZQ</v>
      </c>
      <c r="B21072" s="3" t="s">
        <v>112</v>
      </c>
      <c r="C21072" s="6">
        <v>81</v>
      </c>
      <c r="D21072" s="7">
        <v>0</v>
      </c>
    </row>
    <row r="21073" spans="1:5" x14ac:dyDescent="0.25">
      <c r="A21073" t="str">
        <f>HYPERLINK("https://www.773grp.com/globalSearch/5992ZQ-QS5992-2JRCZQ/page-1", "5992ZQ-QS5992-2JRCZQ")</f>
        <v>5992ZQ-QS5992-2JRCZQ</v>
      </c>
      <c r="B21073" s="3" t="s">
        <v>112</v>
      </c>
      <c r="C21073" s="6">
        <v>2202</v>
      </c>
      <c r="D21073" s="7">
        <v>0</v>
      </c>
    </row>
    <row r="21074" spans="1:5" x14ac:dyDescent="0.25">
      <c r="A21074" t="str">
        <f>HYPERLINK("https://www.773grp.com/globalSearch/QS3383PM/page-1", "QS3383PM")</f>
        <v>QS3383PM</v>
      </c>
      <c r="B21074" s="3" t="s">
        <v>112</v>
      </c>
      <c r="C21074" s="6">
        <v>117</v>
      </c>
      <c r="D21074" s="7">
        <v>0</v>
      </c>
      <c r="E21074" t="s">
        <v>11</v>
      </c>
    </row>
    <row r="21075" spans="1:5" x14ac:dyDescent="0.25">
      <c r="A21075" t="str">
        <f>HYPERLINK("https://www.773grp.com/globalSearch/QS54FCT2574ATDB/page-1", "QS54FCT2574ATDB")</f>
        <v>QS54FCT2574ATDB</v>
      </c>
      <c r="B21075" s="3" t="s">
        <v>112</v>
      </c>
      <c r="C21075" s="6">
        <v>429</v>
      </c>
      <c r="D21075" s="7">
        <v>0</v>
      </c>
      <c r="E21075" t="s">
        <v>11</v>
      </c>
    </row>
    <row r="21076" spans="1:5" x14ac:dyDescent="0.25">
      <c r="A21076" t="str">
        <f>HYPERLINK("https://www.773grp.com/globalSearch/QS54FCT541TQ/page-1", "QS54FCT541TQ")</f>
        <v>QS54FCT541TQ</v>
      </c>
      <c r="B21076" s="3" t="s">
        <v>112</v>
      </c>
      <c r="C21076" s="6">
        <v>1272</v>
      </c>
      <c r="D21076" s="7">
        <v>0</v>
      </c>
      <c r="E21076" t="s">
        <v>11</v>
      </c>
    </row>
    <row r="21077" spans="1:5" x14ac:dyDescent="0.25">
      <c r="A21077" t="str">
        <f>HYPERLINK("https://www.773grp.com/globalSearch/QS54FCT574CTSO/page-1", "QS54FCT574CTSO")</f>
        <v>QS54FCT574CTSO</v>
      </c>
      <c r="B21077" s="3" t="s">
        <v>112</v>
      </c>
      <c r="C21077" s="6">
        <v>142</v>
      </c>
      <c r="D21077" s="7">
        <v>0</v>
      </c>
      <c r="E21077" t="s">
        <v>11</v>
      </c>
    </row>
    <row r="21078" spans="1:5" x14ac:dyDescent="0.25">
      <c r="A21078" t="str">
        <f>HYPERLINK("https://www.773grp.com/globalSearch/QS7201-80JRM/page-1", "QS7201-80JRM")</f>
        <v>QS7201-80JRM</v>
      </c>
      <c r="B21078" s="3" t="s">
        <v>112</v>
      </c>
      <c r="C21078" s="6">
        <v>202</v>
      </c>
      <c r="D21078" s="7">
        <v>0</v>
      </c>
    </row>
    <row r="21079" spans="1:5" x14ac:dyDescent="0.25">
      <c r="A21079" t="str">
        <f>HYPERLINK("https://www.773grp.com/globalSearch/QS7202-20JRM/page-1", "QS7202-20JRM")</f>
        <v>QS7202-20JRM</v>
      </c>
      <c r="B21079" s="3" t="s">
        <v>112</v>
      </c>
      <c r="C21079" s="6">
        <v>154</v>
      </c>
      <c r="D21079" s="7">
        <v>0</v>
      </c>
    </row>
    <row r="21080" spans="1:5" x14ac:dyDescent="0.25">
      <c r="A21080" t="str">
        <f>HYPERLINK("https://www.773grp.com/globalSearch/QS7203-12JR/page-1", "QS7203-12JR")</f>
        <v>QS7203-12JR</v>
      </c>
      <c r="B21080" s="3" t="s">
        <v>112</v>
      </c>
      <c r="C21080" s="6">
        <v>558</v>
      </c>
      <c r="D21080" s="7">
        <v>0</v>
      </c>
      <c r="E21080" t="s">
        <v>70</v>
      </c>
    </row>
    <row r="21081" spans="1:5" x14ac:dyDescent="0.25">
      <c r="A21081" t="str">
        <f>HYPERLINK("https://www.773grp.com/globalSearch/QS7206A-35J/page-1", "QS7206A-35J")</f>
        <v>QS7206A-35J</v>
      </c>
      <c r="B21081" s="3" t="s">
        <v>112</v>
      </c>
      <c r="C21081" s="6">
        <v>3</v>
      </c>
      <c r="D21081" s="7">
        <v>0</v>
      </c>
    </row>
    <row r="21082" spans="1:5" x14ac:dyDescent="0.25">
      <c r="A21082" t="str">
        <f>HYPERLINK("https://www.773grp.com/globalSearch/QS7224-30P/page-1", "QS7224-30P")</f>
        <v>QS7224-30P</v>
      </c>
      <c r="B21082" s="3" t="s">
        <v>112</v>
      </c>
      <c r="C21082" s="6">
        <v>276</v>
      </c>
      <c r="D21082" s="7">
        <v>0</v>
      </c>
      <c r="E21082" t="s">
        <v>70</v>
      </c>
    </row>
    <row r="21083" spans="1:5" x14ac:dyDescent="0.25">
      <c r="A21083" t="str">
        <f>HYPERLINK("https://www.773grp.com/globalSearch/QS74FCT16245ATQ1/page-1", "QS74FCT16245ATQ1")</f>
        <v>QS74FCT16245ATQ1</v>
      </c>
      <c r="B21083" s="3" t="s">
        <v>112</v>
      </c>
      <c r="C21083" s="6">
        <v>6938</v>
      </c>
      <c r="D21083" s="7">
        <v>0</v>
      </c>
      <c r="E21083" t="s">
        <v>11</v>
      </c>
    </row>
    <row r="21084" spans="1:5" x14ac:dyDescent="0.25">
      <c r="A21084" t="str">
        <f>HYPERLINK("https://www.773grp.com/globalSearch/QS74FCT162543TPA/page-1", "QS74FCT162543TPA")</f>
        <v>QS74FCT162543TPA</v>
      </c>
      <c r="B21084" s="3" t="s">
        <v>112</v>
      </c>
      <c r="C21084" s="6">
        <v>3748</v>
      </c>
      <c r="D21084" s="7">
        <v>0</v>
      </c>
      <c r="E21084" t="s">
        <v>11</v>
      </c>
    </row>
    <row r="21085" spans="1:5" x14ac:dyDescent="0.25">
      <c r="A21085" t="str">
        <f>HYPERLINK("https://www.773grp.com/globalSearch/QS74FCT1637ATPV/page-1", "QS74FCT1637ATPV")</f>
        <v>QS74FCT1637ATPV</v>
      </c>
      <c r="B21085" s="3" t="s">
        <v>112</v>
      </c>
      <c r="C21085" s="6">
        <v>190</v>
      </c>
      <c r="D21085" s="7">
        <v>0</v>
      </c>
    </row>
    <row r="21086" spans="1:5" x14ac:dyDescent="0.25">
      <c r="A21086" t="str">
        <f>HYPERLINK("https://www.773grp.com/globalSearch/QS74FCT163CTQX/page-1", "QS74FCT163CTQX")</f>
        <v>QS74FCT163CTQX</v>
      </c>
      <c r="B21086" s="3" t="s">
        <v>112</v>
      </c>
      <c r="C21086" s="6">
        <v>2500</v>
      </c>
      <c r="D21086" s="7">
        <v>0</v>
      </c>
    </row>
    <row r="21087" spans="1:5" x14ac:dyDescent="0.25">
      <c r="A21087" t="str">
        <f>HYPERLINK("https://www.773grp.com/globalSearch/QS74FCT191TIX/page-1", "QS74FCT191TIX")</f>
        <v>QS74FCT191TIX</v>
      </c>
      <c r="B21087" s="3" t="s">
        <v>112</v>
      </c>
      <c r="C21087" s="6">
        <v>2500</v>
      </c>
      <c r="D21087" s="7">
        <v>0</v>
      </c>
    </row>
    <row r="21088" spans="1:5" x14ac:dyDescent="0.25">
      <c r="A21088" t="str">
        <f>HYPERLINK("https://www.773grp.com/globalSearch/QS74FCT245ATSOX/page-1", "QS74FCT245ATSOX")</f>
        <v>QS74FCT245ATSOX</v>
      </c>
      <c r="B21088" s="3" t="s">
        <v>112</v>
      </c>
      <c r="C21088" s="6">
        <v>10000</v>
      </c>
      <c r="D21088" s="7">
        <v>0</v>
      </c>
    </row>
    <row r="21089" spans="1:5" x14ac:dyDescent="0.25">
      <c r="A21089" t="str">
        <f>HYPERLINK("https://www.773grp.com/globalSearch/QS74FCT2540DTQ-S247/page-1", "QS74FCT2540DTQ-S247")</f>
        <v>QS74FCT2540DTQ-S247</v>
      </c>
      <c r="B21089" s="3" t="s">
        <v>112</v>
      </c>
      <c r="C21089" s="6">
        <v>485</v>
      </c>
      <c r="D21089" s="7">
        <v>0</v>
      </c>
    </row>
    <row r="21090" spans="1:5" x14ac:dyDescent="0.25">
      <c r="A21090" t="str">
        <f>HYPERLINK("https://www.773grp.com/globalSearch/QS74FCT273DTSO/page-1", "QS74FCT273DTSO")</f>
        <v>QS74FCT273DTSO</v>
      </c>
      <c r="B21090" s="3" t="s">
        <v>112</v>
      </c>
      <c r="C21090" s="6">
        <v>72</v>
      </c>
      <c r="D21090" s="7">
        <v>0</v>
      </c>
      <c r="E21090" t="s">
        <v>31</v>
      </c>
    </row>
    <row r="21091" spans="1:5" x14ac:dyDescent="0.25">
      <c r="A21091" t="str">
        <f>HYPERLINK("https://www.773grp.com/globalSearch/QS74FCT2827ATQ/page-1", "QS74FCT2827ATQ")</f>
        <v>QS74FCT2827ATQ</v>
      </c>
      <c r="B21091" s="3" t="s">
        <v>112</v>
      </c>
      <c r="C21091" s="6">
        <v>20</v>
      </c>
      <c r="D21091" s="7">
        <v>0</v>
      </c>
      <c r="E21091" t="s">
        <v>11</v>
      </c>
    </row>
    <row r="21092" spans="1:5" x14ac:dyDescent="0.25">
      <c r="A21092" t="str">
        <f>HYPERLINK("https://www.773grp.com/globalSearch/QS74FCT2843BTZ/page-1", "QS74FCT2843BTZ")</f>
        <v>QS74FCT2843BTZ</v>
      </c>
      <c r="B21092" s="3" t="s">
        <v>112</v>
      </c>
      <c r="C21092" s="6">
        <v>568</v>
      </c>
      <c r="D21092" s="7">
        <v>0</v>
      </c>
      <c r="E21092" t="s">
        <v>11</v>
      </c>
    </row>
    <row r="21093" spans="1:5" x14ac:dyDescent="0.25">
      <c r="A21093" t="str">
        <f>HYPERLINK("https://www.773grp.com/globalSearch/QS74FCT2X2646CTQ1/page-1", "QS74FCT2X2646CTQ1")</f>
        <v>QS74FCT2X2646CTQ1</v>
      </c>
      <c r="B21093" s="3" t="s">
        <v>112</v>
      </c>
      <c r="C21093" s="6">
        <v>106</v>
      </c>
      <c r="D21093" s="7">
        <v>0</v>
      </c>
    </row>
    <row r="21094" spans="1:5" x14ac:dyDescent="0.25">
      <c r="A21094" t="str">
        <f>HYPERLINK("https://www.773grp.com/globalSearch/QS74FCT2X646CTQ1/page-1", "QS74FCT2X646CTQ1")</f>
        <v>QS74FCT2X646CTQ1</v>
      </c>
      <c r="B21094" s="3" t="s">
        <v>112</v>
      </c>
      <c r="C21094" s="6">
        <v>168</v>
      </c>
      <c r="D21094" s="7">
        <v>0</v>
      </c>
      <c r="E21094" t="s">
        <v>11</v>
      </c>
    </row>
    <row r="21095" spans="1:5" x14ac:dyDescent="0.25">
      <c r="A21095" t="str">
        <f>HYPERLINK("https://www.773grp.com/globalSearch/QS74FCT521ATQ/page-1", "QS74FCT521ATQ")</f>
        <v>QS74FCT521ATQ</v>
      </c>
      <c r="B21095" s="3" t="s">
        <v>112</v>
      </c>
      <c r="C21095" s="6">
        <v>239</v>
      </c>
      <c r="D21095" s="7">
        <v>0</v>
      </c>
      <c r="E21095" t="s">
        <v>38</v>
      </c>
    </row>
    <row r="21096" spans="1:5" x14ac:dyDescent="0.25">
      <c r="A21096" t="str">
        <f>HYPERLINK("https://www.773grp.com/globalSearch/QS74FCT540DTQ/page-1", "QS74FCT540DTQ")</f>
        <v>QS74FCT540DTQ</v>
      </c>
      <c r="B21096" s="3" t="s">
        <v>112</v>
      </c>
      <c r="C21096" s="6">
        <v>2660</v>
      </c>
      <c r="D21096" s="7">
        <v>0</v>
      </c>
      <c r="E21096" t="s">
        <v>11</v>
      </c>
    </row>
    <row r="21097" spans="1:5" x14ac:dyDescent="0.25">
      <c r="A21097" t="str">
        <f>HYPERLINK("https://www.773grp.com/globalSearch/QS74FCT845ATP/page-1", "QS74FCT845ATP")</f>
        <v>QS74FCT845ATP</v>
      </c>
      <c r="B21097" s="3" t="s">
        <v>112</v>
      </c>
      <c r="C21097" s="6">
        <v>1618</v>
      </c>
      <c r="D21097" s="7">
        <v>0</v>
      </c>
      <c r="E21097" t="s">
        <v>11</v>
      </c>
    </row>
    <row r="21098" spans="1:5" x14ac:dyDescent="0.25">
      <c r="A21098" t="str">
        <f>HYPERLINK("https://www.773grp.com/globalSearch/42244ZQ/page-1", "42244ZQ")</f>
        <v>42244ZQ</v>
      </c>
      <c r="B21098" s="3" t="s">
        <v>112</v>
      </c>
      <c r="C21098" s="6">
        <v>11670</v>
      </c>
      <c r="D21098" s="7">
        <v>2.9</v>
      </c>
    </row>
    <row r="21099" spans="1:5" x14ac:dyDescent="0.25">
      <c r="A21099" t="str">
        <f>HYPERLINK("https://www.773grp.com/globalSearch/42373ZQ/page-1", "42373ZQ")</f>
        <v>42373ZQ</v>
      </c>
      <c r="B21099" s="3" t="s">
        <v>112</v>
      </c>
      <c r="C21099" s="6">
        <v>5204</v>
      </c>
      <c r="D21099" s="7">
        <v>2.9</v>
      </c>
    </row>
    <row r="21100" spans="1:5" x14ac:dyDescent="0.25">
      <c r="A21100" t="str">
        <f>HYPERLINK("https://www.773grp.com/globalSearch/QS74FCT821ATSO/page-1", "QS74FCT821ATSO")</f>
        <v>QS74FCT821ATSO</v>
      </c>
      <c r="B21100" s="3" t="s">
        <v>112</v>
      </c>
      <c r="C21100" s="6">
        <v>646</v>
      </c>
      <c r="D21100" s="7">
        <v>2.9</v>
      </c>
      <c r="E21100" t="s">
        <v>11</v>
      </c>
    </row>
    <row r="21101" spans="1:5" x14ac:dyDescent="0.25">
      <c r="A21101" t="str">
        <f>HYPERLINK("https://www.773grp.com/globalSearch/QS74FCT2157ATP/page-1", "QS74FCT2157ATP")</f>
        <v>QS74FCT2157ATP</v>
      </c>
      <c r="B21101" s="3" t="s">
        <v>112</v>
      </c>
      <c r="C21101" s="6">
        <v>739</v>
      </c>
      <c r="D21101" s="7">
        <v>2.81</v>
      </c>
      <c r="E21101" t="s">
        <v>16</v>
      </c>
    </row>
    <row r="21102" spans="1:5" x14ac:dyDescent="0.25">
      <c r="A21102" t="str">
        <f>HYPERLINK("https://www.773grp.com/globalSearch/QS74FCT2240CTSO/page-1", "QS74FCT2240CTSO")</f>
        <v>QS74FCT2240CTSO</v>
      </c>
      <c r="B21102" s="3" t="s">
        <v>112</v>
      </c>
      <c r="C21102" s="6">
        <v>310</v>
      </c>
      <c r="D21102" s="7">
        <v>2.9</v>
      </c>
      <c r="E21102" t="s">
        <v>11</v>
      </c>
    </row>
    <row r="21103" spans="1:5" x14ac:dyDescent="0.25">
      <c r="A21103" t="str">
        <f>HYPERLINK("https://www.773grp.com/globalSearch/QS74FCT2534TS0/page-1", "QS74FCT2534TS0")</f>
        <v>QS74FCT2534TS0</v>
      </c>
      <c r="B21103" s="3" t="s">
        <v>112</v>
      </c>
      <c r="C21103" s="6">
        <v>2108</v>
      </c>
      <c r="D21103" s="7">
        <v>2.9</v>
      </c>
    </row>
    <row r="21104" spans="1:5" x14ac:dyDescent="0.25">
      <c r="A21104" t="str">
        <f>HYPERLINK("https://www.773grp.com/globalSearch/QS74FCT2652ATS0/page-1", "QS74FCT2652ATS0")</f>
        <v>QS74FCT2652ATS0</v>
      </c>
      <c r="B21104" s="3" t="s">
        <v>112</v>
      </c>
      <c r="C21104" s="6">
        <v>2880</v>
      </c>
      <c r="D21104" s="7">
        <v>2.9</v>
      </c>
    </row>
    <row r="21105" spans="1:5" x14ac:dyDescent="0.25">
      <c r="A21105" t="str">
        <f>HYPERLINK("https://www.773grp.com/globalSearch/QS74FCT2652ATS0X/page-1", "QS74FCT2652ATS0X")</f>
        <v>QS74FCT2652ATS0X</v>
      </c>
      <c r="B21105" s="3" t="s">
        <v>112</v>
      </c>
      <c r="C21105" s="6">
        <v>1000</v>
      </c>
      <c r="D21105" s="7">
        <v>2.9</v>
      </c>
    </row>
    <row r="21106" spans="1:5" x14ac:dyDescent="0.25">
      <c r="A21106" t="str">
        <f>HYPERLINK("https://www.773grp.com/globalSearch/QS74FCT543ATSO/page-1", "QS74FCT543ATSO")</f>
        <v>QS74FCT543ATSO</v>
      </c>
      <c r="B21106" s="3" t="s">
        <v>112</v>
      </c>
      <c r="C21106" s="6">
        <v>3680</v>
      </c>
      <c r="D21106" s="7">
        <v>2.9</v>
      </c>
      <c r="E21106" t="s">
        <v>11</v>
      </c>
    </row>
    <row r="21107" spans="1:5" x14ac:dyDescent="0.25">
      <c r="A21107" t="str">
        <f>HYPERLINK("https://www.773grp.com/globalSearch/QS74FCT543TS0/page-1", "QS74FCT543TS0")</f>
        <v>QS74FCT543TS0</v>
      </c>
      <c r="B21107" s="3" t="s">
        <v>112</v>
      </c>
      <c r="C21107" s="6">
        <v>3000</v>
      </c>
      <c r="D21107" s="7">
        <v>2.9</v>
      </c>
    </row>
    <row r="21108" spans="1:5" x14ac:dyDescent="0.25">
      <c r="A21108" t="str">
        <f>HYPERLINK("https://www.773grp.com/globalSearch/QS74FCT825BTQ/page-1", "QS74FCT825BTQ")</f>
        <v>QS74FCT825BTQ</v>
      </c>
      <c r="B21108" s="3" t="s">
        <v>112</v>
      </c>
      <c r="C21108" s="6">
        <v>14719</v>
      </c>
      <c r="D21108" s="7">
        <v>2.9</v>
      </c>
      <c r="E21108" t="s">
        <v>11</v>
      </c>
    </row>
    <row r="21109" spans="1:5" x14ac:dyDescent="0.25">
      <c r="A21109" t="str">
        <f>HYPERLINK("https://www.773grp.com/globalSearch/QS74FCT841ATP/page-1", "QS74FCT841ATP")</f>
        <v>QS74FCT841ATP</v>
      </c>
      <c r="B21109" s="3" t="s">
        <v>112</v>
      </c>
      <c r="C21109" s="6">
        <v>1892</v>
      </c>
      <c r="D21109" s="7">
        <v>2.9</v>
      </c>
      <c r="E21109" t="s">
        <v>11</v>
      </c>
    </row>
    <row r="21110" spans="1:5" x14ac:dyDescent="0.25">
      <c r="A21110" t="str">
        <f>HYPERLINK("https://www.773grp.com/globalSearch/QS54FCT2244ATSO/page-1", "QS54FCT2244ATSO")</f>
        <v>QS54FCT2244ATSO</v>
      </c>
      <c r="B21110" s="3" t="s">
        <v>112</v>
      </c>
      <c r="C21110" s="6">
        <v>65</v>
      </c>
      <c r="D21110" s="7">
        <v>2.93</v>
      </c>
      <c r="E21110" t="s">
        <v>11</v>
      </c>
    </row>
    <row r="21111" spans="1:5" x14ac:dyDescent="0.25">
      <c r="A21111" t="str">
        <f>HYPERLINK("https://www.773grp.com/globalSearch/QS54FCT245ATSO/page-1", "QS54FCT245ATSO")</f>
        <v>QS54FCT245ATSO</v>
      </c>
      <c r="B21111" s="3" t="s">
        <v>112</v>
      </c>
      <c r="C21111" s="6">
        <v>61</v>
      </c>
      <c r="D21111" s="7">
        <v>2.93</v>
      </c>
      <c r="E21111" t="s">
        <v>11</v>
      </c>
    </row>
    <row r="21112" spans="1:5" x14ac:dyDescent="0.25">
      <c r="A21112" t="str">
        <f>HYPERLINK("https://www.773grp.com/globalSearch/QS54FCT245TQ/page-1", "QS54FCT245TQ")</f>
        <v>QS54FCT245TQ</v>
      </c>
      <c r="B21112" s="3" t="s">
        <v>112</v>
      </c>
      <c r="C21112" s="6">
        <v>396</v>
      </c>
      <c r="D21112" s="7">
        <v>2.93</v>
      </c>
      <c r="E21112" t="s">
        <v>11</v>
      </c>
    </row>
    <row r="21113" spans="1:5" x14ac:dyDescent="0.25">
      <c r="A21113" t="str">
        <f>HYPERLINK("https://www.773grp.com/globalSearch/QS74FCT2377TSO/page-1", "QS74FCT2377TSO")</f>
        <v>QS74FCT2377TSO</v>
      </c>
      <c r="B21113" s="3" t="s">
        <v>112</v>
      </c>
      <c r="C21113" s="6">
        <v>764</v>
      </c>
      <c r="D21113" s="7">
        <v>2.93</v>
      </c>
      <c r="E21113" t="s">
        <v>31</v>
      </c>
    </row>
    <row r="21114" spans="1:5" x14ac:dyDescent="0.25">
      <c r="A21114" t="str">
        <f>HYPERLINK("https://www.773grp.com/globalSearch/QS74FCT3573SO/page-1", "QS74FCT3573SO")</f>
        <v>QS74FCT3573SO</v>
      </c>
      <c r="B21114" s="3" t="s">
        <v>112</v>
      </c>
      <c r="C21114" s="6">
        <v>476535</v>
      </c>
      <c r="D21114" s="7">
        <v>2.93</v>
      </c>
      <c r="E21114" t="s">
        <v>11</v>
      </c>
    </row>
    <row r="21115" spans="1:5" x14ac:dyDescent="0.25">
      <c r="A21115" t="str">
        <f>HYPERLINK("https://www.773grp.com/globalSearch/QS74FCT573TSOX/page-1", "QS74FCT573TSOX")</f>
        <v>QS74FCT573TSOX</v>
      </c>
      <c r="B21115" s="3" t="s">
        <v>112</v>
      </c>
      <c r="C21115" s="6">
        <v>18000</v>
      </c>
      <c r="D21115" s="7">
        <v>2.93</v>
      </c>
    </row>
    <row r="21116" spans="1:5" x14ac:dyDescent="0.25">
      <c r="A21116" t="str">
        <f>HYPERLINK("https://www.773grp.com/globalSearch/QS74FCT2540TQ/page-1", "QS74FCT2540TQ")</f>
        <v>QS74FCT2540TQ</v>
      </c>
      <c r="B21116" s="3" t="s">
        <v>112</v>
      </c>
      <c r="C21116" s="6">
        <v>285</v>
      </c>
      <c r="D21116" s="7">
        <v>2.99</v>
      </c>
      <c r="E21116" t="s">
        <v>11</v>
      </c>
    </row>
    <row r="21117" spans="1:5" x14ac:dyDescent="0.25">
      <c r="A21117" t="str">
        <f>HYPERLINK("https://www.773grp.com/globalSearch/QS74FCT2543ATSOX/page-1", "QS74FCT2543ATSOX")</f>
        <v>QS74FCT2543ATSOX</v>
      </c>
      <c r="B21117" s="3" t="s">
        <v>112</v>
      </c>
      <c r="C21117" s="6">
        <v>2000</v>
      </c>
      <c r="D21117" s="7">
        <v>3.04</v>
      </c>
    </row>
    <row r="21118" spans="1:5" x14ac:dyDescent="0.25">
      <c r="A21118" t="str">
        <f>HYPERLINK("https://www.773grp.com/globalSearch/QS74FCT652TSOX/page-1", "QS74FCT652TSOX")</f>
        <v>QS74FCT652TSOX</v>
      </c>
      <c r="B21118" s="3" t="s">
        <v>112</v>
      </c>
      <c r="C21118" s="6">
        <v>23000</v>
      </c>
      <c r="D21118" s="7">
        <v>3.04</v>
      </c>
    </row>
    <row r="21119" spans="1:5" x14ac:dyDescent="0.25">
      <c r="A21119" t="str">
        <f>HYPERLINK("https://www.773grp.com/globalSearch/QS74FCT2241ATP/page-1", "QS74FCT2241ATP")</f>
        <v>QS74FCT2241ATP</v>
      </c>
      <c r="B21119" s="3" t="s">
        <v>112</v>
      </c>
      <c r="C21119" s="6">
        <v>36</v>
      </c>
      <c r="D21119" s="7">
        <v>3.43</v>
      </c>
      <c r="E21119" t="s">
        <v>11</v>
      </c>
    </row>
    <row r="21120" spans="1:5" x14ac:dyDescent="0.25">
      <c r="A21120" t="str">
        <f>HYPERLINK("https://www.773grp.com/globalSearch/QS74FCT2241CTP/page-1", "QS74FCT2241CTP")</f>
        <v>QS74FCT2241CTP</v>
      </c>
      <c r="B21120" s="3" t="s">
        <v>112</v>
      </c>
      <c r="C21120" s="6">
        <v>43</v>
      </c>
      <c r="D21120" s="7">
        <v>3.43</v>
      </c>
      <c r="E21120" t="s">
        <v>11</v>
      </c>
    </row>
    <row r="21121" spans="1:5" x14ac:dyDescent="0.25">
      <c r="A21121" t="str">
        <f>HYPERLINK("https://www.773grp.com/globalSearch/QS3389SO/page-1", "QS3389SO")</f>
        <v>QS3389SO</v>
      </c>
      <c r="B21121" s="3" t="s">
        <v>112</v>
      </c>
      <c r="C21121" s="6">
        <v>3958</v>
      </c>
      <c r="D21121" s="7">
        <v>3.09</v>
      </c>
      <c r="E21121" t="s">
        <v>20</v>
      </c>
    </row>
    <row r="21122" spans="1:5" x14ac:dyDescent="0.25">
      <c r="A21122" t="str">
        <f>HYPERLINK("https://www.773grp.com/globalSearch/QS29FCT52ATS0/page-1", "QS29FCT52ATS0")</f>
        <v>QS29FCT52ATS0</v>
      </c>
      <c r="B21122" s="3" t="s">
        <v>112</v>
      </c>
      <c r="C21122" s="6">
        <v>155</v>
      </c>
      <c r="D21122" s="7">
        <v>3.13</v>
      </c>
    </row>
    <row r="21123" spans="1:5" x14ac:dyDescent="0.25">
      <c r="A21123" t="str">
        <f>HYPERLINK("https://www.773grp.com/globalSearch/QS29FCT52ATSO/page-1", "QS29FCT52ATSO")</f>
        <v>QS29FCT52ATSO</v>
      </c>
      <c r="B21123" s="3" t="s">
        <v>112</v>
      </c>
      <c r="C21123" s="6">
        <v>4413</v>
      </c>
      <c r="D21123" s="7">
        <v>3.13</v>
      </c>
      <c r="E21123" t="s">
        <v>11</v>
      </c>
    </row>
    <row r="21124" spans="1:5" x14ac:dyDescent="0.25">
      <c r="A21124" t="str">
        <f>HYPERLINK("https://www.773grp.com/globalSearch/QS29FCT52BTSO/page-1", "QS29FCT52BTSO")</f>
        <v>QS29FCT52BTSO</v>
      </c>
      <c r="B21124" s="3" t="s">
        <v>112</v>
      </c>
      <c r="C21124" s="6">
        <v>165</v>
      </c>
      <c r="D21124" s="7">
        <v>3.13</v>
      </c>
      <c r="E21124" t="s">
        <v>11</v>
      </c>
    </row>
    <row r="21125" spans="1:5" x14ac:dyDescent="0.25">
      <c r="A21125" t="str">
        <f>HYPERLINK("https://www.773grp.com/globalSearch/QS29FCT53ATSO/page-1", "QS29FCT53ATSO")</f>
        <v>QS29FCT53ATSO</v>
      </c>
      <c r="B21125" s="3" t="s">
        <v>112</v>
      </c>
      <c r="C21125" s="6">
        <v>662</v>
      </c>
      <c r="D21125" s="7">
        <v>3.13</v>
      </c>
      <c r="E21125" t="s">
        <v>11</v>
      </c>
    </row>
    <row r="21126" spans="1:5" x14ac:dyDescent="0.25">
      <c r="A21126" t="str">
        <f>HYPERLINK("https://www.773grp.com/globalSearch/QS29FCT53BTSO/page-1", "QS29FCT53BTSO")</f>
        <v>QS29FCT53BTSO</v>
      </c>
      <c r="B21126" s="3" t="s">
        <v>112</v>
      </c>
      <c r="C21126" s="6">
        <v>876</v>
      </c>
      <c r="D21126" s="7">
        <v>3.13</v>
      </c>
      <c r="E21126" t="s">
        <v>11</v>
      </c>
    </row>
    <row r="21127" spans="1:5" x14ac:dyDescent="0.25">
      <c r="A21127" t="str">
        <f>HYPERLINK("https://www.773grp.com/globalSearch/QS74FCT823ATP/page-1", "QS74FCT823ATP")</f>
        <v>QS74FCT823ATP</v>
      </c>
      <c r="B21127" s="3" t="s">
        <v>112</v>
      </c>
      <c r="C21127" s="6">
        <v>676</v>
      </c>
      <c r="D21127" s="7">
        <v>3.21</v>
      </c>
      <c r="E21127" t="s">
        <v>11</v>
      </c>
    </row>
    <row r="21128" spans="1:5" x14ac:dyDescent="0.25">
      <c r="A21128" t="str">
        <f>HYPERLINK("https://www.773grp.com/globalSearch/QS74FCT151ATS1/page-1", "QS74FCT151ATS1")</f>
        <v>QS74FCT151ATS1</v>
      </c>
      <c r="B21128" s="3" t="s">
        <v>112</v>
      </c>
      <c r="C21128" s="6">
        <v>253</v>
      </c>
      <c r="D21128" s="7">
        <v>3.24</v>
      </c>
      <c r="E21128" t="s">
        <v>16</v>
      </c>
    </row>
    <row r="21129" spans="1:5" x14ac:dyDescent="0.25">
      <c r="A21129" t="str">
        <f>HYPERLINK("https://www.773grp.com/globalSearch/QS74FCT2151ATS1/page-1", "QS74FCT2151ATS1")</f>
        <v>QS74FCT2151ATS1</v>
      </c>
      <c r="B21129" s="3" t="s">
        <v>112</v>
      </c>
      <c r="C21129" s="6">
        <v>5702</v>
      </c>
      <c r="D21129" s="7">
        <v>3.24</v>
      </c>
      <c r="E21129" t="s">
        <v>16</v>
      </c>
    </row>
    <row r="21130" spans="1:5" x14ac:dyDescent="0.25">
      <c r="A21130" t="str">
        <f>HYPERLINK("https://www.773grp.com/globalSearch/QS74FCT2153ATS1/page-1", "QS74FCT2153ATS1")</f>
        <v>QS74FCT2153ATS1</v>
      </c>
      <c r="B21130" s="3" t="s">
        <v>112</v>
      </c>
      <c r="C21130" s="6">
        <v>1019</v>
      </c>
      <c r="D21130" s="7">
        <v>3.24</v>
      </c>
      <c r="E21130" t="s">
        <v>16</v>
      </c>
    </row>
    <row r="21131" spans="1:5" x14ac:dyDescent="0.25">
      <c r="A21131" t="str">
        <f>HYPERLINK("https://www.773grp.com/globalSearch/QS74FCT2153TS1/page-1", "QS74FCT2153TS1")</f>
        <v>QS74FCT2153TS1</v>
      </c>
      <c r="B21131" s="3" t="s">
        <v>112</v>
      </c>
      <c r="C21131" s="6">
        <v>561</v>
      </c>
      <c r="D21131" s="7">
        <v>3.24</v>
      </c>
      <c r="E21131" t="s">
        <v>16</v>
      </c>
    </row>
    <row r="21132" spans="1:5" x14ac:dyDescent="0.25">
      <c r="A21132" t="str">
        <f>HYPERLINK("https://www.773grp.com/globalSearch/QS74FCT373TQ/page-1", "QS74FCT373TQ")</f>
        <v>QS74FCT373TQ</v>
      </c>
      <c r="B21132" s="3" t="s">
        <v>112</v>
      </c>
      <c r="C21132" s="6">
        <v>1053</v>
      </c>
      <c r="D21132" s="7">
        <v>3.24</v>
      </c>
      <c r="E21132" t="s">
        <v>11</v>
      </c>
    </row>
    <row r="21133" spans="1:5" x14ac:dyDescent="0.25">
      <c r="A21133" t="str">
        <f>HYPERLINK("https://www.773grp.com/globalSearch/QS29FCT52ATSOX/page-1", "QS29FCT52ATSOX")</f>
        <v>QS29FCT52ATSOX</v>
      </c>
      <c r="B21133" s="3" t="s">
        <v>112</v>
      </c>
      <c r="C21133" s="6">
        <v>8000</v>
      </c>
      <c r="D21133" s="7">
        <v>3.26</v>
      </c>
    </row>
    <row r="21134" spans="1:5" x14ac:dyDescent="0.25">
      <c r="A21134" t="str">
        <f>HYPERLINK("https://www.773grp.com/globalSearch/QS29FCT53BTSOX/page-1", "QS29FCT53BTSOX")</f>
        <v>QS29FCT53BTSOX</v>
      </c>
      <c r="B21134" s="3" t="s">
        <v>112</v>
      </c>
      <c r="C21134" s="6">
        <v>1000</v>
      </c>
      <c r="D21134" s="7">
        <v>3.26</v>
      </c>
    </row>
    <row r="21135" spans="1:5" x14ac:dyDescent="0.25">
      <c r="A21135" t="str">
        <f>HYPERLINK("https://www.773grp.com/globalSearch/QS74FCT240ATSOX/page-1", "QS74FCT240ATSOX")</f>
        <v>QS74FCT240ATSOX</v>
      </c>
      <c r="B21135" s="3" t="s">
        <v>112</v>
      </c>
      <c r="C21135" s="6">
        <v>1000</v>
      </c>
      <c r="D21135" s="7">
        <v>3.26</v>
      </c>
    </row>
    <row r="21136" spans="1:5" x14ac:dyDescent="0.25">
      <c r="A21136" t="str">
        <f>HYPERLINK("https://www.773grp.com/globalSearch/QS54FCT540CTS0/page-1", "QS54FCT540CTS0")</f>
        <v>QS54FCT540CTS0</v>
      </c>
      <c r="B21136" s="3" t="s">
        <v>112</v>
      </c>
      <c r="C21136" s="6">
        <v>279</v>
      </c>
      <c r="D21136" s="7">
        <v>3.29</v>
      </c>
    </row>
    <row r="21137" spans="1:5" x14ac:dyDescent="0.25">
      <c r="A21137" t="str">
        <f>HYPERLINK("https://www.773grp.com/globalSearch/QS54FCT841TQ/page-1", "QS54FCT841TQ")</f>
        <v>QS54FCT841TQ</v>
      </c>
      <c r="B21137" s="3" t="s">
        <v>112</v>
      </c>
      <c r="C21137" s="6">
        <v>185</v>
      </c>
      <c r="D21137" s="7">
        <v>3.29</v>
      </c>
    </row>
    <row r="21138" spans="1:5" x14ac:dyDescent="0.25">
      <c r="A21138" t="str">
        <f>HYPERLINK("https://www.773grp.com/globalSearch/QS32244P/page-1", "QS32244P")</f>
        <v>QS32244P</v>
      </c>
      <c r="B21138" s="3" t="s">
        <v>112</v>
      </c>
      <c r="C21138" s="6">
        <v>1091</v>
      </c>
      <c r="D21138" s="7">
        <v>3.65</v>
      </c>
      <c r="E21138" t="s">
        <v>11</v>
      </c>
    </row>
    <row r="21139" spans="1:5" x14ac:dyDescent="0.25">
      <c r="A21139" t="str">
        <f>HYPERLINK("https://www.773grp.com/globalSearch/QS74FCT2240ATSO/page-1", "QS74FCT2240ATSO")</f>
        <v>QS74FCT2240ATSO</v>
      </c>
      <c r="B21139" s="3" t="s">
        <v>112</v>
      </c>
      <c r="C21139" s="6">
        <v>233</v>
      </c>
      <c r="D21139" s="7">
        <v>3.65</v>
      </c>
      <c r="E21139" t="s">
        <v>11</v>
      </c>
    </row>
    <row r="21140" spans="1:5" x14ac:dyDescent="0.25">
      <c r="A21140" t="str">
        <f>HYPERLINK("https://www.773grp.com/globalSearch/QS74FCT2244ATQ/page-1", "QS74FCT2244ATQ")</f>
        <v>QS74FCT2244ATQ</v>
      </c>
      <c r="B21140" s="3" t="s">
        <v>112</v>
      </c>
      <c r="C21140" s="6">
        <v>90</v>
      </c>
      <c r="D21140" s="7">
        <v>3.65</v>
      </c>
      <c r="E21140" t="s">
        <v>11</v>
      </c>
    </row>
    <row r="21141" spans="1:5" x14ac:dyDescent="0.25">
      <c r="A21141" t="str">
        <f>HYPERLINK("https://www.773grp.com/globalSearch/QS74FCT2244TS0/page-1", "QS74FCT2244TS0")</f>
        <v>QS74FCT2244TS0</v>
      </c>
      <c r="B21141" s="3" t="s">
        <v>112</v>
      </c>
      <c r="C21141" s="6">
        <v>119</v>
      </c>
      <c r="D21141" s="7">
        <v>3.65</v>
      </c>
    </row>
    <row r="21142" spans="1:5" x14ac:dyDescent="0.25">
      <c r="A21142" t="str">
        <f>HYPERLINK("https://www.773grp.com/globalSearch/QS74FCT2244TSO/page-1", "QS74FCT2244TSO")</f>
        <v>QS74FCT2244TSO</v>
      </c>
      <c r="B21142" s="3" t="s">
        <v>112</v>
      </c>
      <c r="C21142" s="6">
        <v>187</v>
      </c>
      <c r="D21142" s="7">
        <v>3.65</v>
      </c>
      <c r="E21142" t="s">
        <v>11</v>
      </c>
    </row>
    <row r="21143" spans="1:5" x14ac:dyDescent="0.25">
      <c r="A21143" t="str">
        <f>HYPERLINK("https://www.773grp.com/globalSearch/QS74FCT2245ATS0/page-1", "QS74FCT2245ATS0")</f>
        <v>QS74FCT2245ATS0</v>
      </c>
      <c r="B21143" s="3" t="s">
        <v>112</v>
      </c>
      <c r="C21143" s="6">
        <v>58</v>
      </c>
      <c r="D21143" s="7">
        <v>3.65</v>
      </c>
    </row>
    <row r="21144" spans="1:5" x14ac:dyDescent="0.25">
      <c r="A21144" t="str">
        <f>HYPERLINK("https://www.773grp.com/globalSearch/QS74FCT2245ATSO/page-1", "QS74FCT2245ATSO")</f>
        <v>QS74FCT2245ATSO</v>
      </c>
      <c r="B21144" s="3" t="s">
        <v>112</v>
      </c>
      <c r="C21144" s="6">
        <v>284</v>
      </c>
      <c r="D21144" s="7">
        <v>3.65</v>
      </c>
      <c r="E21144" t="s">
        <v>11</v>
      </c>
    </row>
    <row r="21145" spans="1:5" x14ac:dyDescent="0.25">
      <c r="A21145" t="str">
        <f>HYPERLINK("https://www.773grp.com/globalSearch/QS74FCT2245CTSO/page-1", "QS74FCT2245CTSO")</f>
        <v>QS74FCT2245CTSO</v>
      </c>
      <c r="B21145" s="3" t="s">
        <v>112</v>
      </c>
      <c r="C21145" s="6">
        <v>334</v>
      </c>
      <c r="D21145" s="7">
        <v>3.65</v>
      </c>
      <c r="E21145" t="s">
        <v>11</v>
      </c>
    </row>
    <row r="21146" spans="1:5" x14ac:dyDescent="0.25">
      <c r="A21146" t="str">
        <f>HYPERLINK("https://www.773grp.com/globalSearch/QS74FCT2245TP/page-1", "QS74FCT2245TP")</f>
        <v>QS74FCT2245TP</v>
      </c>
      <c r="B21146" s="3" t="s">
        <v>112</v>
      </c>
      <c r="C21146" s="6">
        <v>1825</v>
      </c>
      <c r="D21146" s="7">
        <v>3.65</v>
      </c>
      <c r="E21146" t="s">
        <v>11</v>
      </c>
    </row>
    <row r="21147" spans="1:5" x14ac:dyDescent="0.25">
      <c r="A21147" t="str">
        <f>HYPERLINK("https://www.773grp.com/globalSearch/QS74FCT2273TSO/page-1", "QS74FCT2273TSO")</f>
        <v>QS74FCT2273TSO</v>
      </c>
      <c r="B21147" s="3" t="s">
        <v>112</v>
      </c>
      <c r="C21147" s="6">
        <v>246</v>
      </c>
      <c r="D21147" s="7">
        <v>3.65</v>
      </c>
      <c r="E21147" t="s">
        <v>31</v>
      </c>
    </row>
    <row r="21148" spans="1:5" x14ac:dyDescent="0.25">
      <c r="A21148" t="str">
        <f>HYPERLINK("https://www.773grp.com/globalSearch/QS74FCT2373ATQ/page-1", "QS74FCT2373ATQ")</f>
        <v>QS74FCT2373ATQ</v>
      </c>
      <c r="B21148" s="3" t="s">
        <v>112</v>
      </c>
      <c r="C21148" s="6">
        <v>573</v>
      </c>
      <c r="D21148" s="7">
        <v>3.65</v>
      </c>
      <c r="E21148" t="s">
        <v>11</v>
      </c>
    </row>
    <row r="21149" spans="1:5" x14ac:dyDescent="0.25">
      <c r="A21149" t="str">
        <f>HYPERLINK("https://www.773grp.com/globalSearch/QS74FCT2373ATS0/page-1", "QS74FCT2373ATS0")</f>
        <v>QS74FCT2373ATS0</v>
      </c>
      <c r="B21149" s="3" t="s">
        <v>112</v>
      </c>
      <c r="C21149" s="6">
        <v>583</v>
      </c>
      <c r="D21149" s="7">
        <v>3.65</v>
      </c>
    </row>
    <row r="21150" spans="1:5" x14ac:dyDescent="0.25">
      <c r="A21150" t="str">
        <f>HYPERLINK("https://www.773grp.com/globalSearch/QS74FCT2373ATSO/page-1", "QS74FCT2373ATSO")</f>
        <v>QS74FCT2373ATSO</v>
      </c>
      <c r="B21150" s="3" t="s">
        <v>112</v>
      </c>
      <c r="C21150" s="6">
        <v>4396</v>
      </c>
      <c r="D21150" s="7">
        <v>3.65</v>
      </c>
      <c r="E21150" t="s">
        <v>11</v>
      </c>
    </row>
    <row r="21151" spans="1:5" x14ac:dyDescent="0.25">
      <c r="A21151" t="str">
        <f>HYPERLINK("https://www.773grp.com/globalSearch/QS74FCT2373TS0/page-1", "QS74FCT2373TS0")</f>
        <v>QS74FCT2373TS0</v>
      </c>
      <c r="B21151" s="3" t="s">
        <v>112</v>
      </c>
      <c r="C21151" s="6">
        <v>502</v>
      </c>
      <c r="D21151" s="7">
        <v>3.65</v>
      </c>
    </row>
    <row r="21152" spans="1:5" x14ac:dyDescent="0.25">
      <c r="A21152" t="str">
        <f>HYPERLINK("https://www.773grp.com/globalSearch/QS74FCT2373TSO/page-1", "QS74FCT2373TSO")</f>
        <v>QS74FCT2373TSO</v>
      </c>
      <c r="B21152" s="3" t="s">
        <v>112</v>
      </c>
      <c r="C21152" s="6">
        <v>2425</v>
      </c>
      <c r="D21152" s="7">
        <v>3.65</v>
      </c>
      <c r="E21152" t="s">
        <v>11</v>
      </c>
    </row>
    <row r="21153" spans="1:5" x14ac:dyDescent="0.25">
      <c r="A21153" t="str">
        <f>HYPERLINK("https://www.773grp.com/globalSearch/QS74FCT245ATSO/page-1", "QS74FCT245ATSO")</f>
        <v>QS74FCT245ATSO</v>
      </c>
      <c r="B21153" s="3" t="s">
        <v>112</v>
      </c>
      <c r="C21153" s="6">
        <v>756</v>
      </c>
      <c r="D21153" s="7">
        <v>3.65</v>
      </c>
      <c r="E21153" t="s">
        <v>11</v>
      </c>
    </row>
    <row r="21154" spans="1:5" x14ac:dyDescent="0.25">
      <c r="A21154" t="str">
        <f>HYPERLINK("https://www.773grp.com/globalSearch/QS74FCT245CTSO/page-1", "QS74FCT245CTSO")</f>
        <v>QS74FCT245CTSO</v>
      </c>
      <c r="B21154" s="3" t="s">
        <v>112</v>
      </c>
      <c r="C21154" s="6">
        <v>286</v>
      </c>
      <c r="D21154" s="7">
        <v>3.65</v>
      </c>
      <c r="E21154" t="s">
        <v>11</v>
      </c>
    </row>
    <row r="21155" spans="1:5" x14ac:dyDescent="0.25">
      <c r="A21155" t="str">
        <f>HYPERLINK("https://www.773grp.com/globalSearch/QS74FCT245TSO/page-1", "QS74FCT245TSO")</f>
        <v>QS74FCT245TSO</v>
      </c>
      <c r="B21155" s="3" t="s">
        <v>112</v>
      </c>
      <c r="C21155" s="6">
        <v>2445</v>
      </c>
      <c r="D21155" s="7">
        <v>3.65</v>
      </c>
      <c r="E21155" t="s">
        <v>11</v>
      </c>
    </row>
    <row r="21156" spans="1:5" x14ac:dyDescent="0.25">
      <c r="A21156" t="str">
        <f>HYPERLINK("https://www.773grp.com/globalSearch/QS74FCT2541TQ/page-1", "QS74FCT2541TQ")</f>
        <v>QS74FCT2541TQ</v>
      </c>
      <c r="B21156" s="3" t="s">
        <v>112</v>
      </c>
      <c r="C21156" s="6">
        <v>718</v>
      </c>
      <c r="D21156" s="7">
        <v>3.65</v>
      </c>
      <c r="E21156" t="s">
        <v>11</v>
      </c>
    </row>
    <row r="21157" spans="1:5" x14ac:dyDescent="0.25">
      <c r="A21157" t="str">
        <f>HYPERLINK("https://www.773grp.com/globalSearch/QS74FCT2573ATQ/page-1", "QS74FCT2573ATQ")</f>
        <v>QS74FCT2573ATQ</v>
      </c>
      <c r="B21157" s="3" t="s">
        <v>112</v>
      </c>
      <c r="C21157" s="6">
        <v>2</v>
      </c>
      <c r="D21157" s="7">
        <v>3.65</v>
      </c>
      <c r="E21157" t="s">
        <v>11</v>
      </c>
    </row>
    <row r="21158" spans="1:5" x14ac:dyDescent="0.25">
      <c r="A21158" t="str">
        <f>HYPERLINK("https://www.773grp.com/globalSearch/QS74FCT3245ASO/page-1", "QS74FCT3245ASO")</f>
        <v>QS74FCT3245ASO</v>
      </c>
      <c r="B21158" s="3" t="s">
        <v>112</v>
      </c>
      <c r="C21158" s="6">
        <v>1974</v>
      </c>
      <c r="D21158" s="7">
        <v>3.65</v>
      </c>
      <c r="E21158" t="s">
        <v>11</v>
      </c>
    </row>
    <row r="21159" spans="1:5" x14ac:dyDescent="0.25">
      <c r="A21159" t="str">
        <f>HYPERLINK("https://www.773grp.com/globalSearch/QS74FCT3245S0/page-1", "QS74FCT3245S0")</f>
        <v>QS74FCT3245S0</v>
      </c>
      <c r="B21159" s="3" t="s">
        <v>112</v>
      </c>
      <c r="C21159" s="6">
        <v>601</v>
      </c>
      <c r="D21159" s="7">
        <v>3.65</v>
      </c>
    </row>
    <row r="21160" spans="1:5" x14ac:dyDescent="0.25">
      <c r="A21160" t="str">
        <f>HYPERLINK("https://www.773grp.com/globalSearch/QS74FCT3245SO/page-1", "QS74FCT3245SO")</f>
        <v>QS74FCT3245SO</v>
      </c>
      <c r="B21160" s="3" t="s">
        <v>112</v>
      </c>
      <c r="C21160" s="6">
        <v>672</v>
      </c>
      <c r="D21160" s="7">
        <v>3.65</v>
      </c>
      <c r="E21160" t="s">
        <v>11</v>
      </c>
    </row>
    <row r="21161" spans="1:5" x14ac:dyDescent="0.25">
      <c r="A21161" t="str">
        <f>HYPERLINK("https://www.773grp.com/globalSearch/QS74FCT3373S0/page-1", "QS74FCT3373S0")</f>
        <v>QS74FCT3373S0</v>
      </c>
      <c r="B21161" s="3" t="s">
        <v>112</v>
      </c>
      <c r="C21161" s="6">
        <v>1137</v>
      </c>
      <c r="D21161" s="7">
        <v>3.65</v>
      </c>
    </row>
    <row r="21162" spans="1:5" x14ac:dyDescent="0.25">
      <c r="A21162" t="str">
        <f>HYPERLINK("https://www.773grp.com/globalSearch/QS74FCT373TP/page-1", "QS74FCT373TP")</f>
        <v>QS74FCT373TP</v>
      </c>
      <c r="B21162" s="3" t="s">
        <v>112</v>
      </c>
      <c r="C21162" s="6">
        <v>2</v>
      </c>
      <c r="D21162" s="7">
        <v>3.65</v>
      </c>
      <c r="E21162" t="s">
        <v>11</v>
      </c>
    </row>
    <row r="21163" spans="1:5" x14ac:dyDescent="0.25">
      <c r="A21163" t="str">
        <f>HYPERLINK("https://www.773grp.com/globalSearch/QS74FCT541TQX/page-1", "QS74FCT541TQX")</f>
        <v>QS74FCT541TQX</v>
      </c>
      <c r="B21163" s="3" t="s">
        <v>112</v>
      </c>
      <c r="C21163" s="6">
        <v>5000</v>
      </c>
      <c r="D21163" s="7">
        <v>3.65</v>
      </c>
    </row>
    <row r="21164" spans="1:5" x14ac:dyDescent="0.25">
      <c r="A21164" t="str">
        <f>HYPERLINK("https://www.773grp.com/globalSearch/QS74FCT574TSO/page-1", "QS74FCT574TSO")</f>
        <v>QS74FCT574TSO</v>
      </c>
      <c r="B21164" s="3" t="s">
        <v>112</v>
      </c>
      <c r="C21164" s="6">
        <v>106</v>
      </c>
      <c r="D21164" s="7">
        <v>3.65</v>
      </c>
      <c r="E21164" t="s">
        <v>11</v>
      </c>
    </row>
    <row r="21165" spans="1:5" x14ac:dyDescent="0.25">
      <c r="A21165" t="str">
        <f>HYPERLINK("https://www.773grp.com/globalSearch/QS54FCT2244TSO/page-1", "QS54FCT2244TSO")</f>
        <v>QS54FCT2244TSO</v>
      </c>
      <c r="B21165" s="3" t="s">
        <v>112</v>
      </c>
      <c r="C21165" s="6">
        <v>504</v>
      </c>
      <c r="D21165" s="7">
        <v>3.33</v>
      </c>
      <c r="E21165" t="s">
        <v>11</v>
      </c>
    </row>
    <row r="21166" spans="1:5" x14ac:dyDescent="0.25">
      <c r="A21166" t="str">
        <f>HYPERLINK("https://www.773grp.com/globalSearch/QS54FCT2245TSO/page-1", "QS54FCT2245TSO")</f>
        <v>QS54FCT2245TSO</v>
      </c>
      <c r="B21166" s="3" t="s">
        <v>112</v>
      </c>
      <c r="C21166" s="6">
        <v>293</v>
      </c>
      <c r="D21166" s="7">
        <v>3.33</v>
      </c>
      <c r="E21166" t="s">
        <v>11</v>
      </c>
    </row>
    <row r="21167" spans="1:5" x14ac:dyDescent="0.25">
      <c r="A21167" t="str">
        <f>HYPERLINK("https://www.773grp.com/globalSearch/QS54FCT2374TSO/page-1", "QS54FCT2374TSO")</f>
        <v>QS54FCT2374TSO</v>
      </c>
      <c r="B21167" s="3" t="s">
        <v>112</v>
      </c>
      <c r="C21167" s="6">
        <v>265</v>
      </c>
      <c r="D21167" s="7">
        <v>3.33</v>
      </c>
      <c r="E21167" t="s">
        <v>11</v>
      </c>
    </row>
    <row r="21168" spans="1:5" x14ac:dyDescent="0.25">
      <c r="A21168" t="str">
        <f>HYPERLINK("https://www.773grp.com/globalSearch/QS74FCT2373ATQX/page-1", "QS74FCT2373ATQX")</f>
        <v>QS74FCT2373ATQX</v>
      </c>
      <c r="B21168" s="3" t="s">
        <v>112</v>
      </c>
      <c r="C21168" s="6">
        <v>5000</v>
      </c>
      <c r="D21168" s="7">
        <v>3.33</v>
      </c>
    </row>
    <row r="21169" spans="1:5" x14ac:dyDescent="0.25">
      <c r="A21169" t="str">
        <f>HYPERLINK("https://www.773grp.com/globalSearch/QS74FCT2374ATQ/page-1", "QS74FCT2374ATQ")</f>
        <v>QS74FCT2374ATQ</v>
      </c>
      <c r="B21169" s="3" t="s">
        <v>112</v>
      </c>
      <c r="C21169" s="6">
        <v>474</v>
      </c>
      <c r="D21169" s="7">
        <v>3.33</v>
      </c>
      <c r="E21169" t="s">
        <v>11</v>
      </c>
    </row>
    <row r="21170" spans="1:5" x14ac:dyDescent="0.25">
      <c r="A21170" t="str">
        <f>HYPERLINK("https://www.773grp.com/globalSearch/QS74FCT244TSO/page-1", "QS74FCT244TSO")</f>
        <v>QS74FCT244TSO</v>
      </c>
      <c r="B21170" s="3" t="s">
        <v>112</v>
      </c>
      <c r="C21170" s="6">
        <v>4889</v>
      </c>
      <c r="D21170" s="7">
        <v>3.33</v>
      </c>
      <c r="E21170" t="s">
        <v>11</v>
      </c>
    </row>
    <row r="21171" spans="1:5" x14ac:dyDescent="0.25">
      <c r="A21171" t="str">
        <f>HYPERLINK("https://www.773grp.com/globalSearch/QS74FCT2573TSO/page-1", "QS74FCT2573TSO")</f>
        <v>QS74FCT2573TSO</v>
      </c>
      <c r="B21171" s="3" t="s">
        <v>112</v>
      </c>
      <c r="C21171" s="6">
        <v>23755</v>
      </c>
      <c r="D21171" s="7">
        <v>3.33</v>
      </c>
      <c r="E21171" t="s">
        <v>11</v>
      </c>
    </row>
    <row r="21172" spans="1:5" x14ac:dyDescent="0.25">
      <c r="A21172" t="str">
        <f>HYPERLINK("https://www.773grp.com/globalSearch/QS74FCT374ATS0/page-1", "QS74FCT374ATS0")</f>
        <v>QS74FCT374ATS0</v>
      </c>
      <c r="B21172" s="3" t="s">
        <v>112</v>
      </c>
      <c r="C21172" s="6">
        <v>739</v>
      </c>
      <c r="D21172" s="7">
        <v>3.33</v>
      </c>
    </row>
    <row r="21173" spans="1:5" x14ac:dyDescent="0.25">
      <c r="A21173" t="str">
        <f>HYPERLINK("https://www.773grp.com/globalSearch/QS74FCT374ATSO/page-1", "QS74FCT374ATSO")</f>
        <v>QS74FCT374ATSO</v>
      </c>
      <c r="B21173" s="3" t="s">
        <v>112</v>
      </c>
      <c r="C21173" s="6">
        <v>1453</v>
      </c>
      <c r="D21173" s="7">
        <v>3.33</v>
      </c>
      <c r="E21173" t="s">
        <v>11</v>
      </c>
    </row>
    <row r="21174" spans="1:5" x14ac:dyDescent="0.25">
      <c r="A21174" t="str">
        <f>HYPERLINK("https://www.773grp.com/globalSearch/QS74FCT573ATQ/page-1", "QS74FCT573ATQ")</f>
        <v>QS74FCT573ATQ</v>
      </c>
      <c r="B21174" s="3" t="s">
        <v>112</v>
      </c>
      <c r="C21174" s="6">
        <v>3698</v>
      </c>
      <c r="D21174" s="7">
        <v>3.33</v>
      </c>
      <c r="E21174" t="s">
        <v>11</v>
      </c>
    </row>
    <row r="21175" spans="1:5" x14ac:dyDescent="0.25">
      <c r="A21175" t="str">
        <f>HYPERLINK("https://www.773grp.com/globalSearch/QS74FCT573TSO/page-1", "QS74FCT573TSO")</f>
        <v>QS74FCT573TSO</v>
      </c>
      <c r="B21175" s="3" t="s">
        <v>112</v>
      </c>
      <c r="C21175" s="6">
        <v>13640</v>
      </c>
      <c r="D21175" s="7">
        <v>3.33</v>
      </c>
      <c r="E21175" t="s">
        <v>11</v>
      </c>
    </row>
    <row r="21176" spans="1:5" x14ac:dyDescent="0.25">
      <c r="A21176" t="str">
        <f>HYPERLINK("https://www.773grp.com/globalSearch/QS74FCT151TQ/page-1", "QS74FCT151TQ")</f>
        <v>QS74FCT151TQ</v>
      </c>
      <c r="B21176" s="3" t="s">
        <v>112</v>
      </c>
      <c r="C21176" s="6">
        <v>4769</v>
      </c>
      <c r="D21176" s="7">
        <v>3.38</v>
      </c>
      <c r="E21176" t="s">
        <v>16</v>
      </c>
    </row>
    <row r="21177" spans="1:5" x14ac:dyDescent="0.25">
      <c r="A21177" t="str">
        <f>HYPERLINK("https://www.773grp.com/globalSearch/QS74FCT253DTQ-S235/page-1", "QS74FCT253DTQ-S235")</f>
        <v>QS74FCT253DTQ-S235</v>
      </c>
      <c r="B21177" s="3" t="s">
        <v>112</v>
      </c>
      <c r="C21177" s="6">
        <v>521</v>
      </c>
      <c r="D21177" s="7">
        <v>3.38</v>
      </c>
    </row>
    <row r="21178" spans="1:5" x14ac:dyDescent="0.25">
      <c r="A21178" t="str">
        <f>HYPERLINK("https://www.773grp.com/globalSearch/QS32383SO/page-1", "QS32383SO")</f>
        <v>QS32383SO</v>
      </c>
      <c r="B21178" s="3" t="s">
        <v>112</v>
      </c>
      <c r="C21178" s="6">
        <v>3313</v>
      </c>
      <c r="D21178" s="7">
        <v>3.8</v>
      </c>
      <c r="E21178" t="s">
        <v>11</v>
      </c>
    </row>
    <row r="21179" spans="1:5" x14ac:dyDescent="0.25">
      <c r="A21179" t="str">
        <f>HYPERLINK("https://www.773grp.com/globalSearch/QS3L383S0/page-1", "QS3L383S0")</f>
        <v>QS3L383S0</v>
      </c>
      <c r="B21179" s="3" t="s">
        <v>112</v>
      </c>
      <c r="C21179" s="6">
        <v>2016</v>
      </c>
      <c r="D21179" s="7">
        <v>3.8</v>
      </c>
    </row>
    <row r="21180" spans="1:5" x14ac:dyDescent="0.25">
      <c r="A21180" t="str">
        <f>HYPERLINK("https://www.773grp.com/globalSearch/QS3L383SO/page-1", "QS3L383SO")</f>
        <v>QS3L383SO</v>
      </c>
      <c r="B21180" s="3" t="s">
        <v>112</v>
      </c>
      <c r="C21180" s="6">
        <v>2185</v>
      </c>
      <c r="D21180" s="7">
        <v>3.8</v>
      </c>
      <c r="E21180" t="s">
        <v>11</v>
      </c>
    </row>
    <row r="21181" spans="1:5" x14ac:dyDescent="0.25">
      <c r="A21181" t="str">
        <f>HYPERLINK("https://www.773grp.com/globalSearch/QS3L384SO/page-1", "QS3L384SO")</f>
        <v>QS3L384SO</v>
      </c>
      <c r="B21181" s="3" t="s">
        <v>112</v>
      </c>
      <c r="C21181" s="6">
        <v>4448</v>
      </c>
      <c r="D21181" s="7">
        <v>3.8</v>
      </c>
      <c r="E21181" t="s">
        <v>11</v>
      </c>
    </row>
    <row r="21182" spans="1:5" x14ac:dyDescent="0.25">
      <c r="A21182" t="str">
        <f>HYPERLINK("https://www.773grp.com/globalSearch/QS74FCT540TQ/page-1", "QS74FCT540TQ")</f>
        <v>QS74FCT540TQ</v>
      </c>
      <c r="B21182" s="3" t="s">
        <v>112</v>
      </c>
      <c r="C21182" s="6">
        <v>2911</v>
      </c>
      <c r="D21182" s="7">
        <v>3.46</v>
      </c>
      <c r="E21182" t="s">
        <v>11</v>
      </c>
    </row>
    <row r="21183" spans="1:5" x14ac:dyDescent="0.25">
      <c r="A21183" t="str">
        <f>HYPERLINK("https://www.773grp.com/globalSearch/QS74FCT2541DTQ/page-1", "QS74FCT2541DTQ")</f>
        <v>QS74FCT2541DTQ</v>
      </c>
      <c r="B21183" s="3" t="s">
        <v>112</v>
      </c>
      <c r="C21183" s="6">
        <v>5894</v>
      </c>
      <c r="D21183" s="7">
        <v>3.85</v>
      </c>
      <c r="E21183" t="s">
        <v>11</v>
      </c>
    </row>
    <row r="21184" spans="1:5" x14ac:dyDescent="0.25">
      <c r="A21184" t="str">
        <f>HYPERLINK("https://www.773grp.com/globalSearch/QS3390QM/page-1", "QS3390QM")</f>
        <v>QS3390QM</v>
      </c>
      <c r="B21184" s="3" t="s">
        <v>112</v>
      </c>
      <c r="C21184" s="6">
        <v>300</v>
      </c>
      <c r="D21184" s="7">
        <v>3.49</v>
      </c>
      <c r="E21184" t="s">
        <v>11</v>
      </c>
    </row>
    <row r="21185" spans="1:5" x14ac:dyDescent="0.25">
      <c r="A21185" t="str">
        <f>HYPERLINK("https://www.773grp.com/globalSearch/QS74FCT138CTQ/page-1", "QS74FCT138CTQ")</f>
        <v>QS74FCT138CTQ</v>
      </c>
      <c r="B21185" s="3" t="s">
        <v>112</v>
      </c>
      <c r="C21185" s="6">
        <v>33</v>
      </c>
      <c r="D21185" s="7">
        <v>3.49</v>
      </c>
      <c r="E21185" t="s">
        <v>32</v>
      </c>
    </row>
    <row r="21186" spans="1:5" x14ac:dyDescent="0.25">
      <c r="A21186" t="str">
        <f>HYPERLINK("https://www.773grp.com/globalSearch/QS74FCT138CTSO/page-1", "QS74FCT138CTSO")</f>
        <v>QS74FCT138CTSO</v>
      </c>
      <c r="B21186" s="3" t="s">
        <v>112</v>
      </c>
      <c r="C21186" s="6">
        <v>470</v>
      </c>
      <c r="D21186" s="7">
        <v>3.49</v>
      </c>
      <c r="E21186" t="s">
        <v>32</v>
      </c>
    </row>
    <row r="21187" spans="1:5" x14ac:dyDescent="0.25">
      <c r="A21187" t="str">
        <f>HYPERLINK("https://www.773grp.com/globalSearch/QS74FCT139ATSI/page-1", "QS74FCT139ATSI")</f>
        <v>QS74FCT139ATSI</v>
      </c>
      <c r="B21187" s="3" t="s">
        <v>112</v>
      </c>
      <c r="C21187" s="6">
        <v>2500</v>
      </c>
      <c r="D21187" s="7">
        <v>3.49</v>
      </c>
    </row>
    <row r="21188" spans="1:5" x14ac:dyDescent="0.25">
      <c r="A21188" t="str">
        <f>HYPERLINK("https://www.773grp.com/globalSearch/QS74FCT162240ATPA/page-1", "QS74FCT162240ATPA")</f>
        <v>QS74FCT162240ATPA</v>
      </c>
      <c r="B21188" s="3" t="s">
        <v>112</v>
      </c>
      <c r="C21188" s="6">
        <v>3668</v>
      </c>
      <c r="D21188" s="7">
        <v>3.49</v>
      </c>
      <c r="E21188" t="s">
        <v>11</v>
      </c>
    </row>
    <row r="21189" spans="1:5" x14ac:dyDescent="0.25">
      <c r="A21189" t="str">
        <f>HYPERLINK("https://www.773grp.com/globalSearch/QS74FCT162240ATPV/page-1", "QS74FCT162240ATPV")</f>
        <v>QS74FCT162240ATPV</v>
      </c>
      <c r="B21189" s="3" t="s">
        <v>112</v>
      </c>
      <c r="C21189" s="6">
        <v>6022</v>
      </c>
      <c r="D21189" s="7">
        <v>3.49</v>
      </c>
      <c r="E21189" t="s">
        <v>11</v>
      </c>
    </row>
    <row r="21190" spans="1:5" x14ac:dyDescent="0.25">
      <c r="A21190" t="str">
        <f>HYPERLINK("https://www.773grp.com/globalSearch/QS74FCT162240TPA/page-1", "QS74FCT162240TPA")</f>
        <v>QS74FCT162240TPA</v>
      </c>
      <c r="B21190" s="3" t="s">
        <v>112</v>
      </c>
      <c r="C21190" s="6">
        <v>1981</v>
      </c>
      <c r="D21190" s="7">
        <v>3.49</v>
      </c>
      <c r="E21190" t="s">
        <v>11</v>
      </c>
    </row>
    <row r="21191" spans="1:5" x14ac:dyDescent="0.25">
      <c r="A21191" t="str">
        <f>HYPERLINK("https://www.773grp.com/globalSearch/QS74FCT162240TPV/page-1", "QS74FCT162240TPV")</f>
        <v>QS74FCT162240TPV</v>
      </c>
      <c r="B21191" s="3" t="s">
        <v>112</v>
      </c>
      <c r="C21191" s="6">
        <v>3896</v>
      </c>
      <c r="D21191" s="7">
        <v>3.49</v>
      </c>
      <c r="E21191" t="s">
        <v>11</v>
      </c>
    </row>
    <row r="21192" spans="1:5" x14ac:dyDescent="0.25">
      <c r="A21192" t="str">
        <f>HYPERLINK("https://www.773grp.com/globalSearch/QS74FCT162244ATPA/page-1", "QS74FCT162244ATPA")</f>
        <v>QS74FCT162244ATPA</v>
      </c>
      <c r="B21192" s="3" t="s">
        <v>112</v>
      </c>
      <c r="C21192" s="6">
        <v>2262</v>
      </c>
      <c r="D21192" s="7">
        <v>3.49</v>
      </c>
      <c r="E21192" t="s">
        <v>11</v>
      </c>
    </row>
    <row r="21193" spans="1:5" x14ac:dyDescent="0.25">
      <c r="A21193" t="str">
        <f>HYPERLINK("https://www.773grp.com/globalSearch/QS74FCT162244ATPV/page-1", "QS74FCT162244ATPV")</f>
        <v>QS74FCT162244ATPV</v>
      </c>
      <c r="B21193" s="3" t="s">
        <v>112</v>
      </c>
      <c r="C21193" s="6">
        <v>816</v>
      </c>
      <c r="D21193" s="7">
        <v>3.49</v>
      </c>
      <c r="E21193" t="s">
        <v>11</v>
      </c>
    </row>
    <row r="21194" spans="1:5" x14ac:dyDescent="0.25">
      <c r="A21194" t="str">
        <f>HYPERLINK("https://www.773grp.com/globalSearch/QS74FCT162244CTPA/page-1", "QS74FCT162244CTPA")</f>
        <v>QS74FCT162244CTPA</v>
      </c>
      <c r="B21194" s="3" t="s">
        <v>112</v>
      </c>
      <c r="C21194" s="6">
        <v>2457</v>
      </c>
      <c r="D21194" s="7">
        <v>3.49</v>
      </c>
      <c r="E21194" t="s">
        <v>11</v>
      </c>
    </row>
    <row r="21195" spans="1:5" x14ac:dyDescent="0.25">
      <c r="A21195" t="str">
        <f>HYPERLINK("https://www.773grp.com/globalSearch/QS74FCT162244TPA/page-1", "QS74FCT162244TPA")</f>
        <v>QS74FCT162244TPA</v>
      </c>
      <c r="B21195" s="3" t="s">
        <v>112</v>
      </c>
      <c r="C21195" s="6">
        <v>6395</v>
      </c>
      <c r="D21195" s="7">
        <v>3.49</v>
      </c>
      <c r="E21195" t="s">
        <v>11</v>
      </c>
    </row>
    <row r="21196" spans="1:5" x14ac:dyDescent="0.25">
      <c r="A21196" t="str">
        <f>HYPERLINK("https://www.773grp.com/globalSearch/QS74FCT162245CTPV/page-1", "QS74FCT162245CTPV")</f>
        <v>QS74FCT162245CTPV</v>
      </c>
      <c r="B21196" s="3" t="s">
        <v>112</v>
      </c>
      <c r="C21196" s="6">
        <v>3450</v>
      </c>
      <c r="D21196" s="7">
        <v>3.49</v>
      </c>
      <c r="E21196" t="s">
        <v>11</v>
      </c>
    </row>
    <row r="21197" spans="1:5" x14ac:dyDescent="0.25">
      <c r="A21197" t="str">
        <f>HYPERLINK("https://www.773grp.com/globalSearch/QS74FCT162245TPA/page-1", "QS74FCT162245TPA")</f>
        <v>QS74FCT162245TPA</v>
      </c>
      <c r="B21197" s="3" t="s">
        <v>112</v>
      </c>
      <c r="C21197" s="6">
        <v>485</v>
      </c>
      <c r="D21197" s="7">
        <v>3.49</v>
      </c>
      <c r="E21197" t="s">
        <v>11</v>
      </c>
    </row>
    <row r="21198" spans="1:5" x14ac:dyDescent="0.25">
      <c r="A21198" t="str">
        <f>HYPERLINK("https://www.773grp.com/globalSearch/QS74FCT162373ATPA/page-1", "QS74FCT162373ATPA")</f>
        <v>QS74FCT162373ATPA</v>
      </c>
      <c r="B21198" s="3" t="s">
        <v>112</v>
      </c>
      <c r="C21198" s="6">
        <v>9527</v>
      </c>
      <c r="D21198" s="7">
        <v>3.49</v>
      </c>
      <c r="E21198" t="s">
        <v>11</v>
      </c>
    </row>
    <row r="21199" spans="1:5" x14ac:dyDescent="0.25">
      <c r="A21199" t="str">
        <f>HYPERLINK("https://www.773grp.com/globalSearch/QS74FCT162373ATPV/page-1", "QS74FCT162373ATPV")</f>
        <v>QS74FCT162373ATPV</v>
      </c>
      <c r="B21199" s="3" t="s">
        <v>112</v>
      </c>
      <c r="C21199" s="6">
        <v>2024</v>
      </c>
      <c r="D21199" s="7">
        <v>3.49</v>
      </c>
      <c r="E21199" t="s">
        <v>11</v>
      </c>
    </row>
    <row r="21200" spans="1:5" x14ac:dyDescent="0.25">
      <c r="A21200" t="str">
        <f>HYPERLINK("https://www.773grp.com/globalSearch/QS74FCT162374ATPA/page-1", "QS74FCT162374ATPA")</f>
        <v>QS74FCT162374ATPA</v>
      </c>
      <c r="B21200" s="3" t="s">
        <v>112</v>
      </c>
      <c r="C21200" s="6">
        <v>12137</v>
      </c>
      <c r="D21200" s="7">
        <v>3.49</v>
      </c>
      <c r="E21200" t="s">
        <v>11</v>
      </c>
    </row>
    <row r="21201" spans="1:5" x14ac:dyDescent="0.25">
      <c r="A21201" t="str">
        <f>HYPERLINK("https://www.773grp.com/globalSearch/QS74FCT162374ATPV/page-1", "QS74FCT162374ATPV")</f>
        <v>QS74FCT162374ATPV</v>
      </c>
      <c r="B21201" s="3" t="s">
        <v>112</v>
      </c>
      <c r="C21201" s="6">
        <v>9425</v>
      </c>
      <c r="D21201" s="7">
        <v>3.49</v>
      </c>
      <c r="E21201" t="s">
        <v>11</v>
      </c>
    </row>
    <row r="21202" spans="1:5" x14ac:dyDescent="0.25">
      <c r="A21202" t="str">
        <f>HYPERLINK("https://www.773grp.com/globalSearch/QS74FCT162374TPV/page-1", "QS74FCT162374TPV")</f>
        <v>QS74FCT162374TPV</v>
      </c>
      <c r="B21202" s="3" t="s">
        <v>112</v>
      </c>
      <c r="C21202" s="6">
        <v>1615</v>
      </c>
      <c r="D21202" s="7">
        <v>3.49</v>
      </c>
      <c r="E21202" t="s">
        <v>11</v>
      </c>
    </row>
    <row r="21203" spans="1:5" x14ac:dyDescent="0.25">
      <c r="A21203" t="str">
        <f>HYPERLINK("https://www.773grp.com/globalSearch/QS74FCT16240ATPA/page-1", "QS74FCT16240ATPA")</f>
        <v>QS74FCT16240ATPA</v>
      </c>
      <c r="B21203" s="3" t="s">
        <v>112</v>
      </c>
      <c r="C21203" s="6">
        <v>3728</v>
      </c>
      <c r="D21203" s="7">
        <v>3.49</v>
      </c>
      <c r="E21203" t="s">
        <v>11</v>
      </c>
    </row>
    <row r="21204" spans="1:5" x14ac:dyDescent="0.25">
      <c r="A21204" t="str">
        <f>HYPERLINK("https://www.773grp.com/globalSearch/QS74FCT16240TPA/page-1", "QS74FCT16240TPA")</f>
        <v>QS74FCT16240TPA</v>
      </c>
      <c r="B21204" s="3" t="s">
        <v>112</v>
      </c>
      <c r="C21204" s="6">
        <v>1710</v>
      </c>
      <c r="D21204" s="7">
        <v>3.49</v>
      </c>
      <c r="E21204" t="s">
        <v>11</v>
      </c>
    </row>
    <row r="21205" spans="1:5" x14ac:dyDescent="0.25">
      <c r="A21205" t="str">
        <f>HYPERLINK("https://www.773grp.com/globalSearch/QS74FCT16240TPV/page-1", "QS74FCT16240TPV")</f>
        <v>QS74FCT16240TPV</v>
      </c>
      <c r="B21205" s="3" t="s">
        <v>112</v>
      </c>
      <c r="C21205" s="6">
        <v>823</v>
      </c>
      <c r="D21205" s="7">
        <v>3.49</v>
      </c>
      <c r="E21205" t="s">
        <v>11</v>
      </c>
    </row>
    <row r="21206" spans="1:5" x14ac:dyDescent="0.25">
      <c r="A21206" t="str">
        <f>HYPERLINK("https://www.773grp.com/globalSearch/QS74FCT16244TPA/page-1", "QS74FCT16244TPA")</f>
        <v>QS74FCT16244TPA</v>
      </c>
      <c r="B21206" s="3" t="s">
        <v>112</v>
      </c>
      <c r="C21206" s="6">
        <v>900</v>
      </c>
      <c r="D21206" s="7">
        <v>3.49</v>
      </c>
      <c r="E21206" t="s">
        <v>11</v>
      </c>
    </row>
    <row r="21207" spans="1:5" x14ac:dyDescent="0.25">
      <c r="A21207" t="str">
        <f>HYPERLINK("https://www.773grp.com/globalSearch/QS74FCT16244TPV/page-1", "QS74FCT16244TPV")</f>
        <v>QS74FCT16244TPV</v>
      </c>
      <c r="B21207" s="3" t="s">
        <v>112</v>
      </c>
      <c r="C21207" s="6">
        <v>194</v>
      </c>
      <c r="D21207" s="7">
        <v>3.49</v>
      </c>
      <c r="E21207" t="s">
        <v>11</v>
      </c>
    </row>
    <row r="21208" spans="1:5" x14ac:dyDescent="0.25">
      <c r="A21208" t="str">
        <f>HYPERLINK("https://www.773grp.com/globalSearch/QS74FCT16245ATPV/page-1", "QS74FCT16245ATPV")</f>
        <v>QS74FCT16245ATPV</v>
      </c>
      <c r="B21208" s="3" t="s">
        <v>112</v>
      </c>
      <c r="C21208" s="6">
        <v>195</v>
      </c>
      <c r="D21208" s="7">
        <v>3.49</v>
      </c>
      <c r="E21208" t="s">
        <v>11</v>
      </c>
    </row>
    <row r="21209" spans="1:5" x14ac:dyDescent="0.25">
      <c r="A21209" t="str">
        <f>HYPERLINK("https://www.773grp.com/globalSearch/QS74FCT16245ATPVX-S257/page-1", "QS74FCT16245ATPVX-S257")</f>
        <v>QS74FCT16245ATPVX-S257</v>
      </c>
      <c r="B21209" s="3" t="s">
        <v>112</v>
      </c>
      <c r="C21209" s="6">
        <v>2000</v>
      </c>
      <c r="D21209" s="7">
        <v>3.49</v>
      </c>
    </row>
    <row r="21210" spans="1:5" x14ac:dyDescent="0.25">
      <c r="A21210" t="str">
        <f>HYPERLINK("https://www.773grp.com/globalSearch/QS74FCT16245CTPA/page-1", "QS74FCT16245CTPA")</f>
        <v>QS74FCT16245CTPA</v>
      </c>
      <c r="B21210" s="3" t="s">
        <v>112</v>
      </c>
      <c r="C21210" s="6">
        <v>233</v>
      </c>
      <c r="D21210" s="7">
        <v>3.49</v>
      </c>
      <c r="E21210" t="s">
        <v>11</v>
      </c>
    </row>
    <row r="21211" spans="1:5" x14ac:dyDescent="0.25">
      <c r="A21211" t="str">
        <f>HYPERLINK("https://www.773grp.com/globalSearch/QS74FCT16245CTPV/page-1", "QS74FCT16245CTPV")</f>
        <v>QS74FCT16245CTPV</v>
      </c>
      <c r="B21211" s="3" t="s">
        <v>112</v>
      </c>
      <c r="C21211" s="6">
        <v>220</v>
      </c>
      <c r="D21211" s="7">
        <v>3.49</v>
      </c>
      <c r="E21211" t="s">
        <v>11</v>
      </c>
    </row>
    <row r="21212" spans="1:5" x14ac:dyDescent="0.25">
      <c r="A21212" t="str">
        <f>HYPERLINK("https://www.773grp.com/globalSearch/QS74FCT16245TPA/page-1", "QS74FCT16245TPA")</f>
        <v>QS74FCT16245TPA</v>
      </c>
      <c r="B21212" s="3" t="s">
        <v>112</v>
      </c>
      <c r="C21212" s="6">
        <v>4228</v>
      </c>
      <c r="D21212" s="7">
        <v>3.49</v>
      </c>
      <c r="E21212" t="s">
        <v>11</v>
      </c>
    </row>
    <row r="21213" spans="1:5" x14ac:dyDescent="0.25">
      <c r="A21213" t="str">
        <f>HYPERLINK("https://www.773grp.com/globalSearch/QS74FCT16245TPV/page-1", "QS74FCT16245TPV")</f>
        <v>QS74FCT16245TPV</v>
      </c>
      <c r="B21213" s="3" t="s">
        <v>112</v>
      </c>
      <c r="C21213" s="6">
        <v>12194</v>
      </c>
      <c r="D21213" s="7">
        <v>3.49</v>
      </c>
      <c r="E21213" t="s">
        <v>11</v>
      </c>
    </row>
    <row r="21214" spans="1:5" x14ac:dyDescent="0.25">
      <c r="A21214" t="str">
        <f>HYPERLINK("https://www.773grp.com/globalSearch/QS74FCT16245TPVX/page-1", "QS74FCT16245TPVX")</f>
        <v>QS74FCT16245TPVX</v>
      </c>
      <c r="B21214" s="3" t="s">
        <v>112</v>
      </c>
      <c r="C21214" s="6">
        <v>5000</v>
      </c>
      <c r="D21214" s="7">
        <v>3.49</v>
      </c>
    </row>
    <row r="21215" spans="1:5" x14ac:dyDescent="0.25">
      <c r="A21215" t="str">
        <f>HYPERLINK("https://www.773grp.com/globalSearch/QS74FCT163244PA/page-1", "QS74FCT163244PA")</f>
        <v>QS74FCT163244PA</v>
      </c>
      <c r="B21215" s="3" t="s">
        <v>112</v>
      </c>
      <c r="C21215" s="6">
        <v>2424</v>
      </c>
      <c r="D21215" s="7">
        <v>3.49</v>
      </c>
    </row>
    <row r="21216" spans="1:5" x14ac:dyDescent="0.25">
      <c r="A21216" t="str">
        <f>HYPERLINK("https://www.773grp.com/globalSearch/QS74FCT163245APA/page-1", "QS74FCT163245APA")</f>
        <v>QS74FCT163245APA</v>
      </c>
      <c r="B21216" s="3" t="s">
        <v>112</v>
      </c>
      <c r="C21216" s="6">
        <v>3218</v>
      </c>
      <c r="D21216" s="7">
        <v>3.49</v>
      </c>
      <c r="E21216" t="s">
        <v>11</v>
      </c>
    </row>
    <row r="21217" spans="1:5" x14ac:dyDescent="0.25">
      <c r="A21217" t="str">
        <f>HYPERLINK("https://www.773grp.com/globalSearch/QS74FCT163245CPA/page-1", "QS74FCT163245CPA")</f>
        <v>QS74FCT163245CPA</v>
      </c>
      <c r="B21217" s="3" t="s">
        <v>112</v>
      </c>
      <c r="C21217" s="6">
        <v>466</v>
      </c>
      <c r="D21217" s="7">
        <v>3.49</v>
      </c>
      <c r="E21217" t="s">
        <v>11</v>
      </c>
    </row>
    <row r="21218" spans="1:5" x14ac:dyDescent="0.25">
      <c r="A21218" t="str">
        <f>HYPERLINK("https://www.773grp.com/globalSearch/QS74FCT16373ATPV/page-1", "QS74FCT16373ATPV")</f>
        <v>QS74FCT16373ATPV</v>
      </c>
      <c r="B21218" s="3" t="s">
        <v>112</v>
      </c>
      <c r="C21218" s="6">
        <v>87700</v>
      </c>
      <c r="D21218" s="7">
        <v>3.49</v>
      </c>
      <c r="E21218" t="s">
        <v>11</v>
      </c>
    </row>
    <row r="21219" spans="1:5" x14ac:dyDescent="0.25">
      <c r="A21219" t="str">
        <f>HYPERLINK("https://www.773grp.com/globalSearch/QS74FCT16373TPA/page-1", "QS74FCT16373TPA")</f>
        <v>QS74FCT16373TPA</v>
      </c>
      <c r="B21219" s="3" t="s">
        <v>112</v>
      </c>
      <c r="C21219" s="6">
        <v>3528</v>
      </c>
      <c r="D21219" s="7">
        <v>3.49</v>
      </c>
      <c r="E21219" t="s">
        <v>11</v>
      </c>
    </row>
    <row r="21220" spans="1:5" x14ac:dyDescent="0.25">
      <c r="A21220" t="str">
        <f>HYPERLINK("https://www.773grp.com/globalSearch/QS74FCT16373TPV/page-1", "QS74FCT16373TPV")</f>
        <v>QS74FCT16373TPV</v>
      </c>
      <c r="B21220" s="3" t="s">
        <v>112</v>
      </c>
      <c r="C21220" s="6">
        <v>11200</v>
      </c>
      <c r="D21220" s="7">
        <v>3.49</v>
      </c>
      <c r="E21220" t="s">
        <v>11</v>
      </c>
    </row>
    <row r="21221" spans="1:5" x14ac:dyDescent="0.25">
      <c r="A21221" t="str">
        <f>HYPERLINK("https://www.773grp.com/globalSearch/QS74FCT16374ATPA/page-1", "QS74FCT16374ATPA")</f>
        <v>QS74FCT16374ATPA</v>
      </c>
      <c r="B21221" s="3" t="s">
        <v>112</v>
      </c>
      <c r="C21221" s="6">
        <v>4262</v>
      </c>
      <c r="D21221" s="7">
        <v>3.49</v>
      </c>
      <c r="E21221" t="s">
        <v>11</v>
      </c>
    </row>
    <row r="21222" spans="1:5" x14ac:dyDescent="0.25">
      <c r="A21222" t="str">
        <f>HYPERLINK("https://www.773grp.com/globalSearch/QS74FCT16374TPA/page-1", "QS74FCT16374TPA")</f>
        <v>QS74FCT16374TPA</v>
      </c>
      <c r="B21222" s="3" t="s">
        <v>112</v>
      </c>
      <c r="C21222" s="6">
        <v>1221</v>
      </c>
      <c r="D21222" s="7">
        <v>3.49</v>
      </c>
      <c r="E21222" t="s">
        <v>11</v>
      </c>
    </row>
    <row r="21223" spans="1:5" x14ac:dyDescent="0.25">
      <c r="A21223" t="str">
        <f>HYPERLINK("https://www.773grp.com/globalSearch/QS74FCT16374TPV/page-1", "QS74FCT16374TPV")</f>
        <v>QS74FCT16374TPV</v>
      </c>
      <c r="B21223" s="3" t="s">
        <v>112</v>
      </c>
      <c r="C21223" s="6">
        <v>181</v>
      </c>
      <c r="D21223" s="7">
        <v>3.49</v>
      </c>
      <c r="E21223" t="s">
        <v>11</v>
      </c>
    </row>
    <row r="21224" spans="1:5" x14ac:dyDescent="0.25">
      <c r="A21224" t="str">
        <f>HYPERLINK("https://www.773grp.com/globalSearch/QS74FCT163TSI/page-1", "QS74FCT163TSI")</f>
        <v>QS74FCT163TSI</v>
      </c>
      <c r="B21224" s="3" t="s">
        <v>112</v>
      </c>
      <c r="C21224" s="6">
        <v>77776</v>
      </c>
      <c r="D21224" s="7">
        <v>3.49</v>
      </c>
    </row>
    <row r="21225" spans="1:5" x14ac:dyDescent="0.25">
      <c r="A21225" t="str">
        <f>HYPERLINK("https://www.773grp.com/globalSearch/QS74FCT238CTSI/page-1", "QS74FCT238CTSI")</f>
        <v>QS74FCT238CTSI</v>
      </c>
      <c r="B21225" s="3" t="s">
        <v>112</v>
      </c>
      <c r="C21225" s="6">
        <v>160</v>
      </c>
      <c r="D21225" s="7">
        <v>3.49</v>
      </c>
    </row>
    <row r="21226" spans="1:5" x14ac:dyDescent="0.25">
      <c r="A21226" t="str">
        <f>HYPERLINK("https://www.773grp.com/globalSearch/QS74LCX16245APA/page-1", "QS74LCX16245APA")</f>
        <v>QS74LCX16245APA</v>
      </c>
      <c r="B21226" s="3" t="s">
        <v>112</v>
      </c>
      <c r="C21226" s="6">
        <v>300</v>
      </c>
      <c r="D21226" s="7">
        <v>3.49</v>
      </c>
    </row>
    <row r="21227" spans="1:5" x14ac:dyDescent="0.25">
      <c r="A21227" t="str">
        <f>HYPERLINK("https://www.773grp.com/globalSearch/QS74LCX16245CPA/page-1", "QS74LCX16245CPA")</f>
        <v>QS74LCX16245CPA</v>
      </c>
      <c r="B21227" s="3" t="s">
        <v>112</v>
      </c>
      <c r="C21227" s="6">
        <v>242</v>
      </c>
      <c r="D21227" s="7">
        <v>3.49</v>
      </c>
      <c r="E21227" t="s">
        <v>11</v>
      </c>
    </row>
    <row r="21228" spans="1:5" x14ac:dyDescent="0.25">
      <c r="A21228" t="str">
        <f>HYPERLINK("https://www.773grp.com/globalSearch/QS74FCT2541TQX-S251/page-1", "QS74FCT2541TQX-S251")</f>
        <v>QS74FCT2541TQX-S251</v>
      </c>
      <c r="B21228" s="3" t="s">
        <v>112</v>
      </c>
      <c r="C21228" s="6">
        <v>55000</v>
      </c>
      <c r="D21228" s="7">
        <v>3.9</v>
      </c>
    </row>
    <row r="21229" spans="1:5" x14ac:dyDescent="0.25">
      <c r="A21229" t="str">
        <f>HYPERLINK("https://www.773grp.com/globalSearch/QS74FCT16244ATPAX/page-1", "QS74FCT16244ATPAX")</f>
        <v>QS74FCT16244ATPAX</v>
      </c>
      <c r="B21229" s="3" t="s">
        <v>112</v>
      </c>
      <c r="C21229" s="6">
        <v>7500</v>
      </c>
      <c r="D21229" s="7">
        <v>3.55</v>
      </c>
    </row>
    <row r="21230" spans="1:5" x14ac:dyDescent="0.25">
      <c r="A21230" t="str">
        <f>HYPERLINK("https://www.773grp.com/globalSearch/QS74FCT534TQ/page-1", "QS74FCT534TQ")</f>
        <v>QS74FCT534TQ</v>
      </c>
      <c r="B21230" s="3" t="s">
        <v>112</v>
      </c>
      <c r="C21230" s="6">
        <v>15513</v>
      </c>
      <c r="D21230" s="7">
        <v>3.55</v>
      </c>
      <c r="E21230" t="s">
        <v>11</v>
      </c>
    </row>
    <row r="21231" spans="1:5" x14ac:dyDescent="0.25">
      <c r="A21231" t="str">
        <f>HYPERLINK("https://www.773grp.com/globalSearch/QS74FCT540CTP/page-1", "QS74FCT540CTP")</f>
        <v>QS74FCT540CTP</v>
      </c>
      <c r="B21231" s="3" t="s">
        <v>112</v>
      </c>
      <c r="C21231" s="6">
        <v>94</v>
      </c>
      <c r="D21231" s="7">
        <v>3.55</v>
      </c>
      <c r="E21231" t="s">
        <v>11</v>
      </c>
    </row>
    <row r="21232" spans="1:5" x14ac:dyDescent="0.25">
      <c r="A21232" t="str">
        <f>HYPERLINK("https://www.773grp.com/globalSearch/QS74FCT821TSO/page-1", "QS74FCT821TSO")</f>
        <v>QS74FCT821TSO</v>
      </c>
      <c r="B21232" s="3" t="s">
        <v>112</v>
      </c>
      <c r="C21232" s="6">
        <v>673</v>
      </c>
      <c r="D21232" s="7">
        <v>3.55</v>
      </c>
    </row>
    <row r="21233" spans="1:5" x14ac:dyDescent="0.25">
      <c r="A21233" t="str">
        <f>HYPERLINK("https://www.773grp.com/globalSearch/QS74FCT823BTQX/page-1", "QS74FCT823BTQX")</f>
        <v>QS74FCT823BTQX</v>
      </c>
      <c r="B21233" s="3" t="s">
        <v>112</v>
      </c>
      <c r="C21233" s="6">
        <v>2500</v>
      </c>
      <c r="D21233" s="7">
        <v>3.55</v>
      </c>
    </row>
    <row r="21234" spans="1:5" x14ac:dyDescent="0.25">
      <c r="A21234" t="str">
        <f>HYPERLINK("https://www.773grp.com/globalSearch/QS74FCT161TP/page-1", "QS74FCT161TP")</f>
        <v>QS74FCT161TP</v>
      </c>
      <c r="B21234" s="3" t="s">
        <v>112</v>
      </c>
      <c r="C21234" s="6">
        <v>2777</v>
      </c>
      <c r="D21234" s="7">
        <v>3.95</v>
      </c>
      <c r="E21234" t="s">
        <v>22</v>
      </c>
    </row>
    <row r="21235" spans="1:5" x14ac:dyDescent="0.25">
      <c r="A21235" t="str">
        <f>HYPERLINK("https://www.773grp.com/globalSearch/QS74FCT161TQ/page-1", "QS74FCT161TQ")</f>
        <v>QS74FCT161TQ</v>
      </c>
      <c r="B21235" s="3" t="s">
        <v>112</v>
      </c>
      <c r="C21235" s="6">
        <v>687</v>
      </c>
      <c r="D21235" s="7">
        <v>3.95</v>
      </c>
      <c r="E21235" t="s">
        <v>22</v>
      </c>
    </row>
    <row r="21236" spans="1:5" x14ac:dyDescent="0.25">
      <c r="A21236" t="str">
        <f>HYPERLINK("https://www.773grp.com/globalSearch/QS74FCT161TSO/page-1", "QS74FCT161TSO")</f>
        <v>QS74FCT161TSO</v>
      </c>
      <c r="B21236" s="3" t="s">
        <v>112</v>
      </c>
      <c r="C21236" s="6">
        <v>415</v>
      </c>
      <c r="D21236" s="7">
        <v>3.95</v>
      </c>
      <c r="E21236" t="s">
        <v>22</v>
      </c>
    </row>
    <row r="21237" spans="1:5" x14ac:dyDescent="0.25">
      <c r="A21237" t="str">
        <f>HYPERLINK("https://www.773grp.com/globalSearch/QS74FCT2163ATSO/page-1", "QS74FCT2163ATSO")</f>
        <v>QS74FCT2163ATSO</v>
      </c>
      <c r="B21237" s="3" t="s">
        <v>112</v>
      </c>
      <c r="C21237" s="6">
        <v>460</v>
      </c>
      <c r="D21237" s="7">
        <v>3.95</v>
      </c>
      <c r="E21237" t="s">
        <v>22</v>
      </c>
    </row>
    <row r="21238" spans="1:5" x14ac:dyDescent="0.25">
      <c r="A21238" t="str">
        <f>HYPERLINK("https://www.773grp.com/globalSearch/QS74FCT273TSO/page-1", "QS74FCT273TSO")</f>
        <v>QS74FCT273TSO</v>
      </c>
      <c r="B21238" s="3" t="s">
        <v>112</v>
      </c>
      <c r="C21238" s="6">
        <v>77</v>
      </c>
      <c r="D21238" s="7">
        <v>3.95</v>
      </c>
      <c r="E21238" t="s">
        <v>31</v>
      </c>
    </row>
    <row r="21239" spans="1:5" x14ac:dyDescent="0.25">
      <c r="A21239" t="str">
        <f>HYPERLINK("https://www.773grp.com/globalSearch/QS54FCT646ATQ/page-1", "QS54FCT646ATQ")</f>
        <v>QS54FCT646ATQ</v>
      </c>
      <c r="B21239" s="3" t="s">
        <v>112</v>
      </c>
      <c r="C21239" s="6">
        <v>192</v>
      </c>
      <c r="D21239" s="7">
        <v>3.6</v>
      </c>
      <c r="E21239" t="s">
        <v>11</v>
      </c>
    </row>
    <row r="21240" spans="1:5" x14ac:dyDescent="0.25">
      <c r="A21240" t="str">
        <f>HYPERLINK("https://www.773grp.com/globalSearch/QS74FCT2244DTQ/page-1", "QS74FCT2244DTQ")</f>
        <v>QS74FCT2244DTQ</v>
      </c>
      <c r="B21240" s="3" t="s">
        <v>112</v>
      </c>
      <c r="C21240" s="6">
        <v>2317</v>
      </c>
      <c r="D21240" s="7">
        <v>3.6</v>
      </c>
      <c r="E21240" t="s">
        <v>11</v>
      </c>
    </row>
    <row r="21241" spans="1:5" x14ac:dyDescent="0.25">
      <c r="A21241" t="str">
        <f>HYPERLINK("https://www.773grp.com/globalSearch/QS74FCT162244ATPAX/page-1", "QS74FCT162244ATPAX")</f>
        <v>QS74FCT162244ATPAX</v>
      </c>
      <c r="B21241" s="3" t="s">
        <v>112</v>
      </c>
      <c r="C21241" s="6">
        <v>5000</v>
      </c>
      <c r="D21241" s="7">
        <v>3.63</v>
      </c>
    </row>
    <row r="21242" spans="1:5" x14ac:dyDescent="0.25">
      <c r="A21242" t="str">
        <f>HYPERLINK("https://www.773grp.com/globalSearch/QS74FCT139ATS1X/page-1", "QS74FCT139ATS1X")</f>
        <v>QS74FCT139ATS1X</v>
      </c>
      <c r="B21242" s="3" t="s">
        <v>112</v>
      </c>
      <c r="C21242" s="6">
        <v>2400</v>
      </c>
      <c r="D21242" s="7">
        <v>4.01</v>
      </c>
    </row>
    <row r="21243" spans="1:5" x14ac:dyDescent="0.25">
      <c r="A21243" t="str">
        <f>HYPERLINK("https://www.773grp.com/globalSearch/QS3251P/page-1", "QS3251P")</f>
        <v>QS3251P</v>
      </c>
      <c r="B21243" s="3" t="s">
        <v>112</v>
      </c>
      <c r="C21243" s="6">
        <v>3380</v>
      </c>
      <c r="D21243" s="7">
        <v>4.0599999999999996</v>
      </c>
    </row>
    <row r="21244" spans="1:5" x14ac:dyDescent="0.25">
      <c r="A21244" t="str">
        <f>HYPERLINK("https://www.773grp.com/globalSearch/QS3253SIM/page-1", "QS3253SIM")</f>
        <v>QS3253SIM</v>
      </c>
      <c r="B21244" s="3" t="s">
        <v>112</v>
      </c>
      <c r="C21244" s="6">
        <v>91</v>
      </c>
      <c r="D21244" s="7">
        <v>4.0599999999999996</v>
      </c>
    </row>
    <row r="21245" spans="1:5" x14ac:dyDescent="0.25">
      <c r="A21245" t="str">
        <f>HYPERLINK("https://www.773grp.com/globalSearch/QS74FCT238TS1X/page-1", "QS74FCT238TS1X")</f>
        <v>QS74FCT238TS1X</v>
      </c>
      <c r="B21245" s="3" t="s">
        <v>112</v>
      </c>
      <c r="C21245" s="6">
        <v>10000</v>
      </c>
      <c r="D21245" s="7">
        <v>3.71</v>
      </c>
    </row>
    <row r="21246" spans="1:5" x14ac:dyDescent="0.25">
      <c r="A21246" t="str">
        <f>HYPERLINK("https://www.773grp.com/globalSearch/QS74FCT828BTQX/page-1", "QS74FCT828BTQX")</f>
        <v>QS74FCT828BTQX</v>
      </c>
      <c r="B21246" s="3" t="s">
        <v>112</v>
      </c>
      <c r="C21246" s="6">
        <v>2500</v>
      </c>
      <c r="D21246" s="7">
        <v>3.71</v>
      </c>
    </row>
    <row r="21247" spans="1:5" x14ac:dyDescent="0.25">
      <c r="A21247" t="str">
        <f>HYPERLINK("https://www.773grp.com/globalSearch/QS74FCT828BTSO/page-1", "QS74FCT828BTSO")</f>
        <v>QS74FCT828BTSO</v>
      </c>
      <c r="B21247" s="3" t="s">
        <v>112</v>
      </c>
      <c r="C21247" s="6">
        <v>1419</v>
      </c>
      <c r="D21247" s="7">
        <v>3.71</v>
      </c>
      <c r="E21247" t="s">
        <v>11</v>
      </c>
    </row>
    <row r="21248" spans="1:5" x14ac:dyDescent="0.25">
      <c r="A21248" t="str">
        <f>HYPERLINK("https://www.773grp.com/globalSearch/QS74FCT158ATSO/page-1", "QS74FCT158ATSO")</f>
        <v>QS74FCT158ATSO</v>
      </c>
      <c r="B21248" s="3" t="s">
        <v>112</v>
      </c>
      <c r="C21248" s="6">
        <v>1448</v>
      </c>
      <c r="D21248" s="7">
        <v>4.16</v>
      </c>
      <c r="E21248" t="s">
        <v>16</v>
      </c>
    </row>
    <row r="21249" spans="1:5" x14ac:dyDescent="0.25">
      <c r="A21249" t="str">
        <f>HYPERLINK("https://www.773grp.com/globalSearch/QS74FCT16244CTPV/page-1", "QS74FCT16244CTPV")</f>
        <v>QS74FCT16244CTPV</v>
      </c>
      <c r="B21249" s="3" t="s">
        <v>112</v>
      </c>
      <c r="C21249" s="6">
        <v>93</v>
      </c>
      <c r="D21249" s="7">
        <v>4.16</v>
      </c>
      <c r="E21249" t="s">
        <v>11</v>
      </c>
    </row>
    <row r="21250" spans="1:5" x14ac:dyDescent="0.25">
      <c r="A21250" t="str">
        <f>HYPERLINK("https://www.773grp.com/globalSearch/QS74FCT2257ATS0/page-1", "QS74FCT2257ATS0")</f>
        <v>QS74FCT2257ATS0</v>
      </c>
      <c r="B21250" s="3" t="s">
        <v>112</v>
      </c>
      <c r="C21250" s="6">
        <v>617</v>
      </c>
      <c r="D21250" s="7">
        <v>4.16</v>
      </c>
    </row>
    <row r="21251" spans="1:5" x14ac:dyDescent="0.25">
      <c r="A21251" t="str">
        <f>HYPERLINK("https://www.773grp.com/globalSearch/QS74FCT2257ATS0X/page-1", "QS74FCT2257ATS0X")</f>
        <v>QS74FCT2257ATS0X</v>
      </c>
      <c r="B21251" s="3" t="s">
        <v>112</v>
      </c>
      <c r="C21251" s="6">
        <v>8000</v>
      </c>
      <c r="D21251" s="7">
        <v>4.16</v>
      </c>
    </row>
    <row r="21252" spans="1:5" x14ac:dyDescent="0.25">
      <c r="A21252" t="str">
        <f>HYPERLINK("https://www.773grp.com/globalSearch/QS74FCT253TS1/page-1", "QS74FCT253TS1")</f>
        <v>QS74FCT253TS1</v>
      </c>
      <c r="B21252" s="3" t="s">
        <v>112</v>
      </c>
      <c r="C21252" s="6">
        <v>364</v>
      </c>
      <c r="D21252" s="7">
        <v>4.16</v>
      </c>
      <c r="E21252" t="s">
        <v>16</v>
      </c>
    </row>
    <row r="21253" spans="1:5" x14ac:dyDescent="0.25">
      <c r="A21253" t="str">
        <f>HYPERLINK("https://www.773grp.com/globalSearch/QS74FCT2241TP/page-1", "QS74FCT2241TP")</f>
        <v>QS74FCT2241TP</v>
      </c>
      <c r="B21253" s="3" t="s">
        <v>112</v>
      </c>
      <c r="C21253" s="6">
        <v>43</v>
      </c>
      <c r="D21253" s="7">
        <v>3.8</v>
      </c>
      <c r="E21253" t="s">
        <v>11</v>
      </c>
    </row>
    <row r="21254" spans="1:5" x14ac:dyDescent="0.25">
      <c r="A21254" t="str">
        <f>HYPERLINK("https://www.773grp.com/globalSearch/QS74FCT244TP/page-1", "QS74FCT244TP")</f>
        <v>QS74FCT244TP</v>
      </c>
      <c r="B21254" s="3" t="s">
        <v>112</v>
      </c>
      <c r="C21254" s="6">
        <v>4258</v>
      </c>
      <c r="D21254" s="7">
        <v>3.8</v>
      </c>
      <c r="E21254" t="s">
        <v>11</v>
      </c>
    </row>
    <row r="21255" spans="1:5" x14ac:dyDescent="0.25">
      <c r="A21255" t="str">
        <f>HYPERLINK("https://www.773grp.com/globalSearch/QS74FCT377CTSO/page-1", "QS74FCT377CTSO")</f>
        <v>QS74FCT377CTSO</v>
      </c>
      <c r="B21255" s="3" t="s">
        <v>112</v>
      </c>
      <c r="C21255" s="6">
        <v>764</v>
      </c>
      <c r="D21255" s="7">
        <v>3.8</v>
      </c>
      <c r="E21255" t="s">
        <v>31</v>
      </c>
    </row>
    <row r="21256" spans="1:5" x14ac:dyDescent="0.25">
      <c r="A21256" t="str">
        <f>HYPERLINK("https://www.773grp.com/globalSearch/QS74FCT521TS0/page-1", "QS74FCT521TS0")</f>
        <v>QS74FCT521TS0</v>
      </c>
      <c r="B21256" s="3" t="s">
        <v>112</v>
      </c>
      <c r="C21256" s="6">
        <v>803</v>
      </c>
      <c r="D21256" s="7">
        <v>3.8</v>
      </c>
    </row>
    <row r="21257" spans="1:5" x14ac:dyDescent="0.25">
      <c r="A21257" t="str">
        <f>HYPERLINK("https://www.773grp.com/globalSearch/QS74FCT273ATSOX/page-1", "QS74FCT273ATSOX")</f>
        <v>QS74FCT273ATSOX</v>
      </c>
      <c r="B21257" s="3" t="s">
        <v>112</v>
      </c>
      <c r="C21257" s="6">
        <v>2000</v>
      </c>
      <c r="D21257" s="7">
        <v>4.2300000000000004</v>
      </c>
    </row>
    <row r="21258" spans="1:5" x14ac:dyDescent="0.25">
      <c r="A21258" t="str">
        <f>HYPERLINK("https://www.773grp.com/globalSearch/QS54FCT138ATQ/page-1", "QS54FCT138ATQ")</f>
        <v>QS54FCT138ATQ</v>
      </c>
      <c r="B21258" s="3" t="s">
        <v>112</v>
      </c>
      <c r="C21258" s="6">
        <v>65</v>
      </c>
      <c r="D21258" s="7">
        <v>3.83</v>
      </c>
      <c r="E21258" t="s">
        <v>32</v>
      </c>
    </row>
    <row r="21259" spans="1:5" x14ac:dyDescent="0.25">
      <c r="A21259" t="str">
        <f>HYPERLINK("https://www.773grp.com/globalSearch/QS74FCT2240TSO/page-1", "QS74FCT2240TSO")</f>
        <v>QS74FCT2240TSO</v>
      </c>
      <c r="B21259" s="3" t="s">
        <v>112</v>
      </c>
      <c r="C21259" s="6">
        <v>1318</v>
      </c>
      <c r="D21259" s="7">
        <v>3.83</v>
      </c>
      <c r="E21259" t="s">
        <v>11</v>
      </c>
    </row>
    <row r="21260" spans="1:5" x14ac:dyDescent="0.25">
      <c r="A21260" t="str">
        <f>HYPERLINK("https://www.773grp.com/globalSearch/QS74FCT2241TSO/page-1", "QS74FCT2241TSO")</f>
        <v>QS74FCT2241TSO</v>
      </c>
      <c r="B21260" s="3" t="s">
        <v>112</v>
      </c>
      <c r="C21260" s="6">
        <v>377</v>
      </c>
      <c r="D21260" s="7">
        <v>3.83</v>
      </c>
      <c r="E21260" t="s">
        <v>11</v>
      </c>
    </row>
    <row r="21261" spans="1:5" x14ac:dyDescent="0.25">
      <c r="A21261" t="str">
        <f>HYPERLINK("https://www.773grp.com/globalSearch/QS74FCT241TSO/page-1", "QS74FCT241TSO")</f>
        <v>QS74FCT241TSO</v>
      </c>
      <c r="B21261" s="3" t="s">
        <v>112</v>
      </c>
      <c r="C21261" s="6">
        <v>790</v>
      </c>
      <c r="D21261" s="7">
        <v>3.83</v>
      </c>
      <c r="E21261" t="s">
        <v>11</v>
      </c>
    </row>
    <row r="21262" spans="1:5" x14ac:dyDescent="0.25">
      <c r="A21262" t="str">
        <f>HYPERLINK("https://www.773grp.com/globalSearch/QS74FCT244ATP/page-1", "QS74FCT244ATP")</f>
        <v>QS74FCT244ATP</v>
      </c>
      <c r="B21262" s="3" t="s">
        <v>112</v>
      </c>
      <c r="C21262" s="6">
        <v>33191</v>
      </c>
      <c r="D21262" s="7">
        <v>3.83</v>
      </c>
      <c r="E21262" t="s">
        <v>11</v>
      </c>
    </row>
    <row r="21263" spans="1:5" x14ac:dyDescent="0.25">
      <c r="A21263" t="str">
        <f>HYPERLINK("https://www.773grp.com/globalSearch/QS74FCT2823ATP/page-1", "QS74FCT2823ATP")</f>
        <v>QS74FCT2823ATP</v>
      </c>
      <c r="B21263" s="3" t="s">
        <v>112</v>
      </c>
      <c r="C21263" s="6">
        <v>906</v>
      </c>
      <c r="D21263" s="7">
        <v>3.83</v>
      </c>
      <c r="E21263" t="s">
        <v>11</v>
      </c>
    </row>
    <row r="21264" spans="1:5" x14ac:dyDescent="0.25">
      <c r="A21264" t="str">
        <f>HYPERLINK("https://www.773grp.com/globalSearch/QS74FCT2X240ATQ2/page-1", "QS74FCT2X240ATQ2")</f>
        <v>QS74FCT2X240ATQ2</v>
      </c>
      <c r="B21264" s="3" t="s">
        <v>112</v>
      </c>
      <c r="C21264" s="6">
        <v>596</v>
      </c>
      <c r="D21264" s="7">
        <v>3.83</v>
      </c>
      <c r="E21264" t="s">
        <v>11</v>
      </c>
    </row>
    <row r="21265" spans="1:5" x14ac:dyDescent="0.25">
      <c r="A21265" t="str">
        <f>HYPERLINK("https://www.773grp.com/globalSearch/QS74FCT2X3244AQ2/page-1", "QS74FCT2X3244AQ2")</f>
        <v>QS74FCT2X3244AQ2</v>
      </c>
      <c r="B21265" s="3" t="s">
        <v>112</v>
      </c>
      <c r="C21265" s="6">
        <v>517</v>
      </c>
      <c r="D21265" s="7">
        <v>3.83</v>
      </c>
      <c r="E21265" t="s">
        <v>11</v>
      </c>
    </row>
    <row r="21266" spans="1:5" x14ac:dyDescent="0.25">
      <c r="A21266" t="str">
        <f>HYPERLINK("https://www.773grp.com/globalSearch/QS74FCT2X3245AQ2/page-1", "QS74FCT2X3245AQ2")</f>
        <v>QS74FCT2X3245AQ2</v>
      </c>
      <c r="B21266" s="3" t="s">
        <v>112</v>
      </c>
      <c r="C21266" s="6">
        <v>617</v>
      </c>
      <c r="D21266" s="7">
        <v>3.83</v>
      </c>
      <c r="E21266" t="s">
        <v>11</v>
      </c>
    </row>
    <row r="21267" spans="1:5" x14ac:dyDescent="0.25">
      <c r="A21267" t="str">
        <f>HYPERLINK("https://www.773grp.com/globalSearch/QS74FCT2X3245Q2/page-1", "QS74FCT2X3245Q2")</f>
        <v>QS74FCT2X3245Q2</v>
      </c>
      <c r="B21267" s="3" t="s">
        <v>112</v>
      </c>
      <c r="C21267" s="6">
        <v>318</v>
      </c>
      <c r="D21267" s="7">
        <v>3.83</v>
      </c>
      <c r="E21267" t="s">
        <v>11</v>
      </c>
    </row>
    <row r="21268" spans="1:5" x14ac:dyDescent="0.25">
      <c r="A21268" t="str">
        <f>HYPERLINK("https://www.773grp.com/globalSearch/QS74FCT157TS1/page-1", "QS74FCT157TS1")</f>
        <v>QS74FCT157TS1</v>
      </c>
      <c r="B21268" s="3" t="s">
        <v>112</v>
      </c>
      <c r="C21268" s="6">
        <v>2727</v>
      </c>
      <c r="D21268" s="7">
        <v>3.85</v>
      </c>
      <c r="E21268" t="s">
        <v>16</v>
      </c>
    </row>
    <row r="21269" spans="1:5" x14ac:dyDescent="0.25">
      <c r="A21269" t="str">
        <f>HYPERLINK("https://www.773grp.com/globalSearch/QS74FCT2153TSO/page-1", "QS74FCT2153TSO")</f>
        <v>QS74FCT2153TSO</v>
      </c>
      <c r="B21269" s="3" t="s">
        <v>112</v>
      </c>
      <c r="C21269" s="6">
        <v>558</v>
      </c>
      <c r="D21269" s="7">
        <v>3.85</v>
      </c>
      <c r="E21269" t="s">
        <v>16</v>
      </c>
    </row>
    <row r="21270" spans="1:5" x14ac:dyDescent="0.25">
      <c r="A21270" t="str">
        <f>HYPERLINK("https://www.773grp.com/globalSearch/QS74FCT2273TS0/page-1", "QS74FCT2273TS0")</f>
        <v>QS74FCT2273TS0</v>
      </c>
      <c r="B21270" s="3" t="s">
        <v>112</v>
      </c>
      <c r="C21270" s="6">
        <v>4372</v>
      </c>
      <c r="D21270" s="7">
        <v>3.85</v>
      </c>
    </row>
    <row r="21271" spans="1:5" x14ac:dyDescent="0.25">
      <c r="A21271" t="str">
        <f>HYPERLINK("https://www.773grp.com/globalSearch/QS74FCT377TQ/page-1", "QS74FCT377TQ")</f>
        <v>QS74FCT377TQ</v>
      </c>
      <c r="B21271" s="3" t="s">
        <v>112</v>
      </c>
      <c r="C21271" s="6">
        <v>2094</v>
      </c>
      <c r="D21271" s="7">
        <v>3.85</v>
      </c>
      <c r="E21271" t="s">
        <v>31</v>
      </c>
    </row>
    <row r="21272" spans="1:5" x14ac:dyDescent="0.25">
      <c r="A21272" t="str">
        <f>HYPERLINK("https://www.773grp.com/globalSearch/QS54FCT2573TQ/page-1", "QS54FCT2573TQ")</f>
        <v>QS54FCT2573TQ</v>
      </c>
      <c r="B21272" s="3" t="s">
        <v>112</v>
      </c>
      <c r="C21272" s="6">
        <v>302</v>
      </c>
      <c r="D21272" s="7">
        <v>4.28</v>
      </c>
      <c r="E21272" t="s">
        <v>11</v>
      </c>
    </row>
    <row r="21273" spans="1:5" x14ac:dyDescent="0.25">
      <c r="A21273" t="str">
        <f>HYPERLINK("https://www.773grp.com/globalSearch/QS54FCT373ATQ/page-1", "QS54FCT373ATQ")</f>
        <v>QS54FCT373ATQ</v>
      </c>
      <c r="B21273" s="3" t="s">
        <v>112</v>
      </c>
      <c r="C21273" s="6">
        <v>1914</v>
      </c>
      <c r="D21273" s="7">
        <v>4.28</v>
      </c>
      <c r="E21273" t="s">
        <v>11</v>
      </c>
    </row>
    <row r="21274" spans="1:5" x14ac:dyDescent="0.25">
      <c r="A21274" t="str">
        <f>HYPERLINK("https://www.773grp.com/globalSearch/QS54FCT373TQ/page-1", "QS54FCT373TQ")</f>
        <v>QS54FCT373TQ</v>
      </c>
      <c r="B21274" s="3" t="s">
        <v>112</v>
      </c>
      <c r="C21274" s="6">
        <v>156</v>
      </c>
      <c r="D21274" s="7">
        <v>4.28</v>
      </c>
      <c r="E21274" t="s">
        <v>11</v>
      </c>
    </row>
    <row r="21275" spans="1:5" x14ac:dyDescent="0.25">
      <c r="A21275" t="str">
        <f>HYPERLINK("https://www.773grp.com/globalSearch/QS74FCT158ATSOX/page-1", "QS74FCT158ATSOX")</f>
        <v>QS74FCT158ATSOX</v>
      </c>
      <c r="B21275" s="3" t="s">
        <v>112</v>
      </c>
      <c r="C21275" s="6">
        <v>32000</v>
      </c>
      <c r="D21275" s="7">
        <v>4.28</v>
      </c>
    </row>
    <row r="21276" spans="1:5" x14ac:dyDescent="0.25">
      <c r="A21276" t="str">
        <f>HYPERLINK("https://www.773grp.com/globalSearch/QS32XL383Q1L/page-1", "QS32XL383Q1L")</f>
        <v>QS32XL383Q1L</v>
      </c>
      <c r="B21276" s="3" t="s">
        <v>112</v>
      </c>
      <c r="C21276" s="6">
        <v>698</v>
      </c>
      <c r="D21276" s="7">
        <v>3.89</v>
      </c>
    </row>
    <row r="21277" spans="1:5" x14ac:dyDescent="0.25">
      <c r="A21277" t="str">
        <f>HYPERLINK("https://www.773grp.com/globalSearch/QS74FCT157TP/page-1", "QS74FCT157TP")</f>
        <v>QS74FCT157TP</v>
      </c>
      <c r="B21277" s="3" t="s">
        <v>112</v>
      </c>
      <c r="C21277" s="6">
        <v>4420</v>
      </c>
      <c r="D21277" s="7">
        <v>3.89</v>
      </c>
      <c r="E21277" t="s">
        <v>16</v>
      </c>
    </row>
    <row r="21278" spans="1:5" x14ac:dyDescent="0.25">
      <c r="A21278" t="str">
        <f>HYPERLINK("https://www.773grp.com/globalSearch/QS74FCT273TP/page-1", "QS74FCT273TP")</f>
        <v>QS74FCT273TP</v>
      </c>
      <c r="B21278" s="3" t="s">
        <v>112</v>
      </c>
      <c r="C21278" s="6">
        <v>18</v>
      </c>
      <c r="D21278" s="7">
        <v>3.89</v>
      </c>
      <c r="E21278" t="s">
        <v>31</v>
      </c>
    </row>
    <row r="21279" spans="1:5" x14ac:dyDescent="0.25">
      <c r="A21279" t="str">
        <f>HYPERLINK("https://www.773grp.com/globalSearch/QS74FCT2827ATS0/page-1", "QS74FCT2827ATS0")</f>
        <v>QS74FCT2827ATS0</v>
      </c>
      <c r="B21279" s="3" t="s">
        <v>112</v>
      </c>
      <c r="C21279" s="6">
        <v>6854</v>
      </c>
      <c r="D21279" s="7">
        <v>4.33</v>
      </c>
    </row>
    <row r="21280" spans="1:5" x14ac:dyDescent="0.25">
      <c r="A21280" t="str">
        <f>HYPERLINK("https://www.773grp.com/globalSearch/QS74FCT540CTS0/page-1", "QS74FCT540CTS0")</f>
        <v>QS74FCT540CTS0</v>
      </c>
      <c r="B21280" s="3" t="s">
        <v>112</v>
      </c>
      <c r="C21280" s="6">
        <v>1262</v>
      </c>
      <c r="D21280" s="7">
        <v>4.33</v>
      </c>
    </row>
    <row r="21281" spans="1:5" x14ac:dyDescent="0.25">
      <c r="A21281" t="str">
        <f>HYPERLINK("https://www.773grp.com/globalSearch/QS74FCT541CTQ-S253/page-1", "QS74FCT541CTQ-S253")</f>
        <v>QS74FCT541CTQ-S253</v>
      </c>
      <c r="B21281" s="3" t="s">
        <v>112</v>
      </c>
      <c r="C21281" s="6">
        <v>71</v>
      </c>
      <c r="D21281" s="7">
        <v>4.33</v>
      </c>
    </row>
    <row r="21282" spans="1:5" x14ac:dyDescent="0.25">
      <c r="A21282" t="str">
        <f>HYPERLINK("https://www.773grp.com/globalSearch/QS74FCT574CTS0/page-1", "QS74FCT574CTS0")</f>
        <v>QS74FCT574CTS0</v>
      </c>
      <c r="B21282" s="3" t="s">
        <v>112</v>
      </c>
      <c r="C21282" s="6">
        <v>152</v>
      </c>
      <c r="D21282" s="7">
        <v>4.33</v>
      </c>
    </row>
    <row r="21283" spans="1:5" x14ac:dyDescent="0.25">
      <c r="A21283" t="str">
        <f>HYPERLINK("https://www.773grp.com/globalSearch/QS74FCT841ATS0/page-1", "QS74FCT841ATS0")</f>
        <v>QS74FCT841ATS0</v>
      </c>
      <c r="B21283" s="3" t="s">
        <v>112</v>
      </c>
      <c r="C21283" s="6">
        <v>7528</v>
      </c>
      <c r="D21283" s="7">
        <v>4.33</v>
      </c>
    </row>
    <row r="21284" spans="1:5" x14ac:dyDescent="0.25">
      <c r="A21284" t="str">
        <f>HYPERLINK("https://www.773grp.com/globalSearch/QS74FCT377TSOX/page-1", "QS74FCT377TSOX")</f>
        <v>QS74FCT377TSOX</v>
      </c>
      <c r="B21284" s="3" t="s">
        <v>112</v>
      </c>
      <c r="C21284" s="6">
        <v>3000</v>
      </c>
      <c r="D21284" s="7">
        <v>3.96</v>
      </c>
    </row>
    <row r="21285" spans="1:5" x14ac:dyDescent="0.25">
      <c r="A21285" t="str">
        <f>HYPERLINK("https://www.773grp.com/globalSearch/QS74FCT540TSO/page-1", "QS74FCT540TSO")</f>
        <v>QS74FCT540TSO</v>
      </c>
      <c r="B21285" s="3" t="s">
        <v>112</v>
      </c>
      <c r="C21285" s="6">
        <v>1386</v>
      </c>
      <c r="D21285" s="7">
        <v>3.96</v>
      </c>
      <c r="E21285" t="s">
        <v>11</v>
      </c>
    </row>
    <row r="21286" spans="1:5" x14ac:dyDescent="0.25">
      <c r="A21286" t="str">
        <f>HYPERLINK("https://www.773grp.com/globalSearch/QS74FCT640TS0/page-1", "QS74FCT640TS0")</f>
        <v>QS74FCT640TS0</v>
      </c>
      <c r="B21286" s="3" t="s">
        <v>112</v>
      </c>
      <c r="C21286" s="6">
        <v>1710</v>
      </c>
      <c r="D21286" s="7">
        <v>3.96</v>
      </c>
    </row>
    <row r="21287" spans="1:5" x14ac:dyDescent="0.25">
      <c r="A21287" t="str">
        <f>HYPERLINK("https://www.773grp.com/globalSearch/QS74FCT161CTQ/page-1", "QS74FCT161CTQ")</f>
        <v>QS74FCT161CTQ</v>
      </c>
      <c r="B21287" s="3" t="s">
        <v>112</v>
      </c>
      <c r="C21287" s="6">
        <v>2256</v>
      </c>
      <c r="D21287" s="7">
        <v>4</v>
      </c>
      <c r="E21287" t="s">
        <v>22</v>
      </c>
    </row>
    <row r="21288" spans="1:5" x14ac:dyDescent="0.25">
      <c r="A21288" t="str">
        <f>HYPERLINK("https://www.773grp.com/globalSearch/QS74FCT161CTS0/page-1", "QS74FCT161CTS0")</f>
        <v>QS74FCT161CTS0</v>
      </c>
      <c r="B21288" s="3" t="s">
        <v>112</v>
      </c>
      <c r="C21288" s="6">
        <v>4990</v>
      </c>
      <c r="D21288" s="7">
        <v>4</v>
      </c>
    </row>
    <row r="21289" spans="1:5" x14ac:dyDescent="0.25">
      <c r="A21289" t="str">
        <f>HYPERLINK("https://www.773grp.com/globalSearch/QS74FCT161CTSO/page-1", "QS74FCT161CTSO")</f>
        <v>QS74FCT161CTSO</v>
      </c>
      <c r="B21289" s="3" t="s">
        <v>112</v>
      </c>
      <c r="C21289" s="6">
        <v>66</v>
      </c>
      <c r="D21289" s="7">
        <v>4</v>
      </c>
      <c r="E21289" t="s">
        <v>22</v>
      </c>
    </row>
    <row r="21290" spans="1:5" x14ac:dyDescent="0.25">
      <c r="A21290" t="str">
        <f>HYPERLINK("https://www.773grp.com/globalSearch/QS74FCT2163CTSO/page-1", "QS74FCT2163CTSO")</f>
        <v>QS74FCT2163CTSO</v>
      </c>
      <c r="B21290" s="3" t="s">
        <v>112</v>
      </c>
      <c r="C21290" s="6">
        <v>570</v>
      </c>
      <c r="D21290" s="7">
        <v>4</v>
      </c>
      <c r="E21290" t="s">
        <v>22</v>
      </c>
    </row>
    <row r="21291" spans="1:5" x14ac:dyDescent="0.25">
      <c r="A21291" t="str">
        <f>HYPERLINK("https://www.773grp.com/globalSearch/QS74FCT253CTSO/page-1", "QS74FCT253CTSO")</f>
        <v>QS74FCT253CTSO</v>
      </c>
      <c r="B21291" s="3" t="s">
        <v>112</v>
      </c>
      <c r="C21291" s="6">
        <v>121</v>
      </c>
      <c r="D21291" s="7">
        <v>4</v>
      </c>
      <c r="E21291" t="s">
        <v>16</v>
      </c>
    </row>
    <row r="21292" spans="1:5" x14ac:dyDescent="0.25">
      <c r="A21292" t="str">
        <f>HYPERLINK("https://www.773grp.com/globalSearch/QS74FCT3240SO/page-1", "QS74FCT3240SO")</f>
        <v>QS74FCT3240SO</v>
      </c>
      <c r="B21292" s="3" t="s">
        <v>112</v>
      </c>
      <c r="C21292" s="6">
        <v>178</v>
      </c>
      <c r="D21292" s="7">
        <v>4</v>
      </c>
      <c r="E21292" t="s">
        <v>11</v>
      </c>
    </row>
    <row r="21293" spans="1:5" x14ac:dyDescent="0.25">
      <c r="A21293" t="str">
        <f>HYPERLINK("https://www.773grp.com/globalSearch/QS54FCT2245CTQ/page-1", "QS54FCT2245CTQ")</f>
        <v>QS54FCT2245CTQ</v>
      </c>
      <c r="B21293" s="3" t="s">
        <v>112</v>
      </c>
      <c r="C21293" s="6">
        <v>1002</v>
      </c>
      <c r="D21293" s="7">
        <v>4.01</v>
      </c>
      <c r="E21293" t="s">
        <v>11</v>
      </c>
    </row>
    <row r="21294" spans="1:5" x14ac:dyDescent="0.25">
      <c r="A21294" t="str">
        <f>HYPERLINK("https://www.773grp.com/globalSearch/QS74FCT2374CTQ/page-1", "QS74FCT2374CTQ")</f>
        <v>QS74FCT2374CTQ</v>
      </c>
      <c r="B21294" s="3" t="s">
        <v>112</v>
      </c>
      <c r="C21294" s="6">
        <v>1500</v>
      </c>
      <c r="D21294" s="7">
        <v>4.01</v>
      </c>
      <c r="E21294" t="s">
        <v>11</v>
      </c>
    </row>
    <row r="21295" spans="1:5" x14ac:dyDescent="0.25">
      <c r="A21295" t="str">
        <f>HYPERLINK("https://www.773grp.com/globalSearch/QS74FCT373CTQ/page-1", "QS74FCT373CTQ")</f>
        <v>QS74FCT373CTQ</v>
      </c>
      <c r="B21295" s="3" t="s">
        <v>112</v>
      </c>
      <c r="C21295" s="6">
        <v>2</v>
      </c>
      <c r="D21295" s="7">
        <v>4.01</v>
      </c>
      <c r="E21295" t="s">
        <v>11</v>
      </c>
    </row>
    <row r="21296" spans="1:5" x14ac:dyDescent="0.25">
      <c r="A21296" t="str">
        <f>HYPERLINK("https://www.773grp.com/globalSearch/QS74FCT373CTSO/page-1", "QS74FCT373CTSO")</f>
        <v>QS74FCT373CTSO</v>
      </c>
      <c r="B21296" s="3" t="s">
        <v>112</v>
      </c>
      <c r="C21296" s="6">
        <v>217</v>
      </c>
      <c r="D21296" s="7">
        <v>4.01</v>
      </c>
      <c r="E21296" t="s">
        <v>11</v>
      </c>
    </row>
    <row r="21297" spans="1:5" x14ac:dyDescent="0.25">
      <c r="A21297" t="str">
        <f>HYPERLINK("https://www.773grp.com/globalSearch/QS74FCT573CTSO/page-1", "QS74FCT573CTSO")</f>
        <v>QS74FCT573CTSO</v>
      </c>
      <c r="B21297" s="3" t="s">
        <v>112</v>
      </c>
      <c r="C21297" s="6">
        <v>64</v>
      </c>
      <c r="D21297" s="7">
        <v>4.01</v>
      </c>
      <c r="E21297" t="s">
        <v>11</v>
      </c>
    </row>
    <row r="21298" spans="1:5" x14ac:dyDescent="0.25">
      <c r="A21298" t="str">
        <f>HYPERLINK("https://www.773grp.com/globalSearch/QS74FCT2244CTSO/page-1", "QS74FCT2244CTSO")</f>
        <v>QS74FCT2244CTSO</v>
      </c>
      <c r="B21298" s="3" t="s">
        <v>112</v>
      </c>
      <c r="C21298" s="6">
        <v>5594</v>
      </c>
      <c r="D21298" s="7">
        <v>4.49</v>
      </c>
      <c r="E21298" t="s">
        <v>11</v>
      </c>
    </row>
    <row r="21299" spans="1:5" x14ac:dyDescent="0.25">
      <c r="A21299" t="str">
        <f>HYPERLINK("https://www.773grp.com/globalSearch/QS74FCT241TS0/page-1", "QS74FCT241TS0")</f>
        <v>QS74FCT241TS0</v>
      </c>
      <c r="B21299" s="3" t="s">
        <v>112</v>
      </c>
      <c r="C21299" s="6">
        <v>76</v>
      </c>
      <c r="D21299" s="7">
        <v>4.49</v>
      </c>
    </row>
    <row r="21300" spans="1:5" x14ac:dyDescent="0.25">
      <c r="A21300" t="str">
        <f>HYPERLINK("https://www.773grp.com/globalSearch/QS74FCT3573Q/page-1", "QS74FCT3573Q")</f>
        <v>QS74FCT3573Q</v>
      </c>
      <c r="B21300" s="3" t="s">
        <v>112</v>
      </c>
      <c r="C21300" s="6">
        <v>2788</v>
      </c>
      <c r="D21300" s="7">
        <v>4.49</v>
      </c>
      <c r="E21300" t="s">
        <v>11</v>
      </c>
    </row>
    <row r="21301" spans="1:5" x14ac:dyDescent="0.25">
      <c r="A21301" t="str">
        <f>HYPERLINK("https://www.773grp.com/globalSearch/QS54FCT273ATS0/page-1", "QS54FCT273ATS0")</f>
        <v>QS54FCT273ATS0</v>
      </c>
      <c r="B21301" s="3" t="s">
        <v>112</v>
      </c>
      <c r="C21301" s="6">
        <v>415</v>
      </c>
      <c r="D21301" s="7">
        <v>4.09</v>
      </c>
    </row>
    <row r="21302" spans="1:5" x14ac:dyDescent="0.25">
      <c r="A21302" t="str">
        <f>HYPERLINK("https://www.773grp.com/globalSearch/QS54FCT273ATSO/page-1", "QS54FCT273ATSO")</f>
        <v>QS54FCT273ATSO</v>
      </c>
      <c r="B21302" s="3" t="s">
        <v>112</v>
      </c>
      <c r="C21302" s="6">
        <v>164</v>
      </c>
      <c r="D21302" s="7">
        <v>4.09</v>
      </c>
      <c r="E21302" t="s">
        <v>31</v>
      </c>
    </row>
    <row r="21303" spans="1:5" x14ac:dyDescent="0.25">
      <c r="A21303" t="str">
        <f>HYPERLINK("https://www.773grp.com/globalSearch/QS74FCT240TQ/page-1", "QS74FCT240TQ")</f>
        <v>QS74FCT240TQ</v>
      </c>
      <c r="B21303" s="3" t="s">
        <v>112</v>
      </c>
      <c r="C21303" s="6">
        <v>1402</v>
      </c>
      <c r="D21303" s="7">
        <v>4.09</v>
      </c>
      <c r="E21303" t="s">
        <v>11</v>
      </c>
    </row>
    <row r="21304" spans="1:5" x14ac:dyDescent="0.25">
      <c r="A21304" t="str">
        <f>HYPERLINK("https://www.773grp.com/globalSearch/QS54FCT245CTS0/page-1", "QS54FCT245CTS0")</f>
        <v>QS54FCT245CTS0</v>
      </c>
      <c r="B21304" s="3" t="s">
        <v>112</v>
      </c>
      <c r="C21304" s="6">
        <v>3567</v>
      </c>
      <c r="D21304" s="7">
        <v>4.54</v>
      </c>
    </row>
    <row r="21305" spans="1:5" x14ac:dyDescent="0.25">
      <c r="A21305" t="str">
        <f>HYPERLINK("https://www.773grp.com/globalSearch/QS54FCT245CTSO/page-1", "QS54FCT245CTSO")</f>
        <v>QS54FCT245CTSO</v>
      </c>
      <c r="B21305" s="3" t="s">
        <v>112</v>
      </c>
      <c r="C21305" s="6">
        <v>69</v>
      </c>
      <c r="D21305" s="7">
        <v>4.54</v>
      </c>
      <c r="E21305" t="s">
        <v>11</v>
      </c>
    </row>
    <row r="21306" spans="1:5" x14ac:dyDescent="0.25">
      <c r="A21306" t="str">
        <f>HYPERLINK("https://www.773grp.com/globalSearch/QS54FCT2573ATQ/page-1", "QS54FCT2573ATQ")</f>
        <v>QS54FCT2573ATQ</v>
      </c>
      <c r="B21306" s="3" t="s">
        <v>112</v>
      </c>
      <c r="C21306" s="6">
        <v>209</v>
      </c>
      <c r="D21306" s="7">
        <v>4.54</v>
      </c>
      <c r="E21306" t="s">
        <v>11</v>
      </c>
    </row>
    <row r="21307" spans="1:5" x14ac:dyDescent="0.25">
      <c r="A21307" t="str">
        <f>HYPERLINK("https://www.773grp.com/globalSearch/QS54FCT374TQ/page-1", "QS54FCT374TQ")</f>
        <v>QS54FCT374TQ</v>
      </c>
      <c r="B21307" s="3" t="s">
        <v>112</v>
      </c>
      <c r="C21307" s="6">
        <v>67</v>
      </c>
      <c r="D21307" s="7">
        <v>4.54</v>
      </c>
      <c r="E21307" t="s">
        <v>11</v>
      </c>
    </row>
    <row r="21308" spans="1:5" x14ac:dyDescent="0.25">
      <c r="A21308" t="str">
        <f>HYPERLINK("https://www.773grp.com/globalSearch/QS54FCT540ATQ/page-1", "QS54FCT540ATQ")</f>
        <v>QS54FCT540ATQ</v>
      </c>
      <c r="B21308" s="3" t="s">
        <v>112</v>
      </c>
      <c r="C21308" s="6">
        <v>502</v>
      </c>
      <c r="D21308" s="7">
        <v>4.54</v>
      </c>
      <c r="E21308" t="s">
        <v>11</v>
      </c>
    </row>
    <row r="21309" spans="1:5" x14ac:dyDescent="0.25">
      <c r="A21309" t="str">
        <f>HYPERLINK("https://www.773grp.com/globalSearch/QS74FCT646ATQX/page-1", "QS74FCT646ATQX")</f>
        <v>QS74FCT646ATQX</v>
      </c>
      <c r="B21309" s="3" t="s">
        <v>112</v>
      </c>
      <c r="C21309" s="6">
        <v>30000</v>
      </c>
      <c r="D21309" s="7">
        <v>4.0999999999999996</v>
      </c>
    </row>
    <row r="21310" spans="1:5" x14ac:dyDescent="0.25">
      <c r="A21310" t="str">
        <f>HYPERLINK("https://www.773grp.com/globalSearch/QS74FCT651TQ/page-1", "QS74FCT651TQ")</f>
        <v>QS74FCT651TQ</v>
      </c>
      <c r="B21310" s="3" t="s">
        <v>112</v>
      </c>
      <c r="C21310" s="6">
        <v>1022</v>
      </c>
      <c r="D21310" s="7">
        <v>4.0999999999999996</v>
      </c>
      <c r="E21310" t="s">
        <v>11</v>
      </c>
    </row>
    <row r="21311" spans="1:5" x14ac:dyDescent="0.25">
      <c r="A21311" t="str">
        <f>HYPERLINK("https://www.773grp.com/globalSearch/QS74FCT157CTSO/page-1", "QS74FCT157CTSO")</f>
        <v>QS74FCT157CTSO</v>
      </c>
      <c r="B21311" s="3" t="s">
        <v>112</v>
      </c>
      <c r="C21311" s="6">
        <v>291</v>
      </c>
      <c r="D21311" s="7">
        <v>4.16</v>
      </c>
      <c r="E21311" t="s">
        <v>16</v>
      </c>
    </row>
    <row r="21312" spans="1:5" x14ac:dyDescent="0.25">
      <c r="A21312" t="str">
        <f>HYPERLINK("https://www.773grp.com/globalSearch/QS74FCT253CTQ/page-1", "QS74FCT253CTQ")</f>
        <v>QS74FCT253CTQ</v>
      </c>
      <c r="B21312" s="3" t="s">
        <v>112</v>
      </c>
      <c r="C21312" s="6">
        <v>240</v>
      </c>
      <c r="D21312" s="7">
        <v>4.16</v>
      </c>
      <c r="E21312" t="s">
        <v>16</v>
      </c>
    </row>
    <row r="21313" spans="1:5" x14ac:dyDescent="0.25">
      <c r="A21313" t="str">
        <f>HYPERLINK("https://www.773grp.com/globalSearch/QS74FCT2273TQ/page-1", "QS74FCT2273TQ")</f>
        <v>QS74FCT2273TQ</v>
      </c>
      <c r="B21313" s="3" t="s">
        <v>112</v>
      </c>
      <c r="C21313" s="6">
        <v>2500</v>
      </c>
      <c r="D21313" s="7">
        <v>4.6399999999999997</v>
      </c>
      <c r="E21313" t="s">
        <v>31</v>
      </c>
    </row>
    <row r="21314" spans="1:5" x14ac:dyDescent="0.25">
      <c r="A21314" t="str">
        <f>HYPERLINK("https://www.773grp.com/globalSearch/QS74FCT191TSI/page-1", "QS74FCT191TSI")</f>
        <v>QS74FCT191TSI</v>
      </c>
      <c r="B21314" s="3" t="s">
        <v>112</v>
      </c>
      <c r="C21314" s="6">
        <v>232</v>
      </c>
      <c r="D21314" s="7">
        <v>4.2300000000000004</v>
      </c>
    </row>
    <row r="21315" spans="1:5" x14ac:dyDescent="0.25">
      <c r="A21315" t="str">
        <f>HYPERLINK("https://www.773grp.com/globalSearch/QS74FCT253TQ/page-1", "QS74FCT253TQ")</f>
        <v>QS74FCT253TQ</v>
      </c>
      <c r="B21315" s="3" t="s">
        <v>112</v>
      </c>
      <c r="C21315" s="6">
        <v>2279</v>
      </c>
      <c r="D21315" s="7">
        <v>4.2300000000000004</v>
      </c>
      <c r="E21315" t="s">
        <v>16</v>
      </c>
    </row>
    <row r="21316" spans="1:5" x14ac:dyDescent="0.25">
      <c r="A21316" t="str">
        <f>HYPERLINK("https://www.773grp.com/globalSearch/QS74FCT521BTS0/page-1", "QS74FCT521BTS0")</f>
        <v>QS74FCT521BTS0</v>
      </c>
      <c r="B21316" s="3" t="s">
        <v>112</v>
      </c>
      <c r="C21316" s="6">
        <v>4368</v>
      </c>
      <c r="D21316" s="7">
        <v>4.2300000000000004</v>
      </c>
    </row>
    <row r="21317" spans="1:5" x14ac:dyDescent="0.25">
      <c r="A21317" t="str">
        <f>HYPERLINK("https://www.773grp.com/globalSearch/QS74FCT521BTSO/page-1", "QS74FCT521BTSO")</f>
        <v>QS74FCT521BTSO</v>
      </c>
      <c r="B21317" s="3" t="s">
        <v>112</v>
      </c>
      <c r="C21317" s="6">
        <v>60</v>
      </c>
      <c r="D21317" s="7">
        <v>4.2300000000000004</v>
      </c>
      <c r="E21317" t="s">
        <v>38</v>
      </c>
    </row>
    <row r="21318" spans="1:5" x14ac:dyDescent="0.25">
      <c r="A21318" t="str">
        <f>HYPERLINK("https://www.773grp.com/globalSearch/QS74FCT521CTQ/page-1", "QS74FCT521CTQ")</f>
        <v>QS74FCT521CTQ</v>
      </c>
      <c r="B21318" s="3" t="s">
        <v>112</v>
      </c>
      <c r="C21318" s="6">
        <v>318</v>
      </c>
      <c r="D21318" s="7">
        <v>4.2300000000000004</v>
      </c>
      <c r="E21318" t="s">
        <v>38</v>
      </c>
    </row>
    <row r="21319" spans="1:5" x14ac:dyDescent="0.25">
      <c r="A21319" t="str">
        <f>HYPERLINK("https://www.773grp.com/globalSearch/QS74FCT521CTS0/page-1", "QS74FCT521CTS0")</f>
        <v>QS74FCT521CTS0</v>
      </c>
      <c r="B21319" s="3" t="s">
        <v>112</v>
      </c>
      <c r="C21319" s="6">
        <v>6212</v>
      </c>
      <c r="D21319" s="7">
        <v>4.2300000000000004</v>
      </c>
    </row>
    <row r="21320" spans="1:5" x14ac:dyDescent="0.25">
      <c r="A21320" t="str">
        <f>HYPERLINK("https://www.773grp.com/globalSearch/QS74FCT521CTS0X/page-1", "QS74FCT521CTS0X")</f>
        <v>QS74FCT521CTS0X</v>
      </c>
      <c r="B21320" s="3" t="s">
        <v>112</v>
      </c>
      <c r="C21320" s="6">
        <v>1000</v>
      </c>
      <c r="D21320" s="7">
        <v>4.2300000000000004</v>
      </c>
    </row>
    <row r="21321" spans="1:5" x14ac:dyDescent="0.25">
      <c r="A21321" t="str">
        <f>HYPERLINK("https://www.773grp.com/globalSearch/QS74FCT521CTSOX/page-1", "QS74FCT521CTSOX")</f>
        <v>QS74FCT521CTSOX</v>
      </c>
      <c r="B21321" s="3" t="s">
        <v>112</v>
      </c>
      <c r="C21321" s="6">
        <v>6000</v>
      </c>
      <c r="D21321" s="7">
        <v>4.2300000000000004</v>
      </c>
    </row>
    <row r="21322" spans="1:5" x14ac:dyDescent="0.25">
      <c r="A21322" t="str">
        <f>HYPERLINK("https://www.773grp.com/globalSearch/QS74FCT521TQ/page-1", "QS74FCT521TQ")</f>
        <v>QS74FCT521TQ</v>
      </c>
      <c r="B21322" s="3" t="s">
        <v>112</v>
      </c>
      <c r="C21322" s="6">
        <v>2113</v>
      </c>
      <c r="D21322" s="7">
        <v>4.2300000000000004</v>
      </c>
      <c r="E21322" t="s">
        <v>38</v>
      </c>
    </row>
    <row r="21323" spans="1:5" x14ac:dyDescent="0.25">
      <c r="A21323" t="str">
        <f>HYPERLINK("https://www.773grp.com/globalSearch/QS74FCT162240CTPV/page-1", "QS74FCT162240CTPV")</f>
        <v>QS74FCT162240CTPV</v>
      </c>
      <c r="B21323" s="3" t="s">
        <v>112</v>
      </c>
      <c r="C21323" s="6">
        <v>7454</v>
      </c>
      <c r="D21323" s="7">
        <v>4.25</v>
      </c>
      <c r="E21323" t="s">
        <v>11</v>
      </c>
    </row>
    <row r="21324" spans="1:5" x14ac:dyDescent="0.25">
      <c r="A21324" t="str">
        <f>HYPERLINK("https://www.773grp.com/globalSearch/QS74FCT162373CTPA/page-1", "QS74FCT162373CTPA")</f>
        <v>QS74FCT162373CTPA</v>
      </c>
      <c r="B21324" s="3" t="s">
        <v>112</v>
      </c>
      <c r="C21324" s="6">
        <v>4177</v>
      </c>
      <c r="D21324" s="7">
        <v>4.25</v>
      </c>
      <c r="E21324" t="s">
        <v>11</v>
      </c>
    </row>
    <row r="21325" spans="1:5" x14ac:dyDescent="0.25">
      <c r="A21325" t="str">
        <f>HYPERLINK("https://www.773grp.com/globalSearch/QS74FCT162374CTPA/page-1", "QS74FCT162374CTPA")</f>
        <v>QS74FCT162374CTPA</v>
      </c>
      <c r="B21325" s="3" t="s">
        <v>112</v>
      </c>
      <c r="C21325" s="6">
        <v>2175</v>
      </c>
      <c r="D21325" s="7">
        <v>4.25</v>
      </c>
      <c r="E21325" t="s">
        <v>11</v>
      </c>
    </row>
    <row r="21326" spans="1:5" x14ac:dyDescent="0.25">
      <c r="A21326" t="str">
        <f>HYPERLINK("https://www.773grp.com/globalSearch/QS74FCT162374CTPV/page-1", "QS74FCT162374CTPV")</f>
        <v>QS74FCT162374CTPV</v>
      </c>
      <c r="B21326" s="3" t="s">
        <v>112</v>
      </c>
      <c r="C21326" s="6">
        <v>535</v>
      </c>
      <c r="D21326" s="7">
        <v>4.25</v>
      </c>
      <c r="E21326" t="s">
        <v>11</v>
      </c>
    </row>
    <row r="21327" spans="1:5" x14ac:dyDescent="0.25">
      <c r="A21327" t="str">
        <f>HYPERLINK("https://www.773grp.com/globalSearch/QS74FCT16240CTPA/page-1", "QS74FCT16240CTPA")</f>
        <v>QS74FCT16240CTPA</v>
      </c>
      <c r="B21327" s="3" t="s">
        <v>112</v>
      </c>
      <c r="C21327" s="6">
        <v>3419</v>
      </c>
      <c r="D21327" s="7">
        <v>4.25</v>
      </c>
      <c r="E21327" t="s">
        <v>11</v>
      </c>
    </row>
    <row r="21328" spans="1:5" x14ac:dyDescent="0.25">
      <c r="A21328" t="str">
        <f>HYPERLINK("https://www.773grp.com/globalSearch/QS74FCT16240CTPV/page-1", "QS74FCT16240CTPV")</f>
        <v>QS74FCT16240CTPV</v>
      </c>
      <c r="B21328" s="3" t="s">
        <v>112</v>
      </c>
      <c r="C21328" s="6">
        <v>3204</v>
      </c>
      <c r="D21328" s="7">
        <v>4.25</v>
      </c>
      <c r="E21328" t="s">
        <v>11</v>
      </c>
    </row>
    <row r="21329" spans="1:5" x14ac:dyDescent="0.25">
      <c r="A21329" t="str">
        <f>HYPERLINK("https://www.773grp.com/globalSearch/QS74FCT16373CTPA/page-1", "QS74FCT16373CTPA")</f>
        <v>QS74FCT16373CTPA</v>
      </c>
      <c r="B21329" s="3" t="s">
        <v>112</v>
      </c>
      <c r="C21329" s="6">
        <v>366</v>
      </c>
      <c r="D21329" s="7">
        <v>4.25</v>
      </c>
      <c r="E21329" t="s">
        <v>11</v>
      </c>
    </row>
    <row r="21330" spans="1:5" x14ac:dyDescent="0.25">
      <c r="A21330" t="str">
        <f>HYPERLINK("https://www.773grp.com/globalSearch/QS74FCT16374CTPV/page-1", "QS74FCT16374CTPV")</f>
        <v>QS74FCT16374CTPV</v>
      </c>
      <c r="B21330" s="3" t="s">
        <v>112</v>
      </c>
      <c r="C21330" s="6">
        <v>2706</v>
      </c>
      <c r="D21330" s="7">
        <v>4.25</v>
      </c>
      <c r="E21330" t="s">
        <v>11</v>
      </c>
    </row>
    <row r="21331" spans="1:5" x14ac:dyDescent="0.25">
      <c r="A21331" t="str">
        <f>HYPERLINK("https://www.773grp.com/globalSearch/QS74FCT163ATS1/page-1", "QS74FCT163ATS1")</f>
        <v>QS74FCT163ATS1</v>
      </c>
      <c r="B21331" s="3" t="s">
        <v>112</v>
      </c>
      <c r="C21331" s="6">
        <v>1806</v>
      </c>
      <c r="D21331" s="7">
        <v>4.25</v>
      </c>
      <c r="E21331" t="s">
        <v>22</v>
      </c>
    </row>
    <row r="21332" spans="1:5" x14ac:dyDescent="0.25">
      <c r="A21332" t="str">
        <f>HYPERLINK("https://www.773grp.com/globalSearch/QS54FCT2244CTSO/page-1", "QS54FCT2244CTSO")</f>
        <v>QS54FCT2244CTSO</v>
      </c>
      <c r="B21332" s="3" t="s">
        <v>112</v>
      </c>
      <c r="C21332" s="6">
        <v>118</v>
      </c>
      <c r="D21332" s="7">
        <v>4.28</v>
      </c>
      <c r="E21332" t="s">
        <v>11</v>
      </c>
    </row>
    <row r="21333" spans="1:5" x14ac:dyDescent="0.25">
      <c r="A21333" t="str">
        <f>HYPERLINK("https://www.773grp.com/globalSearch/QS74FCT841CTQ/page-1", "QS74FCT841CTQ")</f>
        <v>QS74FCT841CTQ</v>
      </c>
      <c r="B21333" s="3" t="s">
        <v>112</v>
      </c>
      <c r="C21333" s="6">
        <v>7007</v>
      </c>
      <c r="D21333" s="7">
        <v>4.28</v>
      </c>
      <c r="E21333" t="s">
        <v>11</v>
      </c>
    </row>
    <row r="21334" spans="1:5" x14ac:dyDescent="0.25">
      <c r="A21334" t="str">
        <f>HYPERLINK("https://www.773grp.com/globalSearch/QS74FCT841CTQX/page-1", "QS74FCT841CTQX")</f>
        <v>QS74FCT841CTQX</v>
      </c>
      <c r="B21334" s="3" t="s">
        <v>112</v>
      </c>
      <c r="C21334" s="6">
        <v>5000</v>
      </c>
      <c r="D21334" s="7">
        <v>4.28</v>
      </c>
    </row>
    <row r="21335" spans="1:5" x14ac:dyDescent="0.25">
      <c r="A21335" t="str">
        <f>HYPERLINK("https://www.773grp.com/globalSearch/QS74FCT841CTS0X/page-1", "QS74FCT841CTS0X")</f>
        <v>QS74FCT841CTS0X</v>
      </c>
      <c r="B21335" s="3" t="s">
        <v>112</v>
      </c>
      <c r="C21335" s="6">
        <v>1000</v>
      </c>
      <c r="D21335" s="7">
        <v>4.28</v>
      </c>
    </row>
    <row r="21336" spans="1:5" x14ac:dyDescent="0.25">
      <c r="A21336" t="str">
        <f>HYPERLINK("https://www.773grp.com/globalSearch/QS3L384QM/page-1", "QS3L384QM")</f>
        <v>QS3L384QM</v>
      </c>
      <c r="B21336" s="3" t="s">
        <v>112</v>
      </c>
      <c r="C21336" s="6">
        <v>710</v>
      </c>
      <c r="D21336" s="7">
        <v>4.74</v>
      </c>
      <c r="E21336" t="s">
        <v>11</v>
      </c>
    </row>
    <row r="21337" spans="1:5" x14ac:dyDescent="0.25">
      <c r="A21337" t="str">
        <f>HYPERLINK("https://www.773grp.com/globalSearch/QS74FCT16240ATPV/page-1", "QS74FCT16240ATPV")</f>
        <v>QS74FCT16240ATPV</v>
      </c>
      <c r="B21337" s="3" t="s">
        <v>112</v>
      </c>
      <c r="C21337" s="6">
        <v>5546</v>
      </c>
      <c r="D21337" s="7">
        <v>4.3</v>
      </c>
      <c r="E21337" t="s">
        <v>11</v>
      </c>
    </row>
    <row r="21338" spans="1:5" x14ac:dyDescent="0.25">
      <c r="A21338" t="str">
        <f>HYPERLINK("https://www.773grp.com/globalSearch/QS74FCT2251ATS1/page-1", "QS74FCT2251ATS1")</f>
        <v>QS74FCT2251ATS1</v>
      </c>
      <c r="B21338" s="3" t="s">
        <v>112</v>
      </c>
      <c r="C21338" s="6">
        <v>1642</v>
      </c>
      <c r="D21338" s="7">
        <v>4.3</v>
      </c>
      <c r="E21338" t="s">
        <v>16</v>
      </c>
    </row>
    <row r="21339" spans="1:5" x14ac:dyDescent="0.25">
      <c r="A21339" t="str">
        <f>HYPERLINK("https://www.773grp.com/globalSearch/QS74FCT257TS1-S199/page-1", "QS74FCT257TS1-S199")</f>
        <v>QS74FCT257TS1-S199</v>
      </c>
      <c r="B21339" s="3" t="s">
        <v>112</v>
      </c>
      <c r="C21339" s="6">
        <v>895</v>
      </c>
      <c r="D21339" s="7">
        <v>4.3</v>
      </c>
    </row>
    <row r="21340" spans="1:5" x14ac:dyDescent="0.25">
      <c r="A21340" t="str">
        <f>HYPERLINK("https://www.773grp.com/globalSearch/QS74FCT191ATSO/page-1", "QS74FCT191ATSO")</f>
        <v>QS74FCT191ATSO</v>
      </c>
      <c r="B21340" s="3" t="s">
        <v>112</v>
      </c>
      <c r="C21340" s="6">
        <v>4631</v>
      </c>
      <c r="D21340" s="7">
        <v>4.34</v>
      </c>
      <c r="E21340" t="s">
        <v>22</v>
      </c>
    </row>
    <row r="21341" spans="1:5" x14ac:dyDescent="0.25">
      <c r="A21341" t="str">
        <f>HYPERLINK("https://www.773grp.com/globalSearch/QS74FCT2240TP/page-1", "QS74FCT2240TP")</f>
        <v>QS74FCT2240TP</v>
      </c>
      <c r="B21341" s="3" t="s">
        <v>112</v>
      </c>
      <c r="C21341" s="6">
        <v>1373</v>
      </c>
      <c r="D21341" s="7">
        <v>4.34</v>
      </c>
      <c r="E21341" t="s">
        <v>11</v>
      </c>
    </row>
    <row r="21342" spans="1:5" x14ac:dyDescent="0.25">
      <c r="A21342" t="str">
        <f>HYPERLINK("https://www.773grp.com/globalSearch/QS74FCT2828BTS0/page-1", "QS74FCT2828BTS0")</f>
        <v>QS74FCT2828BTS0</v>
      </c>
      <c r="B21342" s="3" t="s">
        <v>112</v>
      </c>
      <c r="C21342" s="6">
        <v>6570</v>
      </c>
      <c r="D21342" s="7">
        <v>4.79</v>
      </c>
    </row>
    <row r="21343" spans="1:5" x14ac:dyDescent="0.25">
      <c r="A21343" t="str">
        <f>HYPERLINK("https://www.773grp.com/globalSearch/QS74FCT377TQX-S251/page-1", "QS74FCT377TQX-S251")</f>
        <v>QS74FCT377TQX-S251</v>
      </c>
      <c r="B21343" s="3" t="s">
        <v>112</v>
      </c>
      <c r="C21343" s="6">
        <v>5000</v>
      </c>
      <c r="D21343" s="7">
        <v>4.79</v>
      </c>
    </row>
    <row r="21344" spans="1:5" x14ac:dyDescent="0.25">
      <c r="A21344" t="str">
        <f>HYPERLINK("https://www.773grp.com/globalSearch/QS74FCT534TQX/page-1", "QS74FCT534TQX")</f>
        <v>QS74FCT534TQX</v>
      </c>
      <c r="B21344" s="3" t="s">
        <v>112</v>
      </c>
      <c r="C21344" s="6">
        <v>2500</v>
      </c>
      <c r="D21344" s="7">
        <v>4.3499999999999996</v>
      </c>
    </row>
    <row r="21345" spans="1:5" x14ac:dyDescent="0.25">
      <c r="A21345" t="str">
        <f>HYPERLINK("https://www.773grp.com/globalSearch/QS74FCT827BTP/page-1", "QS74FCT827BTP")</f>
        <v>QS74FCT827BTP</v>
      </c>
      <c r="B21345" s="3" t="s">
        <v>112</v>
      </c>
      <c r="C21345" s="6">
        <v>413</v>
      </c>
      <c r="D21345" s="7">
        <v>4.3899999999999997</v>
      </c>
      <c r="E21345" t="s">
        <v>11</v>
      </c>
    </row>
    <row r="21346" spans="1:5" x14ac:dyDescent="0.25">
      <c r="A21346" t="str">
        <f>HYPERLINK("https://www.773grp.com/globalSearch/QS74FCT861ATP/page-1", "QS74FCT861ATP")</f>
        <v>QS74FCT861ATP</v>
      </c>
      <c r="B21346" s="3" t="s">
        <v>112</v>
      </c>
      <c r="C21346" s="6">
        <v>1018</v>
      </c>
      <c r="D21346" s="7">
        <v>4.3899999999999997</v>
      </c>
      <c r="E21346" t="s">
        <v>11</v>
      </c>
    </row>
    <row r="21347" spans="1:5" x14ac:dyDescent="0.25">
      <c r="A21347" t="str">
        <f>HYPERLINK("https://www.773grp.com/globalSearch/QS54FCT521ATQ/page-1", "QS54FCT521ATQ")</f>
        <v>QS54FCT521ATQ</v>
      </c>
      <c r="B21347" s="3" t="s">
        <v>112</v>
      </c>
      <c r="C21347" s="6">
        <v>1394</v>
      </c>
      <c r="D21347" s="7">
        <v>4.43</v>
      </c>
    </row>
    <row r="21348" spans="1:5" x14ac:dyDescent="0.25">
      <c r="A21348" t="str">
        <f>HYPERLINK("https://www.773grp.com/globalSearch/QS74FCT163TS0/page-1", "QS74FCT163TS0")</f>
        <v>QS74FCT163TS0</v>
      </c>
      <c r="B21348" s="3" t="s">
        <v>112</v>
      </c>
      <c r="C21348" s="6">
        <v>484</v>
      </c>
      <c r="D21348" s="7">
        <v>4.43</v>
      </c>
    </row>
    <row r="21349" spans="1:5" x14ac:dyDescent="0.25">
      <c r="A21349" t="str">
        <f>HYPERLINK("https://www.773grp.com/globalSearch/QS74FCT2158TS0/page-1", "QS74FCT2158TS0")</f>
        <v>QS74FCT2158TS0</v>
      </c>
      <c r="B21349" s="3" t="s">
        <v>112</v>
      </c>
      <c r="C21349" s="6">
        <v>5410</v>
      </c>
      <c r="D21349" s="7">
        <v>4.43</v>
      </c>
    </row>
    <row r="21350" spans="1:5" x14ac:dyDescent="0.25">
      <c r="A21350" t="str">
        <f>HYPERLINK("https://www.773grp.com/globalSearch/QS74FCT2163TS1X/page-1", "QS74FCT2163TS1X")</f>
        <v>QS74FCT2163TS1X</v>
      </c>
      <c r="B21350" s="3" t="s">
        <v>112</v>
      </c>
      <c r="C21350" s="6">
        <v>2500</v>
      </c>
      <c r="D21350" s="7">
        <v>4.43</v>
      </c>
    </row>
    <row r="21351" spans="1:5" x14ac:dyDescent="0.25">
      <c r="A21351" t="str">
        <f>HYPERLINK("https://www.773grp.com/globalSearch/QS54FCT273ATQ/page-1", "QS54FCT273ATQ")</f>
        <v>QS54FCT273ATQ</v>
      </c>
      <c r="B21351" s="3" t="s">
        <v>112</v>
      </c>
      <c r="C21351" s="6">
        <v>125</v>
      </c>
      <c r="D21351" s="7">
        <v>4.91</v>
      </c>
      <c r="E21351" t="s">
        <v>31</v>
      </c>
    </row>
    <row r="21352" spans="1:5" x14ac:dyDescent="0.25">
      <c r="A21352" t="str">
        <f>HYPERLINK("https://www.773grp.com/globalSearch/QS74FCT191ATSI/page-1", "QS74FCT191ATSI")</f>
        <v>QS74FCT191ATSI</v>
      </c>
      <c r="B21352" s="3" t="s">
        <v>112</v>
      </c>
      <c r="C21352" s="6">
        <v>113</v>
      </c>
      <c r="D21352" s="7">
        <v>4.4400000000000004</v>
      </c>
    </row>
    <row r="21353" spans="1:5" x14ac:dyDescent="0.25">
      <c r="A21353" t="str">
        <f>HYPERLINK("https://www.773grp.com/globalSearch/QS74FCT193ATS0/page-1", "QS74FCT193ATS0")</f>
        <v>QS74FCT193ATS0</v>
      </c>
      <c r="B21353" s="3" t="s">
        <v>112</v>
      </c>
      <c r="C21353" s="6">
        <v>3146</v>
      </c>
      <c r="D21353" s="7">
        <v>4.4400000000000004</v>
      </c>
    </row>
    <row r="21354" spans="1:5" x14ac:dyDescent="0.25">
      <c r="A21354" t="str">
        <f>HYPERLINK("https://www.773grp.com/globalSearch/QS74FCT646ATP/page-1", "QS74FCT646ATP")</f>
        <v>QS74FCT646ATP</v>
      </c>
      <c r="B21354" s="3" t="s">
        <v>112</v>
      </c>
      <c r="C21354" s="6">
        <v>517</v>
      </c>
      <c r="D21354" s="7">
        <v>4.4400000000000004</v>
      </c>
      <c r="E21354" t="s">
        <v>11</v>
      </c>
    </row>
    <row r="21355" spans="1:5" x14ac:dyDescent="0.25">
      <c r="A21355" t="str">
        <f>HYPERLINK("https://www.773grp.com/globalSearch/QS54FCT2827TQ/page-1", "QS54FCT2827TQ")</f>
        <v>QS54FCT2827TQ</v>
      </c>
      <c r="B21355" s="3" t="s">
        <v>112</v>
      </c>
      <c r="C21355" s="6">
        <v>190</v>
      </c>
      <c r="D21355" s="7">
        <v>4.5</v>
      </c>
    </row>
    <row r="21356" spans="1:5" x14ac:dyDescent="0.25">
      <c r="A21356" t="str">
        <f>HYPERLINK("https://www.773grp.com/globalSearch/QS54FCT827ATSO/page-1", "QS54FCT827ATSO")</f>
        <v>QS54FCT827ATSO</v>
      </c>
      <c r="B21356" s="3" t="s">
        <v>112</v>
      </c>
      <c r="C21356" s="6">
        <v>513</v>
      </c>
      <c r="D21356" s="7">
        <v>4.5</v>
      </c>
      <c r="E21356" t="s">
        <v>11</v>
      </c>
    </row>
    <row r="21357" spans="1:5" x14ac:dyDescent="0.25">
      <c r="A21357" t="str">
        <f>HYPERLINK("https://www.773grp.com/globalSearch/QS74FCT138TS1X/page-1", "QS74FCT138TS1X")</f>
        <v>QS74FCT138TS1X</v>
      </c>
      <c r="B21357" s="3" t="s">
        <v>112</v>
      </c>
      <c r="C21357" s="6">
        <v>5000</v>
      </c>
      <c r="D21357" s="7">
        <v>4.5</v>
      </c>
    </row>
    <row r="21358" spans="1:5" x14ac:dyDescent="0.25">
      <c r="A21358" t="str">
        <f>HYPERLINK("https://www.773grp.com/globalSearch/QS74FCT158TSO/page-1", "QS74FCT158TSO")</f>
        <v>QS74FCT158TSO</v>
      </c>
      <c r="B21358" s="3" t="s">
        <v>112</v>
      </c>
      <c r="C21358" s="6">
        <v>5076</v>
      </c>
      <c r="D21358" s="7">
        <v>4.5</v>
      </c>
      <c r="E21358" t="s">
        <v>16</v>
      </c>
    </row>
    <row r="21359" spans="1:5" x14ac:dyDescent="0.25">
      <c r="A21359" t="str">
        <f>HYPERLINK("https://www.773grp.com/globalSearch/QS74FCT377TSO/page-1", "QS74FCT377TSO")</f>
        <v>QS74FCT377TSO</v>
      </c>
      <c r="B21359" s="3" t="s">
        <v>112</v>
      </c>
      <c r="C21359" s="6">
        <v>1239</v>
      </c>
      <c r="D21359" s="7">
        <v>4.5</v>
      </c>
      <c r="E21359" t="s">
        <v>31</v>
      </c>
    </row>
    <row r="21360" spans="1:5" x14ac:dyDescent="0.25">
      <c r="A21360" t="str">
        <f>HYPERLINK("https://www.773grp.com/globalSearch/QS74FCT16374ATPV/page-1", "QS74FCT16374ATPV")</f>
        <v>QS74FCT16374ATPV</v>
      </c>
      <c r="B21360" s="3" t="s">
        <v>112</v>
      </c>
      <c r="C21360" s="6">
        <v>26105</v>
      </c>
      <c r="D21360" s="7">
        <v>5.01</v>
      </c>
      <c r="E21360" t="s">
        <v>11</v>
      </c>
    </row>
    <row r="21361" spans="1:5" x14ac:dyDescent="0.25">
      <c r="A21361" t="str">
        <f>HYPERLINK("https://www.773grp.com/globalSearch/QS74FCT2241ATQ/page-1", "QS74FCT2241ATQ")</f>
        <v>QS74FCT2241ATQ</v>
      </c>
      <c r="B21361" s="3" t="s">
        <v>112</v>
      </c>
      <c r="C21361" s="6">
        <v>717</v>
      </c>
      <c r="D21361" s="7">
        <v>4.5599999999999996</v>
      </c>
      <c r="E21361" t="s">
        <v>11</v>
      </c>
    </row>
    <row r="21362" spans="1:5" x14ac:dyDescent="0.25">
      <c r="A21362" t="str">
        <f>HYPERLINK("https://www.773grp.com/globalSearch/QS74FCT241ATQ/page-1", "QS74FCT241ATQ")</f>
        <v>QS74FCT241ATQ</v>
      </c>
      <c r="B21362" s="3" t="s">
        <v>112</v>
      </c>
      <c r="C21362" s="6">
        <v>642</v>
      </c>
      <c r="D21362" s="7">
        <v>4.5599999999999996</v>
      </c>
      <c r="E21362" t="s">
        <v>11</v>
      </c>
    </row>
    <row r="21363" spans="1:5" x14ac:dyDescent="0.25">
      <c r="A21363" t="str">
        <f>HYPERLINK("https://www.773grp.com/globalSearch/QS74FCT257TQ/page-1", "QS74FCT257TQ")</f>
        <v>QS74FCT257TQ</v>
      </c>
      <c r="B21363" s="3" t="s">
        <v>112</v>
      </c>
      <c r="C21363" s="6">
        <v>399</v>
      </c>
      <c r="D21363" s="7">
        <v>4.5599999999999996</v>
      </c>
      <c r="E21363" t="s">
        <v>16</v>
      </c>
    </row>
    <row r="21364" spans="1:5" x14ac:dyDescent="0.25">
      <c r="A21364" t="str">
        <f>HYPERLINK("https://www.773grp.com/globalSearch/QS74FCT257TS1/page-1", "QS74FCT257TS1")</f>
        <v>QS74FCT257TS1</v>
      </c>
      <c r="B21364" s="3" t="s">
        <v>112</v>
      </c>
      <c r="C21364" s="6">
        <v>8785</v>
      </c>
      <c r="D21364" s="7">
        <v>4.5599999999999996</v>
      </c>
      <c r="E21364" t="s">
        <v>16</v>
      </c>
    </row>
    <row r="21365" spans="1:5" x14ac:dyDescent="0.25">
      <c r="A21365" t="str">
        <f>HYPERLINK("https://www.773grp.com/globalSearch/QS74FCT3373Q/page-1", "QS74FCT3373Q")</f>
        <v>QS74FCT3373Q</v>
      </c>
      <c r="B21365" s="3" t="s">
        <v>112</v>
      </c>
      <c r="C21365" s="6">
        <v>437</v>
      </c>
      <c r="D21365" s="7">
        <v>4.5599999999999996</v>
      </c>
      <c r="E21365" t="s">
        <v>11</v>
      </c>
    </row>
    <row r="21366" spans="1:5" x14ac:dyDescent="0.25">
      <c r="A21366" t="str">
        <f>HYPERLINK("https://www.773grp.com/globalSearch/QS74FCT3373SO/page-1", "QS74FCT3373SO")</f>
        <v>QS74FCT3373SO</v>
      </c>
      <c r="B21366" s="3" t="s">
        <v>112</v>
      </c>
      <c r="C21366" s="6">
        <v>14205</v>
      </c>
      <c r="D21366" s="7">
        <v>4.5599999999999996</v>
      </c>
      <c r="E21366" t="s">
        <v>11</v>
      </c>
    </row>
    <row r="21367" spans="1:5" x14ac:dyDescent="0.25">
      <c r="A21367" t="str">
        <f>HYPERLINK("https://www.773grp.com/globalSearch/QS74FCT139ATSO/page-1", "QS74FCT139ATSO")</f>
        <v>QS74FCT139ATSO</v>
      </c>
      <c r="B21367" s="3" t="s">
        <v>112</v>
      </c>
      <c r="C21367" s="6">
        <v>5851</v>
      </c>
      <c r="D21367" s="7">
        <v>4.59</v>
      </c>
      <c r="E21367" t="s">
        <v>32</v>
      </c>
    </row>
    <row r="21368" spans="1:5" x14ac:dyDescent="0.25">
      <c r="A21368" t="str">
        <f>HYPERLINK("https://www.773grp.com/globalSearch/QS74FCT251TQ/page-1", "QS74FCT251TQ")</f>
        <v>QS74FCT251TQ</v>
      </c>
      <c r="B21368" s="3" t="s">
        <v>112</v>
      </c>
      <c r="C21368" s="6">
        <v>349</v>
      </c>
      <c r="D21368" s="7">
        <v>4.59</v>
      </c>
      <c r="E21368" t="s">
        <v>16</v>
      </c>
    </row>
    <row r="21369" spans="1:5" x14ac:dyDescent="0.25">
      <c r="A21369" t="str">
        <f>HYPERLINK("https://www.773grp.com/globalSearch/QS74FCT251TSO/page-1", "QS74FCT251TSO")</f>
        <v>QS74FCT251TSO</v>
      </c>
      <c r="B21369" s="3" t="s">
        <v>112</v>
      </c>
      <c r="C21369" s="6">
        <v>344</v>
      </c>
      <c r="D21369" s="7">
        <v>4.59</v>
      </c>
      <c r="E21369" t="s">
        <v>16</v>
      </c>
    </row>
    <row r="21370" spans="1:5" x14ac:dyDescent="0.25">
      <c r="A21370" t="str">
        <f>HYPERLINK("https://www.773grp.com/globalSearch/QS74FCT2828ATZ/page-1", "QS74FCT2828ATZ")</f>
        <v>QS74FCT2828ATZ</v>
      </c>
      <c r="B21370" s="3" t="s">
        <v>112</v>
      </c>
      <c r="C21370" s="6">
        <v>90</v>
      </c>
      <c r="D21370" s="7">
        <v>4.6399999999999997</v>
      </c>
      <c r="E21370" t="s">
        <v>11</v>
      </c>
    </row>
    <row r="21371" spans="1:5" x14ac:dyDescent="0.25">
      <c r="A21371" t="str">
        <f>HYPERLINK("https://www.773grp.com/globalSearch/QS74FCT521ATSO/page-1", "QS74FCT521ATSO")</f>
        <v>QS74FCT521ATSO</v>
      </c>
      <c r="B21371" s="3" t="s">
        <v>112</v>
      </c>
      <c r="C21371" s="6">
        <v>13700</v>
      </c>
      <c r="D21371" s="7">
        <v>4.6399999999999997</v>
      </c>
      <c r="E21371" t="s">
        <v>38</v>
      </c>
    </row>
    <row r="21372" spans="1:5" x14ac:dyDescent="0.25">
      <c r="A21372" t="str">
        <f>HYPERLINK("https://www.773grp.com/globalSearch/QS74FCT2X823ATQ1/page-1", "QS74FCT2X823ATQ1")</f>
        <v>QS74FCT2X823ATQ1</v>
      </c>
      <c r="B21372" s="3" t="s">
        <v>112</v>
      </c>
      <c r="C21372" s="6">
        <v>2428</v>
      </c>
      <c r="D21372" s="7">
        <v>4.68</v>
      </c>
      <c r="E21372" t="s">
        <v>11</v>
      </c>
    </row>
    <row r="21373" spans="1:5" x14ac:dyDescent="0.25">
      <c r="A21373" t="str">
        <f>HYPERLINK("https://www.773grp.com/globalSearch/QS74FCT163TS0X/page-1", "QS74FCT163TS0X")</f>
        <v>QS74FCT163TS0X</v>
      </c>
      <c r="B21373" s="3" t="s">
        <v>112</v>
      </c>
      <c r="C21373" s="6">
        <v>1000</v>
      </c>
      <c r="D21373" s="7">
        <v>5.16</v>
      </c>
    </row>
    <row r="21374" spans="1:5" x14ac:dyDescent="0.25">
      <c r="A21374" t="str">
        <f>HYPERLINK("https://www.773grp.com/globalSearch/QS74FCT139TS1/page-1", "QS74FCT139TS1")</f>
        <v>QS74FCT139TS1</v>
      </c>
      <c r="B21374" s="3" t="s">
        <v>112</v>
      </c>
      <c r="C21374" s="6">
        <v>392</v>
      </c>
      <c r="D21374" s="7">
        <v>4.76</v>
      </c>
      <c r="E21374" t="s">
        <v>32</v>
      </c>
    </row>
    <row r="21375" spans="1:5" x14ac:dyDescent="0.25">
      <c r="A21375" t="str">
        <f>HYPERLINK("https://www.773grp.com/globalSearch/QS74FCT139TSI/page-1", "QS74FCT139TSI")</f>
        <v>QS74FCT139TSI</v>
      </c>
      <c r="B21375" s="3" t="s">
        <v>112</v>
      </c>
      <c r="C21375" s="6">
        <v>5190</v>
      </c>
      <c r="D21375" s="7">
        <v>4.76</v>
      </c>
    </row>
    <row r="21376" spans="1:5" x14ac:dyDescent="0.25">
      <c r="A21376" t="str">
        <f>HYPERLINK("https://www.773grp.com/globalSearch/QS74FCT151TSI/page-1", "QS74FCT151TSI")</f>
        <v>QS74FCT151TSI</v>
      </c>
      <c r="B21376" s="3" t="s">
        <v>112</v>
      </c>
      <c r="C21376" s="6">
        <v>13253</v>
      </c>
      <c r="D21376" s="7">
        <v>4.76</v>
      </c>
    </row>
    <row r="21377" spans="1:5" x14ac:dyDescent="0.25">
      <c r="A21377" t="str">
        <f>HYPERLINK("https://www.773grp.com/globalSearch/QS74FCT151TSO/page-1", "QS74FCT151TSO")</f>
        <v>QS74FCT151TSO</v>
      </c>
      <c r="B21377" s="3" t="s">
        <v>112</v>
      </c>
      <c r="C21377" s="6">
        <v>9417</v>
      </c>
      <c r="D21377" s="7">
        <v>4.76</v>
      </c>
      <c r="E21377" t="s">
        <v>16</v>
      </c>
    </row>
    <row r="21378" spans="1:5" x14ac:dyDescent="0.25">
      <c r="A21378" t="str">
        <f>HYPERLINK("https://www.773grp.com/globalSearch/QS74FCT153TSI/page-1", "QS74FCT153TSI")</f>
        <v>QS74FCT153TSI</v>
      </c>
      <c r="B21378" s="3" t="s">
        <v>112</v>
      </c>
      <c r="C21378" s="6">
        <v>2660</v>
      </c>
      <c r="D21378" s="7">
        <v>4.76</v>
      </c>
    </row>
    <row r="21379" spans="1:5" x14ac:dyDescent="0.25">
      <c r="A21379" t="str">
        <f>HYPERLINK("https://www.773grp.com/globalSearch/QS74FCT2163TS1/page-1", "QS74FCT2163TS1")</f>
        <v>QS74FCT2163TS1</v>
      </c>
      <c r="B21379" s="3" t="s">
        <v>112</v>
      </c>
      <c r="C21379" s="6">
        <v>485</v>
      </c>
      <c r="D21379" s="7">
        <v>4.76</v>
      </c>
      <c r="E21379" t="s">
        <v>22</v>
      </c>
    </row>
    <row r="21380" spans="1:5" x14ac:dyDescent="0.25">
      <c r="A21380" t="str">
        <f>HYPERLINK("https://www.773grp.com/globalSearch/QS74FCT2258TS1/page-1", "QS74FCT2258TS1")</f>
        <v>QS74FCT2258TS1</v>
      </c>
      <c r="B21380" s="3" t="s">
        <v>112</v>
      </c>
      <c r="C21380" s="6">
        <v>106</v>
      </c>
      <c r="D21380" s="7">
        <v>4.76</v>
      </c>
      <c r="E21380" t="s">
        <v>16</v>
      </c>
    </row>
    <row r="21381" spans="1:5" x14ac:dyDescent="0.25">
      <c r="A21381" t="str">
        <f>HYPERLINK("https://www.773grp.com/globalSearch/QS54FCT2240TSO/page-1", "QS54FCT2240TSO")</f>
        <v>QS54FCT2240TSO</v>
      </c>
      <c r="B21381" s="3" t="s">
        <v>112</v>
      </c>
      <c r="C21381" s="6">
        <v>408</v>
      </c>
      <c r="D21381" s="7">
        <v>4.78</v>
      </c>
      <c r="E21381" t="s">
        <v>11</v>
      </c>
    </row>
    <row r="21382" spans="1:5" x14ac:dyDescent="0.25">
      <c r="A21382" t="str">
        <f>HYPERLINK("https://www.773grp.com/globalSearch/QS74FCT139TSO/page-1", "QS74FCT139TSO")</f>
        <v>QS74FCT139TSO</v>
      </c>
      <c r="B21382" s="3" t="s">
        <v>112</v>
      </c>
      <c r="C21382" s="6">
        <v>6587</v>
      </c>
      <c r="D21382" s="7">
        <v>4.78</v>
      </c>
      <c r="E21382" t="s">
        <v>32</v>
      </c>
    </row>
    <row r="21383" spans="1:5" x14ac:dyDescent="0.25">
      <c r="A21383" t="str">
        <f>HYPERLINK("https://www.773grp.com/globalSearch/QS74FCT651ATQ/page-1", "QS74FCT651ATQ")</f>
        <v>QS74FCT651ATQ</v>
      </c>
      <c r="B21383" s="3" t="s">
        <v>112</v>
      </c>
      <c r="C21383" s="6">
        <v>38</v>
      </c>
      <c r="D21383" s="7">
        <v>4.78</v>
      </c>
      <c r="E21383" t="s">
        <v>11</v>
      </c>
    </row>
    <row r="21384" spans="1:5" x14ac:dyDescent="0.25">
      <c r="A21384" t="str">
        <f>HYPERLINK("https://www.773grp.com/globalSearch/QS74FCT825ATQ/page-1", "QS74FCT825ATQ")</f>
        <v>QS74FCT825ATQ</v>
      </c>
      <c r="B21384" s="3" t="s">
        <v>112</v>
      </c>
      <c r="C21384" s="6">
        <v>10356</v>
      </c>
      <c r="D21384" s="7">
        <v>4.78</v>
      </c>
      <c r="E21384" t="s">
        <v>11</v>
      </c>
    </row>
    <row r="21385" spans="1:5" x14ac:dyDescent="0.25">
      <c r="A21385" t="str">
        <f>HYPERLINK("https://www.773grp.com/globalSearch/QS74FCT825ATSO/page-1", "QS74FCT825ATSO")</f>
        <v>QS74FCT825ATSO</v>
      </c>
      <c r="B21385" s="3" t="s">
        <v>112</v>
      </c>
      <c r="C21385" s="6">
        <v>44</v>
      </c>
      <c r="D21385" s="7">
        <v>4.78</v>
      </c>
      <c r="E21385" t="s">
        <v>11</v>
      </c>
    </row>
    <row r="21386" spans="1:5" x14ac:dyDescent="0.25">
      <c r="A21386" t="str">
        <f>HYPERLINK("https://www.773grp.com/globalSearch/QS54FCT153ATQ/page-1", "QS54FCT153ATQ")</f>
        <v>QS54FCT153ATQ</v>
      </c>
      <c r="B21386" s="3" t="s">
        <v>112</v>
      </c>
      <c r="C21386" s="6">
        <v>572</v>
      </c>
      <c r="D21386" s="7">
        <v>4.8099999999999996</v>
      </c>
      <c r="E21386" t="s">
        <v>16</v>
      </c>
    </row>
    <row r="21387" spans="1:5" x14ac:dyDescent="0.25">
      <c r="A21387" t="str">
        <f>HYPERLINK("https://www.773grp.com/globalSearch/QS74FCT163TQ/page-1", "QS74FCT163TQ")</f>
        <v>QS74FCT163TQ</v>
      </c>
      <c r="B21387" s="3" t="s">
        <v>112</v>
      </c>
      <c r="C21387" s="6">
        <v>1029</v>
      </c>
      <c r="D21387" s="7">
        <v>4.8099999999999996</v>
      </c>
      <c r="E21387" t="s">
        <v>22</v>
      </c>
    </row>
    <row r="21388" spans="1:5" x14ac:dyDescent="0.25">
      <c r="A21388" t="str">
        <f>HYPERLINK("https://www.773grp.com/globalSearch/QS74FCT2163ATQ/page-1", "QS74FCT2163ATQ")</f>
        <v>QS74FCT2163ATQ</v>
      </c>
      <c r="B21388" s="3" t="s">
        <v>112</v>
      </c>
      <c r="C21388" s="6">
        <v>5695</v>
      </c>
      <c r="D21388" s="7">
        <v>4.8099999999999996</v>
      </c>
      <c r="E21388" t="s">
        <v>22</v>
      </c>
    </row>
    <row r="21389" spans="1:5" x14ac:dyDescent="0.25">
      <c r="A21389" t="str">
        <f>HYPERLINK("https://www.773grp.com/globalSearch/QS74FCT2163ATQX/page-1", "QS74FCT2163ATQX")</f>
        <v>QS74FCT2163ATQX</v>
      </c>
      <c r="B21389" s="3" t="s">
        <v>112</v>
      </c>
      <c r="C21389" s="6">
        <v>2500</v>
      </c>
      <c r="D21389" s="7">
        <v>4.8099999999999996</v>
      </c>
    </row>
    <row r="21390" spans="1:5" x14ac:dyDescent="0.25">
      <c r="A21390" t="str">
        <f>HYPERLINK("https://www.773grp.com/globalSearch/QS74FCT2163ATS1/page-1", "QS74FCT2163ATS1")</f>
        <v>QS74FCT2163ATS1</v>
      </c>
      <c r="B21390" s="3" t="s">
        <v>112</v>
      </c>
      <c r="C21390" s="6">
        <v>518</v>
      </c>
      <c r="D21390" s="7">
        <v>4.8099999999999996</v>
      </c>
      <c r="E21390" t="s">
        <v>22</v>
      </c>
    </row>
    <row r="21391" spans="1:5" x14ac:dyDescent="0.25">
      <c r="A21391" t="str">
        <f>HYPERLINK("https://www.773grp.com/globalSearch/QS74FCT2161ATP/page-1", "QS74FCT2161ATP")</f>
        <v>QS74FCT2161ATP</v>
      </c>
      <c r="B21391" s="3" t="s">
        <v>112</v>
      </c>
      <c r="C21391" s="6">
        <v>5703</v>
      </c>
      <c r="D21391" s="7">
        <v>4.84</v>
      </c>
      <c r="E21391" t="s">
        <v>22</v>
      </c>
    </row>
    <row r="21392" spans="1:5" x14ac:dyDescent="0.25">
      <c r="A21392" t="str">
        <f>HYPERLINK("https://www.773grp.com/globalSearch/QS74FCT2273ATP/page-1", "QS74FCT2273ATP")</f>
        <v>QS74FCT2273ATP</v>
      </c>
      <c r="B21392" s="3" t="s">
        <v>112</v>
      </c>
      <c r="C21392" s="6">
        <v>4657</v>
      </c>
      <c r="D21392" s="7">
        <v>4.84</v>
      </c>
      <c r="E21392" t="s">
        <v>31</v>
      </c>
    </row>
    <row r="21393" spans="1:5" x14ac:dyDescent="0.25">
      <c r="A21393" t="str">
        <f>HYPERLINK("https://www.773grp.com/globalSearch/QS74FCT2273ATQ/page-1", "QS74FCT2273ATQ")</f>
        <v>QS74FCT2273ATQ</v>
      </c>
      <c r="B21393" s="3" t="s">
        <v>112</v>
      </c>
      <c r="C21393" s="6">
        <v>6321</v>
      </c>
      <c r="D21393" s="7">
        <v>4.84</v>
      </c>
      <c r="E21393" t="s">
        <v>31</v>
      </c>
    </row>
    <row r="21394" spans="1:5" x14ac:dyDescent="0.25">
      <c r="A21394" t="str">
        <f>HYPERLINK("https://www.773grp.com/globalSearch/QS74FCT2273ATSO/page-1", "QS74FCT2273ATSO")</f>
        <v>QS74FCT2273ATSO</v>
      </c>
      <c r="B21394" s="3" t="s">
        <v>112</v>
      </c>
      <c r="C21394" s="6">
        <v>3493</v>
      </c>
      <c r="D21394" s="7">
        <v>4.84</v>
      </c>
      <c r="E21394" t="s">
        <v>31</v>
      </c>
    </row>
    <row r="21395" spans="1:5" x14ac:dyDescent="0.25">
      <c r="A21395" t="str">
        <f>HYPERLINK("https://www.773grp.com/globalSearch/QS74FCT273ATP/page-1", "QS74FCT273ATP")</f>
        <v>QS74FCT273ATP</v>
      </c>
      <c r="B21395" s="3" t="s">
        <v>112</v>
      </c>
      <c r="C21395" s="6">
        <v>5509</v>
      </c>
      <c r="D21395" s="7">
        <v>4.84</v>
      </c>
      <c r="E21395" t="s">
        <v>31</v>
      </c>
    </row>
    <row r="21396" spans="1:5" x14ac:dyDescent="0.25">
      <c r="A21396" t="str">
        <f>HYPERLINK("https://www.773grp.com/globalSearch/QS29FCT52CTS0/page-1", "QS29FCT52CTS0")</f>
        <v>QS29FCT52CTS0</v>
      </c>
      <c r="B21396" s="3" t="s">
        <v>112</v>
      </c>
      <c r="C21396" s="6">
        <v>3007</v>
      </c>
      <c r="D21396" s="7">
        <v>4.8600000000000003</v>
      </c>
    </row>
    <row r="21397" spans="1:5" x14ac:dyDescent="0.25">
      <c r="A21397" t="str">
        <f>HYPERLINK("https://www.773grp.com/globalSearch/QS74FCT162543ATPA/page-1", "QS74FCT162543ATPA")</f>
        <v>QS74FCT162543ATPA</v>
      </c>
      <c r="B21397" s="3" t="s">
        <v>112</v>
      </c>
      <c r="C21397" s="6">
        <v>3398</v>
      </c>
      <c r="D21397" s="7">
        <v>4.8600000000000003</v>
      </c>
      <c r="E21397" t="s">
        <v>11</v>
      </c>
    </row>
    <row r="21398" spans="1:5" x14ac:dyDescent="0.25">
      <c r="A21398" t="str">
        <f>HYPERLINK("https://www.773grp.com/globalSearch/QS74FCT162543ATPV/page-1", "QS74FCT162543ATPV")</f>
        <v>QS74FCT162543ATPV</v>
      </c>
      <c r="B21398" s="3" t="s">
        <v>112</v>
      </c>
      <c r="C21398" s="6">
        <v>5580</v>
      </c>
      <c r="D21398" s="7">
        <v>4.8600000000000003</v>
      </c>
      <c r="E21398" t="s">
        <v>11</v>
      </c>
    </row>
    <row r="21399" spans="1:5" x14ac:dyDescent="0.25">
      <c r="A21399" t="str">
        <f>HYPERLINK("https://www.773grp.com/globalSearch/QS74FCT162543TPV/page-1", "QS74FCT162543TPV")</f>
        <v>QS74FCT162543TPV</v>
      </c>
      <c r="B21399" s="3" t="s">
        <v>112</v>
      </c>
      <c r="C21399" s="6">
        <v>284</v>
      </c>
      <c r="D21399" s="7">
        <v>4.8600000000000003</v>
      </c>
      <c r="E21399" t="s">
        <v>11</v>
      </c>
    </row>
    <row r="21400" spans="1:5" x14ac:dyDescent="0.25">
      <c r="A21400" t="str">
        <f>HYPERLINK("https://www.773grp.com/globalSearch/QS74FCT162646ATPV/page-1", "QS74FCT162646ATPV")</f>
        <v>QS74FCT162646ATPV</v>
      </c>
      <c r="B21400" s="3" t="s">
        <v>112</v>
      </c>
      <c r="C21400" s="6">
        <v>728</v>
      </c>
      <c r="D21400" s="7">
        <v>4.8600000000000003</v>
      </c>
      <c r="E21400" t="s">
        <v>11</v>
      </c>
    </row>
    <row r="21401" spans="1:5" x14ac:dyDescent="0.25">
      <c r="A21401" t="str">
        <f>HYPERLINK("https://www.773grp.com/globalSearch/QS74FCT162652ATPA/page-1", "QS74FCT162652ATPA")</f>
        <v>QS74FCT162652ATPA</v>
      </c>
      <c r="B21401" s="3" t="s">
        <v>112</v>
      </c>
      <c r="C21401" s="6">
        <v>1163</v>
      </c>
      <c r="D21401" s="7">
        <v>4.8600000000000003</v>
      </c>
      <c r="E21401" t="s">
        <v>11</v>
      </c>
    </row>
    <row r="21402" spans="1:5" x14ac:dyDescent="0.25">
      <c r="A21402" t="str">
        <f>HYPERLINK("https://www.773grp.com/globalSearch/QS74FCT162652ATPV/page-1", "QS74FCT162652ATPV")</f>
        <v>QS74FCT162652ATPV</v>
      </c>
      <c r="B21402" s="3" t="s">
        <v>112</v>
      </c>
      <c r="C21402" s="6">
        <v>3744</v>
      </c>
      <c r="D21402" s="7">
        <v>4.8600000000000003</v>
      </c>
      <c r="E21402" t="s">
        <v>11</v>
      </c>
    </row>
    <row r="21403" spans="1:5" x14ac:dyDescent="0.25">
      <c r="A21403" t="str">
        <f>HYPERLINK("https://www.773grp.com/globalSearch/QS74FCT162823ATPV/page-1", "QS74FCT162823ATPV")</f>
        <v>QS74FCT162823ATPV</v>
      </c>
      <c r="B21403" s="3" t="s">
        <v>112</v>
      </c>
      <c r="C21403" s="6">
        <v>294</v>
      </c>
      <c r="D21403" s="7">
        <v>4.8600000000000003</v>
      </c>
      <c r="E21403" t="s">
        <v>11</v>
      </c>
    </row>
    <row r="21404" spans="1:5" x14ac:dyDescent="0.25">
      <c r="A21404" t="str">
        <f>HYPERLINK("https://www.773grp.com/globalSearch/QS74FCT162952ATPA/page-1", "QS74FCT162952ATPA")</f>
        <v>QS74FCT162952ATPA</v>
      </c>
      <c r="B21404" s="3" t="s">
        <v>112</v>
      </c>
      <c r="C21404" s="6">
        <v>2292</v>
      </c>
      <c r="D21404" s="7">
        <v>4.8600000000000003</v>
      </c>
      <c r="E21404" t="s">
        <v>11</v>
      </c>
    </row>
    <row r="21405" spans="1:5" x14ac:dyDescent="0.25">
      <c r="A21405" t="str">
        <f>HYPERLINK("https://www.773grp.com/globalSearch/QS74FCT162952ATPV/page-1", "QS74FCT162952ATPV")</f>
        <v>QS74FCT162952ATPV</v>
      </c>
      <c r="B21405" s="3" t="s">
        <v>112</v>
      </c>
      <c r="C21405" s="6">
        <v>4477</v>
      </c>
      <c r="D21405" s="7">
        <v>4.8600000000000003</v>
      </c>
      <c r="E21405" t="s">
        <v>11</v>
      </c>
    </row>
    <row r="21406" spans="1:5" x14ac:dyDescent="0.25">
      <c r="A21406" t="str">
        <f>HYPERLINK("https://www.773grp.com/globalSearch/QS74FCT1646ATPA/page-1", "QS74FCT1646ATPA")</f>
        <v>QS74FCT1646ATPA</v>
      </c>
      <c r="B21406" s="3" t="s">
        <v>112</v>
      </c>
      <c r="C21406" s="6">
        <v>86</v>
      </c>
      <c r="D21406" s="7">
        <v>4.8600000000000003</v>
      </c>
    </row>
    <row r="21407" spans="1:5" x14ac:dyDescent="0.25">
      <c r="A21407" t="str">
        <f>HYPERLINK("https://www.773grp.com/globalSearch/QS74FCT16543ATPV/page-1", "QS74FCT16543ATPV")</f>
        <v>QS74FCT16543ATPV</v>
      </c>
      <c r="B21407" s="3" t="s">
        <v>112</v>
      </c>
      <c r="C21407" s="6">
        <v>235</v>
      </c>
      <c r="D21407" s="7">
        <v>4.8600000000000003</v>
      </c>
      <c r="E21407" t="s">
        <v>11</v>
      </c>
    </row>
    <row r="21408" spans="1:5" x14ac:dyDescent="0.25">
      <c r="A21408" t="str">
        <f>HYPERLINK("https://www.773grp.com/globalSearch/QS74FCT16646ATPV/page-1", "QS74FCT16646ATPV")</f>
        <v>QS74FCT16646ATPV</v>
      </c>
      <c r="B21408" s="3" t="s">
        <v>112</v>
      </c>
      <c r="C21408" s="6">
        <v>3576</v>
      </c>
      <c r="D21408" s="7">
        <v>4.8600000000000003</v>
      </c>
      <c r="E21408" t="s">
        <v>11</v>
      </c>
    </row>
    <row r="21409" spans="1:5" x14ac:dyDescent="0.25">
      <c r="A21409" t="str">
        <f>HYPERLINK("https://www.773grp.com/globalSearch/QS74FCT16646TPA/page-1", "QS74FCT16646TPA")</f>
        <v>QS74FCT16646TPA</v>
      </c>
      <c r="B21409" s="3" t="s">
        <v>112</v>
      </c>
      <c r="C21409" s="6">
        <v>1833</v>
      </c>
      <c r="D21409" s="7">
        <v>4.8600000000000003</v>
      </c>
      <c r="E21409" t="s">
        <v>11</v>
      </c>
    </row>
    <row r="21410" spans="1:5" x14ac:dyDescent="0.25">
      <c r="A21410" t="str">
        <f>HYPERLINK("https://www.773grp.com/globalSearch/QS74FCT16646TPV/page-1", "QS74FCT16646TPV")</f>
        <v>QS74FCT16646TPV</v>
      </c>
      <c r="B21410" s="3" t="s">
        <v>112</v>
      </c>
      <c r="C21410" s="6">
        <v>804</v>
      </c>
      <c r="D21410" s="7">
        <v>4.8600000000000003</v>
      </c>
      <c r="E21410" t="s">
        <v>11</v>
      </c>
    </row>
    <row r="21411" spans="1:5" x14ac:dyDescent="0.25">
      <c r="A21411" t="str">
        <f>HYPERLINK("https://www.773grp.com/globalSearch/QS74FCT16652ATPA/page-1", "QS74FCT16652ATPA")</f>
        <v>QS74FCT16652ATPA</v>
      </c>
      <c r="B21411" s="3" t="s">
        <v>112</v>
      </c>
      <c r="C21411" s="6">
        <v>269</v>
      </c>
      <c r="D21411" s="7">
        <v>4.8600000000000003</v>
      </c>
      <c r="E21411" t="s">
        <v>11</v>
      </c>
    </row>
    <row r="21412" spans="1:5" x14ac:dyDescent="0.25">
      <c r="A21412" t="str">
        <f>HYPERLINK("https://www.773grp.com/globalSearch/QS74FCT16652ATPV/page-1", "QS74FCT16652ATPV")</f>
        <v>QS74FCT16652ATPV</v>
      </c>
      <c r="B21412" s="3" t="s">
        <v>112</v>
      </c>
      <c r="C21412" s="6">
        <v>1558</v>
      </c>
      <c r="D21412" s="7">
        <v>4.8600000000000003</v>
      </c>
      <c r="E21412" t="s">
        <v>11</v>
      </c>
    </row>
    <row r="21413" spans="1:5" x14ac:dyDescent="0.25">
      <c r="A21413" t="str">
        <f>HYPERLINK("https://www.773grp.com/globalSearch/QS74FCT16652TPA/page-1", "QS74FCT16652TPA")</f>
        <v>QS74FCT16652TPA</v>
      </c>
      <c r="B21413" s="3" t="s">
        <v>112</v>
      </c>
      <c r="C21413" s="6">
        <v>2311</v>
      </c>
      <c r="D21413" s="7">
        <v>4.8600000000000003</v>
      </c>
      <c r="E21413" t="s">
        <v>11</v>
      </c>
    </row>
    <row r="21414" spans="1:5" x14ac:dyDescent="0.25">
      <c r="A21414" t="str">
        <f>HYPERLINK("https://www.773grp.com/globalSearch/QS74FCT16952ATPV/page-1", "QS74FCT16952ATPV")</f>
        <v>QS74FCT16952ATPV</v>
      </c>
      <c r="B21414" s="3" t="s">
        <v>112</v>
      </c>
      <c r="C21414" s="6">
        <v>162</v>
      </c>
      <c r="D21414" s="7">
        <v>4.8600000000000003</v>
      </c>
      <c r="E21414" t="s">
        <v>11</v>
      </c>
    </row>
    <row r="21415" spans="1:5" x14ac:dyDescent="0.25">
      <c r="A21415" t="str">
        <f>HYPERLINK("https://www.773grp.com/globalSearch/QS74FCT16952TPV/page-1", "QS74FCT16952TPV")</f>
        <v>QS74FCT16952TPV</v>
      </c>
      <c r="B21415" s="3" t="s">
        <v>112</v>
      </c>
      <c r="C21415" s="6">
        <v>800</v>
      </c>
      <c r="D21415" s="7">
        <v>4.8600000000000003</v>
      </c>
      <c r="E21415" t="s">
        <v>11</v>
      </c>
    </row>
    <row r="21416" spans="1:5" x14ac:dyDescent="0.25">
      <c r="A21416" t="str">
        <f>HYPERLINK("https://www.773grp.com/globalSearch/QS3383QM/page-1", "QS3383QM")</f>
        <v>QS3383QM</v>
      </c>
      <c r="B21416" s="3" t="s">
        <v>112</v>
      </c>
      <c r="C21416" s="6">
        <v>633</v>
      </c>
      <c r="D21416" s="7">
        <v>4.9000000000000004</v>
      </c>
      <c r="E21416" t="s">
        <v>11</v>
      </c>
    </row>
    <row r="21417" spans="1:5" x14ac:dyDescent="0.25">
      <c r="A21417" t="str">
        <f>HYPERLINK("https://www.773grp.com/globalSearch/QS74FCT3540Q/page-1", "QS74FCT3540Q")</f>
        <v>QS74FCT3540Q</v>
      </c>
      <c r="B21417" s="3" t="s">
        <v>112</v>
      </c>
      <c r="C21417" s="6">
        <v>216</v>
      </c>
      <c r="D21417" s="7">
        <v>4.9000000000000004</v>
      </c>
      <c r="E21417" t="s">
        <v>11</v>
      </c>
    </row>
    <row r="21418" spans="1:5" x14ac:dyDescent="0.25">
      <c r="A21418" t="str">
        <f>HYPERLINK("https://www.773grp.com/globalSearch/QS74FCT3540SO/page-1", "QS74FCT3540SO")</f>
        <v>QS74FCT3540SO</v>
      </c>
      <c r="B21418" s="3" t="s">
        <v>112</v>
      </c>
      <c r="C21418" s="6">
        <v>190</v>
      </c>
      <c r="D21418" s="7">
        <v>4.9000000000000004</v>
      </c>
      <c r="E21418" t="s">
        <v>11</v>
      </c>
    </row>
    <row r="21419" spans="1:5" x14ac:dyDescent="0.25">
      <c r="A21419" t="str">
        <f>HYPERLINK("https://www.773grp.com/globalSearch/QS74FCT3541SO/page-1", "QS74FCT3541SO")</f>
        <v>QS74FCT3541SO</v>
      </c>
      <c r="B21419" s="3" t="s">
        <v>112</v>
      </c>
      <c r="C21419" s="6">
        <v>734</v>
      </c>
      <c r="D21419" s="7">
        <v>4.9000000000000004</v>
      </c>
      <c r="E21419" t="s">
        <v>11</v>
      </c>
    </row>
    <row r="21420" spans="1:5" x14ac:dyDescent="0.25">
      <c r="A21420" t="str">
        <f>HYPERLINK("https://www.773grp.com/globalSearch/QS4A110Q/page-1", "QS4A110Q")</f>
        <v>QS4A110Q</v>
      </c>
      <c r="B21420" s="3" t="s">
        <v>112</v>
      </c>
      <c r="C21420" s="6">
        <v>493</v>
      </c>
      <c r="D21420" s="7">
        <v>4.93</v>
      </c>
      <c r="E21420" t="s">
        <v>46</v>
      </c>
    </row>
    <row r="21421" spans="1:5" x14ac:dyDescent="0.25">
      <c r="A21421" t="str">
        <f>HYPERLINK("https://www.773grp.com/globalSearch/QS4A201Q/page-1", "QS4A201Q")</f>
        <v>QS4A201Q</v>
      </c>
      <c r="B21421" s="3" t="s">
        <v>112</v>
      </c>
      <c r="C21421" s="6">
        <v>544</v>
      </c>
      <c r="D21421" s="7">
        <v>4.93</v>
      </c>
      <c r="E21421" t="s">
        <v>46</v>
      </c>
    </row>
    <row r="21422" spans="1:5" x14ac:dyDescent="0.25">
      <c r="A21422" t="str">
        <f>HYPERLINK("https://www.773grp.com/globalSearch/QS74FCT153ATS1/page-1", "QS74FCT153ATS1")</f>
        <v>QS74FCT153ATS1</v>
      </c>
      <c r="B21422" s="3" t="s">
        <v>112</v>
      </c>
      <c r="C21422" s="6">
        <v>442</v>
      </c>
      <c r="D21422" s="7">
        <v>4.93</v>
      </c>
      <c r="E21422" t="s">
        <v>16</v>
      </c>
    </row>
    <row r="21423" spans="1:5" x14ac:dyDescent="0.25">
      <c r="A21423" t="str">
        <f>HYPERLINK("https://www.773grp.com/globalSearch/QS74FCT153ATS1X/page-1", "QS74FCT153ATS1X")</f>
        <v>QS74FCT153ATS1X</v>
      </c>
      <c r="B21423" s="3" t="s">
        <v>112</v>
      </c>
      <c r="C21423" s="6">
        <v>2500</v>
      </c>
      <c r="D21423" s="7">
        <v>4.93</v>
      </c>
    </row>
    <row r="21424" spans="1:5" x14ac:dyDescent="0.25">
      <c r="A21424" t="str">
        <f>HYPERLINK("https://www.773grp.com/globalSearch/QS74FCT153TSO/page-1", "QS74FCT153TSO")</f>
        <v>QS74FCT153TSO</v>
      </c>
      <c r="B21424" s="3" t="s">
        <v>112</v>
      </c>
      <c r="C21424" s="6">
        <v>48</v>
      </c>
      <c r="D21424" s="7">
        <v>4.95</v>
      </c>
      <c r="E21424" t="s">
        <v>16</v>
      </c>
    </row>
    <row r="21425" spans="1:5" x14ac:dyDescent="0.25">
      <c r="A21425" t="str">
        <f>HYPERLINK("https://www.773grp.com/globalSearch/QS74FCT2652ATP/page-1", "QS74FCT2652ATP")</f>
        <v>QS74FCT2652ATP</v>
      </c>
      <c r="B21425" s="3" t="s">
        <v>112</v>
      </c>
      <c r="C21425" s="6">
        <v>3191</v>
      </c>
      <c r="D21425" s="7">
        <v>4.95</v>
      </c>
      <c r="E21425" t="s">
        <v>11</v>
      </c>
    </row>
    <row r="21426" spans="1:5" x14ac:dyDescent="0.25">
      <c r="A21426" t="str">
        <f>HYPERLINK("https://www.773grp.com/globalSearch/QS5805TQ/page-1", "QS5805TQ")</f>
        <v>QS5805TQ</v>
      </c>
      <c r="B21426" s="3" t="s">
        <v>112</v>
      </c>
      <c r="C21426" s="6">
        <v>1</v>
      </c>
      <c r="D21426" s="7">
        <v>4.9800000000000004</v>
      </c>
      <c r="E21426" t="s">
        <v>30</v>
      </c>
    </row>
    <row r="21427" spans="1:5" x14ac:dyDescent="0.25">
      <c r="A21427" t="str">
        <f>HYPERLINK("https://www.773grp.com/globalSearch/QS5806TSO/page-1", "QS5806TSO")</f>
        <v>QS5806TSO</v>
      </c>
      <c r="B21427" s="3" t="s">
        <v>112</v>
      </c>
      <c r="C21427" s="6">
        <v>2978</v>
      </c>
      <c r="D21427" s="7">
        <v>4.9800000000000004</v>
      </c>
      <c r="E21427" t="s">
        <v>30</v>
      </c>
    </row>
    <row r="21428" spans="1:5" x14ac:dyDescent="0.25">
      <c r="A21428" t="str">
        <f>HYPERLINK("https://www.773grp.com/globalSearch/QS74FCT191TSO/page-1", "QS74FCT191TSO")</f>
        <v>QS74FCT191TSO</v>
      </c>
      <c r="B21428" s="3" t="s">
        <v>112</v>
      </c>
      <c r="C21428" s="6">
        <v>29600</v>
      </c>
      <c r="D21428" s="7">
        <v>4.9800000000000004</v>
      </c>
      <c r="E21428" t="s">
        <v>22</v>
      </c>
    </row>
    <row r="21429" spans="1:5" x14ac:dyDescent="0.25">
      <c r="A21429" t="str">
        <f>HYPERLINK("https://www.773grp.com/globalSearch/QS74FCT240TSO/page-1", "QS74FCT240TSO")</f>
        <v>QS74FCT240TSO</v>
      </c>
      <c r="B21429" s="3" t="s">
        <v>112</v>
      </c>
      <c r="C21429" s="6">
        <v>8292</v>
      </c>
      <c r="D21429" s="7">
        <v>5.01</v>
      </c>
      <c r="E21429" t="s">
        <v>11</v>
      </c>
    </row>
    <row r="21430" spans="1:5" x14ac:dyDescent="0.25">
      <c r="A21430" t="str">
        <f>HYPERLINK("https://www.773grp.com/globalSearch/QS74FCT2863ATS0/page-1", "QS74FCT2863ATS0")</f>
        <v>QS74FCT2863ATS0</v>
      </c>
      <c r="B21430" s="3" t="s">
        <v>112</v>
      </c>
      <c r="C21430" s="6">
        <v>105</v>
      </c>
      <c r="D21430" s="7">
        <v>5.01</v>
      </c>
    </row>
    <row r="21431" spans="1:5" x14ac:dyDescent="0.25">
      <c r="A21431" t="str">
        <f>HYPERLINK("https://www.773grp.com/globalSearch/QS74FCT138TSOX/page-1", "QS74FCT138TSOX")</f>
        <v>QS74FCT138TSOX</v>
      </c>
      <c r="B21431" s="3" t="s">
        <v>112</v>
      </c>
      <c r="C21431" s="6">
        <v>2000</v>
      </c>
      <c r="D21431" s="7">
        <v>5.0599999999999996</v>
      </c>
    </row>
    <row r="21432" spans="1:5" x14ac:dyDescent="0.25">
      <c r="A21432" t="str">
        <f>HYPERLINK("https://www.773grp.com/globalSearch/QS74FCT139ATQ/page-1", "QS74FCT139ATQ")</f>
        <v>QS74FCT139ATQ</v>
      </c>
      <c r="B21432" s="3" t="s">
        <v>112</v>
      </c>
      <c r="C21432" s="6">
        <v>951</v>
      </c>
      <c r="D21432" s="7">
        <v>5.0599999999999996</v>
      </c>
      <c r="E21432" t="s">
        <v>32</v>
      </c>
    </row>
    <row r="21433" spans="1:5" x14ac:dyDescent="0.25">
      <c r="A21433" t="str">
        <f>HYPERLINK("https://www.773grp.com/globalSearch/QS74FCT2257TSO/page-1", "QS74FCT2257TSO")</f>
        <v>QS74FCT2257TSO</v>
      </c>
      <c r="B21433" s="3" t="s">
        <v>112</v>
      </c>
      <c r="C21433" s="6">
        <v>1357</v>
      </c>
      <c r="D21433" s="7">
        <v>5.0599999999999996</v>
      </c>
      <c r="E21433" t="s">
        <v>16</v>
      </c>
    </row>
    <row r="21434" spans="1:5" x14ac:dyDescent="0.25">
      <c r="A21434" t="str">
        <f>HYPERLINK("https://www.773grp.com/globalSearch/QS74FCT2374TP/page-1", "QS74FCT2374TP")</f>
        <v>QS74FCT2374TP</v>
      </c>
      <c r="B21434" s="3" t="s">
        <v>112</v>
      </c>
      <c r="C21434" s="6">
        <v>141</v>
      </c>
      <c r="D21434" s="7">
        <v>5.0599999999999996</v>
      </c>
      <c r="E21434" t="s">
        <v>11</v>
      </c>
    </row>
    <row r="21435" spans="1:5" x14ac:dyDescent="0.25">
      <c r="A21435" t="str">
        <f>HYPERLINK("https://www.773grp.com/globalSearch/QS74FCT257TSO/page-1", "QS74FCT257TSO")</f>
        <v>QS74FCT257TSO</v>
      </c>
      <c r="B21435" s="3" t="s">
        <v>112</v>
      </c>
      <c r="C21435" s="6">
        <v>1414</v>
      </c>
      <c r="D21435" s="7">
        <v>5.0599999999999996</v>
      </c>
      <c r="E21435" t="s">
        <v>16</v>
      </c>
    </row>
    <row r="21436" spans="1:5" x14ac:dyDescent="0.25">
      <c r="A21436" t="str">
        <f>HYPERLINK("https://www.773grp.com/globalSearch/QS74FCT2827ATP/page-1", "QS74FCT2827ATP")</f>
        <v>QS74FCT2827ATP</v>
      </c>
      <c r="B21436" s="3" t="s">
        <v>112</v>
      </c>
      <c r="C21436" s="6">
        <v>1</v>
      </c>
      <c r="D21436" s="7">
        <v>5.0599999999999996</v>
      </c>
      <c r="E21436" t="s">
        <v>11</v>
      </c>
    </row>
    <row r="21437" spans="1:5" x14ac:dyDescent="0.25">
      <c r="A21437" t="str">
        <f>HYPERLINK("https://www.773grp.com/globalSearch/QS74FCT821ATZ/page-1", "QS74FCT821ATZ")</f>
        <v>QS74FCT821ATZ</v>
      </c>
      <c r="B21437" s="3" t="s">
        <v>112</v>
      </c>
      <c r="C21437" s="6">
        <v>318</v>
      </c>
      <c r="D21437" s="7">
        <v>5.0599999999999996</v>
      </c>
      <c r="E21437" t="s">
        <v>11</v>
      </c>
    </row>
    <row r="21438" spans="1:5" x14ac:dyDescent="0.25">
      <c r="A21438" t="str">
        <f>HYPERLINK("https://www.773grp.com/globalSearch/QS74FCT828ATP/page-1", "QS74FCT828ATP")</f>
        <v>QS74FCT828ATP</v>
      </c>
      <c r="B21438" s="3" t="s">
        <v>112</v>
      </c>
      <c r="C21438" s="6">
        <v>13</v>
      </c>
      <c r="D21438" s="7">
        <v>5.0599999999999996</v>
      </c>
      <c r="E21438" t="s">
        <v>11</v>
      </c>
    </row>
    <row r="21439" spans="1:5" x14ac:dyDescent="0.25">
      <c r="A21439" t="str">
        <f>HYPERLINK("https://www.773grp.com/globalSearch/QS74FCT191ATS0X/page-1", "QS74FCT191ATS0X")</f>
        <v>QS74FCT191ATS0X</v>
      </c>
      <c r="B21439" s="3" t="s">
        <v>112</v>
      </c>
      <c r="C21439" s="6">
        <v>2000</v>
      </c>
      <c r="D21439" s="7">
        <v>5.0999999999999996</v>
      </c>
    </row>
    <row r="21440" spans="1:5" x14ac:dyDescent="0.25">
      <c r="A21440" t="str">
        <f>HYPERLINK("https://www.773grp.com/globalSearch/QS74FCT258ATP/page-1", "QS74FCT258ATP")</f>
        <v>QS74FCT258ATP</v>
      </c>
      <c r="B21440" s="3" t="s">
        <v>112</v>
      </c>
      <c r="C21440" s="6">
        <v>5377</v>
      </c>
      <c r="D21440" s="7">
        <v>5.0999999999999996</v>
      </c>
      <c r="E21440" t="s">
        <v>16</v>
      </c>
    </row>
    <row r="21441" spans="1:5" x14ac:dyDescent="0.25">
      <c r="A21441" t="str">
        <f>HYPERLINK("https://www.773grp.com/globalSearch/QS74FCT2540TSOX/page-1", "QS74FCT2540TSOX")</f>
        <v>QS74FCT2540TSOX</v>
      </c>
      <c r="B21441" s="3" t="s">
        <v>112</v>
      </c>
      <c r="C21441" s="6">
        <v>1000</v>
      </c>
      <c r="D21441" s="7">
        <v>5.18</v>
      </c>
    </row>
    <row r="21442" spans="1:5" x14ac:dyDescent="0.25">
      <c r="A21442" t="str">
        <f>HYPERLINK("https://www.773grp.com/globalSearch/QS74FCT2823CTQ/page-1", "QS74FCT2823CTQ")</f>
        <v>QS74FCT2823CTQ</v>
      </c>
      <c r="B21442" s="3" t="s">
        <v>112</v>
      </c>
      <c r="C21442" s="6">
        <v>271</v>
      </c>
      <c r="D21442" s="7">
        <v>5.18</v>
      </c>
      <c r="E21442" t="s">
        <v>11</v>
      </c>
    </row>
    <row r="21443" spans="1:5" x14ac:dyDescent="0.25">
      <c r="A21443" t="str">
        <f>HYPERLINK("https://www.773grp.com/globalSearch/QS54FCT2245TQ/page-1", "QS54FCT2245TQ")</f>
        <v>QS54FCT2245TQ</v>
      </c>
      <c r="B21443" s="3" t="s">
        <v>112</v>
      </c>
      <c r="C21443" s="6">
        <v>148</v>
      </c>
      <c r="D21443" s="7">
        <v>5.2</v>
      </c>
      <c r="E21443" t="s">
        <v>11</v>
      </c>
    </row>
    <row r="21444" spans="1:5" x14ac:dyDescent="0.25">
      <c r="A21444" t="str">
        <f>HYPERLINK("https://www.773grp.com/globalSearch/QS74FCT2253ATQ/page-1", "QS74FCT2253ATQ")</f>
        <v>QS74FCT2253ATQ</v>
      </c>
      <c r="B21444" s="3" t="s">
        <v>112</v>
      </c>
      <c r="C21444" s="6">
        <v>254</v>
      </c>
      <c r="D21444" s="7">
        <v>5.2</v>
      </c>
      <c r="E21444" t="s">
        <v>16</v>
      </c>
    </row>
    <row r="21445" spans="1:5" x14ac:dyDescent="0.25">
      <c r="A21445" t="str">
        <f>HYPERLINK("https://www.773grp.com/globalSearch/QS74FCT251TP/page-1", "QS74FCT251TP")</f>
        <v>QS74FCT251TP</v>
      </c>
      <c r="B21445" s="3" t="s">
        <v>112</v>
      </c>
      <c r="C21445" s="6">
        <v>5066</v>
      </c>
      <c r="D21445" s="7">
        <v>5.2</v>
      </c>
      <c r="E21445" t="s">
        <v>16</v>
      </c>
    </row>
    <row r="21446" spans="1:5" x14ac:dyDescent="0.25">
      <c r="A21446" t="str">
        <f>HYPERLINK("https://www.773grp.com/globalSearch/QS74FCT2540TSO/page-1", "QS74FCT2540TSO")</f>
        <v>QS74FCT2540TSO</v>
      </c>
      <c r="B21446" s="3" t="s">
        <v>112</v>
      </c>
      <c r="C21446" s="6">
        <v>836</v>
      </c>
      <c r="D21446" s="7">
        <v>5.2</v>
      </c>
      <c r="E21446" t="s">
        <v>11</v>
      </c>
    </row>
    <row r="21447" spans="1:5" x14ac:dyDescent="0.25">
      <c r="A21447" t="str">
        <f>HYPERLINK("https://www.773grp.com/globalSearch/QS74FCT2158ATS1/page-1", "QS74FCT2158ATS1")</f>
        <v>QS74FCT2158ATS1</v>
      </c>
      <c r="B21447" s="3" t="s">
        <v>112</v>
      </c>
      <c r="C21447" s="6">
        <v>6142</v>
      </c>
      <c r="D21447" s="7">
        <v>5.26</v>
      </c>
      <c r="E21447" t="s">
        <v>16</v>
      </c>
    </row>
    <row r="21448" spans="1:5" x14ac:dyDescent="0.25">
      <c r="A21448" t="str">
        <f>HYPERLINK("https://www.773grp.com/globalSearch/QS74FCT534ATSO/page-1", "QS74FCT534ATSO")</f>
        <v>QS74FCT534ATSO</v>
      </c>
      <c r="B21448" s="3" t="s">
        <v>112</v>
      </c>
      <c r="C21448" s="6">
        <v>3059</v>
      </c>
      <c r="D21448" s="7">
        <v>5.26</v>
      </c>
      <c r="E21448" t="s">
        <v>11</v>
      </c>
    </row>
    <row r="21449" spans="1:5" x14ac:dyDescent="0.25">
      <c r="A21449" t="str">
        <f>HYPERLINK("https://www.773grp.com/globalSearch/QS54FCT2257ATSO/page-1", "QS54FCT2257ATSO")</f>
        <v>QS54FCT2257ATSO</v>
      </c>
      <c r="B21449" s="3" t="s">
        <v>112</v>
      </c>
      <c r="C21449" s="6">
        <v>397</v>
      </c>
      <c r="D21449" s="7">
        <v>5.31</v>
      </c>
      <c r="E21449" t="s">
        <v>16</v>
      </c>
    </row>
    <row r="21450" spans="1:5" x14ac:dyDescent="0.25">
      <c r="A21450" t="str">
        <f>HYPERLINK("https://www.773grp.com/globalSearch/QS54FCT2541ATSO/page-1", "QS54FCT2541ATSO")</f>
        <v>QS54FCT2541ATSO</v>
      </c>
      <c r="B21450" s="3" t="s">
        <v>112</v>
      </c>
      <c r="C21450" s="6">
        <v>158</v>
      </c>
      <c r="D21450" s="7">
        <v>5.31</v>
      </c>
      <c r="E21450" t="s">
        <v>11</v>
      </c>
    </row>
    <row r="21451" spans="1:5" x14ac:dyDescent="0.25">
      <c r="A21451" t="str">
        <f>HYPERLINK("https://www.773grp.com/globalSearch/QS54FCT541ATQ/page-1", "QS54FCT541ATQ")</f>
        <v>QS54FCT541ATQ</v>
      </c>
      <c r="B21451" s="3" t="s">
        <v>112</v>
      </c>
      <c r="C21451" s="6">
        <v>252</v>
      </c>
      <c r="D21451" s="7">
        <v>5.31</v>
      </c>
      <c r="E21451" t="s">
        <v>11</v>
      </c>
    </row>
    <row r="21452" spans="1:5" x14ac:dyDescent="0.25">
      <c r="A21452" t="str">
        <f>HYPERLINK("https://www.773grp.com/globalSearch/QS74FCT162245ATQ2/page-1", "QS74FCT162245ATQ2")</f>
        <v>QS74FCT162245ATQ2</v>
      </c>
      <c r="B21452" s="3" t="s">
        <v>112</v>
      </c>
      <c r="C21452" s="6">
        <v>190</v>
      </c>
      <c r="D21452" s="7">
        <v>5.31</v>
      </c>
    </row>
    <row r="21453" spans="1:5" x14ac:dyDescent="0.25">
      <c r="A21453" t="str">
        <f>HYPERLINK("https://www.773grp.com/globalSearch/QS74FCT16373CTPV/page-1", "QS74FCT16373CTPV")</f>
        <v>QS74FCT16373CTPV</v>
      </c>
      <c r="B21453" s="3" t="s">
        <v>112</v>
      </c>
      <c r="C21453" s="6">
        <v>7101</v>
      </c>
      <c r="D21453" s="7">
        <v>5.31</v>
      </c>
      <c r="E21453" t="s">
        <v>11</v>
      </c>
    </row>
    <row r="21454" spans="1:5" x14ac:dyDescent="0.25">
      <c r="A21454" t="str">
        <f>HYPERLINK("https://www.773grp.com/globalSearch/QS74FCT163ATQ/page-1", "QS74FCT163ATQ")</f>
        <v>QS74FCT163ATQ</v>
      </c>
      <c r="B21454" s="3" t="s">
        <v>112</v>
      </c>
      <c r="C21454" s="6">
        <v>4</v>
      </c>
      <c r="D21454" s="7">
        <v>5.31</v>
      </c>
      <c r="E21454" t="s">
        <v>22</v>
      </c>
    </row>
    <row r="21455" spans="1:5" x14ac:dyDescent="0.25">
      <c r="A21455" t="str">
        <f>HYPERLINK("https://www.773grp.com/globalSearch/QS54FCT244TQ/page-1", "QS54FCT244TQ")</f>
        <v>QS54FCT244TQ</v>
      </c>
      <c r="B21455" s="3" t="s">
        <v>112</v>
      </c>
      <c r="C21455" s="6">
        <v>8</v>
      </c>
      <c r="D21455" s="7">
        <v>5.35</v>
      </c>
      <c r="E21455" t="s">
        <v>11</v>
      </c>
    </row>
    <row r="21456" spans="1:5" x14ac:dyDescent="0.25">
      <c r="A21456" t="str">
        <f>HYPERLINK("https://www.773grp.com/globalSearch/QS54FCT827CTQ/page-1", "QS54FCT827CTQ")</f>
        <v>QS54FCT827CTQ</v>
      </c>
      <c r="B21456" s="3" t="s">
        <v>112</v>
      </c>
      <c r="C21456" s="6">
        <v>756</v>
      </c>
      <c r="D21456" s="7">
        <v>5.35</v>
      </c>
      <c r="E21456" t="s">
        <v>11</v>
      </c>
    </row>
    <row r="21457" spans="1:5" x14ac:dyDescent="0.25">
      <c r="A21457" t="str">
        <f>HYPERLINK("https://www.773grp.com/globalSearch/QS74FCT2244TQ/page-1", "QS74FCT2244TQ")</f>
        <v>QS74FCT2244TQ</v>
      </c>
      <c r="B21457" s="3" t="s">
        <v>112</v>
      </c>
      <c r="C21457" s="6">
        <v>283</v>
      </c>
      <c r="D21457" s="7">
        <v>5.35</v>
      </c>
      <c r="E21457" t="s">
        <v>11</v>
      </c>
    </row>
    <row r="21458" spans="1:5" x14ac:dyDescent="0.25">
      <c r="A21458" t="str">
        <f>HYPERLINK("https://www.773grp.com/globalSearch/QS74FCT2828BTZ/page-1", "QS74FCT2828BTZ")</f>
        <v>QS74FCT2828BTZ</v>
      </c>
      <c r="B21458" s="3" t="s">
        <v>112</v>
      </c>
      <c r="C21458" s="6">
        <v>146</v>
      </c>
      <c r="D21458" s="7">
        <v>5.36</v>
      </c>
      <c r="E21458" t="s">
        <v>11</v>
      </c>
    </row>
    <row r="21459" spans="1:5" x14ac:dyDescent="0.25">
      <c r="A21459" t="str">
        <f>HYPERLINK("https://www.773grp.com/globalSearch/QS74FCT299TSO/page-1", "QS74FCT299TSO")</f>
        <v>QS74FCT299TSO</v>
      </c>
      <c r="B21459" s="3" t="s">
        <v>112</v>
      </c>
      <c r="C21459" s="6">
        <v>2393</v>
      </c>
      <c r="D21459" s="7">
        <v>5.4</v>
      </c>
      <c r="E21459" t="s">
        <v>28</v>
      </c>
    </row>
    <row r="21460" spans="1:5" x14ac:dyDescent="0.25">
      <c r="A21460" t="str">
        <f>HYPERLINK("https://www.773grp.com/globalSearch/QS74FCT864ATQ/page-1", "QS74FCT864ATQ")</f>
        <v>QS74FCT864ATQ</v>
      </c>
      <c r="B21460" s="3" t="s">
        <v>112</v>
      </c>
      <c r="C21460" s="6">
        <v>349</v>
      </c>
      <c r="D21460" s="7">
        <v>5.4</v>
      </c>
      <c r="E21460" t="s">
        <v>11</v>
      </c>
    </row>
    <row r="21461" spans="1:5" x14ac:dyDescent="0.25">
      <c r="A21461" t="str">
        <f>HYPERLINK("https://www.773grp.com/globalSearch/QS74FCT640ATSOX/page-1", "QS74FCT640ATSOX")</f>
        <v>QS74FCT640ATSOX</v>
      </c>
      <c r="B21461" s="3" t="s">
        <v>112</v>
      </c>
      <c r="C21461" s="6">
        <v>1000</v>
      </c>
      <c r="D21461" s="7">
        <v>5.44</v>
      </c>
    </row>
    <row r="21462" spans="1:5" x14ac:dyDescent="0.25">
      <c r="A21462" t="str">
        <f>HYPERLINK("https://www.773grp.com/globalSearch/QS74FCT845ATQ/page-1", "QS74FCT845ATQ")</f>
        <v>QS74FCT845ATQ</v>
      </c>
      <c r="B21462" s="3" t="s">
        <v>112</v>
      </c>
      <c r="C21462" s="6">
        <v>6690</v>
      </c>
      <c r="D21462" s="7">
        <v>5.45</v>
      </c>
      <c r="E21462" t="s">
        <v>11</v>
      </c>
    </row>
    <row r="21463" spans="1:5" x14ac:dyDescent="0.25">
      <c r="A21463" t="str">
        <f>HYPERLINK("https://www.773grp.com/globalSearch/QS74FCT193ATP/page-1", "QS74FCT193ATP")</f>
        <v>QS74FCT193ATP</v>
      </c>
      <c r="B21463" s="3" t="s">
        <v>112</v>
      </c>
      <c r="C21463" s="6">
        <v>12477</v>
      </c>
      <c r="D21463" s="7">
        <v>5.49</v>
      </c>
      <c r="E21463" t="s">
        <v>22</v>
      </c>
    </row>
    <row r="21464" spans="1:5" x14ac:dyDescent="0.25">
      <c r="A21464" t="str">
        <f>HYPERLINK("https://www.773grp.com/globalSearch/QS74FCT2153ATP/page-1", "QS74FCT2153ATP")</f>
        <v>QS74FCT2153ATP</v>
      </c>
      <c r="B21464" s="3" t="s">
        <v>112</v>
      </c>
      <c r="C21464" s="6">
        <v>112</v>
      </c>
      <c r="D21464" s="7">
        <v>5.49</v>
      </c>
      <c r="E21464" t="s">
        <v>16</v>
      </c>
    </row>
    <row r="21465" spans="1:5" x14ac:dyDescent="0.25">
      <c r="A21465" t="str">
        <f>HYPERLINK("https://www.773grp.com/globalSearch/QS74FCT253ATP/page-1", "QS74FCT253ATP")</f>
        <v>QS74FCT253ATP</v>
      </c>
      <c r="B21465" s="3" t="s">
        <v>112</v>
      </c>
      <c r="C21465" s="6">
        <v>5302</v>
      </c>
      <c r="D21465" s="7">
        <v>5.49</v>
      </c>
      <c r="E21465" t="s">
        <v>16</v>
      </c>
    </row>
    <row r="21466" spans="1:5" x14ac:dyDescent="0.25">
      <c r="A21466" t="str">
        <f>HYPERLINK("https://www.773grp.com/globalSearch/QS74FCT843BTP/page-1", "QS74FCT843BTP")</f>
        <v>QS74FCT843BTP</v>
      </c>
      <c r="B21466" s="3" t="s">
        <v>112</v>
      </c>
      <c r="C21466" s="6">
        <v>1779</v>
      </c>
      <c r="D21466" s="7">
        <v>5.49</v>
      </c>
      <c r="E21466" t="s">
        <v>11</v>
      </c>
    </row>
    <row r="21467" spans="1:5" x14ac:dyDescent="0.25">
      <c r="A21467" t="str">
        <f>HYPERLINK("https://www.773grp.com/globalSearch/QS74FCT240TP/page-1", "QS74FCT240TP")</f>
        <v>QS74FCT240TP</v>
      </c>
      <c r="B21467" s="3" t="s">
        <v>112</v>
      </c>
      <c r="C21467" s="6">
        <v>4095</v>
      </c>
      <c r="D21467" s="7">
        <v>5.51</v>
      </c>
      <c r="E21467" t="s">
        <v>11</v>
      </c>
    </row>
    <row r="21468" spans="1:5" x14ac:dyDescent="0.25">
      <c r="A21468" t="str">
        <f>HYPERLINK("https://www.773grp.com/globalSearch/QS74FCT2253ATSO/page-1", "QS74FCT2253ATSO")</f>
        <v>QS74FCT2253ATSO</v>
      </c>
      <c r="B21468" s="3" t="s">
        <v>112</v>
      </c>
      <c r="C21468" s="6">
        <v>3965</v>
      </c>
      <c r="D21468" s="7">
        <v>5.54</v>
      </c>
      <c r="E21468" t="s">
        <v>16</v>
      </c>
    </row>
    <row r="21469" spans="1:5" x14ac:dyDescent="0.25">
      <c r="A21469" t="str">
        <f>HYPERLINK("https://www.773grp.com/globalSearch/QS74FCT163ATP/page-1", "QS74FCT163ATP")</f>
        <v>QS74FCT163ATP</v>
      </c>
      <c r="B21469" s="3" t="s">
        <v>112</v>
      </c>
      <c r="C21469" s="6">
        <v>1271</v>
      </c>
      <c r="D21469" s="7">
        <v>5.58</v>
      </c>
      <c r="E21469" t="s">
        <v>22</v>
      </c>
    </row>
    <row r="21470" spans="1:5" x14ac:dyDescent="0.25">
      <c r="A21470" t="str">
        <f>HYPERLINK("https://www.773grp.com/globalSearch/QS74FCT193TS1/page-1", "QS74FCT193TS1")</f>
        <v>QS74FCT193TS1</v>
      </c>
      <c r="B21470" s="3" t="s">
        <v>112</v>
      </c>
      <c r="C21470" s="6">
        <v>5484</v>
      </c>
      <c r="D21470" s="7">
        <v>5.58</v>
      </c>
      <c r="E21470" t="s">
        <v>22</v>
      </c>
    </row>
    <row r="21471" spans="1:5" x14ac:dyDescent="0.25">
      <c r="A21471" t="str">
        <f>HYPERLINK("https://www.773grp.com/globalSearch/QS74FCT821ATP/page-1", "QS74FCT821ATP")</f>
        <v>QS74FCT821ATP</v>
      </c>
      <c r="B21471" s="3" t="s">
        <v>112</v>
      </c>
      <c r="C21471" s="6">
        <v>14</v>
      </c>
      <c r="D21471" s="7">
        <v>5.58</v>
      </c>
      <c r="E21471" t="s">
        <v>11</v>
      </c>
    </row>
    <row r="21472" spans="1:5" x14ac:dyDescent="0.25">
      <c r="A21472" t="str">
        <f>HYPERLINK("https://www.773grp.com/globalSearch/QS74FCT238TS1/page-1", "QS74FCT238TS1")</f>
        <v>QS74FCT238TS1</v>
      </c>
      <c r="B21472" s="3" t="s">
        <v>112</v>
      </c>
      <c r="C21472" s="6">
        <v>312</v>
      </c>
      <c r="D21472" s="7">
        <v>5.6</v>
      </c>
      <c r="E21472" t="s">
        <v>32</v>
      </c>
    </row>
    <row r="21473" spans="1:5" x14ac:dyDescent="0.25">
      <c r="A21473" t="str">
        <f>HYPERLINK("https://www.773grp.com/globalSearch/QS74FCT251TSI/page-1", "QS74FCT251TSI")</f>
        <v>QS74FCT251TSI</v>
      </c>
      <c r="B21473" s="3" t="s">
        <v>112</v>
      </c>
      <c r="C21473" s="6">
        <v>1316</v>
      </c>
      <c r="D21473" s="7">
        <v>5.6</v>
      </c>
    </row>
    <row r="21474" spans="1:5" x14ac:dyDescent="0.25">
      <c r="A21474" t="str">
        <f>HYPERLINK("https://www.773grp.com/globalSearch/QS74FCT2X823CTQ1/page-1", "QS74FCT2X823CTQ1")</f>
        <v>QS74FCT2X823CTQ1</v>
      </c>
      <c r="B21474" s="3" t="s">
        <v>112</v>
      </c>
      <c r="C21474" s="6">
        <v>3485</v>
      </c>
      <c r="D21474" s="7">
        <v>5.6</v>
      </c>
      <c r="E21474" t="s">
        <v>11</v>
      </c>
    </row>
    <row r="21475" spans="1:5" x14ac:dyDescent="0.25">
      <c r="A21475" t="str">
        <f>HYPERLINK("https://www.773grp.com/globalSearch/QS74FCT158ATP/page-1", "QS74FCT158ATP")</f>
        <v>QS74FCT158ATP</v>
      </c>
      <c r="B21475" s="3" t="s">
        <v>112</v>
      </c>
      <c r="C21475" s="6">
        <v>3969</v>
      </c>
      <c r="D21475" s="7">
        <v>5.63</v>
      </c>
      <c r="E21475" t="s">
        <v>16</v>
      </c>
    </row>
    <row r="21476" spans="1:5" x14ac:dyDescent="0.25">
      <c r="A21476" t="str">
        <f>HYPERLINK("https://www.773grp.com/globalSearch/QS74FCT158ATSI/page-1", "QS74FCT158ATSI")</f>
        <v>QS74FCT158ATSI</v>
      </c>
      <c r="B21476" s="3" t="s">
        <v>112</v>
      </c>
      <c r="C21476" s="6">
        <v>7109</v>
      </c>
      <c r="D21476" s="7">
        <v>5.63</v>
      </c>
    </row>
    <row r="21477" spans="1:5" x14ac:dyDescent="0.25">
      <c r="A21477" t="str">
        <f>HYPERLINK("https://www.773grp.com/globalSearch/QS74FCT2157TSO/page-1", "QS74FCT2157TSO")</f>
        <v>QS74FCT2157TSO</v>
      </c>
      <c r="B21477" s="3" t="s">
        <v>112</v>
      </c>
      <c r="C21477" s="6">
        <v>622</v>
      </c>
      <c r="D21477" s="7">
        <v>5.63</v>
      </c>
      <c r="E21477" t="s">
        <v>16</v>
      </c>
    </row>
    <row r="21478" spans="1:5" x14ac:dyDescent="0.25">
      <c r="A21478" t="str">
        <f>HYPERLINK("https://www.773grp.com/globalSearch/QS74FCT2253TS1/page-1", "QS74FCT2253TS1")</f>
        <v>QS74FCT2253TS1</v>
      </c>
      <c r="B21478" s="3" t="s">
        <v>112</v>
      </c>
      <c r="C21478" s="6">
        <v>5280</v>
      </c>
      <c r="D21478" s="7">
        <v>5.63</v>
      </c>
      <c r="E21478" t="s">
        <v>16</v>
      </c>
    </row>
    <row r="21479" spans="1:5" x14ac:dyDescent="0.25">
      <c r="A21479" t="str">
        <f>HYPERLINK("https://www.773grp.com/globalSearch/QS74FCT2253TSI/page-1", "QS74FCT2253TSI")</f>
        <v>QS74FCT2253TSI</v>
      </c>
      <c r="B21479" s="3" t="s">
        <v>112</v>
      </c>
      <c r="C21479" s="6">
        <v>128</v>
      </c>
      <c r="D21479" s="7">
        <v>5.63</v>
      </c>
    </row>
    <row r="21480" spans="1:5" x14ac:dyDescent="0.25">
      <c r="A21480" t="str">
        <f>HYPERLINK("https://www.773grp.com/globalSearch/QS74FCT2373TP/page-1", "QS74FCT2373TP")</f>
        <v>QS74FCT2373TP</v>
      </c>
      <c r="B21480" s="3" t="s">
        <v>112</v>
      </c>
      <c r="C21480" s="6">
        <v>9365</v>
      </c>
      <c r="D21480" s="7">
        <v>5.63</v>
      </c>
      <c r="E21480" t="s">
        <v>11</v>
      </c>
    </row>
    <row r="21481" spans="1:5" x14ac:dyDescent="0.25">
      <c r="A21481" t="str">
        <f>HYPERLINK("https://www.773grp.com/globalSearch/QS74FCT257TP/page-1", "QS74FCT257TP")</f>
        <v>QS74FCT257TP</v>
      </c>
      <c r="B21481" s="3" t="s">
        <v>112</v>
      </c>
      <c r="C21481" s="6">
        <v>8993</v>
      </c>
      <c r="D21481" s="7">
        <v>5.63</v>
      </c>
      <c r="E21481" t="s">
        <v>16</v>
      </c>
    </row>
    <row r="21482" spans="1:5" x14ac:dyDescent="0.25">
      <c r="A21482" t="str">
        <f>HYPERLINK("https://www.773grp.com/globalSearch/QS74FCT3373AQ/page-1", "QS74FCT3373AQ")</f>
        <v>QS74FCT3373AQ</v>
      </c>
      <c r="B21482" s="3" t="s">
        <v>112</v>
      </c>
      <c r="C21482" s="6">
        <v>5756</v>
      </c>
      <c r="D21482" s="7">
        <v>5.63</v>
      </c>
      <c r="E21482" t="s">
        <v>11</v>
      </c>
    </row>
    <row r="21483" spans="1:5" x14ac:dyDescent="0.25">
      <c r="A21483" t="str">
        <f>HYPERLINK("https://www.773grp.com/globalSearch/QS74FCT3373ASO/page-1", "QS74FCT3373ASO")</f>
        <v>QS74FCT3373ASO</v>
      </c>
      <c r="B21483" s="3" t="s">
        <v>112</v>
      </c>
      <c r="C21483" s="6">
        <v>5038</v>
      </c>
      <c r="D21483" s="7">
        <v>5.63</v>
      </c>
      <c r="E21483" t="s">
        <v>11</v>
      </c>
    </row>
    <row r="21484" spans="1:5" x14ac:dyDescent="0.25">
      <c r="A21484" t="str">
        <f>HYPERLINK("https://www.773grp.com/globalSearch/QS74FCT377ATSO/page-1", "QS74FCT377ATSO")</f>
        <v>QS74FCT377ATSO</v>
      </c>
      <c r="B21484" s="3" t="s">
        <v>112</v>
      </c>
      <c r="C21484" s="6">
        <v>2191</v>
      </c>
      <c r="D21484" s="7">
        <v>5.63</v>
      </c>
      <c r="E21484" t="s">
        <v>31</v>
      </c>
    </row>
    <row r="21485" spans="1:5" x14ac:dyDescent="0.25">
      <c r="A21485" t="str">
        <f>HYPERLINK("https://www.773grp.com/globalSearch/QS74FCT828BTSOX/page-1", "QS74FCT828BTSOX")</f>
        <v>QS74FCT828BTSOX</v>
      </c>
      <c r="B21485" s="3" t="s">
        <v>112</v>
      </c>
      <c r="C21485" s="6">
        <v>1000</v>
      </c>
      <c r="D21485" s="7">
        <v>5.63</v>
      </c>
    </row>
    <row r="21486" spans="1:5" x14ac:dyDescent="0.25">
      <c r="A21486" t="str">
        <f>HYPERLINK("https://www.773grp.com/globalSearch/QS74FCT540ATQ/page-1", "QS74FCT540ATQ")</f>
        <v>QS74FCT540ATQ</v>
      </c>
      <c r="B21486" s="3" t="s">
        <v>112</v>
      </c>
      <c r="C21486" s="6">
        <v>114</v>
      </c>
      <c r="D21486" s="7">
        <v>5.65</v>
      </c>
      <c r="E21486" t="s">
        <v>11</v>
      </c>
    </row>
    <row r="21487" spans="1:5" x14ac:dyDescent="0.25">
      <c r="A21487" t="str">
        <f>HYPERLINK("https://www.773grp.com/globalSearch/QS54FCT646CTQ/page-1", "QS54FCT646CTQ")</f>
        <v>QS54FCT646CTQ</v>
      </c>
      <c r="B21487" s="3" t="s">
        <v>112</v>
      </c>
      <c r="C21487" s="6">
        <v>223</v>
      </c>
      <c r="D21487" s="7">
        <v>5.69</v>
      </c>
      <c r="E21487" t="s">
        <v>11</v>
      </c>
    </row>
    <row r="21488" spans="1:5" x14ac:dyDescent="0.25">
      <c r="A21488" t="str">
        <f>HYPERLINK("https://www.773grp.com/globalSearch/QS54FCT652TQ/page-1", "QS54FCT652TQ")</f>
        <v>QS54FCT652TQ</v>
      </c>
      <c r="B21488" s="3" t="s">
        <v>112</v>
      </c>
      <c r="C21488" s="6">
        <v>99</v>
      </c>
      <c r="D21488" s="7">
        <v>5.69</v>
      </c>
      <c r="E21488" t="s">
        <v>11</v>
      </c>
    </row>
    <row r="21489" spans="1:5" x14ac:dyDescent="0.25">
      <c r="A21489" t="str">
        <f>HYPERLINK("https://www.773grp.com/globalSearch/QS74FCT646TSO/page-1", "QS74FCT646TSO")</f>
        <v>QS74FCT646TSO</v>
      </c>
      <c r="B21489" s="3" t="s">
        <v>112</v>
      </c>
      <c r="C21489" s="6">
        <v>950</v>
      </c>
      <c r="D21489" s="7">
        <v>5.69</v>
      </c>
      <c r="E21489" t="s">
        <v>11</v>
      </c>
    </row>
    <row r="21490" spans="1:5" x14ac:dyDescent="0.25">
      <c r="A21490" t="str">
        <f>HYPERLINK("https://www.773grp.com/globalSearch/QS74FCT651TSO/page-1", "QS74FCT651TSO")</f>
        <v>QS74FCT651TSO</v>
      </c>
      <c r="B21490" s="3" t="s">
        <v>112</v>
      </c>
      <c r="C21490" s="6">
        <v>1020</v>
      </c>
      <c r="D21490" s="7">
        <v>5.69</v>
      </c>
      <c r="E21490" t="s">
        <v>11</v>
      </c>
    </row>
    <row r="21491" spans="1:5" x14ac:dyDescent="0.25">
      <c r="A21491" t="str">
        <f>HYPERLINK("https://www.773grp.com/globalSearch/QS54FCT245TP/page-1", "QS54FCT245TP")</f>
        <v>QS54FCT245TP</v>
      </c>
      <c r="B21491" s="3" t="s">
        <v>112</v>
      </c>
      <c r="C21491" s="6">
        <v>70</v>
      </c>
      <c r="D21491" s="7">
        <v>5.74</v>
      </c>
      <c r="E21491" t="s">
        <v>11</v>
      </c>
    </row>
    <row r="21492" spans="1:5" x14ac:dyDescent="0.25">
      <c r="A21492" t="str">
        <f>HYPERLINK("https://www.773grp.com/globalSearch/QS74FCT2245TQ/page-1", "QS74FCT2245TQ")</f>
        <v>QS74FCT2245TQ</v>
      </c>
      <c r="B21492" s="3" t="s">
        <v>112</v>
      </c>
      <c r="C21492" s="6">
        <v>4895</v>
      </c>
      <c r="D21492" s="7">
        <v>5.74</v>
      </c>
      <c r="E21492" t="s">
        <v>11</v>
      </c>
    </row>
    <row r="21493" spans="1:5" x14ac:dyDescent="0.25">
      <c r="A21493" t="str">
        <f>HYPERLINK("https://www.773grp.com/globalSearch/QS74FCT2521ATQ/page-1", "QS74FCT2521ATQ")</f>
        <v>QS74FCT2521ATQ</v>
      </c>
      <c r="B21493" s="3" t="s">
        <v>112</v>
      </c>
      <c r="C21493" s="6">
        <v>8357</v>
      </c>
      <c r="D21493" s="7">
        <v>5.74</v>
      </c>
      <c r="E21493" t="s">
        <v>38</v>
      </c>
    </row>
    <row r="21494" spans="1:5" x14ac:dyDescent="0.25">
      <c r="A21494" t="str">
        <f>HYPERLINK("https://www.773grp.com/globalSearch/QS74FCT151CTQ/page-1", "QS74FCT151CTQ")</f>
        <v>QS74FCT151CTQ</v>
      </c>
      <c r="B21494" s="3" t="s">
        <v>112</v>
      </c>
      <c r="C21494" s="6">
        <v>1481</v>
      </c>
      <c r="D21494" s="7">
        <v>5.78</v>
      </c>
      <c r="E21494" t="s">
        <v>16</v>
      </c>
    </row>
    <row r="21495" spans="1:5" x14ac:dyDescent="0.25">
      <c r="A21495" t="str">
        <f>HYPERLINK("https://www.773grp.com/globalSearch/QS74FCT151CTSO/page-1", "QS74FCT151CTSO")</f>
        <v>QS74FCT151CTSO</v>
      </c>
      <c r="B21495" s="3" t="s">
        <v>112</v>
      </c>
      <c r="C21495" s="6">
        <v>103</v>
      </c>
      <c r="D21495" s="7">
        <v>5.78</v>
      </c>
      <c r="E21495" t="s">
        <v>16</v>
      </c>
    </row>
    <row r="21496" spans="1:5" x14ac:dyDescent="0.25">
      <c r="A21496" t="str">
        <f>HYPERLINK("https://www.773grp.com/globalSearch/QS74FCT2191TS1/page-1", "QS74FCT2191TS1")</f>
        <v>QS74FCT2191TS1</v>
      </c>
      <c r="B21496" s="3" t="s">
        <v>112</v>
      </c>
      <c r="C21496" s="6">
        <v>474</v>
      </c>
      <c r="D21496" s="7">
        <v>5.78</v>
      </c>
      <c r="E21496" t="s">
        <v>22</v>
      </c>
    </row>
    <row r="21497" spans="1:5" x14ac:dyDescent="0.25">
      <c r="A21497" t="str">
        <f>HYPERLINK("https://www.773grp.com/globalSearch/QS74FCT845ATSO/page-1", "QS74FCT845ATSO")</f>
        <v>QS74FCT845ATSO</v>
      </c>
      <c r="B21497" s="3" t="s">
        <v>112</v>
      </c>
      <c r="C21497" s="6">
        <v>9275</v>
      </c>
      <c r="D21497" s="7">
        <v>5.79</v>
      </c>
      <c r="E21497" t="s">
        <v>11</v>
      </c>
    </row>
    <row r="21498" spans="1:5" x14ac:dyDescent="0.25">
      <c r="A21498" t="str">
        <f>HYPERLINK("https://www.773grp.com/globalSearch/QS74FCT2825ATSO/page-1", "QS74FCT2825ATSO")</f>
        <v>QS74FCT2825ATSO</v>
      </c>
      <c r="B21498" s="3" t="s">
        <v>112</v>
      </c>
      <c r="C21498" s="6">
        <v>2156</v>
      </c>
      <c r="D21498" s="7">
        <v>5.85</v>
      </c>
      <c r="E21498" t="s">
        <v>11</v>
      </c>
    </row>
    <row r="21499" spans="1:5" x14ac:dyDescent="0.25">
      <c r="A21499" t="str">
        <f>HYPERLINK("https://www.773grp.com/globalSearch/QS74FCT2863ATP/page-1", "QS74FCT2863ATP")</f>
        <v>QS74FCT2863ATP</v>
      </c>
      <c r="B21499" s="3" t="s">
        <v>112</v>
      </c>
      <c r="C21499" s="6">
        <v>519</v>
      </c>
      <c r="D21499" s="7">
        <v>5.85</v>
      </c>
      <c r="E21499" t="s">
        <v>11</v>
      </c>
    </row>
    <row r="21500" spans="1:5" x14ac:dyDescent="0.25">
      <c r="A21500" t="str">
        <f>HYPERLINK("https://www.773grp.com/globalSearch/QS32383P/page-1", "QS32383P")</f>
        <v>QS32383P</v>
      </c>
      <c r="B21500" s="3" t="s">
        <v>112</v>
      </c>
      <c r="C21500" s="6">
        <v>1039</v>
      </c>
      <c r="D21500" s="7">
        <v>5.88</v>
      </c>
      <c r="E21500" t="s">
        <v>11</v>
      </c>
    </row>
    <row r="21501" spans="1:5" x14ac:dyDescent="0.25">
      <c r="A21501" t="str">
        <f>HYPERLINK("https://www.773grp.com/globalSearch/QS32384P/page-1", "QS32384P")</f>
        <v>QS32384P</v>
      </c>
      <c r="B21501" s="3" t="s">
        <v>112</v>
      </c>
      <c r="C21501" s="6">
        <v>511</v>
      </c>
      <c r="D21501" s="7">
        <v>5.88</v>
      </c>
      <c r="E21501" t="s">
        <v>11</v>
      </c>
    </row>
    <row r="21502" spans="1:5" x14ac:dyDescent="0.25">
      <c r="A21502" t="str">
        <f>HYPERLINK("https://www.773grp.com/globalSearch/QS74FCT191TS1X/page-1", "QS74FCT191TS1X")</f>
        <v>QS74FCT191TS1X</v>
      </c>
      <c r="B21502" s="3" t="s">
        <v>112</v>
      </c>
      <c r="C21502" s="6">
        <v>5000</v>
      </c>
      <c r="D21502" s="7">
        <v>5.88</v>
      </c>
    </row>
    <row r="21503" spans="1:5" x14ac:dyDescent="0.25">
      <c r="A21503" t="str">
        <f>HYPERLINK("https://www.773grp.com/globalSearch/QS74FCT193TP/page-1", "QS74FCT193TP")</f>
        <v>QS74FCT193TP</v>
      </c>
      <c r="B21503" s="3" t="s">
        <v>112</v>
      </c>
      <c r="C21503" s="6">
        <v>680</v>
      </c>
      <c r="D21503" s="7">
        <v>5.88</v>
      </c>
      <c r="E21503" t="s">
        <v>22</v>
      </c>
    </row>
    <row r="21504" spans="1:5" x14ac:dyDescent="0.25">
      <c r="A21504" t="str">
        <f>HYPERLINK("https://www.773grp.com/globalSearch/QS74FCT2573TP/page-1", "QS74FCT2573TP")</f>
        <v>QS74FCT2573TP</v>
      </c>
      <c r="B21504" s="3" t="s">
        <v>112</v>
      </c>
      <c r="C21504" s="6">
        <v>432</v>
      </c>
      <c r="D21504" s="7">
        <v>5.88</v>
      </c>
      <c r="E21504" t="s">
        <v>11</v>
      </c>
    </row>
    <row r="21505" spans="1:5" x14ac:dyDescent="0.25">
      <c r="A21505" t="str">
        <f>HYPERLINK("https://www.773grp.com/globalSearch/QS74FCT2843ATS0/page-1", "QS74FCT2843ATS0")</f>
        <v>QS74FCT2843ATS0</v>
      </c>
      <c r="B21505" s="3" t="s">
        <v>112</v>
      </c>
      <c r="C21505" s="6">
        <v>1428</v>
      </c>
      <c r="D21505" s="7">
        <v>5.88</v>
      </c>
    </row>
    <row r="21506" spans="1:5" x14ac:dyDescent="0.25">
      <c r="A21506" t="str">
        <f>HYPERLINK("https://www.773grp.com/globalSearch/QS74FCT843ATSO/page-1", "QS74FCT843ATSO")</f>
        <v>QS74FCT843ATSO</v>
      </c>
      <c r="B21506" s="3" t="s">
        <v>112</v>
      </c>
      <c r="C21506" s="6">
        <v>1163</v>
      </c>
      <c r="D21506" s="7">
        <v>5.88</v>
      </c>
      <c r="E21506" t="s">
        <v>11</v>
      </c>
    </row>
    <row r="21507" spans="1:5" x14ac:dyDescent="0.25">
      <c r="A21507" t="str">
        <f>HYPERLINK("https://www.773grp.com/globalSearch/QS74LCX2X2H245CQ2/page-1", "QS74LCX2X2H245CQ2")</f>
        <v>QS74LCX2X2H245CQ2</v>
      </c>
      <c r="B21507" s="3" t="s">
        <v>112</v>
      </c>
      <c r="C21507" s="6">
        <v>920</v>
      </c>
      <c r="D21507" s="7">
        <v>5.91</v>
      </c>
    </row>
    <row r="21508" spans="1:5" x14ac:dyDescent="0.25">
      <c r="A21508" t="str">
        <f>HYPERLINK("https://www.773grp.com/globalSearch/QS74FCT2161TS1/page-1", "QS74FCT2161TS1")</f>
        <v>QS74FCT2161TS1</v>
      </c>
      <c r="B21508" s="3" t="s">
        <v>112</v>
      </c>
      <c r="C21508" s="6">
        <v>1875</v>
      </c>
      <c r="D21508" s="7">
        <v>5.94</v>
      </c>
      <c r="E21508" t="s">
        <v>22</v>
      </c>
    </row>
    <row r="21509" spans="1:5" x14ac:dyDescent="0.25">
      <c r="A21509" t="str">
        <f>HYPERLINK("https://www.773grp.com/globalSearch/QS29FCT52ATP/page-1", "QS29FCT52ATP")</f>
        <v>QS29FCT52ATP</v>
      </c>
      <c r="B21509" s="3" t="s">
        <v>112</v>
      </c>
      <c r="C21509" s="6">
        <v>2092</v>
      </c>
      <c r="D21509" s="7">
        <v>5.96</v>
      </c>
      <c r="E21509" t="s">
        <v>11</v>
      </c>
    </row>
    <row r="21510" spans="1:5" x14ac:dyDescent="0.25">
      <c r="A21510" t="str">
        <f>HYPERLINK("https://www.773grp.com/globalSearch/QS74FCT2377ATP/page-1", "QS74FCT2377ATP")</f>
        <v>QS74FCT2377ATP</v>
      </c>
      <c r="B21510" s="3" t="s">
        <v>112</v>
      </c>
      <c r="C21510" s="6">
        <v>2224</v>
      </c>
      <c r="D21510" s="7">
        <v>5.96</v>
      </c>
      <c r="E21510" t="s">
        <v>31</v>
      </c>
    </row>
    <row r="21511" spans="1:5" x14ac:dyDescent="0.25">
      <c r="A21511" t="str">
        <f>HYPERLINK("https://www.773grp.com/globalSearch/QS74FCT533ATP/page-1", "QS74FCT533ATP")</f>
        <v>QS74FCT533ATP</v>
      </c>
      <c r="B21511" s="3" t="s">
        <v>112</v>
      </c>
      <c r="C21511" s="6">
        <v>591</v>
      </c>
      <c r="D21511" s="7">
        <v>5.96</v>
      </c>
      <c r="E21511" t="s">
        <v>11</v>
      </c>
    </row>
    <row r="21512" spans="1:5" x14ac:dyDescent="0.25">
      <c r="A21512" t="str">
        <f>HYPERLINK("https://www.773grp.com/globalSearch/QS74FCT534ATP/page-1", "QS74FCT534ATP")</f>
        <v>QS74FCT534ATP</v>
      </c>
      <c r="B21512" s="3" t="s">
        <v>112</v>
      </c>
      <c r="C21512" s="6">
        <v>2853</v>
      </c>
      <c r="D21512" s="7">
        <v>5.96</v>
      </c>
      <c r="E21512" t="s">
        <v>11</v>
      </c>
    </row>
    <row r="21513" spans="1:5" x14ac:dyDescent="0.25">
      <c r="A21513" t="str">
        <f>HYPERLINK("https://www.773grp.com/globalSearch/QS74FCT2161TQ/page-1", "QS74FCT2161TQ")</f>
        <v>QS74FCT2161TQ</v>
      </c>
      <c r="B21513" s="3" t="s">
        <v>112</v>
      </c>
      <c r="C21513" s="6">
        <v>3016</v>
      </c>
      <c r="D21513" s="7">
        <v>5.99</v>
      </c>
      <c r="E21513" t="s">
        <v>22</v>
      </c>
    </row>
    <row r="21514" spans="1:5" x14ac:dyDescent="0.25">
      <c r="A21514" t="str">
        <f>HYPERLINK("https://www.773grp.com/globalSearch/QS54FCT138CTSO/page-1", "QS54FCT138CTSO")</f>
        <v>QS54FCT138CTSO</v>
      </c>
      <c r="B21514" s="3" t="s">
        <v>112</v>
      </c>
      <c r="C21514" s="6">
        <v>311</v>
      </c>
      <c r="D21514" s="7">
        <v>6.03</v>
      </c>
      <c r="E21514" t="s">
        <v>32</v>
      </c>
    </row>
    <row r="21515" spans="1:5" x14ac:dyDescent="0.25">
      <c r="A21515" t="str">
        <f>HYPERLINK("https://www.773grp.com/globalSearch/QS74FCT162374TPA/page-1", "QS74FCT162374TPA")</f>
        <v>QS74FCT162374TPA</v>
      </c>
      <c r="B21515" s="3" t="s">
        <v>112</v>
      </c>
      <c r="C21515" s="6">
        <v>5759</v>
      </c>
      <c r="D21515" s="7">
        <v>6.08</v>
      </c>
      <c r="E21515" t="s">
        <v>11</v>
      </c>
    </row>
    <row r="21516" spans="1:5" x14ac:dyDescent="0.25">
      <c r="A21516" t="str">
        <f>HYPERLINK("https://www.773grp.com/globalSearch/QS74FCT2X2541ATQ2/page-1", "QS74FCT2X2541ATQ2")</f>
        <v>QS74FCT2X2541ATQ2</v>
      </c>
      <c r="B21516" s="3" t="s">
        <v>112</v>
      </c>
      <c r="C21516" s="6">
        <v>135</v>
      </c>
      <c r="D21516" s="7">
        <v>6.08</v>
      </c>
    </row>
    <row r="21517" spans="1:5" x14ac:dyDescent="0.25">
      <c r="A21517" t="str">
        <f>HYPERLINK("https://www.773grp.com/globalSearch/QS74FCT534TSO/page-1", "QS74FCT534TSO")</f>
        <v>QS74FCT534TSO</v>
      </c>
      <c r="B21517" s="3" t="s">
        <v>112</v>
      </c>
      <c r="C21517" s="6">
        <v>3563</v>
      </c>
      <c r="D21517" s="7">
        <v>6.08</v>
      </c>
      <c r="E21517" t="s">
        <v>11</v>
      </c>
    </row>
    <row r="21518" spans="1:5" x14ac:dyDescent="0.25">
      <c r="A21518" t="str">
        <f>HYPERLINK("https://www.773grp.com/globalSearch/QS74FCT543TSOX/page-1", "QS74FCT543TSOX")</f>
        <v>QS74FCT543TSOX</v>
      </c>
      <c r="B21518" s="3" t="s">
        <v>112</v>
      </c>
      <c r="C21518" s="6">
        <v>16000</v>
      </c>
      <c r="D21518" s="7">
        <v>6.08</v>
      </c>
    </row>
    <row r="21519" spans="1:5" x14ac:dyDescent="0.25">
      <c r="A21519" t="str">
        <f>HYPERLINK("https://www.773grp.com/globalSearch/QS74FCT2251TQ/page-1", "QS74FCT2251TQ")</f>
        <v>QS74FCT2251TQ</v>
      </c>
      <c r="B21519" s="3" t="s">
        <v>112</v>
      </c>
      <c r="C21519" s="6">
        <v>896</v>
      </c>
      <c r="D21519" s="7">
        <v>6.13</v>
      </c>
      <c r="E21519" t="s">
        <v>16</v>
      </c>
    </row>
    <row r="21520" spans="1:5" x14ac:dyDescent="0.25">
      <c r="A21520" t="str">
        <f>HYPERLINK("https://www.773grp.com/globalSearch/QS74FCT2540TP/page-1", "QS74FCT2540TP")</f>
        <v>QS74FCT2540TP</v>
      </c>
      <c r="B21520" s="3" t="s">
        <v>112</v>
      </c>
      <c r="C21520" s="6">
        <v>141</v>
      </c>
      <c r="D21520" s="7">
        <v>6.13</v>
      </c>
      <c r="E21520" t="s">
        <v>11</v>
      </c>
    </row>
    <row r="21521" spans="1:5" x14ac:dyDescent="0.25">
      <c r="A21521" t="str">
        <f>HYPERLINK("https://www.773grp.com/globalSearch/QS3383SOM/page-1", "QS3383SOM")</f>
        <v>QS3383SOM</v>
      </c>
      <c r="B21521" s="3" t="s">
        <v>112</v>
      </c>
      <c r="C21521" s="6">
        <v>211</v>
      </c>
      <c r="D21521" s="7">
        <v>6.16</v>
      </c>
      <c r="E21521" t="s">
        <v>11</v>
      </c>
    </row>
    <row r="21522" spans="1:5" x14ac:dyDescent="0.25">
      <c r="A21522" t="str">
        <f>HYPERLINK("https://www.773grp.com/globalSearch/QS74FCT139TQ/page-1", "QS74FCT139TQ")</f>
        <v>QS74FCT139TQ</v>
      </c>
      <c r="B21522" s="3" t="s">
        <v>112</v>
      </c>
      <c r="C21522" s="6">
        <v>26549</v>
      </c>
      <c r="D21522" s="7">
        <v>6.16</v>
      </c>
      <c r="E21522" t="s">
        <v>32</v>
      </c>
    </row>
    <row r="21523" spans="1:5" x14ac:dyDescent="0.25">
      <c r="A21523" t="str">
        <f>HYPERLINK("https://www.773grp.com/globalSearch/QS74FCT2161ATSO/page-1", "QS74FCT2161ATSO")</f>
        <v>QS74FCT2161ATSO</v>
      </c>
      <c r="B21523" s="3" t="s">
        <v>112</v>
      </c>
      <c r="C21523" s="6">
        <v>4536</v>
      </c>
      <c r="D21523" s="7">
        <v>6.16</v>
      </c>
      <c r="E21523" t="s">
        <v>22</v>
      </c>
    </row>
    <row r="21524" spans="1:5" x14ac:dyDescent="0.25">
      <c r="A21524" t="str">
        <f>HYPERLINK("https://www.773grp.com/globalSearch/QS74FCT2161TSI/page-1", "QS74FCT2161TSI")</f>
        <v>QS74FCT2161TSI</v>
      </c>
      <c r="B21524" s="3" t="s">
        <v>112</v>
      </c>
      <c r="C21524" s="6">
        <v>32518</v>
      </c>
      <c r="D21524" s="7">
        <v>6.19</v>
      </c>
    </row>
    <row r="21525" spans="1:5" x14ac:dyDescent="0.25">
      <c r="A21525" t="str">
        <f>HYPERLINK("https://www.773grp.com/globalSearch/QS74FCT821BTSO/page-1", "QS74FCT821BTSO")</f>
        <v>QS74FCT821BTSO</v>
      </c>
      <c r="B21525" s="3" t="s">
        <v>112</v>
      </c>
      <c r="C21525" s="6">
        <v>1241</v>
      </c>
      <c r="D21525" s="7">
        <v>6.19</v>
      </c>
      <c r="E21525" t="s">
        <v>11</v>
      </c>
    </row>
    <row r="21526" spans="1:5" x14ac:dyDescent="0.25">
      <c r="A21526" t="str">
        <f>HYPERLINK("https://www.773grp.com/globalSearch/QS74FCT823BTQ/page-1", "QS74FCT823BTQ")</f>
        <v>QS74FCT823BTQ</v>
      </c>
      <c r="B21526" s="3" t="s">
        <v>112</v>
      </c>
      <c r="C21526" s="6">
        <v>1470</v>
      </c>
      <c r="D21526" s="7">
        <v>6.19</v>
      </c>
      <c r="E21526" t="s">
        <v>11</v>
      </c>
    </row>
    <row r="21527" spans="1:5" x14ac:dyDescent="0.25">
      <c r="A21527" t="str">
        <f>HYPERLINK("https://www.773grp.com/globalSearch/QS74FCT823BTSO/page-1", "QS74FCT823BTSO")</f>
        <v>QS74FCT823BTSO</v>
      </c>
      <c r="B21527" s="3" t="s">
        <v>112</v>
      </c>
      <c r="C21527" s="6">
        <v>6264</v>
      </c>
      <c r="D21527" s="7">
        <v>6.19</v>
      </c>
      <c r="E21527" t="s">
        <v>11</v>
      </c>
    </row>
    <row r="21528" spans="1:5" x14ac:dyDescent="0.25">
      <c r="A21528" t="str">
        <f>HYPERLINK("https://www.773grp.com/globalSearch/QS74FCT573TZ/page-1", "QS74FCT573TZ")</f>
        <v>QS74FCT573TZ</v>
      </c>
      <c r="B21528" s="3" t="s">
        <v>112</v>
      </c>
      <c r="C21528" s="6">
        <v>539</v>
      </c>
      <c r="D21528" s="7">
        <v>6.21</v>
      </c>
      <c r="E21528" t="s">
        <v>11</v>
      </c>
    </row>
    <row r="21529" spans="1:5" x14ac:dyDescent="0.25">
      <c r="A21529" t="str">
        <f>HYPERLINK("https://www.773grp.com/globalSearch/QS74FCT158ATS1/page-1", "QS74FCT158ATS1")</f>
        <v>QS74FCT158ATS1</v>
      </c>
      <c r="B21529" s="3" t="s">
        <v>112</v>
      </c>
      <c r="C21529" s="6">
        <v>52251</v>
      </c>
      <c r="D21529" s="7">
        <v>6.25</v>
      </c>
      <c r="E21529" t="s">
        <v>16</v>
      </c>
    </row>
    <row r="21530" spans="1:5" x14ac:dyDescent="0.25">
      <c r="A21530" t="str">
        <f>HYPERLINK("https://www.773grp.com/globalSearch/QS74FCT158ATS1X/page-1", "QS74FCT158ATS1X")</f>
        <v>QS74FCT158ATS1X</v>
      </c>
      <c r="B21530" s="3" t="s">
        <v>112</v>
      </c>
      <c r="C21530" s="6">
        <v>2500</v>
      </c>
      <c r="D21530" s="7">
        <v>6.25</v>
      </c>
    </row>
    <row r="21531" spans="1:5" x14ac:dyDescent="0.25">
      <c r="A21531" t="str">
        <f>HYPERLINK("https://www.773grp.com/globalSearch/QS74FCT2161ATS1/page-1", "QS74FCT2161ATS1")</f>
        <v>QS74FCT2161ATS1</v>
      </c>
      <c r="B21531" s="3" t="s">
        <v>112</v>
      </c>
      <c r="C21531" s="6">
        <v>771</v>
      </c>
      <c r="D21531" s="7">
        <v>6.25</v>
      </c>
      <c r="E21531" t="s">
        <v>22</v>
      </c>
    </row>
    <row r="21532" spans="1:5" x14ac:dyDescent="0.25">
      <c r="A21532" t="str">
        <f>HYPERLINK("https://www.773grp.com/globalSearch/QS74FCT2193TSO/page-1", "QS74FCT2193TSO")</f>
        <v>QS74FCT2193TSO</v>
      </c>
      <c r="B21532" s="3" t="s">
        <v>112</v>
      </c>
      <c r="C21532" s="6">
        <v>5332</v>
      </c>
      <c r="D21532" s="7">
        <v>6.25</v>
      </c>
      <c r="E21532" t="s">
        <v>22</v>
      </c>
    </row>
    <row r="21533" spans="1:5" x14ac:dyDescent="0.25">
      <c r="A21533" t="str">
        <f>HYPERLINK("https://www.773grp.com/globalSearch/QS74FCT2253ATS1/page-1", "QS74FCT2253ATS1")</f>
        <v>QS74FCT2253ATS1</v>
      </c>
      <c r="B21533" s="3" t="s">
        <v>112</v>
      </c>
      <c r="C21533" s="6">
        <v>3227</v>
      </c>
      <c r="D21533" s="7">
        <v>6.25</v>
      </c>
      <c r="E21533" t="s">
        <v>16</v>
      </c>
    </row>
    <row r="21534" spans="1:5" x14ac:dyDescent="0.25">
      <c r="A21534" t="str">
        <f>HYPERLINK("https://www.773grp.com/globalSearch/QS74FCT863BTS0X/page-1", "QS74FCT863BTS0X")</f>
        <v>QS74FCT863BTS0X</v>
      </c>
      <c r="B21534" s="3" t="s">
        <v>112</v>
      </c>
      <c r="C21534" s="6">
        <v>2000</v>
      </c>
      <c r="D21534" s="7">
        <v>6.25</v>
      </c>
    </row>
    <row r="21535" spans="1:5" x14ac:dyDescent="0.25">
      <c r="A21535" t="str">
        <f>HYPERLINK("https://www.773grp.com/globalSearch/QS74FCT863BTS0X-S251/page-1", "QS74FCT863BTS0X-S251")</f>
        <v>QS74FCT863BTS0X-S251</v>
      </c>
      <c r="B21535" s="3" t="s">
        <v>112</v>
      </c>
      <c r="C21535" s="6">
        <v>1000</v>
      </c>
      <c r="D21535" s="7">
        <v>6.25</v>
      </c>
    </row>
    <row r="21536" spans="1:5" x14ac:dyDescent="0.25">
      <c r="A21536" t="str">
        <f>HYPERLINK("https://www.773grp.com/globalSearch/QS74FCT863BTSO/page-1", "QS74FCT863BTSO")</f>
        <v>QS74FCT863BTSO</v>
      </c>
      <c r="B21536" s="3" t="s">
        <v>112</v>
      </c>
      <c r="C21536" s="6">
        <v>710</v>
      </c>
      <c r="D21536" s="7">
        <v>6.25</v>
      </c>
      <c r="E21536" t="s">
        <v>11</v>
      </c>
    </row>
    <row r="21537" spans="1:5" x14ac:dyDescent="0.25">
      <c r="A21537" t="str">
        <f>HYPERLINK("https://www.773grp.com/globalSearch/QS74FCT863BTSO-S251/page-1", "QS74FCT863BTSO-S251")</f>
        <v>QS74FCT863BTSO-S251</v>
      </c>
      <c r="B21537" s="3" t="s">
        <v>112</v>
      </c>
      <c r="C21537" s="6">
        <v>173</v>
      </c>
      <c r="D21537" s="7">
        <v>6.25</v>
      </c>
    </row>
    <row r="21538" spans="1:5" x14ac:dyDescent="0.25">
      <c r="A21538" t="str">
        <f>HYPERLINK("https://www.773grp.com/globalSearch/QS74FCT2373DTSO/page-1", "QS74FCT2373DTSO")</f>
        <v>QS74FCT2373DTSO</v>
      </c>
      <c r="B21538" s="3" t="s">
        <v>112</v>
      </c>
      <c r="C21538" s="6">
        <v>372</v>
      </c>
      <c r="D21538" s="7">
        <v>6.3</v>
      </c>
      <c r="E21538" t="s">
        <v>11</v>
      </c>
    </row>
    <row r="21539" spans="1:5" x14ac:dyDescent="0.25">
      <c r="A21539" t="str">
        <f>HYPERLINK("https://www.773grp.com/globalSearch/QS74FCT244DTS0/page-1", "QS74FCT244DTS0")</f>
        <v>QS74FCT244DTS0</v>
      </c>
      <c r="B21539" s="3" t="s">
        <v>112</v>
      </c>
      <c r="C21539" s="6">
        <v>76</v>
      </c>
      <c r="D21539" s="7">
        <v>6.3</v>
      </c>
    </row>
    <row r="21540" spans="1:5" x14ac:dyDescent="0.25">
      <c r="A21540" t="str">
        <f>HYPERLINK("https://www.773grp.com/globalSearch/QS74FCT373DTQ/page-1", "QS74FCT373DTQ")</f>
        <v>QS74FCT373DTQ</v>
      </c>
      <c r="B21540" s="3" t="s">
        <v>112</v>
      </c>
      <c r="C21540" s="6">
        <v>2646</v>
      </c>
      <c r="D21540" s="7">
        <v>6.3</v>
      </c>
      <c r="E21540" t="s">
        <v>11</v>
      </c>
    </row>
    <row r="21541" spans="1:5" x14ac:dyDescent="0.25">
      <c r="A21541" t="str">
        <f>HYPERLINK("https://www.773grp.com/globalSearch/QS74FCT543DTSO/page-1", "QS74FCT543DTSO")</f>
        <v>QS74FCT543DTSO</v>
      </c>
      <c r="B21541" s="3" t="s">
        <v>112</v>
      </c>
      <c r="C21541" s="6">
        <v>250</v>
      </c>
      <c r="D21541" s="7">
        <v>6.33</v>
      </c>
      <c r="E21541" t="s">
        <v>11</v>
      </c>
    </row>
    <row r="21542" spans="1:5" x14ac:dyDescent="0.25">
      <c r="A21542" t="str">
        <f>HYPERLINK("https://www.773grp.com/globalSearch/QS74FCT863ATQ/page-1", "QS74FCT863ATQ")</f>
        <v>QS74FCT863ATQ</v>
      </c>
      <c r="B21542" s="3" t="s">
        <v>112</v>
      </c>
      <c r="C21542" s="6">
        <v>745</v>
      </c>
      <c r="D21542" s="7">
        <v>6.33</v>
      </c>
      <c r="E21542" t="s">
        <v>11</v>
      </c>
    </row>
    <row r="21543" spans="1:5" x14ac:dyDescent="0.25">
      <c r="A21543" t="str">
        <f>HYPERLINK("https://www.773grp.com/globalSearch/QS74FCT2257CTS0/page-1", "QS74FCT2257CTS0")</f>
        <v>QS74FCT2257CTS0</v>
      </c>
      <c r="B21543" s="3" t="s">
        <v>112</v>
      </c>
      <c r="C21543" s="6">
        <v>10608</v>
      </c>
      <c r="D21543" s="7">
        <v>6.36</v>
      </c>
    </row>
    <row r="21544" spans="1:5" x14ac:dyDescent="0.25">
      <c r="A21544" t="str">
        <f>HYPERLINK("https://www.773grp.com/globalSearch/QS74FCT257CTQ/page-1", "QS74FCT257CTQ")</f>
        <v>QS74FCT257CTQ</v>
      </c>
      <c r="B21544" s="3" t="s">
        <v>112</v>
      </c>
      <c r="C21544" s="6">
        <v>83</v>
      </c>
      <c r="D21544" s="7">
        <v>6.36</v>
      </c>
      <c r="E21544" t="s">
        <v>16</v>
      </c>
    </row>
    <row r="21545" spans="1:5" x14ac:dyDescent="0.25">
      <c r="A21545" t="str">
        <f>HYPERLINK("https://www.773grp.com/globalSearch/QS74FCT544TS0/page-1", "QS74FCT544TS0")</f>
        <v>QS74FCT544TS0</v>
      </c>
      <c r="B21545" s="3" t="s">
        <v>112</v>
      </c>
      <c r="C21545" s="6">
        <v>124</v>
      </c>
      <c r="D21545" s="7">
        <v>6.36</v>
      </c>
    </row>
    <row r="21546" spans="1:5" x14ac:dyDescent="0.25">
      <c r="A21546" t="str">
        <f>HYPERLINK("https://www.773grp.com/globalSearch/QS74FCT544TS0X/page-1", "QS74FCT544TS0X")</f>
        <v>QS74FCT544TS0X</v>
      </c>
      <c r="B21546" s="3" t="s">
        <v>112</v>
      </c>
      <c r="C21546" s="6">
        <v>8000</v>
      </c>
      <c r="D21546" s="7">
        <v>6.36</v>
      </c>
    </row>
    <row r="21547" spans="1:5" x14ac:dyDescent="0.25">
      <c r="A21547" t="str">
        <f>HYPERLINK("https://www.773grp.com/globalSearch/QS74FCT544TSO/page-1", "QS74FCT544TSO")</f>
        <v>QS74FCT544TSO</v>
      </c>
      <c r="B21547" s="3" t="s">
        <v>112</v>
      </c>
      <c r="C21547" s="6">
        <v>2470</v>
      </c>
      <c r="D21547" s="7">
        <v>6.36</v>
      </c>
      <c r="E21547" t="s">
        <v>11</v>
      </c>
    </row>
    <row r="21548" spans="1:5" x14ac:dyDescent="0.25">
      <c r="A21548" t="str">
        <f>HYPERLINK("https://www.773grp.com/globalSearch/QS74FCT163CTS1/page-1", "QS74FCT163CTS1")</f>
        <v>QS74FCT163CTS1</v>
      </c>
      <c r="B21548" s="3" t="s">
        <v>112</v>
      </c>
      <c r="C21548" s="6">
        <v>33</v>
      </c>
      <c r="D21548" s="7">
        <v>6.38</v>
      </c>
      <c r="E21548" t="s">
        <v>22</v>
      </c>
    </row>
    <row r="21549" spans="1:5" x14ac:dyDescent="0.25">
      <c r="A21549" t="str">
        <f>HYPERLINK("https://www.773grp.com/globalSearch/QS74FCT238ATSO/page-1", "QS74FCT238ATSO")</f>
        <v>QS74FCT238ATSO</v>
      </c>
      <c r="B21549" s="3" t="s">
        <v>112</v>
      </c>
      <c r="C21549" s="6">
        <v>106</v>
      </c>
      <c r="D21549" s="7">
        <v>6.38</v>
      </c>
      <c r="E21549" t="s">
        <v>32</v>
      </c>
    </row>
    <row r="21550" spans="1:5" x14ac:dyDescent="0.25">
      <c r="A21550" t="str">
        <f>HYPERLINK("https://www.773grp.com/globalSearch/QS74FCT239ATP/page-1", "QS74FCT239ATP")</f>
        <v>QS74FCT239ATP</v>
      </c>
      <c r="B21550" s="3" t="s">
        <v>112</v>
      </c>
      <c r="C21550" s="6">
        <v>125</v>
      </c>
      <c r="D21550" s="7">
        <v>6.38</v>
      </c>
      <c r="E21550" t="s">
        <v>32</v>
      </c>
    </row>
    <row r="21551" spans="1:5" x14ac:dyDescent="0.25">
      <c r="A21551" t="str">
        <f>HYPERLINK("https://www.773grp.com/globalSearch/QS74FCT191CTSI/page-1", "QS74FCT191CTSI")</f>
        <v>QS74FCT191CTSI</v>
      </c>
      <c r="B21551" s="3" t="s">
        <v>112</v>
      </c>
      <c r="C21551" s="6">
        <v>3285</v>
      </c>
      <c r="D21551" s="7">
        <v>6.41</v>
      </c>
    </row>
    <row r="21552" spans="1:5" x14ac:dyDescent="0.25">
      <c r="A21552" t="str">
        <f>HYPERLINK("https://www.773grp.com/globalSearch/QS74FCT153ATP/page-1", "QS74FCT153ATP")</f>
        <v>QS74FCT153ATP</v>
      </c>
      <c r="B21552" s="3" t="s">
        <v>112</v>
      </c>
      <c r="C21552" s="6">
        <v>4417</v>
      </c>
      <c r="D21552" s="7">
        <v>6.45</v>
      </c>
      <c r="E21552" t="s">
        <v>16</v>
      </c>
    </row>
    <row r="21553" spans="1:5" x14ac:dyDescent="0.25">
      <c r="A21553" t="str">
        <f>HYPERLINK("https://www.773grp.com/globalSearch/QS74FCT157ATP/page-1", "QS74FCT157ATP")</f>
        <v>QS74FCT157ATP</v>
      </c>
      <c r="B21553" s="3" t="s">
        <v>112</v>
      </c>
      <c r="C21553" s="6">
        <v>35</v>
      </c>
      <c r="D21553" s="7">
        <v>6.45</v>
      </c>
      <c r="E21553" t="s">
        <v>16</v>
      </c>
    </row>
    <row r="21554" spans="1:5" x14ac:dyDescent="0.25">
      <c r="A21554" t="str">
        <f>HYPERLINK("https://www.773grp.com/globalSearch/QS74FCT191ATS1/page-1", "QS74FCT191ATS1")</f>
        <v>QS74FCT191ATS1</v>
      </c>
      <c r="B21554" s="3" t="s">
        <v>112</v>
      </c>
      <c r="C21554" s="6">
        <v>3429</v>
      </c>
      <c r="D21554" s="7">
        <v>6.45</v>
      </c>
      <c r="E21554" t="s">
        <v>22</v>
      </c>
    </row>
    <row r="21555" spans="1:5" x14ac:dyDescent="0.25">
      <c r="A21555" t="str">
        <f>HYPERLINK("https://www.773grp.com/globalSearch/QS74FCT193ATS1/page-1", "QS74FCT193ATS1")</f>
        <v>QS74FCT193ATS1</v>
      </c>
      <c r="B21555" s="3" t="s">
        <v>112</v>
      </c>
      <c r="C21555" s="6">
        <v>4996</v>
      </c>
      <c r="D21555" s="7">
        <v>6.45</v>
      </c>
      <c r="E21555" t="s">
        <v>22</v>
      </c>
    </row>
    <row r="21556" spans="1:5" x14ac:dyDescent="0.25">
      <c r="A21556" t="str">
        <f>HYPERLINK("https://www.773grp.com/globalSearch/QS74FCT2191ATP/page-1", "QS74FCT2191ATP")</f>
        <v>QS74FCT2191ATP</v>
      </c>
      <c r="B21556" s="3" t="s">
        <v>112</v>
      </c>
      <c r="C21556" s="6">
        <v>129</v>
      </c>
      <c r="D21556" s="7">
        <v>6.45</v>
      </c>
      <c r="E21556" t="s">
        <v>22</v>
      </c>
    </row>
    <row r="21557" spans="1:5" x14ac:dyDescent="0.25">
      <c r="A21557" t="str">
        <f>HYPERLINK("https://www.773grp.com/globalSearch/QS74FCT2193ATSO/page-1", "QS74FCT2193ATSO")</f>
        <v>QS74FCT2193ATSO</v>
      </c>
      <c r="B21557" s="3" t="s">
        <v>112</v>
      </c>
      <c r="C21557" s="6">
        <v>1083</v>
      </c>
      <c r="D21557" s="7">
        <v>6.45</v>
      </c>
      <c r="E21557" t="s">
        <v>22</v>
      </c>
    </row>
    <row r="21558" spans="1:5" x14ac:dyDescent="0.25">
      <c r="A21558" t="str">
        <f>HYPERLINK("https://www.773grp.com/globalSearch/QS74FCT2251ATP/page-1", "QS74FCT2251ATP")</f>
        <v>QS74FCT2251ATP</v>
      </c>
      <c r="B21558" s="3" t="s">
        <v>112</v>
      </c>
      <c r="C21558" s="6">
        <v>1059</v>
      </c>
      <c r="D21558" s="7">
        <v>6.45</v>
      </c>
      <c r="E21558" t="s">
        <v>16</v>
      </c>
    </row>
    <row r="21559" spans="1:5" x14ac:dyDescent="0.25">
      <c r="A21559" t="str">
        <f>HYPERLINK("https://www.773grp.com/globalSearch/QS74FCT2253ATP/page-1", "QS74FCT2253ATP")</f>
        <v>QS74FCT2253ATP</v>
      </c>
      <c r="B21559" s="3" t="s">
        <v>112</v>
      </c>
      <c r="C21559" s="6">
        <v>120</v>
      </c>
      <c r="D21559" s="7">
        <v>6.45</v>
      </c>
      <c r="E21559" t="s">
        <v>16</v>
      </c>
    </row>
    <row r="21560" spans="1:5" x14ac:dyDescent="0.25">
      <c r="A21560" t="str">
        <f>HYPERLINK("https://www.773grp.com/globalSearch/QS74FCT257ATP/page-1", "QS74FCT257ATP")</f>
        <v>QS74FCT257ATP</v>
      </c>
      <c r="B21560" s="3" t="s">
        <v>112</v>
      </c>
      <c r="C21560" s="6">
        <v>2159</v>
      </c>
      <c r="D21560" s="7">
        <v>6.45</v>
      </c>
      <c r="E21560" t="s">
        <v>16</v>
      </c>
    </row>
    <row r="21561" spans="1:5" x14ac:dyDescent="0.25">
      <c r="A21561" t="str">
        <f>HYPERLINK("https://www.773grp.com/globalSearch/QS74FCT280TQ/page-1", "QS74FCT280TQ")</f>
        <v>QS74FCT280TQ</v>
      </c>
      <c r="B21561" s="3" t="s">
        <v>112</v>
      </c>
      <c r="C21561" s="6">
        <v>80</v>
      </c>
      <c r="D21561" s="7">
        <v>6.45</v>
      </c>
      <c r="E21561" t="s">
        <v>38</v>
      </c>
    </row>
    <row r="21562" spans="1:5" x14ac:dyDescent="0.25">
      <c r="A21562" t="str">
        <f>HYPERLINK("https://www.773grp.com/globalSearch/QS74FCT2827BTP/page-1", "QS74FCT2827BTP")</f>
        <v>QS74FCT2827BTP</v>
      </c>
      <c r="B21562" s="3" t="s">
        <v>112</v>
      </c>
      <c r="C21562" s="6">
        <v>114</v>
      </c>
      <c r="D21562" s="7">
        <v>6.46</v>
      </c>
      <c r="E21562" t="s">
        <v>11</v>
      </c>
    </row>
    <row r="21563" spans="1:5" x14ac:dyDescent="0.25">
      <c r="A21563" t="str">
        <f>HYPERLINK("https://www.773grp.com/globalSearch/QS74FCT299ATP/page-1", "QS74FCT299ATP")</f>
        <v>QS74FCT299ATP</v>
      </c>
      <c r="B21563" s="3" t="s">
        <v>112</v>
      </c>
      <c r="C21563" s="6">
        <v>2777</v>
      </c>
      <c r="D21563" s="7">
        <v>6.46</v>
      </c>
      <c r="E21563" t="s">
        <v>28</v>
      </c>
    </row>
    <row r="21564" spans="1:5" x14ac:dyDescent="0.25">
      <c r="A21564" t="str">
        <f>HYPERLINK("https://www.773grp.com/globalSearch/QS54FCT153ATSO/page-1", "QS54FCT153ATSO")</f>
        <v>QS54FCT153ATSO</v>
      </c>
      <c r="B21564" s="3" t="s">
        <v>112</v>
      </c>
      <c r="C21564" s="6">
        <v>407</v>
      </c>
      <c r="D21564" s="7">
        <v>6.5</v>
      </c>
      <c r="E21564" t="s">
        <v>16</v>
      </c>
    </row>
    <row r="21565" spans="1:5" x14ac:dyDescent="0.25">
      <c r="A21565" t="str">
        <f>HYPERLINK("https://www.773grp.com/globalSearch/QS74FCT151ATSO/page-1", "QS74FCT151ATSO")</f>
        <v>QS74FCT151ATSO</v>
      </c>
      <c r="B21565" s="3" t="s">
        <v>112</v>
      </c>
      <c r="C21565" s="6">
        <v>4523</v>
      </c>
      <c r="D21565" s="7">
        <v>6.5</v>
      </c>
      <c r="E21565" t="s">
        <v>16</v>
      </c>
    </row>
    <row r="21566" spans="1:5" x14ac:dyDescent="0.25">
      <c r="A21566" t="str">
        <f>HYPERLINK("https://www.773grp.com/globalSearch/QS74FCT2151ATSO/page-1", "QS74FCT2151ATSO")</f>
        <v>QS74FCT2151ATSO</v>
      </c>
      <c r="B21566" s="3" t="s">
        <v>112</v>
      </c>
      <c r="C21566" s="6">
        <v>731</v>
      </c>
      <c r="D21566" s="7">
        <v>6.5</v>
      </c>
      <c r="E21566" t="s">
        <v>16</v>
      </c>
    </row>
    <row r="21567" spans="1:5" x14ac:dyDescent="0.25">
      <c r="A21567" t="str">
        <f>HYPERLINK("https://www.773grp.com/globalSearch/QS74FCT2153ATSO/page-1", "QS74FCT2153ATSO")</f>
        <v>QS74FCT2153ATSO</v>
      </c>
      <c r="B21567" s="3" t="s">
        <v>112</v>
      </c>
      <c r="C21567" s="6">
        <v>3191</v>
      </c>
      <c r="D21567" s="7">
        <v>6.5</v>
      </c>
      <c r="E21567" t="s">
        <v>16</v>
      </c>
    </row>
    <row r="21568" spans="1:5" x14ac:dyDescent="0.25">
      <c r="A21568" t="str">
        <f>HYPERLINK("https://www.773grp.com/globalSearch/QS74FCT2161ATQ/page-1", "QS74FCT2161ATQ")</f>
        <v>QS74FCT2161ATQ</v>
      </c>
      <c r="B21568" s="3" t="s">
        <v>112</v>
      </c>
      <c r="C21568" s="6">
        <v>4067</v>
      </c>
      <c r="D21568" s="7">
        <v>6.5</v>
      </c>
      <c r="E21568" t="s">
        <v>22</v>
      </c>
    </row>
    <row r="21569" spans="1:5" x14ac:dyDescent="0.25">
      <c r="A21569" t="str">
        <f>HYPERLINK("https://www.773grp.com/globalSearch/QS74FCT2253TQ/page-1", "QS74FCT2253TQ")</f>
        <v>QS74FCT2253TQ</v>
      </c>
      <c r="B21569" s="3" t="s">
        <v>112</v>
      </c>
      <c r="C21569" s="6">
        <v>248</v>
      </c>
      <c r="D21569" s="7">
        <v>6.5</v>
      </c>
      <c r="E21569" t="s">
        <v>16</v>
      </c>
    </row>
    <row r="21570" spans="1:5" x14ac:dyDescent="0.25">
      <c r="A21570" t="str">
        <f>HYPERLINK("https://www.773grp.com/globalSearch/QS74FCT299ATS0X/page-1", "QS74FCT299ATS0X")</f>
        <v>QS74FCT299ATS0X</v>
      </c>
      <c r="B21570" s="3" t="s">
        <v>112</v>
      </c>
      <c r="C21570" s="6">
        <v>2000</v>
      </c>
      <c r="D21570" s="7">
        <v>6.5</v>
      </c>
    </row>
    <row r="21571" spans="1:5" x14ac:dyDescent="0.25">
      <c r="A21571" t="str">
        <f>HYPERLINK("https://www.773grp.com/globalSearch/QS74FCT240ATQ/page-1", "QS74FCT240ATQ")</f>
        <v>QS74FCT240ATQ</v>
      </c>
      <c r="B21571" s="3" t="s">
        <v>112</v>
      </c>
      <c r="C21571" s="6">
        <v>854</v>
      </c>
      <c r="D21571" s="7">
        <v>6.61</v>
      </c>
      <c r="E21571" t="s">
        <v>11</v>
      </c>
    </row>
    <row r="21572" spans="1:5" x14ac:dyDescent="0.25">
      <c r="A21572" t="str">
        <f>HYPERLINK("https://www.773grp.com/globalSearch/QS74FCT2X646ATQ1/page-1", "QS74FCT2X646ATQ1")</f>
        <v>QS74FCT2X646ATQ1</v>
      </c>
      <c r="B21572" s="3" t="s">
        <v>112</v>
      </c>
      <c r="C21572" s="6">
        <v>90</v>
      </c>
      <c r="D21572" s="7">
        <v>6.61</v>
      </c>
      <c r="E21572" t="s">
        <v>11</v>
      </c>
    </row>
    <row r="21573" spans="1:5" x14ac:dyDescent="0.25">
      <c r="A21573" t="str">
        <f>HYPERLINK("https://www.773grp.com/globalSearch/QS74FCT2245TZ/page-1", "QS74FCT2245TZ")</f>
        <v>QS74FCT2245TZ</v>
      </c>
      <c r="B21573" s="3" t="s">
        <v>112</v>
      </c>
      <c r="C21573" s="6">
        <v>246</v>
      </c>
      <c r="D21573" s="7">
        <v>6.71</v>
      </c>
      <c r="E21573" t="s">
        <v>11</v>
      </c>
    </row>
    <row r="21574" spans="1:5" x14ac:dyDescent="0.25">
      <c r="A21574" t="str">
        <f>HYPERLINK("https://www.773grp.com/globalSearch/QS74FCT828BTP/page-1", "QS74FCT828BTP")</f>
        <v>QS74FCT828BTP</v>
      </c>
      <c r="B21574" s="3" t="s">
        <v>112</v>
      </c>
      <c r="C21574" s="6">
        <v>112</v>
      </c>
      <c r="D21574" s="7">
        <v>6.75</v>
      </c>
      <c r="E21574" t="s">
        <v>11</v>
      </c>
    </row>
    <row r="21575" spans="1:5" x14ac:dyDescent="0.25">
      <c r="A21575" t="str">
        <f>HYPERLINK("https://www.773grp.com/globalSearch/QS74FCT2861ATZ/page-1", "QS74FCT2861ATZ")</f>
        <v>QS74FCT2861ATZ</v>
      </c>
      <c r="B21575" s="3" t="s">
        <v>112</v>
      </c>
      <c r="C21575" s="6">
        <v>2375</v>
      </c>
      <c r="D21575" s="7">
        <v>6.89</v>
      </c>
      <c r="E21575" t="s">
        <v>11</v>
      </c>
    </row>
    <row r="21576" spans="1:5" x14ac:dyDescent="0.25">
      <c r="A21576" t="str">
        <f>HYPERLINK("https://www.773grp.com/globalSearch/QS74FCT162543CTPA/page-1", "QS74FCT162543CTPA")</f>
        <v>QS74FCT162543CTPA</v>
      </c>
      <c r="B21576" s="3" t="s">
        <v>112</v>
      </c>
      <c r="C21576" s="6">
        <v>4740</v>
      </c>
      <c r="D21576" s="7">
        <v>6.95</v>
      </c>
      <c r="E21576" t="s">
        <v>11</v>
      </c>
    </row>
    <row r="21577" spans="1:5" x14ac:dyDescent="0.25">
      <c r="A21577" t="str">
        <f>HYPERLINK("https://www.773grp.com/globalSearch/QS74FCT162543CTPV/page-1", "QS74FCT162543CTPV")</f>
        <v>QS74FCT162543CTPV</v>
      </c>
      <c r="B21577" s="3" t="s">
        <v>112</v>
      </c>
      <c r="C21577" s="6">
        <v>771</v>
      </c>
      <c r="D21577" s="7">
        <v>6.95</v>
      </c>
      <c r="E21577" t="s">
        <v>11</v>
      </c>
    </row>
    <row r="21578" spans="1:5" x14ac:dyDescent="0.25">
      <c r="A21578" t="str">
        <f>HYPERLINK("https://www.773grp.com/globalSearch/QS74FCT162646CTPV/page-1", "QS74FCT162646CTPV")</f>
        <v>QS74FCT162646CTPV</v>
      </c>
      <c r="B21578" s="3" t="s">
        <v>112</v>
      </c>
      <c r="C21578" s="6">
        <v>383</v>
      </c>
      <c r="D21578" s="7">
        <v>6.95</v>
      </c>
      <c r="E21578" t="s">
        <v>11</v>
      </c>
    </row>
    <row r="21579" spans="1:5" x14ac:dyDescent="0.25">
      <c r="A21579" t="str">
        <f>HYPERLINK("https://www.773grp.com/globalSearch/QS74FCT162652CTPV/page-1", "QS74FCT162652CTPV")</f>
        <v>QS74FCT162652CTPV</v>
      </c>
      <c r="B21579" s="3" t="s">
        <v>112</v>
      </c>
      <c r="C21579" s="6">
        <v>1400</v>
      </c>
      <c r="D21579" s="7">
        <v>6.95</v>
      </c>
      <c r="E21579" t="s">
        <v>11</v>
      </c>
    </row>
    <row r="21580" spans="1:5" x14ac:dyDescent="0.25">
      <c r="A21580" t="str">
        <f>HYPERLINK("https://www.773grp.com/globalSearch/QS74FCT162952CTPA/page-1", "QS74FCT162952CTPA")</f>
        <v>QS74FCT162952CTPA</v>
      </c>
      <c r="B21580" s="3" t="s">
        <v>112</v>
      </c>
      <c r="C21580" s="6">
        <v>2632</v>
      </c>
      <c r="D21580" s="7">
        <v>6.95</v>
      </c>
      <c r="E21580" t="s">
        <v>11</v>
      </c>
    </row>
    <row r="21581" spans="1:5" x14ac:dyDescent="0.25">
      <c r="A21581" t="str">
        <f>HYPERLINK("https://www.773grp.com/globalSearch/QS74FCT162952CTPV/page-1", "QS74FCT162952CTPV")</f>
        <v>QS74FCT162952CTPV</v>
      </c>
      <c r="B21581" s="3" t="s">
        <v>112</v>
      </c>
      <c r="C21581" s="6">
        <v>2677</v>
      </c>
      <c r="D21581" s="7">
        <v>6.95</v>
      </c>
      <c r="E21581" t="s">
        <v>11</v>
      </c>
    </row>
    <row r="21582" spans="1:5" x14ac:dyDescent="0.25">
      <c r="A21582" t="str">
        <f>HYPERLINK("https://www.773grp.com/globalSearch/QS74FCT16373ATPA/page-1", "QS74FCT16373ATPA")</f>
        <v>QS74FCT16373ATPA</v>
      </c>
      <c r="B21582" s="3" t="s">
        <v>112</v>
      </c>
      <c r="C21582" s="6">
        <v>5805</v>
      </c>
      <c r="D21582" s="7">
        <v>6.95</v>
      </c>
      <c r="E21582" t="s">
        <v>11</v>
      </c>
    </row>
    <row r="21583" spans="1:5" x14ac:dyDescent="0.25">
      <c r="A21583" t="str">
        <f>HYPERLINK("https://www.773grp.com/globalSearch/QS74FCT16543CTPV/page-1", "QS74FCT16543CTPV")</f>
        <v>QS74FCT16543CTPV</v>
      </c>
      <c r="B21583" s="3" t="s">
        <v>112</v>
      </c>
      <c r="C21583" s="6">
        <v>679</v>
      </c>
      <c r="D21583" s="7">
        <v>6.95</v>
      </c>
      <c r="E21583" t="s">
        <v>11</v>
      </c>
    </row>
    <row r="21584" spans="1:5" x14ac:dyDescent="0.25">
      <c r="A21584" t="str">
        <f>HYPERLINK("https://www.773grp.com/globalSearch/QS74FCT16646CTPA/page-1", "QS74FCT16646CTPA")</f>
        <v>QS74FCT16646CTPA</v>
      </c>
      <c r="B21584" s="3" t="s">
        <v>112</v>
      </c>
      <c r="C21584" s="6">
        <v>1911</v>
      </c>
      <c r="D21584" s="7">
        <v>6.95</v>
      </c>
      <c r="E21584" t="s">
        <v>11</v>
      </c>
    </row>
    <row r="21585" spans="1:5" x14ac:dyDescent="0.25">
      <c r="A21585" t="str">
        <f>HYPERLINK("https://www.773grp.com/globalSearch/QS74FCT16646CTPV/page-1", "QS74FCT16646CTPV")</f>
        <v>QS74FCT16646CTPV</v>
      </c>
      <c r="B21585" s="3" t="s">
        <v>112</v>
      </c>
      <c r="C21585" s="6">
        <v>158</v>
      </c>
      <c r="D21585" s="7">
        <v>6.95</v>
      </c>
      <c r="E21585" t="s">
        <v>11</v>
      </c>
    </row>
    <row r="21586" spans="1:5" x14ac:dyDescent="0.25">
      <c r="A21586" t="str">
        <f>HYPERLINK("https://www.773grp.com/globalSearch/QS74FCT16652CTPA/page-1", "QS74FCT16652CTPA")</f>
        <v>QS74FCT16652CTPA</v>
      </c>
      <c r="B21586" s="3" t="s">
        <v>112</v>
      </c>
      <c r="C21586" s="6">
        <v>913</v>
      </c>
      <c r="D21586" s="7">
        <v>6.95</v>
      </c>
      <c r="E21586" t="s">
        <v>11</v>
      </c>
    </row>
    <row r="21587" spans="1:5" x14ac:dyDescent="0.25">
      <c r="A21587" t="str">
        <f>HYPERLINK("https://www.773grp.com/globalSearch/QS74FCT16652CTPV/page-1", "QS74FCT16652CTPV")</f>
        <v>QS74FCT16652CTPV</v>
      </c>
      <c r="B21587" s="3" t="s">
        <v>112</v>
      </c>
      <c r="C21587" s="6">
        <v>424</v>
      </c>
      <c r="D21587" s="7">
        <v>6.95</v>
      </c>
      <c r="E21587" t="s">
        <v>11</v>
      </c>
    </row>
    <row r="21588" spans="1:5" x14ac:dyDescent="0.25">
      <c r="A21588" t="str">
        <f>HYPERLINK("https://www.773grp.com/globalSearch/QS74FCT16952CTPV/page-1", "QS74FCT16952CTPV")</f>
        <v>QS74FCT16952CTPV</v>
      </c>
      <c r="B21588" s="3" t="s">
        <v>112</v>
      </c>
      <c r="C21588" s="6">
        <v>813</v>
      </c>
      <c r="D21588" s="7">
        <v>6.95</v>
      </c>
      <c r="E21588" t="s">
        <v>11</v>
      </c>
    </row>
    <row r="21589" spans="1:5" x14ac:dyDescent="0.25">
      <c r="A21589" t="str">
        <f>HYPERLINK("https://www.773grp.com/globalSearch/QS74FCT2821ATP/page-1", "QS74FCT2821ATP")</f>
        <v>QS74FCT2821ATP</v>
      </c>
      <c r="B21589" s="3" t="s">
        <v>112</v>
      </c>
      <c r="C21589" s="6">
        <v>6100</v>
      </c>
      <c r="D21589" s="7">
        <v>6.95</v>
      </c>
      <c r="E21589" t="s">
        <v>11</v>
      </c>
    </row>
    <row r="21590" spans="1:5" x14ac:dyDescent="0.25">
      <c r="A21590" t="str">
        <f>HYPERLINK("https://www.773grp.com/globalSearch/QS74FCT646ATQ/page-1", "QS74FCT646ATQ")</f>
        <v>QS74FCT646ATQ</v>
      </c>
      <c r="B21590" s="3" t="s">
        <v>112</v>
      </c>
      <c r="C21590" s="6">
        <v>2790</v>
      </c>
      <c r="D21590" s="7">
        <v>6.95</v>
      </c>
      <c r="E21590" t="s">
        <v>11</v>
      </c>
    </row>
    <row r="21591" spans="1:5" x14ac:dyDescent="0.25">
      <c r="A21591" t="str">
        <f>HYPERLINK("https://www.773grp.com/globalSearch/QS74FCT646ATSOX/page-1", "QS74FCT646ATSOX")</f>
        <v>QS74FCT646ATSOX</v>
      </c>
      <c r="B21591" s="3" t="s">
        <v>112</v>
      </c>
      <c r="C21591" s="6">
        <v>45000</v>
      </c>
      <c r="D21591" s="7">
        <v>6.95</v>
      </c>
    </row>
    <row r="21592" spans="1:5" x14ac:dyDescent="0.25">
      <c r="A21592" t="str">
        <f>HYPERLINK("https://www.773grp.com/globalSearch/QS74FCT825ATP/page-1", "QS74FCT825ATP")</f>
        <v>QS74FCT825ATP</v>
      </c>
      <c r="B21592" s="3" t="s">
        <v>112</v>
      </c>
      <c r="C21592" s="6">
        <v>1653</v>
      </c>
      <c r="D21592" s="7">
        <v>6.95</v>
      </c>
      <c r="E21592" t="s">
        <v>11</v>
      </c>
    </row>
    <row r="21593" spans="1:5" x14ac:dyDescent="0.25">
      <c r="A21593" t="str">
        <f>HYPERLINK("https://www.773grp.com/globalSearch/QS316384Q1/page-1", "QS316384Q1")</f>
        <v>QS316384Q1</v>
      </c>
      <c r="B21593" s="3" t="s">
        <v>112</v>
      </c>
      <c r="C21593" s="6">
        <v>16630</v>
      </c>
      <c r="D21593" s="7">
        <v>7</v>
      </c>
    </row>
    <row r="21594" spans="1:5" x14ac:dyDescent="0.25">
      <c r="A21594" t="str">
        <f>HYPERLINK("https://www.773grp.com/globalSearch/QS74FCT163244APA/page-1", "QS74FCT163244APA")</f>
        <v>QS74FCT163244APA</v>
      </c>
      <c r="B21594" s="3" t="s">
        <v>112</v>
      </c>
      <c r="C21594" s="6">
        <v>6287</v>
      </c>
      <c r="D21594" s="7">
        <v>7</v>
      </c>
      <c r="E21594" t="s">
        <v>11</v>
      </c>
    </row>
    <row r="21595" spans="1:5" x14ac:dyDescent="0.25">
      <c r="A21595" t="str">
        <f>HYPERLINK("https://www.773grp.com/globalSearch/QS74FCT533ATQ/page-1", "QS74FCT533ATQ")</f>
        <v>QS74FCT533ATQ</v>
      </c>
      <c r="B21595" s="3" t="s">
        <v>112</v>
      </c>
      <c r="C21595" s="6">
        <v>1630</v>
      </c>
      <c r="D21595" s="7">
        <v>7</v>
      </c>
      <c r="E21595" t="s">
        <v>11</v>
      </c>
    </row>
    <row r="21596" spans="1:5" x14ac:dyDescent="0.25">
      <c r="A21596" t="str">
        <f>HYPERLINK("https://www.773grp.com/globalSearch/QS74FCT2374ATP/page-1", "QS74FCT2374ATP")</f>
        <v>QS74FCT2374ATP</v>
      </c>
      <c r="B21596" s="3" t="s">
        <v>112</v>
      </c>
      <c r="C21596" s="6">
        <v>446</v>
      </c>
      <c r="D21596" s="7">
        <v>7.04</v>
      </c>
      <c r="E21596" t="s">
        <v>11</v>
      </c>
    </row>
    <row r="21597" spans="1:5" x14ac:dyDescent="0.25">
      <c r="A21597" t="str">
        <f>HYPERLINK("https://www.773grp.com/globalSearch/QS74FCT2825BTP/page-1", "QS74FCT2825BTP")</f>
        <v>QS74FCT2825BTP</v>
      </c>
      <c r="B21597" s="3" t="s">
        <v>112</v>
      </c>
      <c r="C21597" s="6">
        <v>159</v>
      </c>
      <c r="D21597" s="7">
        <v>7.09</v>
      </c>
      <c r="E21597" t="s">
        <v>11</v>
      </c>
    </row>
    <row r="21598" spans="1:5" x14ac:dyDescent="0.25">
      <c r="A21598" t="str">
        <f>HYPERLINK("https://www.773grp.com/globalSearch/QS74FCT843BTS0/page-1", "QS74FCT843BTS0")</f>
        <v>QS74FCT843BTS0</v>
      </c>
      <c r="B21598" s="3" t="s">
        <v>112</v>
      </c>
      <c r="C21598" s="6">
        <v>7770</v>
      </c>
      <c r="D21598" s="7">
        <v>7.09</v>
      </c>
    </row>
    <row r="21599" spans="1:5" x14ac:dyDescent="0.25">
      <c r="A21599" t="str">
        <f>HYPERLINK("https://www.773grp.com/globalSearch/QS74FCT163CTQ/page-1", "QS74FCT163CTQ")</f>
        <v>QS74FCT163CTQ</v>
      </c>
      <c r="B21599" s="3" t="s">
        <v>112</v>
      </c>
      <c r="C21599" s="6">
        <v>3342</v>
      </c>
      <c r="D21599" s="7">
        <v>7.18</v>
      </c>
      <c r="E21599" t="s">
        <v>22</v>
      </c>
    </row>
    <row r="21600" spans="1:5" x14ac:dyDescent="0.25">
      <c r="A21600" t="str">
        <f>HYPERLINK("https://www.773grp.com/globalSearch/QS54FCT2646ATSO/page-1", "QS54FCT2646ATSO")</f>
        <v>QS54FCT2646ATSO</v>
      </c>
      <c r="B21600" s="3" t="s">
        <v>112</v>
      </c>
      <c r="C21600" s="6">
        <v>74</v>
      </c>
      <c r="D21600" s="7">
        <v>7.2</v>
      </c>
      <c r="E21600" t="s">
        <v>11</v>
      </c>
    </row>
    <row r="21601" spans="1:5" x14ac:dyDescent="0.25">
      <c r="A21601" t="str">
        <f>HYPERLINK("https://www.773grp.com/globalSearch/QS74FCT2825BTQ/page-1", "QS74FCT2825BTQ")</f>
        <v>QS74FCT2825BTQ</v>
      </c>
      <c r="B21601" s="3" t="s">
        <v>112</v>
      </c>
      <c r="C21601" s="6">
        <v>123</v>
      </c>
      <c r="D21601" s="7">
        <v>7.23</v>
      </c>
      <c r="E21601" t="s">
        <v>11</v>
      </c>
    </row>
    <row r="21602" spans="1:5" x14ac:dyDescent="0.25">
      <c r="A21602" t="str">
        <f>HYPERLINK("https://www.773grp.com/globalSearch/QS74FCT646DTQ/page-1", "QS74FCT646DTQ")</f>
        <v>QS74FCT646DTQ</v>
      </c>
      <c r="B21602" s="3" t="s">
        <v>112</v>
      </c>
      <c r="C21602" s="6">
        <v>1517</v>
      </c>
      <c r="D21602" s="7">
        <v>7.23</v>
      </c>
      <c r="E21602" t="s">
        <v>11</v>
      </c>
    </row>
    <row r="21603" spans="1:5" x14ac:dyDescent="0.25">
      <c r="A21603" t="str">
        <f>HYPERLINK("https://www.773grp.com/globalSearch/QS74FCT828CTS0/page-1", "QS74FCT828CTS0")</f>
        <v>QS74FCT828CTS0</v>
      </c>
      <c r="B21603" s="3" t="s">
        <v>112</v>
      </c>
      <c r="C21603" s="6">
        <v>591</v>
      </c>
      <c r="D21603" s="7">
        <v>7.23</v>
      </c>
    </row>
    <row r="21604" spans="1:5" x14ac:dyDescent="0.25">
      <c r="A21604" t="str">
        <f>HYPERLINK("https://www.773grp.com/globalSearch/QS3B491TF/page-1", "QS3B491TF")</f>
        <v>QS3B491TF</v>
      </c>
      <c r="B21604" s="3" t="s">
        <v>112</v>
      </c>
      <c r="C21604" s="6">
        <v>161</v>
      </c>
      <c r="D21604" s="7">
        <v>7.26</v>
      </c>
      <c r="E21604" t="s">
        <v>113</v>
      </c>
    </row>
    <row r="21605" spans="1:5" x14ac:dyDescent="0.25">
      <c r="A21605" t="str">
        <f>HYPERLINK("https://www.773grp.com/globalSearch/QS54FCT157CTSO/page-1", "QS54FCT157CTSO")</f>
        <v>QS54FCT157CTSO</v>
      </c>
      <c r="B21605" s="3" t="s">
        <v>112</v>
      </c>
      <c r="C21605" s="6">
        <v>205</v>
      </c>
      <c r="D21605" s="7">
        <v>7.26</v>
      </c>
      <c r="E21605" t="s">
        <v>16</v>
      </c>
    </row>
    <row r="21606" spans="1:5" x14ac:dyDescent="0.25">
      <c r="A21606" t="str">
        <f>HYPERLINK("https://www.773grp.com/globalSearch/QS74FCT821BTP/page-1", "QS74FCT821BTP")</f>
        <v>QS74FCT821BTP</v>
      </c>
      <c r="B21606" s="3" t="s">
        <v>112</v>
      </c>
      <c r="C21606" s="6">
        <v>3426</v>
      </c>
      <c r="D21606" s="7">
        <v>7.26</v>
      </c>
      <c r="E21606" t="s">
        <v>11</v>
      </c>
    </row>
    <row r="21607" spans="1:5" x14ac:dyDescent="0.25">
      <c r="A21607" t="str">
        <f>HYPERLINK("https://www.773grp.com/globalSearch/QS3389P/page-1", "QS3389P")</f>
        <v>QS3389P</v>
      </c>
      <c r="B21607" s="3" t="s">
        <v>112</v>
      </c>
      <c r="C21607" s="6">
        <v>588</v>
      </c>
      <c r="D21607" s="7">
        <v>7.31</v>
      </c>
    </row>
    <row r="21608" spans="1:5" x14ac:dyDescent="0.25">
      <c r="A21608" t="str">
        <f>HYPERLINK("https://www.773grp.com/globalSearch/QS74FCT2863BTP/page-1", "QS74FCT2863BTP")</f>
        <v>QS74FCT2863BTP</v>
      </c>
      <c r="B21608" s="3" t="s">
        <v>112</v>
      </c>
      <c r="C21608" s="6">
        <v>137</v>
      </c>
      <c r="D21608" s="7">
        <v>7.31</v>
      </c>
      <c r="E21608" t="s">
        <v>11</v>
      </c>
    </row>
    <row r="21609" spans="1:5" x14ac:dyDescent="0.25">
      <c r="A21609" t="str">
        <f>HYPERLINK("https://www.773grp.com/globalSearch/QS74FCT540CTSO/page-1", "QS74FCT540CTSO")</f>
        <v>QS74FCT540CTSO</v>
      </c>
      <c r="B21609" s="3" t="s">
        <v>112</v>
      </c>
      <c r="C21609" s="6">
        <v>588</v>
      </c>
      <c r="D21609" s="7">
        <v>7.39</v>
      </c>
      <c r="E21609" t="s">
        <v>11</v>
      </c>
    </row>
    <row r="21610" spans="1:5" x14ac:dyDescent="0.25">
      <c r="A21610" t="str">
        <f>HYPERLINK("https://www.773grp.com/globalSearch/QS74FCT544ATS0/page-1", "QS74FCT544ATS0")</f>
        <v>QS74FCT544ATS0</v>
      </c>
      <c r="B21610" s="3" t="s">
        <v>112</v>
      </c>
      <c r="C21610" s="6">
        <v>28</v>
      </c>
      <c r="D21610" s="7">
        <v>7.43</v>
      </c>
    </row>
    <row r="21611" spans="1:5" x14ac:dyDescent="0.25">
      <c r="A21611" t="str">
        <f>HYPERLINK("https://www.773grp.com/globalSearch/QS74FCT544ATSO/page-1", "QS74FCT544ATSO")</f>
        <v>QS74FCT544ATSO</v>
      </c>
      <c r="B21611" s="3" t="s">
        <v>112</v>
      </c>
      <c r="C21611" s="6">
        <v>423</v>
      </c>
      <c r="D21611" s="7">
        <v>7.43</v>
      </c>
      <c r="E21611" t="s">
        <v>11</v>
      </c>
    </row>
    <row r="21612" spans="1:5" x14ac:dyDescent="0.25">
      <c r="A21612" t="str">
        <f>HYPERLINK("https://www.773grp.com/globalSearch/QS74FCT648ATSO/page-1", "QS74FCT648ATSO")</f>
        <v>QS74FCT648ATSO</v>
      </c>
      <c r="B21612" s="3" t="s">
        <v>112</v>
      </c>
      <c r="C21612" s="6">
        <v>2064</v>
      </c>
      <c r="D21612" s="7">
        <v>7.43</v>
      </c>
      <c r="E21612" t="s">
        <v>11</v>
      </c>
    </row>
    <row r="21613" spans="1:5" x14ac:dyDescent="0.25">
      <c r="A21613" t="str">
        <f>HYPERLINK("https://www.773grp.com/globalSearch/QS74FCT2534ATP/page-1", "QS74FCT2534ATP")</f>
        <v>QS74FCT2534ATP</v>
      </c>
      <c r="B21613" s="3" t="s">
        <v>112</v>
      </c>
      <c r="C21613" s="6">
        <v>4580</v>
      </c>
      <c r="D21613" s="7">
        <v>7.46</v>
      </c>
      <c r="E21613" t="s">
        <v>11</v>
      </c>
    </row>
    <row r="21614" spans="1:5" x14ac:dyDescent="0.25">
      <c r="A21614" t="str">
        <f>HYPERLINK("https://www.773grp.com/globalSearch/QS74FCT2534ATQ/page-1", "QS74FCT2534ATQ")</f>
        <v>QS74FCT2534ATQ</v>
      </c>
      <c r="B21614" s="3" t="s">
        <v>112</v>
      </c>
      <c r="C21614" s="6">
        <v>5375</v>
      </c>
      <c r="D21614" s="7">
        <v>7.46</v>
      </c>
      <c r="E21614" t="s">
        <v>11</v>
      </c>
    </row>
    <row r="21615" spans="1:5" x14ac:dyDescent="0.25">
      <c r="A21615" t="str">
        <f>HYPERLINK("https://www.773grp.com/globalSearch/QS74FCT574CTSO/page-1", "QS74FCT574CTSO")</f>
        <v>QS74FCT574CTSO</v>
      </c>
      <c r="B21615" s="3" t="s">
        <v>112</v>
      </c>
      <c r="C21615" s="6">
        <v>146</v>
      </c>
      <c r="D21615" s="7">
        <v>7.48</v>
      </c>
      <c r="E21615" t="s">
        <v>11</v>
      </c>
    </row>
    <row r="21616" spans="1:5" x14ac:dyDescent="0.25">
      <c r="A21616" t="str">
        <f>HYPERLINK("https://www.773grp.com/globalSearch/QS74FCT191ATQ/page-1", "QS74FCT191ATQ")</f>
        <v>QS74FCT191ATQ</v>
      </c>
      <c r="B21616" s="3" t="s">
        <v>112</v>
      </c>
      <c r="C21616" s="6">
        <v>150790</v>
      </c>
      <c r="D21616" s="7">
        <v>7.51</v>
      </c>
      <c r="E21616" t="s">
        <v>22</v>
      </c>
    </row>
    <row r="21617" spans="1:5" x14ac:dyDescent="0.25">
      <c r="A21617" t="str">
        <f>HYPERLINK("https://www.773grp.com/globalSearch/QS74FCT193ATQ/page-1", "QS74FCT193ATQ")</f>
        <v>QS74FCT193ATQ</v>
      </c>
      <c r="B21617" s="3" t="s">
        <v>112</v>
      </c>
      <c r="C21617" s="6">
        <v>7805</v>
      </c>
      <c r="D21617" s="7">
        <v>7.51</v>
      </c>
      <c r="E21617" t="s">
        <v>22</v>
      </c>
    </row>
    <row r="21618" spans="1:5" x14ac:dyDescent="0.25">
      <c r="A21618" t="str">
        <f>HYPERLINK("https://www.773grp.com/globalSearch/QS74FCT193TQ/page-1", "QS74FCT193TQ")</f>
        <v>QS74FCT193TQ</v>
      </c>
      <c r="B21618" s="3" t="s">
        <v>112</v>
      </c>
      <c r="C21618" s="6">
        <v>7207</v>
      </c>
      <c r="D21618" s="7">
        <v>7.51</v>
      </c>
      <c r="E21618" t="s">
        <v>22</v>
      </c>
    </row>
    <row r="21619" spans="1:5" x14ac:dyDescent="0.25">
      <c r="A21619" t="str">
        <f>HYPERLINK("https://www.773grp.com/globalSearch/QS74FCT245ATP/page-1", "QS74FCT245ATP")</f>
        <v>QS74FCT245ATP</v>
      </c>
      <c r="B21619" s="3" t="s">
        <v>112</v>
      </c>
      <c r="C21619" s="6">
        <v>86499</v>
      </c>
      <c r="D21619" s="7">
        <v>7.56</v>
      </c>
      <c r="E21619" t="s">
        <v>11</v>
      </c>
    </row>
    <row r="21620" spans="1:5" x14ac:dyDescent="0.25">
      <c r="A21620" t="str">
        <f>HYPERLINK("https://www.773grp.com/globalSearch/QS74FCT258ATQ/page-1", "QS74FCT258ATQ")</f>
        <v>QS74FCT258ATQ</v>
      </c>
      <c r="B21620" s="3" t="s">
        <v>112</v>
      </c>
      <c r="C21620" s="6">
        <v>454</v>
      </c>
      <c r="D21620" s="7">
        <v>7.56</v>
      </c>
      <c r="E21620" t="s">
        <v>16</v>
      </c>
    </row>
    <row r="21621" spans="1:5" x14ac:dyDescent="0.25">
      <c r="A21621" t="str">
        <f>HYPERLINK("https://www.773grp.com/globalSearch/QS74FCT573ATP/page-1", "QS74FCT573ATP")</f>
        <v>QS74FCT573ATP</v>
      </c>
      <c r="B21621" s="3" t="s">
        <v>112</v>
      </c>
      <c r="C21621" s="6">
        <v>10762</v>
      </c>
      <c r="D21621" s="7">
        <v>7.63</v>
      </c>
      <c r="E21621" t="s">
        <v>11</v>
      </c>
    </row>
    <row r="21622" spans="1:5" x14ac:dyDescent="0.25">
      <c r="A21622" t="str">
        <f>HYPERLINK("https://www.773grp.com/globalSearch/QS74FCT2841BTP/page-1", "QS74FCT2841BTP")</f>
        <v>QS74FCT2841BTP</v>
      </c>
      <c r="B21622" s="3" t="s">
        <v>112</v>
      </c>
      <c r="C21622" s="6">
        <v>1745</v>
      </c>
      <c r="D21622" s="7">
        <v>7.65</v>
      </c>
      <c r="E21622" t="s">
        <v>11</v>
      </c>
    </row>
    <row r="21623" spans="1:5" x14ac:dyDescent="0.25">
      <c r="A21623" t="str">
        <f>HYPERLINK("https://www.773grp.com/globalSearch/QS74FCT2845BTP/page-1", "QS74FCT2845BTP")</f>
        <v>QS74FCT2845BTP</v>
      </c>
      <c r="B21623" s="3" t="s">
        <v>112</v>
      </c>
      <c r="C21623" s="6">
        <v>1222</v>
      </c>
      <c r="D21623" s="7">
        <v>7.65</v>
      </c>
      <c r="E21623" t="s">
        <v>11</v>
      </c>
    </row>
    <row r="21624" spans="1:5" x14ac:dyDescent="0.25">
      <c r="A21624" t="str">
        <f>HYPERLINK("https://www.773grp.com/globalSearch/QS74FCT4X2244ATQ3/page-1", "QS74FCT4X2244ATQ3")</f>
        <v>QS74FCT4X2244ATQ3</v>
      </c>
      <c r="B21624" s="3" t="s">
        <v>112</v>
      </c>
      <c r="C21624" s="6">
        <v>282</v>
      </c>
      <c r="D21624" s="7">
        <v>7.65</v>
      </c>
      <c r="E21624" t="s">
        <v>11</v>
      </c>
    </row>
    <row r="21625" spans="1:5" x14ac:dyDescent="0.25">
      <c r="A21625" t="str">
        <f>HYPERLINK("https://www.773grp.com/globalSearch/QS74FCT4X2373ATQ3/page-1", "QS74FCT4X2373ATQ3")</f>
        <v>QS74FCT4X2373ATQ3</v>
      </c>
      <c r="B21625" s="3" t="s">
        <v>112</v>
      </c>
      <c r="C21625" s="6">
        <v>1412</v>
      </c>
      <c r="D21625" s="7">
        <v>7.65</v>
      </c>
      <c r="E21625" t="s">
        <v>11</v>
      </c>
    </row>
    <row r="21626" spans="1:5" x14ac:dyDescent="0.25">
      <c r="A21626" t="str">
        <f>HYPERLINK("https://www.773grp.com/globalSearch/QS74FCT823BTP/page-1", "QS74FCT823BTP")</f>
        <v>QS74FCT823BTP</v>
      </c>
      <c r="B21626" s="3" t="s">
        <v>112</v>
      </c>
      <c r="C21626" s="6">
        <v>749</v>
      </c>
      <c r="D21626" s="7">
        <v>7.65</v>
      </c>
      <c r="E21626" t="s">
        <v>11</v>
      </c>
    </row>
    <row r="21627" spans="1:5" x14ac:dyDescent="0.25">
      <c r="A21627" t="str">
        <f>HYPERLINK("https://www.773grp.com/globalSearch/QS29FCT2052BTSO/page-1", "QS29FCT2052BTSO")</f>
        <v>QS29FCT2052BTSO</v>
      </c>
      <c r="B21627" s="3" t="s">
        <v>112</v>
      </c>
      <c r="C21627" s="6">
        <v>1901</v>
      </c>
      <c r="D21627" s="7">
        <v>7.71</v>
      </c>
      <c r="E21627" t="s">
        <v>11</v>
      </c>
    </row>
    <row r="21628" spans="1:5" x14ac:dyDescent="0.25">
      <c r="A21628" t="str">
        <f>HYPERLINK("https://www.773grp.com/globalSearch/QS74FCT157CTP/page-1", "QS74FCT157CTP")</f>
        <v>QS74FCT157CTP</v>
      </c>
      <c r="B21628" s="3" t="s">
        <v>112</v>
      </c>
      <c r="C21628" s="6">
        <v>2734</v>
      </c>
      <c r="D21628" s="7">
        <v>7.76</v>
      </c>
      <c r="E21628" t="s">
        <v>16</v>
      </c>
    </row>
    <row r="21629" spans="1:5" x14ac:dyDescent="0.25">
      <c r="A21629" t="str">
        <f>HYPERLINK("https://www.773grp.com/globalSearch/QS74FCT158CTP/page-1", "QS74FCT158CTP")</f>
        <v>QS74FCT158CTP</v>
      </c>
      <c r="B21629" s="3" t="s">
        <v>112</v>
      </c>
      <c r="C21629" s="6">
        <v>191</v>
      </c>
      <c r="D21629" s="7">
        <v>7.76</v>
      </c>
      <c r="E21629" t="s">
        <v>16</v>
      </c>
    </row>
    <row r="21630" spans="1:5" x14ac:dyDescent="0.25">
      <c r="A21630" t="str">
        <f>HYPERLINK("https://www.773grp.com/globalSearch/QS5244TP/page-1", "QS5244TP")</f>
        <v>QS5244TP</v>
      </c>
      <c r="B21630" s="3" t="s">
        <v>112</v>
      </c>
      <c r="C21630" s="6">
        <v>194</v>
      </c>
      <c r="D21630" s="7">
        <v>7.8</v>
      </c>
    </row>
    <row r="21631" spans="1:5" x14ac:dyDescent="0.25">
      <c r="A21631" t="str">
        <f>HYPERLINK("https://www.773grp.com/globalSearch/QS74FCT843BTQ/page-1", "QS74FCT843BTQ")</f>
        <v>QS74FCT843BTQ</v>
      </c>
      <c r="B21631" s="3" t="s">
        <v>112</v>
      </c>
      <c r="C21631" s="6">
        <v>1066</v>
      </c>
      <c r="D21631" s="7">
        <v>7.8</v>
      </c>
      <c r="E21631" t="s">
        <v>11</v>
      </c>
    </row>
    <row r="21632" spans="1:5" x14ac:dyDescent="0.25">
      <c r="A21632" t="str">
        <f>HYPERLINK("https://www.773grp.com/globalSearch/QS74FCT544TP/page-1", "QS74FCT544TP")</f>
        <v>QS74FCT544TP</v>
      </c>
      <c r="B21632" s="3" t="s">
        <v>112</v>
      </c>
      <c r="C21632" s="6">
        <v>1244</v>
      </c>
      <c r="D21632" s="7">
        <v>7.81</v>
      </c>
      <c r="E21632" t="s">
        <v>11</v>
      </c>
    </row>
    <row r="21633" spans="1:5" x14ac:dyDescent="0.25">
      <c r="A21633" t="str">
        <f>HYPERLINK("https://www.773grp.com/globalSearch/QS74FCT191CTSO/page-1", "QS74FCT191CTSO")</f>
        <v>QS74FCT191CTSO</v>
      </c>
      <c r="B21633" s="3" t="s">
        <v>112</v>
      </c>
      <c r="C21633" s="6">
        <v>18400</v>
      </c>
      <c r="D21633" s="7">
        <v>7.88</v>
      </c>
      <c r="E21633" t="s">
        <v>22</v>
      </c>
    </row>
    <row r="21634" spans="1:5" x14ac:dyDescent="0.25">
      <c r="A21634" t="str">
        <f>HYPERLINK("https://www.773grp.com/globalSearch/QS74FCT2157CTQ/page-1", "QS74FCT2157CTQ")</f>
        <v>QS74FCT2157CTQ</v>
      </c>
      <c r="B21634" s="3" t="s">
        <v>112</v>
      </c>
      <c r="C21634" s="6">
        <v>13</v>
      </c>
      <c r="D21634" s="7">
        <v>7.96</v>
      </c>
      <c r="E21634" t="s">
        <v>16</v>
      </c>
    </row>
    <row r="21635" spans="1:5" x14ac:dyDescent="0.25">
      <c r="A21635" t="str">
        <f>HYPERLINK("https://www.773grp.com/globalSearch/QS54FCT541CTQ/page-1", "QS54FCT541CTQ")</f>
        <v>QS54FCT541CTQ</v>
      </c>
      <c r="B21635" s="3" t="s">
        <v>112</v>
      </c>
      <c r="C21635" s="6">
        <v>110</v>
      </c>
      <c r="D21635" s="7">
        <v>8.01</v>
      </c>
      <c r="E21635" t="s">
        <v>11</v>
      </c>
    </row>
    <row r="21636" spans="1:5" x14ac:dyDescent="0.25">
      <c r="A21636" t="str">
        <f>HYPERLINK("https://www.773grp.com/globalSearch/QS54FCT374CTQ/page-1", "QS54FCT374CTQ")</f>
        <v>QS54FCT374CTQ</v>
      </c>
      <c r="B21636" s="3" t="s">
        <v>112</v>
      </c>
      <c r="C21636" s="6">
        <v>184</v>
      </c>
      <c r="D21636" s="7">
        <v>8.1</v>
      </c>
      <c r="E21636" t="s">
        <v>11</v>
      </c>
    </row>
    <row r="21637" spans="1:5" x14ac:dyDescent="0.25">
      <c r="A21637" t="str">
        <f>HYPERLINK("https://www.773grp.com/globalSearch/QS74FCT2373CTSO/page-1", "QS74FCT2373CTSO")</f>
        <v>QS74FCT2373CTSO</v>
      </c>
      <c r="B21637" s="3" t="s">
        <v>112</v>
      </c>
      <c r="C21637" s="6">
        <v>1505</v>
      </c>
      <c r="D21637" s="7">
        <v>8.1</v>
      </c>
      <c r="E21637" t="s">
        <v>11</v>
      </c>
    </row>
    <row r="21638" spans="1:5" x14ac:dyDescent="0.25">
      <c r="A21638" t="str">
        <f>HYPERLINK("https://www.773grp.com/globalSearch/QS74FCT241CTSO/page-1", "QS74FCT241CTSO")</f>
        <v>QS74FCT241CTSO</v>
      </c>
      <c r="B21638" s="3" t="s">
        <v>112</v>
      </c>
      <c r="C21638" s="6">
        <v>344</v>
      </c>
      <c r="D21638" s="7">
        <v>8.1</v>
      </c>
      <c r="E21638" t="s">
        <v>11</v>
      </c>
    </row>
    <row r="21639" spans="1:5" x14ac:dyDescent="0.25">
      <c r="A21639" t="str">
        <f>HYPERLINK("https://www.773grp.com/globalSearch/QS74FCT373CTP/page-1", "QS74FCT373CTP")</f>
        <v>QS74FCT373CTP</v>
      </c>
      <c r="B21639" s="3" t="s">
        <v>112</v>
      </c>
      <c r="C21639" s="6">
        <v>99</v>
      </c>
      <c r="D21639" s="7">
        <v>8.1</v>
      </c>
      <c r="E21639" t="s">
        <v>11</v>
      </c>
    </row>
    <row r="21640" spans="1:5" x14ac:dyDescent="0.25">
      <c r="A21640" t="str">
        <f>HYPERLINK("https://www.773grp.com/globalSearch/QS74FCT244TZ/page-1", "QS74FCT244TZ")</f>
        <v>QS74FCT244TZ</v>
      </c>
      <c r="B21640" s="3" t="s">
        <v>112</v>
      </c>
      <c r="C21640" s="6">
        <v>895</v>
      </c>
      <c r="D21640" s="7">
        <v>8.15</v>
      </c>
      <c r="E21640" t="s">
        <v>11</v>
      </c>
    </row>
    <row r="21641" spans="1:5" x14ac:dyDescent="0.25">
      <c r="A21641" t="str">
        <f>HYPERLINK("https://www.773grp.com/globalSearch/QS74FCT251ATP/page-1", "QS74FCT251ATP")</f>
        <v>QS74FCT251ATP</v>
      </c>
      <c r="B21641" s="3" t="s">
        <v>112</v>
      </c>
      <c r="C21641" s="6">
        <v>4894</v>
      </c>
      <c r="D21641" s="7">
        <v>8.15</v>
      </c>
      <c r="E21641" t="s">
        <v>16</v>
      </c>
    </row>
    <row r="21642" spans="1:5" x14ac:dyDescent="0.25">
      <c r="A21642" t="str">
        <f>HYPERLINK("https://www.773grp.com/globalSearch/QS54FCT2540ATQ/page-1", "QS54FCT2540ATQ")</f>
        <v>QS54FCT2540ATQ</v>
      </c>
      <c r="B21642" s="3" t="s">
        <v>112</v>
      </c>
      <c r="C21642" s="6">
        <v>347</v>
      </c>
      <c r="D21642" s="7">
        <v>8.2100000000000009</v>
      </c>
      <c r="E21642" t="s">
        <v>11</v>
      </c>
    </row>
    <row r="21643" spans="1:5" x14ac:dyDescent="0.25">
      <c r="A21643" t="str">
        <f>HYPERLINK("https://www.773grp.com/globalSearch/QS74FCT646CTSO/page-1", "QS74FCT646CTSO")</f>
        <v>QS74FCT646CTSO</v>
      </c>
      <c r="B21643" s="3" t="s">
        <v>112</v>
      </c>
      <c r="C21643" s="6">
        <v>859</v>
      </c>
      <c r="D21643" s="7">
        <v>8.2100000000000009</v>
      </c>
      <c r="E21643" t="s">
        <v>11</v>
      </c>
    </row>
    <row r="21644" spans="1:5" x14ac:dyDescent="0.25">
      <c r="A21644" t="str">
        <f>HYPERLINK("https://www.773grp.com/globalSearch/QS74FCT652CTSO/page-1", "QS74FCT652CTSO")</f>
        <v>QS74FCT652CTSO</v>
      </c>
      <c r="B21644" s="3" t="s">
        <v>112</v>
      </c>
      <c r="C21644" s="6">
        <v>1603</v>
      </c>
      <c r="D21644" s="7">
        <v>8.2100000000000009</v>
      </c>
      <c r="E21644" t="s">
        <v>11</v>
      </c>
    </row>
    <row r="21645" spans="1:5" x14ac:dyDescent="0.25">
      <c r="A21645" t="str">
        <f>HYPERLINK("https://www.773grp.com/globalSearch/QS74FCT646CTP/page-1", "QS74FCT646CTP")</f>
        <v>QS74FCT646CTP</v>
      </c>
      <c r="B21645" s="3" t="s">
        <v>112</v>
      </c>
      <c r="C21645" s="6">
        <v>157</v>
      </c>
      <c r="D21645" s="7">
        <v>8.24</v>
      </c>
      <c r="E21645" t="s">
        <v>11</v>
      </c>
    </row>
    <row r="21646" spans="1:5" x14ac:dyDescent="0.25">
      <c r="A21646" t="str">
        <f>HYPERLINK("https://www.773grp.com/globalSearch/QS3253P/page-1", "QS3253P")</f>
        <v>QS3253P</v>
      </c>
      <c r="B21646" s="3" t="s">
        <v>112</v>
      </c>
      <c r="C21646" s="6">
        <v>570</v>
      </c>
      <c r="D21646" s="7">
        <v>8.2799999999999994</v>
      </c>
    </row>
    <row r="21647" spans="1:5" x14ac:dyDescent="0.25">
      <c r="A21647" t="str">
        <f>HYPERLINK("https://www.773grp.com/globalSearch/QS3253S0/page-1", "QS3253S0")</f>
        <v>QS3253S0</v>
      </c>
      <c r="B21647" s="3" t="s">
        <v>112</v>
      </c>
      <c r="C21647" s="6">
        <v>1449</v>
      </c>
      <c r="D21647" s="7">
        <v>8.2799999999999994</v>
      </c>
    </row>
    <row r="21648" spans="1:5" x14ac:dyDescent="0.25">
      <c r="A21648" t="str">
        <f>HYPERLINK("https://www.773grp.com/globalSearch/QS74FCT157TZ/page-1", "QS74FCT157TZ")</f>
        <v>QS74FCT157TZ</v>
      </c>
      <c r="B21648" s="3" t="s">
        <v>112</v>
      </c>
      <c r="C21648" s="6">
        <v>262</v>
      </c>
      <c r="D21648" s="7">
        <v>8.2799999999999994</v>
      </c>
      <c r="E21648" t="s">
        <v>16</v>
      </c>
    </row>
    <row r="21649" spans="1:5" x14ac:dyDescent="0.25">
      <c r="A21649" t="str">
        <f>HYPERLINK("https://www.773grp.com/globalSearch/QS74FCT2273CTQ/page-1", "QS74FCT2273CTQ")</f>
        <v>QS74FCT2273CTQ</v>
      </c>
      <c r="B21649" s="3" t="s">
        <v>112</v>
      </c>
      <c r="C21649" s="6">
        <v>124</v>
      </c>
      <c r="D21649" s="7">
        <v>8.2799999999999994</v>
      </c>
      <c r="E21649" t="s">
        <v>31</v>
      </c>
    </row>
    <row r="21650" spans="1:5" x14ac:dyDescent="0.25">
      <c r="A21650" t="str">
        <f>HYPERLINK("https://www.773grp.com/globalSearch/QS74FCT2843BTP/page-1", "QS74FCT2843BTP")</f>
        <v>QS74FCT2843BTP</v>
      </c>
      <c r="B21650" s="3" t="s">
        <v>112</v>
      </c>
      <c r="C21650" s="6">
        <v>142</v>
      </c>
      <c r="D21650" s="7">
        <v>8.3000000000000007</v>
      </c>
      <c r="E21650" t="s">
        <v>11</v>
      </c>
    </row>
    <row r="21651" spans="1:5" x14ac:dyDescent="0.25">
      <c r="A21651" t="str">
        <f>HYPERLINK("https://www.773grp.com/globalSearch/QS3386Q/page-1", "QS3386Q")</f>
        <v>QS3386Q</v>
      </c>
      <c r="B21651" s="3" t="s">
        <v>112</v>
      </c>
      <c r="C21651" s="6">
        <v>1586</v>
      </c>
      <c r="D21651" s="7">
        <v>8.39</v>
      </c>
      <c r="E21651" t="s">
        <v>11</v>
      </c>
    </row>
    <row r="21652" spans="1:5" x14ac:dyDescent="0.25">
      <c r="A21652" t="str">
        <f>HYPERLINK("https://www.773grp.com/globalSearch/QS29FCT2520ATP/page-1", "QS29FCT2520ATP")</f>
        <v>QS29FCT2520ATP</v>
      </c>
      <c r="B21652" s="3" t="s">
        <v>112</v>
      </c>
      <c r="C21652" s="6">
        <v>1219</v>
      </c>
      <c r="D21652" s="7">
        <v>8.44</v>
      </c>
      <c r="E21652" t="s">
        <v>113</v>
      </c>
    </row>
    <row r="21653" spans="1:5" x14ac:dyDescent="0.25">
      <c r="A21653" t="str">
        <f>HYPERLINK("https://www.773grp.com/globalSearch/QS74FCT2520ATQ/page-1", "QS74FCT2520ATQ")</f>
        <v>QS74FCT2520ATQ</v>
      </c>
      <c r="B21653" s="3" t="s">
        <v>112</v>
      </c>
      <c r="C21653" s="6">
        <v>2985</v>
      </c>
      <c r="D21653" s="7">
        <v>8.44</v>
      </c>
    </row>
    <row r="21654" spans="1:5" x14ac:dyDescent="0.25">
      <c r="A21654" t="str">
        <f>HYPERLINK("https://www.773grp.com/globalSearch/QS74FCT2543TS0/page-1", "QS74FCT2543TS0")</f>
        <v>QS74FCT2543TS0</v>
      </c>
      <c r="B21654" s="3" t="s">
        <v>112</v>
      </c>
      <c r="C21654" s="6">
        <v>5610</v>
      </c>
      <c r="D21654" s="7">
        <v>8.44</v>
      </c>
    </row>
    <row r="21655" spans="1:5" x14ac:dyDescent="0.25">
      <c r="A21655" t="str">
        <f>HYPERLINK("https://www.773grp.com/globalSearch/QS74FCT2543TSO/page-1", "QS74FCT2543TSO")</f>
        <v>QS74FCT2543TSO</v>
      </c>
      <c r="B21655" s="3" t="s">
        <v>112</v>
      </c>
      <c r="C21655" s="6">
        <v>221</v>
      </c>
      <c r="D21655" s="7">
        <v>8.44</v>
      </c>
      <c r="E21655" t="s">
        <v>11</v>
      </c>
    </row>
    <row r="21656" spans="1:5" x14ac:dyDescent="0.25">
      <c r="A21656" t="str">
        <f>HYPERLINK("https://www.773grp.com/globalSearch/QS74FCT2540DTQ/page-1", "QS74FCT2540DTQ")</f>
        <v>QS74FCT2540DTQ</v>
      </c>
      <c r="B21656" s="3" t="s">
        <v>112</v>
      </c>
      <c r="C21656" s="6">
        <v>728</v>
      </c>
      <c r="D21656" s="7">
        <v>8.5299999999999994</v>
      </c>
      <c r="E21656" t="s">
        <v>11</v>
      </c>
    </row>
    <row r="21657" spans="1:5" x14ac:dyDescent="0.25">
      <c r="A21657" t="str">
        <f>HYPERLINK("https://www.773grp.com/globalSearch/QS74FCT640CTS0/page-1", "QS74FCT640CTS0")</f>
        <v>QS74FCT640CTS0</v>
      </c>
      <c r="B21657" s="3" t="s">
        <v>112</v>
      </c>
      <c r="C21657" s="6">
        <v>440</v>
      </c>
      <c r="D21657" s="7">
        <v>8.5500000000000007</v>
      </c>
    </row>
    <row r="21658" spans="1:5" x14ac:dyDescent="0.25">
      <c r="A21658" t="str">
        <f>HYPERLINK("https://www.773grp.com/globalSearch/QS74FCT640CTSO/page-1", "QS74FCT640CTSO")</f>
        <v>QS74FCT640CTSO</v>
      </c>
      <c r="B21658" s="3" t="s">
        <v>112</v>
      </c>
      <c r="C21658" s="6">
        <v>287</v>
      </c>
      <c r="D21658" s="7">
        <v>8.5500000000000007</v>
      </c>
    </row>
    <row r="21659" spans="1:5" x14ac:dyDescent="0.25">
      <c r="A21659" t="str">
        <f>HYPERLINK("https://www.773grp.com/globalSearch/QS74FCT823ATZ/page-1", "QS74FCT823ATZ")</f>
        <v>QS74FCT823ATZ</v>
      </c>
      <c r="B21659" s="3" t="s">
        <v>112</v>
      </c>
      <c r="C21659" s="6">
        <v>3264</v>
      </c>
      <c r="D21659" s="7">
        <v>8.5500000000000007</v>
      </c>
      <c r="E21659" t="s">
        <v>11</v>
      </c>
    </row>
    <row r="21660" spans="1:5" x14ac:dyDescent="0.25">
      <c r="A21660" t="str">
        <f>HYPERLINK("https://www.773grp.com/globalSearch/QS74FCT825ATZ/page-1", "QS74FCT825ATZ")</f>
        <v>QS74FCT825ATZ</v>
      </c>
      <c r="B21660" s="3" t="s">
        <v>112</v>
      </c>
      <c r="C21660" s="6">
        <v>109</v>
      </c>
      <c r="D21660" s="7">
        <v>8.5500000000000007</v>
      </c>
      <c r="E21660" t="s">
        <v>11</v>
      </c>
    </row>
    <row r="21661" spans="1:5" x14ac:dyDescent="0.25">
      <c r="A21661" t="str">
        <f>HYPERLINK("https://www.773grp.com/globalSearch/QS74FCT843ATZ/page-1", "QS74FCT843ATZ")</f>
        <v>QS74FCT843ATZ</v>
      </c>
      <c r="B21661" s="3" t="s">
        <v>112</v>
      </c>
      <c r="C21661" s="6">
        <v>103</v>
      </c>
      <c r="D21661" s="7">
        <v>8.5500000000000007</v>
      </c>
      <c r="E21661" t="s">
        <v>11</v>
      </c>
    </row>
    <row r="21662" spans="1:5" x14ac:dyDescent="0.25">
      <c r="A21662" t="str">
        <f>HYPERLINK("https://www.773grp.com/globalSearch/QS29FCT52CTSO/page-1", "QS29FCT52CTSO")</f>
        <v>QS29FCT52CTSO</v>
      </c>
      <c r="B21662" s="3" t="s">
        <v>112</v>
      </c>
      <c r="C21662" s="6">
        <v>1550</v>
      </c>
      <c r="D21662" s="7">
        <v>8.64</v>
      </c>
      <c r="E21662" t="s">
        <v>11</v>
      </c>
    </row>
    <row r="21663" spans="1:5" x14ac:dyDescent="0.25">
      <c r="A21663" t="str">
        <f>HYPERLINK("https://www.773grp.com/globalSearch/QS74FCT16652TPV/page-1", "QS74FCT16652TPV")</f>
        <v>QS74FCT16652TPV</v>
      </c>
      <c r="B21663" s="3" t="s">
        <v>112</v>
      </c>
      <c r="C21663" s="6">
        <v>1440</v>
      </c>
      <c r="D21663" s="7">
        <v>8.64</v>
      </c>
      <c r="E21663" t="s">
        <v>11</v>
      </c>
    </row>
    <row r="21664" spans="1:5" x14ac:dyDescent="0.25">
      <c r="A21664" t="str">
        <f>HYPERLINK("https://www.773grp.com/globalSearch/QS74FCT245CTP/page-1", "QS74FCT245CTP")</f>
        <v>QS74FCT245CTP</v>
      </c>
      <c r="B21664" s="3" t="s">
        <v>112</v>
      </c>
      <c r="C21664" s="6">
        <v>656</v>
      </c>
      <c r="D21664" s="7">
        <v>8.64</v>
      </c>
      <c r="E21664" t="s">
        <v>11</v>
      </c>
    </row>
    <row r="21665" spans="1:5" x14ac:dyDescent="0.25">
      <c r="A21665" t="str">
        <f>HYPERLINK("https://www.773grp.com/globalSearch/QS74FCT299TZ/page-1", "QS74FCT299TZ")</f>
        <v>QS74FCT299TZ</v>
      </c>
      <c r="B21665" s="3" t="s">
        <v>112</v>
      </c>
      <c r="C21665" s="6">
        <v>659</v>
      </c>
      <c r="D21665" s="7">
        <v>8.64</v>
      </c>
      <c r="E21665" t="s">
        <v>28</v>
      </c>
    </row>
    <row r="21666" spans="1:5" x14ac:dyDescent="0.25">
      <c r="A21666" t="str">
        <f>HYPERLINK("https://www.773grp.com/globalSearch/QS74FCT544ATP/page-1", "QS74FCT544ATP")</f>
        <v>QS74FCT544ATP</v>
      </c>
      <c r="B21666" s="3" t="s">
        <v>112</v>
      </c>
      <c r="C21666" s="6">
        <v>632</v>
      </c>
      <c r="D21666" s="7">
        <v>8.64</v>
      </c>
      <c r="E21666" t="s">
        <v>11</v>
      </c>
    </row>
    <row r="21667" spans="1:5" x14ac:dyDescent="0.25">
      <c r="A21667" t="str">
        <f>HYPERLINK("https://www.773grp.com/globalSearch/QS74FCT544ATQ/page-1", "QS74FCT544ATQ")</f>
        <v>QS74FCT544ATQ</v>
      </c>
      <c r="B21667" s="3" t="s">
        <v>112</v>
      </c>
      <c r="C21667" s="6">
        <v>1089</v>
      </c>
      <c r="D21667" s="7">
        <v>8.64</v>
      </c>
      <c r="E21667" t="s">
        <v>11</v>
      </c>
    </row>
    <row r="21668" spans="1:5" x14ac:dyDescent="0.25">
      <c r="A21668" t="str">
        <f>HYPERLINK("https://www.773grp.com/globalSearch/QS74FCT574TZ/page-1", "QS74FCT574TZ")</f>
        <v>QS74FCT574TZ</v>
      </c>
      <c r="B21668" s="3" t="s">
        <v>112</v>
      </c>
      <c r="C21668" s="6">
        <v>15018</v>
      </c>
      <c r="D21668" s="7">
        <v>8.69</v>
      </c>
      <c r="E21668" t="s">
        <v>11</v>
      </c>
    </row>
    <row r="21669" spans="1:5" x14ac:dyDescent="0.25">
      <c r="A21669" t="str">
        <f>HYPERLINK("https://www.773grp.com/globalSearch/QS74FCT139CTQ/page-1", "QS74FCT139CTQ")</f>
        <v>QS74FCT139CTQ</v>
      </c>
      <c r="B21669" s="3" t="s">
        <v>112</v>
      </c>
      <c r="C21669" s="6">
        <v>1165</v>
      </c>
      <c r="D21669" s="7">
        <v>8.81</v>
      </c>
      <c r="E21669" t="s">
        <v>32</v>
      </c>
    </row>
    <row r="21670" spans="1:5" x14ac:dyDescent="0.25">
      <c r="A21670" t="str">
        <f>HYPERLINK("https://www.773grp.com/globalSearch/QS74FCT238CT/page-1", "QS74FCT238CT")</f>
        <v>QS74FCT238CT</v>
      </c>
      <c r="B21670" s="3" t="s">
        <v>112</v>
      </c>
      <c r="C21670" s="6">
        <v>86</v>
      </c>
      <c r="D21670" s="7">
        <v>8.83</v>
      </c>
    </row>
    <row r="21671" spans="1:5" x14ac:dyDescent="0.25">
      <c r="A21671" t="str">
        <f>HYPERLINK("https://www.773grp.com/globalSearch/QS74FCT238CTS1/page-1", "QS74FCT238CTS1")</f>
        <v>QS74FCT238CTS1</v>
      </c>
      <c r="B21671" s="3" t="s">
        <v>112</v>
      </c>
      <c r="C21671" s="6">
        <v>335</v>
      </c>
      <c r="D21671" s="7">
        <v>8.83</v>
      </c>
      <c r="E21671" t="s">
        <v>32</v>
      </c>
    </row>
    <row r="21672" spans="1:5" x14ac:dyDescent="0.25">
      <c r="A21672" t="str">
        <f>HYPERLINK("https://www.773grp.com/globalSearch/QS74FCT2X244CTQZ/page-1", "QS74FCT2X244CTQZ")</f>
        <v>QS74FCT2X244CTQZ</v>
      </c>
      <c r="B21672" s="3" t="s">
        <v>112</v>
      </c>
      <c r="C21672" s="6">
        <v>5</v>
      </c>
      <c r="D21672" s="7">
        <v>8.83</v>
      </c>
    </row>
    <row r="21673" spans="1:5" x14ac:dyDescent="0.25">
      <c r="A21673" t="str">
        <f>HYPERLINK("https://www.773grp.com/globalSearch/QS74FCT2X245CTQ2/page-1", "QS74FCT2X245CTQ2")</f>
        <v>QS74FCT2X245CTQ2</v>
      </c>
      <c r="B21673" s="3" t="s">
        <v>112</v>
      </c>
      <c r="C21673" s="6">
        <v>100</v>
      </c>
      <c r="D21673" s="7">
        <v>8.83</v>
      </c>
      <c r="E21673" t="s">
        <v>11</v>
      </c>
    </row>
    <row r="21674" spans="1:5" x14ac:dyDescent="0.25">
      <c r="A21674" t="str">
        <f>HYPERLINK("https://www.773grp.com/globalSearch/QS74FCT2X373CTQ2/page-1", "QS74FCT2X373CTQ2")</f>
        <v>QS74FCT2X373CTQ2</v>
      </c>
      <c r="B21674" s="3" t="s">
        <v>112</v>
      </c>
      <c r="C21674" s="6">
        <v>660</v>
      </c>
      <c r="D21674" s="7">
        <v>8.83</v>
      </c>
      <c r="E21674" t="s">
        <v>11</v>
      </c>
    </row>
    <row r="21675" spans="1:5" x14ac:dyDescent="0.25">
      <c r="A21675" t="str">
        <f>HYPERLINK("https://www.773grp.com/globalSearch/QS74FCT2X377CTQ2/page-1", "QS74FCT2X377CTQ2")</f>
        <v>QS74FCT2X377CTQ2</v>
      </c>
      <c r="B21675" s="3" t="s">
        <v>112</v>
      </c>
      <c r="C21675" s="6">
        <v>698</v>
      </c>
      <c r="D21675" s="7">
        <v>8.83</v>
      </c>
      <c r="E21675" t="s">
        <v>31</v>
      </c>
    </row>
    <row r="21676" spans="1:5" x14ac:dyDescent="0.25">
      <c r="A21676" t="str">
        <f>HYPERLINK("https://www.773grp.com/globalSearch/QS74FCT2X44CTQ2/page-1", "QS74FCT2X44CTQ2")</f>
        <v>QS74FCT2X44CTQ2</v>
      </c>
      <c r="B21676" s="3" t="s">
        <v>112</v>
      </c>
      <c r="C21676" s="6">
        <v>3053</v>
      </c>
      <c r="D21676" s="7">
        <v>8.83</v>
      </c>
    </row>
    <row r="21677" spans="1:5" x14ac:dyDescent="0.25">
      <c r="A21677" t="str">
        <f>HYPERLINK("https://www.773grp.com/globalSearch/QS74FCT4X373CTQ3/page-1", "QS74FCT4X373CTQ3")</f>
        <v>QS74FCT4X373CTQ3</v>
      </c>
      <c r="B21677" s="3" t="s">
        <v>112</v>
      </c>
      <c r="C21677" s="6">
        <v>188</v>
      </c>
      <c r="D21677" s="7">
        <v>8.83</v>
      </c>
      <c r="E21677" t="s">
        <v>11</v>
      </c>
    </row>
    <row r="21678" spans="1:5" x14ac:dyDescent="0.25">
      <c r="A21678" t="str">
        <f>HYPERLINK("https://www.773grp.com/globalSearch/QS74FCT4X373XTQ3/page-1", "QS74FCT4X373XTQ3")</f>
        <v>QS74FCT4X373XTQ3</v>
      </c>
      <c r="B21678" s="3" t="s">
        <v>112</v>
      </c>
      <c r="C21678" s="6">
        <v>167</v>
      </c>
      <c r="D21678" s="7">
        <v>8.83</v>
      </c>
    </row>
    <row r="21679" spans="1:5" x14ac:dyDescent="0.25">
      <c r="A21679" t="str">
        <f>HYPERLINK("https://www.773grp.com/globalSearch/QS3386SO/page-1", "QS3386SO")</f>
        <v>QS3386SO</v>
      </c>
      <c r="B21679" s="3" t="s">
        <v>112</v>
      </c>
      <c r="C21679" s="6">
        <v>1868</v>
      </c>
      <c r="D21679" s="7">
        <v>8.86</v>
      </c>
      <c r="E21679" t="s">
        <v>11</v>
      </c>
    </row>
    <row r="21680" spans="1:5" x14ac:dyDescent="0.25">
      <c r="A21680" t="str">
        <f>HYPERLINK("https://www.773grp.com/globalSearch/QS74FCT2244TZ/page-1", "QS74FCT2244TZ")</f>
        <v>QS74FCT2244TZ</v>
      </c>
      <c r="B21680" s="3" t="s">
        <v>112</v>
      </c>
      <c r="C21680" s="6">
        <v>7696</v>
      </c>
      <c r="D21680" s="7">
        <v>8.98</v>
      </c>
      <c r="E21680" t="s">
        <v>11</v>
      </c>
    </row>
    <row r="21681" spans="1:5" x14ac:dyDescent="0.25">
      <c r="A21681" t="str">
        <f>HYPERLINK("https://www.773grp.com/globalSearch/QS74FCT2823BTP/page-1", "QS74FCT2823BTP")</f>
        <v>QS74FCT2823BTP</v>
      </c>
      <c r="B21681" s="3" t="s">
        <v>112</v>
      </c>
      <c r="C21681" s="6">
        <v>3969</v>
      </c>
      <c r="D21681" s="7">
        <v>9.0299999999999994</v>
      </c>
      <c r="E21681" t="s">
        <v>11</v>
      </c>
    </row>
    <row r="21682" spans="1:5" x14ac:dyDescent="0.25">
      <c r="A21682" t="str">
        <f>HYPERLINK("https://www.773grp.com/globalSearch/QS5244SO/page-1", "QS5244SO")</f>
        <v>QS5244SO</v>
      </c>
      <c r="B21682" s="3" t="s">
        <v>112</v>
      </c>
      <c r="C21682" s="6">
        <v>332</v>
      </c>
      <c r="D21682" s="7">
        <v>9.06</v>
      </c>
    </row>
    <row r="21683" spans="1:5" x14ac:dyDescent="0.25">
      <c r="A21683" t="str">
        <f>HYPERLINK("https://www.773grp.com/globalSearch/QS3L383P/page-1", "QS3L383P")</f>
        <v>QS3L383P</v>
      </c>
      <c r="B21683" s="3" t="s">
        <v>112</v>
      </c>
      <c r="C21683" s="6">
        <v>3071</v>
      </c>
      <c r="D21683" s="7">
        <v>9.11</v>
      </c>
      <c r="E21683" t="s">
        <v>11</v>
      </c>
    </row>
    <row r="21684" spans="1:5" x14ac:dyDescent="0.25">
      <c r="A21684" t="str">
        <f>HYPERLINK("https://www.773grp.com/globalSearch/QS74FCT2646ATP/page-1", "QS74FCT2646ATP")</f>
        <v>QS74FCT2646ATP</v>
      </c>
      <c r="B21684" s="3" t="s">
        <v>112</v>
      </c>
      <c r="C21684" s="6">
        <v>424</v>
      </c>
      <c r="D21684" s="7">
        <v>9.11</v>
      </c>
      <c r="E21684" t="s">
        <v>11</v>
      </c>
    </row>
    <row r="21685" spans="1:5" x14ac:dyDescent="0.25">
      <c r="A21685" t="str">
        <f>HYPERLINK("https://www.773grp.com/globalSearch/QS54FCT823CTQ/page-1", "QS54FCT823CTQ")</f>
        <v>QS54FCT823CTQ</v>
      </c>
      <c r="B21685" s="3" t="s">
        <v>112</v>
      </c>
      <c r="C21685" s="6">
        <v>268</v>
      </c>
      <c r="D21685" s="7">
        <v>9.15</v>
      </c>
      <c r="E21685" t="s">
        <v>11</v>
      </c>
    </row>
    <row r="21686" spans="1:5" x14ac:dyDescent="0.25">
      <c r="A21686" t="str">
        <f>HYPERLINK("https://www.773grp.com/globalSearch/QS74FCT821CTQ/page-1", "QS74FCT821CTQ")</f>
        <v>QS74FCT821CTQ</v>
      </c>
      <c r="B21686" s="3" t="s">
        <v>112</v>
      </c>
      <c r="C21686" s="6">
        <v>2352</v>
      </c>
      <c r="D21686" s="7">
        <v>9.15</v>
      </c>
      <c r="E21686" t="s">
        <v>11</v>
      </c>
    </row>
    <row r="21687" spans="1:5" x14ac:dyDescent="0.25">
      <c r="A21687" t="str">
        <f>HYPERLINK("https://www.773grp.com/globalSearch/QS74FCT821CTSO/page-1", "QS74FCT821CTSO")</f>
        <v>QS74FCT821CTSO</v>
      </c>
      <c r="B21687" s="3" t="s">
        <v>112</v>
      </c>
      <c r="C21687" s="6">
        <v>34</v>
      </c>
      <c r="D21687" s="7">
        <v>9.15</v>
      </c>
      <c r="E21687" t="s">
        <v>11</v>
      </c>
    </row>
    <row r="21688" spans="1:5" x14ac:dyDescent="0.25">
      <c r="A21688" t="str">
        <f>HYPERLINK("https://www.773grp.com/globalSearch/QS74FCT841BTQ/page-1", "QS74FCT841BTQ")</f>
        <v>QS74FCT841BTQ</v>
      </c>
      <c r="B21688" s="3" t="s">
        <v>112</v>
      </c>
      <c r="C21688" s="6">
        <v>2636</v>
      </c>
      <c r="D21688" s="7">
        <v>9.1999999999999993</v>
      </c>
      <c r="E21688" t="s">
        <v>11</v>
      </c>
    </row>
    <row r="21689" spans="1:5" x14ac:dyDescent="0.25">
      <c r="A21689" t="str">
        <f>HYPERLINK("https://www.773grp.com/globalSearch/QS74FCT273TZ/page-1", "QS74FCT273TZ")</f>
        <v>QS74FCT273TZ</v>
      </c>
      <c r="B21689" s="3" t="s">
        <v>112</v>
      </c>
      <c r="C21689" s="6">
        <v>3718</v>
      </c>
      <c r="D21689" s="7">
        <v>9.25</v>
      </c>
      <c r="E21689" t="s">
        <v>31</v>
      </c>
    </row>
    <row r="21690" spans="1:5" x14ac:dyDescent="0.25">
      <c r="A21690" t="str">
        <f>HYPERLINK("https://www.773grp.com/globalSearch/QS74FCT374TZ/page-1", "QS74FCT374TZ")</f>
        <v>QS74FCT374TZ</v>
      </c>
      <c r="B21690" s="3" t="s">
        <v>112</v>
      </c>
      <c r="C21690" s="6">
        <v>3809</v>
      </c>
      <c r="D21690" s="7">
        <v>9.25</v>
      </c>
      <c r="E21690" t="s">
        <v>11</v>
      </c>
    </row>
    <row r="21691" spans="1:5" x14ac:dyDescent="0.25">
      <c r="A21691" t="str">
        <f>HYPERLINK("https://www.773grp.com/globalSearch/QS74FCT240ATZ/page-1", "QS74FCT240ATZ")</f>
        <v>QS74FCT240ATZ</v>
      </c>
      <c r="B21691" s="3" t="s">
        <v>112</v>
      </c>
      <c r="C21691" s="6">
        <v>190</v>
      </c>
      <c r="D21691" s="7">
        <v>9.36</v>
      </c>
      <c r="E21691" t="s">
        <v>11</v>
      </c>
    </row>
    <row r="21692" spans="1:5" x14ac:dyDescent="0.25">
      <c r="A21692" t="str">
        <f>HYPERLINK("https://www.773grp.com/globalSearch/QS29FCT53ATQ/page-1", "QS29FCT53ATQ")</f>
        <v>QS29FCT53ATQ</v>
      </c>
      <c r="B21692" s="3" t="s">
        <v>112</v>
      </c>
      <c r="C21692" s="6">
        <v>602</v>
      </c>
      <c r="D21692" s="7">
        <v>9.4</v>
      </c>
      <c r="E21692" t="s">
        <v>11</v>
      </c>
    </row>
    <row r="21693" spans="1:5" x14ac:dyDescent="0.25">
      <c r="A21693" t="str">
        <f>HYPERLINK("https://www.773grp.com/globalSearch/QS74FCT2841ATZ/page-1", "QS74FCT2841ATZ")</f>
        <v>QS74FCT2841ATZ</v>
      </c>
      <c r="B21693" s="3" t="s">
        <v>112</v>
      </c>
      <c r="C21693" s="6">
        <v>324</v>
      </c>
      <c r="D21693" s="7">
        <v>9.4</v>
      </c>
      <c r="E21693" t="s">
        <v>11</v>
      </c>
    </row>
    <row r="21694" spans="1:5" x14ac:dyDescent="0.25">
      <c r="A21694" t="str">
        <f>HYPERLINK("https://www.773grp.com/globalSearch/QS74FCT827ATZ/page-1", "QS74FCT827ATZ")</f>
        <v>QS74FCT827ATZ</v>
      </c>
      <c r="B21694" s="3" t="s">
        <v>112</v>
      </c>
      <c r="C21694" s="6">
        <v>1097</v>
      </c>
      <c r="D21694" s="7">
        <v>9.4</v>
      </c>
      <c r="E21694" t="s">
        <v>11</v>
      </c>
    </row>
    <row r="21695" spans="1:5" x14ac:dyDescent="0.25">
      <c r="A21695" t="str">
        <f>HYPERLINK("https://www.773grp.com/globalSearch/QS74FCT841ATZ/page-1", "QS74FCT841ATZ")</f>
        <v>QS74FCT841ATZ</v>
      </c>
      <c r="B21695" s="3" t="s">
        <v>112</v>
      </c>
      <c r="C21695" s="6">
        <v>3441</v>
      </c>
      <c r="D21695" s="7">
        <v>9.4</v>
      </c>
      <c r="E21695" t="s">
        <v>11</v>
      </c>
    </row>
    <row r="21696" spans="1:5" x14ac:dyDescent="0.25">
      <c r="A21696" t="str">
        <f>HYPERLINK("https://www.773grp.com/globalSearch/QS74FCT2573CTS0/page-1", "QS74FCT2573CTS0")</f>
        <v>QS74FCT2573CTS0</v>
      </c>
      <c r="B21696" s="3" t="s">
        <v>112</v>
      </c>
      <c r="C21696" s="6">
        <v>116</v>
      </c>
      <c r="D21696" s="7">
        <v>9.4499999999999993</v>
      </c>
    </row>
    <row r="21697" spans="1:5" x14ac:dyDescent="0.25">
      <c r="A21697" t="str">
        <f>HYPERLINK("https://www.773grp.com/globalSearch/QS74FCT157ATZ/page-1", "QS74FCT157ATZ")</f>
        <v>QS74FCT157ATZ</v>
      </c>
      <c r="B21697" s="3" t="s">
        <v>112</v>
      </c>
      <c r="C21697" s="6">
        <v>202</v>
      </c>
      <c r="D21697" s="7">
        <v>9.5</v>
      </c>
      <c r="E21697" t="s">
        <v>16</v>
      </c>
    </row>
    <row r="21698" spans="1:5" x14ac:dyDescent="0.25">
      <c r="A21698" t="str">
        <f>HYPERLINK("https://www.773grp.com/globalSearch/QS74FCT257ATZ/page-1", "QS74FCT257ATZ")</f>
        <v>QS74FCT257ATZ</v>
      </c>
      <c r="B21698" s="3" t="s">
        <v>112</v>
      </c>
      <c r="C21698" s="6">
        <v>1031</v>
      </c>
      <c r="D21698" s="7">
        <v>9.5</v>
      </c>
      <c r="E21698" t="s">
        <v>16</v>
      </c>
    </row>
    <row r="21699" spans="1:5" x14ac:dyDescent="0.25">
      <c r="A21699" t="str">
        <f>HYPERLINK("https://www.773grp.com/globalSearch/QS74FCT2573TZ/page-1", "QS74FCT2573TZ")</f>
        <v>QS74FCT2573TZ</v>
      </c>
      <c r="B21699" s="3" t="s">
        <v>112</v>
      </c>
      <c r="C21699" s="6">
        <v>180</v>
      </c>
      <c r="D21699" s="7">
        <v>9.56</v>
      </c>
      <c r="E21699" t="s">
        <v>11</v>
      </c>
    </row>
    <row r="21700" spans="1:5" x14ac:dyDescent="0.25">
      <c r="A21700" t="str">
        <f>HYPERLINK("https://www.773grp.com/globalSearch/QS29FCT520ATP/page-1", "QS29FCT520ATP")</f>
        <v>QS29FCT520ATP</v>
      </c>
      <c r="B21700" s="3" t="s">
        <v>112</v>
      </c>
      <c r="C21700" s="6">
        <v>28</v>
      </c>
      <c r="D21700" s="7">
        <v>9.6300000000000008</v>
      </c>
      <c r="E21700" t="s">
        <v>113</v>
      </c>
    </row>
    <row r="21701" spans="1:5" x14ac:dyDescent="0.25">
      <c r="A21701" t="str">
        <f>HYPERLINK("https://www.773grp.com/globalSearch/QS29FCT520ATQ/page-1", "QS29FCT520ATQ")</f>
        <v>QS29FCT520ATQ</v>
      </c>
      <c r="B21701" s="3" t="s">
        <v>112</v>
      </c>
      <c r="C21701" s="6">
        <v>6608</v>
      </c>
      <c r="D21701" s="7">
        <v>9.6300000000000008</v>
      </c>
      <c r="E21701" t="s">
        <v>113</v>
      </c>
    </row>
    <row r="21702" spans="1:5" x14ac:dyDescent="0.25">
      <c r="A21702" t="str">
        <f>HYPERLINK("https://www.773grp.com/globalSearch/QS29FCT520ATSO/page-1", "QS29FCT520ATSO")</f>
        <v>QS29FCT520ATSO</v>
      </c>
      <c r="B21702" s="3" t="s">
        <v>112</v>
      </c>
      <c r="C21702" s="6">
        <v>1240</v>
      </c>
      <c r="D21702" s="7">
        <v>9.6300000000000008</v>
      </c>
      <c r="E21702" t="s">
        <v>113</v>
      </c>
    </row>
    <row r="21703" spans="1:5" x14ac:dyDescent="0.25">
      <c r="A21703" t="str">
        <f>HYPERLINK("https://www.773grp.com/globalSearch/QS74FCT520ATQ/page-1", "QS74FCT520ATQ")</f>
        <v>QS74FCT520ATQ</v>
      </c>
      <c r="B21703" s="3" t="s">
        <v>112</v>
      </c>
      <c r="C21703" s="6">
        <v>1581</v>
      </c>
      <c r="D21703" s="7">
        <v>9.6300000000000008</v>
      </c>
    </row>
    <row r="21704" spans="1:5" x14ac:dyDescent="0.25">
      <c r="A21704" t="str">
        <f>HYPERLINK("https://www.773grp.com/globalSearch/QS74FCT651TP/page-1", "QS74FCT651TP")</f>
        <v>QS74FCT651TP</v>
      </c>
      <c r="B21704" s="3" t="s">
        <v>112</v>
      </c>
      <c r="C21704" s="6">
        <v>278</v>
      </c>
      <c r="D21704" s="7">
        <v>9.6300000000000008</v>
      </c>
      <c r="E21704" t="s">
        <v>11</v>
      </c>
    </row>
    <row r="21705" spans="1:5" x14ac:dyDescent="0.25">
      <c r="A21705" t="str">
        <f>HYPERLINK("https://www.773grp.com/globalSearch/QS74FCT651TS0/page-1", "QS74FCT651TS0")</f>
        <v>QS74FCT651TS0</v>
      </c>
      <c r="B21705" s="3" t="s">
        <v>112</v>
      </c>
      <c r="C21705" s="6">
        <v>256</v>
      </c>
      <c r="D21705" s="7">
        <v>9.6300000000000008</v>
      </c>
    </row>
    <row r="21706" spans="1:5" x14ac:dyDescent="0.25">
      <c r="A21706" t="str">
        <f>HYPERLINK("https://www.773grp.com/globalSearch/QS74FCT2652TP/page-1", "QS74FCT2652TP")</f>
        <v>QS74FCT2652TP</v>
      </c>
      <c r="B21706" s="3" t="s">
        <v>112</v>
      </c>
      <c r="C21706" s="6">
        <v>68</v>
      </c>
      <c r="D21706" s="7">
        <v>9.75</v>
      </c>
      <c r="E21706" t="s">
        <v>11</v>
      </c>
    </row>
    <row r="21707" spans="1:5" x14ac:dyDescent="0.25">
      <c r="A21707" t="str">
        <f>HYPERLINK("https://www.773grp.com/globalSearch/QS74FCT377CTP/page-1", "QS74FCT377CTP")</f>
        <v>QS74FCT377CTP</v>
      </c>
      <c r="B21707" s="3" t="s">
        <v>112</v>
      </c>
      <c r="C21707" s="6">
        <v>55</v>
      </c>
      <c r="D21707" s="7">
        <v>9.84</v>
      </c>
      <c r="E21707" t="s">
        <v>31</v>
      </c>
    </row>
    <row r="21708" spans="1:5" x14ac:dyDescent="0.25">
      <c r="A21708" t="str">
        <f>HYPERLINK("https://www.773grp.com/globalSearch/QS74FCT2843ATZ/page-1", "QS74FCT2843ATZ")</f>
        <v>QS74FCT2843ATZ</v>
      </c>
      <c r="B21708" s="3" t="s">
        <v>112</v>
      </c>
      <c r="C21708" s="6">
        <v>375</v>
      </c>
      <c r="D21708" s="7">
        <v>9.93</v>
      </c>
      <c r="E21708" t="s">
        <v>11</v>
      </c>
    </row>
    <row r="21709" spans="1:5" x14ac:dyDescent="0.25">
      <c r="A21709" t="str">
        <f>HYPERLINK("https://www.773grp.com/globalSearch/QS74FCT571CTZ/page-1", "QS74FCT571CTZ")</f>
        <v>QS74FCT571CTZ</v>
      </c>
      <c r="B21709" s="3" t="s">
        <v>112</v>
      </c>
      <c r="C21709" s="6">
        <v>104</v>
      </c>
      <c r="D21709" s="7">
        <v>9.93</v>
      </c>
    </row>
    <row r="21710" spans="1:5" x14ac:dyDescent="0.25">
      <c r="A21710" t="str">
        <f>HYPERLINK("https://www.773grp.com/globalSearch/QS74FCT2X827ATQ1/page-1", "QS74FCT2X827ATQ1")</f>
        <v>QS74FCT2X827ATQ1</v>
      </c>
      <c r="B21710" s="3" t="s">
        <v>112</v>
      </c>
      <c r="C21710" s="6">
        <v>327</v>
      </c>
      <c r="D21710" s="7">
        <v>9.99</v>
      </c>
      <c r="E21710" t="s">
        <v>11</v>
      </c>
    </row>
    <row r="21711" spans="1:5" x14ac:dyDescent="0.25">
      <c r="A21711" t="str">
        <f>HYPERLINK("https://www.773grp.com/globalSearch/QS74FCT573ATZ/page-1", "QS74FCT573ATZ")</f>
        <v>QS74FCT573ATZ</v>
      </c>
      <c r="B21711" s="3" t="s">
        <v>112</v>
      </c>
      <c r="C21711" s="6">
        <v>1816</v>
      </c>
      <c r="D21711" s="7">
        <v>10.01</v>
      </c>
      <c r="E21711" t="s">
        <v>11</v>
      </c>
    </row>
    <row r="21712" spans="1:5" x14ac:dyDescent="0.25">
      <c r="A21712" t="str">
        <f>HYPERLINK("https://www.773grp.com/globalSearch/QS74FCT2X543ATQ1/page-1", "QS74FCT2X543ATQ1")</f>
        <v>QS74FCT2X543ATQ1</v>
      </c>
      <c r="B21712" s="3" t="s">
        <v>112</v>
      </c>
      <c r="C21712" s="6">
        <v>745</v>
      </c>
      <c r="D21712" s="7">
        <v>10.039999999999999</v>
      </c>
    </row>
    <row r="21713" spans="1:5" x14ac:dyDescent="0.25">
      <c r="A21713" t="str">
        <f>HYPERLINK("https://www.773grp.com/globalSearch/QS74FCT2652CTZ/page-1", "QS74FCT2652CTZ")</f>
        <v>QS74FCT2652CTZ</v>
      </c>
      <c r="B21713" s="3" t="s">
        <v>112</v>
      </c>
      <c r="C21713" s="6">
        <v>1042</v>
      </c>
      <c r="D21713" s="7">
        <v>10.08</v>
      </c>
      <c r="E21713" t="s">
        <v>11</v>
      </c>
    </row>
    <row r="21714" spans="1:5" x14ac:dyDescent="0.25">
      <c r="A21714" t="str">
        <f>HYPERLINK("https://www.773grp.com/globalSearch/QS74FCT2652DTS0/page-1", "QS74FCT2652DTS0")</f>
        <v>QS74FCT2652DTS0</v>
      </c>
      <c r="B21714" s="3" t="s">
        <v>112</v>
      </c>
      <c r="C21714" s="6">
        <v>498</v>
      </c>
      <c r="D21714" s="7">
        <v>10.08</v>
      </c>
    </row>
    <row r="21715" spans="1:5" x14ac:dyDescent="0.25">
      <c r="A21715" t="str">
        <f>HYPERLINK("https://www.773grp.com/globalSearch/QS74FCT2652TSO/page-1", "QS74FCT2652TSO")</f>
        <v>QS74FCT2652TSO</v>
      </c>
      <c r="B21715" s="3" t="s">
        <v>112</v>
      </c>
      <c r="C21715" s="6">
        <v>117</v>
      </c>
      <c r="D21715" s="7">
        <v>10.09</v>
      </c>
      <c r="E21715" t="s">
        <v>11</v>
      </c>
    </row>
    <row r="21716" spans="1:5" x14ac:dyDescent="0.25">
      <c r="A21716" t="str">
        <f>HYPERLINK("https://www.773grp.com/globalSearch/QS74FCT841BTZ/page-1", "QS74FCT841BTZ")</f>
        <v>QS74FCT841BTZ</v>
      </c>
      <c r="B21716" s="3" t="s">
        <v>112</v>
      </c>
      <c r="C21716" s="6">
        <v>204</v>
      </c>
      <c r="D21716" s="7">
        <v>10.16</v>
      </c>
      <c r="E21716" t="s">
        <v>11</v>
      </c>
    </row>
    <row r="21717" spans="1:5" x14ac:dyDescent="0.25">
      <c r="A21717" t="str">
        <f>HYPERLINK("https://www.773grp.com/globalSearch/QS29FCT2052CTSO/page-1", "QS29FCT2052CTSO")</f>
        <v>QS29FCT2052CTSO</v>
      </c>
      <c r="B21717" s="3" t="s">
        <v>112</v>
      </c>
      <c r="C21717" s="6">
        <v>1300</v>
      </c>
      <c r="D21717" s="7">
        <v>10.26</v>
      </c>
      <c r="E21717" t="s">
        <v>11</v>
      </c>
    </row>
    <row r="21718" spans="1:5" x14ac:dyDescent="0.25">
      <c r="A21718" t="str">
        <f>HYPERLINK("https://www.773grp.com/globalSearch/QS74FCT280ATZ/page-1", "QS74FCT280ATZ")</f>
        <v>QS74FCT280ATZ</v>
      </c>
      <c r="B21718" s="3" t="s">
        <v>112</v>
      </c>
      <c r="C21718" s="6">
        <v>54</v>
      </c>
      <c r="D21718" s="7">
        <v>10.26</v>
      </c>
      <c r="E21718" t="s">
        <v>38</v>
      </c>
    </row>
    <row r="21719" spans="1:5" x14ac:dyDescent="0.25">
      <c r="A21719" t="str">
        <f>HYPERLINK("https://www.773grp.com/globalSearch/QS74FCT646CTQ/page-1", "QS74FCT646CTQ")</f>
        <v>QS74FCT646CTQ</v>
      </c>
      <c r="B21719" s="3" t="s">
        <v>112</v>
      </c>
      <c r="C21719" s="6">
        <v>88498</v>
      </c>
      <c r="D21719" s="7">
        <v>10.3</v>
      </c>
      <c r="E21719" t="s">
        <v>11</v>
      </c>
    </row>
    <row r="21720" spans="1:5" x14ac:dyDescent="0.25">
      <c r="A21720" t="str">
        <f>HYPERLINK("https://www.773grp.com/globalSearch/QS74FCT2240ATZ/page-1", "QS74FCT2240ATZ")</f>
        <v>QS74FCT2240ATZ</v>
      </c>
      <c r="B21720" s="3" t="s">
        <v>112</v>
      </c>
      <c r="C21720" s="6">
        <v>6</v>
      </c>
      <c r="D21720" s="7">
        <v>10.33</v>
      </c>
      <c r="E21720" t="s">
        <v>11</v>
      </c>
    </row>
    <row r="21721" spans="1:5" x14ac:dyDescent="0.25">
      <c r="A21721" t="str">
        <f>HYPERLINK("https://www.773grp.com/globalSearch/59920ZQ-59920-7SOI/page-1", "59920ZQ-59920-7SOI")</f>
        <v>59920ZQ-59920-7SOI</v>
      </c>
      <c r="B21721" s="3" t="s">
        <v>112</v>
      </c>
      <c r="C21721" s="6">
        <v>1111</v>
      </c>
      <c r="D21721" s="7">
        <v>10.35</v>
      </c>
    </row>
    <row r="21722" spans="1:5" x14ac:dyDescent="0.25">
      <c r="A21722" t="str">
        <f>HYPERLINK("https://www.773grp.com/globalSearch/QS29FCT521ATQ/page-1", "QS29FCT521ATQ")</f>
        <v>QS29FCT521ATQ</v>
      </c>
      <c r="B21722" s="3" t="s">
        <v>112</v>
      </c>
      <c r="C21722" s="6">
        <v>3710</v>
      </c>
      <c r="D21722" s="7">
        <v>10.38</v>
      </c>
      <c r="E21722" t="s">
        <v>113</v>
      </c>
    </row>
    <row r="21723" spans="1:5" x14ac:dyDescent="0.25">
      <c r="A21723" t="str">
        <f>HYPERLINK("https://www.773grp.com/globalSearch/QS29FCT2053ATP/page-1", "QS29FCT2053ATP")</f>
        <v>QS29FCT2053ATP</v>
      </c>
      <c r="B21723" s="3" t="s">
        <v>112</v>
      </c>
      <c r="C21723" s="6">
        <v>300</v>
      </c>
      <c r="D21723" s="7">
        <v>10.41</v>
      </c>
      <c r="E21723" t="s">
        <v>11</v>
      </c>
    </row>
    <row r="21724" spans="1:5" x14ac:dyDescent="0.25">
      <c r="A21724" t="str">
        <f>HYPERLINK("https://www.773grp.com/globalSearch/QS74FCT244CTP/page-1", "QS74FCT244CTP")</f>
        <v>QS74FCT244CTP</v>
      </c>
      <c r="B21724" s="3" t="s">
        <v>112</v>
      </c>
      <c r="C21724" s="6">
        <v>409</v>
      </c>
      <c r="D21724" s="7">
        <v>10.41</v>
      </c>
      <c r="E21724" t="s">
        <v>11</v>
      </c>
    </row>
    <row r="21725" spans="1:5" x14ac:dyDescent="0.25">
      <c r="A21725" t="str">
        <f>HYPERLINK("https://www.773grp.com/globalSearch/QS8882-15V/page-1", "QS8882-15V")</f>
        <v>QS8882-15V</v>
      </c>
      <c r="B21725" s="3" t="s">
        <v>112</v>
      </c>
      <c r="C21725" s="6">
        <v>1779</v>
      </c>
      <c r="D21725" s="7">
        <v>10.41</v>
      </c>
      <c r="E21725" t="s">
        <v>63</v>
      </c>
    </row>
    <row r="21726" spans="1:5" x14ac:dyDescent="0.25">
      <c r="A21726" t="str">
        <f>HYPERLINK("https://www.773grp.com/globalSearch/QS54FCT161CTQ/page-1", "QS54FCT161CTQ")</f>
        <v>QS54FCT161CTQ</v>
      </c>
      <c r="B21726" s="3" t="s">
        <v>112</v>
      </c>
      <c r="C21726" s="6">
        <v>107</v>
      </c>
      <c r="D21726" s="7">
        <v>10.43</v>
      </c>
    </row>
    <row r="21727" spans="1:5" x14ac:dyDescent="0.25">
      <c r="A21727" t="str">
        <f>HYPERLINK("https://www.773grp.com/globalSearch/QS74FCT2377CTP/page-1", "QS74FCT2377CTP")</f>
        <v>QS74FCT2377CTP</v>
      </c>
      <c r="B21727" s="3" t="s">
        <v>112</v>
      </c>
      <c r="C21727" s="6">
        <v>363</v>
      </c>
      <c r="D21727" s="7">
        <v>10.46</v>
      </c>
      <c r="E21727" t="s">
        <v>31</v>
      </c>
    </row>
    <row r="21728" spans="1:5" x14ac:dyDescent="0.25">
      <c r="A21728" t="str">
        <f>HYPERLINK("https://www.773grp.com/globalSearch/QS74FCT163CTSO/page-1", "QS74FCT163CTSO")</f>
        <v>QS74FCT163CTSO</v>
      </c>
      <c r="B21728" s="3" t="s">
        <v>112</v>
      </c>
      <c r="C21728" s="6">
        <v>4881</v>
      </c>
      <c r="D21728" s="7">
        <v>10.5</v>
      </c>
      <c r="E21728" t="s">
        <v>22</v>
      </c>
    </row>
    <row r="21729" spans="1:5" x14ac:dyDescent="0.25">
      <c r="A21729" t="str">
        <f>HYPERLINK("https://www.773grp.com/globalSearch/QS74FCT163DTQ/page-1", "QS74FCT163DTQ")</f>
        <v>QS74FCT163DTQ</v>
      </c>
      <c r="B21729" s="3" t="s">
        <v>112</v>
      </c>
      <c r="C21729" s="6">
        <v>163</v>
      </c>
      <c r="D21729" s="7">
        <v>10.5</v>
      </c>
      <c r="E21729" t="s">
        <v>22</v>
      </c>
    </row>
    <row r="21730" spans="1:5" x14ac:dyDescent="0.25">
      <c r="A21730" t="str">
        <f>HYPERLINK("https://www.773grp.com/globalSearch/QS29FCT2520BTS0/page-1", "QS29FCT2520BTS0")</f>
        <v>QS29FCT2520BTS0</v>
      </c>
      <c r="B21730" s="3" t="s">
        <v>112</v>
      </c>
      <c r="C21730" s="6">
        <v>2028</v>
      </c>
      <c r="D21730" s="7">
        <v>10.55</v>
      </c>
    </row>
    <row r="21731" spans="1:5" x14ac:dyDescent="0.25">
      <c r="A21731" t="str">
        <f>HYPERLINK("https://www.773grp.com/globalSearch/QS54FCT2373CTP/page-1", "QS54FCT2373CTP")</f>
        <v>QS54FCT2373CTP</v>
      </c>
      <c r="B21731" s="3" t="s">
        <v>112</v>
      </c>
      <c r="C21731" s="6">
        <v>306</v>
      </c>
      <c r="D21731" s="7">
        <v>10.64</v>
      </c>
      <c r="E21731" t="s">
        <v>11</v>
      </c>
    </row>
    <row r="21732" spans="1:5" x14ac:dyDescent="0.25">
      <c r="A21732" t="str">
        <f>HYPERLINK("https://www.773grp.com/globalSearch/QS74FCT273ATZ/page-1", "QS74FCT273ATZ")</f>
        <v>QS74FCT273ATZ</v>
      </c>
      <c r="B21732" s="3" t="s">
        <v>112</v>
      </c>
      <c r="C21732" s="6">
        <v>4457</v>
      </c>
      <c r="D21732" s="7">
        <v>10.64</v>
      </c>
      <c r="E21732" t="s">
        <v>31</v>
      </c>
    </row>
    <row r="21733" spans="1:5" x14ac:dyDescent="0.25">
      <c r="A21733" t="str">
        <f>HYPERLINK("https://www.773grp.com/globalSearch/QS74FCT373ATZ/page-1", "QS74FCT373ATZ")</f>
        <v>QS74FCT373ATZ</v>
      </c>
      <c r="B21733" s="3" t="s">
        <v>112</v>
      </c>
      <c r="C21733" s="6">
        <v>76</v>
      </c>
      <c r="D21733" s="7">
        <v>10.64</v>
      </c>
      <c r="E21733" t="s">
        <v>11</v>
      </c>
    </row>
    <row r="21734" spans="1:5" x14ac:dyDescent="0.25">
      <c r="A21734" t="str">
        <f>HYPERLINK("https://www.773grp.com/globalSearch/QS74FCT377ATZ/page-1", "QS74FCT377ATZ")</f>
        <v>QS74FCT377ATZ</v>
      </c>
      <c r="B21734" s="3" t="s">
        <v>112</v>
      </c>
      <c r="C21734" s="6">
        <v>1189</v>
      </c>
      <c r="D21734" s="7">
        <v>10.64</v>
      </c>
      <c r="E21734" t="s">
        <v>31</v>
      </c>
    </row>
    <row r="21735" spans="1:5" x14ac:dyDescent="0.25">
      <c r="A21735" t="str">
        <f>HYPERLINK("https://www.773grp.com/globalSearch/QS74FCT258CTSO/page-1", "QS74FCT258CTSO")</f>
        <v>QS74FCT258CTSO</v>
      </c>
      <c r="B21735" s="3" t="s">
        <v>112</v>
      </c>
      <c r="C21735" s="6">
        <v>4899</v>
      </c>
      <c r="D21735" s="7">
        <v>10.75</v>
      </c>
      <c r="E21735" t="s">
        <v>16</v>
      </c>
    </row>
    <row r="21736" spans="1:5" x14ac:dyDescent="0.25">
      <c r="A21736" t="str">
        <f>HYPERLINK("https://www.773grp.com/globalSearch/QS74FCT2544ATQ/page-1", "QS74FCT2544ATQ")</f>
        <v>QS74FCT2544ATQ</v>
      </c>
      <c r="B21736" s="3" t="s">
        <v>112</v>
      </c>
      <c r="C21736" s="6">
        <v>2350</v>
      </c>
      <c r="D21736" s="7">
        <v>10.76</v>
      </c>
      <c r="E21736" t="s">
        <v>11</v>
      </c>
    </row>
    <row r="21737" spans="1:5" x14ac:dyDescent="0.25">
      <c r="A21737" t="str">
        <f>HYPERLINK("https://www.773grp.com/globalSearch/QS74FCT2544ATSO/page-1", "QS74FCT2544ATSO")</f>
        <v>QS74FCT2544ATSO</v>
      </c>
      <c r="B21737" s="3" t="s">
        <v>112</v>
      </c>
      <c r="C21737" s="6">
        <v>2513</v>
      </c>
      <c r="D21737" s="7">
        <v>10.76</v>
      </c>
      <c r="E21737" t="s">
        <v>11</v>
      </c>
    </row>
    <row r="21738" spans="1:5" x14ac:dyDescent="0.25">
      <c r="A21738" t="str">
        <f>HYPERLINK("https://www.773grp.com/globalSearch/QS74FCT543ATP/page-1", "QS74FCT543ATP")</f>
        <v>QS74FCT543ATP</v>
      </c>
      <c r="B21738" s="3" t="s">
        <v>112</v>
      </c>
      <c r="C21738" s="6">
        <v>1445</v>
      </c>
      <c r="D21738" s="7">
        <v>10.76</v>
      </c>
      <c r="E21738" t="s">
        <v>11</v>
      </c>
    </row>
    <row r="21739" spans="1:5" x14ac:dyDescent="0.25">
      <c r="A21739" t="str">
        <f>HYPERLINK("https://www.773grp.com/globalSearch/QS74FCT646ATSO/page-1", "QS74FCT646ATSO")</f>
        <v>QS74FCT646ATSO</v>
      </c>
      <c r="B21739" s="3" t="s">
        <v>112</v>
      </c>
      <c r="C21739" s="6">
        <v>9471</v>
      </c>
      <c r="D21739" s="7">
        <v>10.76</v>
      </c>
      <c r="E21739" t="s">
        <v>11</v>
      </c>
    </row>
    <row r="21740" spans="1:5" x14ac:dyDescent="0.25">
      <c r="A21740" t="str">
        <f>HYPERLINK("https://www.773grp.com/globalSearch/QS74FCT648ATP/page-1", "QS74FCT648ATP")</f>
        <v>QS74FCT648ATP</v>
      </c>
      <c r="B21740" s="3" t="s">
        <v>112</v>
      </c>
      <c r="C21740" s="6">
        <v>913</v>
      </c>
      <c r="D21740" s="7">
        <v>10.76</v>
      </c>
      <c r="E21740" t="s">
        <v>11</v>
      </c>
    </row>
    <row r="21741" spans="1:5" x14ac:dyDescent="0.25">
      <c r="A21741" t="str">
        <f>HYPERLINK("https://www.773grp.com/globalSearch/QS54FCT2257CTQ/page-1", "QS54FCT2257CTQ")</f>
        <v>QS54FCT2257CTQ</v>
      </c>
      <c r="B21741" s="3" t="s">
        <v>112</v>
      </c>
      <c r="C21741" s="6">
        <v>504</v>
      </c>
      <c r="D21741" s="7">
        <v>10.89</v>
      </c>
      <c r="E21741" t="s">
        <v>16</v>
      </c>
    </row>
    <row r="21742" spans="1:5" x14ac:dyDescent="0.25">
      <c r="A21742" t="str">
        <f>HYPERLINK("https://www.773grp.com/globalSearch/QS74FCT2257CTSOX/page-1", "QS74FCT2257CTSOX")</f>
        <v>QS74FCT2257CTSOX</v>
      </c>
      <c r="B21742" s="3" t="s">
        <v>112</v>
      </c>
      <c r="C21742" s="6">
        <v>1000</v>
      </c>
      <c r="D21742" s="7">
        <v>10.89</v>
      </c>
    </row>
    <row r="21743" spans="1:5" x14ac:dyDescent="0.25">
      <c r="A21743" t="str">
        <f>HYPERLINK("https://www.773grp.com/globalSearch/QS74FCT2573CTP/page-1", "QS74FCT2573CTP")</f>
        <v>QS74FCT2573CTP</v>
      </c>
      <c r="B21743" s="3" t="s">
        <v>112</v>
      </c>
      <c r="C21743" s="6">
        <v>257</v>
      </c>
      <c r="D21743" s="7">
        <v>10.89</v>
      </c>
      <c r="E21743" t="s">
        <v>11</v>
      </c>
    </row>
    <row r="21744" spans="1:5" x14ac:dyDescent="0.25">
      <c r="A21744" t="str">
        <f>HYPERLINK("https://www.773grp.com/globalSearch/QS74FCT374DTQ/page-1", "QS74FCT374DTQ")</f>
        <v>QS74FCT374DTQ</v>
      </c>
      <c r="B21744" s="3" t="s">
        <v>112</v>
      </c>
      <c r="C21744" s="6">
        <v>275</v>
      </c>
      <c r="D21744" s="7">
        <v>10.91</v>
      </c>
      <c r="E21744" t="s">
        <v>11</v>
      </c>
    </row>
    <row r="21745" spans="1:5" x14ac:dyDescent="0.25">
      <c r="A21745" t="str">
        <f>HYPERLINK("https://www.773grp.com/globalSearch/QS74FCT374DTSO/page-1", "QS74FCT374DTSO")</f>
        <v>QS74FCT374DTSO</v>
      </c>
      <c r="B21745" s="3" t="s">
        <v>112</v>
      </c>
      <c r="C21745" s="6">
        <v>142</v>
      </c>
      <c r="D21745" s="7">
        <v>10.91</v>
      </c>
      <c r="E21745" t="s">
        <v>11</v>
      </c>
    </row>
    <row r="21746" spans="1:5" x14ac:dyDescent="0.25">
      <c r="A21746" t="str">
        <f>HYPERLINK("https://www.773grp.com/globalSearch/QS74FCT258ATZ/page-1", "QS74FCT258ATZ")</f>
        <v>QS74FCT258ATZ</v>
      </c>
      <c r="B21746" s="3" t="s">
        <v>112</v>
      </c>
      <c r="C21746" s="6">
        <v>165</v>
      </c>
      <c r="D21746" s="7">
        <v>10.98</v>
      </c>
      <c r="E21746" t="s">
        <v>16</v>
      </c>
    </row>
    <row r="21747" spans="1:5" x14ac:dyDescent="0.25">
      <c r="A21747" t="str">
        <f>HYPERLINK("https://www.773grp.com/globalSearch/QS74FCT2573ATP/page-1", "QS74FCT2573ATP")</f>
        <v>QS74FCT2573ATP</v>
      </c>
      <c r="B21747" s="3" t="s">
        <v>112</v>
      </c>
      <c r="C21747" s="6">
        <v>44784</v>
      </c>
      <c r="D21747" s="7">
        <v>11</v>
      </c>
      <c r="E21747" t="s">
        <v>11</v>
      </c>
    </row>
    <row r="21748" spans="1:5" x14ac:dyDescent="0.25">
      <c r="A21748" t="str">
        <f>HYPERLINK("https://www.773grp.com/globalSearch/QS74FCT2574ATZ/page-1", "QS74FCT2574ATZ")</f>
        <v>QS74FCT2574ATZ</v>
      </c>
      <c r="B21748" s="3" t="s">
        <v>112</v>
      </c>
      <c r="C21748" s="6">
        <v>2537</v>
      </c>
      <c r="D21748" s="7">
        <v>11</v>
      </c>
      <c r="E21748" t="s">
        <v>11</v>
      </c>
    </row>
    <row r="21749" spans="1:5" x14ac:dyDescent="0.25">
      <c r="A21749" t="str">
        <f>HYPERLINK("https://www.773grp.com/globalSearch/QS74FCT1280ATSO/page-1", "QS74FCT1280ATSO")</f>
        <v>QS74FCT1280ATSO</v>
      </c>
      <c r="B21749" s="3" t="s">
        <v>112</v>
      </c>
      <c r="C21749" s="6">
        <v>166</v>
      </c>
      <c r="D21749" s="7">
        <v>11.09</v>
      </c>
      <c r="E21749" t="s">
        <v>38</v>
      </c>
    </row>
    <row r="21750" spans="1:5" x14ac:dyDescent="0.25">
      <c r="A21750" t="str">
        <f>HYPERLINK("https://www.773grp.com/globalSearch/QS74FCT240CTP/page-1", "QS74FCT240CTP")</f>
        <v>QS74FCT240CTP</v>
      </c>
      <c r="B21750" s="3" t="s">
        <v>112</v>
      </c>
      <c r="C21750" s="6">
        <v>134</v>
      </c>
      <c r="D21750" s="7">
        <v>11.09</v>
      </c>
      <c r="E21750" t="s">
        <v>11</v>
      </c>
    </row>
    <row r="21751" spans="1:5" x14ac:dyDescent="0.25">
      <c r="A21751" t="str">
        <f>HYPERLINK("https://www.773grp.com/globalSearch/QS3L384P/page-1", "QS3L384P")</f>
        <v>QS3L384P</v>
      </c>
      <c r="B21751" s="3" t="s">
        <v>112</v>
      </c>
      <c r="C21751" s="6">
        <v>7715</v>
      </c>
      <c r="D21751" s="7">
        <v>11.18</v>
      </c>
      <c r="E21751" t="s">
        <v>11</v>
      </c>
    </row>
    <row r="21752" spans="1:5" x14ac:dyDescent="0.25">
      <c r="A21752" t="str">
        <f>HYPERLINK("https://www.773grp.com/globalSearch/QS54FCT827ATQ/page-1", "QS54FCT827ATQ")</f>
        <v>QS54FCT827ATQ</v>
      </c>
      <c r="B21752" s="3" t="s">
        <v>112</v>
      </c>
      <c r="C21752" s="6">
        <v>258</v>
      </c>
      <c r="D21752" s="7">
        <v>11.25</v>
      </c>
      <c r="E21752" t="s">
        <v>11</v>
      </c>
    </row>
    <row r="21753" spans="1:5" x14ac:dyDescent="0.25">
      <c r="A21753" t="str">
        <f>HYPERLINK("https://www.773grp.com/globalSearch/QS54FCT827BTQ/page-1", "QS54FCT827BTQ")</f>
        <v>QS54FCT827BTQ</v>
      </c>
      <c r="B21753" s="3" t="s">
        <v>112</v>
      </c>
      <c r="C21753" s="6">
        <v>191</v>
      </c>
      <c r="D21753" s="7">
        <v>11.25</v>
      </c>
      <c r="E21753" t="s">
        <v>11</v>
      </c>
    </row>
    <row r="21754" spans="1:5" x14ac:dyDescent="0.25">
      <c r="A21754" t="str">
        <f>HYPERLINK("https://www.773grp.com/globalSearch/QS74FCT534CTQ/page-1", "QS74FCT534CTQ")</f>
        <v>QS74FCT534CTQ</v>
      </c>
      <c r="B21754" s="3" t="s">
        <v>112</v>
      </c>
      <c r="C21754" s="6">
        <v>91</v>
      </c>
      <c r="D21754" s="7">
        <v>11.28</v>
      </c>
      <c r="E21754" t="s">
        <v>11</v>
      </c>
    </row>
    <row r="21755" spans="1:5" x14ac:dyDescent="0.25">
      <c r="A21755" t="str">
        <f>HYPERLINK("https://www.773grp.com/globalSearch/QS74FCT540ATZ/page-1", "QS74FCT540ATZ")</f>
        <v>QS74FCT540ATZ</v>
      </c>
      <c r="B21755" s="3" t="s">
        <v>112</v>
      </c>
      <c r="C21755" s="6">
        <v>206</v>
      </c>
      <c r="D21755" s="7">
        <v>11.28</v>
      </c>
      <c r="E21755" t="s">
        <v>11</v>
      </c>
    </row>
    <row r="21756" spans="1:5" x14ac:dyDescent="0.25">
      <c r="A21756" t="str">
        <f>HYPERLINK("https://www.773grp.com/globalSearch/QS74FCT541TZ/page-1", "QS74FCT541TZ")</f>
        <v>QS74FCT541TZ</v>
      </c>
      <c r="B21756" s="3" t="s">
        <v>112</v>
      </c>
      <c r="C21756" s="6">
        <v>248</v>
      </c>
      <c r="D21756" s="7">
        <v>11.28</v>
      </c>
      <c r="E21756" t="s">
        <v>11</v>
      </c>
    </row>
    <row r="21757" spans="1:5" x14ac:dyDescent="0.25">
      <c r="A21757" t="str">
        <f>HYPERLINK("https://www.773grp.com/globalSearch/QS74FCT833ATSO/page-1", "QS74FCT833ATSO")</f>
        <v>QS74FCT833ATSO</v>
      </c>
      <c r="B21757" s="3" t="s">
        <v>112</v>
      </c>
      <c r="C21757" s="6">
        <v>195</v>
      </c>
      <c r="D21757" s="7">
        <v>11.28</v>
      </c>
      <c r="E21757" t="s">
        <v>11</v>
      </c>
    </row>
    <row r="21758" spans="1:5" x14ac:dyDescent="0.25">
      <c r="A21758" t="str">
        <f>HYPERLINK("https://www.773grp.com/globalSearch/QS74FCT2521BTSO/page-1", "QS74FCT2521BTSO")</f>
        <v>QS74FCT2521BTSO</v>
      </c>
      <c r="B21758" s="3" t="s">
        <v>112</v>
      </c>
      <c r="C21758" s="6">
        <v>248</v>
      </c>
      <c r="D21758" s="7">
        <v>11.39</v>
      </c>
      <c r="E21758" t="s">
        <v>38</v>
      </c>
    </row>
    <row r="21759" spans="1:5" x14ac:dyDescent="0.25">
      <c r="A21759" t="str">
        <f>HYPERLINK("https://www.773grp.com/globalSearch/QS74FCT2833ATSO/page-1", "QS74FCT2833ATSO")</f>
        <v>QS74FCT2833ATSO</v>
      </c>
      <c r="B21759" s="3" t="s">
        <v>112</v>
      </c>
      <c r="C21759" s="6">
        <v>141</v>
      </c>
      <c r="D21759" s="7">
        <v>11.44</v>
      </c>
      <c r="E21759" t="s">
        <v>11</v>
      </c>
    </row>
    <row r="21760" spans="1:5" x14ac:dyDescent="0.25">
      <c r="A21760" t="str">
        <f>HYPERLINK("https://www.773grp.com/globalSearch/QS74FCT2273CTSO/page-1", "QS74FCT2273CTSO")</f>
        <v>QS74FCT2273CTSO</v>
      </c>
      <c r="B21760" s="3" t="s">
        <v>112</v>
      </c>
      <c r="C21760" s="6">
        <v>958</v>
      </c>
      <c r="D21760" s="7">
        <v>11.56</v>
      </c>
      <c r="E21760" t="s">
        <v>31</v>
      </c>
    </row>
    <row r="21761" spans="1:5" x14ac:dyDescent="0.25">
      <c r="A21761" t="str">
        <f>HYPERLINK("https://www.773grp.com/globalSearch/QS74FCT2273ATZ/page-1", "QS74FCT2273ATZ")</f>
        <v>QS74FCT2273ATZ</v>
      </c>
      <c r="B21761" s="3" t="s">
        <v>112</v>
      </c>
      <c r="C21761" s="6">
        <v>1487</v>
      </c>
      <c r="D21761" s="7">
        <v>11.7</v>
      </c>
      <c r="E21761" t="s">
        <v>31</v>
      </c>
    </row>
    <row r="21762" spans="1:5" x14ac:dyDescent="0.25">
      <c r="A21762" t="str">
        <f>HYPERLINK("https://www.773grp.com/globalSearch/QS74FCT2374ATZ/page-1", "QS74FCT2374ATZ")</f>
        <v>QS74FCT2374ATZ</v>
      </c>
      <c r="B21762" s="3" t="s">
        <v>112</v>
      </c>
      <c r="C21762" s="6">
        <v>6999</v>
      </c>
      <c r="D21762" s="7">
        <v>11.7</v>
      </c>
      <c r="E21762" t="s">
        <v>11</v>
      </c>
    </row>
    <row r="21763" spans="1:5" x14ac:dyDescent="0.25">
      <c r="A21763" t="str">
        <f>HYPERLINK("https://www.773grp.com/globalSearch/QS74FCT257CTP/page-1", "QS74FCT257CTP")</f>
        <v>QS74FCT257CTP</v>
      </c>
      <c r="B21763" s="3" t="s">
        <v>112</v>
      </c>
      <c r="C21763" s="6">
        <v>3728</v>
      </c>
      <c r="D21763" s="7">
        <v>11.73</v>
      </c>
      <c r="E21763" t="s">
        <v>16</v>
      </c>
    </row>
    <row r="21764" spans="1:5" x14ac:dyDescent="0.25">
      <c r="A21764" t="str">
        <f>HYPERLINK("https://www.773grp.com/globalSearch/QS74FCT139CTP/page-1", "QS74FCT139CTP")</f>
        <v>QS74FCT139CTP</v>
      </c>
      <c r="B21764" s="3" t="s">
        <v>112</v>
      </c>
      <c r="C21764" s="6">
        <v>147</v>
      </c>
      <c r="D21764" s="7">
        <v>11.78</v>
      </c>
      <c r="E21764" t="s">
        <v>32</v>
      </c>
    </row>
    <row r="21765" spans="1:5" x14ac:dyDescent="0.25">
      <c r="A21765" t="str">
        <f>HYPERLINK("https://www.773grp.com/globalSearch/QS74FCT138TZ/page-1", "QS74FCT138TZ")</f>
        <v>QS74FCT138TZ</v>
      </c>
      <c r="B21765" s="3" t="s">
        <v>112</v>
      </c>
      <c r="C21765" s="6">
        <v>128</v>
      </c>
      <c r="D21765" s="7">
        <v>11.95</v>
      </c>
      <c r="E21765" t="s">
        <v>32</v>
      </c>
    </row>
    <row r="21766" spans="1:5" x14ac:dyDescent="0.25">
      <c r="A21766" t="str">
        <f>HYPERLINK("https://www.773grp.com/globalSearch/QS74FCT153CTSO/page-1", "QS74FCT153CTSO")</f>
        <v>QS74FCT153CTSO</v>
      </c>
      <c r="B21766" s="3" t="s">
        <v>112</v>
      </c>
      <c r="C21766" s="6">
        <v>2747</v>
      </c>
      <c r="D21766" s="7">
        <v>11.95</v>
      </c>
      <c r="E21766" t="s">
        <v>16</v>
      </c>
    </row>
    <row r="21767" spans="1:5" x14ac:dyDescent="0.25">
      <c r="A21767" t="str">
        <f>HYPERLINK("https://www.773grp.com/globalSearch/QS74FCT158CTSO/page-1", "QS74FCT158CTSO")</f>
        <v>QS74FCT158CTSO</v>
      </c>
      <c r="B21767" s="3" t="s">
        <v>112</v>
      </c>
      <c r="C21767" s="6">
        <v>3632</v>
      </c>
      <c r="D21767" s="7">
        <v>11.95</v>
      </c>
      <c r="E21767" t="s">
        <v>16</v>
      </c>
    </row>
    <row r="21768" spans="1:5" x14ac:dyDescent="0.25">
      <c r="A21768" t="str">
        <f>HYPERLINK("https://www.773grp.com/globalSearch/QS74FCT2245ATZ/page-1", "QS74FCT2245ATZ")</f>
        <v>QS74FCT2245ATZ</v>
      </c>
      <c r="B21768" s="3" t="s">
        <v>112</v>
      </c>
      <c r="C21768" s="6">
        <v>692</v>
      </c>
      <c r="D21768" s="7">
        <v>11.95</v>
      </c>
      <c r="E21768" t="s">
        <v>11</v>
      </c>
    </row>
    <row r="21769" spans="1:5" x14ac:dyDescent="0.25">
      <c r="A21769" t="str">
        <f>HYPERLINK("https://www.773grp.com/globalSearch/QS74FCT2258CTS1/page-1", "QS74FCT2258CTS1")</f>
        <v>QS74FCT2258CTS1</v>
      </c>
      <c r="B21769" s="3" t="s">
        <v>112</v>
      </c>
      <c r="C21769" s="6">
        <v>958</v>
      </c>
      <c r="D21769" s="7">
        <v>11.95</v>
      </c>
      <c r="E21769" t="s">
        <v>16</v>
      </c>
    </row>
    <row r="21770" spans="1:5" x14ac:dyDescent="0.25">
      <c r="A21770" t="str">
        <f>HYPERLINK("https://www.773grp.com/globalSearch/QS74FCT2646CTP/page-1", "QS74FCT2646CTP")</f>
        <v>QS74FCT2646CTP</v>
      </c>
      <c r="B21770" s="3" t="s">
        <v>112</v>
      </c>
      <c r="C21770" s="6">
        <v>1767</v>
      </c>
      <c r="D21770" s="7">
        <v>11.95</v>
      </c>
      <c r="E21770" t="s">
        <v>11</v>
      </c>
    </row>
    <row r="21771" spans="1:5" x14ac:dyDescent="0.25">
      <c r="A21771" t="str">
        <f>HYPERLINK("https://www.773grp.com/globalSearch/QS29FCT520BTP/page-1", "QS29FCT520BTP")</f>
        <v>QS29FCT520BTP</v>
      </c>
      <c r="B21771" s="3" t="s">
        <v>112</v>
      </c>
      <c r="C21771" s="6">
        <v>301</v>
      </c>
      <c r="D21771" s="7">
        <v>12.04</v>
      </c>
      <c r="E21771" t="s">
        <v>113</v>
      </c>
    </row>
    <row r="21772" spans="1:5" x14ac:dyDescent="0.25">
      <c r="A21772" t="str">
        <f>HYPERLINK("https://www.773grp.com/globalSearch/QS29FCT520BTSO/page-1", "QS29FCT520BTSO")</f>
        <v>QS29FCT520BTSO</v>
      </c>
      <c r="B21772" s="3" t="s">
        <v>112</v>
      </c>
      <c r="C21772" s="6">
        <v>585</v>
      </c>
      <c r="D21772" s="7">
        <v>12.04</v>
      </c>
      <c r="E21772" t="s">
        <v>113</v>
      </c>
    </row>
    <row r="21773" spans="1:5" x14ac:dyDescent="0.25">
      <c r="A21773" t="str">
        <f>HYPERLINK("https://www.773grp.com/globalSearch/QS74FCT280BTS1/page-1", "QS74FCT280BTS1")</f>
        <v>QS74FCT280BTS1</v>
      </c>
      <c r="B21773" s="3" t="s">
        <v>112</v>
      </c>
      <c r="C21773" s="6">
        <v>7051</v>
      </c>
      <c r="D21773" s="7">
        <v>12.04</v>
      </c>
      <c r="E21773" t="s">
        <v>38</v>
      </c>
    </row>
    <row r="21774" spans="1:5" x14ac:dyDescent="0.25">
      <c r="A21774" t="str">
        <f>HYPERLINK("https://www.773grp.com/globalSearch/QS74FCT2833ATP/page-1", "QS74FCT2833ATP")</f>
        <v>QS74FCT2833ATP</v>
      </c>
      <c r="B21774" s="3" t="s">
        <v>112</v>
      </c>
      <c r="C21774" s="6">
        <v>160</v>
      </c>
      <c r="D21774" s="7">
        <v>12.15</v>
      </c>
      <c r="E21774" t="s">
        <v>11</v>
      </c>
    </row>
    <row r="21775" spans="1:5" x14ac:dyDescent="0.25">
      <c r="A21775" t="str">
        <f>HYPERLINK("https://www.773grp.com/globalSearch/QS3388P/page-1", "QS3388P")</f>
        <v>QS3388P</v>
      </c>
      <c r="B21775" s="3" t="s">
        <v>112</v>
      </c>
      <c r="C21775" s="6">
        <v>283</v>
      </c>
      <c r="D21775" s="7">
        <v>12.19</v>
      </c>
      <c r="E21775" t="s">
        <v>11</v>
      </c>
    </row>
    <row r="21776" spans="1:5" x14ac:dyDescent="0.25">
      <c r="A21776" t="str">
        <f>HYPERLINK("https://www.773grp.com/globalSearch/QS29FCT2520CTSO/page-1", "QS29FCT2520CTSO")</f>
        <v>QS29FCT2520CTSO</v>
      </c>
      <c r="B21776" s="3" t="s">
        <v>112</v>
      </c>
      <c r="C21776" s="6">
        <v>650</v>
      </c>
      <c r="D21776" s="7">
        <v>12.2</v>
      </c>
      <c r="E21776" t="s">
        <v>113</v>
      </c>
    </row>
    <row r="21777" spans="1:5" x14ac:dyDescent="0.25">
      <c r="A21777" t="str">
        <f>HYPERLINK("https://www.773grp.com/globalSearch/QS7201-50JR/page-1", "QS7201-50JR")</f>
        <v>QS7201-50JR</v>
      </c>
      <c r="B21777" s="3" t="s">
        <v>112</v>
      </c>
      <c r="C21777" s="6">
        <v>21336</v>
      </c>
      <c r="D21777" s="7">
        <v>12.2</v>
      </c>
      <c r="E21777" t="s">
        <v>70</v>
      </c>
    </row>
    <row r="21778" spans="1:5" x14ac:dyDescent="0.25">
      <c r="A21778" t="str">
        <f>HYPERLINK("https://www.773grp.com/globalSearch/QS74FCT1280TS0/page-1", "QS74FCT1280TS0")</f>
        <v>QS74FCT1280TS0</v>
      </c>
      <c r="B21778" s="3" t="s">
        <v>112</v>
      </c>
      <c r="C21778" s="6">
        <v>4386</v>
      </c>
      <c r="D21778" s="7">
        <v>12.2</v>
      </c>
    </row>
    <row r="21779" spans="1:5" x14ac:dyDescent="0.25">
      <c r="A21779" t="str">
        <f>HYPERLINK("https://www.773grp.com/globalSearch/QS74FCT652TSO/page-1", "QS74FCT652TSO")</f>
        <v>QS74FCT652TSO</v>
      </c>
      <c r="B21779" s="3" t="s">
        <v>112</v>
      </c>
      <c r="C21779" s="6">
        <v>432</v>
      </c>
      <c r="D21779" s="7">
        <v>12.2</v>
      </c>
      <c r="E21779" t="s">
        <v>11</v>
      </c>
    </row>
    <row r="21780" spans="1:5" x14ac:dyDescent="0.25">
      <c r="A21780" t="str">
        <f>HYPERLINK("https://www.773grp.com/globalSearch/QS74FCT1280TQ/page-1", "QS74FCT1280TQ")</f>
        <v>QS74FCT1280TQ</v>
      </c>
      <c r="B21780" s="3" t="s">
        <v>112</v>
      </c>
      <c r="C21780" s="6">
        <v>1758</v>
      </c>
      <c r="D21780" s="7">
        <v>12.26</v>
      </c>
      <c r="E21780" t="s">
        <v>38</v>
      </c>
    </row>
    <row r="21781" spans="1:5" x14ac:dyDescent="0.25">
      <c r="A21781" t="str">
        <f>HYPERLINK("https://www.773grp.com/globalSearch/QS74FCT2648TP/page-1", "QS74FCT2648TP")</f>
        <v>QS74FCT2648TP</v>
      </c>
      <c r="B21781" s="3" t="s">
        <v>112</v>
      </c>
      <c r="C21781" s="6">
        <v>178</v>
      </c>
      <c r="D21781" s="7">
        <v>12.26</v>
      </c>
      <c r="E21781" t="s">
        <v>11</v>
      </c>
    </row>
    <row r="21782" spans="1:5" x14ac:dyDescent="0.25">
      <c r="A21782" t="str">
        <f>HYPERLINK("https://www.773grp.com/globalSearch/QS7201-35JR/page-1", "QS7201-35JR")</f>
        <v>QS7201-35JR</v>
      </c>
      <c r="B21782" s="3" t="s">
        <v>112</v>
      </c>
      <c r="C21782" s="6">
        <v>23746</v>
      </c>
      <c r="D21782" s="7">
        <v>12.38</v>
      </c>
      <c r="E21782" t="s">
        <v>70</v>
      </c>
    </row>
    <row r="21783" spans="1:5" x14ac:dyDescent="0.25">
      <c r="A21783" t="str">
        <f>HYPERLINK("https://www.773grp.com/globalSearch/QS74FCT651ATP/page-1", "QS74FCT651ATP")</f>
        <v>QS74FCT651ATP</v>
      </c>
      <c r="B21783" s="3" t="s">
        <v>112</v>
      </c>
      <c r="C21783" s="6">
        <v>2370</v>
      </c>
      <c r="D21783" s="7">
        <v>12.49</v>
      </c>
      <c r="E21783" t="s">
        <v>11</v>
      </c>
    </row>
    <row r="21784" spans="1:5" x14ac:dyDescent="0.25">
      <c r="A21784" t="str">
        <f>HYPERLINK("https://www.773grp.com/globalSearch/QS74FCT651ATS0/page-1", "QS74FCT651ATS0")</f>
        <v>QS74FCT651ATS0</v>
      </c>
      <c r="B21784" s="3" t="s">
        <v>112</v>
      </c>
      <c r="C21784" s="6">
        <v>1300</v>
      </c>
      <c r="D21784" s="7">
        <v>12.49</v>
      </c>
    </row>
    <row r="21785" spans="1:5" x14ac:dyDescent="0.25">
      <c r="A21785" t="str">
        <f>HYPERLINK("https://www.773grp.com/globalSearch/QS74FCT16543CTPA/page-1", "QS74FCT16543CTPA")</f>
        <v>QS74FCT16543CTPA</v>
      </c>
      <c r="B21785" s="3" t="s">
        <v>112</v>
      </c>
      <c r="C21785" s="6">
        <v>527</v>
      </c>
      <c r="D21785" s="7">
        <v>12.53</v>
      </c>
      <c r="E21785" t="s">
        <v>11</v>
      </c>
    </row>
    <row r="21786" spans="1:5" x14ac:dyDescent="0.25">
      <c r="A21786" t="str">
        <f>HYPERLINK("https://www.773grp.com/globalSearch/QS74FCT2245CTZ/page-1", "QS74FCT2245CTZ")</f>
        <v>QS74FCT2245CTZ</v>
      </c>
      <c r="B21786" s="3" t="s">
        <v>112</v>
      </c>
      <c r="C21786" s="6">
        <v>134</v>
      </c>
      <c r="D21786" s="7">
        <v>12.53</v>
      </c>
      <c r="E21786" t="s">
        <v>11</v>
      </c>
    </row>
    <row r="21787" spans="1:5" x14ac:dyDescent="0.25">
      <c r="A21787" t="str">
        <f>HYPERLINK("https://www.773grp.com/globalSearch/QS54FCT138CTQ/page-1", "QS54FCT138CTQ")</f>
        <v>QS54FCT138CTQ</v>
      </c>
      <c r="B21787" s="3" t="s">
        <v>112</v>
      </c>
      <c r="C21787" s="6">
        <v>748</v>
      </c>
      <c r="D21787" s="7">
        <v>12.66</v>
      </c>
      <c r="E21787" t="s">
        <v>32</v>
      </c>
    </row>
    <row r="21788" spans="1:5" x14ac:dyDescent="0.25">
      <c r="A21788" t="str">
        <f>HYPERLINK("https://www.773grp.com/globalSearch/QS74FCT1280TSO/page-1", "QS74FCT1280TSO")</f>
        <v>QS74FCT1280TSO</v>
      </c>
      <c r="B21788" s="3" t="s">
        <v>112</v>
      </c>
      <c r="C21788" s="6">
        <v>21319</v>
      </c>
      <c r="D21788" s="7">
        <v>12.66</v>
      </c>
      <c r="E21788" t="s">
        <v>38</v>
      </c>
    </row>
    <row r="21789" spans="1:5" x14ac:dyDescent="0.25">
      <c r="A21789" t="str">
        <f>HYPERLINK("https://www.773grp.com/globalSearch/QS7201-50V/page-1", "QS7201-50V")</f>
        <v>QS7201-50V</v>
      </c>
      <c r="B21789" s="3" t="s">
        <v>112</v>
      </c>
      <c r="C21789" s="6">
        <v>1560</v>
      </c>
      <c r="D21789" s="7">
        <v>12.69</v>
      </c>
      <c r="E21789" t="s">
        <v>70</v>
      </c>
    </row>
    <row r="21790" spans="1:5" x14ac:dyDescent="0.25">
      <c r="A21790" t="str">
        <f>HYPERLINK("https://www.773grp.com/globalSearch/QS3390P/page-1", "QS3390P")</f>
        <v>QS3390P</v>
      </c>
      <c r="B21790" s="3" t="s">
        <v>112</v>
      </c>
      <c r="C21790" s="6">
        <v>1342</v>
      </c>
      <c r="D21790" s="7">
        <v>12.74</v>
      </c>
      <c r="E21790" t="s">
        <v>11</v>
      </c>
    </row>
    <row r="21791" spans="1:5" x14ac:dyDescent="0.25">
      <c r="A21791" t="str">
        <f>HYPERLINK("https://www.773grp.com/globalSearch/QS54FCT139CTQ/page-1", "QS54FCT139CTQ")</f>
        <v>QS54FCT139CTQ</v>
      </c>
      <c r="B21791" s="3" t="s">
        <v>112</v>
      </c>
      <c r="C21791" s="6">
        <v>783</v>
      </c>
      <c r="D21791" s="7">
        <v>12.78</v>
      </c>
      <c r="E21791" t="s">
        <v>32</v>
      </c>
    </row>
    <row r="21792" spans="1:5" x14ac:dyDescent="0.25">
      <c r="A21792" t="str">
        <f>HYPERLINK("https://www.773grp.com/globalSearch/QS7201-50Q/page-1", "QS7201-50Q")</f>
        <v>QS7201-50Q</v>
      </c>
      <c r="B21792" s="3" t="s">
        <v>112</v>
      </c>
      <c r="C21792" s="6">
        <v>24</v>
      </c>
      <c r="D21792" s="7">
        <v>12.86</v>
      </c>
      <c r="E21792" t="s">
        <v>70</v>
      </c>
    </row>
    <row r="21793" spans="1:5" x14ac:dyDescent="0.25">
      <c r="A21793" t="str">
        <f>HYPERLINK("https://www.773grp.com/globalSearch/QS7202-50JR/page-1", "QS7202-50JR")</f>
        <v>QS7202-50JR</v>
      </c>
      <c r="B21793" s="3" t="s">
        <v>112</v>
      </c>
      <c r="C21793" s="6">
        <v>567</v>
      </c>
      <c r="D21793" s="7">
        <v>12.86</v>
      </c>
      <c r="E21793" t="s">
        <v>70</v>
      </c>
    </row>
    <row r="21794" spans="1:5" x14ac:dyDescent="0.25">
      <c r="A21794" t="str">
        <f>HYPERLINK("https://www.773grp.com/globalSearch/QS54FCT2521CTQ/page-1", "QS54FCT2521CTQ")</f>
        <v>QS54FCT2521CTQ</v>
      </c>
      <c r="B21794" s="3" t="s">
        <v>112</v>
      </c>
      <c r="C21794" s="6">
        <v>655</v>
      </c>
      <c r="D21794" s="7">
        <v>12.96</v>
      </c>
    </row>
    <row r="21795" spans="1:5" x14ac:dyDescent="0.25">
      <c r="A21795" t="str">
        <f>HYPERLINK("https://www.773grp.com/globalSearch/QS74FCT193ATZ/page-1", "QS74FCT193ATZ")</f>
        <v>QS74FCT193ATZ</v>
      </c>
      <c r="B21795" s="3" t="s">
        <v>112</v>
      </c>
      <c r="C21795" s="6">
        <v>105</v>
      </c>
      <c r="D21795" s="7">
        <v>13.03</v>
      </c>
      <c r="E21795" t="s">
        <v>22</v>
      </c>
    </row>
    <row r="21796" spans="1:5" x14ac:dyDescent="0.25">
      <c r="A21796" t="str">
        <f>HYPERLINK("https://www.773grp.com/globalSearch/QS74FCT253CTP/page-1", "QS74FCT253CTP")</f>
        <v>QS74FCT253CTP</v>
      </c>
      <c r="B21796" s="3" t="s">
        <v>112</v>
      </c>
      <c r="C21796" s="6">
        <v>456</v>
      </c>
      <c r="D21796" s="7">
        <v>13.08</v>
      </c>
      <c r="E21796" t="s">
        <v>16</v>
      </c>
    </row>
    <row r="21797" spans="1:5" x14ac:dyDescent="0.25">
      <c r="A21797" t="str">
        <f>HYPERLINK("https://www.773grp.com/globalSearch/QS7201-50P/page-1", "QS7201-50P")</f>
        <v>QS7201-50P</v>
      </c>
      <c r="B21797" s="3" t="s">
        <v>112</v>
      </c>
      <c r="C21797" s="6">
        <v>2511</v>
      </c>
      <c r="D21797" s="7">
        <v>13.11</v>
      </c>
      <c r="E21797" t="s">
        <v>70</v>
      </c>
    </row>
    <row r="21798" spans="1:5" x14ac:dyDescent="0.25">
      <c r="A21798" t="str">
        <f>HYPERLINK("https://www.773grp.com/globalSearch/QS74FCT2373CTP/page-1", "QS74FCT2373CTP")</f>
        <v>QS74FCT2373CTP</v>
      </c>
      <c r="B21798" s="3" t="s">
        <v>112</v>
      </c>
      <c r="C21798" s="6">
        <v>470</v>
      </c>
      <c r="D21798" s="7">
        <v>13.11</v>
      </c>
      <c r="E21798" t="s">
        <v>11</v>
      </c>
    </row>
    <row r="21799" spans="1:5" x14ac:dyDescent="0.25">
      <c r="A21799" t="str">
        <f>HYPERLINK("https://www.773grp.com/globalSearch/QS29FCT2520CTQ/page-1", "QS29FCT2520CTQ")</f>
        <v>QS29FCT2520CTQ</v>
      </c>
      <c r="B21799" s="3" t="s">
        <v>112</v>
      </c>
      <c r="C21799" s="6">
        <v>78</v>
      </c>
      <c r="D21799" s="7">
        <v>13.21</v>
      </c>
      <c r="E21799" t="s">
        <v>113</v>
      </c>
    </row>
    <row r="21800" spans="1:5" x14ac:dyDescent="0.25">
      <c r="A21800" t="str">
        <f>HYPERLINK("https://www.773grp.com/globalSearch/QS3386P/page-1", "QS3386P")</f>
        <v>QS3386P</v>
      </c>
      <c r="B21800" s="3" t="s">
        <v>112</v>
      </c>
      <c r="C21800" s="6">
        <v>1186</v>
      </c>
      <c r="D21800" s="7">
        <v>13.21</v>
      </c>
      <c r="E21800" t="s">
        <v>11</v>
      </c>
    </row>
    <row r="21801" spans="1:5" x14ac:dyDescent="0.25">
      <c r="A21801" t="str">
        <f>HYPERLINK("https://www.773grp.com/globalSearch/QS52806TSO/page-1", "QS52806TSO")</f>
        <v>QS52806TSO</v>
      </c>
      <c r="B21801" s="3" t="s">
        <v>112</v>
      </c>
      <c r="C21801" s="6">
        <v>33</v>
      </c>
      <c r="D21801" s="7">
        <v>13.21</v>
      </c>
      <c r="E21801" t="s">
        <v>30</v>
      </c>
    </row>
    <row r="21802" spans="1:5" x14ac:dyDescent="0.25">
      <c r="A21802" t="str">
        <f>HYPERLINK("https://www.773grp.com/globalSearch/QS7202-25V/page-1", "QS7202-25V")</f>
        <v>QS7202-25V</v>
      </c>
      <c r="B21802" s="3" t="s">
        <v>112</v>
      </c>
      <c r="C21802" s="6">
        <v>2214</v>
      </c>
      <c r="D21802" s="7">
        <v>13.25</v>
      </c>
      <c r="E21802" t="s">
        <v>70</v>
      </c>
    </row>
    <row r="21803" spans="1:5" x14ac:dyDescent="0.25">
      <c r="A21803" t="str">
        <f>HYPERLINK("https://www.773grp.com/globalSearch/QS7202-50P/page-1", "QS7202-50P")</f>
        <v>QS7202-50P</v>
      </c>
      <c r="B21803" s="3" t="s">
        <v>112</v>
      </c>
      <c r="C21803" s="6">
        <v>1257</v>
      </c>
      <c r="D21803" s="7">
        <v>13.3</v>
      </c>
      <c r="E21803" t="s">
        <v>70</v>
      </c>
    </row>
    <row r="21804" spans="1:5" x14ac:dyDescent="0.25">
      <c r="A21804" t="str">
        <f>HYPERLINK("https://www.773grp.com/globalSearch/QS7202-5OP/page-1", "QS7202-5OP")</f>
        <v>QS7202-5OP</v>
      </c>
      <c r="B21804" s="3" t="s">
        <v>112</v>
      </c>
      <c r="C21804" s="6">
        <v>448</v>
      </c>
      <c r="D21804" s="7">
        <v>13.3</v>
      </c>
    </row>
    <row r="21805" spans="1:5" x14ac:dyDescent="0.25">
      <c r="A21805" t="str">
        <f>HYPERLINK("https://www.773grp.com/globalSearch/QS74FCT162823CTPV/page-1", "QS74FCT162823CTPV")</f>
        <v>QS74FCT162823CTPV</v>
      </c>
      <c r="B21805" s="3" t="s">
        <v>112</v>
      </c>
      <c r="C21805" s="6">
        <v>330</v>
      </c>
      <c r="D21805" s="7">
        <v>13.3</v>
      </c>
      <c r="E21805" t="s">
        <v>11</v>
      </c>
    </row>
    <row r="21806" spans="1:5" x14ac:dyDescent="0.25">
      <c r="A21806" t="str">
        <f>HYPERLINK("https://www.773grp.com/globalSearch/QS74FCT162841CTPV/page-1", "QS74FCT162841CTPV")</f>
        <v>QS74FCT162841CTPV</v>
      </c>
      <c r="B21806" s="3" t="s">
        <v>112</v>
      </c>
      <c r="C21806" s="6">
        <v>284</v>
      </c>
      <c r="D21806" s="7">
        <v>13.3</v>
      </c>
      <c r="E21806" t="s">
        <v>11</v>
      </c>
    </row>
    <row r="21807" spans="1:5" x14ac:dyDescent="0.25">
      <c r="A21807" t="str">
        <f>HYPERLINK("https://www.773grp.com/globalSearch/QS74FCT16823CTPV/page-1", "QS74FCT16823CTPV")</f>
        <v>QS74FCT16823CTPV</v>
      </c>
      <c r="B21807" s="3" t="s">
        <v>112</v>
      </c>
      <c r="C21807" s="6">
        <v>165</v>
      </c>
      <c r="D21807" s="7">
        <v>13.3</v>
      </c>
      <c r="E21807" t="s">
        <v>11</v>
      </c>
    </row>
    <row r="21808" spans="1:5" x14ac:dyDescent="0.25">
      <c r="A21808" t="str">
        <f>HYPERLINK("https://www.773grp.com/globalSearch/QS74FCT16827CTPV/page-1", "QS74FCT16827CTPV")</f>
        <v>QS74FCT16827CTPV</v>
      </c>
      <c r="B21808" s="3" t="s">
        <v>112</v>
      </c>
      <c r="C21808" s="6">
        <v>189</v>
      </c>
      <c r="D21808" s="7">
        <v>13.3</v>
      </c>
      <c r="E21808" t="s">
        <v>11</v>
      </c>
    </row>
    <row r="21809" spans="1:5" x14ac:dyDescent="0.25">
      <c r="A21809" t="str">
        <f>HYPERLINK("https://www.773grp.com/globalSearch/QS74FCT16841CTPV/page-1", "QS74FCT16841CTPV")</f>
        <v>QS74FCT16841CTPV</v>
      </c>
      <c r="B21809" s="3" t="s">
        <v>112</v>
      </c>
      <c r="C21809" s="6">
        <v>415</v>
      </c>
      <c r="D21809" s="7">
        <v>13.3</v>
      </c>
      <c r="E21809" t="s">
        <v>11</v>
      </c>
    </row>
    <row r="21810" spans="1:5" x14ac:dyDescent="0.25">
      <c r="A21810" t="str">
        <f>HYPERLINK("https://www.773grp.com/globalSearch/QS32X245Q1/page-1", "QS32X245Q1")</f>
        <v>QS32X245Q1</v>
      </c>
      <c r="B21810" s="3" t="s">
        <v>112</v>
      </c>
      <c r="C21810" s="6">
        <v>590</v>
      </c>
      <c r="D21810" s="7">
        <v>13.39</v>
      </c>
    </row>
    <row r="21811" spans="1:5" x14ac:dyDescent="0.25">
      <c r="A21811" t="str">
        <f>HYPERLINK("https://www.773grp.com/globalSearch/QS74FCT541ATZ/page-1", "QS74FCT541ATZ")</f>
        <v>QS74FCT541ATZ</v>
      </c>
      <c r="B21811" s="3" t="s">
        <v>112</v>
      </c>
      <c r="C21811" s="6">
        <v>161</v>
      </c>
      <c r="D21811" s="7">
        <v>13.5</v>
      </c>
      <c r="E21811" t="s">
        <v>11</v>
      </c>
    </row>
    <row r="21812" spans="1:5" x14ac:dyDescent="0.25">
      <c r="A21812" t="str">
        <f>HYPERLINK("https://www.773grp.com/globalSearch/QS74FCT240DTSO/page-1", "QS74FCT240DTSO")</f>
        <v>QS74FCT240DTSO</v>
      </c>
      <c r="B21812" s="3" t="s">
        <v>112</v>
      </c>
      <c r="C21812" s="6">
        <v>526</v>
      </c>
      <c r="D21812" s="7">
        <v>13.68</v>
      </c>
      <c r="E21812" t="s">
        <v>11</v>
      </c>
    </row>
    <row r="21813" spans="1:5" x14ac:dyDescent="0.25">
      <c r="A21813" t="str">
        <f>HYPERLINK("https://www.773grp.com/globalSearch/QS74FCT573CTQ/page-1", "QS74FCT573CTQ")</f>
        <v>QS74FCT573CTQ</v>
      </c>
      <c r="B21813" s="3" t="s">
        <v>112</v>
      </c>
      <c r="C21813" s="6">
        <v>15</v>
      </c>
      <c r="D21813" s="7">
        <v>13.73</v>
      </c>
      <c r="E21813" t="s">
        <v>11</v>
      </c>
    </row>
    <row r="21814" spans="1:5" x14ac:dyDescent="0.25">
      <c r="A21814" t="str">
        <f>HYPERLINK("https://www.773grp.com/globalSearch/5991ZQ/page-1", "5991ZQ")</f>
        <v>5991ZQ</v>
      </c>
      <c r="B21814" s="3" t="s">
        <v>112</v>
      </c>
      <c r="C21814" s="6">
        <v>636</v>
      </c>
      <c r="D21814" s="7">
        <v>13.8</v>
      </c>
    </row>
    <row r="21815" spans="1:5" x14ac:dyDescent="0.25">
      <c r="A21815" t="str">
        <f>HYPERLINK("https://www.773grp.com/globalSearch/5992ZQ/page-1", "5992ZQ")</f>
        <v>5992ZQ</v>
      </c>
      <c r="B21815" s="3" t="s">
        <v>112</v>
      </c>
      <c r="C21815" s="6">
        <v>1961</v>
      </c>
      <c r="D21815" s="7">
        <v>13.8</v>
      </c>
    </row>
    <row r="21816" spans="1:5" x14ac:dyDescent="0.25">
      <c r="A21816" t="str">
        <f>HYPERLINK("https://www.773grp.com/globalSearch/QS29FCT2521CTSO/page-1", "QS29FCT2521CTSO")</f>
        <v>QS29FCT2521CTSO</v>
      </c>
      <c r="B21816" s="3" t="s">
        <v>112</v>
      </c>
      <c r="C21816" s="6">
        <v>166</v>
      </c>
      <c r="D21816" s="7">
        <v>13.93</v>
      </c>
      <c r="E21816" t="s">
        <v>113</v>
      </c>
    </row>
    <row r="21817" spans="1:5" x14ac:dyDescent="0.25">
      <c r="A21817" t="str">
        <f>HYPERLINK("https://www.773grp.com/globalSearch/QS54FCT2823CTLB/page-1", "QS54FCT2823CTLB")</f>
        <v>QS54FCT2823CTLB</v>
      </c>
      <c r="B21817" s="3" t="s">
        <v>112</v>
      </c>
      <c r="C21817" s="6">
        <v>241</v>
      </c>
      <c r="D21817" s="7">
        <v>14.06</v>
      </c>
    </row>
    <row r="21818" spans="1:5" x14ac:dyDescent="0.25">
      <c r="A21818" t="str">
        <f>HYPERLINK("https://www.773grp.com/globalSearch/QS54FCT862ATDB/page-1", "QS54FCT862ATDB")</f>
        <v>QS54FCT862ATDB</v>
      </c>
      <c r="B21818" s="3" t="s">
        <v>112</v>
      </c>
      <c r="C21818" s="6">
        <v>277</v>
      </c>
      <c r="D21818" s="7">
        <v>14.06</v>
      </c>
    </row>
    <row r="21819" spans="1:5" x14ac:dyDescent="0.25">
      <c r="A21819" t="str">
        <f>HYPERLINK("https://www.773grp.com/globalSearch/QS74FCT257CTSO/page-1", "QS74FCT257CTSO")</f>
        <v>QS74FCT257CTSO</v>
      </c>
      <c r="B21819" s="3" t="s">
        <v>112</v>
      </c>
      <c r="C21819" s="6">
        <v>1228</v>
      </c>
      <c r="D21819" s="7">
        <v>14.06</v>
      </c>
      <c r="E21819" t="s">
        <v>16</v>
      </c>
    </row>
    <row r="21820" spans="1:5" x14ac:dyDescent="0.25">
      <c r="A21820" t="str">
        <f>HYPERLINK("https://www.773grp.com/globalSearch/QS7201-35P/page-1", "QS7201-35P")</f>
        <v>QS7201-35P</v>
      </c>
      <c r="B21820" s="3" t="s">
        <v>112</v>
      </c>
      <c r="C21820" s="6">
        <v>1393</v>
      </c>
      <c r="D21820" s="7">
        <v>14.13</v>
      </c>
      <c r="E21820" t="s">
        <v>70</v>
      </c>
    </row>
    <row r="21821" spans="1:5" x14ac:dyDescent="0.25">
      <c r="A21821" t="str">
        <f>HYPERLINK("https://www.773grp.com/globalSearch/QS7201-35V/page-1", "QS7201-35V")</f>
        <v>QS7201-35V</v>
      </c>
      <c r="B21821" s="3" t="s">
        <v>112</v>
      </c>
      <c r="C21821" s="6">
        <v>54</v>
      </c>
      <c r="D21821" s="7">
        <v>14.13</v>
      </c>
      <c r="E21821" t="s">
        <v>70</v>
      </c>
    </row>
    <row r="21822" spans="1:5" x14ac:dyDescent="0.25">
      <c r="A21822" t="str">
        <f>HYPERLINK("https://www.773grp.com/globalSearch/QS74FCT843CTP/page-1", "QS74FCT843CTP")</f>
        <v>QS74FCT843CTP</v>
      </c>
      <c r="B21822" s="3" t="s">
        <v>112</v>
      </c>
      <c r="C21822" s="6">
        <v>1473</v>
      </c>
      <c r="D21822" s="7">
        <v>14.18</v>
      </c>
      <c r="E21822" t="s">
        <v>11</v>
      </c>
    </row>
    <row r="21823" spans="1:5" x14ac:dyDescent="0.25">
      <c r="A21823" t="str">
        <f>HYPERLINK("https://www.773grp.com/globalSearch/QS5806ATSO/page-1", "QS5806ATSO")</f>
        <v>QS5806ATSO</v>
      </c>
      <c r="B21823" s="3" t="s">
        <v>112</v>
      </c>
      <c r="C21823" s="6">
        <v>475</v>
      </c>
      <c r="D21823" s="7">
        <v>14.21</v>
      </c>
      <c r="E21823" t="s">
        <v>30</v>
      </c>
    </row>
    <row r="21824" spans="1:5" x14ac:dyDescent="0.25">
      <c r="A21824" t="str">
        <f>HYPERLINK("https://www.773grp.com/globalSearch/QS7201-15V/page-1", "QS7201-15V")</f>
        <v>QS7201-15V</v>
      </c>
      <c r="B21824" s="3" t="s">
        <v>112</v>
      </c>
      <c r="C21824" s="6">
        <v>365</v>
      </c>
      <c r="D21824" s="7">
        <v>14.23</v>
      </c>
      <c r="E21824" t="s">
        <v>70</v>
      </c>
    </row>
    <row r="21825" spans="1:5" x14ac:dyDescent="0.25">
      <c r="A21825" t="str">
        <f>HYPERLINK("https://www.773grp.com/globalSearch/QS7201-25JR/page-1", "QS7201-25JR")</f>
        <v>QS7201-25JR</v>
      </c>
      <c r="B21825" s="3" t="s">
        <v>112</v>
      </c>
      <c r="C21825" s="6">
        <v>1103</v>
      </c>
      <c r="D21825" s="7">
        <v>14.35</v>
      </c>
      <c r="E21825" t="s">
        <v>70</v>
      </c>
    </row>
    <row r="21826" spans="1:5" x14ac:dyDescent="0.25">
      <c r="A21826" t="str">
        <f>HYPERLINK("https://www.773grp.com/globalSearch/QS7201-25Q/page-1", "QS7201-25Q")</f>
        <v>QS7201-25Q</v>
      </c>
      <c r="B21826" s="3" t="s">
        <v>112</v>
      </c>
      <c r="C21826" s="6">
        <v>4442</v>
      </c>
      <c r="D21826" s="7">
        <v>14.35</v>
      </c>
      <c r="E21826" t="s">
        <v>70</v>
      </c>
    </row>
    <row r="21827" spans="1:5" x14ac:dyDescent="0.25">
      <c r="A21827" t="str">
        <f>HYPERLINK("https://www.773grp.com/globalSearch/QS74FCT138DTSO/page-1", "QS74FCT138DTSO")</f>
        <v>QS74FCT138DTSO</v>
      </c>
      <c r="B21827" s="3" t="s">
        <v>112</v>
      </c>
      <c r="C21827" s="6">
        <v>173</v>
      </c>
      <c r="D21827" s="7">
        <v>14.48</v>
      </c>
      <c r="E21827" t="s">
        <v>32</v>
      </c>
    </row>
    <row r="21828" spans="1:5" x14ac:dyDescent="0.25">
      <c r="A21828" t="str">
        <f>HYPERLINK("https://www.773grp.com/globalSearch/QS74FCT2157CTSO/page-1", "QS74FCT2157CTSO")</f>
        <v>QS74FCT2157CTSO</v>
      </c>
      <c r="B21828" s="3" t="s">
        <v>112</v>
      </c>
      <c r="C21828" s="6">
        <v>285</v>
      </c>
      <c r="D21828" s="7">
        <v>14.48</v>
      </c>
      <c r="E21828" t="s">
        <v>16</v>
      </c>
    </row>
    <row r="21829" spans="1:5" x14ac:dyDescent="0.25">
      <c r="A21829" t="str">
        <f>HYPERLINK("https://www.773grp.com/globalSearch/QS74FCT1280BTSO/page-1", "QS74FCT1280BTSO")</f>
        <v>QS74FCT1280BTSO</v>
      </c>
      <c r="B21829" s="3" t="s">
        <v>112</v>
      </c>
      <c r="C21829" s="6">
        <v>18051</v>
      </c>
      <c r="D21829" s="7">
        <v>14.51</v>
      </c>
      <c r="E21829" t="s">
        <v>38</v>
      </c>
    </row>
    <row r="21830" spans="1:5" x14ac:dyDescent="0.25">
      <c r="A21830" t="str">
        <f>HYPERLINK("https://www.773grp.com/globalSearch/QS74FCT2X374ATQ1/page-1", "QS74FCT2X374ATQ1")</f>
        <v>QS74FCT2X374ATQ1</v>
      </c>
      <c r="B21830" s="3" t="s">
        <v>112</v>
      </c>
      <c r="C21830" s="6">
        <v>137</v>
      </c>
      <c r="D21830" s="7">
        <v>14.69</v>
      </c>
    </row>
    <row r="21831" spans="1:5" x14ac:dyDescent="0.25">
      <c r="A21831" t="str">
        <f>HYPERLINK("https://www.773grp.com/globalSearch/QS74FCT821CTZ-S191/page-1", "QS74FCT821CTZ-S191")</f>
        <v>QS74FCT821CTZ-S191</v>
      </c>
      <c r="B21831" s="3" t="s">
        <v>112</v>
      </c>
      <c r="C21831" s="6">
        <v>408</v>
      </c>
      <c r="D21831" s="7">
        <v>14.69</v>
      </c>
    </row>
    <row r="21832" spans="1:5" x14ac:dyDescent="0.25">
      <c r="A21832" t="str">
        <f>HYPERLINK("https://www.773grp.com/globalSearch/QS8888-20P/page-1", "QS8888-20P")</f>
        <v>QS8888-20P</v>
      </c>
      <c r="B21832" s="3" t="s">
        <v>112</v>
      </c>
      <c r="C21832" s="6">
        <v>1140</v>
      </c>
      <c r="D21832" s="7">
        <v>14.71</v>
      </c>
      <c r="E21832" t="s">
        <v>63</v>
      </c>
    </row>
    <row r="21833" spans="1:5" x14ac:dyDescent="0.25">
      <c r="A21833" t="str">
        <f>HYPERLINK("https://www.773grp.com/globalSearch/QS74FCT299CTP/page-1", "QS74FCT299CTP")</f>
        <v>QS74FCT299CTP</v>
      </c>
      <c r="B21833" s="3" t="s">
        <v>112</v>
      </c>
      <c r="C21833" s="6">
        <v>223</v>
      </c>
      <c r="D21833" s="7">
        <v>14.76</v>
      </c>
    </row>
    <row r="21834" spans="1:5" x14ac:dyDescent="0.25">
      <c r="A21834" t="str">
        <f>HYPERLINK("https://www.773grp.com/globalSearch/QS52806ATSO/page-1", "QS52806ATSO")</f>
        <v>QS52806ATSO</v>
      </c>
      <c r="B21834" s="3" t="s">
        <v>112</v>
      </c>
      <c r="C21834" s="6">
        <v>32</v>
      </c>
      <c r="D21834" s="7">
        <v>14.85</v>
      </c>
      <c r="E21834" t="s">
        <v>30</v>
      </c>
    </row>
    <row r="21835" spans="1:5" x14ac:dyDescent="0.25">
      <c r="A21835" t="str">
        <f>HYPERLINK("https://www.773grp.com/globalSearch/QS74FCT2540ATZ/page-1", "QS74FCT2540ATZ")</f>
        <v>QS74FCT2540ATZ</v>
      </c>
      <c r="B21835" s="3" t="s">
        <v>112</v>
      </c>
      <c r="C21835" s="6">
        <v>200</v>
      </c>
      <c r="D21835" s="7">
        <v>14.85</v>
      </c>
      <c r="E21835" t="s">
        <v>11</v>
      </c>
    </row>
    <row r="21836" spans="1:5" x14ac:dyDescent="0.25">
      <c r="A21836" t="str">
        <f>HYPERLINK("https://www.773grp.com/globalSearch/QS74FCT2541ATZ/page-1", "QS74FCT2541ATZ")</f>
        <v>QS74FCT2541ATZ</v>
      </c>
      <c r="B21836" s="3" t="s">
        <v>112</v>
      </c>
      <c r="C21836" s="6">
        <v>468</v>
      </c>
      <c r="D21836" s="7">
        <v>14.85</v>
      </c>
      <c r="E21836" t="s">
        <v>11</v>
      </c>
    </row>
    <row r="21837" spans="1:5" x14ac:dyDescent="0.25">
      <c r="A21837" t="str">
        <f>HYPERLINK("https://www.773grp.com/globalSearch/59910ZQ/page-1", "59910ZQ")</f>
        <v>59910ZQ</v>
      </c>
      <c r="B21837" s="3" t="s">
        <v>112</v>
      </c>
      <c r="C21837" s="6">
        <v>10912</v>
      </c>
      <c r="D21837" s="7">
        <v>14.89</v>
      </c>
    </row>
    <row r="21838" spans="1:5" x14ac:dyDescent="0.25">
      <c r="A21838" t="str">
        <f>HYPERLINK("https://www.773grp.com/globalSearch/59920ZQ-QS59920-5SOI/page-1", "59920ZQ-QS59920-5SOI")</f>
        <v>59920ZQ-QS59920-5SOI</v>
      </c>
      <c r="B21838" s="3" t="s">
        <v>112</v>
      </c>
      <c r="C21838" s="6">
        <v>651</v>
      </c>
      <c r="D21838" s="7">
        <v>14.89</v>
      </c>
    </row>
    <row r="21839" spans="1:5" x14ac:dyDescent="0.25">
      <c r="A21839" t="str">
        <f>HYPERLINK("https://www.773grp.com/globalSearch/QS74FCT2241CTSO/page-1", "QS74FCT2241CTSO")</f>
        <v>QS74FCT2241CTSO</v>
      </c>
      <c r="B21839" s="3" t="s">
        <v>112</v>
      </c>
      <c r="C21839" s="6">
        <v>621</v>
      </c>
      <c r="D21839" s="7">
        <v>15.23</v>
      </c>
      <c r="E21839" t="s">
        <v>11</v>
      </c>
    </row>
    <row r="21840" spans="1:5" x14ac:dyDescent="0.25">
      <c r="A21840" t="str">
        <f>HYPERLINK("https://www.773grp.com/globalSearch/QS29FCT521BTSO/page-1", "QS29FCT521BTSO")</f>
        <v>QS29FCT521BTSO</v>
      </c>
      <c r="B21840" s="3" t="s">
        <v>112</v>
      </c>
      <c r="C21840" s="6">
        <v>157</v>
      </c>
      <c r="D21840" s="7">
        <v>15.3</v>
      </c>
      <c r="E21840" t="s">
        <v>113</v>
      </c>
    </row>
    <row r="21841" spans="1:5" x14ac:dyDescent="0.25">
      <c r="A21841" t="str">
        <f>HYPERLINK("https://www.773grp.com/globalSearch/QS29FCT52ATZ/page-1", "QS29FCT52ATZ")</f>
        <v>QS29FCT52ATZ</v>
      </c>
      <c r="B21841" s="3" t="s">
        <v>112</v>
      </c>
      <c r="C21841" s="6">
        <v>1817</v>
      </c>
      <c r="D21841" s="7">
        <v>15.33</v>
      </c>
      <c r="E21841" t="s">
        <v>11</v>
      </c>
    </row>
    <row r="21842" spans="1:5" x14ac:dyDescent="0.25">
      <c r="A21842" t="str">
        <f>HYPERLINK("https://www.773grp.com/globalSearch/QS8888A-15V/page-1", "QS8888A-15V")</f>
        <v>QS8888A-15V</v>
      </c>
      <c r="B21842" s="3" t="s">
        <v>112</v>
      </c>
      <c r="C21842" s="6">
        <v>217</v>
      </c>
      <c r="D21842" s="7">
        <v>15.44</v>
      </c>
      <c r="E21842" t="s">
        <v>63</v>
      </c>
    </row>
    <row r="21843" spans="1:5" x14ac:dyDescent="0.25">
      <c r="A21843" t="str">
        <f>HYPERLINK("https://www.773grp.com/globalSearch/QS54FCT161CTSO/page-1", "QS54FCT161CTSO")</f>
        <v>QS54FCT161CTSO</v>
      </c>
      <c r="B21843" s="3" t="s">
        <v>112</v>
      </c>
      <c r="C21843" s="6">
        <v>526</v>
      </c>
      <c r="D21843" s="7">
        <v>15.48</v>
      </c>
    </row>
    <row r="21844" spans="1:5" x14ac:dyDescent="0.25">
      <c r="A21844" t="str">
        <f>HYPERLINK("https://www.773grp.com/globalSearch/QS74FCT2648ATS0/page-1", "QS74FCT2648ATS0")</f>
        <v>QS74FCT2648ATS0</v>
      </c>
      <c r="B21844" s="3" t="s">
        <v>112</v>
      </c>
      <c r="C21844" s="6">
        <v>505</v>
      </c>
      <c r="D21844" s="7">
        <v>15.61</v>
      </c>
    </row>
    <row r="21845" spans="1:5" x14ac:dyDescent="0.25">
      <c r="A21845" t="str">
        <f>HYPERLINK("https://www.773grp.com/globalSearch/QS54FCT2245CTSO/page-1", "QS54FCT2245CTSO")</f>
        <v>QS54FCT2245CTSO</v>
      </c>
      <c r="B21845" s="3" t="s">
        <v>112</v>
      </c>
      <c r="C21845" s="6">
        <v>1318</v>
      </c>
      <c r="D21845" s="7">
        <v>15.75</v>
      </c>
      <c r="E21845" t="s">
        <v>11</v>
      </c>
    </row>
    <row r="21846" spans="1:5" x14ac:dyDescent="0.25">
      <c r="A21846" t="str">
        <f>HYPERLINK("https://www.773grp.com/globalSearch/QS74FCT833BTS0X/page-1", "QS74FCT833BTS0X")</f>
        <v>QS74FCT833BTS0X</v>
      </c>
      <c r="B21846" s="3" t="s">
        <v>112</v>
      </c>
      <c r="C21846" s="6">
        <v>1000</v>
      </c>
      <c r="D21846" s="7">
        <v>15.78</v>
      </c>
    </row>
    <row r="21847" spans="1:5" x14ac:dyDescent="0.25">
      <c r="A21847" t="str">
        <f>HYPERLINK("https://www.773grp.com/globalSearch/QS74FCT853BTS0/page-1", "QS74FCT853BTS0")</f>
        <v>QS74FCT853BTS0</v>
      </c>
      <c r="B21847" s="3" t="s">
        <v>112</v>
      </c>
      <c r="C21847" s="6">
        <v>5</v>
      </c>
      <c r="D21847" s="7">
        <v>15.78</v>
      </c>
    </row>
    <row r="21848" spans="1:5" x14ac:dyDescent="0.25">
      <c r="A21848" t="str">
        <f>HYPERLINK("https://www.773grp.com/globalSearch/QS74FCT853BTSO/page-1", "QS74FCT853BTSO")</f>
        <v>QS74FCT853BTSO</v>
      </c>
      <c r="B21848" s="3" t="s">
        <v>112</v>
      </c>
      <c r="C21848" s="6">
        <v>289</v>
      </c>
      <c r="D21848" s="7">
        <v>15.78</v>
      </c>
      <c r="E21848" t="s">
        <v>11</v>
      </c>
    </row>
    <row r="21849" spans="1:5" x14ac:dyDescent="0.25">
      <c r="A21849" t="str">
        <f>HYPERLINK("https://www.773grp.com/globalSearch/QS74FCT2648ATSO/page-1", "QS74FCT2648ATSO")</f>
        <v>QS74FCT2648ATSO</v>
      </c>
      <c r="B21849" s="3" t="s">
        <v>112</v>
      </c>
      <c r="C21849" s="6">
        <v>2654</v>
      </c>
      <c r="D21849" s="7">
        <v>15.9</v>
      </c>
      <c r="E21849" t="s">
        <v>11</v>
      </c>
    </row>
    <row r="21850" spans="1:5" x14ac:dyDescent="0.25">
      <c r="A21850" t="str">
        <f>HYPERLINK("https://www.773grp.com/globalSearch/QS74FCT2648ATP/page-1", "QS74FCT2648ATP")</f>
        <v>QS74FCT2648ATP</v>
      </c>
      <c r="B21850" s="3" t="s">
        <v>112</v>
      </c>
      <c r="C21850" s="6">
        <v>474</v>
      </c>
      <c r="D21850" s="7">
        <v>15.91</v>
      </c>
      <c r="E21850" t="s">
        <v>11</v>
      </c>
    </row>
    <row r="21851" spans="1:5" x14ac:dyDescent="0.25">
      <c r="A21851" t="str">
        <f>HYPERLINK("https://www.773grp.com/globalSearch/QS74FCT2827CTSO/page-1", "QS74FCT2827CTSO")</f>
        <v>QS74FCT2827CTSO</v>
      </c>
      <c r="B21851" s="3" t="s">
        <v>112</v>
      </c>
      <c r="C21851" s="6">
        <v>631</v>
      </c>
      <c r="D21851" s="7">
        <v>15.91</v>
      </c>
      <c r="E21851" t="s">
        <v>11</v>
      </c>
    </row>
    <row r="21852" spans="1:5" x14ac:dyDescent="0.25">
      <c r="A21852" t="str">
        <f>HYPERLINK("https://www.773grp.com/globalSearch/QS74FCT827CTSO/page-1", "QS74FCT827CTSO")</f>
        <v>QS74FCT827CTSO</v>
      </c>
      <c r="B21852" s="3" t="s">
        <v>112</v>
      </c>
      <c r="C21852" s="6">
        <v>983</v>
      </c>
      <c r="D21852" s="7">
        <v>15.91</v>
      </c>
      <c r="E21852" t="s">
        <v>11</v>
      </c>
    </row>
    <row r="21853" spans="1:5" x14ac:dyDescent="0.25">
      <c r="A21853" t="str">
        <f>HYPERLINK("https://www.773grp.com/globalSearch/QS74FCT2827CTP/page-1", "QS74FCT2827CTP")</f>
        <v>QS74FCT2827CTP</v>
      </c>
      <c r="B21853" s="3" t="s">
        <v>112</v>
      </c>
      <c r="C21853" s="6">
        <v>70</v>
      </c>
      <c r="D21853" s="7">
        <v>15.98</v>
      </c>
      <c r="E21853" t="s">
        <v>11</v>
      </c>
    </row>
    <row r="21854" spans="1:5" x14ac:dyDescent="0.25">
      <c r="A21854" t="str">
        <f>HYPERLINK("https://www.773grp.com/globalSearch/QS7201-25V/page-1", "QS7201-25V")</f>
        <v>QS7201-25V</v>
      </c>
      <c r="B21854" s="3" t="s">
        <v>112</v>
      </c>
      <c r="C21854" s="6">
        <v>722</v>
      </c>
      <c r="D21854" s="7">
        <v>16.04</v>
      </c>
      <c r="E21854" t="s">
        <v>70</v>
      </c>
    </row>
    <row r="21855" spans="1:5" x14ac:dyDescent="0.25">
      <c r="A21855" t="str">
        <f>HYPERLINK("https://www.773grp.com/globalSearch/QS74FCT833BTSO/page-1", "QS74FCT833BTSO")</f>
        <v>QS74FCT833BTSO</v>
      </c>
      <c r="B21855" s="3" t="s">
        <v>112</v>
      </c>
      <c r="C21855" s="6">
        <v>290</v>
      </c>
      <c r="D21855" s="7">
        <v>16.04</v>
      </c>
      <c r="E21855" t="s">
        <v>11</v>
      </c>
    </row>
    <row r="21856" spans="1:5" x14ac:dyDescent="0.25">
      <c r="A21856" t="str">
        <f>HYPERLINK("https://www.773grp.com/globalSearch/QS74FCT833BTQ/page-1", "QS74FCT833BTQ")</f>
        <v>QS74FCT833BTQ</v>
      </c>
      <c r="B21856" s="3" t="s">
        <v>112</v>
      </c>
      <c r="C21856" s="6">
        <v>125</v>
      </c>
      <c r="D21856" s="7">
        <v>16.09</v>
      </c>
      <c r="E21856" t="s">
        <v>11</v>
      </c>
    </row>
    <row r="21857" spans="1:5" x14ac:dyDescent="0.25">
      <c r="A21857" t="str">
        <f>HYPERLINK("https://www.773grp.com/globalSearch/QS74FCT2245CTQ/page-1", "QS74FCT2245CTQ")</f>
        <v>QS74FCT2245CTQ</v>
      </c>
      <c r="B21857" s="3" t="s">
        <v>112</v>
      </c>
      <c r="C21857" s="6">
        <v>1482</v>
      </c>
      <c r="D21857" s="7">
        <v>16.11</v>
      </c>
      <c r="E21857" t="s">
        <v>11</v>
      </c>
    </row>
    <row r="21858" spans="1:5" x14ac:dyDescent="0.25">
      <c r="A21858" t="str">
        <f>HYPERLINK("https://www.773grp.com/globalSearch/QS74FCT2X374ATQI/page-1", "QS74FCT2X374ATQI")</f>
        <v>QS74FCT2X374ATQI</v>
      </c>
      <c r="B21858" s="3" t="s">
        <v>112</v>
      </c>
      <c r="C21858" s="6">
        <v>247</v>
      </c>
      <c r="D21858" s="7">
        <v>16.11</v>
      </c>
    </row>
    <row r="21859" spans="1:5" x14ac:dyDescent="0.25">
      <c r="A21859" t="str">
        <f>HYPERLINK("https://www.773grp.com/globalSearch/QS74FCT138DTQ/page-1", "QS74FCT138DTQ")</f>
        <v>QS74FCT138DTQ</v>
      </c>
      <c r="B21859" s="3" t="s">
        <v>112</v>
      </c>
      <c r="C21859" s="6">
        <v>135</v>
      </c>
      <c r="D21859" s="7">
        <v>16.2</v>
      </c>
      <c r="E21859" t="s">
        <v>32</v>
      </c>
    </row>
    <row r="21860" spans="1:5" x14ac:dyDescent="0.25">
      <c r="A21860" t="str">
        <f>HYPERLINK("https://www.773grp.com/globalSearch/QS74FCT158CTQ/page-1", "QS74FCT158CTQ")</f>
        <v>QS74FCT158CTQ</v>
      </c>
      <c r="B21860" s="3" t="s">
        <v>112</v>
      </c>
      <c r="C21860" s="6">
        <v>3098</v>
      </c>
      <c r="D21860" s="7">
        <v>16.239999999999998</v>
      </c>
      <c r="E21860" t="s">
        <v>16</v>
      </c>
    </row>
    <row r="21861" spans="1:5" x14ac:dyDescent="0.25">
      <c r="A21861" t="str">
        <f>HYPERLINK("https://www.773grp.com/globalSearch/QS29FCT521CTQ/page-1", "QS29FCT521CTQ")</f>
        <v>QS29FCT521CTQ</v>
      </c>
      <c r="B21861" s="3" t="s">
        <v>112</v>
      </c>
      <c r="C21861" s="6">
        <v>408</v>
      </c>
      <c r="D21861" s="7">
        <v>16.25</v>
      </c>
      <c r="E21861" t="s">
        <v>113</v>
      </c>
    </row>
    <row r="21862" spans="1:5" x14ac:dyDescent="0.25">
      <c r="A21862" t="str">
        <f>HYPERLINK("https://www.773grp.com/globalSearch/QS52806ATQ/page-1", "QS52806ATQ")</f>
        <v>QS52806ATQ</v>
      </c>
      <c r="B21862" s="3" t="s">
        <v>112</v>
      </c>
      <c r="C21862" s="6">
        <v>1946</v>
      </c>
      <c r="D21862" s="7">
        <v>16.25</v>
      </c>
      <c r="E21862" t="s">
        <v>30</v>
      </c>
    </row>
    <row r="21863" spans="1:5" x14ac:dyDescent="0.25">
      <c r="A21863" t="str">
        <f>HYPERLINK("https://www.773grp.com/globalSearch/QS7201-20JR/page-1", "QS7201-20JR")</f>
        <v>QS7201-20JR</v>
      </c>
      <c r="B21863" s="3" t="s">
        <v>112</v>
      </c>
      <c r="C21863" s="6">
        <v>15870</v>
      </c>
      <c r="D21863" s="7">
        <v>16.25</v>
      </c>
      <c r="E21863" t="s">
        <v>70</v>
      </c>
    </row>
    <row r="21864" spans="1:5" x14ac:dyDescent="0.25">
      <c r="A21864" t="str">
        <f>HYPERLINK("https://www.773grp.com/globalSearch/QS7201-20Q/page-1", "QS7201-20Q")</f>
        <v>QS7201-20Q</v>
      </c>
      <c r="B21864" s="3" t="s">
        <v>112</v>
      </c>
      <c r="C21864" s="6">
        <v>1500</v>
      </c>
      <c r="D21864" s="7">
        <v>16.25</v>
      </c>
      <c r="E21864" t="s">
        <v>70</v>
      </c>
    </row>
    <row r="21865" spans="1:5" x14ac:dyDescent="0.25">
      <c r="A21865" t="str">
        <f>HYPERLINK("https://www.773grp.com/globalSearch/QS74FCT543TZ/page-1", "QS74FCT543TZ")</f>
        <v>QS74FCT543TZ</v>
      </c>
      <c r="B21865" s="3" t="s">
        <v>112</v>
      </c>
      <c r="C21865" s="6">
        <v>812</v>
      </c>
      <c r="D21865" s="7">
        <v>16.63</v>
      </c>
      <c r="E21865" t="s">
        <v>11</v>
      </c>
    </row>
    <row r="21866" spans="1:5" x14ac:dyDescent="0.25">
      <c r="A21866" t="str">
        <f>HYPERLINK("https://www.773grp.com/globalSearch/QS74FCT377CTZ-03/page-1", "QS74FCT377CTZ-03")</f>
        <v>QS74FCT377CTZ-03</v>
      </c>
      <c r="B21866" s="3" t="s">
        <v>112</v>
      </c>
      <c r="C21866" s="6">
        <v>395</v>
      </c>
      <c r="D21866" s="7">
        <v>16.68</v>
      </c>
    </row>
    <row r="21867" spans="1:5" x14ac:dyDescent="0.25">
      <c r="A21867" t="str">
        <f>HYPERLINK("https://www.773grp.com/globalSearch/QS74FCT534ATZ/page-1", "QS74FCT534ATZ")</f>
        <v>QS74FCT534ATZ</v>
      </c>
      <c r="B21867" s="3" t="s">
        <v>112</v>
      </c>
      <c r="C21867" s="6">
        <v>3298</v>
      </c>
      <c r="D21867" s="7">
        <v>16.739999999999998</v>
      </c>
      <c r="E21867" t="s">
        <v>11</v>
      </c>
    </row>
    <row r="21868" spans="1:5" x14ac:dyDescent="0.25">
      <c r="A21868" t="str">
        <f>HYPERLINK("https://www.773grp.com/globalSearch/QS74FCT843CTSO/page-1", "QS74FCT843CTSO")</f>
        <v>QS74FCT843CTSO</v>
      </c>
      <c r="B21868" s="3" t="s">
        <v>112</v>
      </c>
      <c r="C21868" s="6">
        <v>4014</v>
      </c>
      <c r="D21868" s="7">
        <v>16.91</v>
      </c>
      <c r="E21868" t="s">
        <v>11</v>
      </c>
    </row>
    <row r="21869" spans="1:5" x14ac:dyDescent="0.25">
      <c r="A21869" t="str">
        <f>HYPERLINK("https://www.773grp.com/globalSearch/QS7202-25JR/page-1", "QS7202-25JR")</f>
        <v>QS7202-25JR</v>
      </c>
      <c r="B21869" s="3" t="s">
        <v>112</v>
      </c>
      <c r="C21869" s="6">
        <v>2359</v>
      </c>
      <c r="D21869" s="7">
        <v>16.989999999999998</v>
      </c>
      <c r="E21869" t="s">
        <v>70</v>
      </c>
    </row>
    <row r="21870" spans="1:5" x14ac:dyDescent="0.25">
      <c r="A21870" t="str">
        <f>HYPERLINK("https://www.773grp.com/globalSearch/QS74FCT827CTZ/page-1", "QS74FCT827CTZ")</f>
        <v>QS74FCT827CTZ</v>
      </c>
      <c r="B21870" s="3" t="s">
        <v>112</v>
      </c>
      <c r="C21870" s="6">
        <v>252</v>
      </c>
      <c r="D21870" s="7">
        <v>17.59</v>
      </c>
      <c r="E21870" t="s">
        <v>11</v>
      </c>
    </row>
    <row r="21871" spans="1:5" x14ac:dyDescent="0.25">
      <c r="A21871" t="str">
        <f>HYPERLINK("https://www.773grp.com/globalSearch/QS8888-15P/page-1", "QS8888-15P")</f>
        <v>QS8888-15P</v>
      </c>
      <c r="B21871" s="3" t="s">
        <v>112</v>
      </c>
      <c r="C21871" s="6">
        <v>57</v>
      </c>
      <c r="D21871" s="7">
        <v>17.64</v>
      </c>
      <c r="E21871" t="s">
        <v>63</v>
      </c>
    </row>
    <row r="21872" spans="1:5" x14ac:dyDescent="0.25">
      <c r="A21872" t="str">
        <f>HYPERLINK("https://www.773grp.com/globalSearch/QS7201-15JR/page-1", "QS7201-15JR")</f>
        <v>QS7201-15JR</v>
      </c>
      <c r="B21872" s="3" t="s">
        <v>112</v>
      </c>
      <c r="C21872" s="6">
        <v>2018</v>
      </c>
      <c r="D21872" s="7">
        <v>17.690000000000001</v>
      </c>
      <c r="E21872" t="s">
        <v>70</v>
      </c>
    </row>
    <row r="21873" spans="1:5" x14ac:dyDescent="0.25">
      <c r="A21873" t="str">
        <f>HYPERLINK("https://www.773grp.com/globalSearch/QS7201-15JRX/page-1", "QS7201-15JRX")</f>
        <v>QS7201-15JRX</v>
      </c>
      <c r="B21873" s="3" t="s">
        <v>112</v>
      </c>
      <c r="C21873" s="6">
        <v>7500</v>
      </c>
      <c r="D21873" s="7">
        <v>17.690000000000001</v>
      </c>
    </row>
    <row r="21874" spans="1:5" x14ac:dyDescent="0.25">
      <c r="A21874" t="str">
        <f>HYPERLINK("https://www.773grp.com/globalSearch/QS7201-15Q/page-1", "QS7201-15Q")</f>
        <v>QS7201-15Q</v>
      </c>
      <c r="B21874" s="3" t="s">
        <v>112</v>
      </c>
      <c r="C21874" s="6">
        <v>1205</v>
      </c>
      <c r="D21874" s="7">
        <v>17.690000000000001</v>
      </c>
      <c r="E21874" t="s">
        <v>70</v>
      </c>
    </row>
    <row r="21875" spans="1:5" x14ac:dyDescent="0.25">
      <c r="A21875" t="str">
        <f>HYPERLINK("https://www.773grp.com/globalSearch/QS7201-20P/page-1", "QS7201-20P")</f>
        <v>QS7201-20P</v>
      </c>
      <c r="B21875" s="3" t="s">
        <v>112</v>
      </c>
      <c r="C21875" s="6">
        <v>3664</v>
      </c>
      <c r="D21875" s="7">
        <v>17.940000000000001</v>
      </c>
      <c r="E21875" t="s">
        <v>70</v>
      </c>
    </row>
    <row r="21876" spans="1:5" x14ac:dyDescent="0.25">
      <c r="A21876" t="str">
        <f>HYPERLINK("https://www.773grp.com/globalSearch/QS7201-20V/page-1", "QS7201-20V")</f>
        <v>QS7201-20V</v>
      </c>
      <c r="B21876" s="3" t="s">
        <v>112</v>
      </c>
      <c r="C21876" s="6">
        <v>336</v>
      </c>
      <c r="D21876" s="7">
        <v>17.940000000000001</v>
      </c>
      <c r="E21876" t="s">
        <v>70</v>
      </c>
    </row>
    <row r="21877" spans="1:5" x14ac:dyDescent="0.25">
      <c r="A21877" t="str">
        <f>HYPERLINK("https://www.773grp.com/globalSearch/QS7201-2OP/page-1", "QS7201-2OP")</f>
        <v>QS7201-2OP</v>
      </c>
      <c r="B21877" s="3" t="s">
        <v>112</v>
      </c>
      <c r="C21877" s="6">
        <v>1174</v>
      </c>
      <c r="D21877" s="7">
        <v>17.940000000000001</v>
      </c>
    </row>
    <row r="21878" spans="1:5" x14ac:dyDescent="0.25">
      <c r="A21878" t="str">
        <f>HYPERLINK("https://www.773grp.com/globalSearch/QS74FCT573CTZ/page-1", "QS74FCT573CTZ")</f>
        <v>QS74FCT573CTZ</v>
      </c>
      <c r="B21878" s="3" t="s">
        <v>112</v>
      </c>
      <c r="C21878" s="6">
        <v>208</v>
      </c>
      <c r="D21878" s="7">
        <v>18</v>
      </c>
      <c r="E21878" t="s">
        <v>11</v>
      </c>
    </row>
    <row r="21879" spans="1:5" x14ac:dyDescent="0.25">
      <c r="A21879" t="str">
        <f>HYPERLINK("https://www.773grp.com/globalSearch/QS29FCT520CTS0X/page-1", "QS29FCT520CTS0X")</f>
        <v>QS29FCT520CTS0X</v>
      </c>
      <c r="B21879" s="3" t="s">
        <v>112</v>
      </c>
      <c r="C21879" s="6">
        <v>7000</v>
      </c>
      <c r="D21879" s="7">
        <v>18.059999999999999</v>
      </c>
    </row>
    <row r="21880" spans="1:5" x14ac:dyDescent="0.25">
      <c r="A21880" t="str">
        <f>HYPERLINK("https://www.773grp.com/globalSearch/QS29FCT520CTSOX/page-1", "QS29FCT520CTSOX")</f>
        <v>QS29FCT520CTSOX</v>
      </c>
      <c r="B21880" s="3" t="s">
        <v>112</v>
      </c>
      <c r="C21880" s="6">
        <v>3992</v>
      </c>
      <c r="D21880" s="7">
        <v>18.059999999999999</v>
      </c>
    </row>
    <row r="21881" spans="1:5" x14ac:dyDescent="0.25">
      <c r="A21881" t="str">
        <f>HYPERLINK("https://www.773grp.com/globalSearch/QS74FCT2821CTP/page-1", "QS74FCT2821CTP")</f>
        <v>QS74FCT2821CTP</v>
      </c>
      <c r="B21881" s="3" t="s">
        <v>112</v>
      </c>
      <c r="C21881" s="6">
        <v>202</v>
      </c>
      <c r="D21881" s="7">
        <v>18.059999999999999</v>
      </c>
      <c r="E21881" t="s">
        <v>11</v>
      </c>
    </row>
    <row r="21882" spans="1:5" x14ac:dyDescent="0.25">
      <c r="A21882" t="str">
        <f>HYPERLINK("https://www.773grp.com/globalSearch/QS74FCT2823CTP/page-1", "QS74FCT2823CTP")</f>
        <v>QS74FCT2823CTP</v>
      </c>
      <c r="B21882" s="3" t="s">
        <v>112</v>
      </c>
      <c r="C21882" s="6">
        <v>809</v>
      </c>
      <c r="D21882" s="7">
        <v>18.059999999999999</v>
      </c>
      <c r="E21882" t="s">
        <v>11</v>
      </c>
    </row>
    <row r="21883" spans="1:5" x14ac:dyDescent="0.25">
      <c r="A21883" t="str">
        <f>HYPERLINK("https://www.773grp.com/globalSearch/QS5920PA/page-1", "QS5920PA")</f>
        <v>QS5920PA</v>
      </c>
      <c r="B21883" s="3" t="s">
        <v>112</v>
      </c>
      <c r="C21883" s="6">
        <v>6655</v>
      </c>
      <c r="D21883" s="7">
        <v>18.11</v>
      </c>
      <c r="E21883" t="s">
        <v>30</v>
      </c>
    </row>
    <row r="21884" spans="1:5" x14ac:dyDescent="0.25">
      <c r="A21884" t="str">
        <f>HYPERLINK("https://www.773grp.com/globalSearch/QS5920Q/page-1", "QS5920Q")</f>
        <v>QS5920Q</v>
      </c>
      <c r="B21884" s="3" t="s">
        <v>112</v>
      </c>
      <c r="C21884" s="6">
        <v>4976</v>
      </c>
      <c r="D21884" s="7">
        <v>18.11</v>
      </c>
      <c r="E21884" t="s">
        <v>30</v>
      </c>
    </row>
    <row r="21885" spans="1:5" x14ac:dyDescent="0.25">
      <c r="A21885" t="str">
        <f>HYPERLINK("https://www.773grp.com/globalSearch/QS74FCT2521CTSO/page-1", "QS74FCT2521CTSO")</f>
        <v>QS74FCT2521CTSO</v>
      </c>
      <c r="B21885" s="3" t="s">
        <v>112</v>
      </c>
      <c r="C21885" s="6">
        <v>473</v>
      </c>
      <c r="D21885" s="7">
        <v>18.28</v>
      </c>
      <c r="E21885" t="s">
        <v>38</v>
      </c>
    </row>
    <row r="21886" spans="1:5" x14ac:dyDescent="0.25">
      <c r="A21886" t="str">
        <f>HYPERLINK("https://www.773grp.com/globalSearch/QS7202-20JR/page-1", "QS7202-20JR")</f>
        <v>QS7202-20JR</v>
      </c>
      <c r="B21886" s="3" t="s">
        <v>112</v>
      </c>
      <c r="C21886" s="6">
        <v>1497</v>
      </c>
      <c r="D21886" s="7">
        <v>18.43</v>
      </c>
      <c r="E21886" t="s">
        <v>70</v>
      </c>
    </row>
    <row r="21887" spans="1:5" x14ac:dyDescent="0.25">
      <c r="A21887" t="str">
        <f>HYPERLINK("https://www.773grp.com/globalSearch/QS74FCT521CTZ/page-1", "QS74FCT521CTZ")</f>
        <v>QS74FCT521CTZ</v>
      </c>
      <c r="B21887" s="3" t="s">
        <v>112</v>
      </c>
      <c r="C21887" s="6">
        <v>160</v>
      </c>
      <c r="D21887" s="7">
        <v>18.43</v>
      </c>
      <c r="E21887" t="s">
        <v>38</v>
      </c>
    </row>
    <row r="21888" spans="1:5" x14ac:dyDescent="0.25">
      <c r="A21888" t="str">
        <f>HYPERLINK("https://www.773grp.com/globalSearch/QS74FCT521DTQ/page-1", "QS74FCT521DTQ")</f>
        <v>QS74FCT521DTQ</v>
      </c>
      <c r="B21888" s="3" t="s">
        <v>112</v>
      </c>
      <c r="C21888" s="6">
        <v>4528</v>
      </c>
      <c r="D21888" s="7">
        <v>18.43</v>
      </c>
      <c r="E21888" t="s">
        <v>38</v>
      </c>
    </row>
    <row r="21889" spans="1:5" x14ac:dyDescent="0.25">
      <c r="A21889" t="str">
        <f>HYPERLINK("https://www.773grp.com/globalSearch/QS74FCT521DTS0/page-1", "QS74FCT521DTS0")</f>
        <v>QS74FCT521DTS0</v>
      </c>
      <c r="B21889" s="3" t="s">
        <v>112</v>
      </c>
      <c r="C21889" s="6">
        <v>3552</v>
      </c>
      <c r="D21889" s="7">
        <v>18.43</v>
      </c>
    </row>
    <row r="21890" spans="1:5" x14ac:dyDescent="0.25">
      <c r="A21890" t="str">
        <f>HYPERLINK("https://www.773grp.com/globalSearch/QS74FCT521DTSO/page-1", "QS74FCT521DTSO")</f>
        <v>QS74FCT521DTSO</v>
      </c>
      <c r="B21890" s="3" t="s">
        <v>112</v>
      </c>
      <c r="C21890" s="6">
        <v>4479</v>
      </c>
      <c r="D21890" s="7">
        <v>18.43</v>
      </c>
      <c r="E21890" t="s">
        <v>38</v>
      </c>
    </row>
    <row r="21891" spans="1:5" x14ac:dyDescent="0.25">
      <c r="A21891" t="str">
        <f>HYPERLINK("https://www.773grp.com/globalSearch/QS74FCT823CTZ/page-1", "QS74FCT823CTZ")</f>
        <v>QS74FCT823CTZ</v>
      </c>
      <c r="B21891" s="3" t="s">
        <v>112</v>
      </c>
      <c r="C21891" s="6">
        <v>388</v>
      </c>
      <c r="D21891" s="7">
        <v>18.649999999999999</v>
      </c>
      <c r="E21891" t="s">
        <v>11</v>
      </c>
    </row>
    <row r="21892" spans="1:5" x14ac:dyDescent="0.25">
      <c r="A21892" t="str">
        <f>HYPERLINK("https://www.773grp.com/globalSearch/QS74FCT825CTZ/page-1", "QS74FCT825CTZ")</f>
        <v>QS74FCT825CTZ</v>
      </c>
      <c r="B21892" s="3" t="s">
        <v>112</v>
      </c>
      <c r="C21892" s="6">
        <v>275</v>
      </c>
      <c r="D21892" s="7">
        <v>18.649999999999999</v>
      </c>
      <c r="E21892" t="s">
        <v>11</v>
      </c>
    </row>
    <row r="21893" spans="1:5" x14ac:dyDescent="0.25">
      <c r="A21893" t="str">
        <f>HYPERLINK("https://www.773grp.com/globalSearch/QS74FCT651CTS0/page-1", "QS74FCT651CTS0")</f>
        <v>QS74FCT651CTS0</v>
      </c>
      <c r="B21893" s="3" t="s">
        <v>112</v>
      </c>
      <c r="C21893" s="6">
        <v>108</v>
      </c>
      <c r="D21893" s="7">
        <v>18.760000000000002</v>
      </c>
    </row>
    <row r="21894" spans="1:5" x14ac:dyDescent="0.25">
      <c r="A21894" t="str">
        <f>HYPERLINK("https://www.773grp.com/globalSearch/QS54FCT2240ATHB/page-1", "QS54FCT2240ATHB")</f>
        <v>QS54FCT2240ATHB</v>
      </c>
      <c r="B21894" s="3" t="s">
        <v>112</v>
      </c>
      <c r="C21894" s="6">
        <v>587</v>
      </c>
      <c r="D21894" s="7">
        <v>19.100000000000001</v>
      </c>
      <c r="E21894" t="s">
        <v>11</v>
      </c>
    </row>
    <row r="21895" spans="1:5" x14ac:dyDescent="0.25">
      <c r="A21895" t="str">
        <f>HYPERLINK("https://www.773grp.com/globalSearch/QS54FCT2374ATHB/page-1", "QS54FCT2374ATHB")</f>
        <v>QS54FCT2374ATHB</v>
      </c>
      <c r="B21895" s="3" t="s">
        <v>112</v>
      </c>
      <c r="C21895" s="6">
        <v>838</v>
      </c>
      <c r="D21895" s="7">
        <v>19.100000000000001</v>
      </c>
      <c r="E21895" t="s">
        <v>11</v>
      </c>
    </row>
    <row r="21896" spans="1:5" x14ac:dyDescent="0.25">
      <c r="A21896" t="str">
        <f>HYPERLINK("https://www.773grp.com/globalSearch/QS54FCT240ATHB/page-1", "QS54FCT240ATHB")</f>
        <v>QS54FCT240ATHB</v>
      </c>
      <c r="B21896" s="3" t="s">
        <v>112</v>
      </c>
      <c r="C21896" s="6">
        <v>4354</v>
      </c>
      <c r="D21896" s="7">
        <v>19.100000000000001</v>
      </c>
      <c r="E21896" t="s">
        <v>11</v>
      </c>
    </row>
    <row r="21897" spans="1:5" x14ac:dyDescent="0.25">
      <c r="A21897" t="str">
        <f>HYPERLINK("https://www.773grp.com/globalSearch/QS54FCT245ATHB/page-1", "QS54FCT245ATHB")</f>
        <v>QS54FCT245ATHB</v>
      </c>
      <c r="B21897" s="3" t="s">
        <v>112</v>
      </c>
      <c r="C21897" s="6">
        <v>1915</v>
      </c>
      <c r="D21897" s="7">
        <v>19.100000000000001</v>
      </c>
      <c r="E21897" t="s">
        <v>11</v>
      </c>
    </row>
    <row r="21898" spans="1:5" x14ac:dyDescent="0.25">
      <c r="A21898" t="str">
        <f>HYPERLINK("https://www.773grp.com/globalSearch/QS54FCT2573ATHB/page-1", "QS54FCT2573ATHB")</f>
        <v>QS54FCT2573ATHB</v>
      </c>
      <c r="B21898" s="3" t="s">
        <v>112</v>
      </c>
      <c r="C21898" s="6">
        <v>1339</v>
      </c>
      <c r="D21898" s="7">
        <v>19.100000000000001</v>
      </c>
      <c r="E21898" t="s">
        <v>11</v>
      </c>
    </row>
    <row r="21899" spans="1:5" x14ac:dyDescent="0.25">
      <c r="A21899" t="str">
        <f>HYPERLINK("https://www.773grp.com/globalSearch/QS54FCT2574ATHB/page-1", "QS54FCT2574ATHB")</f>
        <v>QS54FCT2574ATHB</v>
      </c>
      <c r="B21899" s="3" t="s">
        <v>112</v>
      </c>
      <c r="C21899" s="6">
        <v>432</v>
      </c>
      <c r="D21899" s="7">
        <v>19.100000000000001</v>
      </c>
      <c r="E21899" t="s">
        <v>11</v>
      </c>
    </row>
    <row r="21900" spans="1:5" x14ac:dyDescent="0.25">
      <c r="A21900" t="str">
        <f>HYPERLINK("https://www.773grp.com/globalSearch/QS54FCT374ATHB/page-1", "QS54FCT374ATHB")</f>
        <v>QS54FCT374ATHB</v>
      </c>
      <c r="B21900" s="3" t="s">
        <v>112</v>
      </c>
      <c r="C21900" s="6">
        <v>582</v>
      </c>
      <c r="D21900" s="7">
        <v>19.100000000000001</v>
      </c>
      <c r="E21900" t="s">
        <v>11</v>
      </c>
    </row>
    <row r="21901" spans="1:5" x14ac:dyDescent="0.25">
      <c r="A21901" t="str">
        <f>HYPERLINK("https://www.773grp.com/globalSearch/QS7201-12JR/page-1", "QS7201-12JR")</f>
        <v>QS7201-12JR</v>
      </c>
      <c r="B21901" s="3" t="s">
        <v>112</v>
      </c>
      <c r="C21901" s="6">
        <v>718</v>
      </c>
      <c r="D21901" s="7">
        <v>19.13</v>
      </c>
      <c r="E21901" t="s">
        <v>70</v>
      </c>
    </row>
    <row r="21902" spans="1:5" x14ac:dyDescent="0.25">
      <c r="A21902" t="str">
        <f>HYPERLINK("https://www.773grp.com/globalSearch/QS54FCT573ATHB/page-1", "QS54FCT573ATHB")</f>
        <v>QS54FCT573ATHB</v>
      </c>
      <c r="B21902" s="3" t="s">
        <v>112</v>
      </c>
      <c r="C21902" s="6">
        <v>3</v>
      </c>
      <c r="D21902" s="7">
        <v>19.239999999999998</v>
      </c>
      <c r="E21902" t="s">
        <v>11</v>
      </c>
    </row>
    <row r="21903" spans="1:5" x14ac:dyDescent="0.25">
      <c r="A21903" t="str">
        <f>HYPERLINK("https://www.773grp.com/globalSearch/QS7202-20P/page-1", "QS7202-20P")</f>
        <v>QS7202-20P</v>
      </c>
      <c r="B21903" s="3" t="s">
        <v>112</v>
      </c>
      <c r="C21903" s="6">
        <v>1174</v>
      </c>
      <c r="D21903" s="7">
        <v>19.46</v>
      </c>
      <c r="E21903" t="s">
        <v>70</v>
      </c>
    </row>
    <row r="21904" spans="1:5" x14ac:dyDescent="0.25">
      <c r="A21904" t="str">
        <f>HYPERLINK("https://www.773grp.com/globalSearch/QS32384Z/page-1", "QS32384Z")</f>
        <v>QS32384Z</v>
      </c>
      <c r="B21904" s="3" t="s">
        <v>112</v>
      </c>
      <c r="C21904" s="6">
        <v>210</v>
      </c>
      <c r="D21904" s="7">
        <v>19.63</v>
      </c>
      <c r="E21904" t="s">
        <v>11</v>
      </c>
    </row>
    <row r="21905" spans="1:5" x14ac:dyDescent="0.25">
      <c r="A21905" t="str">
        <f>HYPERLINK("https://www.773grp.com/globalSearch/QS74FCT2374CTZ/page-1", "QS74FCT2374CTZ")</f>
        <v>QS74FCT2374CTZ</v>
      </c>
      <c r="B21905" s="3" t="s">
        <v>112</v>
      </c>
      <c r="C21905" s="6">
        <v>518</v>
      </c>
      <c r="D21905" s="7">
        <v>19.8</v>
      </c>
      <c r="E21905" t="s">
        <v>11</v>
      </c>
    </row>
    <row r="21906" spans="1:5" x14ac:dyDescent="0.25">
      <c r="A21906" t="str">
        <f>HYPERLINK("https://www.773grp.com/globalSearch/QS7202-15JR/page-1", "QS7202-15JR")</f>
        <v>QS7202-15JR</v>
      </c>
      <c r="B21906" s="3" t="s">
        <v>112</v>
      </c>
      <c r="C21906" s="6">
        <v>2754</v>
      </c>
      <c r="D21906" s="7">
        <v>19.86</v>
      </c>
      <c r="E21906" t="s">
        <v>70</v>
      </c>
    </row>
    <row r="21907" spans="1:5" x14ac:dyDescent="0.25">
      <c r="A21907" t="str">
        <f>HYPERLINK("https://www.773grp.com/globalSearch/QS74FCT373CTZ/page-1", "QS74FCT373CTZ")</f>
        <v>QS74FCT373CTZ</v>
      </c>
      <c r="B21907" s="3" t="s">
        <v>112</v>
      </c>
      <c r="C21907" s="6">
        <v>121</v>
      </c>
      <c r="D21907" s="7">
        <v>20.2</v>
      </c>
      <c r="E21907" t="s">
        <v>11</v>
      </c>
    </row>
    <row r="21908" spans="1:5" x14ac:dyDescent="0.25">
      <c r="A21908" t="str">
        <f>HYPERLINK("https://www.773grp.com/globalSearch/QS74FCT377CTZ/page-1", "QS74FCT377CTZ")</f>
        <v>QS74FCT377CTZ</v>
      </c>
      <c r="B21908" s="3" t="s">
        <v>112</v>
      </c>
      <c r="C21908" s="6">
        <v>2389</v>
      </c>
      <c r="D21908" s="7">
        <v>20.2</v>
      </c>
      <c r="E21908" t="s">
        <v>31</v>
      </c>
    </row>
    <row r="21909" spans="1:5" x14ac:dyDescent="0.25">
      <c r="A21909" t="str">
        <f>HYPERLINK("https://www.773grp.com/globalSearch/QS74FCT2823CTZ/page-1", "QS74FCT2823CTZ")</f>
        <v>QS74FCT2823CTZ</v>
      </c>
      <c r="B21909" s="3" t="s">
        <v>112</v>
      </c>
      <c r="C21909" s="6">
        <v>130</v>
      </c>
      <c r="D21909" s="7">
        <v>20.54</v>
      </c>
      <c r="E21909" t="s">
        <v>11</v>
      </c>
    </row>
    <row r="21910" spans="1:5" x14ac:dyDescent="0.25">
      <c r="A21910" t="str">
        <f>HYPERLINK("https://www.773grp.com/globalSearch/QS74FCT2841CTZ/page-1", "QS74FCT2841CTZ")</f>
        <v>QS74FCT2841CTZ</v>
      </c>
      <c r="B21910" s="3" t="s">
        <v>112</v>
      </c>
      <c r="C21910" s="6">
        <v>413</v>
      </c>
      <c r="D21910" s="7">
        <v>20.54</v>
      </c>
      <c r="E21910" t="s">
        <v>11</v>
      </c>
    </row>
    <row r="21911" spans="1:5" x14ac:dyDescent="0.25">
      <c r="A21911" t="str">
        <f>HYPERLINK("https://www.773grp.com/globalSearch/QS74FCT2843CTZ/page-1", "QS74FCT2843CTZ")</f>
        <v>QS74FCT2843CTZ</v>
      </c>
      <c r="B21911" s="3" t="s">
        <v>112</v>
      </c>
      <c r="C21911" s="6">
        <v>383</v>
      </c>
      <c r="D21911" s="7">
        <v>20.54</v>
      </c>
      <c r="E21911" t="s">
        <v>11</v>
      </c>
    </row>
    <row r="21912" spans="1:5" x14ac:dyDescent="0.25">
      <c r="A21912" t="str">
        <f>HYPERLINK("https://www.773grp.com/globalSearch/QS74FCT2251CTSO/page-1", "QS74FCT2251CTSO")</f>
        <v>QS74FCT2251CTSO</v>
      </c>
      <c r="B21912" s="3" t="s">
        <v>112</v>
      </c>
      <c r="C21912" s="6">
        <v>468</v>
      </c>
      <c r="D21912" s="7">
        <v>20.79</v>
      </c>
      <c r="E21912" t="s">
        <v>16</v>
      </c>
    </row>
    <row r="21913" spans="1:5" x14ac:dyDescent="0.25">
      <c r="A21913" t="str">
        <f>HYPERLINK("https://www.773grp.com/globalSearch/QS7201-12V/page-1", "QS7201-12V")</f>
        <v>QS7201-12V</v>
      </c>
      <c r="B21913" s="3" t="s">
        <v>112</v>
      </c>
      <c r="C21913" s="6">
        <v>330</v>
      </c>
      <c r="D21913" s="7">
        <v>20.81</v>
      </c>
      <c r="E21913" t="s">
        <v>70</v>
      </c>
    </row>
    <row r="21914" spans="1:5" x14ac:dyDescent="0.25">
      <c r="A21914" t="str">
        <f>HYPERLINK("https://www.773grp.com/globalSearch/QS7203-50V/page-1", "QS7203-50V")</f>
        <v>QS7203-50V</v>
      </c>
      <c r="B21914" s="3" t="s">
        <v>112</v>
      </c>
      <c r="C21914" s="6">
        <v>2352</v>
      </c>
      <c r="D21914" s="7">
        <v>20.81</v>
      </c>
      <c r="E21914" t="s">
        <v>70</v>
      </c>
    </row>
    <row r="21915" spans="1:5" x14ac:dyDescent="0.25">
      <c r="A21915" t="str">
        <f>HYPERLINK("https://www.773grp.com/globalSearch/QS7203-35P/page-1", "QS7203-35P")</f>
        <v>QS7203-35P</v>
      </c>
      <c r="B21915" s="3" t="s">
        <v>112</v>
      </c>
      <c r="C21915" s="6">
        <v>368</v>
      </c>
      <c r="D21915" s="7">
        <v>20.96</v>
      </c>
      <c r="E21915" t="s">
        <v>70</v>
      </c>
    </row>
    <row r="21916" spans="1:5" x14ac:dyDescent="0.25">
      <c r="A21916" t="str">
        <f>HYPERLINK("https://www.773grp.com/globalSearch/QS54FCT138ATHB/page-1", "QS54FCT138ATHB")</f>
        <v>QS54FCT138ATHB</v>
      </c>
      <c r="B21916" s="3" t="s">
        <v>112</v>
      </c>
      <c r="C21916" s="6">
        <v>64</v>
      </c>
      <c r="D21916" s="7">
        <v>21.06</v>
      </c>
      <c r="E21916" t="s">
        <v>32</v>
      </c>
    </row>
    <row r="21917" spans="1:5" x14ac:dyDescent="0.25">
      <c r="A21917" t="str">
        <f>HYPERLINK("https://www.773grp.com/globalSearch/QS54FCT151ATHB/page-1", "QS54FCT151ATHB")</f>
        <v>QS54FCT151ATHB</v>
      </c>
      <c r="B21917" s="3" t="s">
        <v>112</v>
      </c>
      <c r="C21917" s="6">
        <v>20</v>
      </c>
      <c r="D21917" s="7">
        <v>21.06</v>
      </c>
      <c r="E21917" t="s">
        <v>16</v>
      </c>
    </row>
    <row r="21918" spans="1:5" x14ac:dyDescent="0.25">
      <c r="A21918" t="str">
        <f>HYPERLINK("https://www.773grp.com/globalSearch/QS74FCT2374DTS0/page-1", "QS74FCT2374DTS0")</f>
        <v>QS74FCT2374DTS0</v>
      </c>
      <c r="B21918" s="3" t="s">
        <v>112</v>
      </c>
      <c r="C21918" s="6">
        <v>816</v>
      </c>
      <c r="D21918" s="7">
        <v>21.23</v>
      </c>
    </row>
    <row r="21919" spans="1:5" x14ac:dyDescent="0.25">
      <c r="A21919" t="str">
        <f>HYPERLINK("https://www.773grp.com/globalSearch/QS74FCT2373DTQ/page-1", "QS74FCT2373DTQ")</f>
        <v>QS74FCT2373DTQ</v>
      </c>
      <c r="B21919" s="3" t="s">
        <v>112</v>
      </c>
      <c r="C21919" s="6">
        <v>236</v>
      </c>
      <c r="D21919" s="7">
        <v>21.26</v>
      </c>
      <c r="E21919" t="s">
        <v>11</v>
      </c>
    </row>
    <row r="21920" spans="1:5" x14ac:dyDescent="0.25">
      <c r="A21920" t="str">
        <f>HYPERLINK("https://www.773grp.com/globalSearch/QS74FCT2374DTQ/page-1", "QS74FCT2374DTQ")</f>
        <v>QS74FCT2374DTQ</v>
      </c>
      <c r="B21920" s="3" t="s">
        <v>112</v>
      </c>
      <c r="C21920" s="6">
        <v>257</v>
      </c>
      <c r="D21920" s="7">
        <v>21.26</v>
      </c>
    </row>
    <row r="21921" spans="1:5" x14ac:dyDescent="0.25">
      <c r="A21921" t="str">
        <f>HYPERLINK("https://www.773grp.com/globalSearch/QS29FCT520ATZ/page-1", "QS29FCT520ATZ")</f>
        <v>QS29FCT520ATZ</v>
      </c>
      <c r="B21921" s="3" t="s">
        <v>112</v>
      </c>
      <c r="C21921" s="6">
        <v>109</v>
      </c>
      <c r="D21921" s="7">
        <v>21.46</v>
      </c>
      <c r="E21921" t="s">
        <v>113</v>
      </c>
    </row>
    <row r="21922" spans="1:5" x14ac:dyDescent="0.25">
      <c r="A21922" t="str">
        <f>HYPERLINK("https://www.773grp.com/globalSearch/QS7202-15P/page-1", "QS7202-15P")</f>
        <v>QS7202-15P</v>
      </c>
      <c r="B21922" s="3" t="s">
        <v>112</v>
      </c>
      <c r="C21922" s="6">
        <v>5349</v>
      </c>
      <c r="D21922" s="7">
        <v>21.51</v>
      </c>
      <c r="E21922" t="s">
        <v>70</v>
      </c>
    </row>
    <row r="21923" spans="1:5" x14ac:dyDescent="0.25">
      <c r="A21923" t="str">
        <f>HYPERLINK("https://www.773grp.com/globalSearch/QS54FCT273ATHB/page-1", "QS54FCT273ATHB")</f>
        <v>QS54FCT273ATHB</v>
      </c>
      <c r="B21923" s="3" t="s">
        <v>112</v>
      </c>
      <c r="C21923" s="6">
        <v>1401</v>
      </c>
      <c r="D21923" s="7">
        <v>21.64</v>
      </c>
      <c r="E21923" t="s">
        <v>31</v>
      </c>
    </row>
    <row r="21924" spans="1:5" x14ac:dyDescent="0.25">
      <c r="A21924" t="str">
        <f>HYPERLINK("https://www.773grp.com/globalSearch/QS5820BTQ2/page-1", "QS5820BTQ2")</f>
        <v>QS5820BTQ2</v>
      </c>
      <c r="B21924" s="3" t="s">
        <v>112</v>
      </c>
      <c r="C21924" s="6">
        <v>225</v>
      </c>
      <c r="D21924" s="7">
        <v>21.65</v>
      </c>
      <c r="E21924" t="s">
        <v>30</v>
      </c>
    </row>
    <row r="21925" spans="1:5" x14ac:dyDescent="0.25">
      <c r="A21925" t="str">
        <f>HYPERLINK("https://www.773grp.com/globalSearch/QS7202-12JR/page-1", "QS7202-12JR")</f>
        <v>QS7202-12JR</v>
      </c>
      <c r="B21925" s="3" t="s">
        <v>112</v>
      </c>
      <c r="C21925" s="6">
        <v>1098</v>
      </c>
      <c r="D21925" s="7">
        <v>21.78</v>
      </c>
      <c r="E21925" t="s">
        <v>70</v>
      </c>
    </row>
    <row r="21926" spans="1:5" x14ac:dyDescent="0.25">
      <c r="A21926" t="str">
        <f>HYPERLINK("https://www.773grp.com/globalSearch/QS7203-35V/page-1", "QS7203-35V")</f>
        <v>QS7203-35V</v>
      </c>
      <c r="B21926" s="3" t="s">
        <v>112</v>
      </c>
      <c r="C21926" s="6">
        <v>125</v>
      </c>
      <c r="D21926" s="7">
        <v>21.78</v>
      </c>
      <c r="E21926" t="s">
        <v>70</v>
      </c>
    </row>
    <row r="21927" spans="1:5" x14ac:dyDescent="0.25">
      <c r="A21927" t="str">
        <f>HYPERLINK("https://www.773grp.com/globalSearch/QS74FCT2821ATZ/page-1", "QS74FCT2821ATZ")</f>
        <v>QS74FCT2821ATZ</v>
      </c>
      <c r="B21927" s="3" t="s">
        <v>112</v>
      </c>
      <c r="C21927" s="6">
        <v>596</v>
      </c>
      <c r="D21927" s="7">
        <v>22.28</v>
      </c>
      <c r="E21927" t="s">
        <v>11</v>
      </c>
    </row>
    <row r="21928" spans="1:5" x14ac:dyDescent="0.25">
      <c r="A21928" t="str">
        <f>HYPERLINK("https://www.773grp.com/globalSearch/QS3383DM/page-1", "QS3383DM")</f>
        <v>QS3383DM</v>
      </c>
      <c r="B21928" s="3" t="s">
        <v>112</v>
      </c>
      <c r="C21928" s="6">
        <v>249</v>
      </c>
      <c r="D21928" s="7">
        <v>22.5</v>
      </c>
    </row>
    <row r="21929" spans="1:5" x14ac:dyDescent="0.25">
      <c r="A21929" t="str">
        <f>HYPERLINK("https://www.773grp.com/globalSearch/QS74FCT2521CTP/page-1", "QS74FCT2521CTP")</f>
        <v>QS74FCT2521CTP</v>
      </c>
      <c r="B21929" s="3" t="s">
        <v>112</v>
      </c>
      <c r="C21929" s="6">
        <v>111</v>
      </c>
      <c r="D21929" s="7">
        <v>22.5</v>
      </c>
      <c r="E21929" t="s">
        <v>38</v>
      </c>
    </row>
    <row r="21930" spans="1:5" x14ac:dyDescent="0.25">
      <c r="A21930" t="str">
        <f>HYPERLINK("https://www.773grp.com/globalSearch/QS3388Z/page-1", "QS3388Z")</f>
        <v>QS3388Z</v>
      </c>
      <c r="B21930" s="3" t="s">
        <v>112</v>
      </c>
      <c r="C21930" s="6">
        <v>887</v>
      </c>
      <c r="D21930" s="7">
        <v>22.56</v>
      </c>
    </row>
    <row r="21931" spans="1:5" x14ac:dyDescent="0.25">
      <c r="A21931" t="str">
        <f>HYPERLINK("https://www.773grp.com/globalSearch/QS7202-80JR/page-1", "QS7202-80JR")</f>
        <v>QS7202-80JR</v>
      </c>
      <c r="B21931" s="3" t="s">
        <v>112</v>
      </c>
      <c r="C21931" s="6">
        <v>115</v>
      </c>
      <c r="D21931" s="7">
        <v>23</v>
      </c>
      <c r="E21931" t="s">
        <v>70</v>
      </c>
    </row>
    <row r="21932" spans="1:5" x14ac:dyDescent="0.25">
      <c r="A21932" t="str">
        <f>HYPERLINK("https://www.773grp.com/globalSearch/QS7201-10Q/page-1", "QS7201-10Q")</f>
        <v>QS7201-10Q</v>
      </c>
      <c r="B21932" s="3" t="s">
        <v>112</v>
      </c>
      <c r="C21932" s="6">
        <v>328</v>
      </c>
      <c r="D21932" s="7">
        <v>23.2</v>
      </c>
      <c r="E21932" t="s">
        <v>70</v>
      </c>
    </row>
    <row r="21933" spans="1:5" x14ac:dyDescent="0.25">
      <c r="A21933" t="str">
        <f>HYPERLINK("https://www.773grp.com/globalSearch/QS54FCT153ATHB/page-1", "QS54FCT153ATHB")</f>
        <v>QS54FCT153ATHB</v>
      </c>
      <c r="B21933" s="3" t="s">
        <v>112</v>
      </c>
      <c r="C21933" s="6">
        <v>719</v>
      </c>
      <c r="D21933" s="7">
        <v>23.68</v>
      </c>
      <c r="E21933" t="s">
        <v>16</v>
      </c>
    </row>
    <row r="21934" spans="1:5" x14ac:dyDescent="0.25">
      <c r="A21934" t="str">
        <f>HYPERLINK("https://www.773grp.com/globalSearch/QS54FCT157ATHB/page-1", "QS54FCT157ATHB")</f>
        <v>QS54FCT157ATHB</v>
      </c>
      <c r="B21934" s="3" t="s">
        <v>112</v>
      </c>
      <c r="C21934" s="6">
        <v>1156</v>
      </c>
      <c r="D21934" s="7">
        <v>23.68</v>
      </c>
      <c r="E21934" t="s">
        <v>16</v>
      </c>
    </row>
    <row r="21935" spans="1:5" x14ac:dyDescent="0.25">
      <c r="A21935" t="str">
        <f>HYPERLINK("https://www.773grp.com/globalSearch/QS8888-12P/page-1", "QS8888-12P")</f>
        <v>QS8888-12P</v>
      </c>
      <c r="B21935" s="3" t="s">
        <v>112</v>
      </c>
      <c r="C21935" s="6">
        <v>62</v>
      </c>
      <c r="D21935" s="7">
        <v>23.83</v>
      </c>
      <c r="E21935" t="s">
        <v>63</v>
      </c>
    </row>
    <row r="21936" spans="1:5" x14ac:dyDescent="0.25">
      <c r="A21936" t="str">
        <f>HYPERLINK("https://www.773grp.com/globalSearch/QS74FCT823DTSO/page-1", "QS74FCT823DTSO")</f>
        <v>QS74FCT823DTSO</v>
      </c>
      <c r="B21936" s="3" t="s">
        <v>112</v>
      </c>
      <c r="C21936" s="6">
        <v>3098</v>
      </c>
      <c r="D21936" s="7">
        <v>23.88</v>
      </c>
      <c r="E21936" t="s">
        <v>11</v>
      </c>
    </row>
    <row r="21937" spans="1:5" x14ac:dyDescent="0.25">
      <c r="A21937" t="str">
        <f>HYPERLINK("https://www.773grp.com/globalSearch/QS74FCT139DTQ/page-1", "QS74FCT139DTQ")</f>
        <v>QS74FCT139DTQ</v>
      </c>
      <c r="B21937" s="3" t="s">
        <v>112</v>
      </c>
      <c r="C21937" s="6">
        <v>69</v>
      </c>
      <c r="D21937" s="7">
        <v>24.75</v>
      </c>
      <c r="E21937" t="s">
        <v>32</v>
      </c>
    </row>
    <row r="21938" spans="1:5" x14ac:dyDescent="0.25">
      <c r="A21938" t="str">
        <f>HYPERLINK("https://www.773grp.com/globalSearch/QS54FCT2244ATL/page-1", "QS54FCT2244ATL")</f>
        <v>QS54FCT2244ATL</v>
      </c>
      <c r="B21938" s="3" t="s">
        <v>112</v>
      </c>
      <c r="C21938" s="6">
        <v>227</v>
      </c>
      <c r="D21938" s="7">
        <v>25.03</v>
      </c>
      <c r="E21938" t="s">
        <v>11</v>
      </c>
    </row>
    <row r="21939" spans="1:5" x14ac:dyDescent="0.25">
      <c r="A21939" t="str">
        <f>HYPERLINK("https://www.773grp.com/globalSearch/QS72211-50JR/page-1", "QS72211-50JR")</f>
        <v>QS72211-50JR</v>
      </c>
      <c r="B21939" s="3" t="s">
        <v>112</v>
      </c>
      <c r="C21939" s="6">
        <v>621</v>
      </c>
      <c r="D21939" s="7">
        <v>25.11</v>
      </c>
      <c r="E21939" t="s">
        <v>70</v>
      </c>
    </row>
    <row r="21940" spans="1:5" x14ac:dyDescent="0.25">
      <c r="A21940" t="str">
        <f>HYPERLINK("https://www.773grp.com/globalSearch/QS74FCT833CTSO/page-1", "QS74FCT833CTSO")</f>
        <v>QS74FCT833CTSO</v>
      </c>
      <c r="B21940" s="3" t="s">
        <v>112</v>
      </c>
      <c r="C21940" s="6">
        <v>115</v>
      </c>
      <c r="D21940" s="7">
        <v>25.31</v>
      </c>
      <c r="E21940" t="s">
        <v>11</v>
      </c>
    </row>
    <row r="21941" spans="1:5" x14ac:dyDescent="0.25">
      <c r="A21941" t="str">
        <f>HYPERLINK("https://www.773grp.com/globalSearch/QS54FCT543ATHB/page-1", "QS54FCT543ATHB")</f>
        <v>QS54FCT543ATHB</v>
      </c>
      <c r="B21941" s="3" t="s">
        <v>112</v>
      </c>
      <c r="C21941" s="6">
        <v>3766</v>
      </c>
      <c r="D21941" s="7">
        <v>25.9</v>
      </c>
      <c r="E21941" t="s">
        <v>11</v>
      </c>
    </row>
    <row r="21942" spans="1:5" x14ac:dyDescent="0.25">
      <c r="A21942" t="str">
        <f>HYPERLINK("https://www.773grp.com/globalSearch/QS74FCT2157CTZ/page-1", "QS74FCT2157CTZ")</f>
        <v>QS74FCT2157CTZ</v>
      </c>
      <c r="B21942" s="3" t="s">
        <v>112</v>
      </c>
      <c r="C21942" s="6">
        <v>245</v>
      </c>
      <c r="D21942" s="7">
        <v>26.29</v>
      </c>
      <c r="E21942" t="s">
        <v>16</v>
      </c>
    </row>
    <row r="21943" spans="1:5" x14ac:dyDescent="0.25">
      <c r="A21943" t="str">
        <f>HYPERLINK("https://www.773grp.com/globalSearch/QS7204-50P/page-1", "QS7204-50P")</f>
        <v>QS7204-50P</v>
      </c>
      <c r="B21943" s="3" t="s">
        <v>112</v>
      </c>
      <c r="C21943" s="6">
        <v>509</v>
      </c>
      <c r="D21943" s="7">
        <v>26.44</v>
      </c>
      <c r="E21943" t="s">
        <v>70</v>
      </c>
    </row>
    <row r="21944" spans="1:5" x14ac:dyDescent="0.25">
      <c r="A21944" t="str">
        <f>HYPERLINK("https://www.773grp.com/globalSearch/QS72211-35JR/page-1", "QS72211-35JR")</f>
        <v>QS72211-35JR</v>
      </c>
      <c r="B21944" s="3" t="s">
        <v>112</v>
      </c>
      <c r="C21944" s="6">
        <v>413</v>
      </c>
      <c r="D21944" s="7">
        <v>26.55</v>
      </c>
      <c r="E21944" t="s">
        <v>70</v>
      </c>
    </row>
    <row r="21945" spans="1:5" x14ac:dyDescent="0.25">
      <c r="A21945" t="str">
        <f>HYPERLINK("https://www.773grp.com/globalSearch/QS7202-8030/page-1", "QS7202-8030")</f>
        <v>QS7202-8030</v>
      </c>
      <c r="B21945" s="3" t="s">
        <v>112</v>
      </c>
      <c r="C21945" s="6">
        <v>119</v>
      </c>
      <c r="D21945" s="7">
        <v>27.25</v>
      </c>
    </row>
    <row r="21946" spans="1:5" x14ac:dyDescent="0.25">
      <c r="A21946" t="str">
        <f>HYPERLINK("https://www.773grp.com/globalSearch/QS7202-80S0/page-1", "QS7202-80S0")</f>
        <v>QS7202-80S0</v>
      </c>
      <c r="B21946" s="3" t="s">
        <v>112</v>
      </c>
      <c r="C21946" s="6">
        <v>747</v>
      </c>
      <c r="D21946" s="7">
        <v>27.25</v>
      </c>
    </row>
    <row r="21947" spans="1:5" x14ac:dyDescent="0.25">
      <c r="A21947" t="str">
        <f>HYPERLINK("https://www.773grp.com/globalSearch/QS7202-80SO/page-1", "QS7202-80SO")</f>
        <v>QS7202-80SO</v>
      </c>
      <c r="B21947" s="3" t="s">
        <v>112</v>
      </c>
      <c r="C21947" s="6">
        <v>211</v>
      </c>
      <c r="D21947" s="7">
        <v>27.25</v>
      </c>
      <c r="E21947" t="s">
        <v>70</v>
      </c>
    </row>
    <row r="21948" spans="1:5" x14ac:dyDescent="0.25">
      <c r="A21948" t="str">
        <f>HYPERLINK("https://www.773grp.com/globalSearch/QS29FCT520BTZ/page-1", "QS29FCT520BTZ")</f>
        <v>QS29FCT520BTZ</v>
      </c>
      <c r="B21948" s="3" t="s">
        <v>112</v>
      </c>
      <c r="C21948" s="6">
        <v>367</v>
      </c>
      <c r="D21948" s="7">
        <v>27.29</v>
      </c>
      <c r="E21948" t="s">
        <v>113</v>
      </c>
    </row>
    <row r="21949" spans="1:5" x14ac:dyDescent="0.25">
      <c r="A21949" t="str">
        <f>HYPERLINK("https://www.773grp.com/globalSearch/QS5917T-70TJ/page-1", "QS5917T-70TJ")</f>
        <v>QS5917T-70TJ</v>
      </c>
      <c r="B21949" s="3" t="s">
        <v>112</v>
      </c>
      <c r="C21949" s="6">
        <v>1167</v>
      </c>
      <c r="D21949" s="7">
        <v>27.3</v>
      </c>
      <c r="E21949" t="s">
        <v>30</v>
      </c>
    </row>
    <row r="21950" spans="1:5" x14ac:dyDescent="0.25">
      <c r="A21950" t="str">
        <f>HYPERLINK("https://www.773grp.com/globalSearch/QS72211-25JR/page-1", "QS72211-25JR")</f>
        <v>QS72211-25JR</v>
      </c>
      <c r="B21950" s="3" t="s">
        <v>112</v>
      </c>
      <c r="C21950" s="6">
        <v>125</v>
      </c>
      <c r="D21950" s="7">
        <v>27.51</v>
      </c>
      <c r="E21950" t="s">
        <v>70</v>
      </c>
    </row>
    <row r="21951" spans="1:5" x14ac:dyDescent="0.25">
      <c r="A21951" t="str">
        <f>HYPERLINK("https://www.773grp.com/globalSearch/QS7201-25SO/page-1", "QS7201-25SO")</f>
        <v>QS7201-25SO</v>
      </c>
      <c r="B21951" s="3" t="s">
        <v>112</v>
      </c>
      <c r="C21951" s="6">
        <v>630</v>
      </c>
      <c r="D21951" s="7">
        <v>27.56</v>
      </c>
      <c r="E21951" t="s">
        <v>70</v>
      </c>
    </row>
    <row r="21952" spans="1:5" x14ac:dyDescent="0.25">
      <c r="A21952" t="str">
        <f>HYPERLINK("https://www.773grp.com/globalSearch/QS7203-25V/page-1", "QS7203-25V")</f>
        <v>QS7203-25V</v>
      </c>
      <c r="B21952" s="3" t="s">
        <v>112</v>
      </c>
      <c r="C21952" s="6">
        <v>706</v>
      </c>
      <c r="D21952" s="7">
        <v>27.68</v>
      </c>
      <c r="E21952" t="s">
        <v>70</v>
      </c>
    </row>
    <row r="21953" spans="1:5" x14ac:dyDescent="0.25">
      <c r="A21953" t="str">
        <f>HYPERLINK("https://www.773grp.com/globalSearch/QS7204-35V/page-1", "QS7204-35V")</f>
        <v>QS7204-35V</v>
      </c>
      <c r="B21953" s="3" t="s">
        <v>112</v>
      </c>
      <c r="C21953" s="6">
        <v>138</v>
      </c>
      <c r="D21953" s="7">
        <v>28.01</v>
      </c>
      <c r="E21953" t="s">
        <v>70</v>
      </c>
    </row>
    <row r="21954" spans="1:5" x14ac:dyDescent="0.25">
      <c r="A21954" t="str">
        <f>HYPERLINK("https://www.773grp.com/globalSearch/QS7203-80JR/page-1", "QS7203-80JR")</f>
        <v>QS7203-80JR</v>
      </c>
      <c r="B21954" s="3" t="s">
        <v>112</v>
      </c>
      <c r="C21954" s="6">
        <v>480</v>
      </c>
      <c r="D21954" s="7">
        <v>28.4</v>
      </c>
      <c r="E21954" t="s">
        <v>70</v>
      </c>
    </row>
    <row r="21955" spans="1:5" x14ac:dyDescent="0.25">
      <c r="A21955" t="str">
        <f>HYPERLINK("https://www.773grp.com/globalSearch/QS74FCT2X2245ATQ1/page-1", "QS74FCT2X2245ATQ1")</f>
        <v>QS74FCT2X2245ATQ1</v>
      </c>
      <c r="B21955" s="3" t="s">
        <v>112</v>
      </c>
      <c r="C21955" s="6">
        <v>455</v>
      </c>
      <c r="D21955" s="7">
        <v>28.55</v>
      </c>
    </row>
    <row r="21956" spans="1:5" x14ac:dyDescent="0.25">
      <c r="A21956" t="str">
        <f>HYPERLINK("https://www.773grp.com/globalSearch/QS7202-50SO/page-1", "QS7202-50SO")</f>
        <v>QS7202-50SO</v>
      </c>
      <c r="B21956" s="3" t="s">
        <v>112</v>
      </c>
      <c r="C21956" s="6">
        <v>194</v>
      </c>
      <c r="D21956" s="7">
        <v>28.6</v>
      </c>
      <c r="E21956" t="s">
        <v>70</v>
      </c>
    </row>
    <row r="21957" spans="1:5" x14ac:dyDescent="0.25">
      <c r="A21957" t="str">
        <f>HYPERLINK("https://www.773grp.com/globalSearch/QS72211-20JR/page-1", "QS72211-20JR")</f>
        <v>QS72211-20JR</v>
      </c>
      <c r="B21957" s="3" t="s">
        <v>112</v>
      </c>
      <c r="C21957" s="6">
        <v>392</v>
      </c>
      <c r="D21957" s="7">
        <v>28.89</v>
      </c>
      <c r="E21957" t="s">
        <v>70</v>
      </c>
    </row>
    <row r="21958" spans="1:5" x14ac:dyDescent="0.25">
      <c r="A21958" t="str">
        <f>HYPERLINK("https://www.773grp.com/globalSearch/QS7203-20JR/page-1", "QS7203-20JR")</f>
        <v>QS7203-20JR</v>
      </c>
      <c r="B21958" s="3" t="s">
        <v>112</v>
      </c>
      <c r="C21958" s="6">
        <v>269</v>
      </c>
      <c r="D21958" s="7">
        <v>29.2</v>
      </c>
      <c r="E21958" t="s">
        <v>70</v>
      </c>
    </row>
    <row r="21959" spans="1:5" x14ac:dyDescent="0.25">
      <c r="A21959" t="str">
        <f>HYPERLINK("https://www.773grp.com/globalSearch/QS74FCT541DTSO/page-1", "QS74FCT541DTSO")</f>
        <v>QS74FCT541DTSO</v>
      </c>
      <c r="B21959" s="3" t="s">
        <v>112</v>
      </c>
      <c r="C21959" s="6">
        <v>106</v>
      </c>
      <c r="D21959" s="7">
        <v>29.54</v>
      </c>
      <c r="E21959" t="s">
        <v>11</v>
      </c>
    </row>
    <row r="21960" spans="1:5" x14ac:dyDescent="0.25">
      <c r="A21960" t="str">
        <f>HYPERLINK("https://www.773grp.com/globalSearch/QS72221-50JR/page-1", "QS72221-50JR")</f>
        <v>QS72221-50JR</v>
      </c>
      <c r="B21960" s="3" t="s">
        <v>112</v>
      </c>
      <c r="C21960" s="6">
        <v>88</v>
      </c>
      <c r="D21960" s="7">
        <v>29.74</v>
      </c>
      <c r="E21960" t="s">
        <v>70</v>
      </c>
    </row>
    <row r="21961" spans="1:5" x14ac:dyDescent="0.25">
      <c r="A21961" t="str">
        <f>HYPERLINK("https://www.773grp.com/globalSearch/QS7204-25P/page-1", "QS7204-25P")</f>
        <v>QS7204-25P</v>
      </c>
      <c r="B21961" s="3" t="s">
        <v>112</v>
      </c>
      <c r="C21961" s="6">
        <v>318</v>
      </c>
      <c r="D21961" s="7">
        <v>30.08</v>
      </c>
      <c r="E21961" t="s">
        <v>70</v>
      </c>
    </row>
    <row r="21962" spans="1:5" x14ac:dyDescent="0.25">
      <c r="A21962" t="str">
        <f>HYPERLINK("https://www.773grp.com/globalSearch/QS7204-25V/page-1", "QS7204-25V")</f>
        <v>QS7204-25V</v>
      </c>
      <c r="B21962" s="3" t="s">
        <v>112</v>
      </c>
      <c r="C21962" s="6">
        <v>64</v>
      </c>
      <c r="D21962" s="7">
        <v>30.08</v>
      </c>
      <c r="E21962" t="s">
        <v>70</v>
      </c>
    </row>
    <row r="21963" spans="1:5" x14ac:dyDescent="0.25">
      <c r="A21963" t="str">
        <f>HYPERLINK("https://www.773grp.com/globalSearch/QS74FCT374DTP/page-1", "QS74FCT374DTP")</f>
        <v>QS74FCT374DTP</v>
      </c>
      <c r="B21963" s="3" t="s">
        <v>112</v>
      </c>
      <c r="C21963" s="6">
        <v>404</v>
      </c>
      <c r="D21963" s="7">
        <v>30.89</v>
      </c>
      <c r="E21963" t="s">
        <v>11</v>
      </c>
    </row>
    <row r="21964" spans="1:5" x14ac:dyDescent="0.25">
      <c r="A21964" t="str">
        <f>HYPERLINK("https://www.773grp.com/globalSearch/QS74FCT139DTS1/page-1", "QS74FCT139DTS1")</f>
        <v>QS74FCT139DTS1</v>
      </c>
      <c r="B21964" s="3" t="s">
        <v>112</v>
      </c>
      <c r="C21964" s="6">
        <v>126</v>
      </c>
      <c r="D21964" s="7">
        <v>30.94</v>
      </c>
      <c r="E21964" t="s">
        <v>32</v>
      </c>
    </row>
    <row r="21965" spans="1:5" x14ac:dyDescent="0.25">
      <c r="A21965" t="str">
        <f>HYPERLINK("https://www.773grp.com/globalSearch/QS74FCT139DTSI/page-1", "QS74FCT139DTSI")</f>
        <v>QS74FCT139DTSI</v>
      </c>
      <c r="B21965" s="3" t="s">
        <v>112</v>
      </c>
      <c r="C21965" s="6">
        <v>318</v>
      </c>
      <c r="D21965" s="7">
        <v>30.94</v>
      </c>
    </row>
    <row r="21966" spans="1:5" x14ac:dyDescent="0.25">
      <c r="A21966" t="str">
        <f>HYPERLINK("https://www.773grp.com/globalSearch/QS54FCT2244CTHB/page-1", "QS54FCT2244CTHB")</f>
        <v>QS54FCT2244CTHB</v>
      </c>
      <c r="B21966" s="3" t="s">
        <v>112</v>
      </c>
      <c r="C21966" s="6">
        <v>28</v>
      </c>
      <c r="D21966" s="7">
        <v>31.1</v>
      </c>
      <c r="E21966" t="s">
        <v>11</v>
      </c>
    </row>
    <row r="21967" spans="1:5" x14ac:dyDescent="0.25">
      <c r="A21967" t="str">
        <f>HYPERLINK("https://www.773grp.com/globalSearch/QS54FCT374CTHB/page-1", "QS54FCT374CTHB")</f>
        <v>QS54FCT374CTHB</v>
      </c>
      <c r="B21967" s="3" t="s">
        <v>112</v>
      </c>
      <c r="C21967" s="6">
        <v>207</v>
      </c>
      <c r="D21967" s="7">
        <v>31.1</v>
      </c>
      <c r="E21967" t="s">
        <v>11</v>
      </c>
    </row>
    <row r="21968" spans="1:5" x14ac:dyDescent="0.25">
      <c r="A21968" t="str">
        <f>HYPERLINK("https://www.773grp.com/globalSearch/QS7203-20P/page-1", "QS7203-20P")</f>
        <v>QS7203-20P</v>
      </c>
      <c r="B21968" s="3" t="s">
        <v>112</v>
      </c>
      <c r="C21968" s="6">
        <v>46323</v>
      </c>
      <c r="D21968" s="7">
        <v>31.28</v>
      </c>
      <c r="E21968" t="s">
        <v>70</v>
      </c>
    </row>
    <row r="21969" spans="1:5" x14ac:dyDescent="0.25">
      <c r="A21969" t="str">
        <f>HYPERLINK("https://www.773grp.com/globalSearch/QS7203-2OP/page-1", "QS7203-2OP")</f>
        <v>QS7203-2OP</v>
      </c>
      <c r="B21969" s="3" t="s">
        <v>112</v>
      </c>
      <c r="C21969" s="6">
        <v>3971</v>
      </c>
      <c r="D21969" s="7">
        <v>31.28</v>
      </c>
    </row>
    <row r="21970" spans="1:5" x14ac:dyDescent="0.25">
      <c r="A21970" t="str">
        <f>HYPERLINK("https://www.773grp.com/globalSearch/QS72221-35JR/page-1", "QS72221-35JR")</f>
        <v>QS72221-35JR</v>
      </c>
      <c r="B21970" s="3" t="s">
        <v>112</v>
      </c>
      <c r="C21970" s="6">
        <v>2797</v>
      </c>
      <c r="D21970" s="7">
        <v>32.94</v>
      </c>
      <c r="E21970" t="s">
        <v>70</v>
      </c>
    </row>
    <row r="21971" spans="1:5" x14ac:dyDescent="0.25">
      <c r="A21971" t="str">
        <f>HYPERLINK("https://www.773grp.com/globalSearch/59920ZQ-QS59920-2SOC/page-1", "59920ZQ-QS59920-2SOC")</f>
        <v>59920ZQ-QS59920-2SOC</v>
      </c>
      <c r="B21971" s="3" t="s">
        <v>112</v>
      </c>
      <c r="C21971" s="6">
        <v>4869</v>
      </c>
      <c r="D21971" s="7">
        <v>33.549999999999997</v>
      </c>
    </row>
    <row r="21972" spans="1:5" x14ac:dyDescent="0.25">
      <c r="A21972" t="str">
        <f>HYPERLINK("https://www.773grp.com/globalSearch/QS7202-25SO/page-1", "QS7202-25SO")</f>
        <v>QS7202-25SO</v>
      </c>
      <c r="B21972" s="3" t="s">
        <v>112</v>
      </c>
      <c r="C21972" s="6">
        <v>378</v>
      </c>
      <c r="D21972" s="7">
        <v>34.54</v>
      </c>
      <c r="E21972" t="s">
        <v>70</v>
      </c>
    </row>
    <row r="21973" spans="1:5" x14ac:dyDescent="0.25">
      <c r="A21973" t="str">
        <f>HYPERLINK("https://www.773grp.com/globalSearch/QS7204-20P/page-1", "QS7204-20P")</f>
        <v>QS7204-20P</v>
      </c>
      <c r="B21973" s="3" t="s">
        <v>112</v>
      </c>
      <c r="C21973" s="6">
        <v>366</v>
      </c>
      <c r="D21973" s="7">
        <v>34.81</v>
      </c>
      <c r="E21973" t="s">
        <v>70</v>
      </c>
    </row>
    <row r="21974" spans="1:5" x14ac:dyDescent="0.25">
      <c r="A21974" t="str">
        <f>HYPERLINK("https://www.773grp.com/globalSearch/QS29FCT52CTZ/page-1", "QS29FCT52CTZ")</f>
        <v>QS29FCT52CTZ</v>
      </c>
      <c r="B21974" s="3" t="s">
        <v>112</v>
      </c>
      <c r="C21974" s="6">
        <v>2093</v>
      </c>
      <c r="D21974" s="7">
        <v>35.21</v>
      </c>
      <c r="E21974" t="s">
        <v>11</v>
      </c>
    </row>
    <row r="21975" spans="1:5" x14ac:dyDescent="0.25">
      <c r="A21975" t="str">
        <f>HYPERLINK("https://www.773grp.com/globalSearch/QS7204-15JR/page-1", "QS7204-15JR")</f>
        <v>QS7204-15JR</v>
      </c>
      <c r="B21975" s="3" t="s">
        <v>112</v>
      </c>
      <c r="C21975" s="6">
        <v>533</v>
      </c>
      <c r="D21975" s="7">
        <v>35.64</v>
      </c>
      <c r="E21975" t="s">
        <v>70</v>
      </c>
    </row>
    <row r="21976" spans="1:5" x14ac:dyDescent="0.25">
      <c r="A21976" t="str">
        <f>HYPERLINK("https://www.773grp.com/globalSearch/QS74FCT2543CTZ/page-1", "QS74FCT2543CTZ")</f>
        <v>QS74FCT2543CTZ</v>
      </c>
      <c r="B21976" s="3" t="s">
        <v>112</v>
      </c>
      <c r="C21976" s="6">
        <v>440</v>
      </c>
      <c r="D21976" s="7">
        <v>35.74</v>
      </c>
      <c r="E21976" t="s">
        <v>11</v>
      </c>
    </row>
    <row r="21977" spans="1:5" x14ac:dyDescent="0.25">
      <c r="A21977" t="str">
        <f>HYPERLINK("https://www.773grp.com/globalSearch/QS7204-15V/page-1", "QS7204-15V")</f>
        <v>QS7204-15V</v>
      </c>
      <c r="B21977" s="3" t="s">
        <v>112</v>
      </c>
      <c r="C21977" s="6">
        <v>428</v>
      </c>
      <c r="D21977" s="7">
        <v>38.39</v>
      </c>
      <c r="E21977" t="s">
        <v>70</v>
      </c>
    </row>
    <row r="21978" spans="1:5" x14ac:dyDescent="0.25">
      <c r="A21978" t="str">
        <f>HYPERLINK("https://www.773grp.com/globalSearch/QS3383HM-S227/page-1", "QS3383HM-S227")</f>
        <v>QS3383HM-S227</v>
      </c>
      <c r="B21978" s="3" t="s">
        <v>112</v>
      </c>
      <c r="C21978" s="6">
        <v>202</v>
      </c>
      <c r="D21978" s="7">
        <v>38.68</v>
      </c>
    </row>
    <row r="21979" spans="1:5" x14ac:dyDescent="0.25">
      <c r="A21979" t="str">
        <f>HYPERLINK("https://www.773grp.com/globalSearch/QS72231-35JR/page-1", "QS72231-35JR")</f>
        <v>QS72231-35JR</v>
      </c>
      <c r="B21979" s="3" t="s">
        <v>112</v>
      </c>
      <c r="C21979" s="6">
        <v>98</v>
      </c>
      <c r="D21979" s="7">
        <v>39.15</v>
      </c>
      <c r="E21979" t="s">
        <v>70</v>
      </c>
    </row>
    <row r="21980" spans="1:5" x14ac:dyDescent="0.25">
      <c r="A21980" t="str">
        <f>HYPERLINK("https://www.773grp.com/globalSearch/QS54FCT2374TDB/page-1", "QS54FCT2374TDB")</f>
        <v>QS54FCT2374TDB</v>
      </c>
      <c r="B21980" s="3" t="s">
        <v>112</v>
      </c>
      <c r="C21980" s="6">
        <v>450</v>
      </c>
      <c r="D21980" s="7">
        <v>39.380000000000003</v>
      </c>
      <c r="E21980" t="s">
        <v>11</v>
      </c>
    </row>
    <row r="21981" spans="1:5" x14ac:dyDescent="0.25">
      <c r="A21981" t="str">
        <f>HYPERLINK("https://www.773grp.com/globalSearch/QS54FCT244TL/page-1", "QS54FCT244TL")</f>
        <v>QS54FCT244TL</v>
      </c>
      <c r="B21981" s="3" t="s">
        <v>112</v>
      </c>
      <c r="C21981" s="6">
        <v>193</v>
      </c>
      <c r="D21981" s="7">
        <v>39.380000000000003</v>
      </c>
      <c r="E21981" t="s">
        <v>11</v>
      </c>
    </row>
    <row r="21982" spans="1:5" x14ac:dyDescent="0.25">
      <c r="A21982" t="str">
        <f>HYPERLINK("https://www.773grp.com/globalSearch/QS72221-20JR/page-1", "QS72221-20JR")</f>
        <v>QS72221-20JR</v>
      </c>
      <c r="B21982" s="3" t="s">
        <v>112</v>
      </c>
      <c r="C21982" s="6">
        <v>1121</v>
      </c>
      <c r="D21982" s="7">
        <v>39.450000000000003</v>
      </c>
      <c r="E21982" t="s">
        <v>70</v>
      </c>
    </row>
    <row r="21983" spans="1:5" x14ac:dyDescent="0.25">
      <c r="A21983" t="str">
        <f>HYPERLINK("https://www.773grp.com/globalSearch/QS72241-50JR/page-1", "QS72241-50JR")</f>
        <v>QS72241-50JR</v>
      </c>
      <c r="B21983" s="3" t="s">
        <v>112</v>
      </c>
      <c r="C21983" s="6">
        <v>222</v>
      </c>
      <c r="D21983" s="7">
        <v>40.64</v>
      </c>
      <c r="E21983" t="s">
        <v>70</v>
      </c>
    </row>
    <row r="21984" spans="1:5" x14ac:dyDescent="0.25">
      <c r="A21984" t="str">
        <f>HYPERLINK("https://www.773grp.com/globalSearch/QS72221-15JR/page-1", "QS72221-15JR")</f>
        <v>QS72221-15JR</v>
      </c>
      <c r="B21984" s="3" t="s">
        <v>112</v>
      </c>
      <c r="C21984" s="6">
        <v>491</v>
      </c>
      <c r="D21984" s="7">
        <v>41.74</v>
      </c>
      <c r="E21984" t="s">
        <v>70</v>
      </c>
    </row>
    <row r="21985" spans="1:5" x14ac:dyDescent="0.25">
      <c r="A21985" t="str">
        <f>HYPERLINK("https://www.773grp.com/globalSearch/QS74FCT373DTZ/page-1", "QS74FCT373DTZ")</f>
        <v>QS74FCT373DTZ</v>
      </c>
      <c r="B21985" s="3" t="s">
        <v>112</v>
      </c>
      <c r="C21985" s="6">
        <v>549</v>
      </c>
      <c r="D21985" s="7">
        <v>43.4</v>
      </c>
      <c r="E21985" t="s">
        <v>11</v>
      </c>
    </row>
    <row r="21986" spans="1:5" x14ac:dyDescent="0.25">
      <c r="A21986" t="str">
        <f>HYPERLINK("https://www.773grp.com/globalSearch/5991YQ/page-1", "5991YQ")</f>
        <v>5991YQ</v>
      </c>
      <c r="B21986" s="3" t="s">
        <v>112</v>
      </c>
      <c r="C21986" s="6">
        <v>319</v>
      </c>
      <c r="D21986" s="7">
        <v>44.73</v>
      </c>
    </row>
    <row r="21987" spans="1:5" x14ac:dyDescent="0.25">
      <c r="A21987" t="str">
        <f>HYPERLINK("https://www.773grp.com/globalSearch/5991ZQ-QS5991-2JRC/page-1", "5991ZQ-QS5991-2JRC")</f>
        <v>5991ZQ-QS5991-2JRC</v>
      </c>
      <c r="B21987" s="3" t="s">
        <v>112</v>
      </c>
      <c r="C21987" s="6">
        <v>2250</v>
      </c>
      <c r="D21987" s="7">
        <v>44.73</v>
      </c>
    </row>
    <row r="21988" spans="1:5" x14ac:dyDescent="0.25">
      <c r="A21988" t="str">
        <f>HYPERLINK("https://www.773grp.com/globalSearch/QS86446-20P/page-1", "QS86446-20P")</f>
        <v>QS86446-20P</v>
      </c>
      <c r="B21988" s="3" t="s">
        <v>112</v>
      </c>
      <c r="C21988" s="6">
        <v>398</v>
      </c>
      <c r="D21988" s="7">
        <v>46.33</v>
      </c>
      <c r="E21988" t="s">
        <v>63</v>
      </c>
    </row>
    <row r="21989" spans="1:5" x14ac:dyDescent="0.25">
      <c r="A21989" t="str">
        <f>HYPERLINK("https://www.773grp.com/globalSearch/QS72241-35JR/page-1", "QS72241-35JR")</f>
        <v>QS72241-35JR</v>
      </c>
      <c r="B21989" s="3" t="s">
        <v>112</v>
      </c>
      <c r="C21989" s="6">
        <v>74</v>
      </c>
      <c r="D21989" s="7">
        <v>47.54</v>
      </c>
      <c r="E21989" t="s">
        <v>70</v>
      </c>
    </row>
    <row r="21990" spans="1:5" x14ac:dyDescent="0.25">
      <c r="A21990" t="str">
        <f>HYPERLINK("https://www.773grp.com/globalSearch/QS54FCT373ATDB/page-1", "QS54FCT373ATDB")</f>
        <v>QS54FCT373ATDB</v>
      </c>
      <c r="B21990" s="3" t="s">
        <v>112</v>
      </c>
      <c r="C21990" s="6">
        <v>261</v>
      </c>
      <c r="D21990" s="7">
        <v>49.61</v>
      </c>
      <c r="E21990" t="s">
        <v>11</v>
      </c>
    </row>
    <row r="21991" spans="1:5" x14ac:dyDescent="0.25">
      <c r="A21991" t="str">
        <f>HYPERLINK("https://www.773grp.com/globalSearch/QS72215-35J/page-1", "QS72215-35J")</f>
        <v>QS72215-35J</v>
      </c>
      <c r="B21991" s="3" t="s">
        <v>112</v>
      </c>
      <c r="C21991" s="6">
        <v>399</v>
      </c>
      <c r="D21991" s="7">
        <v>50.63</v>
      </c>
      <c r="E21991" t="s">
        <v>70</v>
      </c>
    </row>
    <row r="21992" spans="1:5" x14ac:dyDescent="0.25">
      <c r="A21992" t="str">
        <f>HYPERLINK("https://www.773grp.com/globalSearch/QS72215-35TF/page-1", "QS72215-35TF")</f>
        <v>QS72215-35TF</v>
      </c>
      <c r="B21992" s="3" t="s">
        <v>112</v>
      </c>
      <c r="C21992" s="6">
        <v>300</v>
      </c>
      <c r="D21992" s="7">
        <v>50.63</v>
      </c>
      <c r="E21992" t="s">
        <v>70</v>
      </c>
    </row>
    <row r="21993" spans="1:5" x14ac:dyDescent="0.25">
      <c r="A21993" t="str">
        <f>HYPERLINK("https://www.773grp.com/globalSearch/QS7244A-40JR/page-1", "QS7244A-40JR")</f>
        <v>QS7244A-40JR</v>
      </c>
      <c r="B21993" s="3" t="s">
        <v>112</v>
      </c>
      <c r="C21993" s="6">
        <v>105</v>
      </c>
      <c r="D21993" s="7">
        <v>50.63</v>
      </c>
    </row>
    <row r="21994" spans="1:5" x14ac:dyDescent="0.25">
      <c r="A21994" t="str">
        <f>HYPERLINK("https://www.773grp.com/globalSearch/QS72215-25J/page-1", "QS72215-25J")</f>
        <v>QS72215-25J</v>
      </c>
      <c r="B21994" s="3" t="s">
        <v>112</v>
      </c>
      <c r="C21994" s="6">
        <v>600</v>
      </c>
      <c r="D21994" s="7">
        <v>53.08</v>
      </c>
      <c r="E21994" t="s">
        <v>70</v>
      </c>
    </row>
    <row r="21995" spans="1:5" x14ac:dyDescent="0.25">
      <c r="A21995" t="str">
        <f>HYPERLINK("https://www.773grp.com/globalSearch/QS72215-25TF/page-1", "QS72215-25TF")</f>
        <v>QS72215-25TF</v>
      </c>
      <c r="B21995" s="3" t="s">
        <v>112</v>
      </c>
      <c r="C21995" s="6">
        <v>500</v>
      </c>
      <c r="D21995" s="7">
        <v>53.08</v>
      </c>
      <c r="E21995" t="s">
        <v>70</v>
      </c>
    </row>
    <row r="21996" spans="1:5" x14ac:dyDescent="0.25">
      <c r="A21996" t="str">
        <f>HYPERLINK("https://www.773grp.com/globalSearch/QS72241-25JR/page-1", "QS72241-25JR")</f>
        <v>QS72241-25JR</v>
      </c>
      <c r="B21996" s="3" t="s">
        <v>112</v>
      </c>
      <c r="C21996" s="6">
        <v>360</v>
      </c>
      <c r="D21996" s="7">
        <v>53.28</v>
      </c>
      <c r="E21996" t="s">
        <v>70</v>
      </c>
    </row>
    <row r="21997" spans="1:5" x14ac:dyDescent="0.25">
      <c r="A21997" t="str">
        <f>HYPERLINK("https://www.773grp.com/globalSearch/QS7244A-30JR/page-1", "QS7244A-30JR")</f>
        <v>QS7244A-30JR</v>
      </c>
      <c r="B21997" s="3" t="s">
        <v>112</v>
      </c>
      <c r="C21997" s="6">
        <v>106</v>
      </c>
      <c r="D21997" s="7">
        <v>55.69</v>
      </c>
      <c r="E21997" t="s">
        <v>70</v>
      </c>
    </row>
    <row r="21998" spans="1:5" x14ac:dyDescent="0.25">
      <c r="A21998" t="str">
        <f>HYPERLINK("https://www.773grp.com/globalSearch/QS72231-15JR/page-1", "QS72231-15JR")</f>
        <v>QS72231-15JR</v>
      </c>
      <c r="B21998" s="3" t="s">
        <v>112</v>
      </c>
      <c r="C21998" s="6">
        <v>752</v>
      </c>
      <c r="D21998" s="7">
        <v>56.41</v>
      </c>
      <c r="E21998" t="s">
        <v>70</v>
      </c>
    </row>
    <row r="21999" spans="1:5" x14ac:dyDescent="0.25">
      <c r="A21999" t="str">
        <f>HYPERLINK("https://www.773grp.com/globalSearch/QS7244A-25JR/page-1", "QS7244A-25JR")</f>
        <v>QS7244A-25JR</v>
      </c>
      <c r="B21999" s="3" t="s">
        <v>112</v>
      </c>
      <c r="C21999" s="6">
        <v>227</v>
      </c>
      <c r="D21999" s="7">
        <v>58.23</v>
      </c>
      <c r="E21999" t="s">
        <v>70</v>
      </c>
    </row>
    <row r="22000" spans="1:5" x14ac:dyDescent="0.25">
      <c r="A22000" t="str">
        <f>HYPERLINK("https://www.773grp.com/globalSearch/QS72215-20J/page-1", "QS72215-20J")</f>
        <v>QS72215-20J</v>
      </c>
      <c r="B22000" s="3" t="s">
        <v>112</v>
      </c>
      <c r="C22000" s="6">
        <v>445</v>
      </c>
      <c r="D22000" s="7">
        <v>58.34</v>
      </c>
      <c r="E22000" t="s">
        <v>70</v>
      </c>
    </row>
    <row r="22001" spans="1:5" x14ac:dyDescent="0.25">
      <c r="A22001" t="str">
        <f>HYPERLINK("https://www.773grp.com/globalSearch/QS86446-15V/page-1", "QS86446-15V")</f>
        <v>QS86446-15V</v>
      </c>
      <c r="B22001" s="3" t="s">
        <v>112</v>
      </c>
      <c r="C22001" s="6">
        <v>1966</v>
      </c>
      <c r="D22001" s="7">
        <v>59.4</v>
      </c>
      <c r="E22001" t="s">
        <v>63</v>
      </c>
    </row>
    <row r="22002" spans="1:5" x14ac:dyDescent="0.25">
      <c r="A22002" t="str">
        <f>HYPERLINK("https://www.773grp.com/globalSearch/QS72241-20RJ/page-1", "QS72241-20RJ")</f>
        <v>QS72241-20RJ</v>
      </c>
      <c r="B22002" s="3" t="s">
        <v>112</v>
      </c>
      <c r="C22002" s="6">
        <v>11</v>
      </c>
      <c r="D22002" s="7">
        <v>59.54</v>
      </c>
    </row>
    <row r="22003" spans="1:5" x14ac:dyDescent="0.25">
      <c r="A22003" t="str">
        <f>HYPERLINK("https://www.773grp.com/globalSearch/QS7024A-20J/page-1", "QS7024A-20J")</f>
        <v>QS7024A-20J</v>
      </c>
      <c r="B22003" s="3" t="s">
        <v>112</v>
      </c>
      <c r="C22003" s="6">
        <v>328</v>
      </c>
      <c r="D22003" s="7">
        <v>60.33</v>
      </c>
      <c r="E22003" t="s">
        <v>63</v>
      </c>
    </row>
    <row r="22004" spans="1:5" x14ac:dyDescent="0.25">
      <c r="A22004" t="str">
        <f>HYPERLINK("https://www.773grp.com/globalSearch/QS7202-15SO/page-1", "QS7202-15SO")</f>
        <v>QS7202-15SO</v>
      </c>
      <c r="B22004" s="3" t="s">
        <v>112</v>
      </c>
      <c r="C22004" s="6">
        <v>151</v>
      </c>
      <c r="D22004" s="7">
        <v>60.45</v>
      </c>
      <c r="E22004" t="s">
        <v>70</v>
      </c>
    </row>
    <row r="22005" spans="1:5" x14ac:dyDescent="0.25">
      <c r="A22005" t="str">
        <f>HYPERLINK("https://www.773grp.com/globalSearch/QS72225-35J/page-1", "QS72225-35J")</f>
        <v>QS72225-35J</v>
      </c>
      <c r="B22005" s="3" t="s">
        <v>112</v>
      </c>
      <c r="C22005" s="6">
        <v>398</v>
      </c>
      <c r="D22005" s="7">
        <v>61.46</v>
      </c>
      <c r="E22005" t="s">
        <v>70</v>
      </c>
    </row>
    <row r="22006" spans="1:5" x14ac:dyDescent="0.25">
      <c r="A22006" t="str">
        <f>HYPERLINK("https://www.773grp.com/globalSearch/QS72225-35TF/page-1", "QS72225-35TF")</f>
        <v>QS72225-35TF</v>
      </c>
      <c r="B22006" s="3" t="s">
        <v>112</v>
      </c>
      <c r="C22006" s="6">
        <v>300</v>
      </c>
      <c r="D22006" s="7">
        <v>61.46</v>
      </c>
      <c r="E22006" t="s">
        <v>70</v>
      </c>
    </row>
    <row r="22007" spans="1:5" x14ac:dyDescent="0.25">
      <c r="A22007" t="str">
        <f>HYPERLINK("https://www.773grp.com/globalSearch/QS7204-50SO/page-1", "QS7204-50SO")</f>
        <v>QS7204-50SO</v>
      </c>
      <c r="B22007" s="3" t="s">
        <v>112</v>
      </c>
      <c r="C22007" s="6">
        <v>185</v>
      </c>
      <c r="D22007" s="7">
        <v>63.63</v>
      </c>
      <c r="E22007" t="s">
        <v>70</v>
      </c>
    </row>
    <row r="22008" spans="1:5" x14ac:dyDescent="0.25">
      <c r="A22008" t="str">
        <f>HYPERLINK("https://www.773grp.com/globalSearch/QS72225-25J/page-1", "QS72225-25J")</f>
        <v>QS72225-25J</v>
      </c>
      <c r="B22008" s="3" t="s">
        <v>112</v>
      </c>
      <c r="C22008" s="6">
        <v>578</v>
      </c>
      <c r="D22008" s="7">
        <v>64.75</v>
      </c>
      <c r="E22008" t="s">
        <v>70</v>
      </c>
    </row>
    <row r="22009" spans="1:5" x14ac:dyDescent="0.25">
      <c r="A22009" t="str">
        <f>HYPERLINK("https://www.773grp.com/globalSearch/QS72225-25TF/page-1", "QS72225-25TF")</f>
        <v>QS72225-25TF</v>
      </c>
      <c r="B22009" s="3" t="s">
        <v>112</v>
      </c>
      <c r="C22009" s="6">
        <v>452</v>
      </c>
      <c r="D22009" s="7">
        <v>64.75</v>
      </c>
      <c r="E22009" t="s">
        <v>70</v>
      </c>
    </row>
    <row r="22010" spans="1:5" x14ac:dyDescent="0.25">
      <c r="A22010" t="str">
        <f>HYPERLINK("https://www.773grp.com/globalSearch/QS54FCT161ATHB/page-1", "QS54FCT161ATHB")</f>
        <v>QS54FCT161ATHB</v>
      </c>
      <c r="B22010" s="3" t="s">
        <v>112</v>
      </c>
      <c r="C22010" s="6">
        <v>176</v>
      </c>
      <c r="D22010" s="7">
        <v>65.78</v>
      </c>
      <c r="E22010" t="s">
        <v>22</v>
      </c>
    </row>
    <row r="22011" spans="1:5" x14ac:dyDescent="0.25">
      <c r="A22011" t="str">
        <f>HYPERLINK("https://www.773grp.com/globalSearch/QS7024A-55J/page-1", "QS7024A-55J")</f>
        <v>QS7024A-55J</v>
      </c>
      <c r="B22011" s="3" t="s">
        <v>112</v>
      </c>
      <c r="C22011" s="6">
        <v>96</v>
      </c>
      <c r="D22011" s="7">
        <v>66.099999999999994</v>
      </c>
      <c r="E22011" t="s">
        <v>63</v>
      </c>
    </row>
    <row r="22012" spans="1:5" x14ac:dyDescent="0.25">
      <c r="A22012" t="str">
        <f>HYPERLINK("https://www.773grp.com/globalSearch/QS72241-15JR/page-1", "QS72241-15JR")</f>
        <v>QS72241-15JR</v>
      </c>
      <c r="B22012" s="3" t="s">
        <v>112</v>
      </c>
      <c r="C22012" s="6">
        <v>117</v>
      </c>
      <c r="D22012" s="7">
        <v>66.45</v>
      </c>
      <c r="E22012" t="s">
        <v>70</v>
      </c>
    </row>
    <row r="22013" spans="1:5" x14ac:dyDescent="0.25">
      <c r="A22013" t="str">
        <f>HYPERLINK("https://www.773grp.com/globalSearch/QS7024A-35J/page-1", "QS7024A-35J")</f>
        <v>QS7024A-35J</v>
      </c>
      <c r="B22013" s="3" t="s">
        <v>112</v>
      </c>
      <c r="C22013" s="6">
        <v>12</v>
      </c>
      <c r="D22013" s="7">
        <v>67.88</v>
      </c>
      <c r="E22013" t="s">
        <v>63</v>
      </c>
    </row>
    <row r="22014" spans="1:5" x14ac:dyDescent="0.25">
      <c r="A22014" t="str">
        <f>HYPERLINK("https://www.773grp.com/globalSearch/QS54FCT2241ATDB/page-1", "QS54FCT2241ATDB")</f>
        <v>QS54FCT2241ATDB</v>
      </c>
      <c r="B22014" s="3" t="s">
        <v>112</v>
      </c>
      <c r="C22014" s="6">
        <v>104</v>
      </c>
      <c r="D22014" s="7">
        <v>69.28</v>
      </c>
    </row>
    <row r="22015" spans="1:5" x14ac:dyDescent="0.25">
      <c r="A22015" t="str">
        <f>HYPERLINK("https://www.773grp.com/globalSearch/QS54FCT244ATDB/page-1", "QS54FCT244ATDB")</f>
        <v>QS54FCT244ATDB</v>
      </c>
      <c r="B22015" s="3" t="s">
        <v>112</v>
      </c>
      <c r="C22015" s="6">
        <v>136</v>
      </c>
      <c r="D22015" s="7">
        <v>69.28</v>
      </c>
      <c r="E22015" t="s">
        <v>11</v>
      </c>
    </row>
    <row r="22016" spans="1:5" x14ac:dyDescent="0.25">
      <c r="A22016" t="str">
        <f>HYPERLINK("https://www.773grp.com/globalSearch/QS54FCT2374ATDB/page-1", "QS54FCT2374ATDB")</f>
        <v>QS54FCT2374ATDB</v>
      </c>
      <c r="B22016" s="3" t="s">
        <v>112</v>
      </c>
      <c r="C22016" s="6">
        <v>223</v>
      </c>
      <c r="D22016" s="7">
        <v>69.78</v>
      </c>
      <c r="E22016" t="s">
        <v>11</v>
      </c>
    </row>
    <row r="22017" spans="1:5" x14ac:dyDescent="0.25">
      <c r="A22017" t="str">
        <f>HYPERLINK("https://www.773grp.com/globalSearch/QS54FCT245ATDB/page-1", "QS54FCT245ATDB")</f>
        <v>QS54FCT245ATDB</v>
      </c>
      <c r="B22017" s="3" t="s">
        <v>112</v>
      </c>
      <c r="C22017" s="6">
        <v>824</v>
      </c>
      <c r="D22017" s="7">
        <v>69.78</v>
      </c>
      <c r="E22017" t="s">
        <v>11</v>
      </c>
    </row>
    <row r="22018" spans="1:5" x14ac:dyDescent="0.25">
      <c r="A22018" t="str">
        <f>HYPERLINK("https://www.773grp.com/globalSearch/QS54FCT573ATDB/page-1", "QS54FCT573ATDB")</f>
        <v>QS54FCT573ATDB</v>
      </c>
      <c r="B22018" s="3" t="s">
        <v>112</v>
      </c>
      <c r="C22018" s="6">
        <v>420</v>
      </c>
      <c r="D22018" s="7">
        <v>69.78</v>
      </c>
      <c r="E22018" t="s">
        <v>11</v>
      </c>
    </row>
    <row r="22019" spans="1:5" x14ac:dyDescent="0.25">
      <c r="A22019" t="str">
        <f>HYPERLINK("https://www.773grp.com/globalSearch/QS54FCT574ATDB/page-1", "QS54FCT574ATDB")</f>
        <v>QS54FCT574ATDB</v>
      </c>
      <c r="B22019" s="3" t="s">
        <v>112</v>
      </c>
      <c r="C22019" s="6">
        <v>182</v>
      </c>
      <c r="D22019" s="7">
        <v>69.78</v>
      </c>
      <c r="E22019" t="s">
        <v>11</v>
      </c>
    </row>
    <row r="22020" spans="1:5" x14ac:dyDescent="0.25">
      <c r="A22020" t="str">
        <f>HYPERLINK("https://www.773grp.com/globalSearch/QS7224-30V/page-1", "QS7224-30V")</f>
        <v>QS7224-30V</v>
      </c>
      <c r="B22020" s="3" t="s">
        <v>112</v>
      </c>
      <c r="C22020" s="6">
        <v>331</v>
      </c>
      <c r="D22020" s="7">
        <v>69.95</v>
      </c>
      <c r="E22020" t="s">
        <v>70</v>
      </c>
    </row>
    <row r="22021" spans="1:5" x14ac:dyDescent="0.25">
      <c r="A22021" t="str">
        <f>HYPERLINK("https://www.773grp.com/globalSearch/QS72225-20J/page-1", "QS72225-20J")</f>
        <v>QS72225-20J</v>
      </c>
      <c r="B22021" s="3" t="s">
        <v>112</v>
      </c>
      <c r="C22021" s="6">
        <v>436</v>
      </c>
      <c r="D22021" s="7">
        <v>71.73</v>
      </c>
      <c r="E22021" t="s">
        <v>70</v>
      </c>
    </row>
    <row r="22022" spans="1:5" x14ac:dyDescent="0.25">
      <c r="A22022" t="str">
        <f>HYPERLINK("https://www.773grp.com/globalSearch/QS72225-20TF/page-1", "QS72225-20TF")</f>
        <v>QS72225-20TF</v>
      </c>
      <c r="B22022" s="3" t="s">
        <v>112</v>
      </c>
      <c r="C22022" s="6">
        <v>30</v>
      </c>
      <c r="D22022" s="7">
        <v>71.73</v>
      </c>
      <c r="E22022" t="s">
        <v>70</v>
      </c>
    </row>
    <row r="22023" spans="1:5" x14ac:dyDescent="0.25">
      <c r="A22023" t="str">
        <f>HYPERLINK("https://www.773grp.com/globalSearch/QS72235-35J/page-1", "QS72235-35J")</f>
        <v>QS72235-35J</v>
      </c>
      <c r="B22023" s="3" t="s">
        <v>112</v>
      </c>
      <c r="C22023" s="6">
        <v>198</v>
      </c>
      <c r="D22023" s="7">
        <v>79.23</v>
      </c>
    </row>
    <row r="22024" spans="1:5" x14ac:dyDescent="0.25">
      <c r="A22024" t="str">
        <f>HYPERLINK("https://www.773grp.com/globalSearch/QS72235-35TF/page-1", "QS72235-35TF")</f>
        <v>QS72235-35TF</v>
      </c>
      <c r="B22024" s="3" t="s">
        <v>112</v>
      </c>
      <c r="C22024" s="6">
        <v>200</v>
      </c>
      <c r="D22024" s="7">
        <v>79.23</v>
      </c>
    </row>
    <row r="22025" spans="1:5" x14ac:dyDescent="0.25">
      <c r="A22025" t="str">
        <f>HYPERLINK("https://www.773grp.com/globalSearch/QS72235-25J/page-1", "QS72235-25J")</f>
        <v>QS72235-25J</v>
      </c>
      <c r="B22025" s="3" t="s">
        <v>112</v>
      </c>
      <c r="C22025" s="6">
        <v>500</v>
      </c>
      <c r="D22025" s="7">
        <v>81.430000000000007</v>
      </c>
    </row>
    <row r="22026" spans="1:5" x14ac:dyDescent="0.25">
      <c r="A22026" t="str">
        <f>HYPERLINK("https://www.773grp.com/globalSearch/QS72235-25TF/page-1", "QS72235-25TF")</f>
        <v>QS72235-25TF</v>
      </c>
      <c r="B22026" s="3" t="s">
        <v>112</v>
      </c>
      <c r="C22026" s="6">
        <v>242</v>
      </c>
      <c r="D22026" s="7">
        <v>81.430000000000007</v>
      </c>
    </row>
    <row r="22027" spans="1:5" x14ac:dyDescent="0.25">
      <c r="A22027" t="str">
        <f>HYPERLINK("https://www.773grp.com/globalSearch/QS29FCT52CTHB/page-1", "QS29FCT52CTHB")</f>
        <v>QS29FCT52CTHB</v>
      </c>
      <c r="B22027" s="3" t="s">
        <v>112</v>
      </c>
      <c r="C22027" s="6">
        <v>135</v>
      </c>
      <c r="D22027" s="7">
        <v>83.88</v>
      </c>
      <c r="E22027" t="s">
        <v>11</v>
      </c>
    </row>
    <row r="22028" spans="1:5" x14ac:dyDescent="0.25">
      <c r="A22028" t="str">
        <f>HYPERLINK("https://www.773grp.com/globalSearch/QS7025A-20J/page-1", "QS7025A-20J")</f>
        <v>QS7025A-20J</v>
      </c>
      <c r="B22028" s="3" t="s">
        <v>112</v>
      </c>
      <c r="C22028" s="6">
        <v>96</v>
      </c>
      <c r="D22028" s="7">
        <v>83.93</v>
      </c>
      <c r="E22028" t="s">
        <v>63</v>
      </c>
    </row>
    <row r="22029" spans="1:5" x14ac:dyDescent="0.25">
      <c r="A22029" t="str">
        <f>HYPERLINK("https://www.773grp.com/globalSearch/QS72235-20J/page-1", "QS72235-20J")</f>
        <v>QS72235-20J</v>
      </c>
      <c r="B22029" s="3" t="s">
        <v>112</v>
      </c>
      <c r="C22029" s="6">
        <v>462</v>
      </c>
      <c r="D22029" s="7">
        <v>84.29</v>
      </c>
    </row>
    <row r="22030" spans="1:5" x14ac:dyDescent="0.25">
      <c r="A22030" t="str">
        <f>HYPERLINK("https://www.773grp.com/globalSearch/QS72235-20TF/page-1", "QS72235-20TF")</f>
        <v>QS72235-20TF</v>
      </c>
      <c r="B22030" s="3" t="s">
        <v>112</v>
      </c>
      <c r="C22030" s="6">
        <v>260</v>
      </c>
      <c r="D22030" s="7">
        <v>84.29</v>
      </c>
    </row>
    <row r="22031" spans="1:5" x14ac:dyDescent="0.25">
      <c r="A22031" t="str">
        <f>HYPERLINK("https://www.773grp.com/globalSearch/QS7024A-55TF/page-1", "QS7024A-55TF")</f>
        <v>QS7024A-55TF</v>
      </c>
      <c r="B22031" s="3" t="s">
        <v>112</v>
      </c>
      <c r="C22031" s="6">
        <v>61</v>
      </c>
      <c r="D22031" s="7">
        <v>87.25</v>
      </c>
      <c r="E22031" t="s">
        <v>63</v>
      </c>
    </row>
    <row r="22032" spans="1:5" x14ac:dyDescent="0.25">
      <c r="A22032" t="str">
        <f>HYPERLINK("https://www.773grp.com/globalSearch/QS7204-15P/page-1", "QS7204-15P")</f>
        <v>QS7204-15P</v>
      </c>
      <c r="B22032" s="3" t="s">
        <v>112</v>
      </c>
      <c r="C22032" s="6">
        <v>224</v>
      </c>
      <c r="D22032" s="7">
        <v>87.45</v>
      </c>
      <c r="E22032" t="s">
        <v>70</v>
      </c>
    </row>
    <row r="22033" spans="1:5" x14ac:dyDescent="0.25">
      <c r="A22033" t="str">
        <f>HYPERLINK("https://www.773grp.com/globalSearch/QS7024A-35TF/page-1", "QS7024A-35TF")</f>
        <v>QS7024A-35TF</v>
      </c>
      <c r="B22033" s="3" t="s">
        <v>112</v>
      </c>
      <c r="C22033" s="6">
        <v>68</v>
      </c>
      <c r="D22033" s="7">
        <v>89.58</v>
      </c>
      <c r="E22033" t="s">
        <v>63</v>
      </c>
    </row>
    <row r="22034" spans="1:5" x14ac:dyDescent="0.25">
      <c r="A22034" t="str">
        <f>HYPERLINK("https://www.773grp.com/globalSearch/QS7224-20P/page-1", "QS7224-20P")</f>
        <v>QS7224-20P</v>
      </c>
      <c r="B22034" s="3" t="s">
        <v>112</v>
      </c>
      <c r="C22034" s="6">
        <v>126</v>
      </c>
      <c r="D22034" s="7">
        <v>95.4</v>
      </c>
      <c r="E22034" t="s">
        <v>70</v>
      </c>
    </row>
    <row r="22035" spans="1:5" x14ac:dyDescent="0.25">
      <c r="A22035" t="str">
        <f>HYPERLINK("https://www.773grp.com/globalSearch/QS7024A-25J/page-1", "QS7024A-25J")</f>
        <v>QS7024A-25J</v>
      </c>
      <c r="B22035" s="3" t="s">
        <v>112</v>
      </c>
      <c r="C22035" s="6">
        <v>11</v>
      </c>
      <c r="D22035" s="7">
        <v>95.6</v>
      </c>
      <c r="E22035" t="s">
        <v>63</v>
      </c>
    </row>
    <row r="22036" spans="1:5" x14ac:dyDescent="0.25">
      <c r="A22036" t="str">
        <f>HYPERLINK("https://www.773grp.com/globalSearch/QS7024A-25TF/page-1", "QS7024A-25TF")</f>
        <v>QS7024A-25TF</v>
      </c>
      <c r="B22036" s="3" t="s">
        <v>112</v>
      </c>
      <c r="C22036" s="6">
        <v>112</v>
      </c>
      <c r="D22036" s="7">
        <v>95.6</v>
      </c>
      <c r="E22036" t="s">
        <v>63</v>
      </c>
    </row>
    <row r="22037" spans="1:5" x14ac:dyDescent="0.25">
      <c r="A22037" t="str">
        <f>HYPERLINK("https://www.773grp.com/globalSearch/QS72245-35J/page-1", "QS72245-35J")</f>
        <v>QS72245-35J</v>
      </c>
      <c r="B22037" s="3" t="s">
        <v>112</v>
      </c>
      <c r="C22037" s="6">
        <v>400</v>
      </c>
      <c r="D22037" s="7">
        <v>100.88</v>
      </c>
    </row>
    <row r="22038" spans="1:5" x14ac:dyDescent="0.25">
      <c r="A22038" t="str">
        <f>HYPERLINK("https://www.773grp.com/globalSearch/QS72245-35TF/page-1", "QS72245-35TF")</f>
        <v>QS72245-35TF</v>
      </c>
      <c r="B22038" s="3" t="s">
        <v>112</v>
      </c>
      <c r="C22038" s="6">
        <v>350</v>
      </c>
      <c r="D22038" s="7">
        <v>100.88</v>
      </c>
    </row>
    <row r="22039" spans="1:5" x14ac:dyDescent="0.25">
      <c r="A22039" t="str">
        <f>HYPERLINK("https://www.773grp.com/globalSearch/QS7224-30SO/page-1", "QS7224-30SO")</f>
        <v>QS7224-30SO</v>
      </c>
      <c r="B22039" s="3" t="s">
        <v>112</v>
      </c>
      <c r="C22039" s="6">
        <v>3010</v>
      </c>
      <c r="D22039" s="7">
        <v>103.66</v>
      </c>
    </row>
    <row r="22040" spans="1:5" x14ac:dyDescent="0.25">
      <c r="A22040" t="str">
        <f>HYPERLINK("https://www.773grp.com/globalSearch/QS7203-12P/page-1", "QS7203-12P")</f>
        <v>QS7203-12P</v>
      </c>
      <c r="B22040" s="3" t="s">
        <v>112</v>
      </c>
      <c r="C22040" s="6">
        <v>272</v>
      </c>
      <c r="D22040" s="7">
        <v>104.13</v>
      </c>
      <c r="E22040" t="s">
        <v>70</v>
      </c>
    </row>
    <row r="22041" spans="1:5" x14ac:dyDescent="0.25">
      <c r="A22041" t="str">
        <f>HYPERLINK("https://www.773grp.com/globalSearch/QS7024A-20TF/page-1", "QS7024A-20TF")</f>
        <v>QS7024A-20TF</v>
      </c>
      <c r="B22041" s="3" t="s">
        <v>112</v>
      </c>
      <c r="C22041" s="6">
        <v>195</v>
      </c>
      <c r="D22041" s="7">
        <v>105.16</v>
      </c>
      <c r="E22041" t="s">
        <v>63</v>
      </c>
    </row>
    <row r="22042" spans="1:5" x14ac:dyDescent="0.25">
      <c r="A22042" t="str">
        <f>HYPERLINK("https://www.773grp.com/globalSearch/QS72024A-20J/page-1", "QS72024A-20J")</f>
        <v>QS72024A-20J</v>
      </c>
      <c r="B22042" s="3" t="s">
        <v>112</v>
      </c>
      <c r="C22042" s="6">
        <v>145</v>
      </c>
      <c r="D22042" s="7">
        <v>105.16</v>
      </c>
    </row>
    <row r="22043" spans="1:5" x14ac:dyDescent="0.25">
      <c r="A22043" t="str">
        <f>HYPERLINK("https://www.773grp.com/globalSearch/QS72245-25TF/page-1", "QS72245-25TF")</f>
        <v>QS72245-25TF</v>
      </c>
      <c r="B22043" s="3" t="s">
        <v>112</v>
      </c>
      <c r="C22043" s="6">
        <v>800</v>
      </c>
      <c r="D22043" s="7">
        <v>105.19</v>
      </c>
    </row>
    <row r="22044" spans="1:5" x14ac:dyDescent="0.25">
      <c r="A22044" t="str">
        <f>HYPERLINK("https://www.773grp.com/globalSearch/QS7025A-55J/page-1", "QS7025A-55J")</f>
        <v>QS7025A-55J</v>
      </c>
      <c r="B22044" s="3" t="s">
        <v>112</v>
      </c>
      <c r="C22044" s="6">
        <v>38</v>
      </c>
      <c r="D22044" s="7">
        <v>106.01</v>
      </c>
      <c r="E22044" t="s">
        <v>63</v>
      </c>
    </row>
    <row r="22045" spans="1:5" x14ac:dyDescent="0.25">
      <c r="A22045" t="str">
        <f>HYPERLINK("https://www.773grp.com/globalSearch/QS7025A-55TF/page-1", "QS7025A-55TF")</f>
        <v>QS7025A-55TF</v>
      </c>
      <c r="B22045" s="3" t="s">
        <v>112</v>
      </c>
      <c r="C22045" s="6">
        <v>4</v>
      </c>
      <c r="D22045" s="7">
        <v>106.01</v>
      </c>
      <c r="E22045" t="s">
        <v>63</v>
      </c>
    </row>
    <row r="22046" spans="1:5" x14ac:dyDescent="0.25">
      <c r="A22046" t="str">
        <f>HYPERLINK("https://www.773grp.com/globalSearch/QS70261A-35TF/page-1", "QS70261A-35TF")</f>
        <v>QS70261A-35TF</v>
      </c>
      <c r="B22046" s="3" t="s">
        <v>112</v>
      </c>
      <c r="C22046" s="6">
        <v>40</v>
      </c>
      <c r="D22046" s="7">
        <v>106.26</v>
      </c>
      <c r="E22046" t="s">
        <v>63</v>
      </c>
    </row>
    <row r="22047" spans="1:5" x14ac:dyDescent="0.25">
      <c r="A22047" t="str">
        <f>HYPERLINK("https://www.773grp.com/globalSearch/QS723661-50TF/page-1", "QS723661-50TF")</f>
        <v>QS723661-50TF</v>
      </c>
      <c r="B22047" s="3" t="s">
        <v>112</v>
      </c>
      <c r="C22047" s="6">
        <v>22</v>
      </c>
      <c r="D22047" s="7">
        <v>107.89</v>
      </c>
    </row>
    <row r="22048" spans="1:5" x14ac:dyDescent="0.25">
      <c r="A22048" t="str">
        <f>HYPERLINK("https://www.773grp.com/globalSearch/QS7025A-35J/page-1", "QS7025A-35J")</f>
        <v>QS7025A-35J</v>
      </c>
      <c r="B22048" s="3" t="s">
        <v>112</v>
      </c>
      <c r="C22048" s="6">
        <v>124</v>
      </c>
      <c r="D22048" s="7">
        <v>109.86</v>
      </c>
      <c r="E22048" t="s">
        <v>63</v>
      </c>
    </row>
    <row r="22049" spans="1:5" x14ac:dyDescent="0.25">
      <c r="A22049" t="str">
        <f>HYPERLINK("https://www.773grp.com/globalSearch/QS7025A-35TF/page-1", "QS7025A-35TF")</f>
        <v>QS7025A-35TF</v>
      </c>
      <c r="B22049" s="3" t="s">
        <v>112</v>
      </c>
      <c r="C22049" s="6">
        <v>122</v>
      </c>
      <c r="D22049" s="7">
        <v>109.86</v>
      </c>
      <c r="E22049" t="s">
        <v>63</v>
      </c>
    </row>
    <row r="22050" spans="1:5" x14ac:dyDescent="0.25">
      <c r="A22050" t="str">
        <f>HYPERLINK("https://www.773grp.com/globalSearch/QS72245-20J/page-1", "QS72245-20J")</f>
        <v>QS72245-20J</v>
      </c>
      <c r="B22050" s="3" t="s">
        <v>112</v>
      </c>
      <c r="C22050" s="6">
        <v>593</v>
      </c>
      <c r="D22050" s="7">
        <v>110.5</v>
      </c>
    </row>
    <row r="22051" spans="1:5" x14ac:dyDescent="0.25">
      <c r="A22051" t="str">
        <f>HYPERLINK("https://www.773grp.com/globalSearch/QS72245-20TF/page-1", "QS72245-20TF")</f>
        <v>QS72245-20TF</v>
      </c>
      <c r="B22051" s="3" t="s">
        <v>112</v>
      </c>
      <c r="C22051" s="6">
        <v>430</v>
      </c>
      <c r="D22051" s="7">
        <v>110.5</v>
      </c>
    </row>
    <row r="22052" spans="1:5" x14ac:dyDescent="0.25">
      <c r="A22052" t="str">
        <f>HYPERLINK("https://www.773grp.com/globalSearch/QS72245-25J/page-1", "QS72245-25J")</f>
        <v>QS72245-25J</v>
      </c>
      <c r="B22052" s="3" t="s">
        <v>112</v>
      </c>
      <c r="C22052" s="6">
        <v>598</v>
      </c>
      <c r="D22052" s="7">
        <v>110.5</v>
      </c>
    </row>
    <row r="22053" spans="1:5" x14ac:dyDescent="0.25">
      <c r="A22053" t="str">
        <f>HYPERLINK("https://www.773grp.com/globalSearch/QS723661-30TF/page-1", "QS723661-30TF")</f>
        <v>QS723661-30TF</v>
      </c>
      <c r="B22053" s="3" t="s">
        <v>112</v>
      </c>
      <c r="C22053" s="6">
        <v>8</v>
      </c>
      <c r="D22053" s="7">
        <v>112.98</v>
      </c>
      <c r="E22053" t="s">
        <v>70</v>
      </c>
    </row>
    <row r="22054" spans="1:5" x14ac:dyDescent="0.25">
      <c r="A22054" t="str">
        <f>HYPERLINK("https://www.773grp.com/globalSearch/QS70261A-25TF/page-1", "QS70261A-25TF")</f>
        <v>QS70261A-25TF</v>
      </c>
      <c r="B22054" s="3" t="s">
        <v>112</v>
      </c>
      <c r="C22054" s="6">
        <v>506</v>
      </c>
      <c r="D22054" s="7">
        <v>114.04</v>
      </c>
      <c r="E22054" t="s">
        <v>63</v>
      </c>
    </row>
    <row r="22055" spans="1:5" x14ac:dyDescent="0.25">
      <c r="A22055" t="str">
        <f>HYPERLINK("https://www.773grp.com/globalSearch/QS70581-25TF/page-1", "QS70581-25TF")</f>
        <v>QS70581-25TF</v>
      </c>
      <c r="B22055" s="3" t="s">
        <v>112</v>
      </c>
      <c r="C22055" s="6">
        <v>8</v>
      </c>
      <c r="D22055" s="7">
        <v>114.04</v>
      </c>
      <c r="E22055" t="s">
        <v>63</v>
      </c>
    </row>
    <row r="22056" spans="1:5" x14ac:dyDescent="0.25">
      <c r="A22056" t="str">
        <f>HYPERLINK("https://www.773grp.com/globalSearch/QS70681-25TF/page-1", "QS70681-25TF")</f>
        <v>QS70681-25TF</v>
      </c>
      <c r="B22056" s="3" t="s">
        <v>112</v>
      </c>
      <c r="C22056" s="6">
        <v>3</v>
      </c>
      <c r="D22056" s="7">
        <v>114.04</v>
      </c>
      <c r="E22056" t="s">
        <v>63</v>
      </c>
    </row>
    <row r="22057" spans="1:5" x14ac:dyDescent="0.25">
      <c r="A22057" t="str">
        <f>HYPERLINK("https://www.773grp.com/globalSearch/QS7026A-20J/page-1", "QS7026A-20J")</f>
        <v>QS7026A-20J</v>
      </c>
      <c r="B22057" s="3" t="s">
        <v>112</v>
      </c>
      <c r="C22057" s="6">
        <v>275</v>
      </c>
      <c r="D22057" s="7">
        <v>116.14</v>
      </c>
      <c r="E22057" t="s">
        <v>63</v>
      </c>
    </row>
    <row r="22058" spans="1:5" x14ac:dyDescent="0.25">
      <c r="A22058" t="str">
        <f>HYPERLINK("https://www.773grp.com/globalSearch/QS7025A-25J/page-1", "QS7025A-25J")</f>
        <v>QS7025A-25J</v>
      </c>
      <c r="B22058" s="3" t="s">
        <v>112</v>
      </c>
      <c r="C22058" s="6">
        <v>102</v>
      </c>
      <c r="D22058" s="7">
        <v>116.15</v>
      </c>
      <c r="E22058" t="s">
        <v>63</v>
      </c>
    </row>
    <row r="22059" spans="1:5" x14ac:dyDescent="0.25">
      <c r="A22059" t="str">
        <f>HYPERLINK("https://www.773grp.com/globalSearch/QS7025A-25TF/page-1", "QS7025A-25TF")</f>
        <v>QS7025A-25TF</v>
      </c>
      <c r="B22059" s="3" t="s">
        <v>112</v>
      </c>
      <c r="C22059" s="6">
        <v>577</v>
      </c>
      <c r="D22059" s="7">
        <v>116.15</v>
      </c>
      <c r="E22059" t="s">
        <v>63</v>
      </c>
    </row>
    <row r="22060" spans="1:5" x14ac:dyDescent="0.25">
      <c r="A22060" t="str">
        <f>HYPERLINK("https://www.773grp.com/globalSearch/QS7025A-20TF-02/page-1", "QS7025A-20TF-02")</f>
        <v>QS7025A-20TF-02</v>
      </c>
      <c r="B22060" s="3" t="s">
        <v>112</v>
      </c>
      <c r="C22060" s="6">
        <v>240</v>
      </c>
      <c r="D22060" s="7">
        <v>124</v>
      </c>
    </row>
    <row r="22061" spans="1:5" x14ac:dyDescent="0.25">
      <c r="A22061" t="str">
        <f>HYPERLINK("https://www.773grp.com/globalSearch/QS723661-25TF/page-1", "QS723661-25TF")</f>
        <v>QS723661-25TF</v>
      </c>
      <c r="B22061" s="3" t="s">
        <v>112</v>
      </c>
      <c r="C22061" s="6">
        <v>17</v>
      </c>
      <c r="D22061" s="7">
        <v>124.29</v>
      </c>
      <c r="E22061" t="s">
        <v>70</v>
      </c>
    </row>
    <row r="22062" spans="1:5" x14ac:dyDescent="0.25">
      <c r="A22062" t="str">
        <f>HYPERLINK("https://www.773grp.com/globalSearch/QS7224-15V/page-1", "QS7224-15V")</f>
        <v>QS7224-15V</v>
      </c>
      <c r="B22062" s="3" t="s">
        <v>112</v>
      </c>
      <c r="C22062" s="6">
        <v>434</v>
      </c>
      <c r="D22062" s="7">
        <v>124.68</v>
      </c>
      <c r="E22062" t="s">
        <v>70</v>
      </c>
    </row>
    <row r="22063" spans="1:5" x14ac:dyDescent="0.25">
      <c r="A22063" t="str">
        <f>HYPERLINK("https://www.773grp.com/globalSearch/QS7026A-55J/page-1", "QS7026A-55J")</f>
        <v>QS7026A-55J</v>
      </c>
      <c r="B22063" s="3" t="s">
        <v>112</v>
      </c>
      <c r="C22063" s="6">
        <v>114</v>
      </c>
      <c r="D22063" s="7">
        <v>130.41</v>
      </c>
      <c r="E22063" t="s">
        <v>63</v>
      </c>
    </row>
    <row r="22064" spans="1:5" x14ac:dyDescent="0.25">
      <c r="A22064" t="str">
        <f>HYPERLINK("https://www.773grp.com/globalSearch/QS70261A-20TF/page-1", "QS70261A-20TF")</f>
        <v>QS70261A-20TF</v>
      </c>
      <c r="B22064" s="3" t="s">
        <v>112</v>
      </c>
      <c r="C22064" s="6">
        <v>169</v>
      </c>
      <c r="D22064" s="7">
        <v>131.59</v>
      </c>
      <c r="E22064" t="s">
        <v>63</v>
      </c>
    </row>
    <row r="22065" spans="1:5" x14ac:dyDescent="0.25">
      <c r="A22065" t="str">
        <f>HYPERLINK("https://www.773grp.com/globalSearch/QS723620-30PF/page-1", "QS723620-30PF")</f>
        <v>QS723620-30PF</v>
      </c>
      <c r="B22065" s="3" t="s">
        <v>112</v>
      </c>
      <c r="C22065" s="6">
        <v>532</v>
      </c>
      <c r="D22065" s="7">
        <v>133.88</v>
      </c>
      <c r="E22065" t="s">
        <v>70</v>
      </c>
    </row>
    <row r="22066" spans="1:5" x14ac:dyDescent="0.25">
      <c r="A22066" t="str">
        <f>HYPERLINK("https://www.773grp.com/globalSearch/QS7026A-25J/page-1", "QS7026A-25J")</f>
        <v>QS7026A-25J</v>
      </c>
      <c r="B22066" s="3" t="s">
        <v>112</v>
      </c>
      <c r="C22066" s="6">
        <v>536</v>
      </c>
      <c r="D22066" s="7">
        <v>140.24</v>
      </c>
      <c r="E22066" t="s">
        <v>63</v>
      </c>
    </row>
    <row r="22067" spans="1:5" x14ac:dyDescent="0.25">
      <c r="A22067" t="str">
        <f>HYPERLINK("https://www.773grp.com/globalSearch/QS70261A-17TF/page-1", "QS70261A-17TF")</f>
        <v>QS70261A-17TF</v>
      </c>
      <c r="B22067" s="3" t="s">
        <v>112</v>
      </c>
      <c r="C22067" s="6">
        <v>28</v>
      </c>
      <c r="D22067" s="7">
        <v>140.74</v>
      </c>
      <c r="E22067" t="s">
        <v>63</v>
      </c>
    </row>
    <row r="22068" spans="1:5" x14ac:dyDescent="0.25">
      <c r="A22068" t="str">
        <f>HYPERLINK("https://www.773grp.com/globalSearch/QS75836-25QF/page-1", "QS75836-25QF")</f>
        <v>QS75836-25QF</v>
      </c>
      <c r="B22068" s="3" t="s">
        <v>112</v>
      </c>
      <c r="C22068" s="6">
        <v>110</v>
      </c>
      <c r="D22068" s="7">
        <v>142.80000000000001</v>
      </c>
      <c r="E22068" t="s">
        <v>63</v>
      </c>
    </row>
    <row r="22069" spans="1:5" x14ac:dyDescent="0.25">
      <c r="A22069" t="str">
        <f>HYPERLINK("https://www.773grp.com/globalSearch/QS723620-25PF/page-1", "QS723620-25PF")</f>
        <v>QS723620-25PF</v>
      </c>
      <c r="B22069" s="3" t="s">
        <v>112</v>
      </c>
      <c r="C22069" s="6">
        <v>761</v>
      </c>
      <c r="D22069" s="7">
        <v>147.26</v>
      </c>
      <c r="E22069" t="s">
        <v>70</v>
      </c>
    </row>
    <row r="22070" spans="1:5" x14ac:dyDescent="0.25">
      <c r="A22070" t="str">
        <f>HYPERLINK("https://www.773grp.com/globalSearch/QS725420A-30PF/page-1", "QS725420A-30PF")</f>
        <v>QS725420A-30PF</v>
      </c>
      <c r="B22070" s="3" t="s">
        <v>112</v>
      </c>
      <c r="C22070" s="6">
        <v>1250</v>
      </c>
      <c r="D22070" s="7">
        <v>148.5</v>
      </c>
      <c r="E22070" t="s">
        <v>70</v>
      </c>
    </row>
    <row r="22071" spans="1:5" x14ac:dyDescent="0.25">
      <c r="A22071" t="str">
        <f>HYPERLINK("https://www.773grp.com/globalSearch/QS725420A-30TF/page-1", "QS725420A-30TF")</f>
        <v>QS725420A-30TF</v>
      </c>
      <c r="B22071" s="3" t="s">
        <v>112</v>
      </c>
      <c r="C22071" s="6">
        <v>200</v>
      </c>
      <c r="D22071" s="7">
        <v>148.5</v>
      </c>
      <c r="E22071" t="s">
        <v>70</v>
      </c>
    </row>
    <row r="22072" spans="1:5" x14ac:dyDescent="0.25">
      <c r="A22072" t="str">
        <f>HYPERLINK("https://www.773grp.com/globalSearch/QS723620-20PF/page-1", "QS723620-20PF")</f>
        <v>QS723620-20PF</v>
      </c>
      <c r="B22072" s="3" t="s">
        <v>112</v>
      </c>
      <c r="C22072" s="6">
        <v>459</v>
      </c>
      <c r="D22072" s="7">
        <v>162</v>
      </c>
      <c r="E22072" t="s">
        <v>70</v>
      </c>
    </row>
    <row r="22073" spans="1:5" x14ac:dyDescent="0.25">
      <c r="A22073" t="str">
        <f>HYPERLINK("https://www.773grp.com/globalSearch/QS725420A-25PF/page-1", "QS725420A-25PF")</f>
        <v>QS725420A-25PF</v>
      </c>
      <c r="B22073" s="3" t="s">
        <v>112</v>
      </c>
      <c r="C22073" s="6">
        <v>678</v>
      </c>
      <c r="D22073" s="7">
        <v>163.35</v>
      </c>
      <c r="E22073" t="s">
        <v>70</v>
      </c>
    </row>
    <row r="22074" spans="1:5" x14ac:dyDescent="0.25">
      <c r="A22074" t="str">
        <f>HYPERLINK("https://www.773grp.com/globalSearch/QS725420A-25TF/page-1", "QS725420A-25TF")</f>
        <v>QS725420A-25TF</v>
      </c>
      <c r="B22074" s="3" t="s">
        <v>112</v>
      </c>
      <c r="C22074" s="6">
        <v>547</v>
      </c>
      <c r="D22074" s="7">
        <v>163.35</v>
      </c>
      <c r="E22074" t="s">
        <v>70</v>
      </c>
    </row>
    <row r="22075" spans="1:5" x14ac:dyDescent="0.25">
      <c r="A22075" t="str">
        <f>HYPERLINK("https://www.773grp.com/globalSearch/QS7204-10V/page-1", "QS7204-10V")</f>
        <v>QS7204-10V</v>
      </c>
      <c r="B22075" s="3" t="s">
        <v>112</v>
      </c>
      <c r="C22075" s="6">
        <v>138</v>
      </c>
      <c r="D22075" s="7">
        <v>177.24</v>
      </c>
      <c r="E22075" t="s">
        <v>70</v>
      </c>
    </row>
    <row r="22076" spans="1:5" x14ac:dyDescent="0.25">
      <c r="A22076" t="str">
        <f>HYPERLINK("https://www.773grp.com/globalSearch/QS725420A-20PF/page-1", "QS725420A-20PF")</f>
        <v>QS725420A-20PF</v>
      </c>
      <c r="B22076" s="3" t="s">
        <v>112</v>
      </c>
      <c r="C22076" s="6">
        <v>782</v>
      </c>
      <c r="D22076" s="7">
        <v>179.69</v>
      </c>
      <c r="E22076" t="s">
        <v>70</v>
      </c>
    </row>
    <row r="22077" spans="1:5" x14ac:dyDescent="0.25">
      <c r="A22077" t="str">
        <f>HYPERLINK("https://www.773grp.com/globalSearch/QS725420A-20TF/page-1", "QS725420A-20TF")</f>
        <v>QS725420A-20TF</v>
      </c>
      <c r="B22077" s="3" t="s">
        <v>112</v>
      </c>
      <c r="C22077" s="6">
        <v>270</v>
      </c>
      <c r="D22077" s="7">
        <v>179.69</v>
      </c>
      <c r="E22077" t="s">
        <v>70</v>
      </c>
    </row>
    <row r="22078" spans="1:5" x14ac:dyDescent="0.25">
      <c r="A22078" t="str">
        <f>HYPERLINK("https://www.773grp.com/globalSearch/QS723611-30TF/page-1", "QS723611-30TF")</f>
        <v>QS723611-30TF</v>
      </c>
      <c r="B22078" s="3" t="s">
        <v>112</v>
      </c>
      <c r="C22078" s="6">
        <v>550</v>
      </c>
      <c r="D22078" s="7">
        <v>192.08</v>
      </c>
      <c r="E22078" t="s">
        <v>70</v>
      </c>
    </row>
    <row r="22079" spans="1:5" x14ac:dyDescent="0.25">
      <c r="A22079" t="str">
        <f>HYPERLINK("https://www.773grp.com/globalSearch/QS723611-25TF/page-1", "QS723611-25TF")</f>
        <v>QS723611-25TF</v>
      </c>
      <c r="B22079" s="3" t="s">
        <v>112</v>
      </c>
      <c r="C22079" s="6">
        <v>529</v>
      </c>
      <c r="D22079" s="7">
        <v>211.28</v>
      </c>
      <c r="E22079" t="s">
        <v>70</v>
      </c>
    </row>
    <row r="22080" spans="1:5" x14ac:dyDescent="0.25">
      <c r="A22080" t="str">
        <f>HYPERLINK("https://www.773grp.com/globalSearch/QS723611-20TF/page-1", "QS723611-20TF")</f>
        <v>QS723611-20TF</v>
      </c>
      <c r="B22080" s="3" t="s">
        <v>112</v>
      </c>
      <c r="C22080" s="6">
        <v>269</v>
      </c>
      <c r="D22080" s="7">
        <v>232.43</v>
      </c>
      <c r="E22080" t="s">
        <v>70</v>
      </c>
    </row>
    <row r="22081" spans="1:5" x14ac:dyDescent="0.25">
      <c r="A22081" t="str">
        <f>HYPERLINK("https://www.773grp.com/globalSearch/QS723621-30TF/page-1", "QS723621-30TF")</f>
        <v>QS723621-30TF</v>
      </c>
      <c r="B22081" s="3" t="s">
        <v>112</v>
      </c>
      <c r="C22081" s="6">
        <v>310</v>
      </c>
      <c r="D22081" s="7">
        <v>239.06</v>
      </c>
      <c r="E22081" t="s">
        <v>70</v>
      </c>
    </row>
    <row r="22082" spans="1:5" x14ac:dyDescent="0.25">
      <c r="A22082" t="str">
        <f>HYPERLINK("https://www.773grp.com/globalSearch/QS723621-25TF/page-1", "QS723621-25TF")</f>
        <v>QS723621-25TF</v>
      </c>
      <c r="B22082" s="3" t="s">
        <v>112</v>
      </c>
      <c r="C22082" s="6">
        <v>448</v>
      </c>
      <c r="D22082" s="7">
        <v>258.19</v>
      </c>
      <c r="E22082" t="s">
        <v>70</v>
      </c>
    </row>
    <row r="22083" spans="1:5" x14ac:dyDescent="0.25">
      <c r="A22083" t="str">
        <f>HYPERLINK("https://www.773grp.com/globalSearch/CY2544C217/page-1", "CY2544C217")</f>
        <v>CY2544C217</v>
      </c>
      <c r="B22083" s="3" t="s">
        <v>114</v>
      </c>
      <c r="C22083" s="6">
        <v>490</v>
      </c>
      <c r="D22083" s="7">
        <v>0</v>
      </c>
    </row>
    <row r="22084" spans="1:5" x14ac:dyDescent="0.25">
      <c r="A22084" t="str">
        <f>HYPERLINK("https://www.773grp.com/globalSearch/CY2545C/page-1", "CY2545C")</f>
        <v>CY2545C</v>
      </c>
      <c r="B22084" s="3" t="s">
        <v>114</v>
      </c>
      <c r="C22084" s="6">
        <v>490</v>
      </c>
      <c r="D22084" s="7">
        <v>0</v>
      </c>
    </row>
    <row r="22085" spans="1:5" x14ac:dyDescent="0.25">
      <c r="A22085" t="str">
        <f>HYPERLINK("https://www.773grp.com/globalSearch/CY2548I/page-1", "CY2548I")</f>
        <v>CY2548I</v>
      </c>
      <c r="B22085" s="3" t="s">
        <v>114</v>
      </c>
      <c r="C22085" s="6">
        <v>490</v>
      </c>
      <c r="D22085" s="7">
        <v>0</v>
      </c>
    </row>
    <row r="22086" spans="1:5" x14ac:dyDescent="0.25">
      <c r="A22086" t="str">
        <f>HYPERLINK("https://www.773grp.com/globalSearch/FM1105/page-1", "FM1105")</f>
        <v>FM1105</v>
      </c>
      <c r="B22086" s="3" t="s">
        <v>114</v>
      </c>
      <c r="C22086" s="6">
        <v>3000</v>
      </c>
      <c r="D22086" s="7">
        <v>0</v>
      </c>
    </row>
    <row r="22087" spans="1:5" x14ac:dyDescent="0.25">
      <c r="A22087" t="str">
        <f>HYPERLINK("https://www.773grp.com/globalSearch/FM1105TR/page-1", "FM1105TR")</f>
        <v>FM1105TR</v>
      </c>
      <c r="B22087" s="3" t="s">
        <v>114</v>
      </c>
      <c r="C22087" s="6">
        <v>2700</v>
      </c>
      <c r="D22087" s="7">
        <v>0</v>
      </c>
    </row>
    <row r="22088" spans="1:5" x14ac:dyDescent="0.25">
      <c r="A22088" t="str">
        <f>HYPERLINK("https://www.773grp.com/globalSearch/FM1608B-SGTR/page-1", "FM1608B-SGTR")</f>
        <v>FM1608B-SGTR</v>
      </c>
      <c r="B22088" s="3" t="s">
        <v>114</v>
      </c>
      <c r="C22088" s="6">
        <v>9000</v>
      </c>
      <c r="D22088" s="7">
        <v>0</v>
      </c>
    </row>
    <row r="22089" spans="1:5" x14ac:dyDescent="0.25">
      <c r="A22089" t="str">
        <f>HYPERLINK("https://www.773grp.com/globalSearch/FM25H20-PG/page-1", "FM25H20-PG")</f>
        <v>FM25H20-PG</v>
      </c>
      <c r="B22089" s="3" t="s">
        <v>114</v>
      </c>
      <c r="C22089" s="6">
        <v>37897</v>
      </c>
      <c r="D22089" s="7">
        <v>0</v>
      </c>
    </row>
    <row r="22090" spans="1:5" x14ac:dyDescent="0.25">
      <c r="A22090" t="str">
        <f>HYPERLINK("https://www.773grp.com/globalSearch/FM25V02-DG/page-1", "FM25V02-DG")</f>
        <v>FM25V02-DG</v>
      </c>
      <c r="B22090" s="3" t="s">
        <v>114</v>
      </c>
      <c r="C22090" s="6">
        <v>10</v>
      </c>
      <c r="D22090" s="7">
        <v>0</v>
      </c>
    </row>
    <row r="22091" spans="1:5" x14ac:dyDescent="0.25">
      <c r="A22091" t="str">
        <f>HYPERLINK("https://www.773grp.com/globalSearch/FM25VN05-G/page-1", "FM25VN05-G")</f>
        <v>FM25VN05-G</v>
      </c>
      <c r="B22091" s="3" t="s">
        <v>114</v>
      </c>
      <c r="C22091" s="6">
        <v>9016</v>
      </c>
      <c r="D22091" s="7">
        <v>0</v>
      </c>
    </row>
    <row r="22092" spans="1:5" x14ac:dyDescent="0.25">
      <c r="A22092" t="str">
        <f>HYPERLINK("https://www.773grp.com/globalSearch/FM25VN10-G/page-1", "FM25VN10-G")</f>
        <v>FM25VN10-G</v>
      </c>
      <c r="B22092" s="3" t="s">
        <v>114</v>
      </c>
      <c r="C22092" s="6">
        <v>123</v>
      </c>
      <c r="D22092" s="7">
        <v>0</v>
      </c>
    </row>
    <row r="22093" spans="1:5" x14ac:dyDescent="0.25">
      <c r="A22093" t="str">
        <f>HYPERLINK("https://www.773grp.com/globalSearch/FM31276-G/page-1", "FM31276-G")</f>
        <v>FM31276-G</v>
      </c>
      <c r="B22093" s="3" t="s">
        <v>114</v>
      </c>
      <c r="C22093" s="6">
        <v>20</v>
      </c>
      <c r="D22093" s="7">
        <v>0</v>
      </c>
    </row>
    <row r="22094" spans="1:5" x14ac:dyDescent="0.25">
      <c r="A22094" t="str">
        <f>HYPERLINK("https://www.773grp.com/globalSearch/FM31L276-G/page-1", "FM31L276-G")</f>
        <v>FM31L276-G</v>
      </c>
      <c r="B22094" s="3" t="s">
        <v>114</v>
      </c>
      <c r="C22094" s="6">
        <v>25</v>
      </c>
      <c r="D22094" s="7">
        <v>0</v>
      </c>
    </row>
    <row r="22095" spans="1:5" x14ac:dyDescent="0.25">
      <c r="A22095" t="str">
        <f>HYPERLINK("https://www.773grp.com/globalSearch/FM1105-GA/page-1", "FM1105-GA")</f>
        <v>FM1105-GA</v>
      </c>
      <c r="B22095" s="3" t="s">
        <v>114</v>
      </c>
      <c r="C22095" s="6">
        <v>6215</v>
      </c>
      <c r="D22095" s="7">
        <v>2.69</v>
      </c>
    </row>
    <row r="22096" spans="1:5" x14ac:dyDescent="0.25">
      <c r="A22096" t="str">
        <f>HYPERLINK("https://www.773grp.com/globalSearch/FM1105-GATR/page-1", "FM1105-GATR")</f>
        <v>FM1105-GATR</v>
      </c>
      <c r="B22096" s="3" t="s">
        <v>114</v>
      </c>
      <c r="C22096" s="6">
        <v>75000</v>
      </c>
      <c r="D22096" s="7">
        <v>2.69</v>
      </c>
    </row>
    <row r="22097" spans="1:4" x14ac:dyDescent="0.25">
      <c r="A22097" t="str">
        <f>HYPERLINK("https://www.773grp.com/globalSearch/FM1106-GA/page-1", "FM1106-GA")</f>
        <v>FM1106-GA</v>
      </c>
      <c r="B22097" s="3" t="s">
        <v>114</v>
      </c>
      <c r="C22097" s="6">
        <v>15800</v>
      </c>
      <c r="D22097" s="7">
        <v>2.69</v>
      </c>
    </row>
    <row r="22098" spans="1:4" x14ac:dyDescent="0.25">
      <c r="A22098" t="str">
        <f>HYPERLINK("https://www.773grp.com/globalSearch/FM25040B-GA1/page-1", "FM25040B-GA1")</f>
        <v>FM25040B-GA1</v>
      </c>
      <c r="B22098" s="3" t="s">
        <v>114</v>
      </c>
      <c r="C22098" s="6">
        <v>2745</v>
      </c>
      <c r="D22098" s="7">
        <v>3.09</v>
      </c>
    </row>
    <row r="22099" spans="1:4" x14ac:dyDescent="0.25">
      <c r="A22099" t="str">
        <f>HYPERLINK("https://www.773grp.com/globalSearch/FM25C160B-GA1/page-1", "FM25C160B-GA1")</f>
        <v>FM25C160B-GA1</v>
      </c>
      <c r="B22099" s="3" t="s">
        <v>114</v>
      </c>
      <c r="C22099" s="6">
        <v>642</v>
      </c>
      <c r="D22099" s="7">
        <v>3.09</v>
      </c>
    </row>
    <row r="22100" spans="1:4" x14ac:dyDescent="0.25">
      <c r="A22100" t="str">
        <f>HYPERLINK("https://www.773grp.com/globalSearch/FM25C160B-GA1TR/page-1", "FM25C160B-GA1TR")</f>
        <v>FM25C160B-GA1TR</v>
      </c>
      <c r="B22100" s="3" t="s">
        <v>114</v>
      </c>
      <c r="C22100" s="6">
        <v>67500</v>
      </c>
      <c r="D22100" s="7">
        <v>3.09</v>
      </c>
    </row>
    <row r="22101" spans="1:4" x14ac:dyDescent="0.25">
      <c r="A22101" t="str">
        <f>HYPERLINK("https://www.773grp.com/globalSearch/CS7259AA/page-1", "CS7259AA")</f>
        <v>CS7259AA</v>
      </c>
      <c r="B22101" s="3" t="s">
        <v>114</v>
      </c>
      <c r="C22101" s="6">
        <v>900</v>
      </c>
      <c r="D22101" s="7">
        <v>3.24</v>
      </c>
    </row>
    <row r="22102" spans="1:4" x14ac:dyDescent="0.25">
      <c r="A22102" t="str">
        <f>HYPERLINK("https://www.773grp.com/globalSearch/FM25040B-G/page-1", "FM25040B-G")</f>
        <v>FM25040B-G</v>
      </c>
      <c r="B22102" s="3" t="s">
        <v>114</v>
      </c>
      <c r="C22102" s="6">
        <v>214</v>
      </c>
      <c r="D22102" s="7">
        <v>3.7</v>
      </c>
    </row>
    <row r="22103" spans="1:4" x14ac:dyDescent="0.25">
      <c r="A22103" t="str">
        <f>HYPERLINK("https://www.773grp.com/globalSearch/FM25L04B-G/page-1", "FM25L04B-G")</f>
        <v>FM25L04B-G</v>
      </c>
      <c r="B22103" s="3" t="s">
        <v>114</v>
      </c>
      <c r="C22103" s="6">
        <v>92</v>
      </c>
      <c r="D22103" s="7">
        <v>3.7</v>
      </c>
    </row>
    <row r="22104" spans="1:4" x14ac:dyDescent="0.25">
      <c r="A22104" t="str">
        <f>HYPERLINK("https://www.773grp.com/globalSearch/FM1114-QG/page-1", "FM1114-QG")</f>
        <v>FM1114-QG</v>
      </c>
      <c r="B22104" s="3" t="s">
        <v>114</v>
      </c>
      <c r="C22104" s="6">
        <v>1699</v>
      </c>
      <c r="D22104" s="7">
        <v>4.28</v>
      </c>
    </row>
    <row r="22105" spans="1:4" x14ac:dyDescent="0.25">
      <c r="A22105" t="str">
        <f>HYPERLINK("https://www.773grp.com/globalSearch/FM1110-QG/page-1", "FM1110-QG")</f>
        <v>FM1110-QG</v>
      </c>
      <c r="B22105" s="3" t="s">
        <v>114</v>
      </c>
      <c r="C22105" s="6">
        <v>7743</v>
      </c>
      <c r="D22105" s="7">
        <v>4.4400000000000004</v>
      </c>
    </row>
    <row r="22106" spans="1:4" x14ac:dyDescent="0.25">
      <c r="A22106" t="str">
        <f>HYPERLINK("https://www.773grp.com/globalSearch/FM1112-QG/page-1", "FM1112-QG")</f>
        <v>FM1112-QG</v>
      </c>
      <c r="B22106" s="3" t="s">
        <v>114</v>
      </c>
      <c r="C22106" s="6">
        <v>14468</v>
      </c>
      <c r="D22106" s="7">
        <v>4.4400000000000004</v>
      </c>
    </row>
    <row r="22107" spans="1:4" x14ac:dyDescent="0.25">
      <c r="A22107" t="str">
        <f>HYPERLINK("https://www.773grp.com/globalSearch/FM24C16B-G/page-1", "FM24C16B-G")</f>
        <v>FM24C16B-G</v>
      </c>
      <c r="B22107" s="3" t="s">
        <v>114</v>
      </c>
      <c r="C22107" s="6">
        <v>651</v>
      </c>
      <c r="D22107" s="7">
        <v>4.49</v>
      </c>
    </row>
    <row r="22108" spans="1:4" x14ac:dyDescent="0.25">
      <c r="A22108" t="str">
        <f>HYPERLINK("https://www.773grp.com/globalSearch/FM24C16B-G1/page-1", "FM24C16B-G1")</f>
        <v>FM24C16B-G1</v>
      </c>
      <c r="B22108" s="3" t="s">
        <v>114</v>
      </c>
      <c r="C22108" s="6">
        <v>3131</v>
      </c>
      <c r="D22108" s="7">
        <v>4.49</v>
      </c>
    </row>
    <row r="22109" spans="1:4" x14ac:dyDescent="0.25">
      <c r="A22109" t="str">
        <f>HYPERLINK("https://www.773grp.com/globalSearch/FM25C160B-G/page-1", "FM25C160B-G")</f>
        <v>FM25C160B-G</v>
      </c>
      <c r="B22109" s="3" t="s">
        <v>114</v>
      </c>
      <c r="C22109" s="6">
        <v>26</v>
      </c>
      <c r="D22109" s="7">
        <v>4.49</v>
      </c>
    </row>
    <row r="22110" spans="1:4" x14ac:dyDescent="0.25">
      <c r="A22110" t="str">
        <f>HYPERLINK("https://www.773grp.com/globalSearch/FM25L16B-G/page-1", "FM25L16B-G")</f>
        <v>FM25L16B-G</v>
      </c>
      <c r="B22110" s="3" t="s">
        <v>114</v>
      </c>
      <c r="C22110" s="6">
        <v>380</v>
      </c>
      <c r="D22110" s="7">
        <v>4.49</v>
      </c>
    </row>
    <row r="22111" spans="1:4" x14ac:dyDescent="0.25">
      <c r="A22111" t="str">
        <f>HYPERLINK("https://www.773grp.com/globalSearch/FM25L16B-G3/page-1", "FM25L16B-G3")</f>
        <v>FM25L16B-G3</v>
      </c>
      <c r="B22111" s="3" t="s">
        <v>114</v>
      </c>
      <c r="C22111" s="6">
        <v>510</v>
      </c>
      <c r="D22111" s="7">
        <v>4.49</v>
      </c>
    </row>
    <row r="22112" spans="1:4" x14ac:dyDescent="0.25">
      <c r="A22112" t="str">
        <f>HYPERLINK("https://www.773grp.com/globalSearch/FM24CL64B-G/page-1", "FM24CL64B-G")</f>
        <v>FM24CL64B-G</v>
      </c>
      <c r="B22112" s="3" t="s">
        <v>114</v>
      </c>
      <c r="C22112" s="6">
        <v>92</v>
      </c>
      <c r="D22112" s="7">
        <v>4.25</v>
      </c>
    </row>
    <row r="22113" spans="1:4" x14ac:dyDescent="0.25">
      <c r="A22113" t="str">
        <f>HYPERLINK("https://www.773grp.com/globalSearch/FM25CL64B-G/page-1", "FM25CL64B-G")</f>
        <v>FM25CL64B-G</v>
      </c>
      <c r="B22113" s="3" t="s">
        <v>114</v>
      </c>
      <c r="C22113" s="6">
        <v>478</v>
      </c>
      <c r="D22113" s="7">
        <v>4.25</v>
      </c>
    </row>
    <row r="22114" spans="1:4" x14ac:dyDescent="0.25">
      <c r="A22114" t="str">
        <f>HYPERLINK("https://www.773grp.com/globalSearch/FM25CL64B-DG/page-1", "FM25CL64B-DG")</f>
        <v>FM25CL64B-DG</v>
      </c>
      <c r="B22114" s="3" t="s">
        <v>114</v>
      </c>
      <c r="C22114" s="6">
        <v>537</v>
      </c>
      <c r="D22114" s="7">
        <v>4.6399999999999997</v>
      </c>
    </row>
    <row r="22115" spans="1:4" x14ac:dyDescent="0.25">
      <c r="A22115" t="str">
        <f>HYPERLINK("https://www.773grp.com/globalSearch/FM25640B-G/page-1", "FM25640B-G")</f>
        <v>FM25640B-G</v>
      </c>
      <c r="B22115" s="3" t="s">
        <v>114</v>
      </c>
      <c r="C22115" s="6">
        <v>800</v>
      </c>
      <c r="D22115" s="7">
        <v>5.01</v>
      </c>
    </row>
    <row r="22116" spans="1:4" x14ac:dyDescent="0.25">
      <c r="A22116" t="str">
        <f>HYPERLINK("https://www.773grp.com/globalSearch/FM25CL64B-GA/page-1", "FM25CL64B-GA")</f>
        <v>FM25CL64B-GA</v>
      </c>
      <c r="B22116" s="3" t="s">
        <v>114</v>
      </c>
      <c r="C22116" s="6">
        <v>87</v>
      </c>
      <c r="D22116" s="7">
        <v>5.01</v>
      </c>
    </row>
    <row r="22117" spans="1:4" x14ac:dyDescent="0.25">
      <c r="A22117" t="str">
        <f>HYPERLINK("https://www.773grp.com/globalSearch/FM24V01-G/page-1", "FM24V01-G")</f>
        <v>FM24V01-G</v>
      </c>
      <c r="B22117" s="3" t="s">
        <v>114</v>
      </c>
      <c r="C22117" s="6">
        <v>125</v>
      </c>
      <c r="D22117" s="7">
        <v>6.19</v>
      </c>
    </row>
    <row r="22118" spans="1:4" x14ac:dyDescent="0.25">
      <c r="A22118" t="str">
        <f>HYPERLINK("https://www.773grp.com/globalSearch/FM25640B-GA/page-1", "FM25640B-GA")</f>
        <v>FM25640B-GA</v>
      </c>
      <c r="B22118" s="3" t="s">
        <v>114</v>
      </c>
      <c r="C22118" s="6">
        <v>300</v>
      </c>
      <c r="D22118" s="7">
        <v>6.19</v>
      </c>
    </row>
    <row r="22119" spans="1:4" x14ac:dyDescent="0.25">
      <c r="A22119" t="str">
        <f>HYPERLINK("https://www.773grp.com/globalSearch/FM25V01-G/page-1", "FM25V01-G")</f>
        <v>FM25V01-G</v>
      </c>
      <c r="B22119" s="3" t="s">
        <v>114</v>
      </c>
      <c r="C22119" s="6">
        <v>470</v>
      </c>
      <c r="D22119" s="7">
        <v>6.19</v>
      </c>
    </row>
    <row r="22120" spans="1:4" x14ac:dyDescent="0.25">
      <c r="A22120" t="str">
        <f>HYPERLINK("https://www.773grp.com/globalSearch/FM24V02-G/page-1", "FM24V02-G")</f>
        <v>FM24V02-G</v>
      </c>
      <c r="B22120" s="3" t="s">
        <v>114</v>
      </c>
      <c r="C22120" s="6">
        <v>530</v>
      </c>
      <c r="D22120" s="7">
        <v>8.39</v>
      </c>
    </row>
    <row r="22121" spans="1:4" x14ac:dyDescent="0.25">
      <c r="A22121" t="str">
        <f>HYPERLINK("https://www.773grp.com/globalSearch/FM24W256-G/page-1", "FM24W256-G")</f>
        <v>FM24W256-G</v>
      </c>
      <c r="B22121" s="3" t="s">
        <v>114</v>
      </c>
      <c r="C22121" s="6">
        <v>642</v>
      </c>
      <c r="D22121" s="7">
        <v>8.44</v>
      </c>
    </row>
    <row r="22122" spans="1:4" x14ac:dyDescent="0.25">
      <c r="A22122" t="str">
        <f>HYPERLINK("https://www.773grp.com/globalSearch/FM25W256-G/page-1", "FM25W256-G")</f>
        <v>FM25W256-G</v>
      </c>
      <c r="B22122" s="3" t="s">
        <v>114</v>
      </c>
      <c r="C22122" s="6">
        <v>600</v>
      </c>
      <c r="D22122" s="7">
        <v>8.44</v>
      </c>
    </row>
    <row r="22123" spans="1:4" x14ac:dyDescent="0.25">
      <c r="A22123" t="str">
        <f>HYPERLINK("https://www.773grp.com/globalSearch/FM1608B-SG/page-1", "FM1608B-SG")</f>
        <v>FM1608B-SG</v>
      </c>
      <c r="B22123" s="3" t="s">
        <v>114</v>
      </c>
      <c r="C22123" s="6">
        <v>631</v>
      </c>
      <c r="D22123" s="7">
        <v>13.16</v>
      </c>
    </row>
    <row r="22124" spans="1:4" x14ac:dyDescent="0.25">
      <c r="A22124" t="str">
        <f>HYPERLINK("https://www.773grp.com/globalSearch/FM16W08-SG/page-1", "FM16W08-SG")</f>
        <v>FM16W08-SG</v>
      </c>
      <c r="B22124" s="3" t="s">
        <v>114</v>
      </c>
      <c r="C22124" s="6">
        <v>1323</v>
      </c>
      <c r="D22124" s="7">
        <v>13.16</v>
      </c>
    </row>
    <row r="22125" spans="1:4" x14ac:dyDescent="0.25">
      <c r="A22125" t="str">
        <f>HYPERLINK("https://www.773grp.com/globalSearch/FM25V05-G/page-1", "FM25V05-G")</f>
        <v>FM25V05-G</v>
      </c>
      <c r="B22125" s="3" t="s">
        <v>114</v>
      </c>
      <c r="C22125" s="6">
        <v>456</v>
      </c>
      <c r="D22125" s="7">
        <v>16.04</v>
      </c>
    </row>
    <row r="22126" spans="1:4" x14ac:dyDescent="0.25">
      <c r="A22126" t="str">
        <f>HYPERLINK("https://www.773grp.com/globalSearch/FM24VN10-G/page-1", "FM24VN10-G")</f>
        <v>FM24VN10-G</v>
      </c>
      <c r="B22126" s="3" t="s">
        <v>114</v>
      </c>
      <c r="C22126" s="6">
        <v>918</v>
      </c>
      <c r="D22126" s="7">
        <v>16.989999999999998</v>
      </c>
    </row>
    <row r="22127" spans="1:4" x14ac:dyDescent="0.25">
      <c r="A22127" t="str">
        <f>HYPERLINK("https://www.773grp.com/globalSearch/FM31256-G/page-1", "FM31256-G")</f>
        <v>FM31256-G</v>
      </c>
      <c r="B22127" s="3" t="s">
        <v>114</v>
      </c>
      <c r="C22127" s="6">
        <v>280</v>
      </c>
      <c r="D22127" s="7">
        <v>17.84</v>
      </c>
    </row>
    <row r="22128" spans="1:4" x14ac:dyDescent="0.25">
      <c r="A22128" t="str">
        <f>HYPERLINK("https://www.773grp.com/globalSearch/FM31L278-G/page-1", "FM31L278-G")</f>
        <v>FM31L278-G</v>
      </c>
      <c r="B22128" s="3" t="s">
        <v>114</v>
      </c>
      <c r="C22128" s="6">
        <v>28</v>
      </c>
      <c r="D22128" s="7">
        <v>17.84</v>
      </c>
    </row>
    <row r="22129" spans="1:4" x14ac:dyDescent="0.25">
      <c r="A22129" t="str">
        <f>HYPERLINK("https://www.773grp.com/globalSearch/FM33256B-G/page-1", "FM33256B-G")</f>
        <v>FM33256B-G</v>
      </c>
      <c r="B22129" s="3" t="s">
        <v>114</v>
      </c>
      <c r="C22129" s="6">
        <v>236</v>
      </c>
      <c r="D22129" s="7">
        <v>18.190000000000001</v>
      </c>
    </row>
    <row r="22130" spans="1:4" x14ac:dyDescent="0.25">
      <c r="A22130" t="str">
        <f>HYPERLINK("https://www.773grp.com/globalSearch/FM28V020-SG/page-1", "FM28V020-SG")</f>
        <v>FM28V020-SG</v>
      </c>
      <c r="B22130" s="3" t="s">
        <v>114</v>
      </c>
      <c r="C22130" s="6">
        <v>1242</v>
      </c>
      <c r="D22130" s="7">
        <v>21.65</v>
      </c>
    </row>
    <row r="22131" spans="1:4" x14ac:dyDescent="0.25">
      <c r="A22131" t="str">
        <f>HYPERLINK("https://www.773grp.com/globalSearch/FM18W08-SG/page-1", "FM18W08-SG")</f>
        <v>FM18W08-SG</v>
      </c>
      <c r="B22131" s="3" t="s">
        <v>114</v>
      </c>
      <c r="C22131" s="6">
        <v>971</v>
      </c>
      <c r="D22131" s="7">
        <v>23.63</v>
      </c>
    </row>
    <row r="22132" spans="1:4" x14ac:dyDescent="0.25">
      <c r="A22132" t="str">
        <f>HYPERLINK("https://www.773grp.com/globalSearch/FM1808B-PG/page-1", "FM1808B-PG")</f>
        <v>FM1808B-PG</v>
      </c>
      <c r="B22132" s="3" t="s">
        <v>114</v>
      </c>
      <c r="C22132" s="6">
        <v>16270</v>
      </c>
      <c r="D22132" s="7">
        <v>27.11</v>
      </c>
    </row>
    <row r="22133" spans="1:4" x14ac:dyDescent="0.25">
      <c r="A22133" t="str">
        <f>HYPERLINK("https://www.773grp.com/globalSearch/FM18W08-PG/page-1", "FM18W08-PG")</f>
        <v>FM18W08-PG</v>
      </c>
      <c r="B22133" s="3" t="s">
        <v>114</v>
      </c>
      <c r="C22133" s="6">
        <v>14150</v>
      </c>
      <c r="D22133" s="7">
        <v>27.11</v>
      </c>
    </row>
    <row r="22134" spans="1:4" x14ac:dyDescent="0.25">
      <c r="A22134" t="str">
        <f>HYPERLINK("https://www.773grp.com/globalSearch/FM25H20-DG/page-1", "FM25H20-DG")</f>
        <v>FM25H20-DG</v>
      </c>
      <c r="B22134" s="3" t="s">
        <v>114</v>
      </c>
      <c r="C22134" s="6">
        <v>879</v>
      </c>
      <c r="D22134" s="7">
        <v>29.25</v>
      </c>
    </row>
    <row r="22135" spans="1:4" x14ac:dyDescent="0.25">
      <c r="A22135" t="str">
        <f>HYPERLINK("https://www.773grp.com/globalSearch/FM25V40-DGC/page-1", "FM25V40-DGC")</f>
        <v>FM25V40-DGC</v>
      </c>
      <c r="B22135" s="3" t="s">
        <v>114</v>
      </c>
      <c r="C22135" s="6">
        <v>155</v>
      </c>
      <c r="D22135" s="7">
        <v>33.75</v>
      </c>
    </row>
    <row r="22136" spans="1:4" x14ac:dyDescent="0.25">
      <c r="A22136" t="str">
        <f>HYPERLINK("https://www.773grp.com/globalSearch/FM28V100-TG/page-1", "FM28V100-TG")</f>
        <v>FM28V100-TG</v>
      </c>
      <c r="B22136" s="3" t="s">
        <v>114</v>
      </c>
      <c r="C22136" s="6">
        <v>134</v>
      </c>
      <c r="D22136" s="7">
        <v>35.15</v>
      </c>
    </row>
    <row r="22137" spans="1:4" x14ac:dyDescent="0.25">
      <c r="A22137" t="str">
        <f>HYPERLINK("https://www.773grp.com/globalSearch/FM21L16-60-TG/page-1", "FM21L16-60-TG")</f>
        <v>FM21L16-60-TG</v>
      </c>
      <c r="B22137" s="3" t="s">
        <v>114</v>
      </c>
      <c r="C22137" s="6">
        <v>387</v>
      </c>
      <c r="D22137" s="7">
        <v>50.63</v>
      </c>
    </row>
    <row r="22138" spans="1:4" x14ac:dyDescent="0.25">
      <c r="A22138" t="str">
        <f>HYPERLINK("https://www.773grp.com/globalSearch/FM21LD16-60-BG/page-1", "FM21LD16-60-BG")</f>
        <v>FM21LD16-60-BG</v>
      </c>
      <c r="B22138" s="3" t="s">
        <v>114</v>
      </c>
      <c r="C22138" s="6">
        <v>378</v>
      </c>
      <c r="D22138" s="7">
        <v>50.63</v>
      </c>
    </row>
    <row r="22139" spans="1:4" x14ac:dyDescent="0.25">
      <c r="A22139" t="str">
        <f>HYPERLINK("https://www.773grp.com/globalSearch/FM22L16-55-TG/page-1", "FM22L16-55-TG")</f>
        <v>FM22L16-55-TG</v>
      </c>
      <c r="B22139" s="3" t="s">
        <v>114</v>
      </c>
      <c r="C22139" s="6">
        <v>1228</v>
      </c>
      <c r="D22139" s="7">
        <v>56.25</v>
      </c>
    </row>
    <row r="22140" spans="1:4" x14ac:dyDescent="0.25">
      <c r="A22140" t="str">
        <f>HYPERLINK("https://www.773grp.com/globalSearch/66495/page-1", "66495")</f>
        <v>66495</v>
      </c>
      <c r="B22140" s="3" t="s">
        <v>115</v>
      </c>
      <c r="C22140" s="6">
        <v>84</v>
      </c>
      <c r="D22140" s="7">
        <v>0</v>
      </c>
    </row>
    <row r="22141" spans="1:4" x14ac:dyDescent="0.25">
      <c r="A22141" t="str">
        <f>HYPERLINK("https://www.773grp.com/globalSearch/CA3075E/page-1", "CA3075E")</f>
        <v>CA3075E</v>
      </c>
      <c r="B22141" s="3" t="s">
        <v>115</v>
      </c>
      <c r="C22141" s="6">
        <v>5</v>
      </c>
      <c r="D22141" s="7">
        <v>0</v>
      </c>
    </row>
    <row r="22142" spans="1:4" x14ac:dyDescent="0.25">
      <c r="A22142" t="str">
        <f>HYPERLINK("https://www.773grp.com/globalSearch/CD4035BF-3/page-1", "CD4035BF-3")</f>
        <v>CD4035BF-3</v>
      </c>
      <c r="B22142" s="3" t="s">
        <v>115</v>
      </c>
      <c r="C22142" s="6">
        <v>6</v>
      </c>
      <c r="D22142" s="7">
        <v>0</v>
      </c>
    </row>
    <row r="22143" spans="1:4" x14ac:dyDescent="0.25">
      <c r="A22143" t="str">
        <f>HYPERLINK("https://www.773grp.com/globalSearch/CD4033BF3/page-1", "CD4033BF3")</f>
        <v>CD4033BF3</v>
      </c>
      <c r="B22143" s="3" t="s">
        <v>115</v>
      </c>
      <c r="C22143" s="6">
        <v>295</v>
      </c>
      <c r="D22143" s="7">
        <v>6.38</v>
      </c>
    </row>
    <row r="22144" spans="1:4" x14ac:dyDescent="0.25">
      <c r="A22144" t="str">
        <f>HYPERLINK("https://www.773grp.com/globalSearch/CD54AC240F3A/page-1", "CD54AC240F3A")</f>
        <v>CD54AC240F3A</v>
      </c>
      <c r="B22144" s="3" t="s">
        <v>115</v>
      </c>
      <c r="C22144" s="6">
        <v>6</v>
      </c>
      <c r="D22144" s="7">
        <v>15.91</v>
      </c>
    </row>
    <row r="22145" spans="1:4" x14ac:dyDescent="0.25">
      <c r="A22145" t="str">
        <f>HYPERLINK("https://www.773grp.com/globalSearch/DF3337YF16AF/page-1", "DF3337YF16AF")</f>
        <v>DF3337YF16AF</v>
      </c>
      <c r="B22145" s="3" t="str">
        <f>HYPERLINK("https://www.773grp.com/manufacturer/renesas-electronics-america-inc?pageNo=1", "Renesas Electronics")</f>
        <v>Renesas Electronics</v>
      </c>
      <c r="C22145" s="6">
        <v>44</v>
      </c>
      <c r="D22145" s="7">
        <v>0</v>
      </c>
    </row>
    <row r="22146" spans="1:4" x14ac:dyDescent="0.25">
      <c r="A22146" t="str">
        <f>HYPERLINK("https://www.773grp.com/globalSearch/DF71251AN50FPAFV/page-1", "DF71251AN50FPAFV")</f>
        <v>DF71251AN50FPAFV</v>
      </c>
      <c r="B22146" s="3" t="str">
        <f>HYPERLINK("https://www.773grp.com/manufacturer/renesas-electronics-america-inc?pageNo=2", "Renesas Electronics")</f>
        <v>Renesas Electronics</v>
      </c>
      <c r="C22146" s="6">
        <v>2262</v>
      </c>
      <c r="D22146" s="7">
        <v>0</v>
      </c>
    </row>
    <row r="22147" spans="1:4" x14ac:dyDescent="0.25">
      <c r="A22147" t="str">
        <f>HYPERLINK("https://www.773grp.com/globalSearch/RD10M-T2B-A/page-1", "RD10M-T2B-A")</f>
        <v>RD10M-T2B-A</v>
      </c>
      <c r="B22147" s="3" t="str">
        <f>HYPERLINK("https://www.773grp.com/manufacturer/renesas-electronics-america-inc?pageNo=3", "Renesas Electronics")</f>
        <v>Renesas Electronics</v>
      </c>
      <c r="C22147" s="6">
        <v>3000</v>
      </c>
      <c r="D22147" s="7">
        <v>0</v>
      </c>
    </row>
    <row r="22148" spans="1:4" x14ac:dyDescent="0.25">
      <c r="A22148" t="str">
        <f>HYPERLINK("https://www.773grp.com/globalSearch/RD11M-T2B-A/page-1", "RD11M-T2B-A")</f>
        <v>RD11M-T2B-A</v>
      </c>
      <c r="B22148" s="3" t="str">
        <f>HYPERLINK("https://www.773grp.com/manufacturer/renesas-electronics-america-inc?pageNo=4", "Renesas Electronics")</f>
        <v>Renesas Electronics</v>
      </c>
      <c r="C22148" s="6">
        <v>3000</v>
      </c>
      <c r="D22148" s="7">
        <v>0</v>
      </c>
    </row>
    <row r="22149" spans="1:4" x14ac:dyDescent="0.25">
      <c r="A22149" t="str">
        <f>HYPERLINK("https://www.773grp.com/globalSearch/RD2.4M-T2B-A/page-1", "RD2.4M-T2B-A")</f>
        <v>RD2.4M-T2B-A</v>
      </c>
      <c r="B22149" s="3" t="str">
        <f>HYPERLINK("https://www.773grp.com/manufacturer/renesas-electronics-america-inc?pageNo=5", "Renesas Electronics")</f>
        <v>Renesas Electronics</v>
      </c>
      <c r="C22149" s="6">
        <v>3000</v>
      </c>
      <c r="D22149" s="7">
        <v>0</v>
      </c>
    </row>
    <row r="22150" spans="1:4" x14ac:dyDescent="0.25">
      <c r="A22150" t="str">
        <f>HYPERLINK("https://www.773grp.com/globalSearch/RD22M-T2B-A/page-1", "RD22M-T2B-A")</f>
        <v>RD22M-T2B-A</v>
      </c>
      <c r="B22150" s="3" t="str">
        <f>HYPERLINK("https://www.773grp.com/manufacturer/renesas-electronics-america-inc?pageNo=6", "Renesas Electronics")</f>
        <v>Renesas Electronics</v>
      </c>
      <c r="C22150" s="6">
        <v>3000</v>
      </c>
      <c r="D22150" s="7">
        <v>0</v>
      </c>
    </row>
    <row r="22151" spans="1:4" x14ac:dyDescent="0.25">
      <c r="A22151" t="str">
        <f>HYPERLINK("https://www.773grp.com/globalSearch/RD3.0M-T2B-A/page-1", "RD3.0M-T2B-A")</f>
        <v>RD3.0M-T2B-A</v>
      </c>
      <c r="B22151" s="3" t="str">
        <f>HYPERLINK("https://www.773grp.com/manufacturer/renesas-electronics-america-inc?pageNo=7", "Renesas Electronics")</f>
        <v>Renesas Electronics</v>
      </c>
      <c r="C22151" s="6">
        <v>3000</v>
      </c>
      <c r="D22151" s="7">
        <v>0</v>
      </c>
    </row>
    <row r="22152" spans="1:4" x14ac:dyDescent="0.25">
      <c r="A22152" t="str">
        <f>HYPERLINK("https://www.773grp.com/globalSearch/RD3.9M-T2B-A/page-1", "RD3.9M-T2B-A")</f>
        <v>RD3.9M-T2B-A</v>
      </c>
      <c r="B22152" s="3" t="str">
        <f>HYPERLINK("https://www.773grp.com/manufacturer/renesas-electronics-america-inc?pageNo=8", "Renesas Electronics")</f>
        <v>Renesas Electronics</v>
      </c>
      <c r="C22152" s="6">
        <v>6000</v>
      </c>
      <c r="D22152" s="7">
        <v>0</v>
      </c>
    </row>
    <row r="22153" spans="1:4" x14ac:dyDescent="0.25">
      <c r="A22153" t="str">
        <f>HYPERLINK("https://www.773grp.com/globalSearch/RD8.2M-T2B-A/page-1", "RD8.2M-T2B-A")</f>
        <v>RD8.2M-T2B-A</v>
      </c>
      <c r="B22153" s="3" t="str">
        <f>HYPERLINK("https://www.773grp.com/manufacturer/renesas-electronics-america-inc?pageNo=9", "Renesas Electronics")</f>
        <v>Renesas Electronics</v>
      </c>
      <c r="C22153" s="6">
        <v>3000</v>
      </c>
      <c r="D22153" s="7">
        <v>0</v>
      </c>
    </row>
    <row r="22154" spans="1:4" x14ac:dyDescent="0.25">
      <c r="A22154" t="str">
        <f>HYPERLINK("https://www.773grp.com/globalSearch/R1LV0408CSP/page-1", "R1LV0408CSP")</f>
        <v>R1LV0408CSP</v>
      </c>
      <c r="B22154" s="3" t="str">
        <f>HYPERLINK("https://www.773grp.com/manufacturer/renesas-electronics-america-inc?pageNo=10", "Renesas Electronics")</f>
        <v>Renesas Electronics</v>
      </c>
      <c r="C22154" s="6">
        <v>458</v>
      </c>
      <c r="D22154" s="7">
        <v>0</v>
      </c>
    </row>
    <row r="22155" spans="1:4" x14ac:dyDescent="0.25">
      <c r="A22155" t="str">
        <f>HYPERLINK("https://www.773grp.com/globalSearch/1SZ53/page-1", "1SZ53")</f>
        <v>1SZ53</v>
      </c>
      <c r="B22155" s="3" t="str">
        <f>HYPERLINK("https://www.773grp.com/manufacturer/renesas-electronics-america-inc?pageNo=11", "Renesas Electronics")</f>
        <v>Renesas Electronics</v>
      </c>
      <c r="C22155" s="6">
        <v>51393</v>
      </c>
      <c r="D22155" s="7">
        <v>0</v>
      </c>
    </row>
    <row r="22156" spans="1:4" x14ac:dyDescent="0.25">
      <c r="A22156" t="str">
        <f>HYPERLINK("https://www.773grp.com/globalSearch/2SA1122CCTR-E/page-1", "2SA1122CCTR-E")</f>
        <v>2SA1122CCTR-E</v>
      </c>
      <c r="B22156" s="3" t="str">
        <f>HYPERLINK("https://www.773grp.com/manufacturer/renesas-electronics-america-inc?pageNo=12", "Renesas Electronics")</f>
        <v>Renesas Electronics</v>
      </c>
      <c r="C22156" s="6">
        <v>48000</v>
      </c>
      <c r="D22156" s="7">
        <v>0</v>
      </c>
    </row>
    <row r="22157" spans="1:4" x14ac:dyDescent="0.25">
      <c r="A22157" t="str">
        <f>HYPERLINK("https://www.773grp.com/globalSearch/2SK2084L-E/page-1", "2SK2084L-E")</f>
        <v>2SK2084L-E</v>
      </c>
      <c r="B22157" s="3" t="str">
        <f>HYPERLINK("https://www.773grp.com/manufacturer/renesas-electronics-america-inc?pageNo=13", "Renesas Electronics")</f>
        <v>Renesas Electronics</v>
      </c>
      <c r="C22157" s="6">
        <v>1010</v>
      </c>
      <c r="D22157" s="7">
        <v>0</v>
      </c>
    </row>
    <row r="22158" spans="1:4" x14ac:dyDescent="0.25">
      <c r="A22158" t="str">
        <f>HYPERLINK("https://www.773grp.com/globalSearch/2SK3142-E/page-1", "2SK3142-E")</f>
        <v>2SK3142-E</v>
      </c>
      <c r="B22158" s="3" t="str">
        <f>HYPERLINK("https://www.773grp.com/manufacturer/renesas-electronics-america-inc?pageNo=14", "Renesas Electronics")</f>
        <v>Renesas Electronics</v>
      </c>
      <c r="C22158" s="6">
        <v>1067</v>
      </c>
      <c r="D22158" s="7">
        <v>0</v>
      </c>
    </row>
    <row r="22159" spans="1:4" x14ac:dyDescent="0.25">
      <c r="A22159" t="str">
        <f>HYPERLINK("https://www.773grp.com/globalSearch/3PDF2144FA20/page-1", "3PDF2144FA20")</f>
        <v>3PDF2144FA20</v>
      </c>
      <c r="B22159" s="3" t="str">
        <f>HYPERLINK("https://www.773grp.com/manufacturer/renesas-electronics-america-inc?pageNo=15", "Renesas Electronics")</f>
        <v>Renesas Electronics</v>
      </c>
      <c r="C22159" s="6">
        <v>224</v>
      </c>
      <c r="D22159" s="7">
        <v>0</v>
      </c>
    </row>
    <row r="22160" spans="1:4" x14ac:dyDescent="0.25">
      <c r="A22160" t="str">
        <f>HYPERLINK("https://www.773grp.com/globalSearch/3PDF2623FA20/page-1", "3PDF2623FA20")</f>
        <v>3PDF2623FA20</v>
      </c>
      <c r="B22160" s="3" t="str">
        <f>HYPERLINK("https://www.773grp.com/manufacturer/renesas-electronics-america-inc?pageNo=16", "Renesas Electronics")</f>
        <v>Renesas Electronics</v>
      </c>
      <c r="C22160" s="6">
        <v>63</v>
      </c>
      <c r="D22160" s="7">
        <v>0</v>
      </c>
    </row>
    <row r="22161" spans="1:4" x14ac:dyDescent="0.25">
      <c r="A22161" t="str">
        <f>HYPERLINK("https://www.773grp.com/globalSearch/6AM13/page-1", "6AM13")</f>
        <v>6AM13</v>
      </c>
      <c r="B22161" s="3" t="str">
        <f>HYPERLINK("https://www.773grp.com/manufacturer/renesas-electronics-america-inc?pageNo=17", "Renesas Electronics")</f>
        <v>Renesas Electronics</v>
      </c>
      <c r="C22161" s="6">
        <v>2348</v>
      </c>
      <c r="D22161" s="7">
        <v>0</v>
      </c>
    </row>
    <row r="22162" spans="1:4" x14ac:dyDescent="0.25">
      <c r="A22162" t="str">
        <f>HYPERLINK("https://www.773grp.com/globalSearch/BCR16CM-12LA/page-1", "BCR16CM-12LA")</f>
        <v>BCR16CM-12LA</v>
      </c>
      <c r="B22162" s="3" t="str">
        <f>HYPERLINK("https://www.773grp.com/manufacturer/renesas-electronics-america-inc?pageNo=18", "Renesas Electronics")</f>
        <v>Renesas Electronics</v>
      </c>
      <c r="C22162" s="6">
        <v>19902</v>
      </c>
      <c r="D22162" s="7">
        <v>0</v>
      </c>
    </row>
    <row r="22163" spans="1:4" x14ac:dyDescent="0.25">
      <c r="A22163" t="str">
        <f>HYPERLINK("https://www.773grp.com/globalSearch/CT30VM-8#G01/page-1", "CT30VM-8#G01")</f>
        <v>CT30VM-8#G01</v>
      </c>
      <c r="B22163" s="3" t="str">
        <f>HYPERLINK("https://www.773grp.com/manufacturer/renesas-electronics-america-inc?pageNo=19", "Renesas Electronics")</f>
        <v>Renesas Electronics</v>
      </c>
      <c r="C22163" s="6">
        <v>1148</v>
      </c>
      <c r="D22163" s="7">
        <v>0</v>
      </c>
    </row>
    <row r="22164" spans="1:4" x14ac:dyDescent="0.25">
      <c r="A22164" t="str">
        <f>HYPERLINK("https://www.773grp.com/globalSearch/HA17431FP-EL-E/page-1", "HA17431FP-EL-E")</f>
        <v>HA17431FP-EL-E</v>
      </c>
      <c r="B22164" s="3" t="str">
        <f>HYPERLINK("https://www.773grp.com/manufacturer/renesas-electronics-america-inc?pageNo=20", "Renesas Electronics")</f>
        <v>Renesas Electronics</v>
      </c>
      <c r="C22164" s="6">
        <v>17500</v>
      </c>
      <c r="D22164" s="7">
        <v>0</v>
      </c>
    </row>
    <row r="22165" spans="1:4" x14ac:dyDescent="0.25">
      <c r="A22165" t="str">
        <f>HYPERLINK("https://www.773grp.com/globalSearch/HD63450RCPS10/page-1", "HD63450RCPS10")</f>
        <v>HD63450RCPS10</v>
      </c>
      <c r="B22165" s="3" t="str">
        <f>HYPERLINK("https://www.773grp.com/manufacturer/renesas-electronics-america-inc?pageNo=21", "Renesas Electronics")</f>
        <v>Renesas Electronics</v>
      </c>
      <c r="C22165" s="6">
        <v>160</v>
      </c>
      <c r="D22165" s="7">
        <v>0</v>
      </c>
    </row>
    <row r="22166" spans="1:4" x14ac:dyDescent="0.25">
      <c r="A22166" t="str">
        <f>HYPERLINK("https://www.773grp.com/globalSearch/HD6411750BP00M/page-1", "HD6411750BP00M")</f>
        <v>HD6411750BP00M</v>
      </c>
      <c r="B22166" s="3" t="str">
        <f>HYPERLINK("https://www.773grp.com/manufacturer/renesas-electronics-america-inc?pageNo=22", "Renesas Electronics")</f>
        <v>Renesas Electronics</v>
      </c>
      <c r="C22166" s="6">
        <v>320</v>
      </c>
      <c r="D22166" s="7">
        <v>0</v>
      </c>
    </row>
    <row r="22167" spans="1:4" x14ac:dyDescent="0.25">
      <c r="A22167" t="str">
        <f>HYPERLINK("https://www.773grp.com/globalSearch/HD6411750BP200M/page-1", "HD6411750BP200M")</f>
        <v>HD6411750BP200M</v>
      </c>
      <c r="B22167" s="3" t="str">
        <f>HYPERLINK("https://www.773grp.com/manufacturer/renesas-electronics-america-inc?pageNo=23", "Renesas Electronics")</f>
        <v>Renesas Electronics</v>
      </c>
      <c r="C22167" s="6">
        <v>320</v>
      </c>
      <c r="D22167" s="7">
        <v>0</v>
      </c>
    </row>
    <row r="22168" spans="1:4" x14ac:dyDescent="0.25">
      <c r="A22168" t="str">
        <f>HYPERLINK("https://www.773grp.com/globalSearch/HZ3C.0TRF-E/page-1", "HZ3C.0TRF-E")</f>
        <v>HZ3C.0TRF-E</v>
      </c>
      <c r="B22168" s="3" t="str">
        <f>HYPERLINK("https://www.773grp.com/manufacturer/renesas-electronics-america-inc?pageNo=24", "Renesas Electronics")</f>
        <v>Renesas Electronics</v>
      </c>
      <c r="C22168" s="6">
        <v>100000</v>
      </c>
      <c r="D22168" s="7">
        <v>0</v>
      </c>
    </row>
    <row r="22169" spans="1:4" x14ac:dyDescent="0.25">
      <c r="A22169" t="str">
        <f>HYPERLINK("https://www.773grp.com/globalSearch/M15660L#A10/page-1", "M15660L#A10")</f>
        <v>M15660L#A10</v>
      </c>
      <c r="B22169" s="3" t="str">
        <f>HYPERLINK("https://www.773grp.com/manufacturer/renesas-electronics-america-inc?pageNo=25", "Renesas Electronics")</f>
        <v>Renesas Electronics</v>
      </c>
      <c r="C22169" s="6">
        <v>658</v>
      </c>
      <c r="D22169" s="7">
        <v>0</v>
      </c>
    </row>
    <row r="22170" spans="1:4" x14ac:dyDescent="0.25">
      <c r="A22170" t="str">
        <f>HYPERLINK("https://www.773grp.com/globalSearch/M30620FCMFP#D3/page-1", "M30620FCMFP#D3")</f>
        <v>M30620FCMFP#D3</v>
      </c>
      <c r="B22170" s="3" t="str">
        <f>HYPERLINK("https://www.773grp.com/manufacturer/renesas-electronics-america-inc?pageNo=26", "Renesas Electronics")</f>
        <v>Renesas Electronics</v>
      </c>
      <c r="C22170" s="6">
        <v>121</v>
      </c>
      <c r="D22170" s="7">
        <v>0</v>
      </c>
    </row>
    <row r="22171" spans="1:4" x14ac:dyDescent="0.25">
      <c r="A22171" t="str">
        <f>HYPERLINK("https://www.773grp.com/globalSearch/M306N4FTGFP#B0J/page-1", "M306N4FTGFP#B0J")</f>
        <v>M306N4FTGFP#B0J</v>
      </c>
      <c r="B22171" s="3" t="str">
        <f>HYPERLINK("https://www.773grp.com/manufacturer/renesas-electronics-america-inc?pageNo=27", "Renesas Electronics")</f>
        <v>Renesas Electronics</v>
      </c>
      <c r="C22171" s="6">
        <v>226</v>
      </c>
      <c r="D22171" s="7">
        <v>0</v>
      </c>
    </row>
    <row r="22172" spans="1:4" x14ac:dyDescent="0.25">
      <c r="A22172" t="str">
        <f>HYPERLINK("https://www.773grp.com/globalSearch/M32170F4VFP#U0/page-1", "M32170F4VFP#U0")</f>
        <v>M32170F4VFP#U0</v>
      </c>
      <c r="B22172" s="3" t="str">
        <f>HYPERLINK("https://www.773grp.com/manufacturer/renesas-electronics-america-inc?pageNo=28", "Renesas Electronics")</f>
        <v>Renesas Electronics</v>
      </c>
      <c r="C22172" s="6">
        <v>103</v>
      </c>
      <c r="D22172" s="7">
        <v>0</v>
      </c>
    </row>
    <row r="22173" spans="1:4" x14ac:dyDescent="0.25">
      <c r="A22173" t="str">
        <f>HYPERLINK("https://www.773grp.com/globalSearch/M37534E4GP#U1/page-1", "M37534E4GP#U1")</f>
        <v>M37534E4GP#U1</v>
      </c>
      <c r="B22173" s="3" t="str">
        <f>HYPERLINK("https://www.773grp.com/manufacturer/renesas-electronics-america-inc?pageNo=29", "Renesas Electronics")</f>
        <v>Renesas Electronics</v>
      </c>
      <c r="C22173" s="6">
        <v>44</v>
      </c>
      <c r="D22173" s="7">
        <v>0</v>
      </c>
    </row>
    <row r="22174" spans="1:4" x14ac:dyDescent="0.25">
      <c r="A22174" t="str">
        <f>HYPERLINK("https://www.773grp.com/globalSearch/M37632EFFP#U2/page-1", "M37632EFFP#U2")</f>
        <v>M37632EFFP#U2</v>
      </c>
      <c r="B22174" s="3" t="str">
        <f>HYPERLINK("https://www.773grp.com/manufacturer/renesas-electronics-america-inc?pageNo=30", "Renesas Electronics")</f>
        <v>Renesas Electronics</v>
      </c>
      <c r="C22174" s="6">
        <v>54</v>
      </c>
      <c r="D22174" s="7">
        <v>0</v>
      </c>
    </row>
    <row r="22175" spans="1:4" x14ac:dyDescent="0.25">
      <c r="A22175" t="str">
        <f>HYPERLINK("https://www.773grp.com/globalSearch/M37641F8HP/page-1", "M37641F8HP")</f>
        <v>M37641F8HP</v>
      </c>
      <c r="B22175" s="3" t="str">
        <f>HYPERLINK("https://www.773grp.com/manufacturer/renesas-electronics-america-inc?pageNo=31", "Renesas Electronics")</f>
        <v>Renesas Electronics</v>
      </c>
      <c r="C22175" s="6">
        <v>734</v>
      </c>
      <c r="D22175" s="7">
        <v>0</v>
      </c>
    </row>
    <row r="22176" spans="1:4" x14ac:dyDescent="0.25">
      <c r="A22176" t="str">
        <f>HYPERLINK("https://www.773grp.com/globalSearch/M38127ECFP#UO/page-1", "M38127ECFP#UO")</f>
        <v>M38127ECFP#UO</v>
      </c>
      <c r="B22176" s="3" t="str">
        <f>HYPERLINK("https://www.773grp.com/manufacturer/renesas-electronics-america-inc?pageNo=32", "Renesas Electronics")</f>
        <v>Renesas Electronics</v>
      </c>
      <c r="C22176" s="6">
        <v>277</v>
      </c>
      <c r="D22176" s="7">
        <v>0</v>
      </c>
    </row>
    <row r="22177" spans="1:4" x14ac:dyDescent="0.25">
      <c r="A22177" t="str">
        <f>HYPERLINK("https://www.773grp.com/globalSearch/M51943BS#AGOJ/page-1", "M51943BS#AGOJ")</f>
        <v>M51943BS#AGOJ</v>
      </c>
      <c r="B22177" s="3" t="str">
        <f>HYPERLINK("https://www.773grp.com/manufacturer/renesas-electronics-america-inc?pageNo=33", "Renesas Electronics")</f>
        <v>Renesas Electronics</v>
      </c>
      <c r="C22177" s="6">
        <v>2500</v>
      </c>
      <c r="D22177" s="7">
        <v>0</v>
      </c>
    </row>
    <row r="22178" spans="1:4" x14ac:dyDescent="0.25">
      <c r="A22178" t="str">
        <f>HYPERLINK("https://www.773grp.com/globalSearch/M51946BFP#600C/page-1", "M51946BFP#600C")</f>
        <v>M51946BFP#600C</v>
      </c>
      <c r="B22178" s="3" t="str">
        <f>HYPERLINK("https://www.773grp.com/manufacturer/renesas-electronics-america-inc?pageNo=34", "Renesas Electronics")</f>
        <v>Renesas Electronics</v>
      </c>
      <c r="C22178" s="6">
        <v>9000</v>
      </c>
      <c r="D22178" s="7">
        <v>0</v>
      </c>
    </row>
    <row r="22179" spans="1:4" x14ac:dyDescent="0.25">
      <c r="A22179" t="str">
        <f>HYPERLINK("https://www.773grp.com/globalSearch/M5523AP#TF0Z/page-1", "M5523AP#TF0Z")</f>
        <v>M5523AP#TF0Z</v>
      </c>
      <c r="B22179" s="3" t="str">
        <f>HYPERLINK("https://www.773grp.com/manufacturer/renesas-electronics-america-inc?pageNo=35", "Renesas Electronics")</f>
        <v>Renesas Electronics</v>
      </c>
      <c r="C22179" s="6">
        <v>411</v>
      </c>
      <c r="D22179" s="7">
        <v>0</v>
      </c>
    </row>
    <row r="22180" spans="1:4" x14ac:dyDescent="0.25">
      <c r="A22180" t="str">
        <f>HYPERLINK("https://www.773grp.com/globalSearch/M62334FP#TF5J/page-1", "M62334FP#TF5J")</f>
        <v>M62334FP#TF5J</v>
      </c>
      <c r="B22180" s="3" t="str">
        <f>HYPERLINK("https://www.773grp.com/manufacturer/renesas-electronics-america-inc?pageNo=36", "Renesas Electronics")</f>
        <v>Renesas Electronics</v>
      </c>
      <c r="C22180" s="6">
        <v>6928</v>
      </c>
      <c r="D22180" s="7">
        <v>0</v>
      </c>
    </row>
    <row r="22181" spans="1:4" x14ac:dyDescent="0.25">
      <c r="A22181" t="str">
        <f>HYPERLINK("https://www.773grp.com/globalSearch/R2A11011FP/page-1", "R2A11011FP")</f>
        <v>R2A11011FP</v>
      </c>
      <c r="B22181" s="3" t="str">
        <f>HYPERLINK("https://www.773grp.com/manufacturer/renesas-electronics-america-inc?pageNo=37", "Renesas Electronics")</f>
        <v>Renesas Electronics</v>
      </c>
      <c r="C22181" s="6">
        <v>1382</v>
      </c>
      <c r="D22181" s="7">
        <v>0</v>
      </c>
    </row>
    <row r="22182" spans="1:4" x14ac:dyDescent="0.25">
      <c r="A22182" t="str">
        <f>HYPERLINK("https://www.773grp.com/globalSearch/R2A15105SN#U00T/page-1", "R2A15105SN#U00T")</f>
        <v>R2A15105SN#U00T</v>
      </c>
      <c r="B22182" s="3" t="str">
        <f>HYPERLINK("https://www.773grp.com/manufacturer/renesas-electronics-america-inc?pageNo=38", "Renesas Electronics")</f>
        <v>Renesas Electronics</v>
      </c>
      <c r="C22182" s="6">
        <v>1783</v>
      </c>
      <c r="D22182" s="7">
        <v>0</v>
      </c>
    </row>
    <row r="22183" spans="1:4" x14ac:dyDescent="0.25">
      <c r="A22183" t="str">
        <f>HYPERLINK("https://www.773grp.com/globalSearch/RJK0374DSP-01-J0/page-1", "RJK0374DSP-01-J0")</f>
        <v>RJK0374DSP-01-J0</v>
      </c>
      <c r="B22183" s="3" t="str">
        <f>HYPERLINK("https://www.773grp.com/manufacturer/renesas-electronics-america-inc?pageNo=39", "Renesas Electronics")</f>
        <v>Renesas Electronics</v>
      </c>
      <c r="C22183" s="6">
        <v>65000</v>
      </c>
      <c r="D22183" s="7">
        <v>0</v>
      </c>
    </row>
    <row r="22184" spans="1:4" x14ac:dyDescent="0.25">
      <c r="A22184" t="str">
        <f>HYPERLINK("https://www.773grp.com/globalSearch/RJK0380DPA-00#53/page-1", "RJK0380DPA-00#53")</f>
        <v>RJK0380DPA-00#53</v>
      </c>
      <c r="B22184" s="3" t="str">
        <f>HYPERLINK("https://www.773grp.com/manufacturer/renesas-electronics-america-inc?pageNo=40", "Renesas Electronics")</f>
        <v>Renesas Electronics</v>
      </c>
      <c r="C22184" s="6">
        <v>36000</v>
      </c>
      <c r="D22184" s="7">
        <v>0</v>
      </c>
    </row>
    <row r="22185" spans="1:4" x14ac:dyDescent="0.25">
      <c r="A22185" t="str">
        <f>HYPERLINK("https://www.773grp.com/globalSearch/RJK0391DPA-00-J53/page-1", "RJK0391DPA-00-J53")</f>
        <v>RJK0391DPA-00-J53</v>
      </c>
      <c r="B22185" s="3" t="str">
        <f>HYPERLINK("https://www.773grp.com/manufacturer/renesas-electronics-america-inc?pageNo=41", "Renesas Electronics")</f>
        <v>Renesas Electronics</v>
      </c>
      <c r="C22185" s="6">
        <v>2430</v>
      </c>
      <c r="D22185" s="7">
        <v>0</v>
      </c>
    </row>
    <row r="22186" spans="1:4" x14ac:dyDescent="0.25">
      <c r="A22186" t="str">
        <f>HYPERLINK("https://www.773grp.com/globalSearch/RJK0397DPA-0G-#J7A/page-1", "RJK0397DPA-0G-#J7A")</f>
        <v>RJK0397DPA-0G-#J7A</v>
      </c>
      <c r="B22186" s="3" t="str">
        <f>HYPERLINK("https://www.773grp.com/manufacturer/renesas-electronics-america-inc?pageNo=42", "Renesas Electronics")</f>
        <v>Renesas Electronics</v>
      </c>
      <c r="C22186" s="6">
        <v>18000</v>
      </c>
      <c r="D22186" s="7">
        <v>0</v>
      </c>
    </row>
    <row r="22187" spans="1:4" x14ac:dyDescent="0.25">
      <c r="A22187" t="str">
        <f>HYPERLINK("https://www.773grp.com/globalSearch/RJK0397DPA-0G#J7AL/page-1", "RJK0397DPA-0G#J7AL")</f>
        <v>RJK0397DPA-0G#J7AL</v>
      </c>
      <c r="B22187" s="3" t="str">
        <f>HYPERLINK("https://www.773grp.com/manufacturer/renesas-electronics-america-inc?pageNo=43", "Renesas Electronics")</f>
        <v>Renesas Electronics</v>
      </c>
      <c r="C22187" s="6">
        <v>18000</v>
      </c>
      <c r="D22187" s="7">
        <v>0</v>
      </c>
    </row>
    <row r="22188" spans="1:4" x14ac:dyDescent="0.25">
      <c r="A22188" t="str">
        <f>HYPERLINK("https://www.773grp.com/globalSearch/RJK0397DPA-0G-J7A/page-1", "RJK0397DPA-0G-J7A")</f>
        <v>RJK0397DPA-0G-J7A</v>
      </c>
      <c r="B22188" s="3" t="str">
        <f>HYPERLINK("https://www.773grp.com/manufacturer/renesas-electronics-america-inc?pageNo=44", "Renesas Electronics")</f>
        <v>Renesas Electronics</v>
      </c>
      <c r="C22188" s="6">
        <v>33000</v>
      </c>
      <c r="D22188" s="7">
        <v>0</v>
      </c>
    </row>
    <row r="22189" spans="1:4" x14ac:dyDescent="0.25">
      <c r="A22189" t="str">
        <f>HYPERLINK("https://www.773grp.com/globalSearch/RJP30H1DPP-EO-T2/page-1", "RJP30H1DPP-EO-T2")</f>
        <v>RJP30H1DPP-EO-T2</v>
      </c>
      <c r="B22189" s="3" t="str">
        <f>HYPERLINK("https://www.773grp.com/manufacturer/renesas-electronics-america-inc?pageNo=45", "Renesas Electronics")</f>
        <v>Renesas Electronics</v>
      </c>
      <c r="C22189" s="6">
        <v>153</v>
      </c>
      <c r="D22189" s="7">
        <v>0</v>
      </c>
    </row>
    <row r="22190" spans="1:4" x14ac:dyDescent="0.25">
      <c r="A22190" t="str">
        <f>HYPERLINK("https://www.773grp.com/globalSearch/RKJ6012DPP-00#T2/page-1", "RKJ6012DPP-00#T2")</f>
        <v>RKJ6012DPP-00#T2</v>
      </c>
      <c r="B22190" s="3" t="str">
        <f>HYPERLINK("https://www.773grp.com/manufacturer/renesas-electronics-america-inc?pageNo=46", "Renesas Electronics")</f>
        <v>Renesas Electronics</v>
      </c>
      <c r="C22190" s="6">
        <v>1050</v>
      </c>
      <c r="D22190" s="7">
        <v>0</v>
      </c>
    </row>
    <row r="22191" spans="1:4" x14ac:dyDescent="0.25">
      <c r="A22191" t="str">
        <f>HYPERLINK("https://www.773grp.com/globalSearch/RKZ15B2KJR1#R1/page-1", "RKZ15B2KJR1#R1")</f>
        <v>RKZ15B2KJR1#R1</v>
      </c>
      <c r="B22191" s="3" t="str">
        <f>HYPERLINK("https://www.773grp.com/manufacturer/renesas-electronics-america-inc?pageNo=47", "Renesas Electronics")</f>
        <v>Renesas Electronics</v>
      </c>
      <c r="C22191" s="6">
        <v>8000</v>
      </c>
      <c r="D22191" s="7">
        <v>0</v>
      </c>
    </row>
    <row r="22192" spans="1:4" x14ac:dyDescent="0.25">
      <c r="A22192" t="str">
        <f>HYPERLINK("https://www.773grp.com/globalSearch/UPA1428AH+1+-AZ/page-1", "UPA1428AH+1+-AZ")</f>
        <v>UPA1428AH+1+-AZ</v>
      </c>
      <c r="B22192" s="3" t="str">
        <f>HYPERLINK("https://www.773grp.com/manufacturer/renesas-electronics-america-inc?pageNo=48", "Renesas Electronics")</f>
        <v>Renesas Electronics</v>
      </c>
      <c r="C22192" s="6">
        <v>351</v>
      </c>
      <c r="D22192" s="7">
        <v>0</v>
      </c>
    </row>
    <row r="22193" spans="1:4" x14ac:dyDescent="0.25">
      <c r="A22193" t="str">
        <f>HYPERLINK("https://www.773grp.com/globalSearch/UPA1428AH-AZ/page-1", "UPA1428AH-AZ")</f>
        <v>UPA1428AH-AZ</v>
      </c>
      <c r="B22193" s="3" t="str">
        <f>HYPERLINK("https://www.773grp.com/manufacturer/renesas-electronics-america-inc?pageNo=49", "Renesas Electronics")</f>
        <v>Renesas Electronics</v>
      </c>
      <c r="C22193" s="6">
        <v>757</v>
      </c>
      <c r="D22193" s="7">
        <v>0</v>
      </c>
    </row>
    <row r="22194" spans="1:4" x14ac:dyDescent="0.25">
      <c r="A22194" t="str">
        <f>HYPERLINK("https://www.773grp.com/globalSearch/UPA1434H-AZ/page-1", "UPA1434H-AZ")</f>
        <v>UPA1434H-AZ</v>
      </c>
      <c r="B22194" s="3" t="str">
        <f>HYPERLINK("https://www.773grp.com/manufacturer/renesas-electronics-america-inc?pageNo=50", "Renesas Electronics")</f>
        <v>Renesas Electronics</v>
      </c>
      <c r="C22194" s="6">
        <v>154</v>
      </c>
      <c r="D22194" s="7">
        <v>0</v>
      </c>
    </row>
    <row r="22195" spans="1:4" x14ac:dyDescent="0.25">
      <c r="A22195" t="str">
        <f>HYPERLINK("https://www.773grp.com/globalSearch/UPA1436AH-AZ/page-1", "UPA1436AH-AZ")</f>
        <v>UPA1436AH-AZ</v>
      </c>
      <c r="B22195" s="3" t="str">
        <f>HYPERLINK("https://www.773grp.com/manufacturer/renesas-electronics-america-inc?pageNo=51", "Renesas Electronics")</f>
        <v>Renesas Electronics</v>
      </c>
      <c r="C22195" s="6">
        <v>189</v>
      </c>
      <c r="D22195" s="7">
        <v>0</v>
      </c>
    </row>
    <row r="22196" spans="1:4" x14ac:dyDescent="0.25">
      <c r="A22196" t="str">
        <f>HYPERLINK("https://www.773grp.com/globalSearch/UPA1437H-AZ/page-1", "UPA1437H-AZ")</f>
        <v>UPA1437H-AZ</v>
      </c>
      <c r="B22196" s="3" t="str">
        <f>HYPERLINK("https://www.773grp.com/manufacturer/renesas-electronics-america-inc?pageNo=52", "Renesas Electronics")</f>
        <v>Renesas Electronics</v>
      </c>
      <c r="C22196" s="6">
        <v>332</v>
      </c>
      <c r="D22196" s="7">
        <v>0</v>
      </c>
    </row>
    <row r="22197" spans="1:4" x14ac:dyDescent="0.25">
      <c r="A22197" t="str">
        <f>HYPERLINK("https://www.773grp.com/globalSearch/UPA1456H+1+-AZ/page-1", "UPA1456H+1+-AZ")</f>
        <v>UPA1456H+1+-AZ</v>
      </c>
      <c r="B22197" s="3" t="str">
        <f>HYPERLINK("https://www.773grp.com/manufacturer/renesas-electronics-america-inc?pageNo=53", "Renesas Electronics")</f>
        <v>Renesas Electronics</v>
      </c>
      <c r="C22197" s="6">
        <v>248</v>
      </c>
      <c r="D22197" s="7">
        <v>0</v>
      </c>
    </row>
    <row r="22198" spans="1:4" x14ac:dyDescent="0.25">
      <c r="A22198" t="str">
        <f>HYPERLINK("https://www.773grp.com/globalSearch/UPA1456H+2+-AZ/page-1", "UPA1456H+2+-AZ")</f>
        <v>UPA1456H+2+-AZ</v>
      </c>
      <c r="B22198" s="3" t="str">
        <f>HYPERLINK("https://www.773grp.com/manufacturer/renesas-electronics-america-inc?pageNo=54", "Renesas Electronics")</f>
        <v>Renesas Electronics</v>
      </c>
      <c r="C22198" s="6">
        <v>1265</v>
      </c>
      <c r="D22198" s="7">
        <v>0</v>
      </c>
    </row>
    <row r="22199" spans="1:4" x14ac:dyDescent="0.25">
      <c r="A22199" t="str">
        <f>HYPERLINK("https://www.773grp.com/globalSearch/UPA1456H+3+-AZ/page-1", "UPA1456H+3+-AZ")</f>
        <v>UPA1456H+3+-AZ</v>
      </c>
      <c r="B22199" s="3" t="str">
        <f>HYPERLINK("https://www.773grp.com/manufacturer/renesas-electronics-america-inc?pageNo=55", "Renesas Electronics")</f>
        <v>Renesas Electronics</v>
      </c>
      <c r="C22199" s="6">
        <v>67</v>
      </c>
      <c r="D22199" s="7">
        <v>0</v>
      </c>
    </row>
    <row r="22200" spans="1:4" x14ac:dyDescent="0.25">
      <c r="A22200" t="str">
        <f>HYPERLINK("https://www.773grp.com/globalSearch/UPA1458H+1+-AZ/page-1", "UPA1458H+1+-AZ")</f>
        <v>UPA1458H+1+-AZ</v>
      </c>
      <c r="B22200" s="3" t="str">
        <f>HYPERLINK("https://www.773grp.com/manufacturer/renesas-electronics-america-inc?pageNo=56", "Renesas Electronics")</f>
        <v>Renesas Electronics</v>
      </c>
      <c r="C22200" s="6">
        <v>579</v>
      </c>
      <c r="D22200" s="7">
        <v>0</v>
      </c>
    </row>
    <row r="22201" spans="1:4" x14ac:dyDescent="0.25">
      <c r="A22201" t="str">
        <f>HYPERLINK("https://www.773grp.com/globalSearch/UPA1476H-AZ/page-1", "UPA1476H-AZ")</f>
        <v>UPA1476H-AZ</v>
      </c>
      <c r="B22201" s="3" t="str">
        <f>HYPERLINK("https://www.773grp.com/manufacturer/renesas-electronics-america-inc?pageNo=57", "Renesas Electronics")</f>
        <v>Renesas Electronics</v>
      </c>
      <c r="C22201" s="6">
        <v>2546</v>
      </c>
      <c r="D22201" s="7">
        <v>0</v>
      </c>
    </row>
    <row r="22202" spans="1:4" x14ac:dyDescent="0.25">
      <c r="A22202" t="str">
        <f>HYPERLINK("https://www.773grp.com/globalSearch/UPA1501H+2+-AZ/page-1", "UPA1501H+2+-AZ")</f>
        <v>UPA1501H+2+-AZ</v>
      </c>
      <c r="B22202" s="3" t="str">
        <f>HYPERLINK("https://www.773grp.com/manufacturer/renesas-electronics-america-inc?pageNo=58", "Renesas Electronics")</f>
        <v>Renesas Electronics</v>
      </c>
      <c r="C22202" s="6">
        <v>326</v>
      </c>
      <c r="D22202" s="7">
        <v>0</v>
      </c>
    </row>
    <row r="22203" spans="1:4" x14ac:dyDescent="0.25">
      <c r="A22203" t="str">
        <f>HYPERLINK("https://www.773grp.com/globalSearch/UPA1501H-AZ/page-1", "UPA1501H-AZ")</f>
        <v>UPA1501H-AZ</v>
      </c>
      <c r="B22203" s="3" t="str">
        <f>HYPERLINK("https://www.773grp.com/manufacturer/renesas-electronics-america-inc?pageNo=59", "Renesas Electronics")</f>
        <v>Renesas Electronics</v>
      </c>
      <c r="C22203" s="6">
        <v>431</v>
      </c>
      <c r="D22203" s="7">
        <v>0</v>
      </c>
    </row>
    <row r="22204" spans="1:4" x14ac:dyDescent="0.25">
      <c r="A22204" t="str">
        <f>HYPERLINK("https://www.773grp.com/globalSearch/UPA1522H-AZ/page-1", "UPA1522H-AZ")</f>
        <v>UPA1522H-AZ</v>
      </c>
      <c r="B22204" s="3" t="str">
        <f>HYPERLINK("https://www.773grp.com/manufacturer/renesas-electronics-america-inc?pageNo=60", "Renesas Electronics")</f>
        <v>Renesas Electronics</v>
      </c>
      <c r="C22204" s="6">
        <v>100</v>
      </c>
      <c r="D22204" s="7">
        <v>0</v>
      </c>
    </row>
    <row r="22205" spans="1:4" x14ac:dyDescent="0.25">
      <c r="A22205" t="str">
        <f>HYPERLINK("https://www.773grp.com/globalSearch/UPA1524H-AZ/page-1", "UPA1524H-AZ")</f>
        <v>UPA1524H-AZ</v>
      </c>
      <c r="B22205" s="3" t="str">
        <f>HYPERLINK("https://www.773grp.com/manufacturer/renesas-electronics-america-inc?pageNo=61", "Renesas Electronics")</f>
        <v>Renesas Electronics</v>
      </c>
      <c r="C22205" s="6">
        <v>35</v>
      </c>
      <c r="D22205" s="7">
        <v>0</v>
      </c>
    </row>
    <row r="22206" spans="1:4" x14ac:dyDescent="0.25">
      <c r="A22206" t="str">
        <f>HYPERLINK("https://www.773grp.com/globalSearch/UPA1526H-AZ/page-1", "UPA1526H-AZ")</f>
        <v>UPA1526H-AZ</v>
      </c>
      <c r="B22206" s="3" t="str">
        <f>HYPERLINK("https://www.773grp.com/manufacturer/renesas-electronics-america-inc?pageNo=62", "Renesas Electronics")</f>
        <v>Renesas Electronics</v>
      </c>
      <c r="C22206" s="6">
        <v>109</v>
      </c>
      <c r="D22206" s="7">
        <v>0</v>
      </c>
    </row>
    <row r="22207" spans="1:4" x14ac:dyDescent="0.25">
      <c r="A22207" t="str">
        <f>HYPERLINK("https://www.773grp.com/globalSearch/UPA1527H-AZ/page-1", "UPA1527H-AZ")</f>
        <v>UPA1527H-AZ</v>
      </c>
      <c r="B22207" s="3" t="str">
        <f>HYPERLINK("https://www.773grp.com/manufacturer/renesas-electronics-america-inc?pageNo=63", "Renesas Electronics")</f>
        <v>Renesas Electronics</v>
      </c>
      <c r="C22207" s="6">
        <v>179</v>
      </c>
      <c r="D22207" s="7">
        <v>0</v>
      </c>
    </row>
    <row r="22208" spans="1:4" x14ac:dyDescent="0.25">
      <c r="A22208" t="str">
        <f>HYPERLINK("https://www.773grp.com/globalSearch/UPA1556AH+1+-AZ/page-1", "UPA1556AH+1+-AZ")</f>
        <v>UPA1556AH+1+-AZ</v>
      </c>
      <c r="B22208" s="3" t="str">
        <f>HYPERLINK("https://www.773grp.com/manufacturer/renesas-electronics-america-inc?pageNo=64", "Renesas Electronics")</f>
        <v>Renesas Electronics</v>
      </c>
      <c r="C22208" s="6">
        <v>162</v>
      </c>
      <c r="D22208" s="7">
        <v>0</v>
      </c>
    </row>
    <row r="22209" spans="1:4" x14ac:dyDescent="0.25">
      <c r="A22209" t="str">
        <f>HYPERLINK("https://www.773grp.com/globalSearch/UPA1556AH+7+-AZ/page-1", "UPA1556AH+7+-AZ")</f>
        <v>UPA1556AH+7+-AZ</v>
      </c>
      <c r="B22209" s="3" t="str">
        <f>HYPERLINK("https://www.773grp.com/manufacturer/renesas-electronics-america-inc?pageNo=65", "Renesas Electronics")</f>
        <v>Renesas Electronics</v>
      </c>
      <c r="C22209" s="6">
        <v>393</v>
      </c>
      <c r="D22209" s="7">
        <v>0</v>
      </c>
    </row>
    <row r="22210" spans="1:4" x14ac:dyDescent="0.25">
      <c r="A22210" t="str">
        <f>HYPERLINK("https://www.773grp.com/globalSearch/UPA1572BH+1+-AZ/page-1", "UPA1572BH+1+-AZ")</f>
        <v>UPA1572BH+1+-AZ</v>
      </c>
      <c r="B22210" s="3" t="str">
        <f>HYPERLINK("https://www.773grp.com/manufacturer/renesas-electronics-america-inc?pageNo=66", "Renesas Electronics")</f>
        <v>Renesas Electronics</v>
      </c>
      <c r="C22210" s="6">
        <v>2018</v>
      </c>
      <c r="D22210" s="7">
        <v>0</v>
      </c>
    </row>
    <row r="22211" spans="1:4" x14ac:dyDescent="0.25">
      <c r="A22211" t="str">
        <f>HYPERLINK("https://www.773grp.com/globalSearch/UPA1572BH-AZ/page-1", "UPA1572BH-AZ")</f>
        <v>UPA1572BH-AZ</v>
      </c>
      <c r="B22211" s="3" t="str">
        <f>HYPERLINK("https://www.773grp.com/manufacturer/renesas-electronics-america-inc?pageNo=67", "Renesas Electronics")</f>
        <v>Renesas Electronics</v>
      </c>
      <c r="C22211" s="6">
        <v>61</v>
      </c>
      <c r="D22211" s="7">
        <v>0</v>
      </c>
    </row>
    <row r="22212" spans="1:4" x14ac:dyDescent="0.25">
      <c r="A22212" t="str">
        <f>HYPERLINK("https://www.773grp.com/globalSearch/UPA2450CT(1)-E1-A/page-1", "UPA2450CT(1)-E1-A")</f>
        <v>UPA2450CT(1)-E1-A</v>
      </c>
      <c r="B22212" s="3" t="str">
        <f>HYPERLINK("https://www.773grp.com/manufacturer/renesas-electronics-america-inc?pageNo=68", "Renesas Electronics")</f>
        <v>Renesas Electronics</v>
      </c>
      <c r="C22212" s="6">
        <v>3000</v>
      </c>
      <c r="D22212" s="7">
        <v>0</v>
      </c>
    </row>
    <row r="22213" spans="1:4" x14ac:dyDescent="0.25">
      <c r="A22213" t="str">
        <f>HYPERLINK("https://www.773grp.com/globalSearch/UPD16879GSBGGA-A/page-1", "UPD16879GSBGGA-A")</f>
        <v>UPD16879GSBGGA-A</v>
      </c>
      <c r="B22213" s="3" t="str">
        <f>HYPERLINK("https://www.773grp.com/manufacturer/renesas-electronics-america-inc?pageNo=69", "Renesas Electronics")</f>
        <v>Renesas Electronics</v>
      </c>
      <c r="C22213" s="6">
        <v>639</v>
      </c>
      <c r="D22213" s="7">
        <v>0</v>
      </c>
    </row>
    <row r="22214" spans="1:4" x14ac:dyDescent="0.25">
      <c r="A22214" t="str">
        <f>HYPERLINK("https://www.773grp.com/globalSearch/UPD61534FH-2N7-E1-A/page-1", "UPD61534FH-2N7-E1-A")</f>
        <v>UPD61534FH-2N7-E1-A</v>
      </c>
      <c r="B22214" s="3" t="str">
        <f>HYPERLINK("https://www.773grp.com/manufacturer/renesas-electronics-america-inc?pageNo=70", "Renesas Electronics")</f>
        <v>Renesas Electronics</v>
      </c>
      <c r="C22214" s="6">
        <v>18000</v>
      </c>
      <c r="D22214" s="7">
        <v>0</v>
      </c>
    </row>
    <row r="22215" spans="1:4" x14ac:dyDescent="0.25">
      <c r="A22215" t="str">
        <f>HYPERLINK("https://www.773grp.com/globalSearch/UPD61535FH-2A5-E1-A/page-1", "UPD61535FH-2A5-E1-A")</f>
        <v>UPD61535FH-2A5-E1-A</v>
      </c>
      <c r="B22215" s="3" t="str">
        <f>HYPERLINK("https://www.773grp.com/manufacturer/renesas-electronics-america-inc?pageNo=71", "Renesas Electronics")</f>
        <v>Renesas Electronics</v>
      </c>
      <c r="C22215" s="6">
        <v>3000</v>
      </c>
      <c r="D22215" s="7">
        <v>0</v>
      </c>
    </row>
    <row r="22216" spans="1:4" x14ac:dyDescent="0.25">
      <c r="A22216" t="str">
        <f>HYPERLINK("https://www.773grp.com/globalSearch/UPD6345GS-E1/page-1", "UPD6345GS-E1")</f>
        <v>UPD6345GS-E1</v>
      </c>
      <c r="B22216" s="3" t="str">
        <f>HYPERLINK("https://www.773grp.com/manufacturer/renesas-electronics-america-inc?pageNo=72", "Renesas Electronics")</f>
        <v>Renesas Electronics</v>
      </c>
      <c r="C22216" s="6">
        <v>2500</v>
      </c>
      <c r="D22216" s="7">
        <v>0</v>
      </c>
    </row>
    <row r="22217" spans="1:4" x14ac:dyDescent="0.25">
      <c r="A22217" t="str">
        <f>HYPERLINK("https://www.773grp.com/globalSearch/UPD78F0103M4MC-5A4/page-1", "UPD78F0103M4MC-5A4")</f>
        <v>UPD78F0103M4MC-5A4</v>
      </c>
      <c r="B22217" s="3" t="str">
        <f>HYPERLINK("https://www.773grp.com/manufacturer/renesas-electronics-america-inc?pageNo=73", "Renesas Electronics")</f>
        <v>Renesas Electronics</v>
      </c>
      <c r="C22217" s="6">
        <v>41</v>
      </c>
      <c r="D22217" s="7">
        <v>0</v>
      </c>
    </row>
    <row r="22218" spans="1:4" x14ac:dyDescent="0.25">
      <c r="A22218" t="str">
        <f>HYPERLINK("https://www.773grp.com/globalSearch/UPD78F0138HGK-9ET/page-1", "UPD78F0138HGK-9ET")</f>
        <v>UPD78F0138HGK-9ET</v>
      </c>
      <c r="B22218" s="3" t="str">
        <f>HYPERLINK("https://www.773grp.com/manufacturer/renesas-electronics-america-inc?pageNo=74", "Renesas Electronics")</f>
        <v>Renesas Electronics</v>
      </c>
      <c r="C22218" s="6">
        <v>2894</v>
      </c>
      <c r="D22218" s="7">
        <v>0</v>
      </c>
    </row>
    <row r="22219" spans="1:4" x14ac:dyDescent="0.25">
      <c r="A22219" t="str">
        <f>HYPERLINK("https://www.773grp.com/globalSearch/UPD78F8024GK+S+-GAJ-AX/page-1", "UPD78F8024GK+S+-GAJ-AX")</f>
        <v>UPD78F8024GK+S+-GAJ-AX</v>
      </c>
      <c r="B22219" s="3" t="str">
        <f>HYPERLINK("https://www.773grp.com/manufacturer/renesas-electronics-america-inc?pageNo=75", "Renesas Electronics")</f>
        <v>Renesas Electronics</v>
      </c>
      <c r="C22219" s="6">
        <v>742</v>
      </c>
      <c r="D22219" s="7">
        <v>0</v>
      </c>
    </row>
    <row r="22220" spans="1:4" x14ac:dyDescent="0.25">
      <c r="A22220" t="str">
        <f>HYPERLINK("https://www.773grp.com/globalSearch/UPD78F8025GK+S+-GAJ-AX/page-1", "UPD78F8025GK+S+-GAJ-AX")</f>
        <v>UPD78F8025GK+S+-GAJ-AX</v>
      </c>
      <c r="B22220" s="3" t="str">
        <f>HYPERLINK("https://www.773grp.com/manufacturer/renesas-electronics-america-inc?pageNo=76", "Renesas Electronics")</f>
        <v>Renesas Electronics</v>
      </c>
      <c r="C22220" s="6">
        <v>11</v>
      </c>
      <c r="D22220" s="7">
        <v>0</v>
      </c>
    </row>
    <row r="22221" spans="1:4" x14ac:dyDescent="0.25">
      <c r="A22221" t="str">
        <f>HYPERLINK("https://www.773grp.com/globalSearch/UPD78F9210GR+A2+-JJG-A/page-1", "UPD78F9210GR+A2+-JJG-A")</f>
        <v>UPD78F9210GR+A2+-JJG-A</v>
      </c>
      <c r="B22221" s="3" t="str">
        <f>HYPERLINK("https://www.773grp.com/manufacturer/renesas-electronics-america-inc?pageNo=77", "Renesas Electronics")</f>
        <v>Renesas Electronics</v>
      </c>
      <c r="C22221" s="6">
        <v>2501</v>
      </c>
      <c r="D22221" s="7">
        <v>0</v>
      </c>
    </row>
    <row r="22222" spans="1:4" x14ac:dyDescent="0.25">
      <c r="A22222" t="str">
        <f>HYPERLINK("https://www.773grp.com/globalSearch/1SS270ATD-P-E/page-1", "1SS270ATD-P-E")</f>
        <v>1SS270ATD-P-E</v>
      </c>
      <c r="B22222" s="3" t="str">
        <f>HYPERLINK("https://www.773grp.com/manufacturer/renesas-electronics-america-inc?pageNo=78", "Renesas Electronics")</f>
        <v>Renesas Electronics</v>
      </c>
      <c r="C22222" s="6">
        <v>75000</v>
      </c>
      <c r="D22222" s="7">
        <v>0.05</v>
      </c>
    </row>
    <row r="22223" spans="1:4" x14ac:dyDescent="0.25">
      <c r="A22223" t="str">
        <f>HYPERLINK("https://www.773grp.com/globalSearch/1SS270ATE-P-E/page-1", "1SS270ATE-P-E")</f>
        <v>1SS270ATE-P-E</v>
      </c>
      <c r="B22223" s="3" t="str">
        <f>HYPERLINK("https://www.773grp.com/manufacturer/renesas-electronics-america-inc?pageNo=79", "Renesas Electronics")</f>
        <v>Renesas Electronics</v>
      </c>
      <c r="C22223" s="6">
        <v>15000</v>
      </c>
      <c r="D22223" s="7">
        <v>0.05</v>
      </c>
    </row>
    <row r="22224" spans="1:4" x14ac:dyDescent="0.25">
      <c r="A22224" t="str">
        <f>HYPERLINK("https://www.773grp.com/globalSearch/1S2075KTA-P-E/page-1", "1S2075KTA-P-E")</f>
        <v>1S2075KTA-P-E</v>
      </c>
      <c r="B22224" s="3" t="str">
        <f>HYPERLINK("https://www.773grp.com/manufacturer/renesas-electronics-america-inc?pageNo=80", "Renesas Electronics")</f>
        <v>Renesas Electronics</v>
      </c>
      <c r="C22224" s="6">
        <v>15000</v>
      </c>
      <c r="D22224" s="7">
        <v>0.1</v>
      </c>
    </row>
    <row r="22225" spans="1:4" x14ac:dyDescent="0.25">
      <c r="A22225" t="str">
        <f>HYPERLINK("https://www.773grp.com/globalSearch/1S2076JRE/page-1", "1S2076JRE")</f>
        <v>1S2076JRE</v>
      </c>
      <c r="B22225" s="3" t="str">
        <f>HYPERLINK("https://www.773grp.com/manufacturer/renesas-electronics-america-inc?pageNo=81", "Renesas Electronics")</f>
        <v>Renesas Electronics</v>
      </c>
      <c r="C22225" s="6">
        <v>8000</v>
      </c>
      <c r="D22225" s="7">
        <v>0.1</v>
      </c>
    </row>
    <row r="22226" spans="1:4" x14ac:dyDescent="0.25">
      <c r="A22226" t="str">
        <f>HYPERLINK("https://www.773grp.com/globalSearch/1SS119-14TD-P-E/page-1", "1SS119-14TD-P-E")</f>
        <v>1SS119-14TD-P-E</v>
      </c>
      <c r="B22226" s="3" t="str">
        <f>HYPERLINK("https://www.773grp.com/manufacturer/renesas-electronics-america-inc?pageNo=82", "Renesas Electronics")</f>
        <v>Renesas Electronics</v>
      </c>
      <c r="C22226" s="6">
        <v>92500</v>
      </c>
      <c r="D22226" s="7">
        <v>0.1</v>
      </c>
    </row>
    <row r="22227" spans="1:4" x14ac:dyDescent="0.25">
      <c r="A22227" t="str">
        <f>HYPERLINK("https://www.773grp.com/globalSearch/1SS119-25-E/page-1", "1SS119-25-E")</f>
        <v>1SS119-25-E</v>
      </c>
      <c r="B22227" s="3" t="str">
        <f>HYPERLINK("https://www.773grp.com/manufacturer/renesas-electronics-america-inc?pageNo=83", "Renesas Electronics")</f>
        <v>Renesas Electronics</v>
      </c>
      <c r="C22227" s="6">
        <v>46500</v>
      </c>
      <c r="D22227" s="7">
        <v>0.1</v>
      </c>
    </row>
    <row r="22228" spans="1:4" x14ac:dyDescent="0.25">
      <c r="A22228" t="str">
        <f>HYPERLINK("https://www.773grp.com/globalSearch/HSS104-E/page-1", "HSS104-E")</f>
        <v>HSS104-E</v>
      </c>
      <c r="B22228" s="3" t="str">
        <f>HYPERLINK("https://www.773grp.com/manufacturer/renesas-electronics-america-inc?pageNo=84", "Renesas Electronics")</f>
        <v>Renesas Electronics</v>
      </c>
      <c r="C22228" s="6">
        <v>7300</v>
      </c>
      <c r="D22228" s="7">
        <v>0.1</v>
      </c>
    </row>
    <row r="22229" spans="1:4" x14ac:dyDescent="0.25">
      <c r="A22229" t="str">
        <f>HYPERLINK("https://www.773grp.com/globalSearch/HSS104TA-E/page-1", "HSS104TA-E")</f>
        <v>HSS104TA-E</v>
      </c>
      <c r="B22229" s="3" t="str">
        <f>HYPERLINK("https://www.773grp.com/manufacturer/renesas-electronics-america-inc?pageNo=85", "Renesas Electronics")</f>
        <v>Renesas Electronics</v>
      </c>
      <c r="C22229" s="6">
        <v>40000</v>
      </c>
      <c r="D22229" s="7">
        <v>0.1</v>
      </c>
    </row>
    <row r="22230" spans="1:4" x14ac:dyDescent="0.25">
      <c r="A22230" t="str">
        <f>HYPERLINK("https://www.773grp.com/globalSearch/HZU16B3TRF-E/page-1", "HZU16B3TRF-E")</f>
        <v>HZU16B3TRF-E</v>
      </c>
      <c r="B22230" s="3" t="str">
        <f>HYPERLINK("https://www.773grp.com/manufacturer/renesas-electronics-america-inc?pageNo=86", "Renesas Electronics")</f>
        <v>Renesas Electronics</v>
      </c>
      <c r="C22230" s="6">
        <v>3000</v>
      </c>
      <c r="D22230" s="7">
        <v>0.15</v>
      </c>
    </row>
    <row r="22231" spans="1:4" x14ac:dyDescent="0.25">
      <c r="A22231" t="str">
        <f>HYPERLINK("https://www.773grp.com/globalSearch/1S2076AS7A/page-1", "1S2076AS7A")</f>
        <v>1S2076AS7A</v>
      </c>
      <c r="B22231" s="3" t="str">
        <f>HYPERLINK("https://www.773grp.com/manufacturer/renesas-electronics-america-inc?pageNo=87", "Renesas Electronics")</f>
        <v>Renesas Electronics</v>
      </c>
      <c r="C22231" s="6">
        <v>24000</v>
      </c>
      <c r="D22231" s="7">
        <v>0.15</v>
      </c>
    </row>
    <row r="22232" spans="1:4" x14ac:dyDescent="0.25">
      <c r="A22232" t="str">
        <f>HYPERLINK("https://www.773grp.com/globalSearch/1S2076ATD-P-E/page-1", "1S2076ATD-P-E")</f>
        <v>1S2076ATD-P-E</v>
      </c>
      <c r="B22232" s="3" t="str">
        <f>HYPERLINK("https://www.773grp.com/manufacturer/renesas-electronics-america-inc?pageNo=88", "Renesas Electronics")</f>
        <v>Renesas Electronics</v>
      </c>
      <c r="C22232" s="6">
        <v>90000</v>
      </c>
      <c r="D22232" s="7">
        <v>0.15</v>
      </c>
    </row>
    <row r="22233" spans="1:4" x14ac:dyDescent="0.25">
      <c r="A22233" t="str">
        <f>HYPERLINK("https://www.773grp.com/globalSearch/1S2076JTD/page-1", "1S2076JTD")</f>
        <v>1S2076JTD</v>
      </c>
      <c r="B22233" s="3" t="str">
        <f>HYPERLINK("https://www.773grp.com/manufacturer/renesas-electronics-america-inc?pageNo=89", "Renesas Electronics")</f>
        <v>Renesas Electronics</v>
      </c>
      <c r="C22233" s="6">
        <v>25000</v>
      </c>
      <c r="D22233" s="7">
        <v>0.15</v>
      </c>
    </row>
    <row r="22234" spans="1:4" x14ac:dyDescent="0.25">
      <c r="A22234" t="str">
        <f>HYPERLINK("https://www.773grp.com/globalSearch/1S2076S7A/page-1", "1S2076S7A")</f>
        <v>1S2076S7A</v>
      </c>
      <c r="B22234" s="3" t="str">
        <f>HYPERLINK("https://www.773grp.com/manufacturer/renesas-electronics-america-inc?pageNo=90", "Renesas Electronics")</f>
        <v>Renesas Electronics</v>
      </c>
      <c r="C22234" s="6">
        <v>26000</v>
      </c>
      <c r="D22234" s="7">
        <v>0.15</v>
      </c>
    </row>
    <row r="22235" spans="1:4" x14ac:dyDescent="0.25">
      <c r="A22235" t="str">
        <f>HYPERLINK("https://www.773grp.com/globalSearch/1SS119-14FS/page-1", "1SS119-14FS")</f>
        <v>1SS119-14FS</v>
      </c>
      <c r="B22235" s="3" t="str">
        <f>HYPERLINK("https://www.773grp.com/manufacturer/renesas-electronics-america-inc?pageNo=91", "Renesas Electronics")</f>
        <v>Renesas Electronics</v>
      </c>
      <c r="C22235" s="6">
        <v>85987</v>
      </c>
      <c r="D22235" s="7">
        <v>0.15</v>
      </c>
    </row>
    <row r="22236" spans="1:4" x14ac:dyDescent="0.25">
      <c r="A22236" t="str">
        <f>HYPERLINK("https://www.773grp.com/globalSearch/1SS119-19TA-E/page-1", "1SS119-19TA-E")</f>
        <v>1SS119-19TA-E</v>
      </c>
      <c r="B22236" s="3" t="str">
        <f>HYPERLINK("https://www.773grp.com/manufacturer/renesas-electronics-america-inc?pageNo=92", "Renesas Electronics")</f>
        <v>Renesas Electronics</v>
      </c>
      <c r="C22236" s="6">
        <v>20000</v>
      </c>
      <c r="D22236" s="7">
        <v>0.15</v>
      </c>
    </row>
    <row r="22237" spans="1:4" x14ac:dyDescent="0.25">
      <c r="A22237" t="str">
        <f>HYPERLINK("https://www.773grp.com/globalSearch/1SS120-90/page-1", "1SS120-90")</f>
        <v>1SS120-90</v>
      </c>
      <c r="B22237" s="3" t="str">
        <f>HYPERLINK("https://www.773grp.com/manufacturer/renesas-electronics-america-inc?pageNo=93", "Renesas Electronics")</f>
        <v>Renesas Electronics</v>
      </c>
      <c r="C22237" s="6">
        <v>17890</v>
      </c>
      <c r="D22237" s="7">
        <v>0.15</v>
      </c>
    </row>
    <row r="22238" spans="1:4" x14ac:dyDescent="0.25">
      <c r="A22238" t="str">
        <f>HYPERLINK("https://www.773grp.com/globalSearch/1SS270A07TE-E/page-1", "1SS270A07TE-E")</f>
        <v>1SS270A07TE-E</v>
      </c>
      <c r="B22238" s="3" t="str">
        <f>HYPERLINK("https://www.773grp.com/manufacturer/renesas-electronics-america-inc?pageNo=94", "Renesas Electronics")</f>
        <v>Renesas Electronics</v>
      </c>
      <c r="C22238" s="6">
        <v>70000</v>
      </c>
      <c r="D22238" s="7">
        <v>0.15</v>
      </c>
    </row>
    <row r="22239" spans="1:4" x14ac:dyDescent="0.25">
      <c r="A22239" t="str">
        <f>HYPERLINK("https://www.773grp.com/globalSearch/1SS270-E/page-1", "1SS270-E")</f>
        <v>1SS270-E</v>
      </c>
      <c r="B22239" s="3" t="str">
        <f>HYPERLINK("https://www.773grp.com/manufacturer/renesas-electronics-america-inc?pageNo=95", "Renesas Electronics")</f>
        <v>Renesas Electronics</v>
      </c>
      <c r="C22239" s="6">
        <v>104700</v>
      </c>
      <c r="D22239" s="7">
        <v>0.15</v>
      </c>
    </row>
    <row r="22240" spans="1:4" x14ac:dyDescent="0.25">
      <c r="A22240" t="str">
        <f>HYPERLINK("https://www.773grp.com/globalSearch/HSS82-E/page-1", "HSS82-E")</f>
        <v>HSS82-E</v>
      </c>
      <c r="B22240" s="3" t="str">
        <f>HYPERLINK("https://www.773grp.com/manufacturer/renesas-electronics-america-inc?pageNo=96", "Renesas Electronics")</f>
        <v>Renesas Electronics</v>
      </c>
      <c r="C22240" s="6">
        <v>17500</v>
      </c>
      <c r="D22240" s="7">
        <v>0.15</v>
      </c>
    </row>
    <row r="22241" spans="1:4" x14ac:dyDescent="0.25">
      <c r="A22241" t="str">
        <f>HYPERLINK("https://www.773grp.com/globalSearch/HZ11A1RE-E/page-1", "HZ11A1RE-E")</f>
        <v>HZ11A1RE-E</v>
      </c>
      <c r="B22241" s="3" t="str">
        <f>HYPERLINK("https://www.773grp.com/manufacturer/renesas-electronics-america-inc?pageNo=97", "Renesas Electronics")</f>
        <v>Renesas Electronics</v>
      </c>
      <c r="C22241" s="6">
        <v>16000</v>
      </c>
      <c r="D22241" s="7">
        <v>0.15</v>
      </c>
    </row>
    <row r="22242" spans="1:4" x14ac:dyDescent="0.25">
      <c r="A22242" t="str">
        <f>HYPERLINK("https://www.773grp.com/globalSearch/HZ11A2TA-E/page-1", "HZ11A2TA-E")</f>
        <v>HZ11A2TA-E</v>
      </c>
      <c r="B22242" s="3" t="str">
        <f>HYPERLINK("https://www.773grp.com/manufacturer/renesas-electronics-america-inc?pageNo=98", "Renesas Electronics")</f>
        <v>Renesas Electronics</v>
      </c>
      <c r="C22242" s="6">
        <v>55000</v>
      </c>
      <c r="D22242" s="7">
        <v>0.15</v>
      </c>
    </row>
    <row r="22243" spans="1:4" x14ac:dyDescent="0.25">
      <c r="A22243" t="str">
        <f>HYPERLINK("https://www.773grp.com/globalSearch/HZ11B1RE-E/page-1", "HZ11B1RE-E")</f>
        <v>HZ11B1RE-E</v>
      </c>
      <c r="B22243" s="3" t="str">
        <f>HYPERLINK("https://www.773grp.com/manufacturer/renesas-electronics-america-inc?pageNo=99", "Renesas Electronics")</f>
        <v>Renesas Electronics</v>
      </c>
      <c r="C22243" s="6">
        <v>12000</v>
      </c>
      <c r="D22243" s="7">
        <v>0.15</v>
      </c>
    </row>
    <row r="22244" spans="1:4" x14ac:dyDescent="0.25">
      <c r="A22244" t="str">
        <f>HYPERLINK("https://www.773grp.com/globalSearch/HZ11B2RE-E/page-1", "HZ11B2RE-E")</f>
        <v>HZ11B2RE-E</v>
      </c>
      <c r="B22244" s="3" t="str">
        <f>HYPERLINK("https://www.773grp.com/manufacturer/renesas-electronics-america-inc?pageNo=100", "Renesas Electronics")</f>
        <v>Renesas Electronics</v>
      </c>
      <c r="C22244" s="6">
        <v>24000</v>
      </c>
      <c r="D22244" s="7">
        <v>0.15</v>
      </c>
    </row>
    <row r="22245" spans="1:4" x14ac:dyDescent="0.25">
      <c r="A22245" t="str">
        <f>HYPERLINK("https://www.773grp.com/globalSearch/HZ11C2RE-E/page-1", "HZ11C2RE-E")</f>
        <v>HZ11C2RE-E</v>
      </c>
      <c r="B22245" s="3" t="str">
        <f>HYPERLINK("https://www.773grp.com/manufacturer/renesas-electronics-america-inc?pageNo=101", "Renesas Electronics")</f>
        <v>Renesas Electronics</v>
      </c>
      <c r="C22245" s="6">
        <v>20000</v>
      </c>
      <c r="D22245" s="7">
        <v>0.15</v>
      </c>
    </row>
    <row r="22246" spans="1:4" x14ac:dyDescent="0.25">
      <c r="A22246" t="str">
        <f>HYPERLINK("https://www.773grp.com/globalSearch/HZ12A1RE-E/page-1", "HZ12A1RE-E")</f>
        <v>HZ12A1RE-E</v>
      </c>
      <c r="B22246" s="3" t="str">
        <f>HYPERLINK("https://www.773grp.com/manufacturer/renesas-electronics-america-inc?pageNo=102", "Renesas Electronics")</f>
        <v>Renesas Electronics</v>
      </c>
      <c r="C22246" s="6">
        <v>17500</v>
      </c>
      <c r="D22246" s="7">
        <v>0.15</v>
      </c>
    </row>
    <row r="22247" spans="1:4" x14ac:dyDescent="0.25">
      <c r="A22247" t="str">
        <f>HYPERLINK("https://www.773grp.com/globalSearch/HZ12A1TD-P-E/page-1", "HZ12A1TD-P-E")</f>
        <v>HZ12A1TD-P-E</v>
      </c>
      <c r="B22247" s="3" t="str">
        <f>HYPERLINK("https://www.773grp.com/manufacturer/renesas-electronics-america-inc?pageNo=103", "Renesas Electronics")</f>
        <v>Renesas Electronics</v>
      </c>
      <c r="C22247" s="6">
        <v>12500</v>
      </c>
      <c r="D22247" s="7">
        <v>0.15</v>
      </c>
    </row>
    <row r="22248" spans="1:4" x14ac:dyDescent="0.25">
      <c r="A22248" t="str">
        <f>HYPERLINK("https://www.773grp.com/globalSearch/HZ12C1-E/page-1", "HZ12C1-E")</f>
        <v>HZ12C1-E</v>
      </c>
      <c r="B22248" s="3" t="str">
        <f>HYPERLINK("https://www.773grp.com/manufacturer/renesas-electronics-america-inc?pageNo=104", "Renesas Electronics")</f>
        <v>Renesas Electronics</v>
      </c>
      <c r="C22248" s="6">
        <v>7500</v>
      </c>
      <c r="D22248" s="7">
        <v>0.15</v>
      </c>
    </row>
    <row r="22249" spans="1:4" x14ac:dyDescent="0.25">
      <c r="A22249" t="str">
        <f>HYPERLINK("https://www.773grp.com/globalSearch/HZ12C1TA-E/page-1", "HZ12C1TA-E")</f>
        <v>HZ12C1TA-E</v>
      </c>
      <c r="B22249" s="3" t="str">
        <f>HYPERLINK("https://www.773grp.com/manufacturer/renesas-electronics-america-inc?pageNo=105", "Renesas Electronics")</f>
        <v>Renesas Electronics</v>
      </c>
      <c r="C22249" s="6">
        <v>5000</v>
      </c>
      <c r="D22249" s="7">
        <v>0.15</v>
      </c>
    </row>
    <row r="22250" spans="1:4" x14ac:dyDescent="0.25">
      <c r="A22250" t="str">
        <f>HYPERLINK("https://www.773grp.com/globalSearch/HZ15-1RE-E/page-1", "HZ15-1RE-E")</f>
        <v>HZ15-1RE-E</v>
      </c>
      <c r="B22250" s="3" t="str">
        <f>HYPERLINK("https://www.773grp.com/manufacturer/renesas-electronics-america-inc?pageNo=106", "Renesas Electronics")</f>
        <v>Renesas Electronics</v>
      </c>
      <c r="C22250" s="6">
        <v>3000</v>
      </c>
      <c r="D22250" s="7">
        <v>0.15</v>
      </c>
    </row>
    <row r="22251" spans="1:4" x14ac:dyDescent="0.25">
      <c r="A22251" t="str">
        <f>HYPERLINK("https://www.773grp.com/globalSearch/HZ15-2RE-E/page-1", "HZ15-2RE-E")</f>
        <v>HZ15-2RE-E</v>
      </c>
      <c r="B22251" s="3" t="str">
        <f>HYPERLINK("https://www.773grp.com/manufacturer/renesas-electronics-america-inc?pageNo=107", "Renesas Electronics")</f>
        <v>Renesas Electronics</v>
      </c>
      <c r="C22251" s="6">
        <v>20000</v>
      </c>
      <c r="D22251" s="7">
        <v>0.15</v>
      </c>
    </row>
    <row r="22252" spans="1:4" x14ac:dyDescent="0.25">
      <c r="A22252" t="str">
        <f>HYPERLINK("https://www.773grp.com/globalSearch/HZ15-3TA-E/page-1", "HZ15-3TA-E")</f>
        <v>HZ15-3TA-E</v>
      </c>
      <c r="B22252" s="3" t="str">
        <f>HYPERLINK("https://www.773grp.com/manufacturer/renesas-electronics-america-inc?pageNo=108", "Renesas Electronics")</f>
        <v>Renesas Electronics</v>
      </c>
      <c r="C22252" s="6">
        <v>15000</v>
      </c>
      <c r="D22252" s="7">
        <v>0.15</v>
      </c>
    </row>
    <row r="22253" spans="1:4" x14ac:dyDescent="0.25">
      <c r="A22253" t="str">
        <f>HYPERLINK("https://www.773grp.com/globalSearch/HZ16-1RE-E/page-1", "HZ16-1RE-E")</f>
        <v>HZ16-1RE-E</v>
      </c>
      <c r="B22253" s="3" t="str">
        <f>HYPERLINK("https://www.773grp.com/manufacturer/renesas-electronics-america-inc?pageNo=109", "Renesas Electronics")</f>
        <v>Renesas Electronics</v>
      </c>
      <c r="C22253" s="6">
        <v>20000</v>
      </c>
      <c r="D22253" s="7">
        <v>0.15</v>
      </c>
    </row>
    <row r="22254" spans="1:4" x14ac:dyDescent="0.25">
      <c r="A22254" t="str">
        <f>HYPERLINK("https://www.773grp.com/globalSearch/HZ16-2RE-E/page-1", "HZ16-2RE-E")</f>
        <v>HZ16-2RE-E</v>
      </c>
      <c r="B22254" s="3" t="str">
        <f>HYPERLINK("https://www.773grp.com/manufacturer/renesas-electronics-america-inc?pageNo=110", "Renesas Electronics")</f>
        <v>Renesas Electronics</v>
      </c>
      <c r="C22254" s="6">
        <v>16000</v>
      </c>
      <c r="D22254" s="7">
        <v>0.15</v>
      </c>
    </row>
    <row r="22255" spans="1:4" x14ac:dyDescent="0.25">
      <c r="A22255" t="str">
        <f>HYPERLINK("https://www.773grp.com/globalSearch/HZ16-3RE-E/page-1", "HZ16-3RE-E")</f>
        <v>HZ16-3RE-E</v>
      </c>
      <c r="B22255" s="3" t="str">
        <f>HYPERLINK("https://www.773grp.com/manufacturer/renesas-electronics-america-inc?pageNo=111", "Renesas Electronics")</f>
        <v>Renesas Electronics</v>
      </c>
      <c r="C22255" s="6">
        <v>20000</v>
      </c>
      <c r="D22255" s="7">
        <v>0.15</v>
      </c>
    </row>
    <row r="22256" spans="1:4" x14ac:dyDescent="0.25">
      <c r="A22256" t="str">
        <f>HYPERLINK("https://www.773grp.com/globalSearch/HZ18-1RE-E/page-1", "HZ18-1RE-E")</f>
        <v>HZ18-1RE-E</v>
      </c>
      <c r="B22256" s="3" t="str">
        <f>HYPERLINK("https://www.773grp.com/manufacturer/renesas-electronics-america-inc?pageNo=112", "Renesas Electronics")</f>
        <v>Renesas Electronics</v>
      </c>
      <c r="C22256" s="6">
        <v>16000</v>
      </c>
      <c r="D22256" s="7">
        <v>0.15</v>
      </c>
    </row>
    <row r="22257" spans="1:4" x14ac:dyDescent="0.25">
      <c r="A22257" t="str">
        <f>HYPERLINK("https://www.773grp.com/globalSearch/HZ18-2RE-E/page-1", "HZ18-2RE-E")</f>
        <v>HZ18-2RE-E</v>
      </c>
      <c r="B22257" s="3" t="str">
        <f>HYPERLINK("https://www.773grp.com/manufacturer/renesas-electronics-america-inc?pageNo=113", "Renesas Electronics")</f>
        <v>Renesas Electronics</v>
      </c>
      <c r="C22257" s="6">
        <v>21600</v>
      </c>
      <c r="D22257" s="7">
        <v>0.15</v>
      </c>
    </row>
    <row r="22258" spans="1:4" x14ac:dyDescent="0.25">
      <c r="A22258" t="str">
        <f>HYPERLINK("https://www.773grp.com/globalSearch/HZ1C3-E/page-1", "HZ1C3-E")</f>
        <v>HZ1C3-E</v>
      </c>
      <c r="B22258" s="3" t="str">
        <f>HYPERLINK("https://www.773grp.com/manufacturer/renesas-electronics-america-inc?pageNo=114", "Renesas Electronics")</f>
        <v>Renesas Electronics</v>
      </c>
      <c r="C22258" s="6">
        <v>20000</v>
      </c>
      <c r="D22258" s="7">
        <v>0.15</v>
      </c>
    </row>
    <row r="22259" spans="1:4" x14ac:dyDescent="0.25">
      <c r="A22259" t="str">
        <f>HYPERLINK("https://www.773grp.com/globalSearch/HZ20-3TA-E/page-1", "HZ20-3TA-E")</f>
        <v>HZ20-3TA-E</v>
      </c>
      <c r="B22259" s="3" t="str">
        <f>HYPERLINK("https://www.773grp.com/manufacturer/renesas-electronics-america-inc?pageNo=115", "Renesas Electronics")</f>
        <v>Renesas Electronics</v>
      </c>
      <c r="C22259" s="6">
        <v>20000</v>
      </c>
      <c r="D22259" s="7">
        <v>0.15</v>
      </c>
    </row>
    <row r="22260" spans="1:4" x14ac:dyDescent="0.25">
      <c r="A22260" t="str">
        <f>HYPERLINK("https://www.773grp.com/globalSearch/HZ22-2TD-E/page-1", "HZ22-2TD-E")</f>
        <v>HZ22-2TD-E</v>
      </c>
      <c r="B22260" s="3" t="str">
        <f>HYPERLINK("https://www.773grp.com/manufacturer/renesas-electronics-america-inc?pageNo=116", "Renesas Electronics")</f>
        <v>Renesas Electronics</v>
      </c>
      <c r="C22260" s="6">
        <v>27500</v>
      </c>
      <c r="D22260" s="7">
        <v>0.15</v>
      </c>
    </row>
    <row r="22261" spans="1:4" x14ac:dyDescent="0.25">
      <c r="A22261" t="str">
        <f>HYPERLINK("https://www.773grp.com/globalSearch/HZ22-3TA-E/page-1", "HZ22-3TA-E")</f>
        <v>HZ22-3TA-E</v>
      </c>
      <c r="B22261" s="3" t="str">
        <f>HYPERLINK("https://www.773grp.com/manufacturer/renesas-electronics-america-inc?pageNo=117", "Renesas Electronics")</f>
        <v>Renesas Electronics</v>
      </c>
      <c r="C22261" s="6">
        <v>20000</v>
      </c>
      <c r="D22261" s="7">
        <v>0.15</v>
      </c>
    </row>
    <row r="22262" spans="1:4" x14ac:dyDescent="0.25">
      <c r="A22262" t="str">
        <f>HYPERLINK("https://www.773grp.com/globalSearch/HZ24-2TA-E/page-1", "HZ24-2TA-E")</f>
        <v>HZ24-2TA-E</v>
      </c>
      <c r="B22262" s="3" t="str">
        <f>HYPERLINK("https://www.773grp.com/manufacturer/renesas-electronics-america-inc?pageNo=118", "Renesas Electronics")</f>
        <v>Renesas Electronics</v>
      </c>
      <c r="C22262" s="6">
        <v>25000</v>
      </c>
      <c r="D22262" s="7">
        <v>0.15</v>
      </c>
    </row>
    <row r="22263" spans="1:4" x14ac:dyDescent="0.25">
      <c r="A22263" t="str">
        <f>HYPERLINK("https://www.773grp.com/globalSearch/HZ27-3TD-P-E/page-1", "HZ27-3TD-P-E")</f>
        <v>HZ27-3TD-P-E</v>
      </c>
      <c r="B22263" s="3" t="str">
        <f>HYPERLINK("https://www.773grp.com/manufacturer/renesas-electronics-america-inc?pageNo=119", "Renesas Electronics")</f>
        <v>Renesas Electronics</v>
      </c>
      <c r="C22263" s="6">
        <v>35000</v>
      </c>
      <c r="D22263" s="7">
        <v>0.15</v>
      </c>
    </row>
    <row r="22264" spans="1:4" x14ac:dyDescent="0.25">
      <c r="A22264" t="str">
        <f>HYPERLINK("https://www.773grp.com/globalSearch/HZ2A3TD-E/page-1", "HZ2A3TD-E")</f>
        <v>HZ2A3TD-E</v>
      </c>
      <c r="B22264" s="3" t="str">
        <f>HYPERLINK("https://www.773grp.com/manufacturer/renesas-electronics-america-inc?pageNo=120", "Renesas Electronics")</f>
        <v>Renesas Electronics</v>
      </c>
      <c r="C22264" s="6">
        <v>25000</v>
      </c>
      <c r="D22264" s="7">
        <v>0.15</v>
      </c>
    </row>
    <row r="22265" spans="1:4" x14ac:dyDescent="0.25">
      <c r="A22265" t="str">
        <f>HYPERLINK("https://www.773grp.com/globalSearch/HZ2C1RE-E/page-1", "HZ2C1RE-E")</f>
        <v>HZ2C1RE-E</v>
      </c>
      <c r="B22265" s="3" t="str">
        <f>HYPERLINK("https://www.773grp.com/manufacturer/renesas-electronics-america-inc?pageNo=121", "Renesas Electronics")</f>
        <v>Renesas Electronics</v>
      </c>
      <c r="C22265" s="6">
        <v>12000</v>
      </c>
      <c r="D22265" s="7">
        <v>0.15</v>
      </c>
    </row>
    <row r="22266" spans="1:4" x14ac:dyDescent="0.25">
      <c r="A22266" t="str">
        <f>HYPERLINK("https://www.773grp.com/globalSearch/HZ2C3TA-E/page-1", "HZ2C3TA-E")</f>
        <v>HZ2C3TA-E</v>
      </c>
      <c r="B22266" s="3" t="str">
        <f>HYPERLINK("https://www.773grp.com/manufacturer/renesas-electronics-america-inc?pageNo=122", "Renesas Electronics")</f>
        <v>Renesas Electronics</v>
      </c>
      <c r="C22266" s="6">
        <v>15000</v>
      </c>
      <c r="D22266" s="7">
        <v>0.15</v>
      </c>
    </row>
    <row r="22267" spans="1:4" x14ac:dyDescent="0.25">
      <c r="A22267" t="str">
        <f>HYPERLINK("https://www.773grp.com/globalSearch/HZ30-1RE-E/page-1", "HZ30-1RE-E")</f>
        <v>HZ30-1RE-E</v>
      </c>
      <c r="B22267" s="3" t="str">
        <f>HYPERLINK("https://www.773grp.com/manufacturer/renesas-electronics-america-inc?pageNo=123", "Renesas Electronics")</f>
        <v>Renesas Electronics</v>
      </c>
      <c r="C22267" s="6">
        <v>24000</v>
      </c>
      <c r="D22267" s="7">
        <v>0.15</v>
      </c>
    </row>
    <row r="22268" spans="1:4" x14ac:dyDescent="0.25">
      <c r="A22268" t="str">
        <f>HYPERLINK("https://www.773grp.com/globalSearch/HZ30-1TA-P-E/page-1", "HZ30-1TA-P-E")</f>
        <v>HZ30-1TA-P-E</v>
      </c>
      <c r="B22268" s="3" t="str">
        <f>HYPERLINK("https://www.773grp.com/manufacturer/renesas-electronics-america-inc?pageNo=124", "Renesas Electronics")</f>
        <v>Renesas Electronics</v>
      </c>
      <c r="C22268" s="6">
        <v>15000</v>
      </c>
      <c r="D22268" s="7">
        <v>0.15</v>
      </c>
    </row>
    <row r="22269" spans="1:4" x14ac:dyDescent="0.25">
      <c r="A22269" t="str">
        <f>HYPERLINK("https://www.773grp.com/globalSearch/HZ33-1TD-E/page-1", "HZ33-1TD-E")</f>
        <v>HZ33-1TD-E</v>
      </c>
      <c r="B22269" s="3" t="str">
        <f>HYPERLINK("https://www.773grp.com/manufacturer/renesas-electronics-america-inc?pageNo=125", "Renesas Electronics")</f>
        <v>Renesas Electronics</v>
      </c>
      <c r="C22269" s="6">
        <v>12500</v>
      </c>
      <c r="D22269" s="7">
        <v>0.15</v>
      </c>
    </row>
    <row r="22270" spans="1:4" x14ac:dyDescent="0.25">
      <c r="A22270" t="str">
        <f>HYPERLINK("https://www.773grp.com/globalSearch/HZ33-3RE-E/page-1", "HZ33-3RE-E")</f>
        <v>HZ33-3RE-E</v>
      </c>
      <c r="B22270" s="3" t="str">
        <f>HYPERLINK("https://www.773grp.com/manufacturer/renesas-electronics-america-inc?pageNo=126", "Renesas Electronics")</f>
        <v>Renesas Electronics</v>
      </c>
      <c r="C22270" s="6">
        <v>24000</v>
      </c>
      <c r="D22270" s="7">
        <v>0.15</v>
      </c>
    </row>
    <row r="22271" spans="1:4" x14ac:dyDescent="0.25">
      <c r="A22271" t="str">
        <f>HYPERLINK("https://www.773grp.com/globalSearch/HZ33-3TA-E/page-1", "HZ33-3TA-E")</f>
        <v>HZ33-3TA-E</v>
      </c>
      <c r="B22271" s="3" t="str">
        <f>HYPERLINK("https://www.773grp.com/manufacturer/renesas-electronics-america-inc?pageNo=127", "Renesas Electronics")</f>
        <v>Renesas Electronics</v>
      </c>
      <c r="C22271" s="6">
        <v>20000</v>
      </c>
      <c r="D22271" s="7">
        <v>0.15</v>
      </c>
    </row>
    <row r="22272" spans="1:4" x14ac:dyDescent="0.25">
      <c r="A22272" t="str">
        <f>HYPERLINK("https://www.773grp.com/globalSearch/HZ3A1RE-E/page-1", "HZ3A1RE-E")</f>
        <v>HZ3A1RE-E</v>
      </c>
      <c r="B22272" s="3" t="str">
        <f>HYPERLINK("https://www.773grp.com/manufacturer/renesas-electronics-america-inc?pageNo=128", "Renesas Electronics")</f>
        <v>Renesas Electronics</v>
      </c>
      <c r="C22272" s="6">
        <v>16000</v>
      </c>
      <c r="D22272" s="7">
        <v>0.15</v>
      </c>
    </row>
    <row r="22273" spans="1:4" x14ac:dyDescent="0.25">
      <c r="A22273" t="str">
        <f>HYPERLINK("https://www.773grp.com/globalSearch/HZ3B1RE-E/page-1", "HZ3B1RE-E")</f>
        <v>HZ3B1RE-E</v>
      </c>
      <c r="B22273" s="3" t="str">
        <f>HYPERLINK("https://www.773grp.com/manufacturer/renesas-electronics-america-inc?pageNo=129", "Renesas Electronics")</f>
        <v>Renesas Electronics</v>
      </c>
      <c r="C22273" s="6">
        <v>24000</v>
      </c>
      <c r="D22273" s="7">
        <v>0.15</v>
      </c>
    </row>
    <row r="22274" spans="1:4" x14ac:dyDescent="0.25">
      <c r="A22274" t="str">
        <f>HYPERLINK("https://www.773grp.com/globalSearch/HZ3C2RE-E/page-1", "HZ3C2RE-E")</f>
        <v>HZ3C2RE-E</v>
      </c>
      <c r="B22274" s="3" t="str">
        <f>HYPERLINK("https://www.773grp.com/manufacturer/renesas-electronics-america-inc?pageNo=130", "Renesas Electronics")</f>
        <v>Renesas Electronics</v>
      </c>
      <c r="C22274" s="6">
        <v>16000</v>
      </c>
      <c r="D22274" s="7">
        <v>0.15</v>
      </c>
    </row>
    <row r="22275" spans="1:4" x14ac:dyDescent="0.25">
      <c r="A22275" t="str">
        <f>HYPERLINK("https://www.773grp.com/globalSearch/HZ4A2RE-E/page-1", "HZ4A2RE-E")</f>
        <v>HZ4A2RE-E</v>
      </c>
      <c r="B22275" s="3" t="str">
        <f>HYPERLINK("https://www.773grp.com/manufacturer/renesas-electronics-america-inc?pageNo=131", "Renesas Electronics")</f>
        <v>Renesas Electronics</v>
      </c>
      <c r="C22275" s="6">
        <v>16000</v>
      </c>
      <c r="D22275" s="7">
        <v>0.15</v>
      </c>
    </row>
    <row r="22276" spans="1:4" x14ac:dyDescent="0.25">
      <c r="A22276" t="str">
        <f>HYPERLINK("https://www.773grp.com/globalSearch/HZ4B3RE-E/page-1", "HZ4B3RE-E")</f>
        <v>HZ4B3RE-E</v>
      </c>
      <c r="B22276" s="3" t="str">
        <f>HYPERLINK("https://www.773grp.com/manufacturer/renesas-electronics-america-inc?pageNo=132", "Renesas Electronics")</f>
        <v>Renesas Electronics</v>
      </c>
      <c r="C22276" s="6">
        <v>16000</v>
      </c>
      <c r="D22276" s="7">
        <v>0.15</v>
      </c>
    </row>
    <row r="22277" spans="1:4" x14ac:dyDescent="0.25">
      <c r="A22277" t="str">
        <f>HYPERLINK("https://www.773grp.com/globalSearch/HZ4C1TA-E/page-1", "HZ4C1TA-E")</f>
        <v>HZ4C1TA-E</v>
      </c>
      <c r="B22277" s="3" t="str">
        <f>HYPERLINK("https://www.773grp.com/manufacturer/renesas-electronics-america-inc?pageNo=133", "Renesas Electronics")</f>
        <v>Renesas Electronics</v>
      </c>
      <c r="C22277" s="6">
        <v>15000</v>
      </c>
      <c r="D22277" s="7">
        <v>0.15</v>
      </c>
    </row>
    <row r="22278" spans="1:4" x14ac:dyDescent="0.25">
      <c r="A22278" t="str">
        <f>HYPERLINK("https://www.773grp.com/globalSearch/HZ4C2RE-E/page-1", "HZ4C2RE-E")</f>
        <v>HZ4C2RE-E</v>
      </c>
      <c r="B22278" s="3" t="str">
        <f>HYPERLINK("https://www.773grp.com/manufacturer/renesas-electronics-america-inc?pageNo=134", "Renesas Electronics")</f>
        <v>Renesas Electronics</v>
      </c>
      <c r="C22278" s="6">
        <v>16000</v>
      </c>
      <c r="D22278" s="7">
        <v>0.15</v>
      </c>
    </row>
    <row r="22279" spans="1:4" x14ac:dyDescent="0.25">
      <c r="A22279" t="str">
        <f>HYPERLINK("https://www.773grp.com/globalSearch/HZ4C3RE-E/page-1", "HZ4C3RE-E")</f>
        <v>HZ4C3RE-E</v>
      </c>
      <c r="B22279" s="3" t="str">
        <f>HYPERLINK("https://www.773grp.com/manufacturer/renesas-electronics-america-inc?pageNo=135", "Renesas Electronics")</f>
        <v>Renesas Electronics</v>
      </c>
      <c r="C22279" s="6">
        <v>22000</v>
      </c>
      <c r="D22279" s="7">
        <v>0.15</v>
      </c>
    </row>
    <row r="22280" spans="1:4" x14ac:dyDescent="0.25">
      <c r="A22280" t="str">
        <f>HYPERLINK("https://www.773grp.com/globalSearch/HZ5B1RE-E/page-1", "HZ5B1RE-E")</f>
        <v>HZ5B1RE-E</v>
      </c>
      <c r="B22280" s="3" t="str">
        <f>HYPERLINK("https://www.773grp.com/manufacturer/renesas-electronics-america-inc?pageNo=136", "Renesas Electronics")</f>
        <v>Renesas Electronics</v>
      </c>
      <c r="C22280" s="6">
        <v>14750</v>
      </c>
      <c r="D22280" s="7">
        <v>0.15</v>
      </c>
    </row>
    <row r="22281" spans="1:4" x14ac:dyDescent="0.25">
      <c r="A22281" t="str">
        <f>HYPERLINK("https://www.773grp.com/globalSearch/HZ5B1TA-E/page-1", "HZ5B1TA-E")</f>
        <v>HZ5B1TA-E</v>
      </c>
      <c r="B22281" s="3" t="str">
        <f>HYPERLINK("https://www.773grp.com/manufacturer/renesas-electronics-america-inc?pageNo=137", "Renesas Electronics")</f>
        <v>Renesas Electronics</v>
      </c>
      <c r="C22281" s="6">
        <v>3750</v>
      </c>
      <c r="D22281" s="7">
        <v>0.15</v>
      </c>
    </row>
    <row r="22282" spans="1:4" x14ac:dyDescent="0.25">
      <c r="A22282" t="str">
        <f>HYPERLINK("https://www.773grp.com/globalSearch/HZ5C1RE-E/page-1", "HZ5C1RE-E")</f>
        <v>HZ5C1RE-E</v>
      </c>
      <c r="B22282" s="3" t="str">
        <f>HYPERLINK("https://www.773grp.com/manufacturer/renesas-electronics-america-inc?pageNo=138", "Renesas Electronics")</f>
        <v>Renesas Electronics</v>
      </c>
      <c r="C22282" s="6">
        <v>8000</v>
      </c>
      <c r="D22282" s="7">
        <v>0.15</v>
      </c>
    </row>
    <row r="22283" spans="1:4" x14ac:dyDescent="0.25">
      <c r="A22283" t="str">
        <f>HYPERLINK("https://www.773grp.com/globalSearch/HZ5C1TD/page-1", "HZ5C1TD")</f>
        <v>HZ5C1TD</v>
      </c>
      <c r="B22283" s="3" t="str">
        <f>HYPERLINK("https://www.773grp.com/manufacturer/renesas-electronics-america-inc?pageNo=139", "Renesas Electronics")</f>
        <v>Renesas Electronics</v>
      </c>
      <c r="C22283" s="6">
        <v>16000</v>
      </c>
      <c r="D22283" s="7">
        <v>0.15</v>
      </c>
    </row>
    <row r="22284" spans="1:4" x14ac:dyDescent="0.25">
      <c r="A22284" t="str">
        <f>HYPERLINK("https://www.773grp.com/globalSearch/HZ6B2RE-E/page-1", "HZ6B2RE-E")</f>
        <v>HZ6B2RE-E</v>
      </c>
      <c r="B22284" s="3" t="str">
        <f>HYPERLINK("https://www.773grp.com/manufacturer/renesas-electronics-america-inc?pageNo=140", "Renesas Electronics")</f>
        <v>Renesas Electronics</v>
      </c>
      <c r="C22284" s="6">
        <v>20000</v>
      </c>
      <c r="D22284" s="7">
        <v>0.15</v>
      </c>
    </row>
    <row r="22285" spans="1:4" x14ac:dyDescent="0.25">
      <c r="A22285" t="str">
        <f>HYPERLINK("https://www.773grp.com/globalSearch/HZ6C2RE-E/page-1", "HZ6C2RE-E")</f>
        <v>HZ6C2RE-E</v>
      </c>
      <c r="B22285" s="3" t="str">
        <f>HYPERLINK("https://www.773grp.com/manufacturer/renesas-electronics-america-inc?pageNo=141", "Renesas Electronics")</f>
        <v>Renesas Electronics</v>
      </c>
      <c r="C22285" s="6">
        <v>8250</v>
      </c>
      <c r="D22285" s="7">
        <v>0.15</v>
      </c>
    </row>
    <row r="22286" spans="1:4" x14ac:dyDescent="0.25">
      <c r="A22286" t="str">
        <f>HYPERLINK("https://www.773grp.com/globalSearch/HZ6C3RE-E/page-1", "HZ6C3RE-E")</f>
        <v>HZ6C3RE-E</v>
      </c>
      <c r="B22286" s="3" t="str">
        <f>HYPERLINK("https://www.773grp.com/manufacturer/renesas-electronics-america-inc?pageNo=142", "Renesas Electronics")</f>
        <v>Renesas Electronics</v>
      </c>
      <c r="C22286" s="6">
        <v>20000</v>
      </c>
      <c r="D22286" s="7">
        <v>0.15</v>
      </c>
    </row>
    <row r="22287" spans="1:4" x14ac:dyDescent="0.25">
      <c r="A22287" t="str">
        <f>HYPERLINK("https://www.773grp.com/globalSearch/HZ7A3RE-E/page-1", "HZ7A3RE-E")</f>
        <v>HZ7A3RE-E</v>
      </c>
      <c r="B22287" s="3" t="str">
        <f>HYPERLINK("https://www.773grp.com/manufacturer/renesas-electronics-america-inc?pageNo=143", "Renesas Electronics")</f>
        <v>Renesas Electronics</v>
      </c>
      <c r="C22287" s="6">
        <v>28000</v>
      </c>
      <c r="D22287" s="7">
        <v>0.15</v>
      </c>
    </row>
    <row r="22288" spans="1:4" x14ac:dyDescent="0.25">
      <c r="A22288" t="str">
        <f>HYPERLINK("https://www.773grp.com/globalSearch/HZ7B1RE-E/page-1", "HZ7B1RE-E")</f>
        <v>HZ7B1RE-E</v>
      </c>
      <c r="B22288" s="3" t="str">
        <f>HYPERLINK("https://www.773grp.com/manufacturer/renesas-electronics-america-inc?pageNo=144", "Renesas Electronics")</f>
        <v>Renesas Electronics</v>
      </c>
      <c r="C22288" s="6">
        <v>12000</v>
      </c>
      <c r="D22288" s="7">
        <v>0.15</v>
      </c>
    </row>
    <row r="22289" spans="1:4" x14ac:dyDescent="0.25">
      <c r="A22289" t="str">
        <f>HYPERLINK("https://www.773grp.com/globalSearch/HZ7B3RE-E/page-1", "HZ7B3RE-E")</f>
        <v>HZ7B3RE-E</v>
      </c>
      <c r="B22289" s="3" t="str">
        <f>HYPERLINK("https://www.773grp.com/manufacturer/renesas-electronics-america-inc?pageNo=145", "Renesas Electronics")</f>
        <v>Renesas Electronics</v>
      </c>
      <c r="C22289" s="6">
        <v>16000</v>
      </c>
      <c r="D22289" s="7">
        <v>0.15</v>
      </c>
    </row>
    <row r="22290" spans="1:4" x14ac:dyDescent="0.25">
      <c r="A22290" t="str">
        <f>HYPERLINK("https://www.773grp.com/globalSearch/HZ7B3TA-E/page-1", "HZ7B3TA-E")</f>
        <v>HZ7B3TA-E</v>
      </c>
      <c r="B22290" s="3" t="str">
        <f>HYPERLINK("https://www.773grp.com/manufacturer/renesas-electronics-america-inc?pageNo=146", "Renesas Electronics")</f>
        <v>Renesas Electronics</v>
      </c>
      <c r="C22290" s="6">
        <v>10000</v>
      </c>
      <c r="D22290" s="7">
        <v>0.15</v>
      </c>
    </row>
    <row r="22291" spans="1:4" x14ac:dyDescent="0.25">
      <c r="A22291" t="str">
        <f>HYPERLINK("https://www.773grp.com/globalSearch/HZ9C3TD-E/page-1", "HZ9C3TD-E")</f>
        <v>HZ9C3TD-E</v>
      </c>
      <c r="B22291" s="3" t="str">
        <f>HYPERLINK("https://www.773grp.com/manufacturer/renesas-electronics-america-inc?pageNo=147", "Renesas Electronics")</f>
        <v>Renesas Electronics</v>
      </c>
      <c r="C22291" s="6">
        <v>5000</v>
      </c>
      <c r="D22291" s="7">
        <v>0.15</v>
      </c>
    </row>
    <row r="22292" spans="1:4" x14ac:dyDescent="0.25">
      <c r="A22292" t="str">
        <f>HYPERLINK("https://www.773grp.com/globalSearch/HZS10NB3TA-E/page-1", "HZS10NB3TA-E")</f>
        <v>HZS10NB3TA-E</v>
      </c>
      <c r="B22292" s="3" t="str">
        <f>HYPERLINK("https://www.773grp.com/manufacturer/renesas-electronics-america-inc?pageNo=148", "Renesas Electronics")</f>
        <v>Renesas Electronics</v>
      </c>
      <c r="C22292" s="6">
        <v>15000</v>
      </c>
      <c r="D22292" s="7">
        <v>0.15</v>
      </c>
    </row>
    <row r="22293" spans="1:4" x14ac:dyDescent="0.25">
      <c r="A22293" t="str">
        <f>HYPERLINK("https://www.773grp.com/globalSearch/HZS11B1LTA-E/page-1", "HZS11B1LTA-E")</f>
        <v>HZS11B1LTA-E</v>
      </c>
      <c r="B22293" s="3" t="str">
        <f>HYPERLINK("https://www.773grp.com/manufacturer/renesas-electronics-america-inc?pageNo=149", "Renesas Electronics")</f>
        <v>Renesas Electronics</v>
      </c>
      <c r="C22293" s="6">
        <v>35000</v>
      </c>
      <c r="D22293" s="7">
        <v>0.15</v>
      </c>
    </row>
    <row r="22294" spans="1:4" x14ac:dyDescent="0.25">
      <c r="A22294" t="str">
        <f>HYPERLINK("https://www.773grp.com/globalSearch/HZS11B2TA-E/page-1", "HZS11B2TA-E")</f>
        <v>HZS11B2TA-E</v>
      </c>
      <c r="B22294" s="3" t="str">
        <f>HYPERLINK("https://www.773grp.com/manufacturer/renesas-electronics-america-inc?pageNo=150", "Renesas Electronics")</f>
        <v>Renesas Electronics</v>
      </c>
      <c r="C22294" s="6">
        <v>25000</v>
      </c>
      <c r="D22294" s="7">
        <v>0.15</v>
      </c>
    </row>
    <row r="22295" spans="1:4" x14ac:dyDescent="0.25">
      <c r="A22295" t="str">
        <f>HYPERLINK("https://www.773grp.com/globalSearch/HZS11C1LTA-E/page-1", "HZS11C1LTA-E")</f>
        <v>HZS11C1LTA-E</v>
      </c>
      <c r="B22295" s="3" t="str">
        <f>HYPERLINK("https://www.773grp.com/manufacturer/renesas-electronics-america-inc?pageNo=151", "Renesas Electronics")</f>
        <v>Renesas Electronics</v>
      </c>
      <c r="C22295" s="6">
        <v>15000</v>
      </c>
      <c r="D22295" s="7">
        <v>0.15</v>
      </c>
    </row>
    <row r="22296" spans="1:4" x14ac:dyDescent="0.25">
      <c r="A22296" t="str">
        <f>HYPERLINK("https://www.773grp.com/globalSearch/HZS12A1LRX-E/page-1", "HZS12A1LRX-E")</f>
        <v>HZS12A1LRX-E</v>
      </c>
      <c r="B22296" s="3" t="str">
        <f>HYPERLINK("https://www.773grp.com/manufacturer/renesas-electronics-america-inc?pageNo=152", "Renesas Electronics")</f>
        <v>Renesas Electronics</v>
      </c>
      <c r="C22296" s="6">
        <v>12500</v>
      </c>
      <c r="D22296" s="7">
        <v>0.15</v>
      </c>
    </row>
    <row r="22297" spans="1:4" x14ac:dyDescent="0.25">
      <c r="A22297" t="str">
        <f>HYPERLINK("https://www.773grp.com/globalSearch/HZS12A1LTA-E/page-1", "HZS12A1LTA-E")</f>
        <v>HZS12A1LTA-E</v>
      </c>
      <c r="B22297" s="3" t="str">
        <f>HYPERLINK("https://www.773grp.com/manufacturer/renesas-electronics-america-inc?pageNo=153", "Renesas Electronics")</f>
        <v>Renesas Electronics</v>
      </c>
      <c r="C22297" s="6">
        <v>10000</v>
      </c>
      <c r="D22297" s="7">
        <v>0.15</v>
      </c>
    </row>
    <row r="22298" spans="1:4" x14ac:dyDescent="0.25">
      <c r="A22298" t="str">
        <f>HYPERLINK("https://www.773grp.com/globalSearch/HZS12A1TD-P-E/page-1", "HZS12A1TD-P-E")</f>
        <v>HZS12A1TD-P-E</v>
      </c>
      <c r="B22298" s="3" t="str">
        <f>HYPERLINK("https://www.773grp.com/manufacturer/renesas-electronics-america-inc?pageNo=154", "Renesas Electronics")</f>
        <v>Renesas Electronics</v>
      </c>
      <c r="C22298" s="6">
        <v>70000</v>
      </c>
      <c r="D22298" s="7">
        <v>0.15</v>
      </c>
    </row>
    <row r="22299" spans="1:4" x14ac:dyDescent="0.25">
      <c r="A22299" t="str">
        <f>HYPERLINK("https://www.773grp.com/globalSearch/HZS12A2LRX-E/page-1", "HZS12A2LRX-E")</f>
        <v>HZS12A2LRX-E</v>
      </c>
      <c r="B22299" s="3" t="str">
        <f>HYPERLINK("https://www.773grp.com/manufacturer/renesas-electronics-america-inc?pageNo=155", "Renesas Electronics")</f>
        <v>Renesas Electronics</v>
      </c>
      <c r="C22299" s="6">
        <v>17500</v>
      </c>
      <c r="D22299" s="7">
        <v>0.15</v>
      </c>
    </row>
    <row r="22300" spans="1:4" x14ac:dyDescent="0.25">
      <c r="A22300" t="str">
        <f>HYPERLINK("https://www.773grp.com/globalSearch/HZS12A2LTA-E/page-1", "HZS12A2LTA-E")</f>
        <v>HZS12A2LTA-E</v>
      </c>
      <c r="B22300" s="3" t="str">
        <f>HYPERLINK("https://www.773grp.com/manufacturer/renesas-electronics-america-inc?pageNo=156", "Renesas Electronics")</f>
        <v>Renesas Electronics</v>
      </c>
      <c r="C22300" s="6">
        <v>20000</v>
      </c>
      <c r="D22300" s="7">
        <v>0.15</v>
      </c>
    </row>
    <row r="22301" spans="1:4" x14ac:dyDescent="0.25">
      <c r="A22301" t="str">
        <f>HYPERLINK("https://www.773grp.com/globalSearch/HZS12B1LTA-E/page-1", "HZS12B1LTA-E")</f>
        <v>HZS12B1LTA-E</v>
      </c>
      <c r="B22301" s="3" t="str">
        <f>HYPERLINK("https://www.773grp.com/manufacturer/renesas-electronics-america-inc?pageNo=157", "Renesas Electronics")</f>
        <v>Renesas Electronics</v>
      </c>
      <c r="C22301" s="6">
        <v>25000</v>
      </c>
      <c r="D22301" s="7">
        <v>0.15</v>
      </c>
    </row>
    <row r="22302" spans="1:4" x14ac:dyDescent="0.25">
      <c r="A22302" t="str">
        <f>HYPERLINK("https://www.773grp.com/globalSearch/HZS12B1TD-E/page-1", "HZS12B1TD-E")</f>
        <v>HZS12B1TD-E</v>
      </c>
      <c r="B22302" s="3" t="str">
        <f>HYPERLINK("https://www.773grp.com/manufacturer/renesas-electronics-america-inc?pageNo=158", "Renesas Electronics")</f>
        <v>Renesas Electronics</v>
      </c>
      <c r="C22302" s="6">
        <v>42500</v>
      </c>
      <c r="D22302" s="7">
        <v>0.15</v>
      </c>
    </row>
    <row r="22303" spans="1:4" x14ac:dyDescent="0.25">
      <c r="A22303" t="str">
        <f>HYPERLINK("https://www.773grp.com/globalSearch/HZS12B2LTA-E/page-1", "HZS12B2LTA-E")</f>
        <v>HZS12B2LTA-E</v>
      </c>
      <c r="B22303" s="3" t="str">
        <f>HYPERLINK("https://www.773grp.com/manufacturer/renesas-electronics-america-inc?pageNo=159", "Renesas Electronics")</f>
        <v>Renesas Electronics</v>
      </c>
      <c r="C22303" s="6">
        <v>15000</v>
      </c>
      <c r="D22303" s="7">
        <v>0.15</v>
      </c>
    </row>
    <row r="22304" spans="1:4" x14ac:dyDescent="0.25">
      <c r="A22304" t="str">
        <f>HYPERLINK("https://www.773grp.com/globalSearch/HZS12C3LRX-E/page-1", "HZS12C3LRX-E")</f>
        <v>HZS12C3LRX-E</v>
      </c>
      <c r="B22304" s="3" t="str">
        <f>HYPERLINK("https://www.773grp.com/manufacturer/renesas-electronics-america-inc?pageNo=160", "Renesas Electronics")</f>
        <v>Renesas Electronics</v>
      </c>
      <c r="C22304" s="6">
        <v>7500</v>
      </c>
      <c r="D22304" s="7">
        <v>0.15</v>
      </c>
    </row>
    <row r="22305" spans="1:4" x14ac:dyDescent="0.25">
      <c r="A22305" t="str">
        <f>HYPERLINK("https://www.773grp.com/globalSearch/HZS12C3LTA-E/page-1", "HZS12C3LTA-E")</f>
        <v>HZS12C3LTA-E</v>
      </c>
      <c r="B22305" s="3" t="str">
        <f>HYPERLINK("https://www.773grp.com/manufacturer/renesas-electronics-america-inc?pageNo=161", "Renesas Electronics")</f>
        <v>Renesas Electronics</v>
      </c>
      <c r="C22305" s="6">
        <v>15000</v>
      </c>
      <c r="D22305" s="7">
        <v>0.15</v>
      </c>
    </row>
    <row r="22306" spans="1:4" x14ac:dyDescent="0.25">
      <c r="A22306" t="str">
        <f>HYPERLINK("https://www.773grp.com/globalSearch/HZS13NB2TD-P-E/page-1", "HZS13NB2TD-P-E")</f>
        <v>HZS13NB2TD-P-E</v>
      </c>
      <c r="B22306" s="3" t="str">
        <f>HYPERLINK("https://www.773grp.com/manufacturer/renesas-electronics-america-inc?pageNo=162", "Renesas Electronics")</f>
        <v>Renesas Electronics</v>
      </c>
      <c r="C22306" s="6">
        <v>40000</v>
      </c>
      <c r="D22306" s="7">
        <v>0.15</v>
      </c>
    </row>
    <row r="22307" spans="1:4" x14ac:dyDescent="0.25">
      <c r="A22307" t="str">
        <f>HYPERLINK("https://www.773grp.com/globalSearch/HZS15-3LTA-E/page-1", "HZS15-3LTA-E")</f>
        <v>HZS15-3LTA-E</v>
      </c>
      <c r="B22307" s="3" t="str">
        <f>HYPERLINK("https://www.773grp.com/manufacturer/renesas-electronics-america-inc?pageNo=163", "Renesas Electronics")</f>
        <v>Renesas Electronics</v>
      </c>
      <c r="C22307" s="6">
        <v>5000</v>
      </c>
      <c r="D22307" s="7">
        <v>0.15</v>
      </c>
    </row>
    <row r="22308" spans="1:4" x14ac:dyDescent="0.25">
      <c r="A22308" t="str">
        <f>HYPERLINK("https://www.773grp.com/globalSearch/HZS18-3LTA-E/page-1", "HZS18-3LTA-E")</f>
        <v>HZS18-3LTA-E</v>
      </c>
      <c r="B22308" s="3" t="str">
        <f>HYPERLINK("https://www.773grp.com/manufacturer/renesas-electronics-america-inc?pageNo=164", "Renesas Electronics")</f>
        <v>Renesas Electronics</v>
      </c>
      <c r="C22308" s="6">
        <v>10000</v>
      </c>
      <c r="D22308" s="7">
        <v>0.15</v>
      </c>
    </row>
    <row r="22309" spans="1:4" x14ac:dyDescent="0.25">
      <c r="A22309" t="str">
        <f>HYPERLINK("https://www.773grp.com/globalSearch/HZS18NB1TA-E/page-1", "HZS18NB1TA-E")</f>
        <v>HZS18NB1TA-E</v>
      </c>
      <c r="B22309" s="3" t="str">
        <f>HYPERLINK("https://www.773grp.com/manufacturer/renesas-electronics-america-inc?pageNo=165", "Renesas Electronics")</f>
        <v>Renesas Electronics</v>
      </c>
      <c r="C22309" s="6">
        <v>15000</v>
      </c>
      <c r="D22309" s="7">
        <v>0.15</v>
      </c>
    </row>
    <row r="22310" spans="1:4" x14ac:dyDescent="0.25">
      <c r="A22310" t="str">
        <f>HYPERLINK("https://www.773grp.com/globalSearch/HZS2.4NB1TD-E/page-1", "HZS2.4NB1TD-E")</f>
        <v>HZS2.4NB1TD-E</v>
      </c>
      <c r="B22310" s="3" t="str">
        <f>HYPERLINK("https://www.773grp.com/manufacturer/renesas-electronics-america-inc?pageNo=166", "Renesas Electronics")</f>
        <v>Renesas Electronics</v>
      </c>
      <c r="C22310" s="6">
        <v>7500</v>
      </c>
      <c r="D22310" s="7">
        <v>0.15</v>
      </c>
    </row>
    <row r="22311" spans="1:4" x14ac:dyDescent="0.25">
      <c r="A22311" t="str">
        <f>HYPERLINK("https://www.773grp.com/globalSearch/HZS20-3TD-E/page-1", "HZS20-3TD-E")</f>
        <v>HZS20-3TD-E</v>
      </c>
      <c r="B22311" s="3" t="str">
        <f>HYPERLINK("https://www.773grp.com/manufacturer/renesas-electronics-america-inc?pageNo=167", "Renesas Electronics")</f>
        <v>Renesas Electronics</v>
      </c>
      <c r="C22311" s="6">
        <v>10000</v>
      </c>
      <c r="D22311" s="7">
        <v>0.15</v>
      </c>
    </row>
    <row r="22312" spans="1:4" x14ac:dyDescent="0.25">
      <c r="A22312" t="str">
        <f>HYPERLINK("https://www.773grp.com/globalSearch/HZS20NB1TD-P-E/page-1", "HZS20NB1TD-P-E")</f>
        <v>HZS20NB1TD-P-E</v>
      </c>
      <c r="B22312" s="3" t="str">
        <f>HYPERLINK("https://www.773grp.com/manufacturer/renesas-electronics-america-inc?pageNo=168", "Renesas Electronics")</f>
        <v>Renesas Electronics</v>
      </c>
      <c r="C22312" s="6">
        <v>7500</v>
      </c>
      <c r="D22312" s="7">
        <v>0.15</v>
      </c>
    </row>
    <row r="22313" spans="1:4" x14ac:dyDescent="0.25">
      <c r="A22313" t="str">
        <f>HYPERLINK("https://www.773grp.com/globalSearch/HZS22-1LTA-E/page-1", "HZS22-1LTA-E")</f>
        <v>HZS22-1LTA-E</v>
      </c>
      <c r="B22313" s="3" t="str">
        <f>HYPERLINK("https://www.773grp.com/manufacturer/renesas-electronics-america-inc?pageNo=169", "Renesas Electronics")</f>
        <v>Renesas Electronics</v>
      </c>
      <c r="C22313" s="6">
        <v>20000</v>
      </c>
      <c r="D22313" s="7">
        <v>0.15</v>
      </c>
    </row>
    <row r="22314" spans="1:4" x14ac:dyDescent="0.25">
      <c r="A22314" t="str">
        <f>HYPERLINK("https://www.773grp.com/globalSearch/HZS22-1TD-E/page-1", "HZS22-1TD-E")</f>
        <v>HZS22-1TD-E</v>
      </c>
      <c r="B22314" s="3" t="str">
        <f>HYPERLINK("https://www.773grp.com/manufacturer/renesas-electronics-america-inc?pageNo=170", "Renesas Electronics")</f>
        <v>Renesas Electronics</v>
      </c>
      <c r="C22314" s="6">
        <v>37500</v>
      </c>
      <c r="D22314" s="7">
        <v>0.15</v>
      </c>
    </row>
    <row r="22315" spans="1:4" x14ac:dyDescent="0.25">
      <c r="A22315" t="str">
        <f>HYPERLINK("https://www.773grp.com/globalSearch/HZS22-3LTA-E/page-1", "HZS22-3LTA-E")</f>
        <v>HZS22-3LTA-E</v>
      </c>
      <c r="B22315" s="3" t="str">
        <f>HYPERLINK("https://www.773grp.com/manufacturer/renesas-electronics-america-inc?pageNo=171", "Renesas Electronics")</f>
        <v>Renesas Electronics</v>
      </c>
      <c r="C22315" s="6">
        <v>25000</v>
      </c>
      <c r="D22315" s="7">
        <v>0.15</v>
      </c>
    </row>
    <row r="22316" spans="1:4" x14ac:dyDescent="0.25">
      <c r="A22316" t="str">
        <f>HYPERLINK("https://www.773grp.com/globalSearch/HZS22NB4TD-E/page-1", "HZS22NB4TD-E")</f>
        <v>HZS22NB4TD-E</v>
      </c>
      <c r="B22316" s="3" t="str">
        <f>HYPERLINK("https://www.773grp.com/manufacturer/renesas-electronics-america-inc?pageNo=172", "Renesas Electronics")</f>
        <v>Renesas Electronics</v>
      </c>
      <c r="C22316" s="6">
        <v>20000</v>
      </c>
      <c r="D22316" s="7">
        <v>0.15</v>
      </c>
    </row>
    <row r="22317" spans="1:4" x14ac:dyDescent="0.25">
      <c r="A22317" t="str">
        <f>HYPERLINK("https://www.773grp.com/globalSearch/HZS24-2LTA-E/page-1", "HZS24-2LTA-E")</f>
        <v>HZS24-2LTA-E</v>
      </c>
      <c r="B22317" s="3" t="str">
        <f>HYPERLINK("https://www.773grp.com/manufacturer/renesas-electronics-america-inc?pageNo=173", "Renesas Electronics")</f>
        <v>Renesas Electronics</v>
      </c>
      <c r="C22317" s="6">
        <v>15000</v>
      </c>
      <c r="D22317" s="7">
        <v>0.15</v>
      </c>
    </row>
    <row r="22318" spans="1:4" x14ac:dyDescent="0.25">
      <c r="A22318" t="str">
        <f>HYPERLINK("https://www.773grp.com/globalSearch/HZS24-3LTA-E/page-1", "HZS24-3LTA-E")</f>
        <v>HZS24-3LTA-E</v>
      </c>
      <c r="B22318" s="3" t="str">
        <f>HYPERLINK("https://www.773grp.com/manufacturer/renesas-electronics-america-inc?pageNo=174", "Renesas Electronics")</f>
        <v>Renesas Electronics</v>
      </c>
      <c r="C22318" s="6">
        <v>20000</v>
      </c>
      <c r="D22318" s="7">
        <v>0.15</v>
      </c>
    </row>
    <row r="22319" spans="1:4" x14ac:dyDescent="0.25">
      <c r="A22319" t="str">
        <f>HYPERLINK("https://www.773grp.com/globalSearch/HZS24-3LTE-E/page-1", "HZS24-3LTE-E")</f>
        <v>HZS24-3LTE-E</v>
      </c>
      <c r="B22319" s="3" t="str">
        <f>HYPERLINK("https://www.773grp.com/manufacturer/renesas-electronics-america-inc?pageNo=175", "Renesas Electronics")</f>
        <v>Renesas Electronics</v>
      </c>
      <c r="C22319" s="6">
        <v>25000</v>
      </c>
      <c r="D22319" s="7">
        <v>0.15</v>
      </c>
    </row>
    <row r="22320" spans="1:4" x14ac:dyDescent="0.25">
      <c r="A22320" t="str">
        <f>HYPERLINK("https://www.773grp.com/globalSearch/HZS27-1LRX-E/page-1", "HZS27-1LRX-E")</f>
        <v>HZS27-1LRX-E</v>
      </c>
      <c r="B22320" s="3" t="str">
        <f>HYPERLINK("https://www.773grp.com/manufacturer/renesas-electronics-america-inc?pageNo=176", "Renesas Electronics")</f>
        <v>Renesas Electronics</v>
      </c>
      <c r="C22320" s="6">
        <v>12500</v>
      </c>
      <c r="D22320" s="7">
        <v>0.15</v>
      </c>
    </row>
    <row r="22321" spans="1:4" x14ac:dyDescent="0.25">
      <c r="A22321" t="str">
        <f>HYPERLINK("https://www.773grp.com/globalSearch/HZS27-3LRX-E/page-1", "HZS27-3LRX-E")</f>
        <v>HZS27-3LRX-E</v>
      </c>
      <c r="B22321" s="3" t="str">
        <f>HYPERLINK("https://www.773grp.com/manufacturer/renesas-electronics-america-inc?pageNo=177", "Renesas Electronics")</f>
        <v>Renesas Electronics</v>
      </c>
      <c r="C22321" s="6">
        <v>7500</v>
      </c>
      <c r="D22321" s="7">
        <v>0.15</v>
      </c>
    </row>
    <row r="22322" spans="1:4" x14ac:dyDescent="0.25">
      <c r="A22322" t="str">
        <f>HYPERLINK("https://www.773grp.com/globalSearch/HZS27NB2TD-P-E/page-1", "HZS27NB2TD-P-E")</f>
        <v>HZS27NB2TD-P-E</v>
      </c>
      <c r="B22322" s="3" t="str">
        <f>HYPERLINK("https://www.773grp.com/manufacturer/renesas-electronics-america-inc?pageNo=178", "Renesas Electronics")</f>
        <v>Renesas Electronics</v>
      </c>
      <c r="C22322" s="6">
        <v>15000</v>
      </c>
      <c r="D22322" s="7">
        <v>0.15</v>
      </c>
    </row>
    <row r="22323" spans="1:4" x14ac:dyDescent="0.25">
      <c r="A22323" t="str">
        <f>HYPERLINK("https://www.773grp.com/globalSearch/HZS2C2TA-E/page-1", "HZS2C2TA-E")</f>
        <v>HZS2C2TA-E</v>
      </c>
      <c r="B22323" s="3" t="str">
        <f>HYPERLINK("https://www.773grp.com/manufacturer/renesas-electronics-america-inc?pageNo=179", "Renesas Electronics")</f>
        <v>Renesas Electronics</v>
      </c>
      <c r="C22323" s="6">
        <v>5000</v>
      </c>
      <c r="D22323" s="7">
        <v>0.15</v>
      </c>
    </row>
    <row r="22324" spans="1:4" x14ac:dyDescent="0.25">
      <c r="A22324" t="str">
        <f>HYPERLINK("https://www.773grp.com/globalSearch/HZS2C3TA-E/page-1", "HZS2C3TA-E")</f>
        <v>HZS2C3TA-E</v>
      </c>
      <c r="B22324" s="3" t="str">
        <f>HYPERLINK("https://www.773grp.com/manufacturer/renesas-electronics-america-inc?pageNo=180", "Renesas Electronics")</f>
        <v>Renesas Electronics</v>
      </c>
      <c r="C22324" s="6">
        <v>10000</v>
      </c>
      <c r="D22324" s="7">
        <v>0.15</v>
      </c>
    </row>
    <row r="22325" spans="1:4" x14ac:dyDescent="0.25">
      <c r="A22325" t="str">
        <f>HYPERLINK("https://www.773grp.com/globalSearch/HZS3.3NB2TA-E/page-1", "HZS3.3NB2TA-E")</f>
        <v>HZS3.3NB2TA-E</v>
      </c>
      <c r="B22325" s="3" t="str">
        <f>HYPERLINK("https://www.773grp.com/manufacturer/renesas-electronics-america-inc?pageNo=181", "Renesas Electronics")</f>
        <v>Renesas Electronics</v>
      </c>
      <c r="C22325" s="6">
        <v>19250</v>
      </c>
      <c r="D22325" s="7">
        <v>0.15</v>
      </c>
    </row>
    <row r="22326" spans="1:4" x14ac:dyDescent="0.25">
      <c r="A22326" t="str">
        <f>HYPERLINK("https://www.773grp.com/globalSearch/HZS3.6NB1TA-E/page-1", "HZS3.6NB1TA-E")</f>
        <v>HZS3.6NB1TA-E</v>
      </c>
      <c r="B22326" s="3" t="str">
        <f>HYPERLINK("https://www.773grp.com/manufacturer/renesas-electronics-america-inc?pageNo=182", "Renesas Electronics")</f>
        <v>Renesas Electronics</v>
      </c>
      <c r="C22326" s="6">
        <v>30000</v>
      </c>
      <c r="D22326" s="7">
        <v>0.15</v>
      </c>
    </row>
    <row r="22327" spans="1:4" x14ac:dyDescent="0.25">
      <c r="A22327" t="str">
        <f>HYPERLINK("https://www.773grp.com/globalSearch/HZS30-1LTD-E/page-1", "HZS30-1LTD-E")</f>
        <v>HZS30-1LTD-E</v>
      </c>
      <c r="B22327" s="3" t="str">
        <f>HYPERLINK("https://www.773grp.com/manufacturer/renesas-electronics-america-inc?pageNo=183", "Renesas Electronics")</f>
        <v>Renesas Electronics</v>
      </c>
      <c r="C22327" s="6">
        <v>42500</v>
      </c>
      <c r="D22327" s="7">
        <v>0.15</v>
      </c>
    </row>
    <row r="22328" spans="1:4" x14ac:dyDescent="0.25">
      <c r="A22328" t="str">
        <f>HYPERLINK("https://www.773grp.com/globalSearch/HZS30-3LTD-E/page-1", "HZS30-3LTD-E")</f>
        <v>HZS30-3LTD-E</v>
      </c>
      <c r="B22328" s="3" t="str">
        <f>HYPERLINK("https://www.773grp.com/manufacturer/renesas-electronics-america-inc?pageNo=184", "Renesas Electronics")</f>
        <v>Renesas Electronics</v>
      </c>
      <c r="C22328" s="6">
        <v>20000</v>
      </c>
      <c r="D22328" s="7">
        <v>0.15</v>
      </c>
    </row>
    <row r="22329" spans="1:4" x14ac:dyDescent="0.25">
      <c r="A22329" t="str">
        <f>HYPERLINK("https://www.773grp.com/globalSearch/HZS30NB3TA-E/page-1", "HZS30NB3TA-E")</f>
        <v>HZS30NB3TA-E</v>
      </c>
      <c r="B22329" s="3" t="str">
        <f>HYPERLINK("https://www.773grp.com/manufacturer/renesas-electronics-america-inc?pageNo=185", "Renesas Electronics")</f>
        <v>Renesas Electronics</v>
      </c>
      <c r="C22329" s="6">
        <v>20000</v>
      </c>
      <c r="D22329" s="7">
        <v>0.15</v>
      </c>
    </row>
    <row r="22330" spans="1:4" x14ac:dyDescent="0.25">
      <c r="A22330" t="str">
        <f>HYPERLINK("https://www.773grp.com/globalSearch/HZS33-2LTD-E/page-1", "HZS33-2LTD-E")</f>
        <v>HZS33-2LTD-E</v>
      </c>
      <c r="B22330" s="3" t="str">
        <f>HYPERLINK("https://www.773grp.com/manufacturer/renesas-electronics-america-inc?pageNo=186", "Renesas Electronics")</f>
        <v>Renesas Electronics</v>
      </c>
      <c r="C22330" s="6">
        <v>17500</v>
      </c>
      <c r="D22330" s="7">
        <v>0.15</v>
      </c>
    </row>
    <row r="22331" spans="1:4" x14ac:dyDescent="0.25">
      <c r="A22331" t="str">
        <f>HYPERLINK("https://www.773grp.com/globalSearch/HZS33-3LTA-E/page-1", "HZS33-3LTA-E")</f>
        <v>HZS33-3LTA-E</v>
      </c>
      <c r="B22331" s="3" t="str">
        <f>HYPERLINK("https://www.773grp.com/manufacturer/renesas-electronics-america-inc?pageNo=187", "Renesas Electronics")</f>
        <v>Renesas Electronics</v>
      </c>
      <c r="C22331" s="6">
        <v>15000</v>
      </c>
      <c r="D22331" s="7">
        <v>0.15</v>
      </c>
    </row>
    <row r="22332" spans="1:4" x14ac:dyDescent="0.25">
      <c r="A22332" t="str">
        <f>HYPERLINK("https://www.773grp.com/globalSearch/HZS36-1LTD-E/page-1", "HZS36-1LTD-E")</f>
        <v>HZS36-1LTD-E</v>
      </c>
      <c r="B22332" s="3" t="str">
        <f>HYPERLINK("https://www.773grp.com/manufacturer/renesas-electronics-america-inc?pageNo=188", "Renesas Electronics")</f>
        <v>Renesas Electronics</v>
      </c>
      <c r="C22332" s="6">
        <v>12500</v>
      </c>
      <c r="D22332" s="7">
        <v>0.15</v>
      </c>
    </row>
    <row r="22333" spans="1:4" x14ac:dyDescent="0.25">
      <c r="A22333" t="str">
        <f>HYPERLINK("https://www.773grp.com/globalSearch/HZS36-2LRX-E/page-1", "HZS36-2LRX-E")</f>
        <v>HZS36-2LRX-E</v>
      </c>
      <c r="B22333" s="3" t="str">
        <f>HYPERLINK("https://www.773grp.com/manufacturer/renesas-electronics-america-inc?pageNo=189", "Renesas Electronics")</f>
        <v>Renesas Electronics</v>
      </c>
      <c r="C22333" s="6">
        <v>20000</v>
      </c>
      <c r="D22333" s="7">
        <v>0.15</v>
      </c>
    </row>
    <row r="22334" spans="1:4" x14ac:dyDescent="0.25">
      <c r="A22334" t="str">
        <f>HYPERLINK("https://www.773grp.com/globalSearch/HZS36-2LTA-E/page-1", "HZS36-2LTA-E")</f>
        <v>HZS36-2LTA-E</v>
      </c>
      <c r="B22334" s="3" t="str">
        <f>HYPERLINK("https://www.773grp.com/manufacturer/renesas-electronics-america-inc?pageNo=190", "Renesas Electronics")</f>
        <v>Renesas Electronics</v>
      </c>
      <c r="C22334" s="6">
        <v>5000</v>
      </c>
      <c r="D22334" s="7">
        <v>0.15</v>
      </c>
    </row>
    <row r="22335" spans="1:4" x14ac:dyDescent="0.25">
      <c r="A22335" t="str">
        <f>HYPERLINK("https://www.773grp.com/globalSearch/HZS36-2TA-E/page-1", "HZS36-2TA-E")</f>
        <v>HZS36-2TA-E</v>
      </c>
      <c r="B22335" s="3" t="str">
        <f>HYPERLINK("https://www.773grp.com/manufacturer/renesas-electronics-america-inc?pageNo=191", "Renesas Electronics")</f>
        <v>Renesas Electronics</v>
      </c>
      <c r="C22335" s="6">
        <v>5000</v>
      </c>
      <c r="D22335" s="7">
        <v>0.15</v>
      </c>
    </row>
    <row r="22336" spans="1:4" x14ac:dyDescent="0.25">
      <c r="A22336" t="str">
        <f>HYPERLINK("https://www.773grp.com/globalSearch/HZS36-3LTD-E/page-1", "HZS36-3LTD-E")</f>
        <v>HZS36-3LTD-E</v>
      </c>
      <c r="B22336" s="3" t="str">
        <f>HYPERLINK("https://www.773grp.com/manufacturer/renesas-electronics-america-inc?pageNo=192", "Renesas Electronics")</f>
        <v>Renesas Electronics</v>
      </c>
      <c r="C22336" s="6">
        <v>12500</v>
      </c>
      <c r="D22336" s="7">
        <v>0.15</v>
      </c>
    </row>
    <row r="22337" spans="1:4" x14ac:dyDescent="0.25">
      <c r="A22337" t="str">
        <f>HYPERLINK("https://www.773grp.com/globalSearch/HZS3A2TD-P-E/page-1", "HZS3A2TD-P-E")</f>
        <v>HZS3A2TD-P-E</v>
      </c>
      <c r="B22337" s="3" t="str">
        <f>HYPERLINK("https://www.773grp.com/manufacturer/renesas-electronics-america-inc?pageNo=193", "Renesas Electronics")</f>
        <v>Renesas Electronics</v>
      </c>
      <c r="C22337" s="6">
        <v>7500</v>
      </c>
      <c r="D22337" s="7">
        <v>0.15</v>
      </c>
    </row>
    <row r="22338" spans="1:4" x14ac:dyDescent="0.25">
      <c r="A22338" t="str">
        <f>HYPERLINK("https://www.773grp.com/globalSearch/HZS3C1TD-E/page-1", "HZS3C1TD-E")</f>
        <v>HZS3C1TD-E</v>
      </c>
      <c r="B22338" s="3" t="str">
        <f>HYPERLINK("https://www.773grp.com/manufacturer/renesas-electronics-america-inc?pageNo=194", "Renesas Electronics")</f>
        <v>Renesas Electronics</v>
      </c>
      <c r="C22338" s="6">
        <v>2500</v>
      </c>
      <c r="D22338" s="7">
        <v>0.15</v>
      </c>
    </row>
    <row r="22339" spans="1:4" x14ac:dyDescent="0.25">
      <c r="A22339" t="str">
        <f>HYPERLINK("https://www.773grp.com/globalSearch/HZS3C3TD-E/page-1", "HZS3C3TD-E")</f>
        <v>HZS3C3TD-E</v>
      </c>
      <c r="B22339" s="3" t="str">
        <f>HYPERLINK("https://www.773grp.com/manufacturer/renesas-electronics-america-inc?pageNo=195", "Renesas Electronics")</f>
        <v>Renesas Electronics</v>
      </c>
      <c r="C22339" s="6">
        <v>17500</v>
      </c>
      <c r="D22339" s="7">
        <v>0.15</v>
      </c>
    </row>
    <row r="22340" spans="1:4" x14ac:dyDescent="0.25">
      <c r="A22340" t="str">
        <f>HYPERLINK("https://www.773grp.com/globalSearch/HZS4.3NB2TA-E/page-1", "HZS4.3NB2TA-E")</f>
        <v>HZS4.3NB2TA-E</v>
      </c>
      <c r="B22340" s="3" t="str">
        <f>HYPERLINK("https://www.773grp.com/manufacturer/renesas-electronics-america-inc?pageNo=196", "Renesas Electronics")</f>
        <v>Renesas Electronics</v>
      </c>
      <c r="C22340" s="6">
        <v>5000</v>
      </c>
      <c r="D22340" s="7">
        <v>0.15</v>
      </c>
    </row>
    <row r="22341" spans="1:4" x14ac:dyDescent="0.25">
      <c r="A22341" t="str">
        <f>HYPERLINK("https://www.773grp.com/globalSearch/HZS4B1TA-E/page-1", "HZS4B1TA-E")</f>
        <v>HZS4B1TA-E</v>
      </c>
      <c r="B22341" s="3" t="str">
        <f>HYPERLINK("https://www.773grp.com/manufacturer/renesas-electronics-america-inc?pageNo=197", "Renesas Electronics")</f>
        <v>Renesas Electronics</v>
      </c>
      <c r="C22341" s="6">
        <v>5000</v>
      </c>
      <c r="D22341" s="7">
        <v>0.15</v>
      </c>
    </row>
    <row r="22342" spans="1:4" x14ac:dyDescent="0.25">
      <c r="A22342" t="str">
        <f>HYPERLINK("https://www.773grp.com/globalSearch/HZS4B1TD-E/page-1", "HZS4B1TD-E")</f>
        <v>HZS4B1TD-E</v>
      </c>
      <c r="B22342" s="3" t="str">
        <f>HYPERLINK("https://www.773grp.com/manufacturer/renesas-electronics-america-inc?pageNo=198", "Renesas Electronics")</f>
        <v>Renesas Electronics</v>
      </c>
      <c r="C22342" s="6">
        <v>20000</v>
      </c>
      <c r="D22342" s="7">
        <v>0.15</v>
      </c>
    </row>
    <row r="22343" spans="1:4" x14ac:dyDescent="0.25">
      <c r="A22343" t="str">
        <f>HYPERLINK("https://www.773grp.com/globalSearch/HZS4B2TA-E/page-1", "HZS4B2TA-E")</f>
        <v>HZS4B2TA-E</v>
      </c>
      <c r="B22343" s="3" t="str">
        <f>HYPERLINK("https://www.773grp.com/manufacturer/renesas-electronics-america-inc?pageNo=199", "Renesas Electronics")</f>
        <v>Renesas Electronics</v>
      </c>
      <c r="C22343" s="6">
        <v>5000</v>
      </c>
      <c r="D22343" s="7">
        <v>0.15</v>
      </c>
    </row>
    <row r="22344" spans="1:4" x14ac:dyDescent="0.25">
      <c r="A22344" t="str">
        <f>HYPERLINK("https://www.773grp.com/globalSearch/HZS4B3TA-E/page-1", "HZS4B3TA-E")</f>
        <v>HZS4B3TA-E</v>
      </c>
      <c r="B22344" s="3" t="str">
        <f>HYPERLINK("https://www.773grp.com/manufacturer/renesas-electronics-america-inc?pageNo=200", "Renesas Electronics")</f>
        <v>Renesas Electronics</v>
      </c>
      <c r="C22344" s="6">
        <v>35000</v>
      </c>
      <c r="D22344" s="7">
        <v>0.15</v>
      </c>
    </row>
    <row r="22345" spans="1:4" x14ac:dyDescent="0.25">
      <c r="A22345" t="str">
        <f>HYPERLINK("https://www.773grp.com/globalSearch/HZS4B3TD-E/page-1", "HZS4B3TD-E")</f>
        <v>HZS4B3TD-E</v>
      </c>
      <c r="B22345" s="3" t="str">
        <f>HYPERLINK("https://www.773grp.com/manufacturer/renesas-electronics-america-inc?pageNo=201", "Renesas Electronics")</f>
        <v>Renesas Electronics</v>
      </c>
      <c r="C22345" s="6">
        <v>5000</v>
      </c>
      <c r="D22345" s="7">
        <v>0.15</v>
      </c>
    </row>
    <row r="22346" spans="1:4" x14ac:dyDescent="0.25">
      <c r="A22346" t="str">
        <f>HYPERLINK("https://www.773grp.com/globalSearch/HZS4C1TA-E/page-1", "HZS4C1TA-E")</f>
        <v>HZS4C1TA-E</v>
      </c>
      <c r="B22346" s="3" t="str">
        <f>HYPERLINK("https://www.773grp.com/manufacturer/renesas-electronics-america-inc?pageNo=202", "Renesas Electronics")</f>
        <v>Renesas Electronics</v>
      </c>
      <c r="C22346" s="6">
        <v>35000</v>
      </c>
      <c r="D22346" s="7">
        <v>0.15</v>
      </c>
    </row>
    <row r="22347" spans="1:4" x14ac:dyDescent="0.25">
      <c r="A22347" t="str">
        <f>HYPERLINK("https://www.773grp.com/globalSearch/HZS5.6NB1TD-P-E/page-1", "HZS5.6NB1TD-P-E")</f>
        <v>HZS5.6NB1TD-P-E</v>
      </c>
      <c r="B22347" s="3" t="str">
        <f>HYPERLINK("https://www.773grp.com/manufacturer/renesas-electronics-america-inc?pageNo=203", "Renesas Electronics")</f>
        <v>Renesas Electronics</v>
      </c>
      <c r="C22347" s="6">
        <v>7500</v>
      </c>
      <c r="D22347" s="7">
        <v>0.15</v>
      </c>
    </row>
    <row r="22348" spans="1:4" x14ac:dyDescent="0.25">
      <c r="A22348" t="str">
        <f>HYPERLINK("https://www.773grp.com/globalSearch/HZS5A3RX-E/page-1", "HZS5A3RX-E")</f>
        <v>HZS5A3RX-E</v>
      </c>
      <c r="B22348" s="3" t="str">
        <f>HYPERLINK("https://www.773grp.com/manufacturer/renesas-electronics-america-inc?pageNo=204", "Renesas Electronics")</f>
        <v>Renesas Electronics</v>
      </c>
      <c r="C22348" s="6">
        <v>17500</v>
      </c>
      <c r="D22348" s="7">
        <v>0.15</v>
      </c>
    </row>
    <row r="22349" spans="1:4" x14ac:dyDescent="0.25">
      <c r="A22349" t="str">
        <f>HYPERLINK("https://www.773grp.com/globalSearch/HZS5C1TD-P-E/page-1", "HZS5C1TD-P-E")</f>
        <v>HZS5C1TD-P-E</v>
      </c>
      <c r="B22349" s="3" t="str">
        <f>HYPERLINK("https://www.773grp.com/manufacturer/renesas-electronics-america-inc?pageNo=205", "Renesas Electronics")</f>
        <v>Renesas Electronics</v>
      </c>
      <c r="C22349" s="6">
        <v>15000</v>
      </c>
      <c r="D22349" s="7">
        <v>0.15</v>
      </c>
    </row>
    <row r="22350" spans="1:4" x14ac:dyDescent="0.25">
      <c r="A22350" t="str">
        <f>HYPERLINK("https://www.773grp.com/globalSearch/HZS6.2NB2TD-P-E/page-1", "HZS6.2NB2TD-P-E")</f>
        <v>HZS6.2NB2TD-P-E</v>
      </c>
      <c r="B22350" s="3" t="str">
        <f>HYPERLINK("https://www.773grp.com/manufacturer/renesas-electronics-america-inc?pageNo=206", "Renesas Electronics")</f>
        <v>Renesas Electronics</v>
      </c>
      <c r="C22350" s="6">
        <v>7500</v>
      </c>
      <c r="D22350" s="7">
        <v>0.15</v>
      </c>
    </row>
    <row r="22351" spans="1:4" x14ac:dyDescent="0.25">
      <c r="A22351" t="str">
        <f>HYPERLINK("https://www.773grp.com/globalSearch/HZS6.2NB3TA-E/page-1", "HZS6.2NB3TA-E")</f>
        <v>HZS6.2NB3TA-E</v>
      </c>
      <c r="B22351" s="3" t="str">
        <f>HYPERLINK("https://www.773grp.com/manufacturer/renesas-electronics-america-inc?pageNo=207", "Renesas Electronics")</f>
        <v>Renesas Electronics</v>
      </c>
      <c r="C22351" s="6">
        <v>15000</v>
      </c>
      <c r="D22351" s="7">
        <v>0.15</v>
      </c>
    </row>
    <row r="22352" spans="1:4" x14ac:dyDescent="0.25">
      <c r="A22352" t="str">
        <f>HYPERLINK("https://www.773grp.com/globalSearch/HZS6B2LTA-E/page-1", "HZS6B2LTA-E")</f>
        <v>HZS6B2LTA-E</v>
      </c>
      <c r="B22352" s="3" t="str">
        <f>HYPERLINK("https://www.773grp.com/manufacturer/renesas-electronics-america-inc?pageNo=208", "Renesas Electronics")</f>
        <v>Renesas Electronics</v>
      </c>
      <c r="C22352" s="6">
        <v>60000</v>
      </c>
      <c r="D22352" s="7">
        <v>0.15</v>
      </c>
    </row>
    <row r="22353" spans="1:4" x14ac:dyDescent="0.25">
      <c r="A22353" t="str">
        <f>HYPERLINK("https://www.773grp.com/globalSearch/HZS6B2TA-E/page-1", "HZS6B2TA-E")</f>
        <v>HZS6B2TA-E</v>
      </c>
      <c r="B22353" s="3" t="str">
        <f>HYPERLINK("https://www.773grp.com/manufacturer/renesas-electronics-america-inc?pageNo=209", "Renesas Electronics")</f>
        <v>Renesas Electronics</v>
      </c>
      <c r="C22353" s="6">
        <v>5000</v>
      </c>
      <c r="D22353" s="7">
        <v>0.15</v>
      </c>
    </row>
    <row r="22354" spans="1:4" x14ac:dyDescent="0.25">
      <c r="A22354" t="str">
        <f>HYPERLINK("https://www.773grp.com/globalSearch/HZS6C1TA-E/page-1", "HZS6C1TA-E")</f>
        <v>HZS6C1TA-E</v>
      </c>
      <c r="B22354" s="3" t="str">
        <f>HYPERLINK("https://www.773grp.com/manufacturer/renesas-electronics-america-inc?pageNo=210", "Renesas Electronics")</f>
        <v>Renesas Electronics</v>
      </c>
      <c r="C22354" s="6">
        <v>5000</v>
      </c>
      <c r="D22354" s="7">
        <v>0.15</v>
      </c>
    </row>
    <row r="22355" spans="1:4" x14ac:dyDescent="0.25">
      <c r="A22355" t="str">
        <f>HYPERLINK("https://www.773grp.com/globalSearch/HZS6C2RX-E/page-1", "HZS6C2RX-E")</f>
        <v>HZS6C2RX-E</v>
      </c>
      <c r="B22355" s="3" t="str">
        <f>HYPERLINK("https://www.773grp.com/manufacturer/renesas-electronics-america-inc?pageNo=211", "Renesas Electronics")</f>
        <v>Renesas Electronics</v>
      </c>
      <c r="C22355" s="6">
        <v>5000</v>
      </c>
      <c r="D22355" s="7">
        <v>0.15</v>
      </c>
    </row>
    <row r="22356" spans="1:4" x14ac:dyDescent="0.25">
      <c r="A22356" t="str">
        <f>HYPERLINK("https://www.773grp.com/globalSearch/HZS6C2TA-E/page-1", "HZS6C2TA-E")</f>
        <v>HZS6C2TA-E</v>
      </c>
      <c r="B22356" s="3" t="str">
        <f>HYPERLINK("https://www.773grp.com/manufacturer/renesas-electronics-america-inc?pageNo=212", "Renesas Electronics")</f>
        <v>Renesas Electronics</v>
      </c>
      <c r="C22356" s="6">
        <v>15000</v>
      </c>
      <c r="D22356" s="7">
        <v>0.15</v>
      </c>
    </row>
    <row r="22357" spans="1:4" x14ac:dyDescent="0.25">
      <c r="A22357" t="str">
        <f>HYPERLINK("https://www.773grp.com/globalSearch/HZS7A1-1TD-E/page-1", "HZS7A1-1TD-E")</f>
        <v>HZS7A1-1TD-E</v>
      </c>
      <c r="B22357" s="3" t="str">
        <f>HYPERLINK("https://www.773grp.com/manufacturer/renesas-electronics-america-inc?pageNo=213", "Renesas Electronics")</f>
        <v>Renesas Electronics</v>
      </c>
      <c r="C22357" s="6">
        <v>2500</v>
      </c>
      <c r="D22357" s="7">
        <v>0.15</v>
      </c>
    </row>
    <row r="22358" spans="1:4" x14ac:dyDescent="0.25">
      <c r="A22358" t="str">
        <f>HYPERLINK("https://www.773grp.com/globalSearch/HZS7A1LRX-E/page-1", "HZS7A1LRX-E")</f>
        <v>HZS7A1LRX-E</v>
      </c>
      <c r="B22358" s="3" t="str">
        <f>HYPERLINK("https://www.773grp.com/manufacturer/renesas-electronics-america-inc?pageNo=214", "Renesas Electronics")</f>
        <v>Renesas Electronics</v>
      </c>
      <c r="C22358" s="6">
        <v>17500</v>
      </c>
      <c r="D22358" s="7">
        <v>0.15</v>
      </c>
    </row>
    <row r="22359" spans="1:4" x14ac:dyDescent="0.25">
      <c r="A22359" t="str">
        <f>HYPERLINK("https://www.773grp.com/globalSearch/HZS7A1LTA-E/page-1", "HZS7A1LTA-E")</f>
        <v>HZS7A1LTA-E</v>
      </c>
      <c r="B22359" s="3" t="str">
        <f>HYPERLINK("https://www.773grp.com/manufacturer/renesas-electronics-america-inc?pageNo=215", "Renesas Electronics")</f>
        <v>Renesas Electronics</v>
      </c>
      <c r="C22359" s="6">
        <v>20000</v>
      </c>
      <c r="D22359" s="7">
        <v>0.15</v>
      </c>
    </row>
    <row r="22360" spans="1:4" x14ac:dyDescent="0.25">
      <c r="A22360" t="str">
        <f>HYPERLINK("https://www.773grp.com/globalSearch/HZS7A3LRX-E/page-1", "HZS7A3LRX-E")</f>
        <v>HZS7A3LRX-E</v>
      </c>
      <c r="B22360" s="3" t="str">
        <f>HYPERLINK("https://www.773grp.com/manufacturer/renesas-electronics-america-inc?pageNo=216", "Renesas Electronics")</f>
        <v>Renesas Electronics</v>
      </c>
      <c r="C22360" s="6">
        <v>17500</v>
      </c>
      <c r="D22360" s="7">
        <v>0.15</v>
      </c>
    </row>
    <row r="22361" spans="1:4" x14ac:dyDescent="0.25">
      <c r="A22361" t="str">
        <f>HYPERLINK("https://www.773grp.com/globalSearch/HZS7B1TA-E/page-1", "HZS7B1TA-E")</f>
        <v>HZS7B1TA-E</v>
      </c>
      <c r="B22361" s="3" t="str">
        <f>HYPERLINK("https://www.773grp.com/manufacturer/renesas-electronics-america-inc?pageNo=217", "Renesas Electronics")</f>
        <v>Renesas Electronics</v>
      </c>
      <c r="C22361" s="6">
        <v>30000</v>
      </c>
      <c r="D22361" s="7">
        <v>0.15</v>
      </c>
    </row>
    <row r="22362" spans="1:4" x14ac:dyDescent="0.25">
      <c r="A22362" t="str">
        <f>HYPERLINK("https://www.773grp.com/globalSearch/HZS7B2L-E/page-1", "HZS7B2L-E")</f>
        <v>HZS7B2L-E</v>
      </c>
      <c r="B22362" s="3" t="str">
        <f>HYPERLINK("https://www.773grp.com/manufacturer/renesas-electronics-america-inc?pageNo=218", "Renesas Electronics")</f>
        <v>Renesas Electronics</v>
      </c>
      <c r="C22362" s="6">
        <v>6500</v>
      </c>
      <c r="D22362" s="7">
        <v>0.15</v>
      </c>
    </row>
    <row r="22363" spans="1:4" x14ac:dyDescent="0.25">
      <c r="A22363" t="str">
        <f>HYPERLINK("https://www.773grp.com/globalSearch/HZS7B3TA-E/page-1", "HZS7B3TA-E")</f>
        <v>HZS7B3TA-E</v>
      </c>
      <c r="B22363" s="3" t="str">
        <f>HYPERLINK("https://www.773grp.com/manufacturer/renesas-electronics-america-inc?pageNo=219", "Renesas Electronics")</f>
        <v>Renesas Electronics</v>
      </c>
      <c r="C22363" s="6">
        <v>15000</v>
      </c>
      <c r="D22363" s="7">
        <v>0.15</v>
      </c>
    </row>
    <row r="22364" spans="1:4" x14ac:dyDescent="0.25">
      <c r="A22364" t="str">
        <f>HYPERLINK("https://www.773grp.com/globalSearch/HZS7C1LRX-E/page-1", "HZS7C1LRX-E")</f>
        <v>HZS7C1LRX-E</v>
      </c>
      <c r="B22364" s="3" t="str">
        <f>HYPERLINK("https://www.773grp.com/manufacturer/renesas-electronics-america-inc?pageNo=220", "Renesas Electronics")</f>
        <v>Renesas Electronics</v>
      </c>
      <c r="C22364" s="6">
        <v>15000</v>
      </c>
      <c r="D22364" s="7">
        <v>0.15</v>
      </c>
    </row>
    <row r="22365" spans="1:4" x14ac:dyDescent="0.25">
      <c r="A22365" t="str">
        <f>HYPERLINK("https://www.773grp.com/globalSearch/HZS7C1LTA-E/page-1", "HZS7C1LTA-E")</f>
        <v>HZS7C1LTA-E</v>
      </c>
      <c r="B22365" s="3" t="str">
        <f>HYPERLINK("https://www.773grp.com/manufacturer/renesas-electronics-america-inc?pageNo=221", "Renesas Electronics")</f>
        <v>Renesas Electronics</v>
      </c>
      <c r="C22365" s="6">
        <v>5000</v>
      </c>
      <c r="D22365" s="7">
        <v>0.15</v>
      </c>
    </row>
    <row r="22366" spans="1:4" x14ac:dyDescent="0.25">
      <c r="A22366" t="str">
        <f>HYPERLINK("https://www.773grp.com/globalSearch/HZS7C2LTA-E/page-1", "HZS7C2LTA-E")</f>
        <v>HZS7C2LTA-E</v>
      </c>
      <c r="B22366" s="3" t="str">
        <f>HYPERLINK("https://www.773grp.com/manufacturer/renesas-electronics-america-inc?pageNo=222", "Renesas Electronics")</f>
        <v>Renesas Electronics</v>
      </c>
      <c r="C22366" s="6">
        <v>20000</v>
      </c>
      <c r="D22366" s="7">
        <v>0.15</v>
      </c>
    </row>
    <row r="22367" spans="1:4" x14ac:dyDescent="0.25">
      <c r="A22367" t="str">
        <f>HYPERLINK("https://www.773grp.com/globalSearch/HZS9A2LTA-E/page-1", "HZS9A2LTA-E")</f>
        <v>HZS9A2LTA-E</v>
      </c>
      <c r="B22367" s="3" t="str">
        <f>HYPERLINK("https://www.773grp.com/manufacturer/renesas-electronics-america-inc?pageNo=223", "Renesas Electronics")</f>
        <v>Renesas Electronics</v>
      </c>
      <c r="C22367" s="6">
        <v>38750</v>
      </c>
      <c r="D22367" s="7">
        <v>0.15</v>
      </c>
    </row>
    <row r="22368" spans="1:4" x14ac:dyDescent="0.25">
      <c r="A22368" t="str">
        <f>HYPERLINK("https://www.773grp.com/globalSearch/HZS9A3LRX-E/page-1", "HZS9A3LRX-E")</f>
        <v>HZS9A3LRX-E</v>
      </c>
      <c r="B22368" s="3" t="str">
        <f>HYPERLINK("https://www.773grp.com/manufacturer/renesas-electronics-america-inc?pageNo=224", "Renesas Electronics")</f>
        <v>Renesas Electronics</v>
      </c>
      <c r="C22368" s="6">
        <v>12500</v>
      </c>
      <c r="D22368" s="7">
        <v>0.15</v>
      </c>
    </row>
    <row r="22369" spans="1:4" x14ac:dyDescent="0.25">
      <c r="A22369" t="str">
        <f>HYPERLINK("https://www.773grp.com/globalSearch/HZS9B2LRX-E/page-1", "HZS9B2LRX-E")</f>
        <v>HZS9B2LRX-E</v>
      </c>
      <c r="B22369" s="3" t="str">
        <f>HYPERLINK("https://www.773grp.com/manufacturer/renesas-electronics-america-inc?pageNo=225", "Renesas Electronics")</f>
        <v>Renesas Electronics</v>
      </c>
      <c r="C22369" s="6">
        <v>20000</v>
      </c>
      <c r="D22369" s="7">
        <v>0.15</v>
      </c>
    </row>
    <row r="22370" spans="1:4" x14ac:dyDescent="0.25">
      <c r="A22370" t="str">
        <f>HYPERLINK("https://www.773grp.com/globalSearch/HZS9B2TA-E/page-1", "HZS9B2TA-E")</f>
        <v>HZS9B2TA-E</v>
      </c>
      <c r="B22370" s="3" t="str">
        <f>HYPERLINK("https://www.773grp.com/manufacturer/renesas-electronics-america-inc?pageNo=226", "Renesas Electronics")</f>
        <v>Renesas Electronics</v>
      </c>
      <c r="C22370" s="6">
        <v>15000</v>
      </c>
      <c r="D22370" s="7">
        <v>0.15</v>
      </c>
    </row>
    <row r="22371" spans="1:4" x14ac:dyDescent="0.25">
      <c r="A22371" t="str">
        <f>HYPERLINK("https://www.773grp.com/globalSearch/HZS9B3LTA-E/page-1", "HZS9B3LTA-E")</f>
        <v>HZS9B3LTA-E</v>
      </c>
      <c r="B22371" s="3" t="str">
        <f>HYPERLINK("https://www.773grp.com/manufacturer/renesas-electronics-america-inc?pageNo=227", "Renesas Electronics")</f>
        <v>Renesas Electronics</v>
      </c>
      <c r="C22371" s="6">
        <v>20000</v>
      </c>
      <c r="D22371" s="7">
        <v>0.15</v>
      </c>
    </row>
    <row r="22372" spans="1:4" x14ac:dyDescent="0.25">
      <c r="A22372" t="str">
        <f>HYPERLINK("https://www.773grp.com/globalSearch/HZS9B3TD-E/page-1", "HZS9B3TD-E")</f>
        <v>HZS9B3TD-E</v>
      </c>
      <c r="B22372" s="3" t="str">
        <f>HYPERLINK("https://www.773grp.com/manufacturer/renesas-electronics-america-inc?pageNo=228", "Renesas Electronics")</f>
        <v>Renesas Electronics</v>
      </c>
      <c r="C22372" s="6">
        <v>10000</v>
      </c>
      <c r="D22372" s="7">
        <v>0.15</v>
      </c>
    </row>
    <row r="22373" spans="1:4" x14ac:dyDescent="0.25">
      <c r="A22373" t="str">
        <f>HYPERLINK("https://www.773grp.com/globalSearch/NNCD5.1A-T1-AZ/page-1", "NNCD5.1A-T1-AZ")</f>
        <v>NNCD5.1A-T1-AZ</v>
      </c>
      <c r="B22373" s="3" t="str">
        <f>HYPERLINK("https://www.773grp.com/manufacturer/renesas-electronics-america-inc?pageNo=229", "Renesas Electronics")</f>
        <v>Renesas Electronics</v>
      </c>
      <c r="C22373" s="6">
        <v>6000</v>
      </c>
      <c r="D22373" s="7">
        <v>0.15</v>
      </c>
    </row>
    <row r="22374" spans="1:4" x14ac:dyDescent="0.25">
      <c r="A22374" t="str">
        <f>HYPERLINK("https://www.773grp.com/globalSearch/NNCD5.1B/page-1", "NNCD5.1B")</f>
        <v>NNCD5.1B</v>
      </c>
      <c r="B22374" s="3" t="str">
        <f>HYPERLINK("https://www.773grp.com/manufacturer/renesas-electronics-america-inc?pageNo=230", "Renesas Electronics")</f>
        <v>Renesas Electronics</v>
      </c>
      <c r="C22374" s="6">
        <v>2000</v>
      </c>
      <c r="D22374" s="7">
        <v>0.15</v>
      </c>
    </row>
    <row r="22375" spans="1:4" x14ac:dyDescent="0.25">
      <c r="A22375" t="str">
        <f>HYPERLINK("https://www.773grp.com/globalSearch/NNCD5.6A-AZ/page-1", "NNCD5.6A-AZ")</f>
        <v>NNCD5.6A-AZ</v>
      </c>
      <c r="B22375" s="3" t="str">
        <f>HYPERLINK("https://www.773grp.com/manufacturer/renesas-electronics-america-inc?pageNo=231", "Renesas Electronics")</f>
        <v>Renesas Electronics</v>
      </c>
      <c r="C22375" s="6">
        <v>1200</v>
      </c>
      <c r="D22375" s="7">
        <v>0.15</v>
      </c>
    </row>
    <row r="22376" spans="1:4" x14ac:dyDescent="0.25">
      <c r="A22376" t="str">
        <f>HYPERLINK("https://www.773grp.com/globalSearch/NNCD5.6B/page-1", "NNCD5.6B")</f>
        <v>NNCD5.6B</v>
      </c>
      <c r="B22376" s="3" t="str">
        <f>HYPERLINK("https://www.773grp.com/manufacturer/renesas-electronics-america-inc?pageNo=232", "Renesas Electronics")</f>
        <v>Renesas Electronics</v>
      </c>
      <c r="C22376" s="6">
        <v>13400</v>
      </c>
      <c r="D22376" s="7">
        <v>0.15</v>
      </c>
    </row>
    <row r="22377" spans="1:4" x14ac:dyDescent="0.25">
      <c r="A22377" t="str">
        <f>HYPERLINK("https://www.773grp.com/globalSearch/NNCD5.6B-T1-AZ/page-1", "NNCD5.6B-T1-AZ")</f>
        <v>NNCD5.6B-T1-AZ</v>
      </c>
      <c r="B22377" s="3" t="str">
        <f>HYPERLINK("https://www.773grp.com/manufacturer/renesas-electronics-america-inc?pageNo=233", "Renesas Electronics")</f>
        <v>Renesas Electronics</v>
      </c>
      <c r="C22377" s="6">
        <v>14000</v>
      </c>
      <c r="D22377" s="7">
        <v>0.15</v>
      </c>
    </row>
    <row r="22378" spans="1:4" x14ac:dyDescent="0.25">
      <c r="A22378" t="str">
        <f>HYPERLINK("https://www.773grp.com/globalSearch/NNCD6.8B-AZ/page-1", "NNCD6.8B-AZ")</f>
        <v>NNCD6.8B-AZ</v>
      </c>
      <c r="B22378" s="3" t="str">
        <f>HYPERLINK("https://www.773grp.com/manufacturer/renesas-electronics-america-inc?pageNo=234", "Renesas Electronics")</f>
        <v>Renesas Electronics</v>
      </c>
      <c r="C22378" s="6">
        <v>2970</v>
      </c>
      <c r="D22378" s="7">
        <v>0.15</v>
      </c>
    </row>
    <row r="22379" spans="1:4" x14ac:dyDescent="0.25">
      <c r="A22379" t="str">
        <f>HYPERLINK("https://www.773grp.com/globalSearch/NNCD7.5A-T1/page-1", "NNCD7.5A-T1")</f>
        <v>NNCD7.5A-T1</v>
      </c>
      <c r="B22379" s="3" t="str">
        <f>HYPERLINK("https://www.773grp.com/manufacturer/renesas-electronics-america-inc?pageNo=235", "Renesas Electronics")</f>
        <v>Renesas Electronics</v>
      </c>
      <c r="C22379" s="6">
        <v>20000</v>
      </c>
      <c r="D22379" s="7">
        <v>0.15</v>
      </c>
    </row>
    <row r="22380" spans="1:4" x14ac:dyDescent="0.25">
      <c r="A22380" t="str">
        <f>HYPERLINK("https://www.773grp.com/globalSearch/RD10ES/page-1", "RD10ES")</f>
        <v>RD10ES</v>
      </c>
      <c r="B22380" s="3" t="str">
        <f>HYPERLINK("https://www.773grp.com/manufacturer/renesas-electronics-america-inc?pageNo=236", "Renesas Electronics")</f>
        <v>Renesas Electronics</v>
      </c>
      <c r="C22380" s="6">
        <v>517</v>
      </c>
      <c r="D22380" s="7">
        <v>0.15</v>
      </c>
    </row>
    <row r="22381" spans="1:4" x14ac:dyDescent="0.25">
      <c r="A22381" t="str">
        <f>HYPERLINK("https://www.773grp.com/globalSearch/RD10ES-T4-AZ/page-1", "RD10ES-T4-AZ")</f>
        <v>RD10ES-T4-AZ</v>
      </c>
      <c r="B22381" s="3" t="str">
        <f>HYPERLINK("https://www.773grp.com/manufacturer/renesas-electronics-america-inc?pageNo=237", "Renesas Electronics")</f>
        <v>Renesas Electronics</v>
      </c>
      <c r="C22381" s="6">
        <v>25000</v>
      </c>
      <c r="D22381" s="7">
        <v>0.15</v>
      </c>
    </row>
    <row r="22382" spans="1:4" x14ac:dyDescent="0.25">
      <c r="A22382" t="str">
        <f>HYPERLINK("https://www.773grp.com/globalSearch/RD10E-T1/page-1", "RD10E-T1")</f>
        <v>RD10E-T1</v>
      </c>
      <c r="B22382" s="3" t="str">
        <f>HYPERLINK("https://www.773grp.com/manufacturer/renesas-electronics-america-inc?pageNo=238", "Renesas Electronics")</f>
        <v>Renesas Electronics</v>
      </c>
      <c r="C22382" s="6">
        <v>2000</v>
      </c>
      <c r="D22382" s="7">
        <v>0.15</v>
      </c>
    </row>
    <row r="22383" spans="1:4" x14ac:dyDescent="0.25">
      <c r="A22383" t="str">
        <f>HYPERLINK("https://www.773grp.com/globalSearch/RD10E-T2-AZ/page-1", "RD10E-T2-AZ")</f>
        <v>RD10E-T2-AZ</v>
      </c>
      <c r="B22383" s="3" t="str">
        <f>HYPERLINK("https://www.773grp.com/manufacturer/renesas-electronics-america-inc?pageNo=239", "Renesas Electronics")</f>
        <v>Renesas Electronics</v>
      </c>
      <c r="C22383" s="6">
        <v>195000</v>
      </c>
      <c r="D22383" s="7">
        <v>0.15</v>
      </c>
    </row>
    <row r="22384" spans="1:4" x14ac:dyDescent="0.25">
      <c r="A22384" t="str">
        <f>HYPERLINK("https://www.773grp.com/globalSearch/RD10E-T4-AZ/page-1", "RD10E-T4-AZ")</f>
        <v>RD10E-T4-AZ</v>
      </c>
      <c r="B22384" s="3" t="str">
        <f>HYPERLINK("https://www.773grp.com/manufacturer/renesas-electronics-america-inc?pageNo=240", "Renesas Electronics")</f>
        <v>Renesas Electronics</v>
      </c>
      <c r="C22384" s="6">
        <v>165000</v>
      </c>
      <c r="D22384" s="7">
        <v>0.15</v>
      </c>
    </row>
    <row r="22385" spans="1:4" x14ac:dyDescent="0.25">
      <c r="A22385" t="str">
        <f>HYPERLINK("https://www.773grp.com/globalSearch/RD10E-TB/page-1", "RD10E-TB")</f>
        <v>RD10E-TB</v>
      </c>
      <c r="B22385" s="3" t="str">
        <f>HYPERLINK("https://www.773grp.com/manufacturer/renesas-electronics-america-inc?pageNo=241", "Renesas Electronics")</f>
        <v>Renesas Electronics</v>
      </c>
      <c r="C22385" s="6">
        <v>25000</v>
      </c>
      <c r="D22385" s="7">
        <v>0.15</v>
      </c>
    </row>
    <row r="22386" spans="1:4" x14ac:dyDescent="0.25">
      <c r="A22386" t="str">
        <f>HYPERLINK("https://www.773grp.com/globalSearch/RD10E-TB-AZ/page-1", "RD10E-TB-AZ")</f>
        <v>RD10E-TB-AZ</v>
      </c>
      <c r="B22386" s="3" t="str">
        <f>HYPERLINK("https://www.773grp.com/manufacturer/renesas-electronics-america-inc?pageNo=242", "Renesas Electronics")</f>
        <v>Renesas Electronics</v>
      </c>
      <c r="C22386" s="6">
        <v>72500</v>
      </c>
      <c r="D22386" s="7">
        <v>0.15</v>
      </c>
    </row>
    <row r="22387" spans="1:4" x14ac:dyDescent="0.25">
      <c r="A22387" t="str">
        <f>HYPERLINK("https://www.773grp.com/globalSearch/RD10JS/page-1", "RD10JS")</f>
        <v>RD10JS</v>
      </c>
      <c r="B22387" s="3" t="str">
        <f>HYPERLINK("https://www.773grp.com/manufacturer/renesas-electronics-america-inc?pageNo=243", "Renesas Electronics")</f>
        <v>Renesas Electronics</v>
      </c>
      <c r="C22387" s="6">
        <v>23880</v>
      </c>
      <c r="D22387" s="7">
        <v>0.15</v>
      </c>
    </row>
    <row r="22388" spans="1:4" x14ac:dyDescent="0.25">
      <c r="A22388" t="str">
        <f>HYPERLINK("https://www.773grp.com/globalSearch/RD10JS-AZ/page-1", "RD10JS-AZ")</f>
        <v>RD10JS-AZ</v>
      </c>
      <c r="B22388" s="3" t="str">
        <f>HYPERLINK("https://www.773grp.com/manufacturer/renesas-electronics-america-inc?pageNo=244", "Renesas Electronics")</f>
        <v>Renesas Electronics</v>
      </c>
      <c r="C22388" s="6">
        <v>259200</v>
      </c>
      <c r="D22388" s="7">
        <v>0.15</v>
      </c>
    </row>
    <row r="22389" spans="1:4" x14ac:dyDescent="0.25">
      <c r="A22389" t="str">
        <f>HYPERLINK("https://www.773grp.com/globalSearch/RD10JS-T1/page-1", "RD10JS-T1")</f>
        <v>RD10JS-T1</v>
      </c>
      <c r="B22389" s="3" t="str">
        <f>HYPERLINK("https://www.773grp.com/manufacturer/renesas-electronics-america-inc?pageNo=245", "Renesas Electronics")</f>
        <v>Renesas Electronics</v>
      </c>
      <c r="C22389" s="6">
        <v>84000</v>
      </c>
      <c r="D22389" s="7">
        <v>0.15</v>
      </c>
    </row>
    <row r="22390" spans="1:4" x14ac:dyDescent="0.25">
      <c r="A22390" t="str">
        <f>HYPERLINK("https://www.773grp.com/globalSearch/RD10JS-T1-AZ/page-1", "RD10JS-T1-AZ")</f>
        <v>RD10JS-T1-AZ</v>
      </c>
      <c r="B22390" s="3" t="str">
        <f>HYPERLINK("https://www.773grp.com/manufacturer/renesas-electronics-america-inc?pageNo=246", "Renesas Electronics")</f>
        <v>Renesas Electronics</v>
      </c>
      <c r="C22390" s="6">
        <v>396000</v>
      </c>
      <c r="D22390" s="7">
        <v>0.15</v>
      </c>
    </row>
    <row r="22391" spans="1:4" x14ac:dyDescent="0.25">
      <c r="A22391" t="str">
        <f>HYPERLINK("https://www.773grp.com/globalSearch/RD11E/page-1", "RD11E")</f>
        <v>RD11E</v>
      </c>
      <c r="B22391" s="3" t="str">
        <f>HYPERLINK("https://www.773grp.com/manufacturer/renesas-electronics-america-inc?pageNo=247", "Renesas Electronics")</f>
        <v>Renesas Electronics</v>
      </c>
      <c r="C22391" s="6">
        <v>12090</v>
      </c>
      <c r="D22391" s="7">
        <v>0.15</v>
      </c>
    </row>
    <row r="22392" spans="1:4" x14ac:dyDescent="0.25">
      <c r="A22392" t="str">
        <f>HYPERLINK("https://www.773grp.com/globalSearch/RD11ES-T1/page-1", "RD11ES-T1")</f>
        <v>RD11ES-T1</v>
      </c>
      <c r="B22392" s="3" t="str">
        <f>HYPERLINK("https://www.773grp.com/manufacturer/renesas-electronics-america-inc?pageNo=248", "Renesas Electronics")</f>
        <v>Renesas Electronics</v>
      </c>
      <c r="C22392" s="6">
        <v>172000</v>
      </c>
      <c r="D22392" s="7">
        <v>0.15</v>
      </c>
    </row>
    <row r="22393" spans="1:4" x14ac:dyDescent="0.25">
      <c r="A22393" t="str">
        <f>HYPERLINK("https://www.773grp.com/globalSearch/RD11E-T1/page-1", "RD11E-T1")</f>
        <v>RD11E-T1</v>
      </c>
      <c r="B22393" s="3" t="str">
        <f>HYPERLINK("https://www.773grp.com/manufacturer/renesas-electronics-america-inc?pageNo=249", "Renesas Electronics")</f>
        <v>Renesas Electronics</v>
      </c>
      <c r="C22393" s="6">
        <v>30000</v>
      </c>
      <c r="D22393" s="7">
        <v>0.15</v>
      </c>
    </row>
    <row r="22394" spans="1:4" x14ac:dyDescent="0.25">
      <c r="A22394" t="str">
        <f>HYPERLINK("https://www.773grp.com/globalSearch/RD11E-T4-AZ/page-1", "RD11E-T4-AZ")</f>
        <v>RD11E-T4-AZ</v>
      </c>
      <c r="B22394" s="3" t="str">
        <f>HYPERLINK("https://www.773grp.com/manufacturer/renesas-electronics-america-inc?pageNo=250", "Renesas Electronics")</f>
        <v>Renesas Electronics</v>
      </c>
      <c r="C22394" s="6">
        <v>25000</v>
      </c>
      <c r="D22394" s="7">
        <v>0.15</v>
      </c>
    </row>
    <row r="22395" spans="1:4" x14ac:dyDescent="0.25">
      <c r="A22395" t="str">
        <f>HYPERLINK("https://www.773grp.com/globalSearch/RD11E-TB-AZ/page-1", "RD11E-TB-AZ")</f>
        <v>RD11E-TB-AZ</v>
      </c>
      <c r="B22395" s="3" t="str">
        <f>HYPERLINK("https://www.773grp.com/manufacturer/renesas-electronics-america-inc?pageNo=251", "Renesas Electronics")</f>
        <v>Renesas Electronics</v>
      </c>
      <c r="C22395" s="6">
        <v>97500</v>
      </c>
      <c r="D22395" s="7">
        <v>0.15</v>
      </c>
    </row>
    <row r="22396" spans="1:4" x14ac:dyDescent="0.25">
      <c r="A22396" t="str">
        <f>HYPERLINK("https://www.773grp.com/globalSearch/RD11JS-AZ/page-1", "RD11JS-AZ")</f>
        <v>RD11JS-AZ</v>
      </c>
      <c r="B22396" s="3" t="str">
        <f>HYPERLINK("https://www.773grp.com/manufacturer/renesas-electronics-america-inc?pageNo=252", "Renesas Electronics")</f>
        <v>Renesas Electronics</v>
      </c>
      <c r="C22396" s="6">
        <v>3600</v>
      </c>
      <c r="D22396" s="7">
        <v>0.15</v>
      </c>
    </row>
    <row r="22397" spans="1:4" x14ac:dyDescent="0.25">
      <c r="A22397" t="str">
        <f>HYPERLINK("https://www.773grp.com/globalSearch/RD11JS-T1-AZ/page-1", "RD11JS-T1-AZ")</f>
        <v>RD11JS-T1-AZ</v>
      </c>
      <c r="B22397" s="3" t="str">
        <f>HYPERLINK("https://www.773grp.com/manufacturer/renesas-electronics-america-inc?pageNo=253", "Renesas Electronics")</f>
        <v>Renesas Electronics</v>
      </c>
      <c r="C22397" s="6">
        <v>20000</v>
      </c>
      <c r="D22397" s="7">
        <v>0.15</v>
      </c>
    </row>
    <row r="22398" spans="1:4" x14ac:dyDescent="0.25">
      <c r="A22398" t="str">
        <f>HYPERLINK("https://www.773grp.com/globalSearch/RD12E-AZ/page-1", "RD12E-AZ")</f>
        <v>RD12E-AZ</v>
      </c>
      <c r="B22398" s="3" t="str">
        <f>HYPERLINK("https://www.773grp.com/manufacturer/renesas-electronics-america-inc?pageNo=254", "Renesas Electronics")</f>
        <v>Renesas Electronics</v>
      </c>
      <c r="C22398" s="6">
        <v>103081</v>
      </c>
      <c r="D22398" s="7">
        <v>0.15</v>
      </c>
    </row>
    <row r="22399" spans="1:4" x14ac:dyDescent="0.25">
      <c r="A22399" t="str">
        <f>HYPERLINK("https://www.773grp.com/globalSearch/RD12ES-AZ/page-1", "RD12ES-AZ")</f>
        <v>RD12ES-AZ</v>
      </c>
      <c r="B22399" s="3" t="str">
        <f>HYPERLINK("https://www.773grp.com/manufacturer/renesas-electronics-america-inc?pageNo=255", "Renesas Electronics")</f>
        <v>Renesas Electronics</v>
      </c>
      <c r="C22399" s="6">
        <v>200</v>
      </c>
      <c r="D22399" s="7">
        <v>0.15</v>
      </c>
    </row>
    <row r="22400" spans="1:4" x14ac:dyDescent="0.25">
      <c r="A22400" t="str">
        <f>HYPERLINK("https://www.773grp.com/globalSearch/RD12ES-T1/page-1", "RD12ES-T1")</f>
        <v>RD12ES-T1</v>
      </c>
      <c r="B22400" s="3" t="str">
        <f>HYPERLINK("https://www.773grp.com/manufacturer/renesas-electronics-america-inc?pageNo=256", "Renesas Electronics")</f>
        <v>Renesas Electronics</v>
      </c>
      <c r="C22400" s="6">
        <v>54000</v>
      </c>
      <c r="D22400" s="7">
        <v>0.15</v>
      </c>
    </row>
    <row r="22401" spans="1:4" x14ac:dyDescent="0.25">
      <c r="A22401" t="str">
        <f>HYPERLINK("https://www.773grp.com/globalSearch/RD12ES-T2-AZ/page-1", "RD12ES-T2-AZ")</f>
        <v>RD12ES-T2-AZ</v>
      </c>
      <c r="B22401" s="3" t="str">
        <f>HYPERLINK("https://www.773grp.com/manufacturer/renesas-electronics-america-inc?pageNo=257", "Renesas Electronics")</f>
        <v>Renesas Electronics</v>
      </c>
      <c r="C22401" s="6">
        <v>20000</v>
      </c>
      <c r="D22401" s="7">
        <v>0.15</v>
      </c>
    </row>
    <row r="22402" spans="1:4" x14ac:dyDescent="0.25">
      <c r="A22402" t="str">
        <f>HYPERLINK("https://www.773grp.com/globalSearch/RD12ES-T4-AZ/page-1", "RD12ES-T4-AZ")</f>
        <v>RD12ES-T4-AZ</v>
      </c>
      <c r="B22402" s="3" t="str">
        <f>HYPERLINK("https://www.773grp.com/manufacturer/renesas-electronics-america-inc?pageNo=258", "Renesas Electronics")</f>
        <v>Renesas Electronics</v>
      </c>
      <c r="C22402" s="6">
        <v>875000</v>
      </c>
      <c r="D22402" s="7">
        <v>0.15</v>
      </c>
    </row>
    <row r="22403" spans="1:4" x14ac:dyDescent="0.25">
      <c r="A22403" t="str">
        <f>HYPERLINK("https://www.773grp.com/globalSearch/RD12E-T2/page-1", "RD12E-T2")</f>
        <v>RD12E-T2</v>
      </c>
      <c r="B22403" s="3" t="str">
        <f>HYPERLINK("https://www.773grp.com/manufacturer/renesas-electronics-america-inc?pageNo=259", "Renesas Electronics")</f>
        <v>Renesas Electronics</v>
      </c>
      <c r="C22403" s="6">
        <v>20000</v>
      </c>
      <c r="D22403" s="7">
        <v>0.15</v>
      </c>
    </row>
    <row r="22404" spans="1:4" x14ac:dyDescent="0.25">
      <c r="A22404" t="str">
        <f>HYPERLINK("https://www.773grp.com/globalSearch/RD12E-T2-AZ/page-1", "RD12E-T2-AZ")</f>
        <v>RD12E-T2-AZ</v>
      </c>
      <c r="B22404" s="3" t="str">
        <f>HYPERLINK("https://www.773grp.com/manufacturer/renesas-electronics-america-inc?pageNo=260", "Renesas Electronics")</f>
        <v>Renesas Electronics</v>
      </c>
      <c r="C22404" s="6">
        <v>15000</v>
      </c>
      <c r="D22404" s="7">
        <v>0.15</v>
      </c>
    </row>
    <row r="22405" spans="1:4" x14ac:dyDescent="0.25">
      <c r="A22405" t="str">
        <f>HYPERLINK("https://www.773grp.com/globalSearch/RD12E-T4-AZ/page-1", "RD12E-T4-AZ")</f>
        <v>RD12E-T4-AZ</v>
      </c>
      <c r="B22405" s="3" t="str">
        <f>HYPERLINK("https://www.773grp.com/manufacturer/renesas-electronics-america-inc?pageNo=261", "Renesas Electronics")</f>
        <v>Renesas Electronics</v>
      </c>
      <c r="C22405" s="6">
        <v>55000</v>
      </c>
      <c r="D22405" s="7">
        <v>0.15</v>
      </c>
    </row>
    <row r="22406" spans="1:4" x14ac:dyDescent="0.25">
      <c r="A22406" t="str">
        <f>HYPERLINK("https://www.773grp.com/globalSearch/RD12JS/page-1", "RD12JS")</f>
        <v>RD12JS</v>
      </c>
      <c r="B22406" s="3" t="str">
        <f>HYPERLINK("https://www.773grp.com/manufacturer/renesas-electronics-america-inc?pageNo=262", "Renesas Electronics")</f>
        <v>Renesas Electronics</v>
      </c>
      <c r="C22406" s="6">
        <v>4900</v>
      </c>
      <c r="D22406" s="7">
        <v>0.15</v>
      </c>
    </row>
    <row r="22407" spans="1:4" x14ac:dyDescent="0.25">
      <c r="A22407" t="str">
        <f>HYPERLINK("https://www.773grp.com/globalSearch/RD12JS-AZ/page-1", "RD12JS-AZ")</f>
        <v>RD12JS-AZ</v>
      </c>
      <c r="B22407" s="3" t="str">
        <f>HYPERLINK("https://www.773grp.com/manufacturer/renesas-electronics-america-inc?pageNo=263", "Renesas Electronics")</f>
        <v>Renesas Electronics</v>
      </c>
      <c r="C22407" s="6">
        <v>2700</v>
      </c>
      <c r="D22407" s="7">
        <v>0.15</v>
      </c>
    </row>
    <row r="22408" spans="1:4" x14ac:dyDescent="0.25">
      <c r="A22408" t="str">
        <f>HYPERLINK("https://www.773grp.com/globalSearch/RD12JS-T1/page-1", "RD12JS-T1")</f>
        <v>RD12JS-T1</v>
      </c>
      <c r="B22408" s="3" t="str">
        <f>HYPERLINK("https://www.773grp.com/manufacturer/renesas-electronics-america-inc?pageNo=264", "Renesas Electronics")</f>
        <v>Renesas Electronics</v>
      </c>
      <c r="C22408" s="6">
        <v>170000</v>
      </c>
      <c r="D22408" s="7">
        <v>0.15</v>
      </c>
    </row>
    <row r="22409" spans="1:4" x14ac:dyDescent="0.25">
      <c r="A22409" t="str">
        <f>HYPERLINK("https://www.773grp.com/globalSearch/RD13E/page-1", "RD13E")</f>
        <v>RD13E</v>
      </c>
      <c r="B22409" s="3" t="str">
        <f>HYPERLINK("https://www.773grp.com/manufacturer/renesas-electronics-america-inc?pageNo=265", "Renesas Electronics")</f>
        <v>Renesas Electronics</v>
      </c>
      <c r="C22409" s="6">
        <v>1780</v>
      </c>
      <c r="D22409" s="7">
        <v>0.15</v>
      </c>
    </row>
    <row r="22410" spans="1:4" x14ac:dyDescent="0.25">
      <c r="A22410" t="str">
        <f>HYPERLINK("https://www.773grp.com/globalSearch/RD13ES-AZ/page-1", "RD13ES-AZ")</f>
        <v>RD13ES-AZ</v>
      </c>
      <c r="B22410" s="3" t="str">
        <f>HYPERLINK("https://www.773grp.com/manufacturer/renesas-electronics-america-inc?pageNo=266", "Renesas Electronics")</f>
        <v>Renesas Electronics</v>
      </c>
      <c r="C22410" s="6">
        <v>8650</v>
      </c>
      <c r="D22410" s="7">
        <v>0.15</v>
      </c>
    </row>
    <row r="22411" spans="1:4" x14ac:dyDescent="0.25">
      <c r="A22411" t="str">
        <f>HYPERLINK("https://www.773grp.com/globalSearch/RD13ES-T1-AZ/page-1", "RD13ES-T1-AZ")</f>
        <v>RD13ES-T1-AZ</v>
      </c>
      <c r="B22411" s="3" t="str">
        <f>HYPERLINK("https://www.773grp.com/manufacturer/renesas-electronics-america-inc?pageNo=267", "Renesas Electronics")</f>
        <v>Renesas Electronics</v>
      </c>
      <c r="C22411" s="6">
        <v>574000</v>
      </c>
      <c r="D22411" s="7">
        <v>0.15</v>
      </c>
    </row>
    <row r="22412" spans="1:4" x14ac:dyDescent="0.25">
      <c r="A22412" t="str">
        <f>HYPERLINK("https://www.773grp.com/globalSearch/RD13ES-T2/page-1", "RD13ES-T2")</f>
        <v>RD13ES-T2</v>
      </c>
      <c r="B22412" s="3" t="str">
        <f>HYPERLINK("https://www.773grp.com/manufacturer/renesas-electronics-america-inc?pageNo=268", "Renesas Electronics")</f>
        <v>Renesas Electronics</v>
      </c>
      <c r="C22412" s="6">
        <v>25000</v>
      </c>
      <c r="D22412" s="7">
        <v>0.15</v>
      </c>
    </row>
    <row r="22413" spans="1:4" x14ac:dyDescent="0.25">
      <c r="A22413" t="str">
        <f>HYPERLINK("https://www.773grp.com/globalSearch/RD13ES-T4-AZ/page-1", "RD13ES-T4-AZ")</f>
        <v>RD13ES-T4-AZ</v>
      </c>
      <c r="B22413" s="3" t="str">
        <f>HYPERLINK("https://www.773grp.com/manufacturer/renesas-electronics-america-inc?pageNo=269", "Renesas Electronics")</f>
        <v>Renesas Electronics</v>
      </c>
      <c r="C22413" s="6">
        <v>40000</v>
      </c>
      <c r="D22413" s="7">
        <v>0.15</v>
      </c>
    </row>
    <row r="22414" spans="1:4" x14ac:dyDescent="0.25">
      <c r="A22414" t="str">
        <f>HYPERLINK("https://www.773grp.com/globalSearch/RD13E-T1/page-1", "RD13E-T1")</f>
        <v>RD13E-T1</v>
      </c>
      <c r="B22414" s="3" t="str">
        <f>HYPERLINK("https://www.773grp.com/manufacturer/renesas-electronics-america-inc?pageNo=270", "Renesas Electronics")</f>
        <v>Renesas Electronics</v>
      </c>
      <c r="C22414" s="6">
        <v>74000</v>
      </c>
      <c r="D22414" s="7">
        <v>0.15</v>
      </c>
    </row>
    <row r="22415" spans="1:4" x14ac:dyDescent="0.25">
      <c r="A22415" t="str">
        <f>HYPERLINK("https://www.773grp.com/globalSearch/RD13E-T1-AZ/page-1", "RD13E-T1-AZ")</f>
        <v>RD13E-T1-AZ</v>
      </c>
      <c r="B22415" s="3" t="str">
        <f>HYPERLINK("https://www.773grp.com/manufacturer/renesas-electronics-america-inc?pageNo=271", "Renesas Electronics")</f>
        <v>Renesas Electronics</v>
      </c>
      <c r="C22415" s="6">
        <v>26000</v>
      </c>
      <c r="D22415" s="7">
        <v>0.15</v>
      </c>
    </row>
    <row r="22416" spans="1:4" x14ac:dyDescent="0.25">
      <c r="A22416" t="str">
        <f>HYPERLINK("https://www.773grp.com/globalSearch/RD13E-TB/page-1", "RD13E-TB")</f>
        <v>RD13E-TB</v>
      </c>
      <c r="B22416" s="3" t="str">
        <f>HYPERLINK("https://www.773grp.com/manufacturer/renesas-electronics-america-inc?pageNo=272", "Renesas Electronics")</f>
        <v>Renesas Electronics</v>
      </c>
      <c r="C22416" s="6">
        <v>32500</v>
      </c>
      <c r="D22416" s="7">
        <v>0.15</v>
      </c>
    </row>
    <row r="22417" spans="1:4" x14ac:dyDescent="0.25">
      <c r="A22417" t="str">
        <f>HYPERLINK("https://www.773grp.com/globalSearch/RD13E-TB-AZ/page-1", "RD13E-TB-AZ")</f>
        <v>RD13E-TB-AZ</v>
      </c>
      <c r="B22417" s="3" t="str">
        <f>HYPERLINK("https://www.773grp.com/manufacturer/renesas-electronics-america-inc?pageNo=273", "Renesas Electronics")</f>
        <v>Renesas Electronics</v>
      </c>
      <c r="C22417" s="6">
        <v>25000</v>
      </c>
      <c r="D22417" s="7">
        <v>0.15</v>
      </c>
    </row>
    <row r="22418" spans="1:4" x14ac:dyDescent="0.25">
      <c r="A22418" t="str">
        <f>HYPERLINK("https://www.773grp.com/globalSearch/RD13JS/page-1", "RD13JS")</f>
        <v>RD13JS</v>
      </c>
      <c r="B22418" s="3" t="str">
        <f>HYPERLINK("https://www.773grp.com/manufacturer/renesas-electronics-america-inc?pageNo=274", "Renesas Electronics")</f>
        <v>Renesas Electronics</v>
      </c>
      <c r="C22418" s="6">
        <v>19000</v>
      </c>
      <c r="D22418" s="7">
        <v>0.15</v>
      </c>
    </row>
    <row r="22419" spans="1:4" x14ac:dyDescent="0.25">
      <c r="A22419" t="str">
        <f>HYPERLINK("https://www.773grp.com/globalSearch/RD13JS-AZ/page-1", "RD13JS-AZ")</f>
        <v>RD13JS-AZ</v>
      </c>
      <c r="B22419" s="3" t="str">
        <f>HYPERLINK("https://www.773grp.com/manufacturer/renesas-electronics-america-inc?pageNo=275", "Renesas Electronics")</f>
        <v>Renesas Electronics</v>
      </c>
      <c r="C22419" s="6">
        <v>6000</v>
      </c>
      <c r="D22419" s="7">
        <v>0.15</v>
      </c>
    </row>
    <row r="22420" spans="1:4" x14ac:dyDescent="0.25">
      <c r="A22420" t="str">
        <f>HYPERLINK("https://www.773grp.com/globalSearch/RD13JS-T1/page-1", "RD13JS-T1")</f>
        <v>RD13JS-T1</v>
      </c>
      <c r="B22420" s="3" t="str">
        <f>HYPERLINK("https://www.773grp.com/manufacturer/renesas-electronics-america-inc?pageNo=276", "Renesas Electronics")</f>
        <v>Renesas Electronics</v>
      </c>
      <c r="C22420" s="6">
        <v>68000</v>
      </c>
      <c r="D22420" s="7">
        <v>0.15</v>
      </c>
    </row>
    <row r="22421" spans="1:4" x14ac:dyDescent="0.25">
      <c r="A22421" t="str">
        <f>HYPERLINK("https://www.773grp.com/globalSearch/RD13JS-T1-AZ/page-1", "RD13JS-T1-AZ")</f>
        <v>RD13JS-T1-AZ</v>
      </c>
      <c r="B22421" s="3" t="str">
        <f>HYPERLINK("https://www.773grp.com/manufacturer/renesas-electronics-america-inc?pageNo=277", "Renesas Electronics")</f>
        <v>Renesas Electronics</v>
      </c>
      <c r="C22421" s="6">
        <v>306000</v>
      </c>
      <c r="D22421" s="7">
        <v>0.15</v>
      </c>
    </row>
    <row r="22422" spans="1:4" x14ac:dyDescent="0.25">
      <c r="A22422" t="str">
        <f>HYPERLINK("https://www.773grp.com/globalSearch/RD15E/page-1", "RD15E")</f>
        <v>RD15E</v>
      </c>
      <c r="B22422" s="3" t="str">
        <f>HYPERLINK("https://www.773grp.com/manufacturer/renesas-electronics-america-inc?pageNo=278", "Renesas Electronics")</f>
        <v>Renesas Electronics</v>
      </c>
      <c r="C22422" s="6">
        <v>343568</v>
      </c>
      <c r="D22422" s="7">
        <v>0.15</v>
      </c>
    </row>
    <row r="22423" spans="1:4" x14ac:dyDescent="0.25">
      <c r="A22423" t="str">
        <f>HYPERLINK("https://www.773grp.com/globalSearch/RD15ES-AZ/page-1", "RD15ES-AZ")</f>
        <v>RD15ES-AZ</v>
      </c>
      <c r="B22423" s="3" t="str">
        <f>HYPERLINK("https://www.773grp.com/manufacturer/renesas-electronics-america-inc?pageNo=279", "Renesas Electronics")</f>
        <v>Renesas Electronics</v>
      </c>
      <c r="C22423" s="6">
        <v>7070</v>
      </c>
      <c r="D22423" s="7">
        <v>0.15</v>
      </c>
    </row>
    <row r="22424" spans="1:4" x14ac:dyDescent="0.25">
      <c r="A22424" t="str">
        <f>HYPERLINK("https://www.773grp.com/globalSearch/RD15ES-T1/page-1", "RD15ES-T1")</f>
        <v>RD15ES-T1</v>
      </c>
      <c r="B22424" s="3" t="str">
        <f>HYPERLINK("https://www.773grp.com/manufacturer/renesas-electronics-america-inc?pageNo=280", "Renesas Electronics")</f>
        <v>Renesas Electronics</v>
      </c>
      <c r="C22424" s="6">
        <v>8000</v>
      </c>
      <c r="D22424" s="7">
        <v>0.15</v>
      </c>
    </row>
    <row r="22425" spans="1:4" x14ac:dyDescent="0.25">
      <c r="A22425" t="str">
        <f>HYPERLINK("https://www.773grp.com/globalSearch/RD15ES-T2-AZ/page-1", "RD15ES-T2-AZ")</f>
        <v>RD15ES-T2-AZ</v>
      </c>
      <c r="B22425" s="3" t="str">
        <f>HYPERLINK("https://www.773grp.com/manufacturer/renesas-electronics-america-inc?pageNo=281", "Renesas Electronics")</f>
        <v>Renesas Electronics</v>
      </c>
      <c r="C22425" s="6">
        <v>25000</v>
      </c>
      <c r="D22425" s="7">
        <v>0.15</v>
      </c>
    </row>
    <row r="22426" spans="1:4" x14ac:dyDescent="0.25">
      <c r="A22426" t="str">
        <f>HYPERLINK("https://www.773grp.com/globalSearch/RD15ES-T4/page-1", "RD15ES-T4")</f>
        <v>RD15ES-T4</v>
      </c>
      <c r="B22426" s="3" t="str">
        <f>HYPERLINK("https://www.773grp.com/manufacturer/renesas-electronics-america-inc?pageNo=282", "Renesas Electronics")</f>
        <v>Renesas Electronics</v>
      </c>
      <c r="C22426" s="6">
        <v>65000</v>
      </c>
      <c r="D22426" s="7">
        <v>0.15</v>
      </c>
    </row>
    <row r="22427" spans="1:4" x14ac:dyDescent="0.25">
      <c r="A22427" t="str">
        <f>HYPERLINK("https://www.773grp.com/globalSearch/RD15ES-T4-AZ/page-1", "RD15ES-T4-AZ")</f>
        <v>RD15ES-T4-AZ</v>
      </c>
      <c r="B22427" s="3" t="str">
        <f>HYPERLINK("https://www.773grp.com/manufacturer/renesas-electronics-america-inc?pageNo=283", "Renesas Electronics")</f>
        <v>Renesas Electronics</v>
      </c>
      <c r="C22427" s="6">
        <v>25000</v>
      </c>
      <c r="D22427" s="7">
        <v>0.15</v>
      </c>
    </row>
    <row r="22428" spans="1:4" x14ac:dyDescent="0.25">
      <c r="A22428" t="str">
        <f>HYPERLINK("https://www.773grp.com/globalSearch/RD15E-T1/page-1", "RD15E-T1")</f>
        <v>RD15E-T1</v>
      </c>
      <c r="B22428" s="3" t="str">
        <f>HYPERLINK("https://www.773grp.com/manufacturer/renesas-electronics-america-inc?pageNo=284", "Renesas Electronics")</f>
        <v>Renesas Electronics</v>
      </c>
      <c r="C22428" s="6">
        <v>110000</v>
      </c>
      <c r="D22428" s="7">
        <v>0.15</v>
      </c>
    </row>
    <row r="22429" spans="1:4" x14ac:dyDescent="0.25">
      <c r="A22429" t="str">
        <f>HYPERLINK("https://www.773grp.com/globalSearch/RD15E-T2-AZ/page-1", "RD15E-T2-AZ")</f>
        <v>RD15E-T2-AZ</v>
      </c>
      <c r="B22429" s="3" t="str">
        <f>HYPERLINK("https://www.773grp.com/manufacturer/renesas-electronics-america-inc?pageNo=285", "Renesas Electronics")</f>
        <v>Renesas Electronics</v>
      </c>
      <c r="C22429" s="6">
        <v>240000</v>
      </c>
      <c r="D22429" s="7">
        <v>0.15</v>
      </c>
    </row>
    <row r="22430" spans="1:4" x14ac:dyDescent="0.25">
      <c r="A22430" t="str">
        <f>HYPERLINK("https://www.773grp.com/globalSearch/RD15E-T4-AZ/page-1", "RD15E-T4-AZ")</f>
        <v>RD15E-T4-AZ</v>
      </c>
      <c r="B22430" s="3" t="str">
        <f>HYPERLINK("https://www.773grp.com/manufacturer/renesas-electronics-america-inc?pageNo=286", "Renesas Electronics")</f>
        <v>Renesas Electronics</v>
      </c>
      <c r="C22430" s="6">
        <v>200000</v>
      </c>
      <c r="D22430" s="7">
        <v>0.15</v>
      </c>
    </row>
    <row r="22431" spans="1:4" x14ac:dyDescent="0.25">
      <c r="A22431" t="str">
        <f>HYPERLINK("https://www.773grp.com/globalSearch/RD15E-TB/page-1", "RD15E-TB")</f>
        <v>RD15E-TB</v>
      </c>
      <c r="B22431" s="3" t="str">
        <f>HYPERLINK("https://www.773grp.com/manufacturer/renesas-electronics-america-inc?pageNo=287", "Renesas Electronics")</f>
        <v>Renesas Electronics</v>
      </c>
      <c r="C22431" s="6">
        <v>72500</v>
      </c>
      <c r="D22431" s="7">
        <v>0.15</v>
      </c>
    </row>
    <row r="22432" spans="1:4" x14ac:dyDescent="0.25">
      <c r="A22432" t="str">
        <f>HYPERLINK("https://www.773grp.com/globalSearch/RD15E-TB-AZ/page-1", "RD15E-TB-AZ")</f>
        <v>RD15E-TB-AZ</v>
      </c>
      <c r="B22432" s="3" t="str">
        <f>HYPERLINK("https://www.773grp.com/manufacturer/renesas-electronics-america-inc?pageNo=288", "Renesas Electronics")</f>
        <v>Renesas Electronics</v>
      </c>
      <c r="C22432" s="6">
        <v>165000</v>
      </c>
      <c r="D22432" s="7">
        <v>0.15</v>
      </c>
    </row>
    <row r="22433" spans="1:4" x14ac:dyDescent="0.25">
      <c r="A22433" t="str">
        <f>HYPERLINK("https://www.773grp.com/globalSearch/RD15JS-T1/page-1", "RD15JS-T1")</f>
        <v>RD15JS-T1</v>
      </c>
      <c r="B22433" s="3" t="str">
        <f>HYPERLINK("https://www.773grp.com/manufacturer/renesas-electronics-america-inc?pageNo=289", "Renesas Electronics")</f>
        <v>Renesas Electronics</v>
      </c>
      <c r="C22433" s="6">
        <v>14000</v>
      </c>
      <c r="D22433" s="7">
        <v>0.15</v>
      </c>
    </row>
    <row r="22434" spans="1:4" x14ac:dyDescent="0.25">
      <c r="A22434" t="str">
        <f>HYPERLINK("https://www.773grp.com/globalSearch/RD16E(5)/page-1", "RD16E(5)")</f>
        <v>RD16E(5)</v>
      </c>
      <c r="B22434" s="3" t="str">
        <f>HYPERLINK("https://www.773grp.com/manufacturer/renesas-electronics-america-inc?pageNo=290", "Renesas Electronics")</f>
        <v>Renesas Electronics</v>
      </c>
      <c r="C22434" s="6">
        <v>3800</v>
      </c>
      <c r="D22434" s="7">
        <v>0.15</v>
      </c>
    </row>
    <row r="22435" spans="1:4" x14ac:dyDescent="0.25">
      <c r="A22435" t="str">
        <f>HYPERLINK("https://www.773grp.com/globalSearch/RD16ES-AZ/page-1", "RD16ES-AZ")</f>
        <v>RD16ES-AZ</v>
      </c>
      <c r="B22435" s="3" t="str">
        <f>HYPERLINK("https://www.773grp.com/manufacturer/renesas-electronics-america-inc?pageNo=291", "Renesas Electronics")</f>
        <v>Renesas Electronics</v>
      </c>
      <c r="C22435" s="6">
        <v>1300</v>
      </c>
      <c r="D22435" s="7">
        <v>0.15</v>
      </c>
    </row>
    <row r="22436" spans="1:4" x14ac:dyDescent="0.25">
      <c r="A22436" t="str">
        <f>HYPERLINK("https://www.773grp.com/globalSearch/RD16ES-T4-AZ/page-1", "RD16ES-T4-AZ")</f>
        <v>RD16ES-T4-AZ</v>
      </c>
      <c r="B22436" s="3" t="str">
        <f>HYPERLINK("https://www.773grp.com/manufacturer/renesas-electronics-america-inc?pageNo=292", "Renesas Electronics")</f>
        <v>Renesas Electronics</v>
      </c>
      <c r="C22436" s="6">
        <v>30000</v>
      </c>
      <c r="D22436" s="7">
        <v>0.15</v>
      </c>
    </row>
    <row r="22437" spans="1:4" x14ac:dyDescent="0.25">
      <c r="A22437" t="str">
        <f>HYPERLINK("https://www.773grp.com/globalSearch/RD16E-T1/page-1", "RD16E-T1")</f>
        <v>RD16E-T1</v>
      </c>
      <c r="B22437" s="3" t="str">
        <f>HYPERLINK("https://www.773grp.com/manufacturer/renesas-electronics-america-inc?pageNo=293", "Renesas Electronics")</f>
        <v>Renesas Electronics</v>
      </c>
      <c r="C22437" s="6">
        <v>52000</v>
      </c>
      <c r="D22437" s="7">
        <v>0.15</v>
      </c>
    </row>
    <row r="22438" spans="1:4" x14ac:dyDescent="0.25">
      <c r="A22438" t="str">
        <f>HYPERLINK("https://www.773grp.com/globalSearch/RD16E-T2/page-1", "RD16E-T2")</f>
        <v>RD16E-T2</v>
      </c>
      <c r="B22438" s="3" t="str">
        <f>HYPERLINK("https://www.773grp.com/manufacturer/renesas-electronics-america-inc?pageNo=294", "Renesas Electronics")</f>
        <v>Renesas Electronics</v>
      </c>
      <c r="C22438" s="6">
        <v>70000</v>
      </c>
      <c r="D22438" s="7">
        <v>0.15</v>
      </c>
    </row>
    <row r="22439" spans="1:4" x14ac:dyDescent="0.25">
      <c r="A22439" t="str">
        <f>HYPERLINK("https://www.773grp.com/globalSearch/RD16E-T2-AZ/page-1", "RD16E-T2-AZ")</f>
        <v>RD16E-T2-AZ</v>
      </c>
      <c r="B22439" s="3" t="str">
        <f>HYPERLINK("https://www.773grp.com/manufacturer/renesas-electronics-america-inc?pageNo=295", "Renesas Electronics")</f>
        <v>Renesas Electronics</v>
      </c>
      <c r="C22439" s="6">
        <v>745000</v>
      </c>
      <c r="D22439" s="7">
        <v>0.15</v>
      </c>
    </row>
    <row r="22440" spans="1:4" x14ac:dyDescent="0.25">
      <c r="A22440" t="str">
        <f>HYPERLINK("https://www.773grp.com/globalSearch/RD16E-T4-AZ/page-1", "RD16E-T4-AZ")</f>
        <v>RD16E-T4-AZ</v>
      </c>
      <c r="B22440" s="3" t="str">
        <f>HYPERLINK("https://www.773grp.com/manufacturer/renesas-electronics-america-inc?pageNo=296", "Renesas Electronics")</f>
        <v>Renesas Electronics</v>
      </c>
      <c r="C22440" s="6">
        <v>355000</v>
      </c>
      <c r="D22440" s="7">
        <v>0.15</v>
      </c>
    </row>
    <row r="22441" spans="1:4" x14ac:dyDescent="0.25">
      <c r="A22441" t="str">
        <f>HYPERLINK("https://www.773grp.com/globalSearch/RD16E-TB-AZ/page-1", "RD16E-TB-AZ")</f>
        <v>RD16E-TB-AZ</v>
      </c>
      <c r="B22441" s="3" t="str">
        <f>HYPERLINK("https://www.773grp.com/manufacturer/renesas-electronics-america-inc?pageNo=297", "Renesas Electronics")</f>
        <v>Renesas Electronics</v>
      </c>
      <c r="C22441" s="6">
        <v>67500</v>
      </c>
      <c r="D22441" s="7">
        <v>0.15</v>
      </c>
    </row>
    <row r="22442" spans="1:4" x14ac:dyDescent="0.25">
      <c r="A22442" t="str">
        <f>HYPERLINK("https://www.773grp.com/globalSearch/RD16JS-AZ/page-1", "RD16JS-AZ")</f>
        <v>RD16JS-AZ</v>
      </c>
      <c r="B22442" s="3" t="str">
        <f>HYPERLINK("https://www.773grp.com/manufacturer/renesas-electronics-america-inc?pageNo=298", "Renesas Electronics")</f>
        <v>Renesas Electronics</v>
      </c>
      <c r="C22442" s="6">
        <v>8900</v>
      </c>
      <c r="D22442" s="7">
        <v>0.15</v>
      </c>
    </row>
    <row r="22443" spans="1:4" x14ac:dyDescent="0.25">
      <c r="A22443" t="str">
        <f>HYPERLINK("https://www.773grp.com/globalSearch/RD16JS-T1/page-1", "RD16JS-T1")</f>
        <v>RD16JS-T1</v>
      </c>
      <c r="B22443" s="3" t="str">
        <f>HYPERLINK("https://www.773grp.com/manufacturer/renesas-electronics-america-inc?pageNo=299", "Renesas Electronics")</f>
        <v>Renesas Electronics</v>
      </c>
      <c r="C22443" s="6">
        <v>10000</v>
      </c>
      <c r="D22443" s="7">
        <v>0.15</v>
      </c>
    </row>
    <row r="22444" spans="1:4" x14ac:dyDescent="0.25">
      <c r="A22444" t="str">
        <f>HYPERLINK("https://www.773grp.com/globalSearch/RD18ES-AZ/page-1", "RD18ES-AZ")</f>
        <v>RD18ES-AZ</v>
      </c>
      <c r="B22444" s="3" t="str">
        <f>HYPERLINK("https://www.773grp.com/manufacturer/renesas-electronics-america-inc?pageNo=300", "Renesas Electronics")</f>
        <v>Renesas Electronics</v>
      </c>
      <c r="C22444" s="6">
        <v>168900</v>
      </c>
      <c r="D22444" s="7">
        <v>0.15</v>
      </c>
    </row>
    <row r="22445" spans="1:4" x14ac:dyDescent="0.25">
      <c r="A22445" t="str">
        <f>HYPERLINK("https://www.773grp.com/globalSearch/RD18ES-T1/page-1", "RD18ES-T1")</f>
        <v>RD18ES-T1</v>
      </c>
      <c r="B22445" s="3" t="str">
        <f>HYPERLINK("https://www.773grp.com/manufacturer/renesas-electronics-america-inc?pageNo=301", "Renesas Electronics")</f>
        <v>Renesas Electronics</v>
      </c>
      <c r="C22445" s="6">
        <v>26000</v>
      </c>
      <c r="D22445" s="7">
        <v>0.15</v>
      </c>
    </row>
    <row r="22446" spans="1:4" x14ac:dyDescent="0.25">
      <c r="A22446" t="str">
        <f>HYPERLINK("https://www.773grp.com/globalSearch/RD18ES-T2/page-1", "RD18ES-T2")</f>
        <v>RD18ES-T2</v>
      </c>
      <c r="B22446" s="3" t="str">
        <f>HYPERLINK("https://www.773grp.com/manufacturer/renesas-electronics-america-inc?pageNo=302", "Renesas Electronics")</f>
        <v>Renesas Electronics</v>
      </c>
      <c r="C22446" s="6">
        <v>70000</v>
      </c>
      <c r="D22446" s="7">
        <v>0.15</v>
      </c>
    </row>
    <row r="22447" spans="1:4" x14ac:dyDescent="0.25">
      <c r="A22447" t="str">
        <f>HYPERLINK("https://www.773grp.com/globalSearch/RD18E-T1/page-1", "RD18E-T1")</f>
        <v>RD18E-T1</v>
      </c>
      <c r="B22447" s="3" t="str">
        <f>HYPERLINK("https://www.773grp.com/manufacturer/renesas-electronics-america-inc?pageNo=303", "Renesas Electronics")</f>
        <v>Renesas Electronics</v>
      </c>
      <c r="C22447" s="6">
        <v>34000</v>
      </c>
      <c r="D22447" s="7">
        <v>0.15</v>
      </c>
    </row>
    <row r="22448" spans="1:4" x14ac:dyDescent="0.25">
      <c r="A22448" t="str">
        <f>HYPERLINK("https://www.773grp.com/globalSearch/RD18E-T2/page-1", "RD18E-T2")</f>
        <v>RD18E-T2</v>
      </c>
      <c r="B22448" s="3" t="str">
        <f>HYPERLINK("https://www.773grp.com/manufacturer/renesas-electronics-america-inc?pageNo=304", "Renesas Electronics")</f>
        <v>Renesas Electronics</v>
      </c>
      <c r="C22448" s="6">
        <v>40000</v>
      </c>
      <c r="D22448" s="7">
        <v>0.15</v>
      </c>
    </row>
    <row r="22449" spans="1:4" x14ac:dyDescent="0.25">
      <c r="A22449" t="str">
        <f>HYPERLINK("https://www.773grp.com/globalSearch/RD18E-T2-AZ/page-1", "RD18E-T2-AZ")</f>
        <v>RD18E-T2-AZ</v>
      </c>
      <c r="B22449" s="3" t="str">
        <f>HYPERLINK("https://www.773grp.com/manufacturer/renesas-electronics-america-inc?pageNo=305", "Renesas Electronics")</f>
        <v>Renesas Electronics</v>
      </c>
      <c r="C22449" s="6">
        <v>5000</v>
      </c>
      <c r="D22449" s="7">
        <v>0.15</v>
      </c>
    </row>
    <row r="22450" spans="1:4" x14ac:dyDescent="0.25">
      <c r="A22450" t="str">
        <f>HYPERLINK("https://www.773grp.com/globalSearch/RD18E-T4-AZ/page-1", "RD18E-T4-AZ")</f>
        <v>RD18E-T4-AZ</v>
      </c>
      <c r="B22450" s="3" t="str">
        <f>HYPERLINK("https://www.773grp.com/manufacturer/renesas-electronics-america-inc?pageNo=306", "Renesas Electronics")</f>
        <v>Renesas Electronics</v>
      </c>
      <c r="C22450" s="6">
        <v>1350000</v>
      </c>
      <c r="D22450" s="7">
        <v>0.15</v>
      </c>
    </row>
    <row r="22451" spans="1:4" x14ac:dyDescent="0.25">
      <c r="A22451" t="str">
        <f>HYPERLINK("https://www.773grp.com/globalSearch/RD18E-TB-AZ/page-1", "RD18E-TB-AZ")</f>
        <v>RD18E-TB-AZ</v>
      </c>
      <c r="B22451" s="3" t="str">
        <f>HYPERLINK("https://www.773grp.com/manufacturer/renesas-electronics-america-inc?pageNo=307", "Renesas Electronics")</f>
        <v>Renesas Electronics</v>
      </c>
      <c r="C22451" s="6">
        <v>87500</v>
      </c>
      <c r="D22451" s="7">
        <v>0.15</v>
      </c>
    </row>
    <row r="22452" spans="1:4" x14ac:dyDescent="0.25">
      <c r="A22452" t="str">
        <f>HYPERLINK("https://www.773grp.com/globalSearch/RD18JS/page-1", "RD18JS")</f>
        <v>RD18JS</v>
      </c>
      <c r="B22452" s="3" t="str">
        <f>HYPERLINK("https://www.773grp.com/manufacturer/renesas-electronics-america-inc?pageNo=308", "Renesas Electronics")</f>
        <v>Renesas Electronics</v>
      </c>
      <c r="C22452" s="6">
        <v>62298</v>
      </c>
      <c r="D22452" s="7">
        <v>0.15</v>
      </c>
    </row>
    <row r="22453" spans="1:4" x14ac:dyDescent="0.25">
      <c r="A22453" t="str">
        <f>HYPERLINK("https://www.773grp.com/globalSearch/RD2.0E/page-1", "RD2.0E")</f>
        <v>RD2.0E</v>
      </c>
      <c r="B22453" s="3" t="str">
        <f>HYPERLINK("https://www.773grp.com/manufacturer/renesas-electronics-america-inc?pageNo=309", "Renesas Electronics")</f>
        <v>Renesas Electronics</v>
      </c>
      <c r="C22453" s="6">
        <v>17700</v>
      </c>
      <c r="D22453" s="7">
        <v>0.15</v>
      </c>
    </row>
    <row r="22454" spans="1:4" x14ac:dyDescent="0.25">
      <c r="A22454" t="str">
        <f>HYPERLINK("https://www.773grp.com/globalSearch/RD2.0E-AZ/page-1", "RD2.0E-AZ")</f>
        <v>RD2.0E-AZ</v>
      </c>
      <c r="B22454" s="3" t="str">
        <f>HYPERLINK("https://www.773grp.com/manufacturer/renesas-electronics-america-inc?pageNo=310", "Renesas Electronics")</f>
        <v>Renesas Electronics</v>
      </c>
      <c r="C22454" s="6">
        <v>1000</v>
      </c>
      <c r="D22454" s="7">
        <v>0.15</v>
      </c>
    </row>
    <row r="22455" spans="1:4" x14ac:dyDescent="0.25">
      <c r="A22455" t="str">
        <f>HYPERLINK("https://www.773grp.com/globalSearch/RD2.0ES/page-1", "RD2.0ES")</f>
        <v>RD2.0ES</v>
      </c>
      <c r="B22455" s="3" t="str">
        <f>HYPERLINK("https://www.773grp.com/manufacturer/renesas-electronics-america-inc?pageNo=311", "Renesas Electronics")</f>
        <v>Renesas Electronics</v>
      </c>
      <c r="C22455" s="6">
        <v>17033</v>
      </c>
      <c r="D22455" s="7">
        <v>0.15</v>
      </c>
    </row>
    <row r="22456" spans="1:4" x14ac:dyDescent="0.25">
      <c r="A22456" t="str">
        <f>HYPERLINK("https://www.773grp.com/globalSearch/RD2.0ES-AZ/page-1", "RD2.0ES-AZ")</f>
        <v>RD2.0ES-AZ</v>
      </c>
      <c r="B22456" s="3" t="str">
        <f>HYPERLINK("https://www.773grp.com/manufacturer/renesas-electronics-america-inc?pageNo=312", "Renesas Electronics")</f>
        <v>Renesas Electronics</v>
      </c>
      <c r="C22456" s="6">
        <v>63200</v>
      </c>
      <c r="D22456" s="7">
        <v>0.15</v>
      </c>
    </row>
    <row r="22457" spans="1:4" x14ac:dyDescent="0.25">
      <c r="A22457" t="str">
        <f>HYPERLINK("https://www.773grp.com/globalSearch/RD2.0ES-T1/page-1", "RD2.0ES-T1")</f>
        <v>RD2.0ES-T1</v>
      </c>
      <c r="B22457" s="3" t="str">
        <f>HYPERLINK("https://www.773grp.com/manufacturer/renesas-electronics-america-inc?pageNo=313", "Renesas Electronics")</f>
        <v>Renesas Electronics</v>
      </c>
      <c r="C22457" s="6">
        <v>94000</v>
      </c>
      <c r="D22457" s="7">
        <v>0.15</v>
      </c>
    </row>
    <row r="22458" spans="1:4" x14ac:dyDescent="0.25">
      <c r="A22458" t="str">
        <f>HYPERLINK("https://www.773grp.com/globalSearch/RD2.0ES-T4-AZ/page-1", "RD2.0ES-T4-AZ")</f>
        <v>RD2.0ES-T4-AZ</v>
      </c>
      <c r="B22458" s="3" t="str">
        <f>HYPERLINK("https://www.773grp.com/manufacturer/renesas-electronics-america-inc?pageNo=314", "Renesas Electronics")</f>
        <v>Renesas Electronics</v>
      </c>
      <c r="C22458" s="6">
        <v>50000</v>
      </c>
      <c r="D22458" s="7">
        <v>0.15</v>
      </c>
    </row>
    <row r="22459" spans="1:4" x14ac:dyDescent="0.25">
      <c r="A22459" t="str">
        <f>HYPERLINK("https://www.773grp.com/globalSearch/RD2.0E-T1/page-1", "RD2.0E-T1")</f>
        <v>RD2.0E-T1</v>
      </c>
      <c r="B22459" s="3" t="str">
        <f>HYPERLINK("https://www.773grp.com/manufacturer/renesas-electronics-america-inc?pageNo=315", "Renesas Electronics")</f>
        <v>Renesas Electronics</v>
      </c>
      <c r="C22459" s="6">
        <v>2000</v>
      </c>
      <c r="D22459" s="7">
        <v>0.15</v>
      </c>
    </row>
    <row r="22460" spans="1:4" x14ac:dyDescent="0.25">
      <c r="A22460" t="str">
        <f>HYPERLINK("https://www.773grp.com/globalSearch/RD2.0E-T1-AZ/page-1", "RD2.0E-T1-AZ")</f>
        <v>RD2.0E-T1-AZ</v>
      </c>
      <c r="B22460" s="3" t="str">
        <f>HYPERLINK("https://www.773grp.com/manufacturer/renesas-electronics-america-inc?pageNo=316", "Renesas Electronics")</f>
        <v>Renesas Electronics</v>
      </c>
      <c r="C22460" s="6">
        <v>52000</v>
      </c>
      <c r="D22460" s="7">
        <v>0.15</v>
      </c>
    </row>
    <row r="22461" spans="1:4" x14ac:dyDescent="0.25">
      <c r="A22461" t="str">
        <f>HYPERLINK("https://www.773grp.com/globalSearch/RD2.0E-T4-AZ/page-1", "RD2.0E-T4-AZ")</f>
        <v>RD2.0E-T4-AZ</v>
      </c>
      <c r="B22461" s="3" t="str">
        <f>HYPERLINK("https://www.773grp.com/manufacturer/renesas-electronics-america-inc?pageNo=317", "Renesas Electronics")</f>
        <v>Renesas Electronics</v>
      </c>
      <c r="C22461" s="6">
        <v>50000</v>
      </c>
      <c r="D22461" s="7">
        <v>0.15</v>
      </c>
    </row>
    <row r="22462" spans="1:4" x14ac:dyDescent="0.25">
      <c r="A22462" t="str">
        <f>HYPERLINK("https://www.773grp.com/globalSearch/RD2.0E-TB-AZ/page-1", "RD2.0E-TB-AZ")</f>
        <v>RD2.0E-TB-AZ</v>
      </c>
      <c r="B22462" s="3" t="str">
        <f>HYPERLINK("https://www.773grp.com/manufacturer/renesas-electronics-america-inc?pageNo=318", "Renesas Electronics")</f>
        <v>Renesas Electronics</v>
      </c>
      <c r="C22462" s="6">
        <v>30000</v>
      </c>
      <c r="D22462" s="7">
        <v>0.15</v>
      </c>
    </row>
    <row r="22463" spans="1:4" x14ac:dyDescent="0.25">
      <c r="A22463" t="str">
        <f>HYPERLINK("https://www.773grp.com/globalSearch/RD2.2E/page-1", "RD2.2E")</f>
        <v>RD2.2E</v>
      </c>
      <c r="B22463" s="3" t="str">
        <f>HYPERLINK("https://www.773grp.com/manufacturer/renesas-electronics-america-inc?pageNo=319", "Renesas Electronics")</f>
        <v>Renesas Electronics</v>
      </c>
      <c r="C22463" s="6">
        <v>134</v>
      </c>
      <c r="D22463" s="7">
        <v>0.15</v>
      </c>
    </row>
    <row r="22464" spans="1:4" x14ac:dyDescent="0.25">
      <c r="A22464" t="str">
        <f>HYPERLINK("https://www.773grp.com/globalSearch/RD2.2E-AZ/page-1", "RD2.2E-AZ")</f>
        <v>RD2.2E-AZ</v>
      </c>
      <c r="B22464" s="3" t="str">
        <f>HYPERLINK("https://www.773grp.com/manufacturer/renesas-electronics-america-inc?pageNo=320", "Renesas Electronics")</f>
        <v>Renesas Electronics</v>
      </c>
      <c r="C22464" s="6">
        <v>4000</v>
      </c>
      <c r="D22464" s="7">
        <v>0.15</v>
      </c>
    </row>
    <row r="22465" spans="1:4" x14ac:dyDescent="0.25">
      <c r="A22465" t="str">
        <f>HYPERLINK("https://www.773grp.com/globalSearch/RD2.2ES/page-1", "RD2.2ES")</f>
        <v>RD2.2ES</v>
      </c>
      <c r="B22465" s="3" t="str">
        <f>HYPERLINK("https://www.773grp.com/manufacturer/renesas-electronics-america-inc?pageNo=321", "Renesas Electronics")</f>
        <v>Renesas Electronics</v>
      </c>
      <c r="C22465" s="6">
        <v>2350</v>
      </c>
      <c r="D22465" s="7">
        <v>0.15</v>
      </c>
    </row>
    <row r="22466" spans="1:4" x14ac:dyDescent="0.25">
      <c r="A22466" t="str">
        <f>HYPERLINK("https://www.773grp.com/globalSearch/RD2.2ES-T1-AZ/page-1", "RD2.2ES-T1-AZ")</f>
        <v>RD2.2ES-T1-AZ</v>
      </c>
      <c r="B22466" s="3" t="str">
        <f>HYPERLINK("https://www.773grp.com/manufacturer/renesas-electronics-america-inc?pageNo=322", "Renesas Electronics")</f>
        <v>Renesas Electronics</v>
      </c>
      <c r="C22466" s="6">
        <v>63250</v>
      </c>
      <c r="D22466" s="7">
        <v>0.15</v>
      </c>
    </row>
    <row r="22467" spans="1:4" x14ac:dyDescent="0.25">
      <c r="A22467" t="str">
        <f>HYPERLINK("https://www.773grp.com/globalSearch/RD2.2E-T1-AZ/page-1", "RD2.2E-T1-AZ")</f>
        <v>RD2.2E-T1-AZ</v>
      </c>
      <c r="B22467" s="3" t="str">
        <f>HYPERLINK("https://www.773grp.com/manufacturer/renesas-electronics-america-inc?pageNo=323", "Renesas Electronics")</f>
        <v>Renesas Electronics</v>
      </c>
      <c r="C22467" s="6">
        <v>2000</v>
      </c>
      <c r="D22467" s="7">
        <v>0.15</v>
      </c>
    </row>
    <row r="22468" spans="1:4" x14ac:dyDescent="0.25">
      <c r="A22468" t="str">
        <f>HYPERLINK("https://www.773grp.com/globalSearch/RD2.4E/page-1", "RD2.4E")</f>
        <v>RD2.4E</v>
      </c>
      <c r="B22468" s="3" t="str">
        <f>HYPERLINK("https://www.773grp.com/manufacturer/renesas-electronics-america-inc?pageNo=324", "Renesas Electronics")</f>
        <v>Renesas Electronics</v>
      </c>
      <c r="C22468" s="6">
        <v>91358</v>
      </c>
      <c r="D22468" s="7">
        <v>0.15</v>
      </c>
    </row>
    <row r="22469" spans="1:4" x14ac:dyDescent="0.25">
      <c r="A22469" t="str">
        <f>HYPERLINK("https://www.773grp.com/globalSearch/RD2.4E-AZ/page-1", "RD2.4E-AZ")</f>
        <v>RD2.4E-AZ</v>
      </c>
      <c r="B22469" s="3" t="str">
        <f>HYPERLINK("https://www.773grp.com/manufacturer/renesas-electronics-america-inc?pageNo=325", "Renesas Electronics")</f>
        <v>Renesas Electronics</v>
      </c>
      <c r="C22469" s="6">
        <v>5450</v>
      </c>
      <c r="D22469" s="7">
        <v>0.15</v>
      </c>
    </row>
    <row r="22470" spans="1:4" x14ac:dyDescent="0.25">
      <c r="A22470" t="str">
        <f>HYPERLINK("https://www.773grp.com/globalSearch/RD2.4ES/page-1", "RD2.4ES")</f>
        <v>RD2.4ES</v>
      </c>
      <c r="B22470" s="3" t="str">
        <f>HYPERLINK("https://www.773grp.com/manufacturer/renesas-electronics-america-inc?pageNo=326", "Renesas Electronics")</f>
        <v>Renesas Electronics</v>
      </c>
      <c r="C22470" s="6">
        <v>3600</v>
      </c>
      <c r="D22470" s="7">
        <v>0.15</v>
      </c>
    </row>
    <row r="22471" spans="1:4" x14ac:dyDescent="0.25">
      <c r="A22471" t="str">
        <f>HYPERLINK("https://www.773grp.com/globalSearch/RD2.4ES-AZ/page-1", "RD2.4ES-AZ")</f>
        <v>RD2.4ES-AZ</v>
      </c>
      <c r="B22471" s="3" t="str">
        <f>HYPERLINK("https://www.773grp.com/manufacturer/renesas-electronics-america-inc?pageNo=327", "Renesas Electronics")</f>
        <v>Renesas Electronics</v>
      </c>
      <c r="C22471" s="6">
        <v>9250</v>
      </c>
      <c r="D22471" s="7">
        <v>0.15</v>
      </c>
    </row>
    <row r="22472" spans="1:4" x14ac:dyDescent="0.25">
      <c r="A22472" t="str">
        <f>HYPERLINK("https://www.773grp.com/globalSearch/RD2.4ES-T1-AZ/page-1", "RD2.4ES-T1-AZ")</f>
        <v>RD2.4ES-T1-AZ</v>
      </c>
      <c r="B22472" s="3" t="str">
        <f>HYPERLINK("https://www.773grp.com/manufacturer/renesas-electronics-america-inc?pageNo=328", "Renesas Electronics")</f>
        <v>Renesas Electronics</v>
      </c>
      <c r="C22472" s="6">
        <v>32000</v>
      </c>
      <c r="D22472" s="7">
        <v>0.15</v>
      </c>
    </row>
    <row r="22473" spans="1:4" x14ac:dyDescent="0.25">
      <c r="A22473" t="str">
        <f>HYPERLINK("https://www.773grp.com/globalSearch/RD2.4E-T1/page-1", "RD2.4E-T1")</f>
        <v>RD2.4E-T1</v>
      </c>
      <c r="B22473" s="3" t="str">
        <f>HYPERLINK("https://www.773grp.com/manufacturer/renesas-electronics-america-inc?pageNo=329", "Renesas Electronics")</f>
        <v>Renesas Electronics</v>
      </c>
      <c r="C22473" s="6">
        <v>4000</v>
      </c>
      <c r="D22473" s="7">
        <v>0.15</v>
      </c>
    </row>
    <row r="22474" spans="1:4" x14ac:dyDescent="0.25">
      <c r="A22474" t="str">
        <f>HYPERLINK("https://www.773grp.com/globalSearch/RD2.4E-T4-AZ/page-1", "RD2.4E-T4-AZ")</f>
        <v>RD2.4E-T4-AZ</v>
      </c>
      <c r="B22474" s="3" t="str">
        <f>HYPERLINK("https://www.773grp.com/manufacturer/renesas-electronics-america-inc?pageNo=330", "Renesas Electronics")</f>
        <v>Renesas Electronics</v>
      </c>
      <c r="C22474" s="6">
        <v>95000</v>
      </c>
      <c r="D22474" s="7">
        <v>0.15</v>
      </c>
    </row>
    <row r="22475" spans="1:4" x14ac:dyDescent="0.25">
      <c r="A22475" t="str">
        <f>HYPERLINK("https://www.773grp.com/globalSearch/RD2.7E/page-1", "RD2.7E")</f>
        <v>RD2.7E</v>
      </c>
      <c r="B22475" s="3" t="str">
        <f>HYPERLINK("https://www.773grp.com/manufacturer/renesas-electronics-america-inc?pageNo=331", "Renesas Electronics")</f>
        <v>Renesas Electronics</v>
      </c>
      <c r="C22475" s="6">
        <v>68600</v>
      </c>
      <c r="D22475" s="7">
        <v>0.15</v>
      </c>
    </row>
    <row r="22476" spans="1:4" x14ac:dyDescent="0.25">
      <c r="A22476" t="str">
        <f>HYPERLINK("https://www.773grp.com/globalSearch/RD2.7ES-T1/page-1", "RD2.7ES-T1")</f>
        <v>RD2.7ES-T1</v>
      </c>
      <c r="B22476" s="3" t="str">
        <f>HYPERLINK("https://www.773grp.com/manufacturer/renesas-electronics-america-inc?pageNo=332", "Renesas Electronics")</f>
        <v>Renesas Electronics</v>
      </c>
      <c r="C22476" s="6">
        <v>46000</v>
      </c>
      <c r="D22476" s="7">
        <v>0.15</v>
      </c>
    </row>
    <row r="22477" spans="1:4" x14ac:dyDescent="0.25">
      <c r="A22477" t="str">
        <f>HYPERLINK("https://www.773grp.com/globalSearch/RD2.7ES-T4-AZ/page-1", "RD2.7ES-T4-AZ")</f>
        <v>RD2.7ES-T4-AZ</v>
      </c>
      <c r="B22477" s="3" t="str">
        <f>HYPERLINK("https://www.773grp.com/manufacturer/renesas-electronics-america-inc?pageNo=333", "Renesas Electronics")</f>
        <v>Renesas Electronics</v>
      </c>
      <c r="C22477" s="6">
        <v>35000</v>
      </c>
      <c r="D22477" s="7">
        <v>0.15</v>
      </c>
    </row>
    <row r="22478" spans="1:4" x14ac:dyDescent="0.25">
      <c r="A22478" t="str">
        <f>HYPERLINK("https://www.773grp.com/globalSearch/RD2.7E-T1-AZ/page-1", "RD2.7E-T1-AZ")</f>
        <v>RD2.7E-T1-AZ</v>
      </c>
      <c r="B22478" s="3" t="str">
        <f>HYPERLINK("https://www.773grp.com/manufacturer/renesas-electronics-america-inc?pageNo=334", "Renesas Electronics")</f>
        <v>Renesas Electronics</v>
      </c>
      <c r="C22478" s="6">
        <v>122000</v>
      </c>
      <c r="D22478" s="7">
        <v>0.15</v>
      </c>
    </row>
    <row r="22479" spans="1:4" x14ac:dyDescent="0.25">
      <c r="A22479" t="str">
        <f>HYPERLINK("https://www.773grp.com/globalSearch/RD2.7E-T4/page-1", "RD2.7E-T4")</f>
        <v>RD2.7E-T4</v>
      </c>
      <c r="B22479" s="3" t="str">
        <f>HYPERLINK("https://www.773grp.com/manufacturer/renesas-electronics-america-inc?pageNo=335", "Renesas Electronics")</f>
        <v>Renesas Electronics</v>
      </c>
      <c r="C22479" s="6">
        <v>10000</v>
      </c>
      <c r="D22479" s="7">
        <v>0.15</v>
      </c>
    </row>
    <row r="22480" spans="1:4" x14ac:dyDescent="0.25">
      <c r="A22480" t="str">
        <f>HYPERLINK("https://www.773grp.com/globalSearch/RD2.7E-T4-AZ/page-1", "RD2.7E-T4-AZ")</f>
        <v>RD2.7E-T4-AZ</v>
      </c>
      <c r="B22480" s="3" t="str">
        <f>HYPERLINK("https://www.773grp.com/manufacturer/renesas-electronics-america-inc?pageNo=336", "Renesas Electronics")</f>
        <v>Renesas Electronics</v>
      </c>
      <c r="C22480" s="6">
        <v>190000</v>
      </c>
      <c r="D22480" s="7">
        <v>0.15</v>
      </c>
    </row>
    <row r="22481" spans="1:4" x14ac:dyDescent="0.25">
      <c r="A22481" t="str">
        <f>HYPERLINK("https://www.773grp.com/globalSearch/RD2.7E-TB/page-1", "RD2.7E-TB")</f>
        <v>RD2.7E-TB</v>
      </c>
      <c r="B22481" s="3" t="str">
        <f>HYPERLINK("https://www.773grp.com/manufacturer/renesas-electronics-america-inc?pageNo=337", "Renesas Electronics")</f>
        <v>Renesas Electronics</v>
      </c>
      <c r="C22481" s="6">
        <v>55000</v>
      </c>
      <c r="D22481" s="7">
        <v>0.15</v>
      </c>
    </row>
    <row r="22482" spans="1:4" x14ac:dyDescent="0.25">
      <c r="A22482" t="str">
        <f>HYPERLINK("https://www.773grp.com/globalSearch/RD20ES/page-1", "RD20ES")</f>
        <v>RD20ES</v>
      </c>
      <c r="B22482" s="3" t="str">
        <f>HYPERLINK("https://www.773grp.com/manufacturer/renesas-electronics-america-inc?pageNo=338", "Renesas Electronics")</f>
        <v>Renesas Electronics</v>
      </c>
      <c r="C22482" s="6">
        <v>43865</v>
      </c>
      <c r="D22482" s="7">
        <v>0.15</v>
      </c>
    </row>
    <row r="22483" spans="1:4" x14ac:dyDescent="0.25">
      <c r="A22483" t="str">
        <f>HYPERLINK("https://www.773grp.com/globalSearch/RD20ES-AZ/page-1", "RD20ES-AZ")</f>
        <v>RD20ES-AZ</v>
      </c>
      <c r="B22483" s="3" t="str">
        <f>HYPERLINK("https://www.773grp.com/manufacturer/renesas-electronics-america-inc?pageNo=339", "Renesas Electronics")</f>
        <v>Renesas Electronics</v>
      </c>
      <c r="C22483" s="6">
        <v>7200</v>
      </c>
      <c r="D22483" s="7">
        <v>0.15</v>
      </c>
    </row>
    <row r="22484" spans="1:4" x14ac:dyDescent="0.25">
      <c r="A22484" t="str">
        <f>HYPERLINK("https://www.773grp.com/globalSearch/RD20ES-T1/page-1", "RD20ES-T1")</f>
        <v>RD20ES-T1</v>
      </c>
      <c r="B22484" s="3" t="str">
        <f>HYPERLINK("https://www.773grp.com/manufacturer/renesas-electronics-america-inc?pageNo=340", "Renesas Electronics")</f>
        <v>Renesas Electronics</v>
      </c>
      <c r="C22484" s="6">
        <v>86000</v>
      </c>
      <c r="D22484" s="7">
        <v>0.15</v>
      </c>
    </row>
    <row r="22485" spans="1:4" x14ac:dyDescent="0.25">
      <c r="A22485" t="str">
        <f>HYPERLINK("https://www.773grp.com/globalSearch/RD20ES-T4-AZ/page-1", "RD20ES-T4-AZ")</f>
        <v>RD20ES-T4-AZ</v>
      </c>
      <c r="B22485" s="3" t="str">
        <f>HYPERLINK("https://www.773grp.com/manufacturer/renesas-electronics-america-inc?pageNo=341", "Renesas Electronics")</f>
        <v>Renesas Electronics</v>
      </c>
      <c r="C22485" s="6">
        <v>15000</v>
      </c>
      <c r="D22485" s="7">
        <v>0.15</v>
      </c>
    </row>
    <row r="22486" spans="1:4" x14ac:dyDescent="0.25">
      <c r="A22486" t="str">
        <f>HYPERLINK("https://www.773grp.com/globalSearch/RD20E-T2-AZ/page-1", "RD20E-T2-AZ")</f>
        <v>RD20E-T2-AZ</v>
      </c>
      <c r="B22486" s="3" t="str">
        <f>HYPERLINK("https://www.773grp.com/manufacturer/renesas-electronics-america-inc?pageNo=342", "Renesas Electronics")</f>
        <v>Renesas Electronics</v>
      </c>
      <c r="C22486" s="6">
        <v>30000</v>
      </c>
      <c r="D22486" s="7">
        <v>0.15</v>
      </c>
    </row>
    <row r="22487" spans="1:4" x14ac:dyDescent="0.25">
      <c r="A22487" t="str">
        <f>HYPERLINK("https://www.773grp.com/globalSearch/RD20E-T4-AZ/page-1", "RD20E-T4-AZ")</f>
        <v>RD20E-T4-AZ</v>
      </c>
      <c r="B22487" s="3" t="str">
        <f>HYPERLINK("https://www.773grp.com/manufacturer/renesas-electronics-america-inc?pageNo=343", "Renesas Electronics")</f>
        <v>Renesas Electronics</v>
      </c>
      <c r="C22487" s="6">
        <v>200000</v>
      </c>
      <c r="D22487" s="7">
        <v>0.15</v>
      </c>
    </row>
    <row r="22488" spans="1:4" x14ac:dyDescent="0.25">
      <c r="A22488" t="str">
        <f>HYPERLINK("https://www.773grp.com/globalSearch/RD20E-TB-AZ/page-1", "RD20E-TB-AZ")</f>
        <v>RD20E-TB-AZ</v>
      </c>
      <c r="B22488" s="3" t="str">
        <f>HYPERLINK("https://www.773grp.com/manufacturer/renesas-electronics-america-inc?pageNo=344", "Renesas Electronics")</f>
        <v>Renesas Electronics</v>
      </c>
      <c r="C22488" s="6">
        <v>82500</v>
      </c>
      <c r="D22488" s="7">
        <v>0.15</v>
      </c>
    </row>
    <row r="22489" spans="1:4" x14ac:dyDescent="0.25">
      <c r="A22489" t="str">
        <f>HYPERLINK("https://www.773grp.com/globalSearch/RD20JS/page-1", "RD20JS")</f>
        <v>RD20JS</v>
      </c>
      <c r="B22489" s="3" t="str">
        <f>HYPERLINK("https://www.773grp.com/manufacturer/renesas-electronics-america-inc?pageNo=345", "Renesas Electronics")</f>
        <v>Renesas Electronics</v>
      </c>
      <c r="C22489" s="6">
        <v>107580</v>
      </c>
      <c r="D22489" s="7">
        <v>0.15</v>
      </c>
    </row>
    <row r="22490" spans="1:4" x14ac:dyDescent="0.25">
      <c r="A22490" t="str">
        <f>HYPERLINK("https://www.773grp.com/globalSearch/RD22E-AZ/page-1", "RD22E-AZ")</f>
        <v>RD22E-AZ</v>
      </c>
      <c r="B22490" s="3" t="str">
        <f>HYPERLINK("https://www.773grp.com/manufacturer/renesas-electronics-america-inc?pageNo=346", "Renesas Electronics")</f>
        <v>Renesas Electronics</v>
      </c>
      <c r="C22490" s="6">
        <v>4000</v>
      </c>
      <c r="D22490" s="7">
        <v>0.15</v>
      </c>
    </row>
    <row r="22491" spans="1:4" x14ac:dyDescent="0.25">
      <c r="A22491" t="str">
        <f>HYPERLINK("https://www.773grp.com/globalSearch/RD22ES-T1/page-1", "RD22ES-T1")</f>
        <v>RD22ES-T1</v>
      </c>
      <c r="B22491" s="3" t="str">
        <f>HYPERLINK("https://www.773grp.com/manufacturer/renesas-electronics-america-inc?pageNo=347", "Renesas Electronics")</f>
        <v>Renesas Electronics</v>
      </c>
      <c r="C22491" s="6">
        <v>66000</v>
      </c>
      <c r="D22491" s="7">
        <v>0.15</v>
      </c>
    </row>
    <row r="22492" spans="1:4" x14ac:dyDescent="0.25">
      <c r="A22492" t="str">
        <f>HYPERLINK("https://www.773grp.com/globalSearch/RD22ES-T1-AZ/page-1", "RD22ES-T1-AZ")</f>
        <v>RD22ES-T1-AZ</v>
      </c>
      <c r="B22492" s="3" t="str">
        <f>HYPERLINK("https://www.773grp.com/manufacturer/renesas-electronics-america-inc?pageNo=348", "Renesas Electronics")</f>
        <v>Renesas Electronics</v>
      </c>
      <c r="C22492" s="6">
        <v>198000</v>
      </c>
      <c r="D22492" s="7">
        <v>0.15</v>
      </c>
    </row>
    <row r="22493" spans="1:4" x14ac:dyDescent="0.25">
      <c r="A22493" t="str">
        <f>HYPERLINK("https://www.773grp.com/globalSearch/RD22ES-T4-AZ/page-1", "RD22ES-T4-AZ")</f>
        <v>RD22ES-T4-AZ</v>
      </c>
      <c r="B22493" s="3" t="str">
        <f>HYPERLINK("https://www.773grp.com/manufacturer/renesas-electronics-america-inc?pageNo=349", "Renesas Electronics")</f>
        <v>Renesas Electronics</v>
      </c>
      <c r="C22493" s="6">
        <v>10000</v>
      </c>
      <c r="D22493" s="7">
        <v>0.15</v>
      </c>
    </row>
    <row r="22494" spans="1:4" x14ac:dyDescent="0.25">
      <c r="A22494" t="str">
        <f>HYPERLINK("https://www.773grp.com/globalSearch/RD22E-T4-AZ/page-1", "RD22E-T4-AZ")</f>
        <v>RD22E-T4-AZ</v>
      </c>
      <c r="B22494" s="3" t="str">
        <f>HYPERLINK("https://www.773grp.com/manufacturer/renesas-electronics-america-inc?pageNo=350", "Renesas Electronics")</f>
        <v>Renesas Electronics</v>
      </c>
      <c r="C22494" s="6">
        <v>160000</v>
      </c>
      <c r="D22494" s="7">
        <v>0.15</v>
      </c>
    </row>
    <row r="22495" spans="1:4" x14ac:dyDescent="0.25">
      <c r="A22495" t="str">
        <f>HYPERLINK("https://www.773grp.com/globalSearch/RD22E-TB-AZ/page-1", "RD22E-TB-AZ")</f>
        <v>RD22E-TB-AZ</v>
      </c>
      <c r="B22495" s="3" t="str">
        <f>HYPERLINK("https://www.773grp.com/manufacturer/renesas-electronics-america-inc?pageNo=351", "Renesas Electronics")</f>
        <v>Renesas Electronics</v>
      </c>
      <c r="C22495" s="6">
        <v>35000</v>
      </c>
      <c r="D22495" s="7">
        <v>0.15</v>
      </c>
    </row>
    <row r="22496" spans="1:4" x14ac:dyDescent="0.25">
      <c r="A22496" t="str">
        <f>HYPERLINK("https://www.773grp.com/globalSearch/RD24ES-T1/page-1", "RD24ES-T1")</f>
        <v>RD24ES-T1</v>
      </c>
      <c r="B22496" s="3" t="str">
        <f>HYPERLINK("https://www.773grp.com/manufacturer/renesas-electronics-america-inc?pageNo=352", "Renesas Electronics")</f>
        <v>Renesas Electronics</v>
      </c>
      <c r="C22496" s="6">
        <v>20000</v>
      </c>
      <c r="D22496" s="7">
        <v>0.15</v>
      </c>
    </row>
    <row r="22497" spans="1:4" x14ac:dyDescent="0.25">
      <c r="A22497" t="str">
        <f>HYPERLINK("https://www.773grp.com/globalSearch/RD24ES-T4-AZ/page-1", "RD24ES-T4-AZ")</f>
        <v>RD24ES-T4-AZ</v>
      </c>
      <c r="B22497" s="3" t="str">
        <f>HYPERLINK("https://www.773grp.com/manufacturer/renesas-electronics-america-inc?pageNo=353", "Renesas Electronics")</f>
        <v>Renesas Electronics</v>
      </c>
      <c r="C22497" s="6">
        <v>625000</v>
      </c>
      <c r="D22497" s="7">
        <v>0.15</v>
      </c>
    </row>
    <row r="22498" spans="1:4" x14ac:dyDescent="0.25">
      <c r="A22498" t="str">
        <f>HYPERLINK("https://www.773grp.com/globalSearch/RD24E-T1/page-1", "RD24E-T1")</f>
        <v>RD24E-T1</v>
      </c>
      <c r="B22498" s="3" t="str">
        <f>HYPERLINK("https://www.773grp.com/manufacturer/renesas-electronics-america-inc?pageNo=354", "Renesas Electronics")</f>
        <v>Renesas Electronics</v>
      </c>
      <c r="C22498" s="6">
        <v>48000</v>
      </c>
      <c r="D22498" s="7">
        <v>0.15</v>
      </c>
    </row>
    <row r="22499" spans="1:4" x14ac:dyDescent="0.25">
      <c r="A22499" t="str">
        <f>HYPERLINK("https://www.773grp.com/globalSearch/RD24E-T1-AZ/page-1", "RD24E-T1-AZ")</f>
        <v>RD24E-T1-AZ</v>
      </c>
      <c r="B22499" s="3" t="str">
        <f>HYPERLINK("https://www.773grp.com/manufacturer/renesas-electronics-america-inc?pageNo=355", "Renesas Electronics")</f>
        <v>Renesas Electronics</v>
      </c>
      <c r="C22499" s="6">
        <v>698000</v>
      </c>
      <c r="D22499" s="7">
        <v>0.15</v>
      </c>
    </row>
    <row r="22500" spans="1:4" x14ac:dyDescent="0.25">
      <c r="A22500" t="str">
        <f>HYPERLINK("https://www.773grp.com/globalSearch/RD24E-T2-AZ/page-1", "RD24E-T2-AZ")</f>
        <v>RD24E-T2-AZ</v>
      </c>
      <c r="B22500" s="3" t="str">
        <f>HYPERLINK("https://www.773grp.com/manufacturer/renesas-electronics-america-inc?pageNo=356", "Renesas Electronics")</f>
        <v>Renesas Electronics</v>
      </c>
      <c r="C22500" s="6">
        <v>325000</v>
      </c>
      <c r="D22500" s="7">
        <v>0.15</v>
      </c>
    </row>
    <row r="22501" spans="1:4" x14ac:dyDescent="0.25">
      <c r="A22501" t="str">
        <f>HYPERLINK("https://www.773grp.com/globalSearch/RD24E-TB-AZ/page-1", "RD24E-TB-AZ")</f>
        <v>RD24E-TB-AZ</v>
      </c>
      <c r="B22501" s="3" t="str">
        <f>HYPERLINK("https://www.773grp.com/manufacturer/renesas-electronics-america-inc?pageNo=357", "Renesas Electronics")</f>
        <v>Renesas Electronics</v>
      </c>
      <c r="C22501" s="6">
        <v>85000</v>
      </c>
      <c r="D22501" s="7">
        <v>0.15</v>
      </c>
    </row>
    <row r="22502" spans="1:4" x14ac:dyDescent="0.25">
      <c r="A22502" t="str">
        <f>HYPERLINK("https://www.773grp.com/globalSearch/RD24JS-AZ/page-1", "RD24JS-AZ")</f>
        <v>RD24JS-AZ</v>
      </c>
      <c r="B22502" s="3" t="str">
        <f>HYPERLINK("https://www.773grp.com/manufacturer/renesas-electronics-america-inc?pageNo=358", "Renesas Electronics")</f>
        <v>Renesas Electronics</v>
      </c>
      <c r="C22502" s="6">
        <v>5500</v>
      </c>
      <c r="D22502" s="7">
        <v>0.15</v>
      </c>
    </row>
    <row r="22503" spans="1:4" x14ac:dyDescent="0.25">
      <c r="A22503" t="str">
        <f>HYPERLINK("https://www.773grp.com/globalSearch/RD27ES-AZ/page-1", "RD27ES-AZ")</f>
        <v>RD27ES-AZ</v>
      </c>
      <c r="B22503" s="3" t="str">
        <f>HYPERLINK("https://www.773grp.com/manufacturer/renesas-electronics-america-inc?pageNo=359", "Renesas Electronics")</f>
        <v>Renesas Electronics</v>
      </c>
      <c r="C22503" s="6">
        <v>10449</v>
      </c>
      <c r="D22503" s="7">
        <v>0.15</v>
      </c>
    </row>
    <row r="22504" spans="1:4" x14ac:dyDescent="0.25">
      <c r="A22504" t="str">
        <f>HYPERLINK("https://www.773grp.com/globalSearch/RD27ES-T1/page-1", "RD27ES-T1")</f>
        <v>RD27ES-T1</v>
      </c>
      <c r="B22504" s="3" t="str">
        <f>HYPERLINK("https://www.773grp.com/manufacturer/renesas-electronics-america-inc?pageNo=360", "Renesas Electronics")</f>
        <v>Renesas Electronics</v>
      </c>
      <c r="C22504" s="6">
        <v>8000</v>
      </c>
      <c r="D22504" s="7">
        <v>0.15</v>
      </c>
    </row>
    <row r="22505" spans="1:4" x14ac:dyDescent="0.25">
      <c r="A22505" t="str">
        <f>HYPERLINK("https://www.773grp.com/globalSearch/RD27E-T1/page-1", "RD27E-T1")</f>
        <v>RD27E-T1</v>
      </c>
      <c r="B22505" s="3" t="str">
        <f>HYPERLINK("https://www.773grp.com/manufacturer/renesas-electronics-america-inc?pageNo=361", "Renesas Electronics")</f>
        <v>Renesas Electronics</v>
      </c>
      <c r="C22505" s="6">
        <v>34000</v>
      </c>
      <c r="D22505" s="7">
        <v>0.15</v>
      </c>
    </row>
    <row r="22506" spans="1:4" x14ac:dyDescent="0.25">
      <c r="A22506" t="str">
        <f>HYPERLINK("https://www.773grp.com/globalSearch/RD27E-T2/page-1", "RD27E-T2")</f>
        <v>RD27E-T2</v>
      </c>
      <c r="B22506" s="3" t="str">
        <f>HYPERLINK("https://www.773grp.com/manufacturer/renesas-electronics-america-inc?pageNo=362", "Renesas Electronics")</f>
        <v>Renesas Electronics</v>
      </c>
      <c r="C22506" s="6">
        <v>10000</v>
      </c>
      <c r="D22506" s="7">
        <v>0.15</v>
      </c>
    </row>
    <row r="22507" spans="1:4" x14ac:dyDescent="0.25">
      <c r="A22507" t="str">
        <f>HYPERLINK("https://www.773grp.com/globalSearch/RD27E-T2-AZ/page-1", "RD27E-T2-AZ")</f>
        <v>RD27E-T2-AZ</v>
      </c>
      <c r="B22507" s="3" t="str">
        <f>HYPERLINK("https://www.773grp.com/manufacturer/renesas-electronics-america-inc?pageNo=363", "Renesas Electronics")</f>
        <v>Renesas Electronics</v>
      </c>
      <c r="C22507" s="6">
        <v>65000</v>
      </c>
      <c r="D22507" s="7">
        <v>0.15</v>
      </c>
    </row>
    <row r="22508" spans="1:4" x14ac:dyDescent="0.25">
      <c r="A22508" t="str">
        <f>HYPERLINK("https://www.773grp.com/globalSearch/RD27E-T4-AZ/page-1", "RD27E-T4-AZ")</f>
        <v>RD27E-T4-AZ</v>
      </c>
      <c r="B22508" s="3" t="str">
        <f>HYPERLINK("https://www.773grp.com/manufacturer/renesas-electronics-america-inc?pageNo=364", "Renesas Electronics")</f>
        <v>Renesas Electronics</v>
      </c>
      <c r="C22508" s="6">
        <v>1575000</v>
      </c>
      <c r="D22508" s="7">
        <v>0.15</v>
      </c>
    </row>
    <row r="22509" spans="1:4" x14ac:dyDescent="0.25">
      <c r="A22509" t="str">
        <f>HYPERLINK("https://www.773grp.com/globalSearch/RD27E-TB/page-1", "RD27E-TB")</f>
        <v>RD27E-TB</v>
      </c>
      <c r="B22509" s="3" t="str">
        <f>HYPERLINK("https://www.773grp.com/manufacturer/renesas-electronics-america-inc?pageNo=365", "Renesas Electronics")</f>
        <v>Renesas Electronics</v>
      </c>
      <c r="C22509" s="6">
        <v>102500</v>
      </c>
      <c r="D22509" s="7">
        <v>0.15</v>
      </c>
    </row>
    <row r="22510" spans="1:4" x14ac:dyDescent="0.25">
      <c r="A22510" t="str">
        <f>HYPERLINK("https://www.773grp.com/globalSearch/RD27E-TB-AZ/page-1", "RD27E-TB-AZ")</f>
        <v>RD27E-TB-AZ</v>
      </c>
      <c r="B22510" s="3" t="str">
        <f>HYPERLINK("https://www.773grp.com/manufacturer/renesas-electronics-america-inc?pageNo=366", "Renesas Electronics")</f>
        <v>Renesas Electronics</v>
      </c>
      <c r="C22510" s="6">
        <v>100000</v>
      </c>
      <c r="D22510" s="7">
        <v>0.15</v>
      </c>
    </row>
    <row r="22511" spans="1:4" x14ac:dyDescent="0.25">
      <c r="A22511" t="str">
        <f>HYPERLINK("https://www.773grp.com/globalSearch/RD27JS/page-1", "RD27JS")</f>
        <v>RD27JS</v>
      </c>
      <c r="B22511" s="3" t="str">
        <f>HYPERLINK("https://www.773grp.com/manufacturer/renesas-electronics-america-inc?pageNo=367", "Renesas Electronics")</f>
        <v>Renesas Electronics</v>
      </c>
      <c r="C22511" s="6">
        <v>36399</v>
      </c>
      <c r="D22511" s="7">
        <v>0.15</v>
      </c>
    </row>
    <row r="22512" spans="1:4" x14ac:dyDescent="0.25">
      <c r="A22512" t="str">
        <f>HYPERLINK("https://www.773grp.com/globalSearch/RD27JS-AZ/page-1", "RD27JS-AZ")</f>
        <v>RD27JS-AZ</v>
      </c>
      <c r="B22512" s="3" t="str">
        <f>HYPERLINK("https://www.773grp.com/manufacturer/renesas-electronics-america-inc?pageNo=368", "Renesas Electronics")</f>
        <v>Renesas Electronics</v>
      </c>
      <c r="C22512" s="6">
        <v>11900</v>
      </c>
      <c r="D22512" s="7">
        <v>0.15</v>
      </c>
    </row>
    <row r="22513" spans="1:4" x14ac:dyDescent="0.25">
      <c r="A22513" t="str">
        <f>HYPERLINK("https://www.773grp.com/globalSearch/RD27JS-T1-AZ/page-1", "RD27JS-T1-AZ")</f>
        <v>RD27JS-T1-AZ</v>
      </c>
      <c r="B22513" s="3" t="str">
        <f>HYPERLINK("https://www.773grp.com/manufacturer/renesas-electronics-america-inc?pageNo=369", "Renesas Electronics")</f>
        <v>Renesas Electronics</v>
      </c>
      <c r="C22513" s="6">
        <v>316000</v>
      </c>
      <c r="D22513" s="7">
        <v>0.15</v>
      </c>
    </row>
    <row r="22514" spans="1:4" x14ac:dyDescent="0.25">
      <c r="A22514" t="str">
        <f>HYPERLINK("https://www.773grp.com/globalSearch/RD3.0ES-AZ/page-1", "RD3.0ES-AZ")</f>
        <v>RD3.0ES-AZ</v>
      </c>
      <c r="B22514" s="3" t="str">
        <f>HYPERLINK("https://www.773grp.com/manufacturer/renesas-electronics-america-inc?pageNo=370", "Renesas Electronics")</f>
        <v>Renesas Electronics</v>
      </c>
      <c r="C22514" s="6">
        <v>6600</v>
      </c>
      <c r="D22514" s="7">
        <v>0.15</v>
      </c>
    </row>
    <row r="22515" spans="1:4" x14ac:dyDescent="0.25">
      <c r="A22515" t="str">
        <f>HYPERLINK("https://www.773grp.com/globalSearch/RD3.0ES-T4-AZ/page-1", "RD3.0ES-T4-AZ")</f>
        <v>RD3.0ES-T4-AZ</v>
      </c>
      <c r="B22515" s="3" t="str">
        <f>HYPERLINK("https://www.773grp.com/manufacturer/renesas-electronics-america-inc?pageNo=371", "Renesas Electronics")</f>
        <v>Renesas Electronics</v>
      </c>
      <c r="C22515" s="6">
        <v>50000</v>
      </c>
      <c r="D22515" s="7">
        <v>0.15</v>
      </c>
    </row>
    <row r="22516" spans="1:4" x14ac:dyDescent="0.25">
      <c r="A22516" t="str">
        <f>HYPERLINK("https://www.773grp.com/globalSearch/RD3.0E-T1/page-1", "RD3.0E-T1")</f>
        <v>RD3.0E-T1</v>
      </c>
      <c r="B22516" s="3" t="str">
        <f>HYPERLINK("https://www.773grp.com/manufacturer/renesas-electronics-america-inc?pageNo=372", "Renesas Electronics")</f>
        <v>Renesas Electronics</v>
      </c>
      <c r="C22516" s="6">
        <v>64000</v>
      </c>
      <c r="D22516" s="7">
        <v>0.15</v>
      </c>
    </row>
    <row r="22517" spans="1:4" x14ac:dyDescent="0.25">
      <c r="A22517" t="str">
        <f>HYPERLINK("https://www.773grp.com/globalSearch/RD3.0E-T1-AZ/page-1", "RD3.0E-T1-AZ")</f>
        <v>RD3.0E-T1-AZ</v>
      </c>
      <c r="B22517" s="3" t="str">
        <f>HYPERLINK("https://www.773grp.com/manufacturer/renesas-electronics-america-inc?pageNo=373", "Renesas Electronics")</f>
        <v>Renesas Electronics</v>
      </c>
      <c r="C22517" s="6">
        <v>116000</v>
      </c>
      <c r="D22517" s="7">
        <v>0.15</v>
      </c>
    </row>
    <row r="22518" spans="1:4" x14ac:dyDescent="0.25">
      <c r="A22518" t="str">
        <f>HYPERLINK("https://www.773grp.com/globalSearch/RD3.0E-T2/page-1", "RD3.0E-T2")</f>
        <v>RD3.0E-T2</v>
      </c>
      <c r="B22518" s="3" t="str">
        <f>HYPERLINK("https://www.773grp.com/manufacturer/renesas-electronics-america-inc?pageNo=374", "Renesas Electronics")</f>
        <v>Renesas Electronics</v>
      </c>
      <c r="C22518" s="6">
        <v>20000</v>
      </c>
      <c r="D22518" s="7">
        <v>0.15</v>
      </c>
    </row>
    <row r="22519" spans="1:4" x14ac:dyDescent="0.25">
      <c r="A22519" t="str">
        <f>HYPERLINK("https://www.773grp.com/globalSearch/RD3.0E-T2-AZ/page-1", "RD3.0E-T2-AZ")</f>
        <v>RD3.0E-T2-AZ</v>
      </c>
      <c r="B22519" s="3" t="str">
        <f>HYPERLINK("https://www.773grp.com/manufacturer/renesas-electronics-america-inc?pageNo=375", "Renesas Electronics")</f>
        <v>Renesas Electronics</v>
      </c>
      <c r="C22519" s="6">
        <v>10000</v>
      </c>
      <c r="D22519" s="7">
        <v>0.15</v>
      </c>
    </row>
    <row r="22520" spans="1:4" x14ac:dyDescent="0.25">
      <c r="A22520" t="str">
        <f>HYPERLINK("https://www.773grp.com/globalSearch/RD3.0E-T4-AZ/page-1", "RD3.0E-T4-AZ")</f>
        <v>RD3.0E-T4-AZ</v>
      </c>
      <c r="B22520" s="3" t="str">
        <f>HYPERLINK("https://www.773grp.com/manufacturer/renesas-electronics-america-inc?pageNo=376", "Renesas Electronics")</f>
        <v>Renesas Electronics</v>
      </c>
      <c r="C22520" s="6">
        <v>40000</v>
      </c>
      <c r="D22520" s="7">
        <v>0.15</v>
      </c>
    </row>
    <row r="22521" spans="1:4" x14ac:dyDescent="0.25">
      <c r="A22521" t="str">
        <f>HYPERLINK("https://www.773grp.com/globalSearch/RD3.3ES-AZ/page-1", "RD3.3ES-AZ")</f>
        <v>RD3.3ES-AZ</v>
      </c>
      <c r="B22521" s="3" t="str">
        <f>HYPERLINK("https://www.773grp.com/manufacturer/renesas-electronics-america-inc?pageNo=377", "Renesas Electronics")</f>
        <v>Renesas Electronics</v>
      </c>
      <c r="C22521" s="6">
        <v>4945</v>
      </c>
      <c r="D22521" s="7">
        <v>0.15</v>
      </c>
    </row>
    <row r="22522" spans="1:4" x14ac:dyDescent="0.25">
      <c r="A22522" t="str">
        <f>HYPERLINK("https://www.773grp.com/globalSearch/RD3.3E-T1/page-1", "RD3.3E-T1")</f>
        <v>RD3.3E-T1</v>
      </c>
      <c r="B22522" s="3" t="str">
        <f>HYPERLINK("https://www.773grp.com/manufacturer/renesas-electronics-america-inc?pageNo=378", "Renesas Electronics")</f>
        <v>Renesas Electronics</v>
      </c>
      <c r="C22522" s="6">
        <v>56000</v>
      </c>
      <c r="D22522" s="7">
        <v>0.15</v>
      </c>
    </row>
    <row r="22523" spans="1:4" x14ac:dyDescent="0.25">
      <c r="A22523" t="str">
        <f>HYPERLINK("https://www.773grp.com/globalSearch/RD3.3E-T2/page-1", "RD3.3E-T2")</f>
        <v>RD3.3E-T2</v>
      </c>
      <c r="B22523" s="3" t="str">
        <f>HYPERLINK("https://www.773grp.com/manufacturer/renesas-electronics-america-inc?pageNo=379", "Renesas Electronics")</f>
        <v>Renesas Electronics</v>
      </c>
      <c r="C22523" s="6">
        <v>85000</v>
      </c>
      <c r="D22523" s="7">
        <v>0.15</v>
      </c>
    </row>
    <row r="22524" spans="1:4" x14ac:dyDescent="0.25">
      <c r="A22524" t="str">
        <f>HYPERLINK("https://www.773grp.com/globalSearch/RD3.3E-T4-AZ/page-1", "RD3.3E-T4-AZ")</f>
        <v>RD3.3E-T4-AZ</v>
      </c>
      <c r="B22524" s="3" t="str">
        <f>HYPERLINK("https://www.773grp.com/manufacturer/renesas-electronics-america-inc?pageNo=380", "Renesas Electronics")</f>
        <v>Renesas Electronics</v>
      </c>
      <c r="C22524" s="6">
        <v>15000</v>
      </c>
      <c r="D22524" s="7">
        <v>0.15</v>
      </c>
    </row>
    <row r="22525" spans="1:4" x14ac:dyDescent="0.25">
      <c r="A22525" t="str">
        <f>HYPERLINK("https://www.773grp.com/globalSearch/RD3.6E/page-1", "RD3.6E")</f>
        <v>RD3.6E</v>
      </c>
      <c r="B22525" s="3" t="str">
        <f>HYPERLINK("https://www.773grp.com/manufacturer/renesas-electronics-america-inc?pageNo=381", "Renesas Electronics")</f>
        <v>Renesas Electronics</v>
      </c>
      <c r="C22525" s="6">
        <v>9165</v>
      </c>
      <c r="D22525" s="7">
        <v>0.15</v>
      </c>
    </row>
    <row r="22526" spans="1:4" x14ac:dyDescent="0.25">
      <c r="A22526" t="str">
        <f>HYPERLINK("https://www.773grp.com/globalSearch/RD3.6ES-AZ/page-1", "RD3.6ES-AZ")</f>
        <v>RD3.6ES-AZ</v>
      </c>
      <c r="B22526" s="3" t="str">
        <f>HYPERLINK("https://www.773grp.com/manufacturer/renesas-electronics-america-inc?pageNo=382", "Renesas Electronics")</f>
        <v>Renesas Electronics</v>
      </c>
      <c r="C22526" s="6">
        <v>5700</v>
      </c>
      <c r="D22526" s="7">
        <v>0.15</v>
      </c>
    </row>
    <row r="22527" spans="1:4" x14ac:dyDescent="0.25">
      <c r="A22527" t="str">
        <f>HYPERLINK("https://www.773grp.com/globalSearch/RD3.6ES-T1-AZ/page-1", "RD3.6ES-T1-AZ")</f>
        <v>RD3.6ES-T1-AZ</v>
      </c>
      <c r="B22527" s="3" t="str">
        <f>HYPERLINK("https://www.773grp.com/manufacturer/renesas-electronics-america-inc?pageNo=383", "Renesas Electronics")</f>
        <v>Renesas Electronics</v>
      </c>
      <c r="C22527" s="6">
        <v>80000</v>
      </c>
      <c r="D22527" s="7">
        <v>0.15</v>
      </c>
    </row>
    <row r="22528" spans="1:4" x14ac:dyDescent="0.25">
      <c r="A22528" t="str">
        <f>HYPERLINK("https://www.773grp.com/globalSearch/RD3.6E-T1-AZ/page-1", "RD3.6E-T1-AZ")</f>
        <v>RD3.6E-T1-AZ</v>
      </c>
      <c r="B22528" s="3" t="str">
        <f>HYPERLINK("https://www.773grp.com/manufacturer/renesas-electronics-america-inc?pageNo=384", "Renesas Electronics")</f>
        <v>Renesas Electronics</v>
      </c>
      <c r="C22528" s="6">
        <v>297000</v>
      </c>
      <c r="D22528" s="7">
        <v>0.15</v>
      </c>
    </row>
    <row r="22529" spans="1:4" x14ac:dyDescent="0.25">
      <c r="A22529" t="str">
        <f>HYPERLINK("https://www.773grp.com/globalSearch/RD3.6E-T2-AZ/page-1", "RD3.6E-T2-AZ")</f>
        <v>RD3.6E-T2-AZ</v>
      </c>
      <c r="B22529" s="3" t="str">
        <f>HYPERLINK("https://www.773grp.com/manufacturer/renesas-electronics-america-inc?pageNo=385", "Renesas Electronics")</f>
        <v>Renesas Electronics</v>
      </c>
      <c r="C22529" s="6">
        <v>5000</v>
      </c>
      <c r="D22529" s="7">
        <v>0.15</v>
      </c>
    </row>
    <row r="22530" spans="1:4" x14ac:dyDescent="0.25">
      <c r="A22530" t="str">
        <f>HYPERLINK("https://www.773grp.com/globalSearch/RD3.6E-TB-AZ/page-1", "RD3.6E-TB-AZ")</f>
        <v>RD3.6E-TB-AZ</v>
      </c>
      <c r="B22530" s="3" t="str">
        <f>HYPERLINK("https://www.773grp.com/manufacturer/renesas-electronics-america-inc?pageNo=386", "Renesas Electronics")</f>
        <v>Renesas Electronics</v>
      </c>
      <c r="C22530" s="6">
        <v>15000</v>
      </c>
      <c r="D22530" s="7">
        <v>0.15</v>
      </c>
    </row>
    <row r="22531" spans="1:4" x14ac:dyDescent="0.25">
      <c r="A22531" t="str">
        <f>HYPERLINK("https://www.773grp.com/globalSearch/RD3.9E/page-1", "RD3.9E")</f>
        <v>RD3.9E</v>
      </c>
      <c r="B22531" s="3" t="str">
        <f>HYPERLINK("https://www.773grp.com/manufacturer/renesas-electronics-america-inc?pageNo=387", "Renesas Electronics")</f>
        <v>Renesas Electronics</v>
      </c>
      <c r="C22531" s="6">
        <v>43243</v>
      </c>
      <c r="D22531" s="7">
        <v>0.15</v>
      </c>
    </row>
    <row r="22532" spans="1:4" x14ac:dyDescent="0.25">
      <c r="A22532" t="str">
        <f>HYPERLINK("https://www.773grp.com/globalSearch/RD3.9ES-T1/page-1", "RD3.9ES-T1")</f>
        <v>RD3.9ES-T1</v>
      </c>
      <c r="B22532" s="3" t="str">
        <f>HYPERLINK("https://www.773grp.com/manufacturer/renesas-electronics-america-inc?pageNo=388", "Renesas Electronics")</f>
        <v>Renesas Electronics</v>
      </c>
      <c r="C22532" s="6">
        <v>64000</v>
      </c>
      <c r="D22532" s="7">
        <v>0.15</v>
      </c>
    </row>
    <row r="22533" spans="1:4" x14ac:dyDescent="0.25">
      <c r="A22533" t="str">
        <f>HYPERLINK("https://www.773grp.com/globalSearch/RD3.9ES-T4-AZ/page-1", "RD3.9ES-T4-AZ")</f>
        <v>RD3.9ES-T4-AZ</v>
      </c>
      <c r="B22533" s="3" t="str">
        <f>HYPERLINK("https://www.773grp.com/manufacturer/renesas-electronics-america-inc?pageNo=389", "Renesas Electronics")</f>
        <v>Renesas Electronics</v>
      </c>
      <c r="C22533" s="6">
        <v>25000</v>
      </c>
      <c r="D22533" s="7">
        <v>0.15</v>
      </c>
    </row>
    <row r="22534" spans="1:4" x14ac:dyDescent="0.25">
      <c r="A22534" t="str">
        <f>HYPERLINK("https://www.773grp.com/globalSearch/RD3.9E-T1-AZ/page-1", "RD3.9E-T1-AZ")</f>
        <v>RD3.9E-T1-AZ</v>
      </c>
      <c r="B22534" s="3" t="str">
        <f>HYPERLINK("https://www.773grp.com/manufacturer/renesas-electronics-america-inc?pageNo=390", "Renesas Electronics")</f>
        <v>Renesas Electronics</v>
      </c>
      <c r="C22534" s="6">
        <v>4000</v>
      </c>
      <c r="D22534" s="7">
        <v>0.15</v>
      </c>
    </row>
    <row r="22535" spans="1:4" x14ac:dyDescent="0.25">
      <c r="A22535" t="str">
        <f>HYPERLINK("https://www.773grp.com/globalSearch/RD3.9E-T2-AZ/page-1", "RD3.9E-T2-AZ")</f>
        <v>RD3.9E-T2-AZ</v>
      </c>
      <c r="B22535" s="3" t="str">
        <f>HYPERLINK("https://www.773grp.com/manufacturer/renesas-electronics-america-inc?pageNo=391", "Renesas Electronics")</f>
        <v>Renesas Electronics</v>
      </c>
      <c r="C22535" s="6">
        <v>40000</v>
      </c>
      <c r="D22535" s="7">
        <v>0.15</v>
      </c>
    </row>
    <row r="22536" spans="1:4" x14ac:dyDescent="0.25">
      <c r="A22536" t="str">
        <f>HYPERLINK("https://www.773grp.com/globalSearch/RD3.9E-T4-AZ/page-1", "RD3.9E-T4-AZ")</f>
        <v>RD3.9E-T4-AZ</v>
      </c>
      <c r="B22536" s="3" t="str">
        <f>HYPERLINK("https://www.773grp.com/manufacturer/renesas-electronics-america-inc?pageNo=392", "Renesas Electronics")</f>
        <v>Renesas Electronics</v>
      </c>
      <c r="C22536" s="6">
        <v>55000</v>
      </c>
      <c r="D22536" s="7">
        <v>0.15</v>
      </c>
    </row>
    <row r="22537" spans="1:4" x14ac:dyDescent="0.25">
      <c r="A22537" t="str">
        <f>HYPERLINK("https://www.773grp.com/globalSearch/RD30E/page-1", "RD30E")</f>
        <v>RD30E</v>
      </c>
      <c r="B22537" s="3" t="str">
        <f>HYPERLINK("https://www.773grp.com/manufacturer/renesas-electronics-america-inc?pageNo=393", "Renesas Electronics")</f>
        <v>Renesas Electronics</v>
      </c>
      <c r="C22537" s="6">
        <v>150452</v>
      </c>
      <c r="D22537" s="7">
        <v>0.15</v>
      </c>
    </row>
    <row r="22538" spans="1:4" x14ac:dyDescent="0.25">
      <c r="A22538" t="str">
        <f>HYPERLINK("https://www.773grp.com/globalSearch/RD30ES-AZ/page-1", "RD30ES-AZ")</f>
        <v>RD30ES-AZ</v>
      </c>
      <c r="B22538" s="3" t="str">
        <f>HYPERLINK("https://www.773grp.com/manufacturer/renesas-electronics-america-inc?pageNo=394", "Renesas Electronics")</f>
        <v>Renesas Electronics</v>
      </c>
      <c r="C22538" s="6">
        <v>91340</v>
      </c>
      <c r="D22538" s="7">
        <v>0.15</v>
      </c>
    </row>
    <row r="22539" spans="1:4" x14ac:dyDescent="0.25">
      <c r="A22539" t="str">
        <f>HYPERLINK("https://www.773grp.com/globalSearch/RD30ES-T4-AZ/page-1", "RD30ES-T4-AZ")</f>
        <v>RD30ES-T4-AZ</v>
      </c>
      <c r="B22539" s="3" t="str">
        <f>HYPERLINK("https://www.773grp.com/manufacturer/renesas-electronics-america-inc?pageNo=395", "Renesas Electronics")</f>
        <v>Renesas Electronics</v>
      </c>
      <c r="C22539" s="6">
        <v>15000</v>
      </c>
      <c r="D22539" s="7">
        <v>0.15</v>
      </c>
    </row>
    <row r="22540" spans="1:4" x14ac:dyDescent="0.25">
      <c r="A22540" t="str">
        <f>HYPERLINK("https://www.773grp.com/globalSearch/RD30E-T1/page-1", "RD30E-T1")</f>
        <v>RD30E-T1</v>
      </c>
      <c r="B22540" s="3" t="str">
        <f>HYPERLINK("https://www.773grp.com/manufacturer/renesas-electronics-america-inc?pageNo=396", "Renesas Electronics")</f>
        <v>Renesas Electronics</v>
      </c>
      <c r="C22540" s="6">
        <v>28000</v>
      </c>
      <c r="D22540" s="7">
        <v>0.15</v>
      </c>
    </row>
    <row r="22541" spans="1:4" x14ac:dyDescent="0.25">
      <c r="A22541" t="str">
        <f>HYPERLINK("https://www.773grp.com/globalSearch/RD30E-T2-AZ/page-1", "RD30E-T2-AZ")</f>
        <v>RD30E-T2-AZ</v>
      </c>
      <c r="B22541" s="3" t="str">
        <f>HYPERLINK("https://www.773grp.com/manufacturer/renesas-electronics-america-inc?pageNo=397", "Renesas Electronics")</f>
        <v>Renesas Electronics</v>
      </c>
      <c r="C22541" s="6">
        <v>510000</v>
      </c>
      <c r="D22541" s="7">
        <v>0.15</v>
      </c>
    </row>
    <row r="22542" spans="1:4" x14ac:dyDescent="0.25">
      <c r="A22542" t="str">
        <f>HYPERLINK("https://www.773grp.com/globalSearch/RD30E-T4/page-1", "RD30E-T4")</f>
        <v>RD30E-T4</v>
      </c>
      <c r="B22542" s="3" t="str">
        <f>HYPERLINK("https://www.773grp.com/manufacturer/renesas-electronics-america-inc?pageNo=398", "Renesas Electronics")</f>
        <v>Renesas Electronics</v>
      </c>
      <c r="C22542" s="6">
        <v>150000</v>
      </c>
      <c r="D22542" s="7">
        <v>0.15</v>
      </c>
    </row>
    <row r="22543" spans="1:4" x14ac:dyDescent="0.25">
      <c r="A22543" t="str">
        <f>HYPERLINK("https://www.773grp.com/globalSearch/RD30E-T4-AZ/page-1", "RD30E-T4-AZ")</f>
        <v>RD30E-T4-AZ</v>
      </c>
      <c r="B22543" s="3" t="str">
        <f>HYPERLINK("https://www.773grp.com/manufacturer/renesas-electronics-america-inc?pageNo=399", "Renesas Electronics")</f>
        <v>Renesas Electronics</v>
      </c>
      <c r="C22543" s="6">
        <v>1170000</v>
      </c>
      <c r="D22543" s="7">
        <v>0.15</v>
      </c>
    </row>
    <row r="22544" spans="1:4" x14ac:dyDescent="0.25">
      <c r="A22544" t="str">
        <f>HYPERLINK("https://www.773grp.com/globalSearch/RD30E-TB-AZ/page-1", "RD30E-TB-AZ")</f>
        <v>RD30E-TB-AZ</v>
      </c>
      <c r="B22544" s="3" t="str">
        <f>HYPERLINK("https://www.773grp.com/manufacturer/renesas-electronics-america-inc?pageNo=400", "Renesas Electronics")</f>
        <v>Renesas Electronics</v>
      </c>
      <c r="C22544" s="6">
        <v>62500</v>
      </c>
      <c r="D22544" s="7">
        <v>0.15</v>
      </c>
    </row>
    <row r="22545" spans="1:4" x14ac:dyDescent="0.25">
      <c r="A22545" t="str">
        <f>HYPERLINK("https://www.773grp.com/globalSearch/RD30JS-AZ/page-1", "RD30JS-AZ")</f>
        <v>RD30JS-AZ</v>
      </c>
      <c r="B22545" s="3" t="str">
        <f>HYPERLINK("https://www.773grp.com/manufacturer/renesas-electronics-america-inc?pageNo=401", "Renesas Electronics")</f>
        <v>Renesas Electronics</v>
      </c>
      <c r="C22545" s="6">
        <v>3000</v>
      </c>
      <c r="D22545" s="7">
        <v>0.15</v>
      </c>
    </row>
    <row r="22546" spans="1:4" x14ac:dyDescent="0.25">
      <c r="A22546" t="str">
        <f>HYPERLINK("https://www.773grp.com/globalSearch/RD30JS-T1-AZ/page-1", "RD30JS-T1-AZ")</f>
        <v>RD30JS-T1-AZ</v>
      </c>
      <c r="B22546" s="3" t="str">
        <f>HYPERLINK("https://www.773grp.com/manufacturer/renesas-electronics-america-inc?pageNo=402", "Renesas Electronics")</f>
        <v>Renesas Electronics</v>
      </c>
      <c r="C22546" s="6">
        <v>630000</v>
      </c>
      <c r="D22546" s="7">
        <v>0.15</v>
      </c>
    </row>
    <row r="22547" spans="1:4" x14ac:dyDescent="0.25">
      <c r="A22547" t="str">
        <f>HYPERLINK("https://www.773grp.com/globalSearch/RD33ES-T1/page-1", "RD33ES-T1")</f>
        <v>RD33ES-T1</v>
      </c>
      <c r="B22547" s="3" t="str">
        <f>HYPERLINK("https://www.773grp.com/manufacturer/renesas-electronics-america-inc?pageNo=403", "Renesas Electronics")</f>
        <v>Renesas Electronics</v>
      </c>
      <c r="C22547" s="6">
        <v>102000</v>
      </c>
      <c r="D22547" s="7">
        <v>0.15</v>
      </c>
    </row>
    <row r="22548" spans="1:4" x14ac:dyDescent="0.25">
      <c r="A22548" t="str">
        <f>HYPERLINK("https://www.773grp.com/globalSearch/RD33ES-T2/page-1", "RD33ES-T2")</f>
        <v>RD33ES-T2</v>
      </c>
      <c r="B22548" s="3" t="str">
        <f>HYPERLINK("https://www.773grp.com/manufacturer/renesas-electronics-america-inc?pageNo=404", "Renesas Electronics")</f>
        <v>Renesas Electronics</v>
      </c>
      <c r="C22548" s="6">
        <v>10000</v>
      </c>
      <c r="D22548" s="7">
        <v>0.15</v>
      </c>
    </row>
    <row r="22549" spans="1:4" x14ac:dyDescent="0.25">
      <c r="A22549" t="str">
        <f>HYPERLINK("https://www.773grp.com/globalSearch/RD33ES-T4/page-1", "RD33ES-T4")</f>
        <v>RD33ES-T4</v>
      </c>
      <c r="B22549" s="3" t="str">
        <f>HYPERLINK("https://www.773grp.com/manufacturer/renesas-electronics-america-inc?pageNo=405", "Renesas Electronics")</f>
        <v>Renesas Electronics</v>
      </c>
      <c r="C22549" s="6">
        <v>10000</v>
      </c>
      <c r="D22549" s="7">
        <v>0.15</v>
      </c>
    </row>
    <row r="22550" spans="1:4" x14ac:dyDescent="0.25">
      <c r="A22550" t="str">
        <f>HYPERLINK("https://www.773grp.com/globalSearch/RD33ES-T4-AZ/page-1", "RD33ES-T4-AZ")</f>
        <v>RD33ES-T4-AZ</v>
      </c>
      <c r="B22550" s="3" t="str">
        <f>HYPERLINK("https://www.773grp.com/manufacturer/renesas-electronics-america-inc?pageNo=406", "Renesas Electronics")</f>
        <v>Renesas Electronics</v>
      </c>
      <c r="C22550" s="6">
        <v>55000</v>
      </c>
      <c r="D22550" s="7">
        <v>0.15</v>
      </c>
    </row>
    <row r="22551" spans="1:4" x14ac:dyDescent="0.25">
      <c r="A22551" t="str">
        <f>HYPERLINK("https://www.773grp.com/globalSearch/RD33E-T2-AZ/page-1", "RD33E-T2-AZ")</f>
        <v>RD33E-T2-AZ</v>
      </c>
      <c r="B22551" s="3" t="str">
        <f>HYPERLINK("https://www.773grp.com/manufacturer/renesas-electronics-america-inc?pageNo=407", "Renesas Electronics")</f>
        <v>Renesas Electronics</v>
      </c>
      <c r="C22551" s="6">
        <v>260000</v>
      </c>
      <c r="D22551" s="7">
        <v>0.15</v>
      </c>
    </row>
    <row r="22552" spans="1:4" x14ac:dyDescent="0.25">
      <c r="A22552" t="str">
        <f>HYPERLINK("https://www.773grp.com/globalSearch/RD33E-T4-AZ/page-1", "RD33E-T4-AZ")</f>
        <v>RD33E-T4-AZ</v>
      </c>
      <c r="B22552" s="3" t="str">
        <f>HYPERLINK("https://www.773grp.com/manufacturer/renesas-electronics-america-inc?pageNo=408", "Renesas Electronics")</f>
        <v>Renesas Electronics</v>
      </c>
      <c r="C22552" s="6">
        <v>65000</v>
      </c>
      <c r="D22552" s="7">
        <v>0.15</v>
      </c>
    </row>
    <row r="22553" spans="1:4" x14ac:dyDescent="0.25">
      <c r="A22553" t="str">
        <f>HYPERLINK("https://www.773grp.com/globalSearch/RD33E-TB-AZ/page-1", "RD33E-TB-AZ")</f>
        <v>RD33E-TB-AZ</v>
      </c>
      <c r="B22553" s="3" t="str">
        <f>HYPERLINK("https://www.773grp.com/manufacturer/renesas-electronics-america-inc?pageNo=409", "Renesas Electronics")</f>
        <v>Renesas Electronics</v>
      </c>
      <c r="C22553" s="6">
        <v>40000</v>
      </c>
      <c r="D22553" s="7">
        <v>0.15</v>
      </c>
    </row>
    <row r="22554" spans="1:4" x14ac:dyDescent="0.25">
      <c r="A22554" t="str">
        <f>HYPERLINK("https://www.773grp.com/globalSearch/RD33JS-AZ/page-1", "RD33JS-AZ")</f>
        <v>RD33JS-AZ</v>
      </c>
      <c r="B22554" s="3" t="str">
        <f>HYPERLINK("https://www.773grp.com/manufacturer/renesas-electronics-america-inc?pageNo=410", "Renesas Electronics")</f>
        <v>Renesas Electronics</v>
      </c>
      <c r="C22554" s="6">
        <v>100</v>
      </c>
      <c r="D22554" s="7">
        <v>0.15</v>
      </c>
    </row>
    <row r="22555" spans="1:4" x14ac:dyDescent="0.25">
      <c r="A22555" t="str">
        <f>HYPERLINK("https://www.773grp.com/globalSearch/RD33JS-T1-AZ/page-1", "RD33JS-T1-AZ")</f>
        <v>RD33JS-T1-AZ</v>
      </c>
      <c r="B22555" s="3" t="str">
        <f>HYPERLINK("https://www.773grp.com/manufacturer/renesas-electronics-america-inc?pageNo=411", "Renesas Electronics")</f>
        <v>Renesas Electronics</v>
      </c>
      <c r="C22555" s="6">
        <v>20000</v>
      </c>
      <c r="D22555" s="7">
        <v>0.15</v>
      </c>
    </row>
    <row r="22556" spans="1:4" x14ac:dyDescent="0.25">
      <c r="A22556" t="str">
        <f>HYPERLINK("https://www.773grp.com/globalSearch/RD36ES-AZ/page-1", "RD36ES-AZ")</f>
        <v>RD36ES-AZ</v>
      </c>
      <c r="B22556" s="3" t="str">
        <f>HYPERLINK("https://www.773grp.com/manufacturer/renesas-electronics-america-inc?pageNo=412", "Renesas Electronics")</f>
        <v>Renesas Electronics</v>
      </c>
      <c r="C22556" s="6">
        <v>20570</v>
      </c>
      <c r="D22556" s="7">
        <v>0.15</v>
      </c>
    </row>
    <row r="22557" spans="1:4" x14ac:dyDescent="0.25">
      <c r="A22557" t="str">
        <f>HYPERLINK("https://www.773grp.com/globalSearch/RD36ES-T1/page-1", "RD36ES-T1")</f>
        <v>RD36ES-T1</v>
      </c>
      <c r="B22557" s="3" t="str">
        <f>HYPERLINK("https://www.773grp.com/manufacturer/renesas-electronics-america-inc?pageNo=413", "Renesas Electronics")</f>
        <v>Renesas Electronics</v>
      </c>
      <c r="C22557" s="6">
        <v>32000</v>
      </c>
      <c r="D22557" s="7">
        <v>0.15</v>
      </c>
    </row>
    <row r="22558" spans="1:4" x14ac:dyDescent="0.25">
      <c r="A22558" t="str">
        <f>HYPERLINK("https://www.773grp.com/globalSearch/RD36ES-T4-AZ/page-1", "RD36ES-T4-AZ")</f>
        <v>RD36ES-T4-AZ</v>
      </c>
      <c r="B22558" s="3" t="str">
        <f>HYPERLINK("https://www.773grp.com/manufacturer/renesas-electronics-america-inc?pageNo=414", "Renesas Electronics")</f>
        <v>Renesas Electronics</v>
      </c>
      <c r="C22558" s="6">
        <v>30000</v>
      </c>
      <c r="D22558" s="7">
        <v>0.15</v>
      </c>
    </row>
    <row r="22559" spans="1:4" x14ac:dyDescent="0.25">
      <c r="A22559" t="str">
        <f>HYPERLINK("https://www.773grp.com/globalSearch/RD36E-T4-AZ/page-1", "RD36E-T4-AZ")</f>
        <v>RD36E-T4-AZ</v>
      </c>
      <c r="B22559" s="3" t="str">
        <f>HYPERLINK("https://www.773grp.com/manufacturer/renesas-electronics-america-inc?pageNo=415", "Renesas Electronics")</f>
        <v>Renesas Electronics</v>
      </c>
      <c r="C22559" s="6">
        <v>45000</v>
      </c>
      <c r="D22559" s="7">
        <v>0.15</v>
      </c>
    </row>
    <row r="22560" spans="1:4" x14ac:dyDescent="0.25">
      <c r="A22560" t="str">
        <f>HYPERLINK("https://www.773grp.com/globalSearch/RD36JS-AZ/page-1", "RD36JS-AZ")</f>
        <v>RD36JS-AZ</v>
      </c>
      <c r="B22560" s="3" t="str">
        <f>HYPERLINK("https://www.773grp.com/manufacturer/renesas-electronics-america-inc?pageNo=416", "Renesas Electronics")</f>
        <v>Renesas Electronics</v>
      </c>
      <c r="C22560" s="6">
        <v>341</v>
      </c>
      <c r="D22560" s="7">
        <v>0.15</v>
      </c>
    </row>
    <row r="22561" spans="1:4" x14ac:dyDescent="0.25">
      <c r="A22561" t="str">
        <f>HYPERLINK("https://www.773grp.com/globalSearch/RD36JS-T1-AZ/page-1", "RD36JS-T1-AZ")</f>
        <v>RD36JS-T1-AZ</v>
      </c>
      <c r="B22561" s="3" t="str">
        <f>HYPERLINK("https://www.773grp.com/manufacturer/renesas-electronics-america-inc?pageNo=417", "Renesas Electronics")</f>
        <v>Renesas Electronics</v>
      </c>
      <c r="C22561" s="6">
        <v>28000</v>
      </c>
      <c r="D22561" s="7">
        <v>0.15</v>
      </c>
    </row>
    <row r="22562" spans="1:4" x14ac:dyDescent="0.25">
      <c r="A22562" t="str">
        <f>HYPERLINK("https://www.773grp.com/globalSearch/RD39ES-AZ/page-1", "RD39ES-AZ")</f>
        <v>RD39ES-AZ</v>
      </c>
      <c r="B22562" s="3" t="str">
        <f>HYPERLINK("https://www.773grp.com/manufacturer/renesas-electronics-america-inc?pageNo=418", "Renesas Electronics")</f>
        <v>Renesas Electronics</v>
      </c>
      <c r="C22562" s="6">
        <v>20380</v>
      </c>
      <c r="D22562" s="7">
        <v>0.15</v>
      </c>
    </row>
    <row r="22563" spans="1:4" x14ac:dyDescent="0.25">
      <c r="A22563" t="str">
        <f>HYPERLINK("https://www.773grp.com/globalSearch/RD39ES-T1/page-1", "RD39ES-T1")</f>
        <v>RD39ES-T1</v>
      </c>
      <c r="B22563" s="3" t="str">
        <f>HYPERLINK("https://www.773grp.com/manufacturer/renesas-electronics-america-inc?pageNo=419", "Renesas Electronics")</f>
        <v>Renesas Electronics</v>
      </c>
      <c r="C22563" s="6">
        <v>66000</v>
      </c>
      <c r="D22563" s="7">
        <v>0.15</v>
      </c>
    </row>
    <row r="22564" spans="1:4" x14ac:dyDescent="0.25">
      <c r="A22564" t="str">
        <f>HYPERLINK("https://www.773grp.com/globalSearch/RD39ES-T4-AZ/page-1", "RD39ES-T4-AZ")</f>
        <v>RD39ES-T4-AZ</v>
      </c>
      <c r="B22564" s="3" t="str">
        <f>HYPERLINK("https://www.773grp.com/manufacturer/renesas-electronics-america-inc?pageNo=420", "Renesas Electronics")</f>
        <v>Renesas Electronics</v>
      </c>
      <c r="C22564" s="6">
        <v>245000</v>
      </c>
      <c r="D22564" s="7">
        <v>0.15</v>
      </c>
    </row>
    <row r="22565" spans="1:4" x14ac:dyDescent="0.25">
      <c r="A22565" t="str">
        <f>HYPERLINK("https://www.773grp.com/globalSearch/RD39E-T1/page-1", "RD39E-T1")</f>
        <v>RD39E-T1</v>
      </c>
      <c r="B22565" s="3" t="str">
        <f>HYPERLINK("https://www.773grp.com/manufacturer/renesas-electronics-america-inc?pageNo=421", "Renesas Electronics")</f>
        <v>Renesas Electronics</v>
      </c>
      <c r="C22565" s="6">
        <v>2000</v>
      </c>
      <c r="D22565" s="7">
        <v>0.15</v>
      </c>
    </row>
    <row r="22566" spans="1:4" x14ac:dyDescent="0.25">
      <c r="A22566" t="str">
        <f>HYPERLINK("https://www.773grp.com/globalSearch/RD39E-T2-AZ/page-1", "RD39E-T2-AZ")</f>
        <v>RD39E-T2-AZ</v>
      </c>
      <c r="B22566" s="3" t="str">
        <f>HYPERLINK("https://www.773grp.com/manufacturer/renesas-electronics-america-inc?pageNo=422", "Renesas Electronics")</f>
        <v>Renesas Electronics</v>
      </c>
      <c r="C22566" s="6">
        <v>40000</v>
      </c>
      <c r="D22566" s="7">
        <v>0.15</v>
      </c>
    </row>
    <row r="22567" spans="1:4" x14ac:dyDescent="0.25">
      <c r="A22567" t="str">
        <f>HYPERLINK("https://www.773grp.com/globalSearch/RD39E-T4-AZ/page-1", "RD39E-T4-AZ")</f>
        <v>RD39E-T4-AZ</v>
      </c>
      <c r="B22567" s="3" t="str">
        <f>HYPERLINK("https://www.773grp.com/manufacturer/renesas-electronics-america-inc?pageNo=423", "Renesas Electronics")</f>
        <v>Renesas Electronics</v>
      </c>
      <c r="C22567" s="6">
        <v>1850000</v>
      </c>
      <c r="D22567" s="7">
        <v>0.15</v>
      </c>
    </row>
    <row r="22568" spans="1:4" x14ac:dyDescent="0.25">
      <c r="A22568" t="str">
        <f>HYPERLINK("https://www.773grp.com/globalSearch/RD39E-TB/page-1", "RD39E-TB")</f>
        <v>RD39E-TB</v>
      </c>
      <c r="B22568" s="3" t="str">
        <f>HYPERLINK("https://www.773grp.com/manufacturer/renesas-electronics-america-inc?pageNo=424", "Renesas Electronics")</f>
        <v>Renesas Electronics</v>
      </c>
      <c r="C22568" s="6">
        <v>30000</v>
      </c>
      <c r="D22568" s="7">
        <v>0.15</v>
      </c>
    </row>
    <row r="22569" spans="1:4" x14ac:dyDescent="0.25">
      <c r="A22569" t="str">
        <f>HYPERLINK("https://www.773grp.com/globalSearch/RD39E-TB-AZ/page-1", "RD39E-TB-AZ")</f>
        <v>RD39E-TB-AZ</v>
      </c>
      <c r="B22569" s="3" t="str">
        <f>HYPERLINK("https://www.773grp.com/manufacturer/renesas-electronics-america-inc?pageNo=425", "Renesas Electronics")</f>
        <v>Renesas Electronics</v>
      </c>
      <c r="C22569" s="6">
        <v>130000</v>
      </c>
      <c r="D22569" s="7">
        <v>0.15</v>
      </c>
    </row>
    <row r="22570" spans="1:4" x14ac:dyDescent="0.25">
      <c r="A22570" t="str">
        <f>HYPERLINK("https://www.773grp.com/globalSearch/RD39JS-AZ/page-1", "RD39JS-AZ")</f>
        <v>RD39JS-AZ</v>
      </c>
      <c r="B22570" s="3" t="str">
        <f>HYPERLINK("https://www.773grp.com/manufacturer/renesas-electronics-america-inc?pageNo=426", "Renesas Electronics")</f>
        <v>Renesas Electronics</v>
      </c>
      <c r="C22570" s="6">
        <v>882</v>
      </c>
      <c r="D22570" s="7">
        <v>0.15</v>
      </c>
    </row>
    <row r="22571" spans="1:4" x14ac:dyDescent="0.25">
      <c r="A22571" t="str">
        <f>HYPERLINK("https://www.773grp.com/globalSearch/RD4.3E-AZ/page-1", "RD4.3E-AZ")</f>
        <v>RD4.3E-AZ</v>
      </c>
      <c r="B22571" s="3" t="str">
        <f>HYPERLINK("https://www.773grp.com/manufacturer/renesas-electronics-america-inc?pageNo=427", "Renesas Electronics")</f>
        <v>Renesas Electronics</v>
      </c>
      <c r="C22571" s="6">
        <v>187550</v>
      </c>
      <c r="D22571" s="7">
        <v>0.15</v>
      </c>
    </row>
    <row r="22572" spans="1:4" x14ac:dyDescent="0.25">
      <c r="A22572" t="str">
        <f>HYPERLINK("https://www.773grp.com/globalSearch/RD4.3ES-T1/page-1", "RD4.3ES-T1")</f>
        <v>RD4.3ES-T1</v>
      </c>
      <c r="B22572" s="3" t="str">
        <f>HYPERLINK("https://www.773grp.com/manufacturer/renesas-electronics-america-inc?pageNo=428", "Renesas Electronics")</f>
        <v>Renesas Electronics</v>
      </c>
      <c r="C22572" s="6">
        <v>8000</v>
      </c>
      <c r="D22572" s="7">
        <v>0.15</v>
      </c>
    </row>
    <row r="22573" spans="1:4" x14ac:dyDescent="0.25">
      <c r="A22573" t="str">
        <f>HYPERLINK("https://www.773grp.com/globalSearch/RD4.3ES-T1-AZ/page-1", "RD4.3ES-T1-AZ")</f>
        <v>RD4.3ES-T1-AZ</v>
      </c>
      <c r="B22573" s="3" t="str">
        <f>HYPERLINK("https://www.773grp.com/manufacturer/renesas-electronics-america-inc?pageNo=429", "Renesas Electronics")</f>
        <v>Renesas Electronics</v>
      </c>
      <c r="C22573" s="6">
        <v>690000</v>
      </c>
      <c r="D22573" s="7">
        <v>0.15</v>
      </c>
    </row>
    <row r="22574" spans="1:4" x14ac:dyDescent="0.25">
      <c r="A22574" t="str">
        <f>HYPERLINK("https://www.773grp.com/globalSearch/RD4.3ES-T2-AZ/page-1", "RD4.3ES-T2-AZ")</f>
        <v>RD4.3ES-T2-AZ</v>
      </c>
      <c r="B22574" s="3" t="str">
        <f>HYPERLINK("https://www.773grp.com/manufacturer/renesas-electronics-america-inc?pageNo=430", "Renesas Electronics")</f>
        <v>Renesas Electronics</v>
      </c>
      <c r="C22574" s="6">
        <v>25000</v>
      </c>
      <c r="D22574" s="7">
        <v>0.15</v>
      </c>
    </row>
    <row r="22575" spans="1:4" x14ac:dyDescent="0.25">
      <c r="A22575" t="str">
        <f>HYPERLINK("https://www.773grp.com/globalSearch/RD4.3ES-T4-AZ/page-1", "RD4.3ES-T4-AZ")</f>
        <v>RD4.3ES-T4-AZ</v>
      </c>
      <c r="B22575" s="3" t="str">
        <f>HYPERLINK("https://www.773grp.com/manufacturer/renesas-electronics-america-inc?pageNo=431", "Renesas Electronics")</f>
        <v>Renesas Electronics</v>
      </c>
      <c r="C22575" s="6">
        <v>35000</v>
      </c>
      <c r="D22575" s="7">
        <v>0.15</v>
      </c>
    </row>
    <row r="22576" spans="1:4" x14ac:dyDescent="0.25">
      <c r="A22576" t="str">
        <f>HYPERLINK("https://www.773grp.com/globalSearch/RD4.3E-T1/page-1", "RD4.3E-T1")</f>
        <v>RD4.3E-T1</v>
      </c>
      <c r="B22576" s="3" t="str">
        <f>HYPERLINK("https://www.773grp.com/manufacturer/renesas-electronics-america-inc?pageNo=432", "Renesas Electronics")</f>
        <v>Renesas Electronics</v>
      </c>
      <c r="C22576" s="6">
        <v>40000</v>
      </c>
      <c r="D22576" s="7">
        <v>0.15</v>
      </c>
    </row>
    <row r="22577" spans="1:4" x14ac:dyDescent="0.25">
      <c r="A22577" t="str">
        <f>HYPERLINK("https://www.773grp.com/globalSearch/RD4.3E-T2/page-1", "RD4.3E-T2")</f>
        <v>RD4.3E-T2</v>
      </c>
      <c r="B22577" s="3" t="str">
        <f>HYPERLINK("https://www.773grp.com/manufacturer/renesas-electronics-america-inc?pageNo=433", "Renesas Electronics")</f>
        <v>Renesas Electronics</v>
      </c>
      <c r="C22577" s="6">
        <v>5000</v>
      </c>
      <c r="D22577" s="7">
        <v>0.15</v>
      </c>
    </row>
    <row r="22578" spans="1:4" x14ac:dyDescent="0.25">
      <c r="A22578" t="str">
        <f>HYPERLINK("https://www.773grp.com/globalSearch/RD4.3E-T4-AZ/page-1", "RD4.3E-T4-AZ")</f>
        <v>RD4.3E-T4-AZ</v>
      </c>
      <c r="B22578" s="3" t="str">
        <f>HYPERLINK("https://www.773grp.com/manufacturer/renesas-electronics-america-inc?pageNo=434", "Renesas Electronics")</f>
        <v>Renesas Electronics</v>
      </c>
      <c r="C22578" s="6">
        <v>13750</v>
      </c>
      <c r="D22578" s="7">
        <v>0.15</v>
      </c>
    </row>
    <row r="22579" spans="1:4" x14ac:dyDescent="0.25">
      <c r="A22579" t="str">
        <f>HYPERLINK("https://www.773grp.com/globalSearch/RD4.7ES-AZ/page-1", "RD4.7ES-AZ")</f>
        <v>RD4.7ES-AZ</v>
      </c>
      <c r="B22579" s="3" t="str">
        <f>HYPERLINK("https://www.773grp.com/manufacturer/renesas-electronics-america-inc?pageNo=435", "Renesas Electronics")</f>
        <v>Renesas Electronics</v>
      </c>
      <c r="C22579" s="6">
        <v>7920</v>
      </c>
      <c r="D22579" s="7">
        <v>0.15</v>
      </c>
    </row>
    <row r="22580" spans="1:4" x14ac:dyDescent="0.25">
      <c r="A22580" t="str">
        <f>HYPERLINK("https://www.773grp.com/globalSearch/RD4.7ES-T4-AZ/page-1", "RD4.7ES-T4-AZ")</f>
        <v>RD4.7ES-T4-AZ</v>
      </c>
      <c r="B22580" s="3" t="str">
        <f>HYPERLINK("https://www.773grp.com/manufacturer/renesas-electronics-america-inc?pageNo=436", "Renesas Electronics")</f>
        <v>Renesas Electronics</v>
      </c>
      <c r="C22580" s="6">
        <v>55000</v>
      </c>
      <c r="D22580" s="7">
        <v>0.15</v>
      </c>
    </row>
    <row r="22581" spans="1:4" x14ac:dyDescent="0.25">
      <c r="A22581" t="str">
        <f>HYPERLINK("https://www.773grp.com/globalSearch/RD4.7E-T1/page-1", "RD4.7E-T1")</f>
        <v>RD4.7E-T1</v>
      </c>
      <c r="B22581" s="3" t="str">
        <f>HYPERLINK("https://www.773grp.com/manufacturer/renesas-electronics-america-inc?pageNo=437", "Renesas Electronics")</f>
        <v>Renesas Electronics</v>
      </c>
      <c r="C22581" s="6">
        <v>14750</v>
      </c>
      <c r="D22581" s="7">
        <v>0.15</v>
      </c>
    </row>
    <row r="22582" spans="1:4" x14ac:dyDescent="0.25">
      <c r="A22582" t="str">
        <f>HYPERLINK("https://www.773grp.com/globalSearch/RD4.7E-T2-AZ/page-1", "RD4.7E-T2-AZ")</f>
        <v>RD4.7E-T2-AZ</v>
      </c>
      <c r="B22582" s="3" t="str">
        <f>HYPERLINK("https://www.773grp.com/manufacturer/renesas-electronics-america-inc?pageNo=438", "Renesas Electronics")</f>
        <v>Renesas Electronics</v>
      </c>
      <c r="C22582" s="6">
        <v>50000</v>
      </c>
      <c r="D22582" s="7">
        <v>0.15</v>
      </c>
    </row>
    <row r="22583" spans="1:4" x14ac:dyDescent="0.25">
      <c r="A22583" t="str">
        <f>HYPERLINK("https://www.773grp.com/globalSearch/RD4.7E-T4-AZ/page-1", "RD4.7E-T4-AZ")</f>
        <v>RD4.7E-T4-AZ</v>
      </c>
      <c r="B22583" s="3" t="str">
        <f>HYPERLINK("https://www.773grp.com/manufacturer/renesas-electronics-america-inc?pageNo=439", "Renesas Electronics")</f>
        <v>Renesas Electronics</v>
      </c>
      <c r="C22583" s="6">
        <v>190000</v>
      </c>
      <c r="D22583" s="7">
        <v>0.15</v>
      </c>
    </row>
    <row r="22584" spans="1:4" x14ac:dyDescent="0.25">
      <c r="A22584" t="str">
        <f>HYPERLINK("https://www.773grp.com/globalSearch/RD4.7JS/page-1", "RD4.7JS")</f>
        <v>RD4.7JS</v>
      </c>
      <c r="B22584" s="3" t="str">
        <f>HYPERLINK("https://www.773grp.com/manufacturer/renesas-electronics-america-inc?pageNo=440", "Renesas Electronics")</f>
        <v>Renesas Electronics</v>
      </c>
      <c r="C22584" s="6">
        <v>9511</v>
      </c>
      <c r="D22584" s="7">
        <v>0.15</v>
      </c>
    </row>
    <row r="22585" spans="1:4" x14ac:dyDescent="0.25">
      <c r="A22585" t="str">
        <f>HYPERLINK("https://www.773grp.com/globalSearch/RD4.7JS-T1/page-1", "RD4.7JS-T1")</f>
        <v>RD4.7JS-T1</v>
      </c>
      <c r="B22585" s="3" t="str">
        <f>HYPERLINK("https://www.773grp.com/manufacturer/renesas-electronics-america-inc?pageNo=441", "Renesas Electronics")</f>
        <v>Renesas Electronics</v>
      </c>
      <c r="C22585" s="6">
        <v>28000</v>
      </c>
      <c r="D22585" s="7">
        <v>0.15</v>
      </c>
    </row>
    <row r="22586" spans="1:4" x14ac:dyDescent="0.25">
      <c r="A22586" t="str">
        <f>HYPERLINK("https://www.773grp.com/globalSearch/RD4.7JS-T4/page-1", "RD4.7JS-T4")</f>
        <v>RD4.7JS-T4</v>
      </c>
      <c r="B22586" s="3" t="str">
        <f>HYPERLINK("https://www.773grp.com/manufacturer/renesas-electronics-america-inc?pageNo=442", "Renesas Electronics")</f>
        <v>Renesas Electronics</v>
      </c>
      <c r="C22586" s="6">
        <v>25000</v>
      </c>
      <c r="D22586" s="7">
        <v>0.15</v>
      </c>
    </row>
    <row r="22587" spans="1:4" x14ac:dyDescent="0.25">
      <c r="A22587" t="str">
        <f>HYPERLINK("https://www.773grp.com/globalSearch/RD4.7JS-T4-AZ/page-1", "RD4.7JS-T4-AZ")</f>
        <v>RD4.7JS-T4-AZ</v>
      </c>
      <c r="B22587" s="3" t="str">
        <f>HYPERLINK("https://www.773grp.com/manufacturer/renesas-electronics-america-inc?pageNo=443", "Renesas Electronics")</f>
        <v>Renesas Electronics</v>
      </c>
      <c r="C22587" s="6">
        <v>25000</v>
      </c>
      <c r="D22587" s="7">
        <v>0.15</v>
      </c>
    </row>
    <row r="22588" spans="1:4" x14ac:dyDescent="0.25">
      <c r="A22588" t="str">
        <f>HYPERLINK("https://www.773grp.com/globalSearch/RD5.1ES-AZ/page-1", "RD5.1ES-AZ")</f>
        <v>RD5.1ES-AZ</v>
      </c>
      <c r="B22588" s="3" t="str">
        <f>HYPERLINK("https://www.773grp.com/manufacturer/renesas-electronics-america-inc?pageNo=444", "Renesas Electronics")</f>
        <v>Renesas Electronics</v>
      </c>
      <c r="C22588" s="6">
        <v>7463</v>
      </c>
      <c r="D22588" s="7">
        <v>0.15</v>
      </c>
    </row>
    <row r="22589" spans="1:4" x14ac:dyDescent="0.25">
      <c r="A22589" t="str">
        <f>HYPERLINK("https://www.773grp.com/globalSearch/RD5.1ES-T1/page-1", "RD5.1ES-T1")</f>
        <v>RD5.1ES-T1</v>
      </c>
      <c r="B22589" s="3" t="str">
        <f>HYPERLINK("https://www.773grp.com/manufacturer/renesas-electronics-america-inc?pageNo=445", "Renesas Electronics")</f>
        <v>Renesas Electronics</v>
      </c>
      <c r="C22589" s="6">
        <v>94000</v>
      </c>
      <c r="D22589" s="7">
        <v>0.15</v>
      </c>
    </row>
    <row r="22590" spans="1:4" x14ac:dyDescent="0.25">
      <c r="A22590" t="str">
        <f>HYPERLINK("https://www.773grp.com/globalSearch/RD5.1ES-T4/page-1", "RD5.1ES-T4")</f>
        <v>RD5.1ES-T4</v>
      </c>
      <c r="B22590" s="3" t="str">
        <f>HYPERLINK("https://www.773grp.com/manufacturer/renesas-electronics-america-inc?pageNo=446", "Renesas Electronics")</f>
        <v>Renesas Electronics</v>
      </c>
      <c r="C22590" s="6">
        <v>40000</v>
      </c>
      <c r="D22590" s="7">
        <v>0.15</v>
      </c>
    </row>
    <row r="22591" spans="1:4" x14ac:dyDescent="0.25">
      <c r="A22591" t="str">
        <f>HYPERLINK("https://www.773grp.com/globalSearch/RD5.1E-T1/page-1", "RD5.1E-T1")</f>
        <v>RD5.1E-T1</v>
      </c>
      <c r="B22591" s="3" t="str">
        <f>HYPERLINK("https://www.773grp.com/manufacturer/renesas-electronics-america-inc?pageNo=447", "Renesas Electronics")</f>
        <v>Renesas Electronics</v>
      </c>
      <c r="C22591" s="6">
        <v>48000</v>
      </c>
      <c r="D22591" s="7">
        <v>0.15</v>
      </c>
    </row>
    <row r="22592" spans="1:4" x14ac:dyDescent="0.25">
      <c r="A22592" t="str">
        <f>HYPERLINK("https://www.773grp.com/globalSearch/RD5.1E-T2/page-1", "RD5.1E-T2")</f>
        <v>RD5.1E-T2</v>
      </c>
      <c r="B22592" s="3" t="str">
        <f>HYPERLINK("https://www.773grp.com/manufacturer/renesas-electronics-america-inc?pageNo=448", "Renesas Electronics")</f>
        <v>Renesas Electronics</v>
      </c>
      <c r="C22592" s="6">
        <v>20000</v>
      </c>
      <c r="D22592" s="7">
        <v>0.15</v>
      </c>
    </row>
    <row r="22593" spans="1:4" x14ac:dyDescent="0.25">
      <c r="A22593" t="str">
        <f>HYPERLINK("https://www.773grp.com/globalSearch/RD5.1E-T2-AZ/page-1", "RD5.1E-T2-AZ")</f>
        <v>RD5.1E-T2-AZ</v>
      </c>
      <c r="B22593" s="3" t="str">
        <f>HYPERLINK("https://www.773grp.com/manufacturer/renesas-electronics-america-inc?pageNo=449", "Renesas Electronics")</f>
        <v>Renesas Electronics</v>
      </c>
      <c r="C22593" s="6">
        <v>23750</v>
      </c>
      <c r="D22593" s="7">
        <v>0.15</v>
      </c>
    </row>
    <row r="22594" spans="1:4" x14ac:dyDescent="0.25">
      <c r="A22594" t="str">
        <f>HYPERLINK("https://www.773grp.com/globalSearch/RD5.1E-TB/page-1", "RD5.1E-TB")</f>
        <v>RD5.1E-TB</v>
      </c>
      <c r="B22594" s="3" t="str">
        <f>HYPERLINK("https://www.773grp.com/manufacturer/renesas-electronics-america-inc?pageNo=450", "Renesas Electronics")</f>
        <v>Renesas Electronics</v>
      </c>
      <c r="C22594" s="6">
        <v>120000</v>
      </c>
      <c r="D22594" s="7">
        <v>0.15</v>
      </c>
    </row>
    <row r="22595" spans="1:4" x14ac:dyDescent="0.25">
      <c r="A22595" t="str">
        <f>HYPERLINK("https://www.773grp.com/globalSearch/RD5.1E-TB-AZ/page-1", "RD5.1E-TB-AZ")</f>
        <v>RD5.1E-TB-AZ</v>
      </c>
      <c r="B22595" s="3" t="str">
        <f>HYPERLINK("https://www.773grp.com/manufacturer/renesas-electronics-america-inc?pageNo=451", "Renesas Electronics")</f>
        <v>Renesas Electronics</v>
      </c>
      <c r="C22595" s="6">
        <v>32500</v>
      </c>
      <c r="D22595" s="7">
        <v>0.15</v>
      </c>
    </row>
    <row r="22596" spans="1:4" x14ac:dyDescent="0.25">
      <c r="A22596" t="str">
        <f>HYPERLINK("https://www.773grp.com/globalSearch/RD5.1JS-T1/page-1", "RD5.1JS-T1")</f>
        <v>RD5.1JS-T1</v>
      </c>
      <c r="B22596" s="3" t="str">
        <f>HYPERLINK("https://www.773grp.com/manufacturer/renesas-electronics-america-inc?pageNo=452", "Renesas Electronics")</f>
        <v>Renesas Electronics</v>
      </c>
      <c r="C22596" s="6">
        <v>16000</v>
      </c>
      <c r="D22596" s="7">
        <v>0.15</v>
      </c>
    </row>
    <row r="22597" spans="1:4" x14ac:dyDescent="0.25">
      <c r="A22597" t="str">
        <f>HYPERLINK("https://www.773grp.com/globalSearch/RD5.1JS-T4-AZ/page-1", "RD5.1JS-T4-AZ")</f>
        <v>RD5.1JS-T4-AZ</v>
      </c>
      <c r="B22597" s="3" t="str">
        <f>HYPERLINK("https://www.773grp.com/manufacturer/renesas-electronics-america-inc?pageNo=453", "Renesas Electronics")</f>
        <v>Renesas Electronics</v>
      </c>
      <c r="C22597" s="6">
        <v>45000</v>
      </c>
      <c r="D22597" s="7">
        <v>0.15</v>
      </c>
    </row>
    <row r="22598" spans="1:4" x14ac:dyDescent="0.25">
      <c r="A22598" t="str">
        <f>HYPERLINK("https://www.773grp.com/globalSearch/RD5.6ES-AZ/page-1", "RD5.6ES-AZ")</f>
        <v>RD5.6ES-AZ</v>
      </c>
      <c r="B22598" s="3" t="str">
        <f>HYPERLINK("https://www.773grp.com/manufacturer/renesas-electronics-america-inc?pageNo=454", "Renesas Electronics")</f>
        <v>Renesas Electronics</v>
      </c>
      <c r="C22598" s="6">
        <v>6490</v>
      </c>
      <c r="D22598" s="7">
        <v>0.15</v>
      </c>
    </row>
    <row r="22599" spans="1:4" x14ac:dyDescent="0.25">
      <c r="A22599" t="str">
        <f>HYPERLINK("https://www.773grp.com/globalSearch/RD5.6ES-T1/page-1", "RD5.6ES-T1")</f>
        <v>RD5.6ES-T1</v>
      </c>
      <c r="B22599" s="3" t="str">
        <f>HYPERLINK("https://www.773grp.com/manufacturer/renesas-electronics-america-inc?pageNo=455", "Renesas Electronics")</f>
        <v>Renesas Electronics</v>
      </c>
      <c r="C22599" s="6">
        <v>50000</v>
      </c>
      <c r="D22599" s="7">
        <v>0.15</v>
      </c>
    </row>
    <row r="22600" spans="1:4" x14ac:dyDescent="0.25">
      <c r="A22600" t="str">
        <f>HYPERLINK("https://www.773grp.com/globalSearch/RD5.6ES-T4-AZ/page-1", "RD5.6ES-T4-AZ")</f>
        <v>RD5.6ES-T4-AZ</v>
      </c>
      <c r="B22600" s="3" t="str">
        <f>HYPERLINK("https://www.773grp.com/manufacturer/renesas-electronics-america-inc?pageNo=456", "Renesas Electronics")</f>
        <v>Renesas Electronics</v>
      </c>
      <c r="C22600" s="6">
        <v>110000</v>
      </c>
      <c r="D22600" s="7">
        <v>0.15</v>
      </c>
    </row>
    <row r="22601" spans="1:4" x14ac:dyDescent="0.25">
      <c r="A22601" t="str">
        <f>HYPERLINK("https://www.773grp.com/globalSearch/RD5.6E-T2/page-1", "RD5.6E-T2")</f>
        <v>RD5.6E-T2</v>
      </c>
      <c r="B22601" s="3" t="str">
        <f>HYPERLINK("https://www.773grp.com/manufacturer/renesas-electronics-america-inc?pageNo=457", "Renesas Electronics")</f>
        <v>Renesas Electronics</v>
      </c>
      <c r="C22601" s="6">
        <v>150000</v>
      </c>
      <c r="D22601" s="7">
        <v>0.15</v>
      </c>
    </row>
    <row r="22602" spans="1:4" x14ac:dyDescent="0.25">
      <c r="A22602" t="str">
        <f>HYPERLINK("https://www.773grp.com/globalSearch/RD5.6E-T4-AZ/page-1", "RD5.6E-T4-AZ")</f>
        <v>RD5.6E-T4-AZ</v>
      </c>
      <c r="B22602" s="3" t="str">
        <f>HYPERLINK("https://www.773grp.com/manufacturer/renesas-electronics-america-inc?pageNo=458", "Renesas Electronics")</f>
        <v>Renesas Electronics</v>
      </c>
      <c r="C22602" s="6">
        <v>520000</v>
      </c>
      <c r="D22602" s="7">
        <v>0.15</v>
      </c>
    </row>
    <row r="22603" spans="1:4" x14ac:dyDescent="0.25">
      <c r="A22603" t="str">
        <f>HYPERLINK("https://www.773grp.com/globalSearch/RD5.6E-TB/page-1", "RD5.6E-TB")</f>
        <v>RD5.6E-TB</v>
      </c>
      <c r="B22603" s="3" t="str">
        <f>HYPERLINK("https://www.773grp.com/manufacturer/renesas-electronics-america-inc?pageNo=459", "Renesas Electronics")</f>
        <v>Renesas Electronics</v>
      </c>
      <c r="C22603" s="6">
        <v>42500</v>
      </c>
      <c r="D22603" s="7">
        <v>0.15</v>
      </c>
    </row>
    <row r="22604" spans="1:4" x14ac:dyDescent="0.25">
      <c r="A22604" t="str">
        <f>HYPERLINK("https://www.773grp.com/globalSearch/RD5.6E-TB-AZ/page-1", "RD5.6E-TB-AZ")</f>
        <v>RD5.6E-TB-AZ</v>
      </c>
      <c r="B22604" s="3" t="str">
        <f>HYPERLINK("https://www.773grp.com/manufacturer/renesas-electronics-america-inc?pageNo=460", "Renesas Electronics")</f>
        <v>Renesas Electronics</v>
      </c>
      <c r="C22604" s="6">
        <v>95000</v>
      </c>
      <c r="D22604" s="7">
        <v>0.15</v>
      </c>
    </row>
    <row r="22605" spans="1:4" x14ac:dyDescent="0.25">
      <c r="A22605" t="str">
        <f>HYPERLINK("https://www.773grp.com/globalSearch/RD5.6JS-AZ/page-1", "RD5.6JS-AZ")</f>
        <v>RD5.6JS-AZ</v>
      </c>
      <c r="B22605" s="3" t="str">
        <f>HYPERLINK("https://www.773grp.com/manufacturer/renesas-electronics-america-inc?pageNo=461", "Renesas Electronics")</f>
        <v>Renesas Electronics</v>
      </c>
      <c r="C22605" s="6">
        <v>9240</v>
      </c>
      <c r="D22605" s="7">
        <v>0.15</v>
      </c>
    </row>
    <row r="22606" spans="1:4" x14ac:dyDescent="0.25">
      <c r="A22606" t="str">
        <f>HYPERLINK("https://www.773grp.com/globalSearch/RD5.6JS-T1/page-1", "RD5.6JS-T1")</f>
        <v>RD5.6JS-T1</v>
      </c>
      <c r="B22606" s="3" t="str">
        <f>HYPERLINK("https://www.773grp.com/manufacturer/renesas-electronics-america-inc?pageNo=462", "Renesas Electronics")</f>
        <v>Renesas Electronics</v>
      </c>
      <c r="C22606" s="6">
        <v>104000</v>
      </c>
      <c r="D22606" s="7">
        <v>0.15</v>
      </c>
    </row>
    <row r="22607" spans="1:4" x14ac:dyDescent="0.25">
      <c r="A22607" t="str">
        <f>HYPERLINK("https://www.773grp.com/globalSearch/RD5.6JS-T2/page-1", "RD5.6JS-T2")</f>
        <v>RD5.6JS-T2</v>
      </c>
      <c r="B22607" s="3" t="str">
        <f>HYPERLINK("https://www.773grp.com/manufacturer/renesas-electronics-america-inc?pageNo=463", "Renesas Electronics")</f>
        <v>Renesas Electronics</v>
      </c>
      <c r="C22607" s="6">
        <v>5000</v>
      </c>
      <c r="D22607" s="7">
        <v>0.15</v>
      </c>
    </row>
    <row r="22608" spans="1:4" x14ac:dyDescent="0.25">
      <c r="A22608" t="str">
        <f>HYPERLINK("https://www.773grp.com/globalSearch/RD5.6JS-T4-AZ/page-1", "RD5.6JS-T4-AZ")</f>
        <v>RD5.6JS-T4-AZ</v>
      </c>
      <c r="B22608" s="3" t="str">
        <f>HYPERLINK("https://www.773grp.com/manufacturer/renesas-electronics-america-inc?pageNo=464", "Renesas Electronics")</f>
        <v>Renesas Electronics</v>
      </c>
      <c r="C22608" s="6">
        <v>140000</v>
      </c>
      <c r="D22608" s="7">
        <v>0.15</v>
      </c>
    </row>
    <row r="22609" spans="1:4" x14ac:dyDescent="0.25">
      <c r="A22609" t="str">
        <f>HYPERLINK("https://www.773grp.com/globalSearch/RD6.2ES/page-1", "RD6.2ES")</f>
        <v>RD6.2ES</v>
      </c>
      <c r="B22609" s="3" t="str">
        <f>HYPERLINK("https://www.773grp.com/manufacturer/renesas-electronics-america-inc?pageNo=465", "Renesas Electronics")</f>
        <v>Renesas Electronics</v>
      </c>
      <c r="C22609" s="6">
        <v>22114</v>
      </c>
      <c r="D22609" s="7">
        <v>0.15</v>
      </c>
    </row>
    <row r="22610" spans="1:4" x14ac:dyDescent="0.25">
      <c r="A22610" t="str">
        <f>HYPERLINK("https://www.773grp.com/globalSearch/RD6.2ES-AZ/page-1", "RD6.2ES-AZ")</f>
        <v>RD6.2ES-AZ</v>
      </c>
      <c r="B22610" s="3" t="str">
        <f>HYPERLINK("https://www.773grp.com/manufacturer/renesas-electronics-america-inc?pageNo=466", "Renesas Electronics")</f>
        <v>Renesas Electronics</v>
      </c>
      <c r="C22610" s="6">
        <v>7210</v>
      </c>
      <c r="D22610" s="7">
        <v>0.15</v>
      </c>
    </row>
    <row r="22611" spans="1:4" x14ac:dyDescent="0.25">
      <c r="A22611" t="str">
        <f>HYPERLINK("https://www.773grp.com/globalSearch/RD6.2ES-T1/page-1", "RD6.2ES-T1")</f>
        <v>RD6.2ES-T1</v>
      </c>
      <c r="B22611" s="3" t="str">
        <f>HYPERLINK("https://www.773grp.com/manufacturer/renesas-electronics-america-inc?pageNo=467", "Renesas Electronics")</f>
        <v>Renesas Electronics</v>
      </c>
      <c r="C22611" s="6">
        <v>85950</v>
      </c>
      <c r="D22611" s="7">
        <v>0.15</v>
      </c>
    </row>
    <row r="22612" spans="1:4" x14ac:dyDescent="0.25">
      <c r="A22612" t="str">
        <f>HYPERLINK("https://www.773grp.com/globalSearch/RD6.2ES-T4/page-1", "RD6.2ES-T4")</f>
        <v>RD6.2ES-T4</v>
      </c>
      <c r="B22612" s="3" t="str">
        <f>HYPERLINK("https://www.773grp.com/manufacturer/renesas-electronics-america-inc?pageNo=468", "Renesas Electronics")</f>
        <v>Renesas Electronics</v>
      </c>
      <c r="C22612" s="6">
        <v>130000</v>
      </c>
      <c r="D22612" s="7">
        <v>0.15</v>
      </c>
    </row>
    <row r="22613" spans="1:4" x14ac:dyDescent="0.25">
      <c r="A22613" t="str">
        <f>HYPERLINK("https://www.773grp.com/globalSearch/RD6.2ES-T4-AZ/page-1", "RD6.2ES-T4-AZ")</f>
        <v>RD6.2ES-T4-AZ</v>
      </c>
      <c r="B22613" s="3" t="str">
        <f>HYPERLINK("https://www.773grp.com/manufacturer/renesas-electronics-america-inc?pageNo=469", "Renesas Electronics")</f>
        <v>Renesas Electronics</v>
      </c>
      <c r="C22613" s="6">
        <v>40000</v>
      </c>
      <c r="D22613" s="7">
        <v>0.15</v>
      </c>
    </row>
    <row r="22614" spans="1:4" x14ac:dyDescent="0.25">
      <c r="A22614" t="str">
        <f>HYPERLINK("https://www.773grp.com/globalSearch/RD6.2E-T1/page-1", "RD6.2E-T1")</f>
        <v>RD6.2E-T1</v>
      </c>
      <c r="B22614" s="3" t="str">
        <f>HYPERLINK("https://www.773grp.com/manufacturer/renesas-electronics-america-inc?pageNo=470", "Renesas Electronics")</f>
        <v>Renesas Electronics</v>
      </c>
      <c r="C22614" s="6">
        <v>108000</v>
      </c>
      <c r="D22614" s="7">
        <v>0.15</v>
      </c>
    </row>
    <row r="22615" spans="1:4" x14ac:dyDescent="0.25">
      <c r="A22615" t="str">
        <f>HYPERLINK("https://www.773grp.com/globalSearch/RD6.2E-T2/page-1", "RD6.2E-T2")</f>
        <v>RD6.2E-T2</v>
      </c>
      <c r="B22615" s="3" t="str">
        <f>HYPERLINK("https://www.773grp.com/manufacturer/renesas-electronics-america-inc?pageNo=471", "Renesas Electronics")</f>
        <v>Renesas Electronics</v>
      </c>
      <c r="C22615" s="6">
        <v>5000</v>
      </c>
      <c r="D22615" s="7">
        <v>0.15</v>
      </c>
    </row>
    <row r="22616" spans="1:4" x14ac:dyDescent="0.25">
      <c r="A22616" t="str">
        <f>HYPERLINK("https://www.773grp.com/globalSearch/RD6.2E-T2-AZ/page-1", "RD6.2E-T2-AZ")</f>
        <v>RD6.2E-T2-AZ</v>
      </c>
      <c r="B22616" s="3" t="str">
        <f>HYPERLINK("https://www.773grp.com/manufacturer/renesas-electronics-america-inc?pageNo=472", "Renesas Electronics")</f>
        <v>Renesas Electronics</v>
      </c>
      <c r="C22616" s="6">
        <v>425000</v>
      </c>
      <c r="D22616" s="7">
        <v>0.15</v>
      </c>
    </row>
    <row r="22617" spans="1:4" x14ac:dyDescent="0.25">
      <c r="A22617" t="str">
        <f>HYPERLINK("https://www.773grp.com/globalSearch/RD6.2E-T4/page-1", "RD6.2E-T4")</f>
        <v>RD6.2E-T4</v>
      </c>
      <c r="B22617" s="3" t="str">
        <f>HYPERLINK("https://www.773grp.com/manufacturer/renesas-electronics-america-inc?pageNo=473", "Renesas Electronics")</f>
        <v>Renesas Electronics</v>
      </c>
      <c r="C22617" s="6">
        <v>25000</v>
      </c>
      <c r="D22617" s="7">
        <v>0.15</v>
      </c>
    </row>
    <row r="22618" spans="1:4" x14ac:dyDescent="0.25">
      <c r="A22618" t="str">
        <f>HYPERLINK("https://www.773grp.com/globalSearch/RD6.2E-T4-AZ/page-1", "RD6.2E-T4-AZ")</f>
        <v>RD6.2E-T4-AZ</v>
      </c>
      <c r="B22618" s="3" t="str">
        <f>HYPERLINK("https://www.773grp.com/manufacturer/renesas-electronics-america-inc?pageNo=474", "Renesas Electronics")</f>
        <v>Renesas Electronics</v>
      </c>
      <c r="C22618" s="6">
        <v>425000</v>
      </c>
      <c r="D22618" s="7">
        <v>0.15</v>
      </c>
    </row>
    <row r="22619" spans="1:4" x14ac:dyDescent="0.25">
      <c r="A22619" t="str">
        <f>HYPERLINK("https://www.773grp.com/globalSearch/RD6.2E-TB/page-1", "RD6.2E-TB")</f>
        <v>RD6.2E-TB</v>
      </c>
      <c r="B22619" s="3" t="str">
        <f>HYPERLINK("https://www.773grp.com/manufacturer/renesas-electronics-america-inc?pageNo=475", "Renesas Electronics")</f>
        <v>Renesas Electronics</v>
      </c>
      <c r="C22619" s="6">
        <v>92500</v>
      </c>
      <c r="D22619" s="7">
        <v>0.15</v>
      </c>
    </row>
    <row r="22620" spans="1:4" x14ac:dyDescent="0.25">
      <c r="A22620" t="str">
        <f>HYPERLINK("https://www.773grp.com/globalSearch/RD6.2JS/page-1", "RD6.2JS")</f>
        <v>RD6.2JS</v>
      </c>
      <c r="B22620" s="3" t="str">
        <f>HYPERLINK("https://www.773grp.com/manufacturer/renesas-electronics-america-inc?pageNo=476", "Renesas Electronics")</f>
        <v>Renesas Electronics</v>
      </c>
      <c r="C22620" s="6">
        <v>5850</v>
      </c>
      <c r="D22620" s="7">
        <v>0.15</v>
      </c>
    </row>
    <row r="22621" spans="1:4" x14ac:dyDescent="0.25">
      <c r="A22621" t="str">
        <f>HYPERLINK("https://www.773grp.com/globalSearch/RD6.2JS-AZ/page-1", "RD6.2JS-AZ")</f>
        <v>RD6.2JS-AZ</v>
      </c>
      <c r="B22621" s="3" t="str">
        <f>HYPERLINK("https://www.773grp.com/manufacturer/renesas-electronics-america-inc?pageNo=477", "Renesas Electronics")</f>
        <v>Renesas Electronics</v>
      </c>
      <c r="C22621" s="6">
        <v>340800</v>
      </c>
      <c r="D22621" s="7">
        <v>0.15</v>
      </c>
    </row>
    <row r="22622" spans="1:4" x14ac:dyDescent="0.25">
      <c r="A22622" t="str">
        <f>HYPERLINK("https://www.773grp.com/globalSearch/RD6.2JS-T4-AZ/page-1", "RD6.2JS-T4-AZ")</f>
        <v>RD6.2JS-T4-AZ</v>
      </c>
      <c r="B22622" s="3" t="str">
        <f>HYPERLINK("https://www.773grp.com/manufacturer/renesas-electronics-america-inc?pageNo=478", "Renesas Electronics")</f>
        <v>Renesas Electronics</v>
      </c>
      <c r="C22622" s="6">
        <v>320000</v>
      </c>
      <c r="D22622" s="7">
        <v>0.15</v>
      </c>
    </row>
    <row r="22623" spans="1:4" x14ac:dyDescent="0.25">
      <c r="A22623" t="str">
        <f>HYPERLINK("https://www.773grp.com/globalSearch/RD6.8ES-AZ/page-1", "RD6.8ES-AZ")</f>
        <v>RD6.8ES-AZ</v>
      </c>
      <c r="B22623" s="3" t="str">
        <f>HYPERLINK("https://www.773grp.com/manufacturer/renesas-electronics-america-inc?pageNo=479", "Renesas Electronics")</f>
        <v>Renesas Electronics</v>
      </c>
      <c r="C22623" s="6">
        <v>7750</v>
      </c>
      <c r="D22623" s="7">
        <v>0.15</v>
      </c>
    </row>
    <row r="22624" spans="1:4" x14ac:dyDescent="0.25">
      <c r="A22624" t="str">
        <f>HYPERLINK("https://www.773grp.com/globalSearch/RD6.8ES-T1/page-1", "RD6.8ES-T1")</f>
        <v>RD6.8ES-T1</v>
      </c>
      <c r="B22624" s="3" t="str">
        <f>HYPERLINK("https://www.773grp.com/manufacturer/renesas-electronics-america-inc?pageNo=480", "Renesas Electronics")</f>
        <v>Renesas Electronics</v>
      </c>
      <c r="C22624" s="6">
        <v>42000</v>
      </c>
      <c r="D22624" s="7">
        <v>0.15</v>
      </c>
    </row>
    <row r="22625" spans="1:4" x14ac:dyDescent="0.25">
      <c r="A22625" t="str">
        <f>HYPERLINK("https://www.773grp.com/globalSearch/RD6.8ES-T2-AZ/page-1", "RD6.8ES-T2-AZ")</f>
        <v>RD6.8ES-T2-AZ</v>
      </c>
      <c r="B22625" s="3" t="str">
        <f>HYPERLINK("https://www.773grp.com/manufacturer/renesas-electronics-america-inc?pageNo=481", "Renesas Electronics")</f>
        <v>Renesas Electronics</v>
      </c>
      <c r="C22625" s="6">
        <v>40000</v>
      </c>
      <c r="D22625" s="7">
        <v>0.15</v>
      </c>
    </row>
    <row r="22626" spans="1:4" x14ac:dyDescent="0.25">
      <c r="A22626" t="str">
        <f>HYPERLINK("https://www.773grp.com/globalSearch/RD6.8ES-T4/page-1", "RD6.8ES-T4")</f>
        <v>RD6.8ES-T4</v>
      </c>
      <c r="B22626" s="3" t="str">
        <f>HYPERLINK("https://www.773grp.com/manufacturer/renesas-electronics-america-inc?pageNo=482", "Renesas Electronics")</f>
        <v>Renesas Electronics</v>
      </c>
      <c r="C22626" s="6">
        <v>105000</v>
      </c>
      <c r="D22626" s="7">
        <v>0.15</v>
      </c>
    </row>
    <row r="22627" spans="1:4" x14ac:dyDescent="0.25">
      <c r="A22627" t="str">
        <f>HYPERLINK("https://www.773grp.com/globalSearch/RD6.8E-T2/page-1", "RD6.8E-T2")</f>
        <v>RD6.8E-T2</v>
      </c>
      <c r="B22627" s="3" t="str">
        <f>HYPERLINK("https://www.773grp.com/manufacturer/renesas-electronics-america-inc?pageNo=483", "Renesas Electronics")</f>
        <v>Renesas Electronics</v>
      </c>
      <c r="C22627" s="6">
        <v>875000</v>
      </c>
      <c r="D22627" s="7">
        <v>0.15</v>
      </c>
    </row>
    <row r="22628" spans="1:4" x14ac:dyDescent="0.25">
      <c r="A22628" t="str">
        <f>HYPERLINK("https://www.773grp.com/globalSearch/RD6.8E-T4-AZ/page-1", "RD6.8E-T4-AZ")</f>
        <v>RD6.8E-T4-AZ</v>
      </c>
      <c r="B22628" s="3" t="str">
        <f>HYPERLINK("https://www.773grp.com/manufacturer/renesas-electronics-america-inc?pageNo=484", "Renesas Electronics")</f>
        <v>Renesas Electronics</v>
      </c>
      <c r="C22628" s="6">
        <v>105000</v>
      </c>
      <c r="D22628" s="7">
        <v>0.15</v>
      </c>
    </row>
    <row r="22629" spans="1:4" x14ac:dyDescent="0.25">
      <c r="A22629" t="str">
        <f>HYPERLINK("https://www.773grp.com/globalSearch/RD6.8E-TB/page-1", "RD6.8E-TB")</f>
        <v>RD6.8E-TB</v>
      </c>
      <c r="B22629" s="3" t="str">
        <f>HYPERLINK("https://www.773grp.com/manufacturer/renesas-electronics-america-inc?pageNo=485", "Renesas Electronics")</f>
        <v>Renesas Electronics</v>
      </c>
      <c r="C22629" s="6">
        <v>45000</v>
      </c>
      <c r="D22629" s="7">
        <v>0.15</v>
      </c>
    </row>
    <row r="22630" spans="1:4" x14ac:dyDescent="0.25">
      <c r="A22630" t="str">
        <f>HYPERLINK("https://www.773grp.com/globalSearch/RD6.8E-TB-AZ/page-1", "RD6.8E-TB-AZ")</f>
        <v>RD6.8E-TB-AZ</v>
      </c>
      <c r="B22630" s="3" t="str">
        <f>HYPERLINK("https://www.773grp.com/manufacturer/renesas-electronics-america-inc?pageNo=486", "Renesas Electronics")</f>
        <v>Renesas Electronics</v>
      </c>
      <c r="C22630" s="6">
        <v>101250</v>
      </c>
      <c r="D22630" s="7">
        <v>0.15</v>
      </c>
    </row>
    <row r="22631" spans="1:4" x14ac:dyDescent="0.25">
      <c r="A22631" t="str">
        <f>HYPERLINK("https://www.773grp.com/globalSearch/RD6.8JS-AZ/page-1", "RD6.8JS-AZ")</f>
        <v>RD6.8JS-AZ</v>
      </c>
      <c r="B22631" s="3" t="str">
        <f>HYPERLINK("https://www.773grp.com/manufacturer/renesas-electronics-america-inc?pageNo=487", "Renesas Electronics")</f>
        <v>Renesas Electronics</v>
      </c>
      <c r="C22631" s="6">
        <v>14800</v>
      </c>
      <c r="D22631" s="7">
        <v>0.15</v>
      </c>
    </row>
    <row r="22632" spans="1:4" x14ac:dyDescent="0.25">
      <c r="A22632" t="str">
        <f>HYPERLINK("https://www.773grp.com/globalSearch/RD7.5ES/page-1", "RD7.5ES")</f>
        <v>RD7.5ES</v>
      </c>
      <c r="B22632" s="3" t="str">
        <f>HYPERLINK("https://www.773grp.com/manufacturer/renesas-electronics-america-inc?pageNo=488", "Renesas Electronics")</f>
        <v>Renesas Electronics</v>
      </c>
      <c r="C22632" s="6">
        <v>141310</v>
      </c>
      <c r="D22632" s="7">
        <v>0.15</v>
      </c>
    </row>
    <row r="22633" spans="1:4" x14ac:dyDescent="0.25">
      <c r="A22633" t="str">
        <f>HYPERLINK("https://www.773grp.com/globalSearch/RD7.5ES-AZ/page-1", "RD7.5ES-AZ")</f>
        <v>RD7.5ES-AZ</v>
      </c>
      <c r="B22633" s="3" t="str">
        <f>HYPERLINK("https://www.773grp.com/manufacturer/renesas-electronics-america-inc?pageNo=489", "Renesas Electronics")</f>
        <v>Renesas Electronics</v>
      </c>
      <c r="C22633" s="6">
        <v>7800</v>
      </c>
      <c r="D22633" s="7">
        <v>0.15</v>
      </c>
    </row>
    <row r="22634" spans="1:4" x14ac:dyDescent="0.25">
      <c r="A22634" t="str">
        <f>HYPERLINK("https://www.773grp.com/globalSearch/RD7.5ES-T4/page-1", "RD7.5ES-T4")</f>
        <v>RD7.5ES-T4</v>
      </c>
      <c r="B22634" s="3" t="str">
        <f>HYPERLINK("https://www.773grp.com/manufacturer/renesas-electronics-america-inc?pageNo=490", "Renesas Electronics")</f>
        <v>Renesas Electronics</v>
      </c>
      <c r="C22634" s="6">
        <v>5000</v>
      </c>
      <c r="D22634" s="7">
        <v>0.15</v>
      </c>
    </row>
    <row r="22635" spans="1:4" x14ac:dyDescent="0.25">
      <c r="A22635" t="str">
        <f>HYPERLINK("https://www.773grp.com/globalSearch/RD7.5ES-T4-AZ/page-1", "RD7.5ES-T4-AZ")</f>
        <v>RD7.5ES-T4-AZ</v>
      </c>
      <c r="B22635" s="3" t="str">
        <f>HYPERLINK("https://www.773grp.com/manufacturer/renesas-electronics-america-inc?pageNo=491", "Renesas Electronics")</f>
        <v>Renesas Electronics</v>
      </c>
      <c r="C22635" s="6">
        <v>25000</v>
      </c>
      <c r="D22635" s="7">
        <v>0.15</v>
      </c>
    </row>
    <row r="22636" spans="1:4" x14ac:dyDescent="0.25">
      <c r="A22636" t="str">
        <f>HYPERLINK("https://www.773grp.com/globalSearch/RD7.5E-T1/page-1", "RD7.5E-T1")</f>
        <v>RD7.5E-T1</v>
      </c>
      <c r="B22636" s="3" t="str">
        <f>HYPERLINK("https://www.773grp.com/manufacturer/renesas-electronics-america-inc?pageNo=492", "Renesas Electronics")</f>
        <v>Renesas Electronics</v>
      </c>
      <c r="C22636" s="6">
        <v>56000</v>
      </c>
      <c r="D22636" s="7">
        <v>0.15</v>
      </c>
    </row>
    <row r="22637" spans="1:4" x14ac:dyDescent="0.25">
      <c r="A22637" t="str">
        <f>HYPERLINK("https://www.773grp.com/globalSearch/RD7.5E-T2-AZ/page-1", "RD7.5E-T2-AZ")</f>
        <v>RD7.5E-T2-AZ</v>
      </c>
      <c r="B22637" s="3" t="str">
        <f>HYPERLINK("https://www.773grp.com/manufacturer/renesas-electronics-america-inc?pageNo=493", "Renesas Electronics")</f>
        <v>Renesas Electronics</v>
      </c>
      <c r="C22637" s="6">
        <v>45000</v>
      </c>
      <c r="D22637" s="7">
        <v>0.15</v>
      </c>
    </row>
    <row r="22638" spans="1:4" x14ac:dyDescent="0.25">
      <c r="A22638" t="str">
        <f>HYPERLINK("https://www.773grp.com/globalSearch/RD7.5E-T4/page-1", "RD7.5E-T4")</f>
        <v>RD7.5E-T4</v>
      </c>
      <c r="B22638" s="3" t="str">
        <f>HYPERLINK("https://www.773grp.com/manufacturer/renesas-electronics-america-inc?pageNo=494", "Renesas Electronics")</f>
        <v>Renesas Electronics</v>
      </c>
      <c r="C22638" s="6">
        <v>95000</v>
      </c>
      <c r="D22638" s="7">
        <v>0.15</v>
      </c>
    </row>
    <row r="22639" spans="1:4" x14ac:dyDescent="0.25">
      <c r="A22639" t="str">
        <f>HYPERLINK("https://www.773grp.com/globalSearch/RD7.5E-T4-AZ/page-1", "RD7.5E-T4-AZ")</f>
        <v>RD7.5E-T4-AZ</v>
      </c>
      <c r="B22639" s="3" t="str">
        <f>HYPERLINK("https://www.773grp.com/manufacturer/renesas-electronics-america-inc?pageNo=495", "Renesas Electronics")</f>
        <v>Renesas Electronics</v>
      </c>
      <c r="C22639" s="6">
        <v>110000</v>
      </c>
      <c r="D22639" s="7">
        <v>0.15</v>
      </c>
    </row>
    <row r="22640" spans="1:4" x14ac:dyDescent="0.25">
      <c r="A22640" t="str">
        <f>HYPERLINK("https://www.773grp.com/globalSearch/RD7.5E-TB/page-1", "RD7.5E-TB")</f>
        <v>RD7.5E-TB</v>
      </c>
      <c r="B22640" s="3" t="str">
        <f>HYPERLINK("https://www.773grp.com/manufacturer/renesas-electronics-america-inc?pageNo=496", "Renesas Electronics")</f>
        <v>Renesas Electronics</v>
      </c>
      <c r="C22640" s="6">
        <v>87500</v>
      </c>
      <c r="D22640" s="7">
        <v>0.15</v>
      </c>
    </row>
    <row r="22641" spans="1:4" x14ac:dyDescent="0.25">
      <c r="A22641" t="str">
        <f>HYPERLINK("https://www.773grp.com/globalSearch/RD7.5E-TB-AZ/page-1", "RD7.5E-TB-AZ")</f>
        <v>RD7.5E-TB-AZ</v>
      </c>
      <c r="B22641" s="3" t="str">
        <f>HYPERLINK("https://www.773grp.com/manufacturer/renesas-electronics-america-inc?pageNo=497", "Renesas Electronics")</f>
        <v>Renesas Electronics</v>
      </c>
      <c r="C22641" s="6">
        <v>37500</v>
      </c>
      <c r="D22641" s="7">
        <v>0.15</v>
      </c>
    </row>
    <row r="22642" spans="1:4" x14ac:dyDescent="0.25">
      <c r="A22642" t="str">
        <f>HYPERLINK("https://www.773grp.com/globalSearch/RD7.5JS-AZ/page-1", "RD7.5JS-AZ")</f>
        <v>RD7.5JS-AZ</v>
      </c>
      <c r="B22642" s="3" t="str">
        <f>HYPERLINK("https://www.773grp.com/manufacturer/renesas-electronics-america-inc?pageNo=498", "Renesas Electronics")</f>
        <v>Renesas Electronics</v>
      </c>
      <c r="C22642" s="6">
        <v>2600</v>
      </c>
      <c r="D22642" s="7">
        <v>0.15</v>
      </c>
    </row>
    <row r="22643" spans="1:4" x14ac:dyDescent="0.25">
      <c r="A22643" t="str">
        <f>HYPERLINK("https://www.773grp.com/globalSearch/RD8.2E/page-1", "RD8.2E")</f>
        <v>RD8.2E</v>
      </c>
      <c r="B22643" s="3" t="str">
        <f>HYPERLINK("https://www.773grp.com/manufacturer/renesas-electronics-america-inc?pageNo=499", "Renesas Electronics")</f>
        <v>Renesas Electronics</v>
      </c>
      <c r="C22643" s="6">
        <v>80010</v>
      </c>
      <c r="D22643" s="7">
        <v>0.15</v>
      </c>
    </row>
    <row r="22644" spans="1:4" x14ac:dyDescent="0.25">
      <c r="A22644" t="str">
        <f>HYPERLINK("https://www.773grp.com/globalSearch/RD8.2ES-AZ/page-1", "RD8.2ES-AZ")</f>
        <v>RD8.2ES-AZ</v>
      </c>
      <c r="B22644" s="3" t="str">
        <f>HYPERLINK("https://www.773grp.com/manufacturer/renesas-electronics-america-inc?pageNo=500", "Renesas Electronics")</f>
        <v>Renesas Electronics</v>
      </c>
      <c r="C22644" s="6">
        <v>49630</v>
      </c>
      <c r="D22644" s="7">
        <v>0.15</v>
      </c>
    </row>
    <row r="22645" spans="1:4" x14ac:dyDescent="0.25">
      <c r="A22645" t="str">
        <f>HYPERLINK("https://www.773grp.com/globalSearch/RD8.2ES-T1/page-1", "RD8.2ES-T1")</f>
        <v>RD8.2ES-T1</v>
      </c>
      <c r="B22645" s="3" t="str">
        <f>HYPERLINK("https://www.773grp.com/manufacturer/renesas-electronics-america-inc?pageNo=501", "Renesas Electronics")</f>
        <v>Renesas Electronics</v>
      </c>
      <c r="C22645" s="6">
        <v>106000</v>
      </c>
      <c r="D22645" s="7">
        <v>0.15</v>
      </c>
    </row>
    <row r="22646" spans="1:4" x14ac:dyDescent="0.25">
      <c r="A22646" t="str">
        <f>HYPERLINK("https://www.773grp.com/globalSearch/RD8.2ES-T4-AZ/page-1", "RD8.2ES-T4-AZ")</f>
        <v>RD8.2ES-T4-AZ</v>
      </c>
      <c r="B22646" s="3" t="str">
        <f>HYPERLINK("https://www.773grp.com/manufacturer/renesas-electronics-america-inc?pageNo=502", "Renesas Electronics")</f>
        <v>Renesas Electronics</v>
      </c>
      <c r="C22646" s="6">
        <v>55000</v>
      </c>
      <c r="D22646" s="7">
        <v>0.15</v>
      </c>
    </row>
    <row r="22647" spans="1:4" x14ac:dyDescent="0.25">
      <c r="A22647" t="str">
        <f>HYPERLINK("https://www.773grp.com/globalSearch/RD8.2E-T1/page-1", "RD8.2E-T1")</f>
        <v>RD8.2E-T1</v>
      </c>
      <c r="B22647" s="3" t="str">
        <f>HYPERLINK("https://www.773grp.com/manufacturer/renesas-electronics-america-inc?pageNo=503", "Renesas Electronics")</f>
        <v>Renesas Electronics</v>
      </c>
      <c r="C22647" s="6">
        <v>108000</v>
      </c>
      <c r="D22647" s="7">
        <v>0.15</v>
      </c>
    </row>
    <row r="22648" spans="1:4" x14ac:dyDescent="0.25">
      <c r="A22648" t="str">
        <f>HYPERLINK("https://www.773grp.com/globalSearch/RD8.2E-T2/page-1", "RD8.2E-T2")</f>
        <v>RD8.2E-T2</v>
      </c>
      <c r="B22648" s="3" t="str">
        <f>HYPERLINK("https://www.773grp.com/manufacturer/renesas-electronics-america-inc?pageNo=504", "Renesas Electronics")</f>
        <v>Renesas Electronics</v>
      </c>
      <c r="C22648" s="6">
        <v>100000</v>
      </c>
      <c r="D22648" s="7">
        <v>0.15</v>
      </c>
    </row>
    <row r="22649" spans="1:4" x14ac:dyDescent="0.25">
      <c r="A22649" t="str">
        <f>HYPERLINK("https://www.773grp.com/globalSearch/RD8.2E-T2-AZ/page-1", "RD8.2E-T2-AZ")</f>
        <v>RD8.2E-T2-AZ</v>
      </c>
      <c r="B22649" s="3" t="str">
        <f>HYPERLINK("https://www.773grp.com/manufacturer/renesas-electronics-america-inc?pageNo=505", "Renesas Electronics")</f>
        <v>Renesas Electronics</v>
      </c>
      <c r="C22649" s="6">
        <v>25000</v>
      </c>
      <c r="D22649" s="7">
        <v>0.15</v>
      </c>
    </row>
    <row r="22650" spans="1:4" x14ac:dyDescent="0.25">
      <c r="A22650" t="str">
        <f>HYPERLINK("https://www.773grp.com/globalSearch/RD8.2E-T4/page-1", "RD8.2E-T4")</f>
        <v>RD8.2E-T4</v>
      </c>
      <c r="B22650" s="3" t="str">
        <f>HYPERLINK("https://www.773grp.com/manufacturer/renesas-electronics-america-inc?pageNo=506", "Renesas Electronics")</f>
        <v>Renesas Electronics</v>
      </c>
      <c r="C22650" s="6">
        <v>25000</v>
      </c>
      <c r="D22650" s="7">
        <v>0.15</v>
      </c>
    </row>
    <row r="22651" spans="1:4" x14ac:dyDescent="0.25">
      <c r="A22651" t="str">
        <f>HYPERLINK("https://www.773grp.com/globalSearch/RD8.2E-T4-AZ/page-1", "RD8.2E-T4-AZ")</f>
        <v>RD8.2E-T4-AZ</v>
      </c>
      <c r="B22651" s="3" t="str">
        <f>HYPERLINK("https://www.773grp.com/manufacturer/renesas-electronics-america-inc?pageNo=507", "Renesas Electronics")</f>
        <v>Renesas Electronics</v>
      </c>
      <c r="C22651" s="6">
        <v>20000</v>
      </c>
      <c r="D22651" s="7">
        <v>0.15</v>
      </c>
    </row>
    <row r="22652" spans="1:4" x14ac:dyDescent="0.25">
      <c r="A22652" t="str">
        <f>HYPERLINK("https://www.773grp.com/globalSearch/RD8.2E-TB-AZ/page-1", "RD8.2E-TB-AZ")</f>
        <v>RD8.2E-TB-AZ</v>
      </c>
      <c r="B22652" s="3" t="str">
        <f>HYPERLINK("https://www.773grp.com/manufacturer/renesas-electronics-america-inc?pageNo=508", "Renesas Electronics")</f>
        <v>Renesas Electronics</v>
      </c>
      <c r="C22652" s="6">
        <v>142500</v>
      </c>
      <c r="D22652" s="7">
        <v>0.15</v>
      </c>
    </row>
    <row r="22653" spans="1:4" x14ac:dyDescent="0.25">
      <c r="A22653" t="str">
        <f>HYPERLINK("https://www.773grp.com/globalSearch/RD8.2JS-AZ/page-1", "RD8.2JS-AZ")</f>
        <v>RD8.2JS-AZ</v>
      </c>
      <c r="B22653" s="3" t="str">
        <f>HYPERLINK("https://www.773grp.com/manufacturer/renesas-electronics-america-inc?pageNo=509", "Renesas Electronics")</f>
        <v>Renesas Electronics</v>
      </c>
      <c r="C22653" s="6">
        <v>9300</v>
      </c>
      <c r="D22653" s="7">
        <v>0.15</v>
      </c>
    </row>
    <row r="22654" spans="1:4" x14ac:dyDescent="0.25">
      <c r="A22654" t="str">
        <f>HYPERLINK("https://www.773grp.com/globalSearch/RD9.1E/page-1", "RD9.1E")</f>
        <v>RD9.1E</v>
      </c>
      <c r="B22654" s="3" t="str">
        <f>HYPERLINK("https://www.773grp.com/manufacturer/renesas-electronics-america-inc?pageNo=510", "Renesas Electronics")</f>
        <v>Renesas Electronics</v>
      </c>
      <c r="C22654" s="6">
        <v>251002</v>
      </c>
      <c r="D22654" s="7">
        <v>0.15</v>
      </c>
    </row>
    <row r="22655" spans="1:4" x14ac:dyDescent="0.25">
      <c r="A22655" t="str">
        <f>HYPERLINK("https://www.773grp.com/globalSearch/RD9.1ES-AZ/page-1", "RD9.1ES-AZ")</f>
        <v>RD9.1ES-AZ</v>
      </c>
      <c r="B22655" s="3" t="str">
        <f>HYPERLINK("https://www.773grp.com/manufacturer/renesas-electronics-america-inc?pageNo=511", "Renesas Electronics")</f>
        <v>Renesas Electronics</v>
      </c>
      <c r="C22655" s="6">
        <v>92290</v>
      </c>
      <c r="D22655" s="7">
        <v>0.15</v>
      </c>
    </row>
    <row r="22656" spans="1:4" x14ac:dyDescent="0.25">
      <c r="A22656" t="str">
        <f>HYPERLINK("https://www.773grp.com/globalSearch/RD9.1ES-T1/page-1", "RD9.1ES-T1")</f>
        <v>RD9.1ES-T1</v>
      </c>
      <c r="B22656" s="3" t="str">
        <f>HYPERLINK("https://www.773grp.com/manufacturer/renesas-electronics-america-inc?pageNo=512", "Renesas Electronics")</f>
        <v>Renesas Electronics</v>
      </c>
      <c r="C22656" s="6">
        <v>32000</v>
      </c>
      <c r="D22656" s="7">
        <v>0.15</v>
      </c>
    </row>
    <row r="22657" spans="1:4" x14ac:dyDescent="0.25">
      <c r="A22657" t="str">
        <f>HYPERLINK("https://www.773grp.com/globalSearch/RD9.1ES-T1-AZ/page-1", "RD9.1ES-T1-AZ")</f>
        <v>RD9.1ES-T1-AZ</v>
      </c>
      <c r="B22657" s="3" t="str">
        <f>HYPERLINK("https://www.773grp.com/manufacturer/renesas-electronics-america-inc?pageNo=513", "Renesas Electronics")</f>
        <v>Renesas Electronics</v>
      </c>
      <c r="C22657" s="6">
        <v>100000</v>
      </c>
      <c r="D22657" s="7">
        <v>0.15</v>
      </c>
    </row>
    <row r="22658" spans="1:4" x14ac:dyDescent="0.25">
      <c r="A22658" t="str">
        <f>HYPERLINK("https://www.773grp.com/globalSearch/RD9.1ES-T4-AZ/page-1", "RD9.1ES-T4-AZ")</f>
        <v>RD9.1ES-T4-AZ</v>
      </c>
      <c r="B22658" s="3" t="str">
        <f>HYPERLINK("https://www.773grp.com/manufacturer/renesas-electronics-america-inc?pageNo=514", "Renesas Electronics")</f>
        <v>Renesas Electronics</v>
      </c>
      <c r="C22658" s="6">
        <v>50000</v>
      </c>
      <c r="D22658" s="7">
        <v>0.15</v>
      </c>
    </row>
    <row r="22659" spans="1:4" x14ac:dyDescent="0.25">
      <c r="A22659" t="str">
        <f>HYPERLINK("https://www.773grp.com/globalSearch/RD9.1E-T4-AZ/page-1", "RD9.1E-T4-AZ")</f>
        <v>RD9.1E-T4-AZ</v>
      </c>
      <c r="B22659" s="3" t="str">
        <f>HYPERLINK("https://www.773grp.com/manufacturer/renesas-electronics-america-inc?pageNo=515", "Renesas Electronics")</f>
        <v>Renesas Electronics</v>
      </c>
      <c r="C22659" s="6">
        <v>40000</v>
      </c>
      <c r="D22659" s="7">
        <v>0.15</v>
      </c>
    </row>
    <row r="22660" spans="1:4" x14ac:dyDescent="0.25">
      <c r="A22660" t="str">
        <f>HYPERLINK("https://www.773grp.com/globalSearch/RD9.1E-TB/page-1", "RD9.1E-TB")</f>
        <v>RD9.1E-TB</v>
      </c>
      <c r="B22660" s="3" t="str">
        <f>HYPERLINK("https://www.773grp.com/manufacturer/renesas-electronics-america-inc?pageNo=516", "Renesas Electronics")</f>
        <v>Renesas Electronics</v>
      </c>
      <c r="C22660" s="6">
        <v>52500</v>
      </c>
      <c r="D22660" s="7">
        <v>0.15</v>
      </c>
    </row>
    <row r="22661" spans="1:4" x14ac:dyDescent="0.25">
      <c r="A22661" t="str">
        <f>HYPERLINK("https://www.773grp.com/globalSearch/RD9.1JS-AZ/page-1", "RD9.1JS-AZ")</f>
        <v>RD9.1JS-AZ</v>
      </c>
      <c r="B22661" s="3" t="str">
        <f>HYPERLINK("https://www.773grp.com/manufacturer/renesas-electronics-america-inc?pageNo=517", "Renesas Electronics")</f>
        <v>Renesas Electronics</v>
      </c>
      <c r="C22661" s="6">
        <v>8600</v>
      </c>
      <c r="D22661" s="7">
        <v>0.15</v>
      </c>
    </row>
    <row r="22662" spans="1:4" x14ac:dyDescent="0.25">
      <c r="A22662" t="str">
        <f>HYPERLINK("https://www.773grp.com/globalSearch/RD9.1JS-T1/page-1", "RD9.1JS-T1")</f>
        <v>RD9.1JS-T1</v>
      </c>
      <c r="B22662" s="3" t="str">
        <f>HYPERLINK("https://www.773grp.com/manufacturer/renesas-electronics-america-inc?pageNo=518", "Renesas Electronics")</f>
        <v>Renesas Electronics</v>
      </c>
      <c r="C22662" s="6">
        <v>26000</v>
      </c>
      <c r="D22662" s="7">
        <v>0.15</v>
      </c>
    </row>
    <row r="22663" spans="1:4" x14ac:dyDescent="0.25">
      <c r="A22663" t="str">
        <f>HYPERLINK("https://www.773grp.com/globalSearch/RD9.1JS-T1-AZ/page-1", "RD9.1JS-T1-AZ")</f>
        <v>RD9.1JS-T1-AZ</v>
      </c>
      <c r="B22663" s="3" t="str">
        <f>HYPERLINK("https://www.773grp.com/manufacturer/renesas-electronics-america-inc?pageNo=519", "Renesas Electronics")</f>
        <v>Renesas Electronics</v>
      </c>
      <c r="C22663" s="6">
        <v>20000</v>
      </c>
      <c r="D22663" s="7">
        <v>0.15</v>
      </c>
    </row>
    <row r="22664" spans="1:4" x14ac:dyDescent="0.25">
      <c r="A22664" t="str">
        <f>HYPERLINK("https://www.773grp.com/globalSearch/RKS100KG#P1/page-1", "RKS100KG#P1")</f>
        <v>RKS100KG#P1</v>
      </c>
      <c r="B22664" s="3" t="str">
        <f>HYPERLINK("https://www.773grp.com/manufacturer/renesas-electronics-america-inc?pageNo=520", "Renesas Electronics")</f>
        <v>Renesas Electronics</v>
      </c>
      <c r="C22664" s="6">
        <v>36000</v>
      </c>
      <c r="D22664" s="7">
        <v>0.15</v>
      </c>
    </row>
    <row r="22665" spans="1:4" x14ac:dyDescent="0.25">
      <c r="A22665" t="str">
        <f>HYPERLINK("https://www.773grp.com/globalSearch/RKV500KG-E#P1/page-1", "RKV500KG-E#P1")</f>
        <v>RKV500KG-E#P1</v>
      </c>
      <c r="B22665" s="3" t="str">
        <f>HYPERLINK("https://www.773grp.com/manufacturer/renesas-electronics-america-inc?pageNo=521", "Renesas Electronics")</f>
        <v>Renesas Electronics</v>
      </c>
      <c r="C22665" s="6">
        <v>324000</v>
      </c>
      <c r="D22665" s="7">
        <v>0.15</v>
      </c>
    </row>
    <row r="22666" spans="1:4" x14ac:dyDescent="0.25">
      <c r="A22666" t="str">
        <f>HYPERLINK("https://www.773grp.com/globalSearch/RKV501KG-E#P1/page-1", "RKV501KG-E#P1")</f>
        <v>RKV501KG-E#P1</v>
      </c>
      <c r="B22666" s="3" t="str">
        <f>HYPERLINK("https://www.773grp.com/manufacturer/renesas-electronics-america-inc?pageNo=522", "Renesas Electronics")</f>
        <v>Renesas Electronics</v>
      </c>
      <c r="C22666" s="6">
        <v>102000</v>
      </c>
      <c r="D22666" s="7">
        <v>0.15</v>
      </c>
    </row>
    <row r="22667" spans="1:4" x14ac:dyDescent="0.25">
      <c r="A22667" t="str">
        <f>HYPERLINK("https://www.773grp.com/globalSearch/RKZ11B2KJ#R1/page-1", "RKZ11B2KJ#R1")</f>
        <v>RKZ11B2KJ#R1</v>
      </c>
      <c r="B22667" s="3" t="str">
        <f>HYPERLINK("https://www.773grp.com/manufacturer/renesas-electronics-america-inc?pageNo=523", "Renesas Electronics")</f>
        <v>Renesas Electronics</v>
      </c>
      <c r="C22667" s="6">
        <v>16000</v>
      </c>
      <c r="D22667" s="7">
        <v>0.15</v>
      </c>
    </row>
    <row r="22668" spans="1:4" x14ac:dyDescent="0.25">
      <c r="A22668" t="str">
        <f>HYPERLINK("https://www.773grp.com/globalSearch/RKZ15B2KJ#R1/page-1", "RKZ15B2KJ#R1")</f>
        <v>RKZ15B2KJ#R1</v>
      </c>
      <c r="B22668" s="3" t="str">
        <f>HYPERLINK("https://www.773grp.com/manufacturer/renesas-electronics-america-inc?pageNo=524", "Renesas Electronics")</f>
        <v>Renesas Electronics</v>
      </c>
      <c r="C22668" s="6">
        <v>136000</v>
      </c>
      <c r="D22668" s="7">
        <v>0.15</v>
      </c>
    </row>
    <row r="22669" spans="1:4" x14ac:dyDescent="0.25">
      <c r="A22669" t="str">
        <f>HYPERLINK("https://www.773grp.com/globalSearch/RKZ16B2KJ#R1/page-1", "RKZ16B2KJ#R1")</f>
        <v>RKZ16B2KJ#R1</v>
      </c>
      <c r="B22669" s="3" t="str">
        <f>HYPERLINK("https://www.773grp.com/manufacturer/renesas-electronics-america-inc?pageNo=525", "Renesas Electronics")</f>
        <v>Renesas Electronics</v>
      </c>
      <c r="C22669" s="6">
        <v>184000</v>
      </c>
      <c r="D22669" s="7">
        <v>0.15</v>
      </c>
    </row>
    <row r="22670" spans="1:4" x14ac:dyDescent="0.25">
      <c r="A22670" t="str">
        <f>HYPERLINK("https://www.773grp.com/globalSearch/RKZ2.0BKJ#R6/page-1", "RKZ2.0BKJ#R6")</f>
        <v>RKZ2.0BKJ#R6</v>
      </c>
      <c r="B22670" s="3" t="str">
        <f>HYPERLINK("https://www.773grp.com/manufacturer/renesas-electronics-america-inc?pageNo=526", "Renesas Electronics")</f>
        <v>Renesas Electronics</v>
      </c>
      <c r="C22670" s="6">
        <v>24000</v>
      </c>
      <c r="D22670" s="7">
        <v>0.15</v>
      </c>
    </row>
    <row r="22671" spans="1:4" x14ac:dyDescent="0.25">
      <c r="A22671" t="str">
        <f>HYPERLINK("https://www.773grp.com/globalSearch/RKZ20B2KJ#R1/page-1", "RKZ20B2KJ#R1")</f>
        <v>RKZ20B2KJ#R1</v>
      </c>
      <c r="B22671" s="3" t="str">
        <f>HYPERLINK("https://www.773grp.com/manufacturer/renesas-electronics-america-inc?pageNo=527", "Renesas Electronics")</f>
        <v>Renesas Electronics</v>
      </c>
      <c r="C22671" s="6">
        <v>144000</v>
      </c>
      <c r="D22671" s="7">
        <v>0.15</v>
      </c>
    </row>
    <row r="22672" spans="1:4" x14ac:dyDescent="0.25">
      <c r="A22672" t="str">
        <f>HYPERLINK("https://www.773grp.com/globalSearch/RKZ22B2KJ#R1/page-1", "RKZ22B2KJ#R1")</f>
        <v>RKZ22B2KJ#R1</v>
      </c>
      <c r="B22672" s="3" t="str">
        <f>HYPERLINK("https://www.773grp.com/manufacturer/renesas-electronics-america-inc?pageNo=528", "Renesas Electronics")</f>
        <v>Renesas Electronics</v>
      </c>
      <c r="C22672" s="6">
        <v>40000</v>
      </c>
      <c r="D22672" s="7">
        <v>0.15</v>
      </c>
    </row>
    <row r="22673" spans="1:4" x14ac:dyDescent="0.25">
      <c r="A22673" t="str">
        <f>HYPERLINK("https://www.773grp.com/globalSearch/RKZ27BKJ#R1/page-1", "RKZ27BKJ#R1")</f>
        <v>RKZ27BKJ#R1</v>
      </c>
      <c r="B22673" s="3" t="str">
        <f>HYPERLINK("https://www.773grp.com/manufacturer/renesas-electronics-america-inc?pageNo=529", "Renesas Electronics")</f>
        <v>Renesas Electronics</v>
      </c>
      <c r="C22673" s="6">
        <v>104000</v>
      </c>
      <c r="D22673" s="7">
        <v>0.15</v>
      </c>
    </row>
    <row r="22674" spans="1:4" x14ac:dyDescent="0.25">
      <c r="A22674" t="str">
        <f>HYPERLINK("https://www.773grp.com/globalSearch/RKZ30BKJ#R1/page-1", "RKZ30BKJ#R1")</f>
        <v>RKZ30BKJ#R1</v>
      </c>
      <c r="B22674" s="3" t="str">
        <f>HYPERLINK("https://www.773grp.com/manufacturer/renesas-electronics-america-inc?pageNo=530", "Renesas Electronics")</f>
        <v>Renesas Electronics</v>
      </c>
      <c r="C22674" s="6">
        <v>344000</v>
      </c>
      <c r="D22674" s="7">
        <v>0.15</v>
      </c>
    </row>
    <row r="22675" spans="1:4" x14ac:dyDescent="0.25">
      <c r="A22675" t="str">
        <f>HYPERLINK("https://www.773grp.com/globalSearch/RKZ36BKJ#R1/page-1", "RKZ36BKJ#R1")</f>
        <v>RKZ36BKJ#R1</v>
      </c>
      <c r="B22675" s="3" t="str">
        <f>HYPERLINK("https://www.773grp.com/manufacturer/renesas-electronics-america-inc?pageNo=531", "Renesas Electronics")</f>
        <v>Renesas Electronics</v>
      </c>
      <c r="C22675" s="6">
        <v>280000</v>
      </c>
      <c r="D22675" s="7">
        <v>0.15</v>
      </c>
    </row>
    <row r="22676" spans="1:4" x14ac:dyDescent="0.25">
      <c r="A22676" t="str">
        <f>HYPERLINK("https://www.773grp.com/globalSearch/RKZ4.7B2KJ#R1/page-1", "RKZ4.7B2KJ#R1")</f>
        <v>RKZ4.7B2KJ#R1</v>
      </c>
      <c r="B22676" s="3" t="str">
        <f>HYPERLINK("https://www.773grp.com/manufacturer/renesas-electronics-america-inc?pageNo=532", "Renesas Electronics")</f>
        <v>Renesas Electronics</v>
      </c>
      <c r="C22676" s="6">
        <v>152000</v>
      </c>
      <c r="D22676" s="7">
        <v>0.15</v>
      </c>
    </row>
    <row r="22677" spans="1:4" x14ac:dyDescent="0.25">
      <c r="A22677" t="str">
        <f>HYPERLINK("https://www.773grp.com/globalSearch/RKZ5.6B2KJ-1#K1/page-1", "RKZ5.6B2KJ-1#K1")</f>
        <v>RKZ5.6B2KJ-1#K1</v>
      </c>
      <c r="B22677" s="3" t="str">
        <f>HYPERLINK("https://www.773grp.com/manufacturer/renesas-electronics-america-inc?pageNo=533", "Renesas Electronics")</f>
        <v>Renesas Electronics</v>
      </c>
      <c r="C22677" s="6">
        <v>840000</v>
      </c>
      <c r="D22677" s="7">
        <v>0.15</v>
      </c>
    </row>
    <row r="22678" spans="1:4" x14ac:dyDescent="0.25">
      <c r="A22678" t="str">
        <f>HYPERLINK("https://www.773grp.com/globalSearch/RKZ7.5B2KJ#R1/page-1", "RKZ7.5B2KJ#R1")</f>
        <v>RKZ7.5B2KJ#R1</v>
      </c>
      <c r="B22678" s="3" t="str">
        <f>HYPERLINK("https://www.773grp.com/manufacturer/renesas-electronics-america-inc?pageNo=534", "Renesas Electronics")</f>
        <v>Renesas Electronics</v>
      </c>
      <c r="C22678" s="6">
        <v>16000</v>
      </c>
      <c r="D22678" s="7">
        <v>0.15</v>
      </c>
    </row>
    <row r="22679" spans="1:4" x14ac:dyDescent="0.25">
      <c r="A22679" t="str">
        <f>HYPERLINK("https://www.773grp.com/globalSearch/1SS53-AZ/page-1", "1SS53-AZ")</f>
        <v>1SS53-AZ</v>
      </c>
      <c r="B22679" s="3" t="str">
        <f>HYPERLINK("https://www.773grp.com/manufacturer/renesas-electronics-america-inc?pageNo=535", "Renesas Electronics")</f>
        <v>Renesas Electronics</v>
      </c>
      <c r="C22679" s="6">
        <v>16500</v>
      </c>
      <c r="D22679" s="7">
        <v>0.23</v>
      </c>
    </row>
    <row r="22680" spans="1:4" x14ac:dyDescent="0.25">
      <c r="A22680" t="str">
        <f>HYPERLINK("https://www.773grp.com/globalSearch/1SS53-T1/page-1", "1SS53-T1")</f>
        <v>1SS53-T1</v>
      </c>
      <c r="B22680" s="3" t="str">
        <f>HYPERLINK("https://www.773grp.com/manufacturer/renesas-electronics-america-inc?pageNo=536", "Renesas Electronics")</f>
        <v>Renesas Electronics</v>
      </c>
      <c r="C22680" s="6">
        <v>24000</v>
      </c>
      <c r="D22680" s="7">
        <v>0.23</v>
      </c>
    </row>
    <row r="22681" spans="1:4" x14ac:dyDescent="0.25">
      <c r="A22681" t="str">
        <f>HYPERLINK("https://www.773grp.com/globalSearch/1SS53-T4-AZ/page-1", "1SS53-T4-AZ")</f>
        <v>1SS53-T4-AZ</v>
      </c>
      <c r="B22681" s="3" t="str">
        <f>HYPERLINK("https://www.773grp.com/manufacturer/renesas-electronics-america-inc?pageNo=537", "Renesas Electronics")</f>
        <v>Renesas Electronics</v>
      </c>
      <c r="C22681" s="6">
        <v>5000</v>
      </c>
      <c r="D22681" s="7">
        <v>0.23</v>
      </c>
    </row>
    <row r="22682" spans="1:4" x14ac:dyDescent="0.25">
      <c r="A22682" t="str">
        <f>HYPERLINK("https://www.773grp.com/globalSearch/HSS83-E/page-1", "HSS83-E")</f>
        <v>HSS83-E</v>
      </c>
      <c r="B22682" s="3" t="str">
        <f>HYPERLINK("https://www.773grp.com/manufacturer/renesas-electronics-america-inc?pageNo=538", "Renesas Electronics")</f>
        <v>Renesas Electronics</v>
      </c>
      <c r="C22682" s="6">
        <v>16800</v>
      </c>
      <c r="D22682" s="7">
        <v>0.23</v>
      </c>
    </row>
    <row r="22683" spans="1:4" x14ac:dyDescent="0.25">
      <c r="A22683" t="str">
        <f>HYPERLINK("https://www.773grp.com/globalSearch/HVU202A3TRF-E/page-1", "HVU202A3TRF-E")</f>
        <v>HVU202A3TRF-E</v>
      </c>
      <c r="B22683" s="3" t="str">
        <f>HYPERLINK("https://www.773grp.com/manufacturer/renesas-electronics-america-inc?pageNo=539", "Renesas Electronics")</f>
        <v>Renesas Electronics</v>
      </c>
      <c r="C22683" s="6">
        <v>135000</v>
      </c>
      <c r="D22683" s="7">
        <v>0.23</v>
      </c>
    </row>
    <row r="22684" spans="1:4" x14ac:dyDescent="0.25">
      <c r="A22684" t="str">
        <f>HYPERLINK("https://www.773grp.com/globalSearch/HZ11B1L-E/page-1", "HZ11B1L-E")</f>
        <v>HZ11B1L-E</v>
      </c>
      <c r="B22684" s="3" t="str">
        <f>HYPERLINK("https://www.773grp.com/manufacturer/renesas-electronics-america-inc?pageNo=540", "Renesas Electronics")</f>
        <v>Renesas Electronics</v>
      </c>
      <c r="C22684" s="6">
        <v>2500</v>
      </c>
      <c r="D22684" s="7">
        <v>0.23</v>
      </c>
    </row>
    <row r="22685" spans="1:4" x14ac:dyDescent="0.25">
      <c r="A22685" t="str">
        <f>HYPERLINK("https://www.773grp.com/globalSearch/HZ11B2L-E/page-1", "HZ11B2L-E")</f>
        <v>HZ11B2L-E</v>
      </c>
      <c r="B22685" s="3" t="str">
        <f>HYPERLINK("https://www.773grp.com/manufacturer/renesas-electronics-america-inc?pageNo=541", "Renesas Electronics")</f>
        <v>Renesas Electronics</v>
      </c>
      <c r="C22685" s="6">
        <v>9500</v>
      </c>
      <c r="D22685" s="7">
        <v>0.23</v>
      </c>
    </row>
    <row r="22686" spans="1:4" x14ac:dyDescent="0.25">
      <c r="A22686" t="str">
        <f>HYPERLINK("https://www.773grp.com/globalSearch/HZ11C1TD-E/page-1", "HZ11C1TD-E")</f>
        <v>HZ11C1TD-E</v>
      </c>
      <c r="B22686" s="3" t="str">
        <f>HYPERLINK("https://www.773grp.com/manufacturer/renesas-electronics-america-inc?pageNo=542", "Renesas Electronics")</f>
        <v>Renesas Electronics</v>
      </c>
      <c r="C22686" s="6">
        <v>53500</v>
      </c>
      <c r="D22686" s="7">
        <v>0.23</v>
      </c>
    </row>
    <row r="22687" spans="1:4" x14ac:dyDescent="0.25">
      <c r="A22687" t="str">
        <f>HYPERLINK("https://www.773grp.com/globalSearch/HZ11C2LTA-E/page-1", "HZ11C2LTA-E")</f>
        <v>HZ11C2LTA-E</v>
      </c>
      <c r="B22687" s="3" t="str">
        <f>HYPERLINK("https://www.773grp.com/manufacturer/renesas-electronics-america-inc?pageNo=543", "Renesas Electronics")</f>
        <v>Renesas Electronics</v>
      </c>
      <c r="C22687" s="6">
        <v>10000</v>
      </c>
      <c r="D22687" s="7">
        <v>0.23</v>
      </c>
    </row>
    <row r="22688" spans="1:4" x14ac:dyDescent="0.25">
      <c r="A22688" t="str">
        <f>HYPERLINK("https://www.773grp.com/globalSearch/HZ11C3LTD-E/page-1", "HZ11C3LTD-E")</f>
        <v>HZ11C3LTD-E</v>
      </c>
      <c r="B22688" s="3" t="str">
        <f>HYPERLINK("https://www.773grp.com/manufacturer/renesas-electronics-america-inc?pageNo=544", "Renesas Electronics")</f>
        <v>Renesas Electronics</v>
      </c>
      <c r="C22688" s="6">
        <v>5000</v>
      </c>
      <c r="D22688" s="7">
        <v>0.23</v>
      </c>
    </row>
    <row r="22689" spans="1:4" x14ac:dyDescent="0.25">
      <c r="A22689" t="str">
        <f>HYPERLINK("https://www.773grp.com/globalSearch/HZ11C3RE-E/page-1", "HZ11C3RE-E")</f>
        <v>HZ11C3RE-E</v>
      </c>
      <c r="B22689" s="3" t="str">
        <f>HYPERLINK("https://www.773grp.com/manufacturer/renesas-electronics-america-inc?pageNo=545", "Renesas Electronics")</f>
        <v>Renesas Electronics</v>
      </c>
      <c r="C22689" s="6">
        <v>24000</v>
      </c>
      <c r="D22689" s="7">
        <v>0.23</v>
      </c>
    </row>
    <row r="22690" spans="1:4" x14ac:dyDescent="0.25">
      <c r="A22690" t="str">
        <f>HYPERLINK("https://www.773grp.com/globalSearch/HZ12A1LTD-E/page-1", "HZ12A1LTD-E")</f>
        <v>HZ12A1LTD-E</v>
      </c>
      <c r="B22690" s="3" t="str">
        <f>HYPERLINK("https://www.773grp.com/manufacturer/renesas-electronics-america-inc?pageNo=546", "Renesas Electronics")</f>
        <v>Renesas Electronics</v>
      </c>
      <c r="C22690" s="6">
        <v>17500</v>
      </c>
      <c r="D22690" s="7">
        <v>0.23</v>
      </c>
    </row>
    <row r="22691" spans="1:4" x14ac:dyDescent="0.25">
      <c r="A22691" t="str">
        <f>HYPERLINK("https://www.773grp.com/globalSearch/HZ12A3L-E/page-1", "HZ12A3L-E")</f>
        <v>HZ12A3L-E</v>
      </c>
      <c r="B22691" s="3" t="str">
        <f>HYPERLINK("https://www.773grp.com/manufacturer/renesas-electronics-america-inc?pageNo=547", "Renesas Electronics")</f>
        <v>Renesas Electronics</v>
      </c>
      <c r="C22691" s="6">
        <v>11500</v>
      </c>
      <c r="D22691" s="7">
        <v>0.23</v>
      </c>
    </row>
    <row r="22692" spans="1:4" x14ac:dyDescent="0.25">
      <c r="A22692" t="str">
        <f>HYPERLINK("https://www.773grp.com/globalSearch/HZ12B2RE-E/page-1", "HZ12B2RE-E")</f>
        <v>HZ12B2RE-E</v>
      </c>
      <c r="B22692" s="3" t="str">
        <f>HYPERLINK("https://www.773grp.com/manufacturer/renesas-electronics-america-inc?pageNo=548", "Renesas Electronics")</f>
        <v>Renesas Electronics</v>
      </c>
      <c r="C22692" s="6">
        <v>12000</v>
      </c>
      <c r="D22692" s="7">
        <v>0.23</v>
      </c>
    </row>
    <row r="22693" spans="1:4" x14ac:dyDescent="0.25">
      <c r="A22693" t="str">
        <f>HYPERLINK("https://www.773grp.com/globalSearch/HZ12C2-E/page-1", "HZ12C2-E")</f>
        <v>HZ12C2-E</v>
      </c>
      <c r="B22693" s="3" t="str">
        <f>HYPERLINK("https://www.773grp.com/manufacturer/renesas-electronics-america-inc?pageNo=549", "Renesas Electronics")</f>
        <v>Renesas Electronics</v>
      </c>
      <c r="C22693" s="6">
        <v>2000</v>
      </c>
      <c r="D22693" s="7">
        <v>0.23</v>
      </c>
    </row>
    <row r="22694" spans="1:4" x14ac:dyDescent="0.25">
      <c r="A22694" t="str">
        <f>HYPERLINK("https://www.773grp.com/globalSearch/HZ12C3L-E/page-1", "HZ12C3L-E")</f>
        <v>HZ12C3L-E</v>
      </c>
      <c r="B22694" s="3" t="str">
        <f>HYPERLINK("https://www.773grp.com/manufacturer/renesas-electronics-america-inc?pageNo=550", "Renesas Electronics")</f>
        <v>Renesas Electronics</v>
      </c>
      <c r="C22694" s="6">
        <v>32840</v>
      </c>
      <c r="D22694" s="7">
        <v>0.23</v>
      </c>
    </row>
    <row r="22695" spans="1:4" x14ac:dyDescent="0.25">
      <c r="A22695" t="str">
        <f>HYPERLINK("https://www.773grp.com/globalSearch/HZ15-2LTA-E/page-1", "HZ15-2LTA-E")</f>
        <v>HZ15-2LTA-E</v>
      </c>
      <c r="B22695" s="3" t="str">
        <f>HYPERLINK("https://www.773grp.com/manufacturer/renesas-electronics-america-inc?pageNo=551", "Renesas Electronics")</f>
        <v>Renesas Electronics</v>
      </c>
      <c r="C22695" s="6">
        <v>2475</v>
      </c>
      <c r="D22695" s="7">
        <v>0.23</v>
      </c>
    </row>
    <row r="22696" spans="1:4" x14ac:dyDescent="0.25">
      <c r="A22696" t="str">
        <f>HYPERLINK("https://www.773grp.com/globalSearch/HZ15-3LTA-E/page-1", "HZ15-3LTA-E")</f>
        <v>HZ15-3LTA-E</v>
      </c>
      <c r="B22696" s="3" t="str">
        <f>HYPERLINK("https://www.773grp.com/manufacturer/renesas-electronics-america-inc?pageNo=552", "Renesas Electronics")</f>
        <v>Renesas Electronics</v>
      </c>
      <c r="C22696" s="6">
        <v>5000</v>
      </c>
      <c r="D22696" s="7">
        <v>0.23</v>
      </c>
    </row>
    <row r="22697" spans="1:4" x14ac:dyDescent="0.25">
      <c r="A22697" t="str">
        <f>HYPERLINK("https://www.773grp.com/globalSearch/HZ16-3LTA-E/page-1", "HZ16-3LTA-E")</f>
        <v>HZ16-3LTA-E</v>
      </c>
      <c r="B22697" s="3" t="str">
        <f>HYPERLINK("https://www.773grp.com/manufacturer/renesas-electronics-america-inc?pageNo=553", "Renesas Electronics")</f>
        <v>Renesas Electronics</v>
      </c>
      <c r="C22697" s="6">
        <v>15000</v>
      </c>
      <c r="D22697" s="7">
        <v>0.23</v>
      </c>
    </row>
    <row r="22698" spans="1:4" x14ac:dyDescent="0.25">
      <c r="A22698" t="str">
        <f>HYPERLINK("https://www.773grp.com/globalSearch/HZ18-1LRE-E/page-1", "HZ18-1LRE-E")</f>
        <v>HZ18-1LRE-E</v>
      </c>
      <c r="B22698" s="3" t="str">
        <f>HYPERLINK("https://www.773grp.com/manufacturer/renesas-electronics-america-inc?pageNo=554", "Renesas Electronics")</f>
        <v>Renesas Electronics</v>
      </c>
      <c r="C22698" s="6">
        <v>8000</v>
      </c>
      <c r="D22698" s="7">
        <v>0.23</v>
      </c>
    </row>
    <row r="22699" spans="1:4" x14ac:dyDescent="0.25">
      <c r="A22699" t="str">
        <f>HYPERLINK("https://www.773grp.com/globalSearch/HZ18-1LTA-E/page-1", "HZ18-1LTA-E")</f>
        <v>HZ18-1LTA-E</v>
      </c>
      <c r="B22699" s="3" t="str">
        <f>HYPERLINK("https://www.773grp.com/manufacturer/renesas-electronics-america-inc?pageNo=555", "Renesas Electronics")</f>
        <v>Renesas Electronics</v>
      </c>
      <c r="C22699" s="6">
        <v>345000</v>
      </c>
      <c r="D22699" s="7">
        <v>0.23</v>
      </c>
    </row>
    <row r="22700" spans="1:4" x14ac:dyDescent="0.25">
      <c r="A22700" t="str">
        <f>HYPERLINK("https://www.773grp.com/globalSearch/HZ20-1LTA-E/page-1", "HZ20-1LTA-E")</f>
        <v>HZ20-1LTA-E</v>
      </c>
      <c r="B22700" s="3" t="str">
        <f>HYPERLINK("https://www.773grp.com/manufacturer/renesas-electronics-america-inc?pageNo=556", "Renesas Electronics")</f>
        <v>Renesas Electronics</v>
      </c>
      <c r="C22700" s="6">
        <v>4000</v>
      </c>
      <c r="D22700" s="7">
        <v>0.23</v>
      </c>
    </row>
    <row r="22701" spans="1:4" x14ac:dyDescent="0.25">
      <c r="A22701" t="str">
        <f>HYPERLINK("https://www.773grp.com/globalSearch/HZ20-1RE-E/page-1", "HZ20-1RE-E")</f>
        <v>HZ20-1RE-E</v>
      </c>
      <c r="B22701" s="3" t="str">
        <f>HYPERLINK("https://www.773grp.com/manufacturer/renesas-electronics-america-inc?pageNo=557", "Renesas Electronics")</f>
        <v>Renesas Electronics</v>
      </c>
      <c r="C22701" s="6">
        <v>8000</v>
      </c>
      <c r="D22701" s="7">
        <v>0.23</v>
      </c>
    </row>
    <row r="22702" spans="1:4" x14ac:dyDescent="0.25">
      <c r="A22702" t="str">
        <f>HYPERLINK("https://www.773grp.com/globalSearch/HZ20-2L-E/page-1", "HZ20-2L-E")</f>
        <v>HZ20-2L-E</v>
      </c>
      <c r="B22702" s="3" t="str">
        <f>HYPERLINK("https://www.773grp.com/manufacturer/renesas-electronics-america-inc?pageNo=558", "Renesas Electronics")</f>
        <v>Renesas Electronics</v>
      </c>
      <c r="C22702" s="6">
        <v>17500</v>
      </c>
      <c r="D22702" s="7">
        <v>0.23</v>
      </c>
    </row>
    <row r="22703" spans="1:4" x14ac:dyDescent="0.25">
      <c r="A22703" t="str">
        <f>HYPERLINK("https://www.773grp.com/globalSearch/HZ20-2RE-E/page-1", "HZ20-2RE-E")</f>
        <v>HZ20-2RE-E</v>
      </c>
      <c r="B22703" s="3" t="str">
        <f>HYPERLINK("https://www.773grp.com/manufacturer/renesas-electronics-america-inc?pageNo=559", "Renesas Electronics")</f>
        <v>Renesas Electronics</v>
      </c>
      <c r="C22703" s="6">
        <v>24000</v>
      </c>
      <c r="D22703" s="7">
        <v>0.23</v>
      </c>
    </row>
    <row r="22704" spans="1:4" x14ac:dyDescent="0.25">
      <c r="A22704" t="str">
        <f>HYPERLINK("https://www.773grp.com/globalSearch/HZ20-3L-E/page-1", "HZ20-3L-E")</f>
        <v>HZ20-3L-E</v>
      </c>
      <c r="B22704" s="3" t="str">
        <f>HYPERLINK("https://www.773grp.com/manufacturer/renesas-electronics-america-inc?pageNo=560", "Renesas Electronics")</f>
        <v>Renesas Electronics</v>
      </c>
      <c r="C22704" s="6">
        <v>19000</v>
      </c>
      <c r="D22704" s="7">
        <v>0.23</v>
      </c>
    </row>
    <row r="22705" spans="1:4" x14ac:dyDescent="0.25">
      <c r="A22705" t="str">
        <f>HYPERLINK("https://www.773grp.com/globalSearch/HZ22-1L-E/page-1", "HZ22-1L-E")</f>
        <v>HZ22-1L-E</v>
      </c>
      <c r="B22705" s="3" t="str">
        <f>HYPERLINK("https://www.773grp.com/manufacturer/renesas-electronics-america-inc?pageNo=561", "Renesas Electronics")</f>
        <v>Renesas Electronics</v>
      </c>
      <c r="C22705" s="6">
        <v>10000</v>
      </c>
      <c r="D22705" s="7">
        <v>0.23</v>
      </c>
    </row>
    <row r="22706" spans="1:4" x14ac:dyDescent="0.25">
      <c r="A22706" t="str">
        <f>HYPERLINK("https://www.773grp.com/globalSearch/HZ24-1RE-E/page-1", "HZ24-1RE-E")</f>
        <v>HZ24-1RE-E</v>
      </c>
      <c r="B22706" s="3" t="str">
        <f>HYPERLINK("https://www.773grp.com/manufacturer/renesas-electronics-america-inc?pageNo=562", "Renesas Electronics")</f>
        <v>Renesas Electronics</v>
      </c>
      <c r="C22706" s="6">
        <v>17000</v>
      </c>
      <c r="D22706" s="7">
        <v>0.23</v>
      </c>
    </row>
    <row r="22707" spans="1:4" x14ac:dyDescent="0.25">
      <c r="A22707" t="str">
        <f>HYPERLINK("https://www.773grp.com/globalSearch/HZ27-1L-E/page-1", "HZ27-1L-E")</f>
        <v>HZ27-1L-E</v>
      </c>
      <c r="B22707" s="3" t="str">
        <f>HYPERLINK("https://www.773grp.com/manufacturer/renesas-electronics-america-inc?pageNo=563", "Renesas Electronics")</f>
        <v>Renesas Electronics</v>
      </c>
      <c r="C22707" s="6">
        <v>10000</v>
      </c>
      <c r="D22707" s="7">
        <v>0.23</v>
      </c>
    </row>
    <row r="22708" spans="1:4" x14ac:dyDescent="0.25">
      <c r="A22708" t="str">
        <f>HYPERLINK("https://www.773grp.com/globalSearch/HZ27-2J-E/page-1", "HZ27-2J-E")</f>
        <v>HZ27-2J-E</v>
      </c>
      <c r="B22708" s="3" t="str">
        <f>HYPERLINK("https://www.773grp.com/manufacturer/renesas-electronics-america-inc?pageNo=564", "Renesas Electronics")</f>
        <v>Renesas Electronics</v>
      </c>
      <c r="C22708" s="6">
        <v>9000</v>
      </c>
      <c r="D22708" s="7">
        <v>0.23</v>
      </c>
    </row>
    <row r="22709" spans="1:4" x14ac:dyDescent="0.25">
      <c r="A22709" t="str">
        <f>HYPERLINK("https://www.773grp.com/globalSearch/HZ27-3L-E/page-1", "HZ27-3L-E")</f>
        <v>HZ27-3L-E</v>
      </c>
      <c r="B22709" s="3" t="str">
        <f>HYPERLINK("https://www.773grp.com/manufacturer/renesas-electronics-america-inc?pageNo=565", "Renesas Electronics")</f>
        <v>Renesas Electronics</v>
      </c>
      <c r="C22709" s="6">
        <v>5000</v>
      </c>
      <c r="D22709" s="7">
        <v>0.23</v>
      </c>
    </row>
    <row r="22710" spans="1:4" x14ac:dyDescent="0.25">
      <c r="A22710" t="str">
        <f>HYPERLINK("https://www.773grp.com/globalSearch/HZ2B3TD-E/page-1", "HZ2B3TD-E")</f>
        <v>HZ2B3TD-E</v>
      </c>
      <c r="B22710" s="3" t="str">
        <f>HYPERLINK("https://www.773grp.com/manufacturer/renesas-electronics-america-inc?pageNo=566", "Renesas Electronics")</f>
        <v>Renesas Electronics</v>
      </c>
      <c r="C22710" s="6">
        <v>20000</v>
      </c>
      <c r="D22710" s="7">
        <v>0.23</v>
      </c>
    </row>
    <row r="22711" spans="1:4" x14ac:dyDescent="0.25">
      <c r="A22711" t="str">
        <f>HYPERLINK("https://www.773grp.com/globalSearch/HZ30-1L-E/page-1", "HZ30-1L-E")</f>
        <v>HZ30-1L-E</v>
      </c>
      <c r="B22711" s="3" t="str">
        <f>HYPERLINK("https://www.773grp.com/manufacturer/renesas-electronics-america-inc?pageNo=567", "Renesas Electronics")</f>
        <v>Renesas Electronics</v>
      </c>
      <c r="C22711" s="6">
        <v>12500</v>
      </c>
      <c r="D22711" s="7">
        <v>0.23</v>
      </c>
    </row>
    <row r="22712" spans="1:4" x14ac:dyDescent="0.25">
      <c r="A22712" t="str">
        <f>HYPERLINK("https://www.773grp.com/globalSearch/HZ30-1LTA-E/page-1", "HZ30-1LTA-E")</f>
        <v>HZ30-1LTA-E</v>
      </c>
      <c r="B22712" s="3" t="str">
        <f>HYPERLINK("https://www.773grp.com/manufacturer/renesas-electronics-america-inc?pageNo=568", "Renesas Electronics")</f>
        <v>Renesas Electronics</v>
      </c>
      <c r="C22712" s="6">
        <v>10000</v>
      </c>
      <c r="D22712" s="7">
        <v>0.23</v>
      </c>
    </row>
    <row r="22713" spans="1:4" x14ac:dyDescent="0.25">
      <c r="A22713" t="str">
        <f>HYPERLINK("https://www.773grp.com/globalSearch/HZ30-1LTD-E/page-1", "HZ30-1LTD-E")</f>
        <v>HZ30-1LTD-E</v>
      </c>
      <c r="B22713" s="3" t="str">
        <f>HYPERLINK("https://www.773grp.com/manufacturer/renesas-electronics-america-inc?pageNo=569", "Renesas Electronics")</f>
        <v>Renesas Electronics</v>
      </c>
      <c r="C22713" s="6">
        <v>22500</v>
      </c>
      <c r="D22713" s="7">
        <v>0.23</v>
      </c>
    </row>
    <row r="22714" spans="1:4" x14ac:dyDescent="0.25">
      <c r="A22714" t="str">
        <f>HYPERLINK("https://www.773grp.com/globalSearch/HZ30-3L-E/page-1", "HZ30-3L-E")</f>
        <v>HZ30-3L-E</v>
      </c>
      <c r="B22714" s="3" t="str">
        <f>HYPERLINK("https://www.773grp.com/manufacturer/renesas-electronics-america-inc?pageNo=570", "Renesas Electronics")</f>
        <v>Renesas Electronics</v>
      </c>
      <c r="C22714" s="6">
        <v>15500</v>
      </c>
      <c r="D22714" s="7">
        <v>0.23</v>
      </c>
    </row>
    <row r="22715" spans="1:4" x14ac:dyDescent="0.25">
      <c r="A22715" t="str">
        <f>HYPERLINK("https://www.773grp.com/globalSearch/HZ33-1LTD-E/page-1", "HZ33-1LTD-E")</f>
        <v>HZ33-1LTD-E</v>
      </c>
      <c r="B22715" s="3" t="str">
        <f>HYPERLINK("https://www.773grp.com/manufacturer/renesas-electronics-america-inc?pageNo=571", "Renesas Electronics")</f>
        <v>Renesas Electronics</v>
      </c>
      <c r="C22715" s="6">
        <v>20000</v>
      </c>
      <c r="D22715" s="7">
        <v>0.23</v>
      </c>
    </row>
    <row r="22716" spans="1:4" x14ac:dyDescent="0.25">
      <c r="A22716" t="str">
        <f>HYPERLINK("https://www.773grp.com/globalSearch/HZ33-3L-E/page-1", "HZ33-3L-E")</f>
        <v>HZ33-3L-E</v>
      </c>
      <c r="B22716" s="3" t="str">
        <f>HYPERLINK("https://www.773grp.com/manufacturer/renesas-electronics-america-inc?pageNo=572", "Renesas Electronics")</f>
        <v>Renesas Electronics</v>
      </c>
      <c r="C22716" s="6">
        <v>17500</v>
      </c>
      <c r="D22716" s="7">
        <v>0.23</v>
      </c>
    </row>
    <row r="22717" spans="1:4" x14ac:dyDescent="0.25">
      <c r="A22717" t="str">
        <f>HYPERLINK("https://www.773grp.com/globalSearch/HZ33-3LTD-E/page-1", "HZ33-3LTD-E")</f>
        <v>HZ33-3LTD-E</v>
      </c>
      <c r="B22717" s="3" t="str">
        <f>HYPERLINK("https://www.773grp.com/manufacturer/renesas-electronics-america-inc?pageNo=573", "Renesas Electronics")</f>
        <v>Renesas Electronics</v>
      </c>
      <c r="C22717" s="6">
        <v>12500</v>
      </c>
      <c r="D22717" s="7">
        <v>0.23</v>
      </c>
    </row>
    <row r="22718" spans="1:4" x14ac:dyDescent="0.25">
      <c r="A22718" t="str">
        <f>HYPERLINK("https://www.773grp.com/globalSearch/HZ36-1L-E/page-1", "HZ36-1L-E")</f>
        <v>HZ36-1L-E</v>
      </c>
      <c r="B22718" s="3" t="str">
        <f>HYPERLINK("https://www.773grp.com/manufacturer/renesas-electronics-america-inc?pageNo=574", "Renesas Electronics")</f>
        <v>Renesas Electronics</v>
      </c>
      <c r="C22718" s="6">
        <v>10900</v>
      </c>
      <c r="D22718" s="7">
        <v>0.23</v>
      </c>
    </row>
    <row r="22719" spans="1:4" x14ac:dyDescent="0.25">
      <c r="A22719" t="str">
        <f>HYPERLINK("https://www.773grp.com/globalSearch/HZ36-1LTD-E/page-1", "HZ36-1LTD-E")</f>
        <v>HZ36-1LTD-E</v>
      </c>
      <c r="B22719" s="3" t="str">
        <f>HYPERLINK("https://www.773grp.com/manufacturer/renesas-electronics-america-inc?pageNo=575", "Renesas Electronics")</f>
        <v>Renesas Electronics</v>
      </c>
      <c r="C22719" s="6">
        <v>10000</v>
      </c>
      <c r="D22719" s="7">
        <v>0.23</v>
      </c>
    </row>
    <row r="22720" spans="1:4" x14ac:dyDescent="0.25">
      <c r="A22720" t="str">
        <f>HYPERLINK("https://www.773grp.com/globalSearch/HZ36-2TA-P-E/page-1", "HZ36-2TA-P-E")</f>
        <v>HZ36-2TA-P-E</v>
      </c>
      <c r="B22720" s="3" t="str">
        <f>HYPERLINK("https://www.773grp.com/manufacturer/renesas-electronics-america-inc?pageNo=576", "Renesas Electronics")</f>
        <v>Renesas Electronics</v>
      </c>
      <c r="C22720" s="6">
        <v>15000</v>
      </c>
      <c r="D22720" s="7">
        <v>0.23</v>
      </c>
    </row>
    <row r="22721" spans="1:4" x14ac:dyDescent="0.25">
      <c r="A22721" t="str">
        <f>HYPERLINK("https://www.773grp.com/globalSearch/HZ36-3L-E/page-1", "HZ36-3L-E")</f>
        <v>HZ36-3L-E</v>
      </c>
      <c r="B22721" s="3" t="str">
        <f>HYPERLINK("https://www.773grp.com/manufacturer/renesas-electronics-america-inc?pageNo=577", "Renesas Electronics")</f>
        <v>Renesas Electronics</v>
      </c>
      <c r="C22721" s="6">
        <v>42500</v>
      </c>
      <c r="D22721" s="7">
        <v>0.23</v>
      </c>
    </row>
    <row r="22722" spans="1:4" x14ac:dyDescent="0.25">
      <c r="A22722" t="str">
        <f>HYPERLINK("https://www.773grp.com/globalSearch/HZ36-3TA-E/page-1", "HZ36-3TA-E")</f>
        <v>HZ36-3TA-E</v>
      </c>
      <c r="B22722" s="3" t="str">
        <f>HYPERLINK("https://www.773grp.com/manufacturer/renesas-electronics-america-inc?pageNo=578", "Renesas Electronics")</f>
        <v>Renesas Electronics</v>
      </c>
      <c r="C22722" s="6">
        <v>5000</v>
      </c>
      <c r="D22722" s="7">
        <v>0.23</v>
      </c>
    </row>
    <row r="22723" spans="1:4" x14ac:dyDescent="0.25">
      <c r="A22723" t="str">
        <f>HYPERLINK("https://www.773grp.com/globalSearch/HZ4B1TA-E/page-1", "HZ4B1TA-E")</f>
        <v>HZ4B1TA-E</v>
      </c>
      <c r="B22723" s="3" t="str">
        <f>HYPERLINK("https://www.773grp.com/manufacturer/renesas-electronics-america-inc?pageNo=579", "Renesas Electronics")</f>
        <v>Renesas Electronics</v>
      </c>
      <c r="C22723" s="6">
        <v>5000</v>
      </c>
      <c r="D22723" s="7">
        <v>0.23</v>
      </c>
    </row>
    <row r="22724" spans="1:4" x14ac:dyDescent="0.25">
      <c r="A22724" t="str">
        <f>HYPERLINK("https://www.773grp.com/globalSearch/HZ5B3RE-E/page-1", "HZ5B3RE-E")</f>
        <v>HZ5B3RE-E</v>
      </c>
      <c r="B22724" s="3" t="str">
        <f>HYPERLINK("https://www.773grp.com/manufacturer/renesas-electronics-america-inc?pageNo=580", "Renesas Electronics")</f>
        <v>Renesas Electronics</v>
      </c>
      <c r="C22724" s="6">
        <v>4000</v>
      </c>
      <c r="D22724" s="7">
        <v>0.23</v>
      </c>
    </row>
    <row r="22725" spans="1:4" x14ac:dyDescent="0.25">
      <c r="A22725" t="str">
        <f>HYPERLINK("https://www.773grp.com/globalSearch/HZ5C3TD-P-E/page-1", "HZ5C3TD-P-E")</f>
        <v>HZ5C3TD-P-E</v>
      </c>
      <c r="B22725" s="3" t="str">
        <f>HYPERLINK("https://www.773grp.com/manufacturer/renesas-electronics-america-inc?pageNo=581", "Renesas Electronics")</f>
        <v>Renesas Electronics</v>
      </c>
      <c r="C22725" s="6">
        <v>15000</v>
      </c>
      <c r="D22725" s="7">
        <v>0.23</v>
      </c>
    </row>
    <row r="22726" spans="1:4" x14ac:dyDescent="0.25">
      <c r="A22726" t="str">
        <f>HYPERLINK("https://www.773grp.com/globalSearch/HZ6A1-90/page-1", "HZ6A1-90")</f>
        <v>HZ6A1-90</v>
      </c>
      <c r="B22726" s="3" t="str">
        <f>HYPERLINK("https://www.773grp.com/manufacturer/renesas-electronics-america-inc?pageNo=582", "Renesas Electronics")</f>
        <v>Renesas Electronics</v>
      </c>
      <c r="C22726" s="6">
        <v>14380</v>
      </c>
      <c r="D22726" s="7">
        <v>0.23</v>
      </c>
    </row>
    <row r="22727" spans="1:4" x14ac:dyDescent="0.25">
      <c r="A22727" t="str">
        <f>HYPERLINK("https://www.773grp.com/globalSearch/HZ6A1J/page-1", "HZ6A1J")</f>
        <v>HZ6A1J</v>
      </c>
      <c r="B22727" s="3" t="str">
        <f>HYPERLINK("https://www.773grp.com/manufacturer/renesas-electronics-america-inc?pageNo=583", "Renesas Electronics")</f>
        <v>Renesas Electronics</v>
      </c>
      <c r="C22727" s="6">
        <v>11500</v>
      </c>
      <c r="D22727" s="7">
        <v>0.23</v>
      </c>
    </row>
    <row r="22728" spans="1:4" x14ac:dyDescent="0.25">
      <c r="A22728" t="str">
        <f>HYPERLINK("https://www.773grp.com/globalSearch/HZ6A1JTA/page-1", "HZ6A1JTA")</f>
        <v>HZ6A1JTA</v>
      </c>
      <c r="B22728" s="3" t="str">
        <f>HYPERLINK("https://www.773grp.com/manufacturer/renesas-electronics-america-inc?pageNo=584", "Renesas Electronics")</f>
        <v>Renesas Electronics</v>
      </c>
      <c r="C22728" s="6">
        <v>5000</v>
      </c>
      <c r="D22728" s="7">
        <v>0.23</v>
      </c>
    </row>
    <row r="22729" spans="1:4" x14ac:dyDescent="0.25">
      <c r="A22729" t="str">
        <f>HYPERLINK("https://www.773grp.com/globalSearch/HZ6A2J/page-1", "HZ6A2J")</f>
        <v>HZ6A2J</v>
      </c>
      <c r="B22729" s="3" t="str">
        <f>HYPERLINK("https://www.773grp.com/manufacturer/renesas-electronics-america-inc?pageNo=585", "Renesas Electronics")</f>
        <v>Renesas Electronics</v>
      </c>
      <c r="C22729" s="6">
        <v>15000</v>
      </c>
      <c r="D22729" s="7">
        <v>0.23</v>
      </c>
    </row>
    <row r="22730" spans="1:4" x14ac:dyDescent="0.25">
      <c r="A22730" t="str">
        <f>HYPERLINK("https://www.773grp.com/globalSearch/HZ6B2JTA/page-1", "HZ6B2JTA")</f>
        <v>HZ6B2JTA</v>
      </c>
      <c r="B22730" s="3" t="str">
        <f>HYPERLINK("https://www.773grp.com/manufacturer/renesas-electronics-america-inc?pageNo=586", "Renesas Electronics")</f>
        <v>Renesas Electronics</v>
      </c>
      <c r="C22730" s="6">
        <v>30000</v>
      </c>
      <c r="D22730" s="7">
        <v>0.23</v>
      </c>
    </row>
    <row r="22731" spans="1:4" x14ac:dyDescent="0.25">
      <c r="A22731" t="str">
        <f>HYPERLINK("https://www.773grp.com/globalSearch/HZ6B3LTD-E/page-1", "HZ6B3LTD-E")</f>
        <v>HZ6B3LTD-E</v>
      </c>
      <c r="B22731" s="3" t="str">
        <f>HYPERLINK("https://www.773grp.com/manufacturer/renesas-electronics-america-inc?pageNo=587", "Renesas Electronics")</f>
        <v>Renesas Electronics</v>
      </c>
      <c r="C22731" s="6">
        <v>45000</v>
      </c>
      <c r="D22731" s="7">
        <v>0.23</v>
      </c>
    </row>
    <row r="22732" spans="1:4" x14ac:dyDescent="0.25">
      <c r="A22732" t="str">
        <f>HYPERLINK("https://www.773grp.com/globalSearch/HZ6C3-90/page-1", "HZ6C3-90")</f>
        <v>HZ6C3-90</v>
      </c>
      <c r="B22732" s="3" t="str">
        <f>HYPERLINK("https://www.773grp.com/manufacturer/renesas-electronics-america-inc?pageNo=588", "Renesas Electronics")</f>
        <v>Renesas Electronics</v>
      </c>
      <c r="C22732" s="6">
        <v>25980</v>
      </c>
      <c r="D22732" s="7">
        <v>0.23</v>
      </c>
    </row>
    <row r="22733" spans="1:4" x14ac:dyDescent="0.25">
      <c r="A22733" t="str">
        <f>HYPERLINK("https://www.773grp.com/globalSearch/HZ7A1RE-E/page-1", "HZ7A1RE-E")</f>
        <v>HZ7A1RE-E</v>
      </c>
      <c r="B22733" s="3" t="str">
        <f>HYPERLINK("https://www.773grp.com/manufacturer/renesas-electronics-america-inc?pageNo=589", "Renesas Electronics")</f>
        <v>Renesas Electronics</v>
      </c>
      <c r="C22733" s="6">
        <v>8000</v>
      </c>
      <c r="D22733" s="7">
        <v>0.23</v>
      </c>
    </row>
    <row r="22734" spans="1:4" x14ac:dyDescent="0.25">
      <c r="A22734" t="str">
        <f>HYPERLINK("https://www.773grp.com/globalSearch/HZ7A3LTD-E/page-1", "HZ7A3LTD-E")</f>
        <v>HZ7A3LTD-E</v>
      </c>
      <c r="B22734" s="3" t="str">
        <f>HYPERLINK("https://www.773grp.com/manufacturer/renesas-electronics-america-inc?pageNo=590", "Renesas Electronics")</f>
        <v>Renesas Electronics</v>
      </c>
      <c r="C22734" s="6">
        <v>20000</v>
      </c>
      <c r="D22734" s="7">
        <v>0.23</v>
      </c>
    </row>
    <row r="22735" spans="1:4" x14ac:dyDescent="0.25">
      <c r="A22735" t="str">
        <f>HYPERLINK("https://www.773grp.com/globalSearch/HZ7C1LTD-E/page-1", "HZ7C1LTD-E")</f>
        <v>HZ7C1LTD-E</v>
      </c>
      <c r="B22735" s="3" t="str">
        <f>HYPERLINK("https://www.773grp.com/manufacturer/renesas-electronics-america-inc?pageNo=591", "Renesas Electronics")</f>
        <v>Renesas Electronics</v>
      </c>
      <c r="C22735" s="6">
        <v>20000</v>
      </c>
      <c r="D22735" s="7">
        <v>0.23</v>
      </c>
    </row>
    <row r="22736" spans="1:4" x14ac:dyDescent="0.25">
      <c r="A22736" t="str">
        <f>HYPERLINK("https://www.773grp.com/globalSearch/HZ7C3LRE-E/page-1", "HZ7C3LRE-E")</f>
        <v>HZ7C3LRE-E</v>
      </c>
      <c r="B22736" s="3" t="str">
        <f>HYPERLINK("https://www.773grp.com/manufacturer/renesas-electronics-america-inc?pageNo=592", "Renesas Electronics")</f>
        <v>Renesas Electronics</v>
      </c>
      <c r="C22736" s="6">
        <v>16000</v>
      </c>
      <c r="D22736" s="7">
        <v>0.23</v>
      </c>
    </row>
    <row r="22737" spans="1:4" x14ac:dyDescent="0.25">
      <c r="A22737" t="str">
        <f>HYPERLINK("https://www.773grp.com/globalSearch/HZ7C3LTA-E/page-1", "HZ7C3LTA-E")</f>
        <v>HZ7C3LTA-E</v>
      </c>
      <c r="B22737" s="3" t="str">
        <f>HYPERLINK("https://www.773grp.com/manufacturer/renesas-electronics-america-inc?pageNo=593", "Renesas Electronics")</f>
        <v>Renesas Electronics</v>
      </c>
      <c r="C22737" s="6">
        <v>5000</v>
      </c>
      <c r="D22737" s="7">
        <v>0.23</v>
      </c>
    </row>
    <row r="22738" spans="1:4" x14ac:dyDescent="0.25">
      <c r="A22738" t="str">
        <f>HYPERLINK("https://www.773grp.com/globalSearch/HZ9A1L-E/page-1", "HZ9A1L-E")</f>
        <v>HZ9A1L-E</v>
      </c>
      <c r="B22738" s="3" t="str">
        <f>HYPERLINK("https://www.773grp.com/manufacturer/renesas-electronics-america-inc?pageNo=594", "Renesas Electronics")</f>
        <v>Renesas Electronics</v>
      </c>
      <c r="C22738" s="6">
        <v>15000</v>
      </c>
      <c r="D22738" s="7">
        <v>0.23</v>
      </c>
    </row>
    <row r="22739" spans="1:4" x14ac:dyDescent="0.25">
      <c r="A22739" t="str">
        <f>HYPERLINK("https://www.773grp.com/globalSearch/HZ9A1RE-E/page-1", "HZ9A1RE-E")</f>
        <v>HZ9A1RE-E</v>
      </c>
      <c r="B22739" s="3" t="str">
        <f>HYPERLINK("https://www.773grp.com/manufacturer/renesas-electronics-america-inc?pageNo=595", "Renesas Electronics")</f>
        <v>Renesas Electronics</v>
      </c>
      <c r="C22739" s="6">
        <v>16000</v>
      </c>
      <c r="D22739" s="7">
        <v>0.23</v>
      </c>
    </row>
    <row r="22740" spans="1:4" x14ac:dyDescent="0.25">
      <c r="A22740" t="str">
        <f>HYPERLINK("https://www.773grp.com/globalSearch/HZ9A2LTA-E/page-1", "HZ9A2LTA-E")</f>
        <v>HZ9A2LTA-E</v>
      </c>
      <c r="B22740" s="3" t="str">
        <f>HYPERLINK("https://www.773grp.com/manufacturer/renesas-electronics-america-inc?pageNo=596", "Renesas Electronics")</f>
        <v>Renesas Electronics</v>
      </c>
      <c r="C22740" s="6">
        <v>10000</v>
      </c>
      <c r="D22740" s="7">
        <v>0.23</v>
      </c>
    </row>
    <row r="22741" spans="1:4" x14ac:dyDescent="0.25">
      <c r="A22741" t="str">
        <f>HYPERLINK("https://www.773grp.com/globalSearch/HZ9B1LTA-E/page-1", "HZ9B1LTA-E")</f>
        <v>HZ9B1LTA-E</v>
      </c>
      <c r="B22741" s="3" t="str">
        <f>HYPERLINK("https://www.773grp.com/manufacturer/renesas-electronics-america-inc?pageNo=597", "Renesas Electronics")</f>
        <v>Renesas Electronics</v>
      </c>
      <c r="C22741" s="6">
        <v>15000</v>
      </c>
      <c r="D22741" s="7">
        <v>0.23</v>
      </c>
    </row>
    <row r="22742" spans="1:4" x14ac:dyDescent="0.25">
      <c r="A22742" t="str">
        <f>HYPERLINK("https://www.773grp.com/globalSearch/HZ9B1LTD-E/page-1", "HZ9B1LTD-E")</f>
        <v>HZ9B1LTD-E</v>
      </c>
      <c r="B22742" s="3" t="str">
        <f>HYPERLINK("https://www.773grp.com/manufacturer/renesas-electronics-america-inc?pageNo=598", "Renesas Electronics")</f>
        <v>Renesas Electronics</v>
      </c>
      <c r="C22742" s="6">
        <v>12500</v>
      </c>
      <c r="D22742" s="7">
        <v>0.23</v>
      </c>
    </row>
    <row r="22743" spans="1:4" x14ac:dyDescent="0.25">
      <c r="A22743" t="str">
        <f>HYPERLINK("https://www.773grp.com/globalSearch/HZ9B2RE-E/page-1", "HZ9B2RE-E")</f>
        <v>HZ9B2RE-E</v>
      </c>
      <c r="B22743" s="3" t="str">
        <f>HYPERLINK("https://www.773grp.com/manufacturer/renesas-electronics-america-inc?pageNo=599", "Renesas Electronics")</f>
        <v>Renesas Electronics</v>
      </c>
      <c r="C22743" s="6">
        <v>12000</v>
      </c>
      <c r="D22743" s="7">
        <v>0.23</v>
      </c>
    </row>
    <row r="22744" spans="1:4" x14ac:dyDescent="0.25">
      <c r="A22744" t="str">
        <f>HYPERLINK("https://www.773grp.com/globalSearch/HZ9B3L-E/page-1", "HZ9B3L-E")</f>
        <v>HZ9B3L-E</v>
      </c>
      <c r="B22744" s="3" t="str">
        <f>HYPERLINK("https://www.773grp.com/manufacturer/renesas-electronics-america-inc?pageNo=600", "Renesas Electronics")</f>
        <v>Renesas Electronics</v>
      </c>
      <c r="C22744" s="6">
        <v>19000</v>
      </c>
      <c r="D22744" s="7">
        <v>0.23</v>
      </c>
    </row>
    <row r="22745" spans="1:4" x14ac:dyDescent="0.25">
      <c r="A22745" t="str">
        <f>HYPERLINK("https://www.773grp.com/globalSearch/HZ9B3LTD-E/page-1", "HZ9B3LTD-E")</f>
        <v>HZ9B3LTD-E</v>
      </c>
      <c r="B22745" s="3" t="str">
        <f>HYPERLINK("https://www.773grp.com/manufacturer/renesas-electronics-america-inc?pageNo=601", "Renesas Electronics")</f>
        <v>Renesas Electronics</v>
      </c>
      <c r="C22745" s="6">
        <v>20000</v>
      </c>
      <c r="D22745" s="7">
        <v>0.23</v>
      </c>
    </row>
    <row r="22746" spans="1:4" x14ac:dyDescent="0.25">
      <c r="A22746" t="str">
        <f>HYPERLINK("https://www.773grp.com/globalSearch/HZ9C1LTA-E/page-1", "HZ9C1LTA-E")</f>
        <v>HZ9C1LTA-E</v>
      </c>
      <c r="B22746" s="3" t="str">
        <f>HYPERLINK("https://www.773grp.com/manufacturer/renesas-electronics-america-inc?pageNo=602", "Renesas Electronics")</f>
        <v>Renesas Electronics</v>
      </c>
      <c r="C22746" s="6">
        <v>15000</v>
      </c>
      <c r="D22746" s="7">
        <v>0.23</v>
      </c>
    </row>
    <row r="22747" spans="1:4" x14ac:dyDescent="0.25">
      <c r="A22747" t="str">
        <f>HYPERLINK("https://www.773grp.com/globalSearch/HZ9C2LRE-E/page-1", "HZ9C2LRE-E")</f>
        <v>HZ9C2LRE-E</v>
      </c>
      <c r="B22747" s="3" t="str">
        <f>HYPERLINK("https://www.773grp.com/manufacturer/renesas-electronics-america-inc?pageNo=603", "Renesas Electronics")</f>
        <v>Renesas Electronics</v>
      </c>
      <c r="C22747" s="6">
        <v>20000</v>
      </c>
      <c r="D22747" s="7">
        <v>0.23</v>
      </c>
    </row>
    <row r="22748" spans="1:4" x14ac:dyDescent="0.25">
      <c r="A22748" t="str">
        <f>HYPERLINK("https://www.773grp.com/globalSearch/HZC30-1TRF-E/page-1", "HZC30-1TRF-E")</f>
        <v>HZC30-1TRF-E</v>
      </c>
      <c r="B22748" s="3" t="str">
        <f>HYPERLINK("https://www.773grp.com/manufacturer/renesas-electronics-america-inc?pageNo=604", "Renesas Electronics")</f>
        <v>Renesas Electronics</v>
      </c>
      <c r="C22748" s="6">
        <v>84000</v>
      </c>
      <c r="D22748" s="7">
        <v>0.23</v>
      </c>
    </row>
    <row r="22749" spans="1:4" x14ac:dyDescent="0.25">
      <c r="A22749" t="str">
        <f>HYPERLINK("https://www.773grp.com/globalSearch/HZC6.2Z4TRF-E/page-1", "HZC6.2Z4TRF-E")</f>
        <v>HZC6.2Z4TRF-E</v>
      </c>
      <c r="B22749" s="3" t="str">
        <f>HYPERLINK("https://www.773grp.com/manufacturer/renesas-electronics-america-inc?pageNo=605", "Renesas Electronics")</f>
        <v>Renesas Electronics</v>
      </c>
      <c r="C22749" s="6">
        <v>68000</v>
      </c>
      <c r="D22749" s="7">
        <v>0.23</v>
      </c>
    </row>
    <row r="22750" spans="1:4" x14ac:dyDescent="0.25">
      <c r="A22750" t="str">
        <f>HYPERLINK("https://www.773grp.com/globalSearch/HZC8.2TRF-E/page-1", "HZC8.2TRF-E")</f>
        <v>HZC8.2TRF-E</v>
      </c>
      <c r="B22750" s="3" t="str">
        <f>HYPERLINK("https://www.773grp.com/manufacturer/renesas-electronics-america-inc?pageNo=606", "Renesas Electronics")</f>
        <v>Renesas Electronics</v>
      </c>
      <c r="C22750" s="6">
        <v>108000</v>
      </c>
      <c r="D22750" s="7">
        <v>0.23</v>
      </c>
    </row>
    <row r="22751" spans="1:4" x14ac:dyDescent="0.25">
      <c r="A22751" t="str">
        <f>HYPERLINK("https://www.773grp.com/globalSearch/HZS11A1TD-E/page-1", "HZS11A1TD-E")</f>
        <v>HZS11A1TD-E</v>
      </c>
      <c r="B22751" s="3" t="str">
        <f>HYPERLINK("https://www.773grp.com/manufacturer/renesas-electronics-america-inc?pageNo=607", "Renesas Electronics")</f>
        <v>Renesas Electronics</v>
      </c>
      <c r="C22751" s="6">
        <v>10000</v>
      </c>
      <c r="D22751" s="7">
        <v>0.23</v>
      </c>
    </row>
    <row r="22752" spans="1:4" x14ac:dyDescent="0.25">
      <c r="A22752" t="str">
        <f>HYPERLINK("https://www.773grp.com/globalSearch/HZS18-1TA-E/page-1", "HZS18-1TA-E")</f>
        <v>HZS18-1TA-E</v>
      </c>
      <c r="B22752" s="3" t="str">
        <f>HYPERLINK("https://www.773grp.com/manufacturer/renesas-electronics-america-inc?pageNo=608", "Renesas Electronics")</f>
        <v>Renesas Electronics</v>
      </c>
      <c r="C22752" s="6">
        <v>5000</v>
      </c>
      <c r="D22752" s="7">
        <v>0.23</v>
      </c>
    </row>
    <row r="22753" spans="1:4" x14ac:dyDescent="0.25">
      <c r="A22753" t="str">
        <f>HYPERLINK("https://www.773grp.com/globalSearch/HZS2C3TD-E/page-1", "HZS2C3TD-E")</f>
        <v>HZS2C3TD-E</v>
      </c>
      <c r="B22753" s="3" t="str">
        <f>HYPERLINK("https://www.773grp.com/manufacturer/renesas-electronics-america-inc?pageNo=609", "Renesas Electronics")</f>
        <v>Renesas Electronics</v>
      </c>
      <c r="C22753" s="6">
        <v>22500</v>
      </c>
      <c r="D22753" s="7">
        <v>0.23</v>
      </c>
    </row>
    <row r="22754" spans="1:4" x14ac:dyDescent="0.25">
      <c r="A22754" t="str">
        <f>HYPERLINK("https://www.773grp.com/globalSearch/HZS33-1TD-E/page-1", "HZS33-1TD-E")</f>
        <v>HZS33-1TD-E</v>
      </c>
      <c r="B22754" s="3" t="str">
        <f>HYPERLINK("https://www.773grp.com/manufacturer/renesas-electronics-america-inc?pageNo=610", "Renesas Electronics")</f>
        <v>Renesas Electronics</v>
      </c>
      <c r="C22754" s="6">
        <v>15000</v>
      </c>
      <c r="D22754" s="7">
        <v>0.23</v>
      </c>
    </row>
    <row r="22755" spans="1:4" x14ac:dyDescent="0.25">
      <c r="A22755" t="str">
        <f>HYPERLINK("https://www.773grp.com/globalSearch/HZS4C2TD-E/page-1", "HZS4C2TD-E")</f>
        <v>HZS4C2TD-E</v>
      </c>
      <c r="B22755" s="3" t="str">
        <f>HYPERLINK("https://www.773grp.com/manufacturer/renesas-electronics-america-inc?pageNo=611", "Renesas Electronics")</f>
        <v>Renesas Electronics</v>
      </c>
      <c r="C22755" s="6">
        <v>17500</v>
      </c>
      <c r="D22755" s="7">
        <v>0.23</v>
      </c>
    </row>
    <row r="22756" spans="1:4" x14ac:dyDescent="0.25">
      <c r="A22756" t="str">
        <f>HYPERLINK("https://www.773grp.com/globalSearch/HZS5A3TD-E/page-1", "HZS5A3TD-E")</f>
        <v>HZS5A3TD-E</v>
      </c>
      <c r="B22756" s="3" t="str">
        <f>HYPERLINK("https://www.773grp.com/manufacturer/renesas-electronics-america-inc?pageNo=612", "Renesas Electronics")</f>
        <v>Renesas Electronics</v>
      </c>
      <c r="C22756" s="6">
        <v>2500</v>
      </c>
      <c r="D22756" s="7">
        <v>0.23</v>
      </c>
    </row>
    <row r="22757" spans="1:4" x14ac:dyDescent="0.25">
      <c r="A22757" t="str">
        <f>HYPERLINK("https://www.773grp.com/globalSearch/HZS5B2J-E/page-1", "HZS5B2J-E")</f>
        <v>HZS5B2J-E</v>
      </c>
      <c r="B22757" s="3" t="str">
        <f>HYPERLINK("https://www.773grp.com/manufacturer/renesas-electronics-america-inc?pageNo=613", "Renesas Electronics")</f>
        <v>Renesas Electronics</v>
      </c>
      <c r="C22757" s="6">
        <v>11500</v>
      </c>
      <c r="D22757" s="7">
        <v>0.23</v>
      </c>
    </row>
    <row r="22758" spans="1:4" x14ac:dyDescent="0.25">
      <c r="A22758" t="str">
        <f>HYPERLINK("https://www.773grp.com/globalSearch/HZS5B3TD-E/page-1", "HZS5B3TD-E")</f>
        <v>HZS5B3TD-E</v>
      </c>
      <c r="B22758" s="3" t="str">
        <f>HYPERLINK("https://www.773grp.com/manufacturer/renesas-electronics-america-inc?pageNo=614", "Renesas Electronics")</f>
        <v>Renesas Electronics</v>
      </c>
      <c r="C22758" s="6">
        <v>17500</v>
      </c>
      <c r="D22758" s="7">
        <v>0.23</v>
      </c>
    </row>
    <row r="22759" spans="1:4" x14ac:dyDescent="0.25">
      <c r="A22759" t="str">
        <f>HYPERLINK("https://www.773grp.com/globalSearch/HZS5C2TD-P-E/page-1", "HZS5C2TD-P-E")</f>
        <v>HZS5C2TD-P-E</v>
      </c>
      <c r="B22759" s="3" t="str">
        <f>HYPERLINK("https://www.773grp.com/manufacturer/renesas-electronics-america-inc?pageNo=615", "Renesas Electronics")</f>
        <v>Renesas Electronics</v>
      </c>
      <c r="C22759" s="6">
        <v>7500</v>
      </c>
      <c r="D22759" s="7">
        <v>0.23</v>
      </c>
    </row>
    <row r="22760" spans="1:4" x14ac:dyDescent="0.25">
      <c r="A22760" t="str">
        <f>HYPERLINK("https://www.773grp.com/globalSearch/HZS6.2NB2-1TA-E/page-1", "HZS6.2NB2-1TA-E")</f>
        <v>HZS6.2NB2-1TA-E</v>
      </c>
      <c r="B22760" s="3" t="str">
        <f>HYPERLINK("https://www.773grp.com/manufacturer/renesas-electronics-america-inc?pageNo=616", "Renesas Electronics")</f>
        <v>Renesas Electronics</v>
      </c>
      <c r="C22760" s="6">
        <v>5000</v>
      </c>
      <c r="D22760" s="7">
        <v>0.23</v>
      </c>
    </row>
    <row r="22761" spans="1:4" x14ac:dyDescent="0.25">
      <c r="A22761" t="str">
        <f>HYPERLINK("https://www.773grp.com/globalSearch/HZS7B3TD-E/page-1", "HZS7B3TD-E")</f>
        <v>HZS7B3TD-E</v>
      </c>
      <c r="B22761" s="3" t="str">
        <f>HYPERLINK("https://www.773grp.com/manufacturer/renesas-electronics-america-inc?pageNo=617", "Renesas Electronics")</f>
        <v>Renesas Electronics</v>
      </c>
      <c r="C22761" s="6">
        <v>15000</v>
      </c>
      <c r="D22761" s="7">
        <v>0.23</v>
      </c>
    </row>
    <row r="22762" spans="1:4" x14ac:dyDescent="0.25">
      <c r="A22762" t="str">
        <f>HYPERLINK("https://www.773grp.com/globalSearch/HZS9A2TD-E/page-1", "HZS9A2TD-E")</f>
        <v>HZS9A2TD-E</v>
      </c>
      <c r="B22762" s="3" t="str">
        <f>HYPERLINK("https://www.773grp.com/manufacturer/renesas-electronics-america-inc?pageNo=618", "Renesas Electronics")</f>
        <v>Renesas Electronics</v>
      </c>
      <c r="C22762" s="6">
        <v>7500</v>
      </c>
      <c r="D22762" s="7">
        <v>0.23</v>
      </c>
    </row>
    <row r="22763" spans="1:4" x14ac:dyDescent="0.25">
      <c r="A22763" t="str">
        <f>HYPERLINK("https://www.773grp.com/globalSearch/HZU24B1TRF-E/page-1", "HZU24B1TRF-E")</f>
        <v>HZU24B1TRF-E</v>
      </c>
      <c r="B22763" s="3" t="str">
        <f>HYPERLINK("https://www.773grp.com/manufacturer/renesas-electronics-america-inc?pageNo=619", "Renesas Electronics")</f>
        <v>Renesas Electronics</v>
      </c>
      <c r="C22763" s="6">
        <v>45000</v>
      </c>
      <c r="D22763" s="7">
        <v>0.23</v>
      </c>
    </row>
    <row r="22764" spans="1:4" x14ac:dyDescent="0.25">
      <c r="A22764" t="str">
        <f>HYPERLINK("https://www.773grp.com/globalSearch/HZU4.7B2TRF-P-E/page-1", "HZU4.7B2TRF-P-E")</f>
        <v>HZU4.7B2TRF-P-E</v>
      </c>
      <c r="B22764" s="3" t="str">
        <f>HYPERLINK("https://www.773grp.com/manufacturer/renesas-electronics-america-inc?pageNo=620", "Renesas Electronics")</f>
        <v>Renesas Electronics</v>
      </c>
      <c r="C22764" s="6">
        <v>54000</v>
      </c>
      <c r="D22764" s="7">
        <v>0.23</v>
      </c>
    </row>
    <row r="22765" spans="1:4" x14ac:dyDescent="0.25">
      <c r="A22765" t="str">
        <f>HYPERLINK("https://www.773grp.com/globalSearch/HZU5.6B2TRF-P-E/page-1", "HZU5.6B2TRF-P-E")</f>
        <v>HZU5.6B2TRF-P-E</v>
      </c>
      <c r="B22765" s="3" t="str">
        <f>HYPERLINK("https://www.773grp.com/manufacturer/renesas-electronics-america-inc?pageNo=621", "Renesas Electronics")</f>
        <v>Renesas Electronics</v>
      </c>
      <c r="C22765" s="6">
        <v>53000</v>
      </c>
      <c r="D22765" s="7">
        <v>0.23</v>
      </c>
    </row>
    <row r="22766" spans="1:4" x14ac:dyDescent="0.25">
      <c r="A22766" t="str">
        <f>HYPERLINK("https://www.773grp.com/globalSearch/HZU5.6GTRF-P-E/page-1", "HZU5.6GTRF-P-E")</f>
        <v>HZU5.6GTRF-P-E</v>
      </c>
      <c r="B22766" s="3" t="str">
        <f>HYPERLINK("https://www.773grp.com/manufacturer/renesas-electronics-america-inc?pageNo=622", "Renesas Electronics")</f>
        <v>Renesas Electronics</v>
      </c>
      <c r="C22766" s="6">
        <v>162000</v>
      </c>
      <c r="D22766" s="7">
        <v>0.23</v>
      </c>
    </row>
    <row r="22767" spans="1:4" x14ac:dyDescent="0.25">
      <c r="A22767" t="str">
        <f>HYPERLINK("https://www.773grp.com/globalSearch/HZU6.2B2TRF-P-E/page-1", "HZU6.2B2TRF-P-E")</f>
        <v>HZU6.2B2TRF-P-E</v>
      </c>
      <c r="B22767" s="3" t="str">
        <f>HYPERLINK("https://www.773grp.com/manufacturer/renesas-electronics-america-inc?pageNo=623", "Renesas Electronics")</f>
        <v>Renesas Electronics</v>
      </c>
      <c r="C22767" s="6">
        <v>93000</v>
      </c>
      <c r="D22767" s="7">
        <v>0.23</v>
      </c>
    </row>
    <row r="22768" spans="1:4" x14ac:dyDescent="0.25">
      <c r="A22768" t="str">
        <f>HYPERLINK("https://www.773grp.com/globalSearch/HZU6.8GTRF-P-E/page-1", "HZU6.8GTRF-P-E")</f>
        <v>HZU6.8GTRF-P-E</v>
      </c>
      <c r="B22768" s="3" t="str">
        <f>HYPERLINK("https://www.773grp.com/manufacturer/renesas-electronics-america-inc?pageNo=624", "Renesas Electronics")</f>
        <v>Renesas Electronics</v>
      </c>
      <c r="C22768" s="6">
        <v>18000</v>
      </c>
      <c r="D22768" s="7">
        <v>0.23</v>
      </c>
    </row>
    <row r="22769" spans="1:4" x14ac:dyDescent="0.25">
      <c r="A22769" t="str">
        <f>HYPERLINK("https://www.773grp.com/globalSearch/HZU8.2GTRF-E/page-1", "HZU8.2GTRF-E")</f>
        <v>HZU8.2GTRF-E</v>
      </c>
      <c r="B22769" s="3" t="str">
        <f>HYPERLINK("https://www.773grp.com/manufacturer/renesas-electronics-america-inc?pageNo=625", "Renesas Electronics")</f>
        <v>Renesas Electronics</v>
      </c>
      <c r="C22769" s="6">
        <v>60000</v>
      </c>
      <c r="D22769" s="7">
        <v>0.23</v>
      </c>
    </row>
    <row r="22770" spans="1:4" x14ac:dyDescent="0.25">
      <c r="A22770" t="str">
        <f>HYPERLINK("https://www.773grp.com/globalSearch/HZU9.1GTRF-P-E/page-1", "HZU9.1GTRF-P-E")</f>
        <v>HZU9.1GTRF-P-E</v>
      </c>
      <c r="B22770" s="3" t="str">
        <f>HYPERLINK("https://www.773grp.com/manufacturer/renesas-electronics-america-inc?pageNo=626", "Renesas Electronics")</f>
        <v>Renesas Electronics</v>
      </c>
      <c r="C22770" s="6">
        <v>36000</v>
      </c>
      <c r="D22770" s="7">
        <v>0.23</v>
      </c>
    </row>
    <row r="22771" spans="1:4" x14ac:dyDescent="0.25">
      <c r="A22771" t="str">
        <f>HYPERLINK("https://www.773grp.com/globalSearch/RD10E(N)-T2/page-1", "RD10E(N)-T2")</f>
        <v>RD10E(N)-T2</v>
      </c>
      <c r="B22771" s="3" t="str">
        <f>HYPERLINK("https://www.773grp.com/manufacturer/renesas-electronics-america-inc?pageNo=627", "Renesas Electronics")</f>
        <v>Renesas Electronics</v>
      </c>
      <c r="C22771" s="6">
        <v>10000</v>
      </c>
      <c r="D22771" s="7">
        <v>0.23</v>
      </c>
    </row>
    <row r="22772" spans="1:4" x14ac:dyDescent="0.25">
      <c r="A22772" t="str">
        <f>HYPERLINK("https://www.773grp.com/globalSearch/RD110E/page-1", "RD110E")</f>
        <v>RD110E</v>
      </c>
      <c r="B22772" s="3" t="str">
        <f>HYPERLINK("https://www.773grp.com/manufacturer/renesas-electronics-america-inc?pageNo=628", "Renesas Electronics")</f>
        <v>Renesas Electronics</v>
      </c>
      <c r="C22772" s="6">
        <v>83</v>
      </c>
      <c r="D22772" s="7">
        <v>0.23</v>
      </c>
    </row>
    <row r="22773" spans="1:4" x14ac:dyDescent="0.25">
      <c r="A22773" t="str">
        <f>HYPERLINK("https://www.773grp.com/globalSearch/RD110E-T4-AZ/page-1", "RD110E-T4-AZ")</f>
        <v>RD110E-T4-AZ</v>
      </c>
      <c r="B22773" s="3" t="str">
        <f>HYPERLINK("https://www.773grp.com/manufacturer/renesas-electronics-america-inc?pageNo=629", "Renesas Electronics")</f>
        <v>Renesas Electronics</v>
      </c>
      <c r="C22773" s="6">
        <v>475000</v>
      </c>
      <c r="D22773" s="7">
        <v>0.23</v>
      </c>
    </row>
    <row r="22774" spans="1:4" x14ac:dyDescent="0.25">
      <c r="A22774" t="str">
        <f>HYPERLINK("https://www.773grp.com/globalSearch/RD110E-TB-AZ/page-1", "RD110E-TB-AZ")</f>
        <v>RD110E-TB-AZ</v>
      </c>
      <c r="B22774" s="3" t="str">
        <f>HYPERLINK("https://www.773grp.com/manufacturer/renesas-electronics-america-inc?pageNo=630", "Renesas Electronics")</f>
        <v>Renesas Electronics</v>
      </c>
      <c r="C22774" s="6">
        <v>10000</v>
      </c>
      <c r="D22774" s="7">
        <v>0.23</v>
      </c>
    </row>
    <row r="22775" spans="1:4" x14ac:dyDescent="0.25">
      <c r="A22775" t="str">
        <f>HYPERLINK("https://www.773grp.com/globalSearch/RD120E/page-1", "RD120E")</f>
        <v>RD120E</v>
      </c>
      <c r="B22775" s="3" t="str">
        <f>HYPERLINK("https://www.773grp.com/manufacturer/renesas-electronics-america-inc?pageNo=631", "Renesas Electronics")</f>
        <v>Renesas Electronics</v>
      </c>
      <c r="C22775" s="6">
        <v>175</v>
      </c>
      <c r="D22775" s="7">
        <v>0.23</v>
      </c>
    </row>
    <row r="22776" spans="1:4" x14ac:dyDescent="0.25">
      <c r="A22776" t="str">
        <f>HYPERLINK("https://www.773grp.com/globalSearch/RD120E-TB-AZ/page-1", "RD120E-TB-AZ")</f>
        <v>RD120E-TB-AZ</v>
      </c>
      <c r="B22776" s="3" t="str">
        <f>HYPERLINK("https://www.773grp.com/manufacturer/renesas-electronics-america-inc?pageNo=632", "Renesas Electronics")</f>
        <v>Renesas Electronics</v>
      </c>
      <c r="C22776" s="6">
        <v>262500</v>
      </c>
      <c r="D22776" s="7">
        <v>0.23</v>
      </c>
    </row>
    <row r="22777" spans="1:4" x14ac:dyDescent="0.25">
      <c r="A22777" t="str">
        <f>HYPERLINK("https://www.773grp.com/globalSearch/RD12E(N)-T2/page-1", "RD12E(N)-T2")</f>
        <v>RD12E(N)-T2</v>
      </c>
      <c r="B22777" s="3" t="str">
        <f>HYPERLINK("https://www.773grp.com/manufacturer/renesas-electronics-america-inc?pageNo=633", "Renesas Electronics")</f>
        <v>Renesas Electronics</v>
      </c>
      <c r="C22777" s="6">
        <v>25000</v>
      </c>
      <c r="D22777" s="7">
        <v>0.23</v>
      </c>
    </row>
    <row r="22778" spans="1:4" x14ac:dyDescent="0.25">
      <c r="A22778" t="str">
        <f>HYPERLINK("https://www.773grp.com/globalSearch/RD130E-T1/page-1", "RD130E-T1")</f>
        <v>RD130E-T1</v>
      </c>
      <c r="B22778" s="3" t="str">
        <f>HYPERLINK("https://www.773grp.com/manufacturer/renesas-electronics-america-inc?pageNo=634", "Renesas Electronics")</f>
        <v>Renesas Electronics</v>
      </c>
      <c r="C22778" s="6">
        <v>32000</v>
      </c>
      <c r="D22778" s="7">
        <v>0.23</v>
      </c>
    </row>
    <row r="22779" spans="1:4" x14ac:dyDescent="0.25">
      <c r="A22779" t="str">
        <f>HYPERLINK("https://www.773grp.com/globalSearch/RD15E(N)-T2/page-1", "RD15E(N)-T2")</f>
        <v>RD15E(N)-T2</v>
      </c>
      <c r="B22779" s="3" t="str">
        <f>HYPERLINK("https://www.773grp.com/manufacturer/renesas-electronics-america-inc?pageNo=635", "Renesas Electronics")</f>
        <v>Renesas Electronics</v>
      </c>
      <c r="C22779" s="6">
        <v>15000</v>
      </c>
      <c r="D22779" s="7">
        <v>0.23</v>
      </c>
    </row>
    <row r="22780" spans="1:4" x14ac:dyDescent="0.25">
      <c r="A22780" t="str">
        <f>HYPERLINK("https://www.773grp.com/globalSearch/RD170E-T4-AZ/page-1", "RD170E-T4-AZ")</f>
        <v>RD170E-T4-AZ</v>
      </c>
      <c r="B22780" s="3" t="str">
        <f>HYPERLINK("https://www.773grp.com/manufacturer/renesas-electronics-america-inc?pageNo=636", "Renesas Electronics")</f>
        <v>Renesas Electronics</v>
      </c>
      <c r="C22780" s="6">
        <v>280000</v>
      </c>
      <c r="D22780" s="7">
        <v>0.23</v>
      </c>
    </row>
    <row r="22781" spans="1:4" x14ac:dyDescent="0.25">
      <c r="A22781" t="str">
        <f>HYPERLINK("https://www.773grp.com/globalSearch/RD180E-AZ/page-1", "RD180E-AZ")</f>
        <v>RD180E-AZ</v>
      </c>
      <c r="B22781" s="3" t="str">
        <f>HYPERLINK("https://www.773grp.com/manufacturer/renesas-electronics-america-inc?pageNo=637", "Renesas Electronics")</f>
        <v>Renesas Electronics</v>
      </c>
      <c r="C22781" s="6">
        <v>4000</v>
      </c>
      <c r="D22781" s="7">
        <v>0.23</v>
      </c>
    </row>
    <row r="22782" spans="1:4" x14ac:dyDescent="0.25">
      <c r="A22782" t="str">
        <f>HYPERLINK("https://www.773grp.com/globalSearch/RD18E(N)-T2-AZ/page-1", "RD18E(N)-T2-AZ")</f>
        <v>RD18E(N)-T2-AZ</v>
      </c>
      <c r="B22782" s="3" t="str">
        <f>HYPERLINK("https://www.773grp.com/manufacturer/renesas-electronics-america-inc?pageNo=638", "Renesas Electronics")</f>
        <v>Renesas Electronics</v>
      </c>
      <c r="C22782" s="6">
        <v>10000</v>
      </c>
      <c r="D22782" s="7">
        <v>0.23</v>
      </c>
    </row>
    <row r="22783" spans="1:4" x14ac:dyDescent="0.25">
      <c r="A22783" t="str">
        <f>HYPERLINK("https://www.773grp.com/globalSearch/RD18E(N)-T4/page-1", "RD18E(N)-T4")</f>
        <v>RD18E(N)-T4</v>
      </c>
      <c r="B22783" s="3" t="str">
        <f>HYPERLINK("https://www.773grp.com/manufacturer/renesas-electronics-america-inc?pageNo=639", "Renesas Electronics")</f>
        <v>Renesas Electronics</v>
      </c>
      <c r="C22783" s="6">
        <v>20000</v>
      </c>
      <c r="D22783" s="7">
        <v>0.23</v>
      </c>
    </row>
    <row r="22784" spans="1:4" x14ac:dyDescent="0.25">
      <c r="A22784" t="str">
        <f>HYPERLINK("https://www.773grp.com/globalSearch/RD200E-AZ/page-1", "RD200E-AZ")</f>
        <v>RD200E-AZ</v>
      </c>
      <c r="B22784" s="3" t="str">
        <f>HYPERLINK("https://www.773grp.com/manufacturer/renesas-electronics-america-inc?pageNo=640", "Renesas Electronics")</f>
        <v>Renesas Electronics</v>
      </c>
      <c r="C22784" s="6">
        <v>4900</v>
      </c>
      <c r="D22784" s="7">
        <v>0.23</v>
      </c>
    </row>
    <row r="22785" spans="1:4" x14ac:dyDescent="0.25">
      <c r="A22785" t="str">
        <f>HYPERLINK("https://www.773grp.com/globalSearch/RD200E-T4-AZ/page-1", "RD200E-T4-AZ")</f>
        <v>RD200E-T4-AZ</v>
      </c>
      <c r="B22785" s="3" t="str">
        <f>HYPERLINK("https://www.773grp.com/manufacturer/renesas-electronics-america-inc?pageNo=641", "Renesas Electronics")</f>
        <v>Renesas Electronics</v>
      </c>
      <c r="C22785" s="6">
        <v>120000</v>
      </c>
      <c r="D22785" s="7">
        <v>0.23</v>
      </c>
    </row>
    <row r="22786" spans="1:4" x14ac:dyDescent="0.25">
      <c r="A22786" t="str">
        <f>HYPERLINK("https://www.773grp.com/globalSearch/RD24E(N)-T2/page-1", "RD24E(N)-T2")</f>
        <v>RD24E(N)-T2</v>
      </c>
      <c r="B22786" s="3" t="str">
        <f>HYPERLINK("https://www.773grp.com/manufacturer/renesas-electronics-america-inc?pageNo=642", "Renesas Electronics")</f>
        <v>Renesas Electronics</v>
      </c>
      <c r="C22786" s="6">
        <v>10000</v>
      </c>
      <c r="D22786" s="7">
        <v>0.23</v>
      </c>
    </row>
    <row r="22787" spans="1:4" x14ac:dyDescent="0.25">
      <c r="A22787" t="str">
        <f>HYPERLINK("https://www.773grp.com/globalSearch/RD27E(N)-T2/page-1", "RD27E(N)-T2")</f>
        <v>RD27E(N)-T2</v>
      </c>
      <c r="B22787" s="3" t="str">
        <f>HYPERLINK("https://www.773grp.com/manufacturer/renesas-electronics-america-inc?pageNo=643", "Renesas Electronics")</f>
        <v>Renesas Electronics</v>
      </c>
      <c r="C22787" s="6">
        <v>15000</v>
      </c>
      <c r="D22787" s="7">
        <v>0.23</v>
      </c>
    </row>
    <row r="22788" spans="1:4" x14ac:dyDescent="0.25">
      <c r="A22788" t="str">
        <f>HYPERLINK("https://www.773grp.com/globalSearch/RD3.0E(N)-T2/page-1", "RD3.0E(N)-T2")</f>
        <v>RD3.0E(N)-T2</v>
      </c>
      <c r="B22788" s="3" t="str">
        <f>HYPERLINK("https://www.773grp.com/manufacturer/renesas-electronics-america-inc?pageNo=644", "Renesas Electronics")</f>
        <v>Renesas Electronics</v>
      </c>
      <c r="C22788" s="6">
        <v>5000</v>
      </c>
      <c r="D22788" s="7">
        <v>0.23</v>
      </c>
    </row>
    <row r="22789" spans="1:4" x14ac:dyDescent="0.25">
      <c r="A22789" t="str">
        <f>HYPERLINK("https://www.773grp.com/globalSearch/RD3.3E(10)-T2-AZ/page-1", "RD3.3E(10)-T2-AZ")</f>
        <v>RD3.3E(10)-T2-AZ</v>
      </c>
      <c r="B22789" s="3" t="str">
        <f>HYPERLINK("https://www.773grp.com/manufacturer/renesas-electronics-america-inc?pageNo=645", "Renesas Electronics")</f>
        <v>Renesas Electronics</v>
      </c>
      <c r="C22789" s="6">
        <v>10000</v>
      </c>
      <c r="D22789" s="7">
        <v>0.23</v>
      </c>
    </row>
    <row r="22790" spans="1:4" x14ac:dyDescent="0.25">
      <c r="A22790" t="str">
        <f>HYPERLINK("https://www.773grp.com/globalSearch/RD3.9E(10)-T2-AZ/page-1", "RD3.9E(10)-T2-AZ")</f>
        <v>RD3.9E(10)-T2-AZ</v>
      </c>
      <c r="B22790" s="3" t="str">
        <f>HYPERLINK("https://www.773grp.com/manufacturer/renesas-electronics-america-inc?pageNo=646", "Renesas Electronics")</f>
        <v>Renesas Electronics</v>
      </c>
      <c r="C22790" s="6">
        <v>10000</v>
      </c>
      <c r="D22790" s="7">
        <v>0.23</v>
      </c>
    </row>
    <row r="22791" spans="1:4" x14ac:dyDescent="0.25">
      <c r="A22791" t="str">
        <f>HYPERLINK("https://www.773grp.com/globalSearch/RD3.9E(N)-T2/page-1", "RD3.9E(N)-T2")</f>
        <v>RD3.9E(N)-T2</v>
      </c>
      <c r="B22791" s="3" t="str">
        <f>HYPERLINK("https://www.773grp.com/manufacturer/renesas-electronics-america-inc?pageNo=647", "Renesas Electronics")</f>
        <v>Renesas Electronics</v>
      </c>
      <c r="C22791" s="6">
        <v>25000</v>
      </c>
      <c r="D22791" s="7">
        <v>0.23</v>
      </c>
    </row>
    <row r="22792" spans="1:4" x14ac:dyDescent="0.25">
      <c r="A22792" t="str">
        <f>HYPERLINK("https://www.773grp.com/globalSearch/RD33E(N)-T2/page-1", "RD33E(N)-T2")</f>
        <v>RD33E(N)-T2</v>
      </c>
      <c r="B22792" s="3" t="str">
        <f>HYPERLINK("https://www.773grp.com/manufacturer/renesas-electronics-america-inc?pageNo=648", "Renesas Electronics")</f>
        <v>Renesas Electronics</v>
      </c>
      <c r="C22792" s="6">
        <v>15000</v>
      </c>
      <c r="D22792" s="7">
        <v>0.23</v>
      </c>
    </row>
    <row r="22793" spans="1:4" x14ac:dyDescent="0.25">
      <c r="A22793" t="str">
        <f>HYPERLINK("https://www.773grp.com/globalSearch/RD4.3ES(Y1)/page-1", "RD4.3ES(Y1)")</f>
        <v>RD4.3ES(Y1)</v>
      </c>
      <c r="B22793" s="3" t="str">
        <f>HYPERLINK("https://www.773grp.com/manufacturer/renesas-electronics-america-inc?pageNo=649", "Renesas Electronics")</f>
        <v>Renesas Electronics</v>
      </c>
      <c r="C22793" s="6">
        <v>24600</v>
      </c>
      <c r="D22793" s="7">
        <v>0.23</v>
      </c>
    </row>
    <row r="22794" spans="1:4" x14ac:dyDescent="0.25">
      <c r="A22794" t="str">
        <f>HYPERLINK("https://www.773grp.com/globalSearch/RD4.7E(10)-TB-AZ/page-1", "RD4.7E(10)-TB-AZ")</f>
        <v>RD4.7E(10)-TB-AZ</v>
      </c>
      <c r="B22794" s="3" t="str">
        <f>HYPERLINK("https://www.773grp.com/manufacturer/renesas-electronics-america-inc?pageNo=650", "Renesas Electronics")</f>
        <v>Renesas Electronics</v>
      </c>
      <c r="C22794" s="6">
        <v>10000</v>
      </c>
      <c r="D22794" s="7">
        <v>0.23</v>
      </c>
    </row>
    <row r="22795" spans="1:4" x14ac:dyDescent="0.25">
      <c r="A22795" t="str">
        <f>HYPERLINK("https://www.773grp.com/globalSearch/RD4.7E(N)-T2/page-1", "RD4.7E(N)-T2")</f>
        <v>RD4.7E(N)-T2</v>
      </c>
      <c r="B22795" s="3" t="str">
        <f>HYPERLINK("https://www.773grp.com/manufacturer/renesas-electronics-america-inc?pageNo=651", "Renesas Electronics")</f>
        <v>Renesas Electronics</v>
      </c>
      <c r="C22795" s="6">
        <v>20000</v>
      </c>
      <c r="D22795" s="7">
        <v>0.23</v>
      </c>
    </row>
    <row r="22796" spans="1:4" x14ac:dyDescent="0.25">
      <c r="A22796" t="str">
        <f>HYPERLINK("https://www.773grp.com/globalSearch/RD4.7JS(1)-T1-AZ/page-1", "RD4.7JS(1)-T1-AZ")</f>
        <v>RD4.7JS(1)-T1-AZ</v>
      </c>
      <c r="B22796" s="3" t="str">
        <f>HYPERLINK("https://www.773grp.com/manufacturer/renesas-electronics-america-inc?pageNo=652", "Renesas Electronics")</f>
        <v>Renesas Electronics</v>
      </c>
      <c r="C22796" s="6">
        <v>22000</v>
      </c>
      <c r="D22796" s="7">
        <v>0.23</v>
      </c>
    </row>
    <row r="22797" spans="1:4" x14ac:dyDescent="0.25">
      <c r="A22797" t="str">
        <f>HYPERLINK("https://www.773grp.com/globalSearch/RD43E-T1/page-1", "RD43E-T1")</f>
        <v>RD43E-T1</v>
      </c>
      <c r="B22797" s="3" t="str">
        <f>HYPERLINK("https://www.773grp.com/manufacturer/renesas-electronics-america-inc?pageNo=653", "Renesas Electronics")</f>
        <v>Renesas Electronics</v>
      </c>
      <c r="C22797" s="6">
        <v>6000</v>
      </c>
      <c r="D22797" s="7">
        <v>0.23</v>
      </c>
    </row>
    <row r="22798" spans="1:4" x14ac:dyDescent="0.25">
      <c r="A22798" t="str">
        <f>HYPERLINK("https://www.773grp.com/globalSearch/RD43E-T4-AZ/page-1", "RD43E-T4-AZ")</f>
        <v>RD43E-T4-AZ</v>
      </c>
      <c r="B22798" s="3" t="str">
        <f>HYPERLINK("https://www.773grp.com/manufacturer/renesas-electronics-america-inc?pageNo=654", "Renesas Electronics")</f>
        <v>Renesas Electronics</v>
      </c>
      <c r="C22798" s="6">
        <v>60000</v>
      </c>
      <c r="D22798" s="7">
        <v>0.23</v>
      </c>
    </row>
    <row r="22799" spans="1:4" x14ac:dyDescent="0.25">
      <c r="A22799" t="str">
        <f>HYPERLINK("https://www.773grp.com/globalSearch/RD43E-TB-AZ/page-1", "RD43E-TB-AZ")</f>
        <v>RD43E-TB-AZ</v>
      </c>
      <c r="B22799" s="3" t="str">
        <f>HYPERLINK("https://www.773grp.com/manufacturer/renesas-electronics-america-inc?pageNo=655", "Renesas Electronics")</f>
        <v>Renesas Electronics</v>
      </c>
      <c r="C22799" s="6">
        <v>27500</v>
      </c>
      <c r="D22799" s="7">
        <v>0.23</v>
      </c>
    </row>
    <row r="22800" spans="1:4" x14ac:dyDescent="0.25">
      <c r="A22800" t="str">
        <f>HYPERLINK("https://www.773grp.com/globalSearch/RD47E/page-1", "RD47E")</f>
        <v>RD47E</v>
      </c>
      <c r="B22800" s="3" t="str">
        <f>HYPERLINK("https://www.773grp.com/manufacturer/renesas-electronics-america-inc?pageNo=656", "Renesas Electronics")</f>
        <v>Renesas Electronics</v>
      </c>
      <c r="C22800" s="6">
        <v>4280</v>
      </c>
      <c r="D22800" s="7">
        <v>0.23</v>
      </c>
    </row>
    <row r="22801" spans="1:4" x14ac:dyDescent="0.25">
      <c r="A22801" t="str">
        <f>HYPERLINK("https://www.773grp.com/globalSearch/RD47E-AZ/page-1", "RD47E-AZ")</f>
        <v>RD47E-AZ</v>
      </c>
      <c r="B22801" s="3" t="str">
        <f>HYPERLINK("https://www.773grp.com/manufacturer/renesas-electronics-america-inc?pageNo=657", "Renesas Electronics")</f>
        <v>Renesas Electronics</v>
      </c>
      <c r="C22801" s="6">
        <v>400</v>
      </c>
      <c r="D22801" s="7">
        <v>0.23</v>
      </c>
    </row>
    <row r="22802" spans="1:4" x14ac:dyDescent="0.25">
      <c r="A22802" t="str">
        <f>HYPERLINK("https://www.773grp.com/globalSearch/RD47E-T1/page-1", "RD47E-T1")</f>
        <v>RD47E-T1</v>
      </c>
      <c r="B22802" s="3" t="str">
        <f>HYPERLINK("https://www.773grp.com/manufacturer/renesas-electronics-america-inc?pageNo=658", "Renesas Electronics")</f>
        <v>Renesas Electronics</v>
      </c>
      <c r="C22802" s="6">
        <v>44000</v>
      </c>
      <c r="D22802" s="7">
        <v>0.23</v>
      </c>
    </row>
    <row r="22803" spans="1:4" x14ac:dyDescent="0.25">
      <c r="A22803" t="str">
        <f>HYPERLINK("https://www.773grp.com/globalSearch/RD47E-T4-AZ/page-1", "RD47E-T4-AZ")</f>
        <v>RD47E-T4-AZ</v>
      </c>
      <c r="B22803" s="3" t="str">
        <f>HYPERLINK("https://www.773grp.com/manufacturer/renesas-electronics-america-inc?pageNo=659", "Renesas Electronics")</f>
        <v>Renesas Electronics</v>
      </c>
      <c r="C22803" s="6">
        <v>5000</v>
      </c>
      <c r="D22803" s="7">
        <v>0.23</v>
      </c>
    </row>
    <row r="22804" spans="1:4" x14ac:dyDescent="0.25">
      <c r="A22804" t="str">
        <f>HYPERLINK("https://www.773grp.com/globalSearch/RD47E-TB-AZ/page-1", "RD47E-TB-AZ")</f>
        <v>RD47E-TB-AZ</v>
      </c>
      <c r="B22804" s="3" t="str">
        <f>HYPERLINK("https://www.773grp.com/manufacturer/renesas-electronics-america-inc?pageNo=660", "Renesas Electronics")</f>
        <v>Renesas Electronics</v>
      </c>
      <c r="C22804" s="6">
        <v>2500</v>
      </c>
      <c r="D22804" s="7">
        <v>0.23</v>
      </c>
    </row>
    <row r="22805" spans="1:4" x14ac:dyDescent="0.25">
      <c r="A22805" t="str">
        <f>HYPERLINK("https://www.773grp.com/globalSearch/RD5.1E(10)-T2-AZ/page-1", "RD5.1E(10)-T2-AZ")</f>
        <v>RD5.1E(10)-T2-AZ</v>
      </c>
      <c r="B22805" s="3" t="str">
        <f>HYPERLINK("https://www.773grp.com/manufacturer/renesas-electronics-america-inc?pageNo=661", "Renesas Electronics")</f>
        <v>Renesas Electronics</v>
      </c>
      <c r="C22805" s="6">
        <v>95000</v>
      </c>
      <c r="D22805" s="7">
        <v>0.23</v>
      </c>
    </row>
    <row r="22806" spans="1:4" x14ac:dyDescent="0.25">
      <c r="A22806" t="str">
        <f>HYPERLINK("https://www.773grp.com/globalSearch/RD5.1E(N)-T2/page-1", "RD5.1E(N)-T2")</f>
        <v>RD5.1E(N)-T2</v>
      </c>
      <c r="B22806" s="3" t="str">
        <f>HYPERLINK("https://www.773grp.com/manufacturer/renesas-electronics-america-inc?pageNo=662", "Renesas Electronics")</f>
        <v>Renesas Electronics</v>
      </c>
      <c r="C22806" s="6">
        <v>10000</v>
      </c>
      <c r="D22806" s="7">
        <v>0.23</v>
      </c>
    </row>
    <row r="22807" spans="1:4" x14ac:dyDescent="0.25">
      <c r="A22807" t="str">
        <f>HYPERLINK("https://www.773grp.com/globalSearch/RD5.6E(10)-T2-AZ/page-1", "RD5.6E(10)-T2-AZ")</f>
        <v>RD5.6E(10)-T2-AZ</v>
      </c>
      <c r="B22807" s="3" t="str">
        <f>HYPERLINK("https://www.773grp.com/manufacturer/renesas-electronics-america-inc?pageNo=663", "Renesas Electronics")</f>
        <v>Renesas Electronics</v>
      </c>
      <c r="C22807" s="6">
        <v>70000</v>
      </c>
      <c r="D22807" s="7">
        <v>0.23</v>
      </c>
    </row>
    <row r="22808" spans="1:4" x14ac:dyDescent="0.25">
      <c r="A22808" t="str">
        <f>HYPERLINK("https://www.773grp.com/globalSearch/RD5.6E(7)-T2/page-1", "RD5.6E(7)-T2")</f>
        <v>RD5.6E(7)-T2</v>
      </c>
      <c r="B22808" s="3" t="str">
        <f>HYPERLINK("https://www.773grp.com/manufacturer/renesas-electronics-america-inc?pageNo=664", "Renesas Electronics")</f>
        <v>Renesas Electronics</v>
      </c>
      <c r="C22808" s="6">
        <v>20000</v>
      </c>
      <c r="D22808" s="7">
        <v>0.23</v>
      </c>
    </row>
    <row r="22809" spans="1:4" x14ac:dyDescent="0.25">
      <c r="A22809" t="str">
        <f>HYPERLINK("https://www.773grp.com/globalSearch/RD5.6E(N)-T2/page-1", "RD5.6E(N)-T2")</f>
        <v>RD5.6E(N)-T2</v>
      </c>
      <c r="B22809" s="3" t="str">
        <f>HYPERLINK("https://www.773grp.com/manufacturer/renesas-electronics-america-inc?pageNo=665", "Renesas Electronics")</f>
        <v>Renesas Electronics</v>
      </c>
      <c r="C22809" s="6">
        <v>45000</v>
      </c>
      <c r="D22809" s="7">
        <v>0.23</v>
      </c>
    </row>
    <row r="22810" spans="1:4" x14ac:dyDescent="0.25">
      <c r="A22810" t="str">
        <f>HYPERLINK("https://www.773grp.com/globalSearch/RD51E/page-1", "RD51E")</f>
        <v>RD51E</v>
      </c>
      <c r="B22810" s="3" t="str">
        <f>HYPERLINK("https://www.773grp.com/manufacturer/renesas-electronics-america-inc?pageNo=666", "Renesas Electronics")</f>
        <v>Renesas Electronics</v>
      </c>
      <c r="C22810" s="6">
        <v>9050</v>
      </c>
      <c r="D22810" s="7">
        <v>0.23</v>
      </c>
    </row>
    <row r="22811" spans="1:4" x14ac:dyDescent="0.25">
      <c r="A22811" t="str">
        <f>HYPERLINK("https://www.773grp.com/globalSearch/RD56E/page-1", "RD56E")</f>
        <v>RD56E</v>
      </c>
      <c r="B22811" s="3" t="str">
        <f>HYPERLINK("https://www.773grp.com/manufacturer/renesas-electronics-america-inc?pageNo=667", "Renesas Electronics")</f>
        <v>Renesas Electronics</v>
      </c>
      <c r="C22811" s="6">
        <v>19900</v>
      </c>
      <c r="D22811" s="7">
        <v>0.23</v>
      </c>
    </row>
    <row r="22812" spans="1:4" x14ac:dyDescent="0.25">
      <c r="A22812" t="str">
        <f>HYPERLINK("https://www.773grp.com/globalSearch/RD56E-AZ/page-1", "RD56E-AZ")</f>
        <v>RD56E-AZ</v>
      </c>
      <c r="B22812" s="3" t="str">
        <f>HYPERLINK("https://www.773grp.com/manufacturer/renesas-electronics-america-inc?pageNo=668", "Renesas Electronics")</f>
        <v>Renesas Electronics</v>
      </c>
      <c r="C22812" s="6">
        <v>980</v>
      </c>
      <c r="D22812" s="7">
        <v>0.23</v>
      </c>
    </row>
    <row r="22813" spans="1:4" x14ac:dyDescent="0.25">
      <c r="A22813" t="str">
        <f>HYPERLINK("https://www.773grp.com/globalSearch/RD56E-T1/page-1", "RD56E-T1")</f>
        <v>RD56E-T1</v>
      </c>
      <c r="B22813" s="3" t="str">
        <f>HYPERLINK("https://www.773grp.com/manufacturer/renesas-electronics-america-inc?pageNo=669", "Renesas Electronics")</f>
        <v>Renesas Electronics</v>
      </c>
      <c r="C22813" s="6">
        <v>34000</v>
      </c>
      <c r="D22813" s="7">
        <v>0.23</v>
      </c>
    </row>
    <row r="22814" spans="1:4" x14ac:dyDescent="0.25">
      <c r="A22814" t="str">
        <f>HYPERLINK("https://www.773grp.com/globalSearch/RD56E-T1-AZ/page-1", "RD56E-T1-AZ")</f>
        <v>RD56E-T1-AZ</v>
      </c>
      <c r="B22814" s="3" t="str">
        <f>HYPERLINK("https://www.773grp.com/manufacturer/renesas-electronics-america-inc?pageNo=670", "Renesas Electronics")</f>
        <v>Renesas Electronics</v>
      </c>
      <c r="C22814" s="6">
        <v>34000</v>
      </c>
      <c r="D22814" s="7">
        <v>0.23</v>
      </c>
    </row>
    <row r="22815" spans="1:4" x14ac:dyDescent="0.25">
      <c r="A22815" t="str">
        <f>HYPERLINK("https://www.773grp.com/globalSearch/RD56E-T4-AZ/page-1", "RD56E-T4-AZ")</f>
        <v>RD56E-T4-AZ</v>
      </c>
      <c r="B22815" s="3" t="str">
        <f>HYPERLINK("https://www.773grp.com/manufacturer/renesas-electronics-america-inc?pageNo=671", "Renesas Electronics")</f>
        <v>Renesas Electronics</v>
      </c>
      <c r="C22815" s="6">
        <v>15000</v>
      </c>
      <c r="D22815" s="7">
        <v>0.23</v>
      </c>
    </row>
    <row r="22816" spans="1:4" x14ac:dyDescent="0.25">
      <c r="A22816" t="str">
        <f>HYPERLINK("https://www.773grp.com/globalSearch/RD6.2E(N)-T1/page-1", "RD6.2E(N)-T1")</f>
        <v>RD6.2E(N)-T1</v>
      </c>
      <c r="B22816" s="3" t="str">
        <f>HYPERLINK("https://www.773grp.com/manufacturer/renesas-electronics-america-inc?pageNo=672", "Renesas Electronics")</f>
        <v>Renesas Electronics</v>
      </c>
      <c r="C22816" s="6">
        <v>26000</v>
      </c>
      <c r="D22816" s="7">
        <v>0.23</v>
      </c>
    </row>
    <row r="22817" spans="1:4" x14ac:dyDescent="0.25">
      <c r="A22817" t="str">
        <f>HYPERLINK("https://www.773grp.com/globalSearch/RD6.2E(N)-T2/page-1", "RD6.2E(N)-T2")</f>
        <v>RD6.2E(N)-T2</v>
      </c>
      <c r="B22817" s="3" t="str">
        <f>HYPERLINK("https://www.773grp.com/manufacturer/renesas-electronics-america-inc?pageNo=673", "Renesas Electronics")</f>
        <v>Renesas Electronics</v>
      </c>
      <c r="C22817" s="6">
        <v>10000</v>
      </c>
      <c r="D22817" s="7">
        <v>0.23</v>
      </c>
    </row>
    <row r="22818" spans="1:4" x14ac:dyDescent="0.25">
      <c r="A22818" t="str">
        <f>HYPERLINK("https://www.773grp.com/globalSearch/RD6.2E(N)-T4/page-1", "RD6.2E(N)-T4")</f>
        <v>RD6.2E(N)-T4</v>
      </c>
      <c r="B22818" s="3" t="str">
        <f>HYPERLINK("https://www.773grp.com/manufacturer/renesas-electronics-america-inc?pageNo=674", "Renesas Electronics")</f>
        <v>Renesas Electronics</v>
      </c>
      <c r="C22818" s="6">
        <v>25000</v>
      </c>
      <c r="D22818" s="7">
        <v>0.23</v>
      </c>
    </row>
    <row r="22819" spans="1:4" x14ac:dyDescent="0.25">
      <c r="A22819" t="str">
        <f>HYPERLINK("https://www.773grp.com/globalSearch/RD6.8E(N)-T1/page-1", "RD6.8E(N)-T1")</f>
        <v>RD6.8E(N)-T1</v>
      </c>
      <c r="B22819" s="3" t="str">
        <f>HYPERLINK("https://www.773grp.com/manufacturer/renesas-electronics-america-inc?pageNo=675", "Renesas Electronics")</f>
        <v>Renesas Electronics</v>
      </c>
      <c r="C22819" s="6">
        <v>2000</v>
      </c>
      <c r="D22819" s="7">
        <v>0.23</v>
      </c>
    </row>
    <row r="22820" spans="1:4" x14ac:dyDescent="0.25">
      <c r="A22820" t="str">
        <f>HYPERLINK("https://www.773grp.com/globalSearch/RD6.8ES(2)-T1-AZ/page-1", "RD6.8ES(2)-T1-AZ")</f>
        <v>RD6.8ES(2)-T1-AZ</v>
      </c>
      <c r="B22820" s="3" t="str">
        <f>HYPERLINK("https://www.773grp.com/manufacturer/renesas-electronics-america-inc?pageNo=676", "Renesas Electronics")</f>
        <v>Renesas Electronics</v>
      </c>
      <c r="C22820" s="6">
        <v>880000</v>
      </c>
      <c r="D22820" s="7">
        <v>0.23</v>
      </c>
    </row>
    <row r="22821" spans="1:4" x14ac:dyDescent="0.25">
      <c r="A22821" t="str">
        <f>HYPERLINK("https://www.773grp.com/globalSearch/RD62E/page-1", "RD62E")</f>
        <v>RD62E</v>
      </c>
      <c r="B22821" s="3" t="str">
        <f>HYPERLINK("https://www.773grp.com/manufacturer/renesas-electronics-america-inc?pageNo=677", "Renesas Electronics")</f>
        <v>Renesas Electronics</v>
      </c>
      <c r="C22821" s="6">
        <v>3500</v>
      </c>
      <c r="D22821" s="7">
        <v>0.23</v>
      </c>
    </row>
    <row r="22822" spans="1:4" x14ac:dyDescent="0.25">
      <c r="A22822" t="str">
        <f>HYPERLINK("https://www.773grp.com/globalSearch/RD62E-T4-AZ/page-1", "RD62E-T4-AZ")</f>
        <v>RD62E-T4-AZ</v>
      </c>
      <c r="B22822" s="3" t="str">
        <f>HYPERLINK("https://www.773grp.com/manufacturer/renesas-electronics-america-inc?pageNo=678", "Renesas Electronics")</f>
        <v>Renesas Electronics</v>
      </c>
      <c r="C22822" s="6">
        <v>30000</v>
      </c>
      <c r="D22822" s="7">
        <v>0.23</v>
      </c>
    </row>
    <row r="22823" spans="1:4" x14ac:dyDescent="0.25">
      <c r="A22823" t="str">
        <f>HYPERLINK("https://www.773grp.com/globalSearch/RD68E/page-1", "RD68E")</f>
        <v>RD68E</v>
      </c>
      <c r="B22823" s="3" t="str">
        <f>HYPERLINK("https://www.773grp.com/manufacturer/renesas-electronics-america-inc?pageNo=679", "Renesas Electronics")</f>
        <v>Renesas Electronics</v>
      </c>
      <c r="C22823" s="6">
        <v>14350</v>
      </c>
      <c r="D22823" s="7">
        <v>0.23</v>
      </c>
    </row>
    <row r="22824" spans="1:4" x14ac:dyDescent="0.25">
      <c r="A22824" t="str">
        <f>HYPERLINK("https://www.773grp.com/globalSearch/RD68E-AZ/page-1", "RD68E-AZ")</f>
        <v>RD68E-AZ</v>
      </c>
      <c r="B22824" s="3" t="str">
        <f>HYPERLINK("https://www.773grp.com/manufacturer/renesas-electronics-america-inc?pageNo=680", "Renesas Electronics")</f>
        <v>Renesas Electronics</v>
      </c>
      <c r="C22824" s="6">
        <v>4100</v>
      </c>
      <c r="D22824" s="7">
        <v>0.23</v>
      </c>
    </row>
    <row r="22825" spans="1:4" x14ac:dyDescent="0.25">
      <c r="A22825" t="str">
        <f>HYPERLINK("https://www.773grp.com/globalSearch/RD68E-T1/page-1", "RD68E-T1")</f>
        <v>RD68E-T1</v>
      </c>
      <c r="B22825" s="3" t="str">
        <f>HYPERLINK("https://www.773grp.com/manufacturer/renesas-electronics-america-inc?pageNo=681", "Renesas Electronics")</f>
        <v>Renesas Electronics</v>
      </c>
      <c r="C22825" s="6">
        <v>14000</v>
      </c>
      <c r="D22825" s="7">
        <v>0.23</v>
      </c>
    </row>
    <row r="22826" spans="1:4" x14ac:dyDescent="0.25">
      <c r="A22826" t="str">
        <f>HYPERLINK("https://www.773grp.com/globalSearch/RD68E-T4-AZ/page-1", "RD68E-T4-AZ")</f>
        <v>RD68E-T4-AZ</v>
      </c>
      <c r="B22826" s="3" t="str">
        <f>HYPERLINK("https://www.773grp.com/manufacturer/renesas-electronics-america-inc?pageNo=682", "Renesas Electronics")</f>
        <v>Renesas Electronics</v>
      </c>
      <c r="C22826" s="6">
        <v>10000</v>
      </c>
      <c r="D22826" s="7">
        <v>0.23</v>
      </c>
    </row>
    <row r="22827" spans="1:4" x14ac:dyDescent="0.25">
      <c r="A22827" t="str">
        <f>HYPERLINK("https://www.773grp.com/globalSearch/RD75E/page-1", "RD75E")</f>
        <v>RD75E</v>
      </c>
      <c r="B22827" s="3" t="str">
        <f>HYPERLINK("https://www.773grp.com/manufacturer/renesas-electronics-america-inc?pageNo=683", "Renesas Electronics")</f>
        <v>Renesas Electronics</v>
      </c>
      <c r="C22827" s="6">
        <v>414000</v>
      </c>
      <c r="D22827" s="7">
        <v>0.23</v>
      </c>
    </row>
    <row r="22828" spans="1:4" x14ac:dyDescent="0.25">
      <c r="A22828" t="str">
        <f>HYPERLINK("https://www.773grp.com/globalSearch/RD75E-T1/page-1", "RD75E-T1")</f>
        <v>RD75E-T1</v>
      </c>
      <c r="B22828" s="3" t="str">
        <f>HYPERLINK("https://www.773grp.com/manufacturer/renesas-electronics-america-inc?pageNo=684", "Renesas Electronics")</f>
        <v>Renesas Electronics</v>
      </c>
      <c r="C22828" s="6">
        <v>2000</v>
      </c>
      <c r="D22828" s="7">
        <v>0.23</v>
      </c>
    </row>
    <row r="22829" spans="1:4" x14ac:dyDescent="0.25">
      <c r="A22829" t="str">
        <f>HYPERLINK("https://www.773grp.com/globalSearch/RD75E-T4-AZ/page-1", "RD75E-T4-AZ")</f>
        <v>RD75E-T4-AZ</v>
      </c>
      <c r="B22829" s="3" t="str">
        <f>HYPERLINK("https://www.773grp.com/manufacturer/renesas-electronics-america-inc?pageNo=685", "Renesas Electronics")</f>
        <v>Renesas Electronics</v>
      </c>
      <c r="C22829" s="6">
        <v>5000</v>
      </c>
      <c r="D22829" s="7">
        <v>0.23</v>
      </c>
    </row>
    <row r="22830" spans="1:4" x14ac:dyDescent="0.25">
      <c r="A22830" t="str">
        <f>HYPERLINK("https://www.773grp.com/globalSearch/RD75E-TB-AZ/page-1", "RD75E-TB-AZ")</f>
        <v>RD75E-TB-AZ</v>
      </c>
      <c r="B22830" s="3" t="str">
        <f>HYPERLINK("https://www.773grp.com/manufacturer/renesas-electronics-america-inc?pageNo=686", "Renesas Electronics")</f>
        <v>Renesas Electronics</v>
      </c>
      <c r="C22830" s="6">
        <v>17500</v>
      </c>
      <c r="D22830" s="7">
        <v>0.23</v>
      </c>
    </row>
    <row r="22831" spans="1:4" x14ac:dyDescent="0.25">
      <c r="A22831" t="str">
        <f>HYPERLINK("https://www.773grp.com/globalSearch/RD82E/page-1", "RD82E")</f>
        <v>RD82E</v>
      </c>
      <c r="B22831" s="3" t="str">
        <f>HYPERLINK("https://www.773grp.com/manufacturer/renesas-electronics-america-inc?pageNo=687", "Renesas Electronics")</f>
        <v>Renesas Electronics</v>
      </c>
      <c r="C22831" s="6">
        <v>200</v>
      </c>
      <c r="D22831" s="7">
        <v>0.23</v>
      </c>
    </row>
    <row r="22832" spans="1:4" x14ac:dyDescent="0.25">
      <c r="A22832" t="str">
        <f>HYPERLINK("https://www.773grp.com/globalSearch/RD9.1JS(N)-T1/page-1", "RD9.1JS(N)-T1")</f>
        <v>RD9.1JS(N)-T1</v>
      </c>
      <c r="B22832" s="3" t="str">
        <f>HYPERLINK("https://www.773grp.com/manufacturer/renesas-electronics-america-inc?pageNo=688", "Renesas Electronics")</f>
        <v>Renesas Electronics</v>
      </c>
      <c r="C22832" s="6">
        <v>4000</v>
      </c>
      <c r="D22832" s="7">
        <v>0.23</v>
      </c>
    </row>
    <row r="22833" spans="1:4" x14ac:dyDescent="0.25">
      <c r="A22833" t="str">
        <f>HYPERLINK("https://www.773grp.com/globalSearch/RD91E/page-1", "RD91E")</f>
        <v>RD91E</v>
      </c>
      <c r="B22833" s="3" t="str">
        <f>HYPERLINK("https://www.773grp.com/manufacturer/renesas-electronics-america-inc?pageNo=689", "Renesas Electronics")</f>
        <v>Renesas Electronics</v>
      </c>
      <c r="C22833" s="6">
        <v>123370</v>
      </c>
      <c r="D22833" s="7">
        <v>0.23</v>
      </c>
    </row>
    <row r="22834" spans="1:4" x14ac:dyDescent="0.25">
      <c r="A22834" t="str">
        <f>HYPERLINK("https://www.773grp.com/globalSearch/RD91E-AZ/page-1", "RD91E-AZ")</f>
        <v>RD91E-AZ</v>
      </c>
      <c r="B22834" s="3" t="str">
        <f>HYPERLINK("https://www.773grp.com/manufacturer/renesas-electronics-america-inc?pageNo=690", "Renesas Electronics")</f>
        <v>Renesas Electronics</v>
      </c>
      <c r="C22834" s="6">
        <v>3800</v>
      </c>
      <c r="D22834" s="7">
        <v>0.23</v>
      </c>
    </row>
    <row r="22835" spans="1:4" x14ac:dyDescent="0.25">
      <c r="A22835" t="str">
        <f>HYPERLINK("https://www.773grp.com/globalSearch/RKD703KL#R1/page-1", "RKD703KL#R1")</f>
        <v>RKD703KL#R1</v>
      </c>
      <c r="B22835" s="3" t="str">
        <f>HYPERLINK("https://www.773grp.com/manufacturer/renesas-electronics-america-inc?pageNo=691", "Renesas Electronics")</f>
        <v>Renesas Electronics</v>
      </c>
      <c r="C22835" s="6">
        <v>80000</v>
      </c>
      <c r="D22835" s="7">
        <v>0.23</v>
      </c>
    </row>
    <row r="22836" spans="1:4" x14ac:dyDescent="0.25">
      <c r="A22836" t="str">
        <f>HYPERLINK("https://www.773grp.com/globalSearch/RKH0125AKF#P1/page-1", "RKH0125AKF#P1")</f>
        <v>RKH0125AKF#P1</v>
      </c>
      <c r="B22836" s="3" t="str">
        <f>HYPERLINK("https://www.773grp.com/manufacturer/renesas-electronics-america-inc?pageNo=692", "Renesas Electronics")</f>
        <v>Renesas Electronics</v>
      </c>
      <c r="C22836" s="6">
        <v>39000</v>
      </c>
      <c r="D22836" s="7">
        <v>0.23</v>
      </c>
    </row>
    <row r="22837" spans="1:4" x14ac:dyDescent="0.25">
      <c r="A22837" t="str">
        <f>HYPERLINK("https://www.773grp.com/globalSearch/RKZ12B2KL#R1/page-1", "RKZ12B2KL#R1")</f>
        <v>RKZ12B2KL#R1</v>
      </c>
      <c r="B22837" s="3" t="str">
        <f>HYPERLINK("https://www.773grp.com/manufacturer/renesas-electronics-america-inc?pageNo=693", "Renesas Electronics")</f>
        <v>Renesas Electronics</v>
      </c>
      <c r="C22837" s="6">
        <v>70000</v>
      </c>
      <c r="D22837" s="7">
        <v>0.23</v>
      </c>
    </row>
    <row r="22838" spans="1:4" x14ac:dyDescent="0.25">
      <c r="A22838" t="str">
        <f>HYPERLINK("https://www.773grp.com/globalSearch/RKZ13B2KK#R1/page-1", "RKZ13B2KK#R1")</f>
        <v>RKZ13B2KK#R1</v>
      </c>
      <c r="B22838" s="3" t="str">
        <f>HYPERLINK("https://www.773grp.com/manufacturer/renesas-electronics-america-inc?pageNo=694", "Renesas Electronics")</f>
        <v>Renesas Electronics</v>
      </c>
      <c r="C22838" s="6">
        <v>8000</v>
      </c>
      <c r="D22838" s="7">
        <v>0.23</v>
      </c>
    </row>
    <row r="22839" spans="1:4" x14ac:dyDescent="0.25">
      <c r="A22839" t="str">
        <f>HYPERLINK("https://www.773grp.com/globalSearch/RKZ2.0BKL#R1/page-1", "RKZ2.0BKL#R1")</f>
        <v>RKZ2.0BKL#R1</v>
      </c>
      <c r="B22839" s="3" t="str">
        <f>HYPERLINK("https://www.773grp.com/manufacturer/renesas-electronics-america-inc?pageNo=695", "Renesas Electronics")</f>
        <v>Renesas Electronics</v>
      </c>
      <c r="C22839" s="6">
        <v>270000</v>
      </c>
      <c r="D22839" s="7">
        <v>0.23</v>
      </c>
    </row>
    <row r="22840" spans="1:4" x14ac:dyDescent="0.25">
      <c r="A22840" t="str">
        <f>HYPERLINK("https://www.773grp.com/globalSearch/RKZ2.7B2KK#R1/page-1", "RKZ2.7B2KK#R1")</f>
        <v>RKZ2.7B2KK#R1</v>
      </c>
      <c r="B22840" s="3" t="str">
        <f>HYPERLINK("https://www.773grp.com/manufacturer/renesas-electronics-america-inc?pageNo=696", "Renesas Electronics")</f>
        <v>Renesas Electronics</v>
      </c>
      <c r="C22840" s="6">
        <v>72000</v>
      </c>
      <c r="D22840" s="7">
        <v>0.23</v>
      </c>
    </row>
    <row r="22841" spans="1:4" x14ac:dyDescent="0.25">
      <c r="A22841" t="str">
        <f>HYPERLINK("https://www.773grp.com/globalSearch/RKZ3.9B2KL#R1/page-1", "RKZ3.9B2KL#R1")</f>
        <v>RKZ3.9B2KL#R1</v>
      </c>
      <c r="B22841" s="3" t="str">
        <f>HYPERLINK("https://www.773grp.com/manufacturer/renesas-electronics-america-inc?pageNo=697", "Renesas Electronics")</f>
        <v>Renesas Electronics</v>
      </c>
      <c r="C22841" s="6">
        <v>50000</v>
      </c>
      <c r="D22841" s="7">
        <v>0.23</v>
      </c>
    </row>
    <row r="22842" spans="1:4" x14ac:dyDescent="0.25">
      <c r="A22842" t="str">
        <f>HYPERLINK("https://www.773grp.com/globalSearch/RKZ33BKL#R1/page-1", "RKZ33BKL#R1")</f>
        <v>RKZ33BKL#R1</v>
      </c>
      <c r="B22842" s="3" t="str">
        <f>HYPERLINK("https://www.773grp.com/manufacturer/renesas-electronics-america-inc?pageNo=698", "Renesas Electronics")</f>
        <v>Renesas Electronics</v>
      </c>
      <c r="C22842" s="6">
        <v>210000</v>
      </c>
      <c r="D22842" s="7">
        <v>0.23</v>
      </c>
    </row>
    <row r="22843" spans="1:4" x14ac:dyDescent="0.25">
      <c r="A22843" t="str">
        <f>HYPERLINK("https://www.773grp.com/globalSearch/RKZ36BKL#R6/page-1", "RKZ36BKL#R6")</f>
        <v>RKZ36BKL#R6</v>
      </c>
      <c r="B22843" s="3" t="str">
        <f>HYPERLINK("https://www.773grp.com/manufacturer/renesas-electronics-america-inc?pageNo=699", "Renesas Electronics")</f>
        <v>Renesas Electronics</v>
      </c>
      <c r="C22843" s="6">
        <v>140000</v>
      </c>
      <c r="D22843" s="7">
        <v>0.23</v>
      </c>
    </row>
    <row r="22844" spans="1:4" x14ac:dyDescent="0.25">
      <c r="A22844" t="str">
        <f>HYPERLINK("https://www.773grp.com/globalSearch/RKZ4.7B2KL#R1/page-1", "RKZ4.7B2KL#R1")</f>
        <v>RKZ4.7B2KL#R1</v>
      </c>
      <c r="B22844" s="3" t="str">
        <f>HYPERLINK("https://www.773grp.com/manufacturer/renesas-electronics-america-inc?pageNo=700", "Renesas Electronics")</f>
        <v>Renesas Electronics</v>
      </c>
      <c r="C22844" s="6">
        <v>110000</v>
      </c>
      <c r="D22844" s="7">
        <v>0.23</v>
      </c>
    </row>
    <row r="22845" spans="1:4" x14ac:dyDescent="0.25">
      <c r="A22845" t="str">
        <f>HYPERLINK("https://www.773grp.com/globalSearch/RKZ5.1B2KK#R1/page-1", "RKZ5.1B2KK#R1")</f>
        <v>RKZ5.1B2KK#R1</v>
      </c>
      <c r="B22845" s="3" t="str">
        <f>HYPERLINK("https://www.773grp.com/manufacturer/renesas-electronics-america-inc?pageNo=701", "Renesas Electronics")</f>
        <v>Renesas Electronics</v>
      </c>
      <c r="C22845" s="6">
        <v>120000</v>
      </c>
      <c r="D22845" s="7">
        <v>0.23</v>
      </c>
    </row>
    <row r="22846" spans="1:4" x14ac:dyDescent="0.25">
      <c r="A22846" t="str">
        <f>HYPERLINK("https://www.773grp.com/globalSearch/RKZ5.1B2KL#R1/page-1", "RKZ5.1B2KL#R1")</f>
        <v>RKZ5.1B2KL#R1</v>
      </c>
      <c r="B22846" s="3" t="str">
        <f>HYPERLINK("https://www.773grp.com/manufacturer/renesas-electronics-america-inc?pageNo=702", "Renesas Electronics")</f>
        <v>Renesas Electronics</v>
      </c>
      <c r="C22846" s="6">
        <v>200000</v>
      </c>
      <c r="D22846" s="7">
        <v>0.23</v>
      </c>
    </row>
    <row r="22847" spans="1:4" x14ac:dyDescent="0.25">
      <c r="A22847" t="str">
        <f>HYPERLINK("https://www.773grp.com/globalSearch/RKZ6.8BKP#R5/page-1", "RKZ6.8BKP#R5")</f>
        <v>RKZ6.8BKP#R5</v>
      </c>
      <c r="B22847" s="3" t="str">
        <f>HYPERLINK("https://www.773grp.com/manufacturer/renesas-electronics-america-inc?pageNo=703", "Renesas Electronics")</f>
        <v>Renesas Electronics</v>
      </c>
      <c r="C22847" s="6">
        <v>10000</v>
      </c>
      <c r="D22847" s="7">
        <v>0.23</v>
      </c>
    </row>
    <row r="22848" spans="1:4" x14ac:dyDescent="0.25">
      <c r="A22848" t="str">
        <f>HYPERLINK("https://www.773grp.com/globalSearch/1S953-T1/page-1", "1S953-T1")</f>
        <v>1S953-T1</v>
      </c>
      <c r="B22848" s="3" t="str">
        <f>HYPERLINK("https://www.773grp.com/manufacturer/renesas-electronics-america-inc?pageNo=704", "Renesas Electronics")</f>
        <v>Renesas Electronics</v>
      </c>
      <c r="C22848" s="6">
        <v>40000</v>
      </c>
      <c r="D22848" s="7">
        <v>0.28000000000000003</v>
      </c>
    </row>
    <row r="22849" spans="1:4" x14ac:dyDescent="0.25">
      <c r="A22849" t="str">
        <f>HYPERLINK("https://www.773grp.com/globalSearch/1S953-T1-AZ/page-1", "1S953-T1-AZ")</f>
        <v>1S953-T1-AZ</v>
      </c>
      <c r="B22849" s="3" t="str">
        <f>HYPERLINK("https://www.773grp.com/manufacturer/renesas-electronics-america-inc?pageNo=705", "Renesas Electronics")</f>
        <v>Renesas Electronics</v>
      </c>
      <c r="C22849" s="6">
        <v>60160</v>
      </c>
      <c r="D22849" s="7">
        <v>0.28000000000000003</v>
      </c>
    </row>
    <row r="22850" spans="1:4" x14ac:dyDescent="0.25">
      <c r="A22850" t="str">
        <f>HYPERLINK("https://www.773grp.com/globalSearch/1S953-T2/page-1", "1S953-T2")</f>
        <v>1S953-T2</v>
      </c>
      <c r="B22850" s="3" t="str">
        <f>HYPERLINK("https://www.773grp.com/manufacturer/renesas-electronics-america-inc?pageNo=706", "Renesas Electronics")</f>
        <v>Renesas Electronics</v>
      </c>
      <c r="C22850" s="6">
        <v>24000</v>
      </c>
      <c r="D22850" s="7">
        <v>0.28000000000000003</v>
      </c>
    </row>
    <row r="22851" spans="1:4" x14ac:dyDescent="0.25">
      <c r="A22851" t="str">
        <f>HYPERLINK("https://www.773grp.com/globalSearch/1S953-T2-AZ/page-1", "1S953-T2-AZ")</f>
        <v>1S953-T2-AZ</v>
      </c>
      <c r="B22851" s="3" t="str">
        <f>HYPERLINK("https://www.773grp.com/manufacturer/renesas-electronics-america-inc?pageNo=707", "Renesas Electronics")</f>
        <v>Renesas Electronics</v>
      </c>
      <c r="C22851" s="6">
        <v>25000</v>
      </c>
      <c r="D22851" s="7">
        <v>0.28000000000000003</v>
      </c>
    </row>
    <row r="22852" spans="1:4" x14ac:dyDescent="0.25">
      <c r="A22852" t="str">
        <f>HYPERLINK("https://www.773grp.com/globalSearch/1S953-T4-AZ/page-1", "1S953-T4-AZ")</f>
        <v>1S953-T4-AZ</v>
      </c>
      <c r="B22852" s="3" t="str">
        <f>HYPERLINK("https://www.773grp.com/manufacturer/renesas-electronics-america-inc?pageNo=708", "Renesas Electronics")</f>
        <v>Renesas Electronics</v>
      </c>
      <c r="C22852" s="6">
        <v>395000</v>
      </c>
      <c r="D22852" s="7">
        <v>0.28000000000000003</v>
      </c>
    </row>
    <row r="22853" spans="1:4" x14ac:dyDescent="0.25">
      <c r="A22853" t="str">
        <f>HYPERLINK("https://www.773grp.com/globalSearch/1S953-TB/page-1", "1S953-TB")</f>
        <v>1S953-TB</v>
      </c>
      <c r="B22853" s="3" t="str">
        <f>HYPERLINK("https://www.773grp.com/manufacturer/renesas-electronics-america-inc?pageNo=709", "Renesas Electronics")</f>
        <v>Renesas Electronics</v>
      </c>
      <c r="C22853" s="6">
        <v>30000</v>
      </c>
      <c r="D22853" s="7">
        <v>0.28000000000000003</v>
      </c>
    </row>
    <row r="22854" spans="1:4" x14ac:dyDescent="0.25">
      <c r="A22854" t="str">
        <f>HYPERLINK("https://www.773grp.com/globalSearch/1S953-TB-AZ/page-1", "1S953-TB-AZ")</f>
        <v>1S953-TB-AZ</v>
      </c>
      <c r="B22854" s="3" t="str">
        <f>HYPERLINK("https://www.773grp.com/manufacturer/renesas-electronics-america-inc?pageNo=710", "Renesas Electronics")</f>
        <v>Renesas Electronics</v>
      </c>
      <c r="C22854" s="6">
        <v>17500</v>
      </c>
      <c r="D22854" s="7">
        <v>0.28000000000000003</v>
      </c>
    </row>
    <row r="22855" spans="1:4" x14ac:dyDescent="0.25">
      <c r="A22855" t="str">
        <f>HYPERLINK("https://www.773grp.com/globalSearch/1SS54/page-1", "1SS54")</f>
        <v>1SS54</v>
      </c>
      <c r="B22855" s="3" t="str">
        <f>HYPERLINK("https://www.773grp.com/manufacturer/renesas-electronics-america-inc?pageNo=711", "Renesas Electronics")</f>
        <v>Renesas Electronics</v>
      </c>
      <c r="C22855" s="6">
        <v>500</v>
      </c>
      <c r="D22855" s="7">
        <v>0.28000000000000003</v>
      </c>
    </row>
    <row r="22856" spans="1:4" x14ac:dyDescent="0.25">
      <c r="A22856" t="str">
        <f>HYPERLINK("https://www.773grp.com/globalSearch/1SS54-TB/page-1", "1SS54-TB")</f>
        <v>1SS54-TB</v>
      </c>
      <c r="B22856" s="3" t="str">
        <f>HYPERLINK("https://www.773grp.com/manufacturer/renesas-electronics-america-inc?pageNo=712", "Renesas Electronics")</f>
        <v>Renesas Electronics</v>
      </c>
      <c r="C22856" s="6">
        <v>2500</v>
      </c>
      <c r="D22856" s="7">
        <v>0.28000000000000003</v>
      </c>
    </row>
    <row r="22857" spans="1:4" x14ac:dyDescent="0.25">
      <c r="A22857" t="str">
        <f>HYPERLINK("https://www.773grp.com/globalSearch/1SS81-E/page-1", "1SS81-E")</f>
        <v>1SS81-E</v>
      </c>
      <c r="B22857" s="3" t="str">
        <f>HYPERLINK("https://www.773grp.com/manufacturer/renesas-electronics-america-inc?pageNo=713", "Renesas Electronics")</f>
        <v>Renesas Electronics</v>
      </c>
      <c r="C22857" s="6">
        <v>59570</v>
      </c>
      <c r="D22857" s="7">
        <v>0.28000000000000003</v>
      </c>
    </row>
    <row r="22858" spans="1:4" x14ac:dyDescent="0.25">
      <c r="A22858" t="str">
        <f>HYPERLINK("https://www.773grp.com/globalSearch/1SS81RE-E/page-1", "1SS81RE-E")</f>
        <v>1SS81RE-E</v>
      </c>
      <c r="B22858" s="3" t="str">
        <f>HYPERLINK("https://www.773grp.com/manufacturer/renesas-electronics-america-inc?pageNo=714", "Renesas Electronics")</f>
        <v>Renesas Electronics</v>
      </c>
      <c r="C22858" s="6">
        <v>140000</v>
      </c>
      <c r="D22858" s="7">
        <v>0.28000000000000003</v>
      </c>
    </row>
    <row r="22859" spans="1:4" x14ac:dyDescent="0.25">
      <c r="A22859" t="str">
        <f>HYPERLINK("https://www.773grp.com/globalSearch/1SS82RE-E/page-1", "1SS82RE-E")</f>
        <v>1SS82RE-E</v>
      </c>
      <c r="B22859" s="3" t="str">
        <f>HYPERLINK("https://www.773grp.com/manufacturer/renesas-electronics-america-inc?pageNo=715", "Renesas Electronics")</f>
        <v>Renesas Electronics</v>
      </c>
      <c r="C22859" s="6">
        <v>72000</v>
      </c>
      <c r="D22859" s="7">
        <v>0.28000000000000003</v>
      </c>
    </row>
    <row r="22860" spans="1:4" x14ac:dyDescent="0.25">
      <c r="A22860" t="str">
        <f>HYPERLINK("https://www.773grp.com/globalSearch/1SS83/page-1", "1SS83")</f>
        <v>1SS83</v>
      </c>
      <c r="B22860" s="3" t="str">
        <f>HYPERLINK("https://www.773grp.com/manufacturer/renesas-electronics-america-inc?pageNo=716", "Renesas Electronics")</f>
        <v>Renesas Electronics</v>
      </c>
      <c r="C22860" s="6">
        <v>8832</v>
      </c>
      <c r="D22860" s="7">
        <v>0.28000000000000003</v>
      </c>
    </row>
    <row r="22861" spans="1:4" x14ac:dyDescent="0.25">
      <c r="A22861" t="str">
        <f>HYPERLINK("https://www.773grp.com/globalSearch/2SD655ETZ-E/page-1", "2SD655ETZ-E")</f>
        <v>2SD655ETZ-E</v>
      </c>
      <c r="B22861" s="3" t="str">
        <f>HYPERLINK("https://www.773grp.com/manufacturer/renesas-electronics-america-inc?pageNo=717", "Renesas Electronics")</f>
        <v>Renesas Electronics</v>
      </c>
      <c r="C22861" s="6">
        <v>20000</v>
      </c>
      <c r="D22861" s="7">
        <v>0.28000000000000003</v>
      </c>
    </row>
    <row r="22862" spans="1:4" x14ac:dyDescent="0.25">
      <c r="A22862" t="str">
        <f>HYPERLINK("https://www.773grp.com/globalSearch/HRD0103CKRF-E/page-1", "HRD0103CKRF-E")</f>
        <v>HRD0103CKRF-E</v>
      </c>
      <c r="B22862" s="3" t="str">
        <f>HYPERLINK("https://www.773grp.com/manufacturer/renesas-electronics-america-inc?pageNo=718", "Renesas Electronics")</f>
        <v>Renesas Electronics</v>
      </c>
      <c r="C22862" s="6">
        <v>96000</v>
      </c>
      <c r="D22862" s="7">
        <v>0.28000000000000003</v>
      </c>
    </row>
    <row r="22863" spans="1:4" x14ac:dyDescent="0.25">
      <c r="A22863" t="str">
        <f>HYPERLINK("https://www.773grp.com/globalSearch/HSC276ATRF-E/page-1", "HSC276ATRF-E")</f>
        <v>HSC276ATRF-E</v>
      </c>
      <c r="B22863" s="3" t="str">
        <f>HYPERLINK("https://www.773grp.com/manufacturer/renesas-electronics-america-inc?pageNo=719", "Renesas Electronics")</f>
        <v>Renesas Electronics</v>
      </c>
      <c r="C22863" s="6">
        <v>44000</v>
      </c>
      <c r="D22863" s="7">
        <v>0.28000000000000003</v>
      </c>
    </row>
    <row r="22864" spans="1:4" x14ac:dyDescent="0.25">
      <c r="A22864" t="str">
        <f>HYPERLINK("https://www.773grp.com/globalSearch/HSC277-7TRF-E/page-1", "HSC277-7TRF-E")</f>
        <v>HSC277-7TRF-E</v>
      </c>
      <c r="B22864" s="3" t="str">
        <f>HYPERLINK("https://www.773grp.com/manufacturer/renesas-electronics-america-inc?pageNo=720", "Renesas Electronics")</f>
        <v>Renesas Electronics</v>
      </c>
      <c r="C22864" s="6">
        <v>80000</v>
      </c>
      <c r="D22864" s="7">
        <v>0.28000000000000003</v>
      </c>
    </row>
    <row r="22865" spans="1:4" x14ac:dyDescent="0.25">
      <c r="A22865" t="str">
        <f>HYPERLINK("https://www.773grp.com/globalSearch/HSD119KRF-E/page-1", "HSD119KRF-E")</f>
        <v>HSD119KRF-E</v>
      </c>
      <c r="B22865" s="3" t="str">
        <f>HYPERLINK("https://www.773grp.com/manufacturer/renesas-electronics-america-inc?pageNo=721", "Renesas Electronics")</f>
        <v>Renesas Electronics</v>
      </c>
      <c r="C22865" s="6">
        <v>152000</v>
      </c>
      <c r="D22865" s="7">
        <v>0.28000000000000003</v>
      </c>
    </row>
    <row r="22866" spans="1:4" x14ac:dyDescent="0.25">
      <c r="A22866" t="str">
        <f>HYPERLINK("https://www.773grp.com/globalSearch/HSL226-NKRF-E/page-1", "HSL226-NKRF-E")</f>
        <v>HSL226-NKRF-E</v>
      </c>
      <c r="B22866" s="3" t="str">
        <f>HYPERLINK("https://www.773grp.com/manufacturer/renesas-electronics-america-inc?pageNo=722", "Renesas Electronics")</f>
        <v>Renesas Electronics</v>
      </c>
      <c r="C22866" s="6">
        <v>70000</v>
      </c>
      <c r="D22866" s="7">
        <v>0.28000000000000003</v>
      </c>
    </row>
    <row r="22867" spans="1:4" x14ac:dyDescent="0.25">
      <c r="A22867" t="str">
        <f>HYPERLINK("https://www.773grp.com/globalSearch/HSS104-02TA-E/page-1", "HSS104-02TA-E")</f>
        <v>HSS104-02TA-E</v>
      </c>
      <c r="B22867" s="3" t="str">
        <f>HYPERLINK("https://www.773grp.com/manufacturer/renesas-electronics-america-inc?pageNo=723", "Renesas Electronics")</f>
        <v>Renesas Electronics</v>
      </c>
      <c r="C22867" s="6">
        <v>5000</v>
      </c>
      <c r="D22867" s="7">
        <v>0.28000000000000003</v>
      </c>
    </row>
    <row r="22868" spans="1:4" x14ac:dyDescent="0.25">
      <c r="A22868" t="str">
        <f>HYPERLINK("https://www.773grp.com/globalSearch/HSS104-02TE-E/page-1", "HSS104-02TE-E")</f>
        <v>HSS104-02TE-E</v>
      </c>
      <c r="B22868" s="3" t="str">
        <f>HYPERLINK("https://www.773grp.com/manufacturer/renesas-electronics-america-inc?pageNo=724", "Renesas Electronics")</f>
        <v>Renesas Electronics</v>
      </c>
      <c r="C22868" s="6">
        <v>70000</v>
      </c>
      <c r="D22868" s="7">
        <v>0.28000000000000003</v>
      </c>
    </row>
    <row r="22869" spans="1:4" x14ac:dyDescent="0.25">
      <c r="A22869" t="str">
        <f>HYPERLINK("https://www.773grp.com/globalSearch/HSS81-E/page-1", "HSS81-E")</f>
        <v>HSS81-E</v>
      </c>
      <c r="B22869" s="3" t="str">
        <f>HYPERLINK("https://www.773grp.com/manufacturer/renesas-electronics-america-inc?pageNo=725", "Renesas Electronics")</f>
        <v>Renesas Electronics</v>
      </c>
      <c r="C22869" s="6">
        <v>82</v>
      </c>
      <c r="D22869" s="7">
        <v>0.28000000000000003</v>
      </c>
    </row>
    <row r="22870" spans="1:4" x14ac:dyDescent="0.25">
      <c r="A22870" t="str">
        <f>HYPERLINK("https://www.773grp.com/globalSearch/HSS81TA-E/page-1", "HSS81TA-E")</f>
        <v>HSS81TA-E</v>
      </c>
      <c r="B22870" s="3" t="str">
        <f>HYPERLINK("https://www.773grp.com/manufacturer/renesas-electronics-america-inc?pageNo=726", "Renesas Electronics")</f>
        <v>Renesas Electronics</v>
      </c>
      <c r="C22870" s="6">
        <v>15000</v>
      </c>
      <c r="D22870" s="7">
        <v>0.28000000000000003</v>
      </c>
    </row>
    <row r="22871" spans="1:4" x14ac:dyDescent="0.25">
      <c r="A22871" t="str">
        <f>HYPERLINK("https://www.773grp.com/globalSearch/HSS83TD-E/page-1", "HSS83TD-E")</f>
        <v>HSS83TD-E</v>
      </c>
      <c r="B22871" s="3" t="str">
        <f>HYPERLINK("https://www.773grp.com/manufacturer/renesas-electronics-america-inc?pageNo=727", "Renesas Electronics")</f>
        <v>Renesas Electronics</v>
      </c>
      <c r="C22871" s="6">
        <v>35000</v>
      </c>
      <c r="D22871" s="7">
        <v>0.28000000000000003</v>
      </c>
    </row>
    <row r="22872" spans="1:4" x14ac:dyDescent="0.25">
      <c r="A22872" t="str">
        <f>HYPERLINK("https://www.773grp.com/globalSearch/HSU119-1URF-E/page-1", "HSU119-1URF-E")</f>
        <v>HSU119-1URF-E</v>
      </c>
      <c r="B22872" s="3" t="str">
        <f>HYPERLINK("https://www.773grp.com/manufacturer/renesas-electronics-america-inc?pageNo=728", "Renesas Electronics")</f>
        <v>Renesas Electronics</v>
      </c>
      <c r="C22872" s="6">
        <v>70000</v>
      </c>
      <c r="D22872" s="7">
        <v>0.28000000000000003</v>
      </c>
    </row>
    <row r="22873" spans="1:4" x14ac:dyDescent="0.25">
      <c r="A22873" t="str">
        <f>HYPERLINK("https://www.773grp.com/globalSearch/HSU119-2TRF-E/page-1", "HSU119-2TRF-E")</f>
        <v>HSU119-2TRF-E</v>
      </c>
      <c r="B22873" s="3" t="str">
        <f>HYPERLINK("https://www.773grp.com/manufacturer/renesas-electronics-america-inc?pageNo=729", "Renesas Electronics")</f>
        <v>Renesas Electronics</v>
      </c>
      <c r="C22873" s="6">
        <v>36000</v>
      </c>
      <c r="D22873" s="7">
        <v>0.28000000000000003</v>
      </c>
    </row>
    <row r="22874" spans="1:4" x14ac:dyDescent="0.25">
      <c r="A22874" t="str">
        <f>HYPERLINK("https://www.773grp.com/globalSearch/HSU227TRF-E/page-1", "HSU227TRF-E")</f>
        <v>HSU227TRF-E</v>
      </c>
      <c r="B22874" s="3" t="str">
        <f>HYPERLINK("https://www.773grp.com/manufacturer/renesas-electronics-america-inc?pageNo=730", "Renesas Electronics")</f>
        <v>Renesas Electronics</v>
      </c>
      <c r="C22874" s="6">
        <v>18000</v>
      </c>
      <c r="D22874" s="7">
        <v>0.28000000000000003</v>
      </c>
    </row>
    <row r="22875" spans="1:4" x14ac:dyDescent="0.25">
      <c r="A22875" t="str">
        <f>HYPERLINK("https://www.773grp.com/globalSearch/HSU83URF-E/page-1", "HSU83URF-E")</f>
        <v>HSU83URF-E</v>
      </c>
      <c r="B22875" s="3" t="str">
        <f>HYPERLINK("https://www.773grp.com/manufacturer/renesas-electronics-america-inc?pageNo=731", "Renesas Electronics")</f>
        <v>Renesas Electronics</v>
      </c>
      <c r="C22875" s="6">
        <v>30000</v>
      </c>
      <c r="D22875" s="7">
        <v>0.28000000000000003</v>
      </c>
    </row>
    <row r="22876" spans="1:4" x14ac:dyDescent="0.25">
      <c r="A22876" t="str">
        <f>HYPERLINK("https://www.773grp.com/globalSearch/HVC306A8TRU-E/page-1", "HVC306A8TRU-E")</f>
        <v>HVC306A8TRU-E</v>
      </c>
      <c r="B22876" s="3" t="str">
        <f>HYPERLINK("https://www.773grp.com/manufacturer/renesas-electronics-america-inc?pageNo=732", "Renesas Electronics")</f>
        <v>Renesas Electronics</v>
      </c>
      <c r="C22876" s="6">
        <v>28000</v>
      </c>
      <c r="D22876" s="7">
        <v>0.28000000000000003</v>
      </c>
    </row>
    <row r="22877" spans="1:4" x14ac:dyDescent="0.25">
      <c r="A22877" t="str">
        <f>HYPERLINK("https://www.773grp.com/globalSearch/HVC350BKRF-E/page-1", "HVC350BKRF-E")</f>
        <v>HVC350BKRF-E</v>
      </c>
      <c r="B22877" s="3" t="str">
        <f>HYPERLINK("https://www.773grp.com/manufacturer/renesas-electronics-america-inc?pageNo=733", "Renesas Electronics")</f>
        <v>Renesas Electronics</v>
      </c>
      <c r="C22877" s="6">
        <v>88000</v>
      </c>
      <c r="D22877" s="7">
        <v>0.28000000000000003</v>
      </c>
    </row>
    <row r="22878" spans="1:4" x14ac:dyDescent="0.25">
      <c r="A22878" t="str">
        <f>HYPERLINK("https://www.773grp.com/globalSearch/HVC417CTRU-E/page-1", "HVC417CTRU-E")</f>
        <v>HVC417CTRU-E</v>
      </c>
      <c r="B22878" s="3" t="str">
        <f>HYPERLINK("https://www.773grp.com/manufacturer/renesas-electronics-america-inc?pageNo=734", "Renesas Electronics")</f>
        <v>Renesas Electronics</v>
      </c>
      <c r="C22878" s="6">
        <v>16000</v>
      </c>
      <c r="D22878" s="7">
        <v>0.28000000000000003</v>
      </c>
    </row>
    <row r="22879" spans="1:4" x14ac:dyDescent="0.25">
      <c r="A22879" t="str">
        <f>HYPERLINK("https://www.773grp.com/globalSearch/HVD131KRF-E/page-1", "HVD131KRF-E")</f>
        <v>HVD131KRF-E</v>
      </c>
      <c r="B22879" s="3" t="str">
        <f>HYPERLINK("https://www.773grp.com/manufacturer/renesas-electronics-america-inc?pageNo=735", "Renesas Electronics")</f>
        <v>Renesas Electronics</v>
      </c>
      <c r="C22879" s="6">
        <v>200000</v>
      </c>
      <c r="D22879" s="7">
        <v>0.28000000000000003</v>
      </c>
    </row>
    <row r="22880" spans="1:4" x14ac:dyDescent="0.25">
      <c r="A22880" t="str">
        <f>HYPERLINK("https://www.773grp.com/globalSearch/HVD133KRF-E/page-1", "HVD133KRF-E")</f>
        <v>HVD133KRF-E</v>
      </c>
      <c r="B22880" s="3" t="str">
        <f>HYPERLINK("https://www.773grp.com/manufacturer/renesas-electronics-america-inc?pageNo=736", "Renesas Electronics")</f>
        <v>Renesas Electronics</v>
      </c>
      <c r="C22880" s="6">
        <v>64000</v>
      </c>
      <c r="D22880" s="7">
        <v>0.28000000000000003</v>
      </c>
    </row>
    <row r="22881" spans="1:4" x14ac:dyDescent="0.25">
      <c r="A22881" t="str">
        <f>HYPERLINK("https://www.773grp.com/globalSearch/HVD326CKRU-E/page-1", "HVD326CKRU-E")</f>
        <v>HVD326CKRU-E</v>
      </c>
      <c r="B22881" s="3" t="str">
        <f>HYPERLINK("https://www.773grp.com/manufacturer/renesas-electronics-america-inc?pageNo=737", "Renesas Electronics")</f>
        <v>Renesas Electronics</v>
      </c>
      <c r="C22881" s="6">
        <v>136000</v>
      </c>
      <c r="D22881" s="7">
        <v>0.28000000000000003</v>
      </c>
    </row>
    <row r="22882" spans="1:4" x14ac:dyDescent="0.25">
      <c r="A22882" t="str">
        <f>HYPERLINK("https://www.773grp.com/globalSearch/HVD368BKRF-E/page-1", "HVD368BKRF-E")</f>
        <v>HVD368BKRF-E</v>
      </c>
      <c r="B22882" s="3" t="str">
        <f>HYPERLINK("https://www.773grp.com/manufacturer/renesas-electronics-america-inc?pageNo=738", "Renesas Electronics")</f>
        <v>Renesas Electronics</v>
      </c>
      <c r="C22882" s="6">
        <v>24000</v>
      </c>
      <c r="D22882" s="7">
        <v>0.28000000000000003</v>
      </c>
    </row>
    <row r="22883" spans="1:4" x14ac:dyDescent="0.25">
      <c r="A22883" t="str">
        <f>HYPERLINK("https://www.773grp.com/globalSearch/HVD385BKRF-E/page-1", "HVD385BKRF-E")</f>
        <v>HVD385BKRF-E</v>
      </c>
      <c r="B22883" s="3" t="str">
        <f>HYPERLINK("https://www.773grp.com/manufacturer/renesas-electronics-america-inc?pageNo=739", "Renesas Electronics")</f>
        <v>Renesas Electronics</v>
      </c>
      <c r="C22883" s="6">
        <v>144000</v>
      </c>
      <c r="D22883" s="7">
        <v>0.28000000000000003</v>
      </c>
    </row>
    <row r="22884" spans="1:4" x14ac:dyDescent="0.25">
      <c r="A22884" t="str">
        <f>HYPERLINK("https://www.773grp.com/globalSearch/HVL142AKRF-E/page-1", "HVL142AKRF-E")</f>
        <v>HVL142AKRF-E</v>
      </c>
      <c r="B22884" s="3" t="str">
        <f>HYPERLINK("https://www.773grp.com/manufacturer/renesas-electronics-america-inc?pageNo=740", "Renesas Electronics")</f>
        <v>Renesas Electronics</v>
      </c>
      <c r="C22884" s="6">
        <v>40000</v>
      </c>
      <c r="D22884" s="7">
        <v>0.28000000000000003</v>
      </c>
    </row>
    <row r="22885" spans="1:4" x14ac:dyDescent="0.25">
      <c r="A22885" t="str">
        <f>HYPERLINK("https://www.773grp.com/globalSearch/HVU202BTRU-E/page-1", "HVU202BTRU-E")</f>
        <v>HVU202BTRU-E</v>
      </c>
      <c r="B22885" s="3" t="str">
        <f>HYPERLINK("https://www.773grp.com/manufacturer/renesas-electronics-america-inc?pageNo=741", "Renesas Electronics")</f>
        <v>Renesas Electronics</v>
      </c>
      <c r="C22885" s="6">
        <v>189000</v>
      </c>
      <c r="D22885" s="7">
        <v>0.28000000000000003</v>
      </c>
    </row>
    <row r="22886" spans="1:4" x14ac:dyDescent="0.25">
      <c r="A22886" t="str">
        <f>HYPERLINK("https://www.773grp.com/globalSearch/HVU350TRF/page-1", "HVU350TRF")</f>
        <v>HVU350TRF</v>
      </c>
      <c r="B22886" s="3" t="str">
        <f>HYPERLINK("https://www.773grp.com/manufacturer/renesas-electronics-america-inc?pageNo=742", "Renesas Electronics")</f>
        <v>Renesas Electronics</v>
      </c>
      <c r="C22886" s="6">
        <v>132000</v>
      </c>
      <c r="D22886" s="7">
        <v>0.28000000000000003</v>
      </c>
    </row>
    <row r="22887" spans="1:4" x14ac:dyDescent="0.25">
      <c r="A22887" t="str">
        <f>HYPERLINK("https://www.773grp.com/globalSearch/HZ20-1L-E/page-1", "HZ20-1L-E")</f>
        <v>HZ20-1L-E</v>
      </c>
      <c r="B22887" s="3" t="str">
        <f>HYPERLINK("https://www.773grp.com/manufacturer/renesas-electronics-america-inc?pageNo=743", "Renesas Electronics")</f>
        <v>Renesas Electronics</v>
      </c>
      <c r="C22887" s="6">
        <v>18000</v>
      </c>
      <c r="D22887" s="7">
        <v>0.28000000000000003</v>
      </c>
    </row>
    <row r="22888" spans="1:4" x14ac:dyDescent="0.25">
      <c r="A22888" t="str">
        <f>HYPERLINK("https://www.773grp.com/globalSearch/HZ20-1LTD-E/page-1", "HZ20-1LTD-E")</f>
        <v>HZ20-1LTD-E</v>
      </c>
      <c r="B22888" s="3" t="str">
        <f>HYPERLINK("https://www.773grp.com/manufacturer/renesas-electronics-america-inc?pageNo=744", "Renesas Electronics")</f>
        <v>Renesas Electronics</v>
      </c>
      <c r="C22888" s="6">
        <v>10000</v>
      </c>
      <c r="D22888" s="7">
        <v>0.28000000000000003</v>
      </c>
    </row>
    <row r="22889" spans="1:4" x14ac:dyDescent="0.25">
      <c r="A22889" t="str">
        <f>HYPERLINK("https://www.773grp.com/globalSearch/HZ20-3LTD-E/page-1", "HZ20-3LTD-E")</f>
        <v>HZ20-3LTD-E</v>
      </c>
      <c r="B22889" s="3" t="str">
        <f>HYPERLINK("https://www.773grp.com/manufacturer/renesas-electronics-america-inc?pageNo=745", "Renesas Electronics")</f>
        <v>Renesas Electronics</v>
      </c>
      <c r="C22889" s="6">
        <v>17500</v>
      </c>
      <c r="D22889" s="7">
        <v>0.28000000000000003</v>
      </c>
    </row>
    <row r="22890" spans="1:4" x14ac:dyDescent="0.25">
      <c r="A22890" t="str">
        <f>HYPERLINK("https://www.773grp.com/globalSearch/HZ27-1LTD-E/page-1", "HZ27-1LTD-E")</f>
        <v>HZ27-1LTD-E</v>
      </c>
      <c r="B22890" s="3" t="str">
        <f>HYPERLINK("https://www.773grp.com/manufacturer/renesas-electronics-america-inc?pageNo=746", "Renesas Electronics")</f>
        <v>Renesas Electronics</v>
      </c>
      <c r="C22890" s="6">
        <v>30000</v>
      </c>
      <c r="D22890" s="7">
        <v>0.28000000000000003</v>
      </c>
    </row>
    <row r="22891" spans="1:4" x14ac:dyDescent="0.25">
      <c r="A22891" t="str">
        <f>HYPERLINK("https://www.773grp.com/globalSearch/HZ27-2L-E/page-1", "HZ27-2L-E")</f>
        <v>HZ27-2L-E</v>
      </c>
      <c r="B22891" s="3" t="str">
        <f>HYPERLINK("https://www.773grp.com/manufacturer/renesas-electronics-america-inc?pageNo=747", "Renesas Electronics")</f>
        <v>Renesas Electronics</v>
      </c>
      <c r="C22891" s="6">
        <v>9000</v>
      </c>
      <c r="D22891" s="7">
        <v>0.28000000000000003</v>
      </c>
    </row>
    <row r="22892" spans="1:4" x14ac:dyDescent="0.25">
      <c r="A22892" t="str">
        <f>HYPERLINK("https://www.773grp.com/globalSearch/HZ30-2LTA-E/page-1", "HZ30-2LTA-E")</f>
        <v>HZ30-2LTA-E</v>
      </c>
      <c r="B22892" s="3" t="str">
        <f>HYPERLINK("https://www.773grp.com/manufacturer/renesas-electronics-america-inc?pageNo=748", "Renesas Electronics")</f>
        <v>Renesas Electronics</v>
      </c>
      <c r="C22892" s="6">
        <v>15000</v>
      </c>
      <c r="D22892" s="7">
        <v>0.28000000000000003</v>
      </c>
    </row>
    <row r="22893" spans="1:4" x14ac:dyDescent="0.25">
      <c r="A22893" t="str">
        <f>HYPERLINK("https://www.773grp.com/globalSearch/HZ30-3LTD-E/page-1", "HZ30-3LTD-E")</f>
        <v>HZ30-3LTD-E</v>
      </c>
      <c r="B22893" s="3" t="str">
        <f>HYPERLINK("https://www.773grp.com/manufacturer/renesas-electronics-america-inc?pageNo=749", "Renesas Electronics")</f>
        <v>Renesas Electronics</v>
      </c>
      <c r="C22893" s="6">
        <v>15000</v>
      </c>
      <c r="D22893" s="7">
        <v>0.28000000000000003</v>
      </c>
    </row>
    <row r="22894" spans="1:4" x14ac:dyDescent="0.25">
      <c r="A22894" t="str">
        <f>HYPERLINK("https://www.773grp.com/globalSearch/HZ36-3LTD-E/page-1", "HZ36-3LTD-E")</f>
        <v>HZ36-3LTD-E</v>
      </c>
      <c r="B22894" s="3" t="str">
        <f>HYPERLINK("https://www.773grp.com/manufacturer/renesas-electronics-america-inc?pageNo=750", "Renesas Electronics")</f>
        <v>Renesas Electronics</v>
      </c>
      <c r="C22894" s="6">
        <v>7500</v>
      </c>
      <c r="D22894" s="7">
        <v>0.28000000000000003</v>
      </c>
    </row>
    <row r="22895" spans="1:4" x14ac:dyDescent="0.25">
      <c r="A22895" t="str">
        <f>HYPERLINK("https://www.773grp.com/globalSearch/HZ3ALLRE-E/page-1", "HZ3ALLRE-E")</f>
        <v>HZ3ALLRE-E</v>
      </c>
      <c r="B22895" s="3" t="str">
        <f>HYPERLINK("https://www.773grp.com/manufacturer/renesas-electronics-america-inc?pageNo=751", "Renesas Electronics")</f>
        <v>Renesas Electronics</v>
      </c>
      <c r="C22895" s="6">
        <v>20000</v>
      </c>
      <c r="D22895" s="7">
        <v>0.28000000000000003</v>
      </c>
    </row>
    <row r="22896" spans="1:4" x14ac:dyDescent="0.25">
      <c r="A22896" t="str">
        <f>HYPERLINK("https://www.773grp.com/globalSearch/HZ3BLLRE-E/page-1", "HZ3BLLRE-E")</f>
        <v>HZ3BLLRE-E</v>
      </c>
      <c r="B22896" s="3" t="str">
        <f>HYPERLINK("https://www.773grp.com/manufacturer/renesas-electronics-america-inc?pageNo=752", "Renesas Electronics")</f>
        <v>Renesas Electronics</v>
      </c>
      <c r="C22896" s="6">
        <v>8000</v>
      </c>
      <c r="D22896" s="7">
        <v>0.28000000000000003</v>
      </c>
    </row>
    <row r="22897" spans="1:4" x14ac:dyDescent="0.25">
      <c r="A22897" t="str">
        <f>HYPERLINK("https://www.773grp.com/globalSearch/HZ3CLLTA-E/page-1", "HZ3CLLTA-E")</f>
        <v>HZ3CLLTA-E</v>
      </c>
      <c r="B22897" s="3" t="str">
        <f>HYPERLINK("https://www.773grp.com/manufacturer/renesas-electronics-america-inc?pageNo=753", "Renesas Electronics")</f>
        <v>Renesas Electronics</v>
      </c>
      <c r="C22897" s="6">
        <v>25000</v>
      </c>
      <c r="D22897" s="7">
        <v>0.28000000000000003</v>
      </c>
    </row>
    <row r="22898" spans="1:4" x14ac:dyDescent="0.25">
      <c r="A22898" t="str">
        <f>HYPERLINK("https://www.773grp.com/globalSearch/HZC2.4TRF-E/page-1", "HZC2.4TRF-E")</f>
        <v>HZC2.4TRF-E</v>
      </c>
      <c r="B22898" s="3" t="str">
        <f>HYPERLINK("https://www.773grp.com/manufacturer/renesas-electronics-america-inc?pageNo=754", "Renesas Electronics")</f>
        <v>Renesas Electronics</v>
      </c>
      <c r="C22898" s="6">
        <v>124000</v>
      </c>
      <c r="D22898" s="7">
        <v>0.28000000000000003</v>
      </c>
    </row>
    <row r="22899" spans="1:4" x14ac:dyDescent="0.25">
      <c r="A22899" t="str">
        <f>HYPERLINK("https://www.773grp.com/globalSearch/HZC27TRF-E/page-1", "HZC27TRF-E")</f>
        <v>HZC27TRF-E</v>
      </c>
      <c r="B22899" s="3" t="str">
        <f>HYPERLINK("https://www.773grp.com/manufacturer/renesas-electronics-america-inc?pageNo=755", "Renesas Electronics")</f>
        <v>Renesas Electronics</v>
      </c>
      <c r="C22899" s="6">
        <v>16000</v>
      </c>
      <c r="D22899" s="7">
        <v>0.28000000000000003</v>
      </c>
    </row>
    <row r="22900" spans="1:4" x14ac:dyDescent="0.25">
      <c r="A22900" t="str">
        <f>HYPERLINK("https://www.773grp.com/globalSearch/HZC36JTRF-E/page-1", "HZC36JTRF-E")</f>
        <v>HZC36JTRF-E</v>
      </c>
      <c r="B22900" s="3" t="str">
        <f>HYPERLINK("https://www.773grp.com/manufacturer/renesas-electronics-america-inc?pageNo=756", "Renesas Electronics")</f>
        <v>Renesas Electronics</v>
      </c>
      <c r="C22900" s="6">
        <v>80000</v>
      </c>
      <c r="D22900" s="7">
        <v>0.28000000000000003</v>
      </c>
    </row>
    <row r="22901" spans="1:4" x14ac:dyDescent="0.25">
      <c r="A22901" t="str">
        <f>HYPERLINK("https://www.773grp.com/globalSearch/HZC7.5JTRF-E/page-1", "HZC7.5JTRF-E")</f>
        <v>HZC7.5JTRF-E</v>
      </c>
      <c r="B22901" s="3" t="str">
        <f>HYPERLINK("https://www.773grp.com/manufacturer/renesas-electronics-america-inc?pageNo=757", "Renesas Electronics")</f>
        <v>Renesas Electronics</v>
      </c>
      <c r="C22901" s="6">
        <v>80000</v>
      </c>
      <c r="D22901" s="7">
        <v>0.28000000000000003</v>
      </c>
    </row>
    <row r="22902" spans="1:4" x14ac:dyDescent="0.25">
      <c r="A22902" t="str">
        <f>HYPERLINK("https://www.773grp.com/globalSearch/HZC9.1TRF-E/page-1", "HZC9.1TRF-E")</f>
        <v>HZC9.1TRF-E</v>
      </c>
      <c r="B22902" s="3" t="str">
        <f>HYPERLINK("https://www.773grp.com/manufacturer/renesas-electronics-america-inc?pageNo=758", "Renesas Electronics")</f>
        <v>Renesas Electronics</v>
      </c>
      <c r="C22902" s="6">
        <v>20000</v>
      </c>
      <c r="D22902" s="7">
        <v>0.28000000000000003</v>
      </c>
    </row>
    <row r="22903" spans="1:4" x14ac:dyDescent="0.25">
      <c r="A22903" t="str">
        <f>HYPERLINK("https://www.773grp.com/globalSearch/HZD6.2Z4KRF-P-E/page-1", "HZD6.2Z4KRF-P-E")</f>
        <v>HZD6.2Z4KRF-P-E</v>
      </c>
      <c r="B22903" s="3" t="str">
        <f>HYPERLINK("https://www.773grp.com/manufacturer/renesas-electronics-america-inc?pageNo=759", "Renesas Electronics")</f>
        <v>Renesas Electronics</v>
      </c>
      <c r="C22903" s="6">
        <v>72000</v>
      </c>
      <c r="D22903" s="7">
        <v>0.28000000000000003</v>
      </c>
    </row>
    <row r="22904" spans="1:4" x14ac:dyDescent="0.25">
      <c r="A22904" t="str">
        <f>HYPERLINK("https://www.773grp.com/globalSearch/HZD6.8Z4KRF-E/page-1", "HZD6.8Z4KRF-E")</f>
        <v>HZD6.8Z4KRF-E</v>
      </c>
      <c r="B22904" s="3" t="str">
        <f>HYPERLINK("https://www.773grp.com/manufacturer/renesas-electronics-america-inc?pageNo=760", "Renesas Electronics")</f>
        <v>Renesas Electronics</v>
      </c>
      <c r="C22904" s="6">
        <v>8000</v>
      </c>
      <c r="D22904" s="7">
        <v>0.28000000000000003</v>
      </c>
    </row>
    <row r="22905" spans="1:4" x14ac:dyDescent="0.25">
      <c r="A22905" t="str">
        <f>HYPERLINK("https://www.773grp.com/globalSearch/HZK2BLLTR-S-E/page-1", "HZK2BLLTR-S-E")</f>
        <v>HZK2BLLTR-S-E</v>
      </c>
      <c r="B22905" s="3" t="str">
        <f>HYPERLINK("https://www.773grp.com/manufacturer/renesas-electronics-america-inc?pageNo=761", "Renesas Electronics")</f>
        <v>Renesas Electronics</v>
      </c>
      <c r="C22905" s="6">
        <v>5000</v>
      </c>
      <c r="D22905" s="7">
        <v>0.28000000000000003</v>
      </c>
    </row>
    <row r="22906" spans="1:4" x14ac:dyDescent="0.25">
      <c r="A22906" t="str">
        <f>HYPERLINK("https://www.773grp.com/globalSearch/HZK3BTR/page-1", "HZK3BTR")</f>
        <v>HZK3BTR</v>
      </c>
      <c r="B22906" s="3" t="str">
        <f>HYPERLINK("https://www.773grp.com/manufacturer/renesas-electronics-america-inc?pageNo=762", "Renesas Electronics")</f>
        <v>Renesas Electronics</v>
      </c>
      <c r="C22906" s="6">
        <v>17500</v>
      </c>
      <c r="D22906" s="7">
        <v>0.28000000000000003</v>
      </c>
    </row>
    <row r="22907" spans="1:4" x14ac:dyDescent="0.25">
      <c r="A22907" t="str">
        <f>HYPERLINK("https://www.773grp.com/globalSearch/HZK4ATR-S-E/page-1", "HZK4ATR-S-E")</f>
        <v>HZK4ATR-S-E</v>
      </c>
      <c r="B22907" s="3" t="str">
        <f>HYPERLINK("https://www.773grp.com/manufacturer/renesas-electronics-america-inc?pageNo=763", "Renesas Electronics")</f>
        <v>Renesas Electronics</v>
      </c>
      <c r="C22907" s="6">
        <v>35000</v>
      </c>
      <c r="D22907" s="7">
        <v>0.28000000000000003</v>
      </c>
    </row>
    <row r="22908" spans="1:4" x14ac:dyDescent="0.25">
      <c r="A22908" t="str">
        <f>HYPERLINK("https://www.773grp.com/globalSearch/HZK6BLTL-S-E/page-1", "HZK6BLTL-S-E")</f>
        <v>HZK6BLTL-S-E</v>
      </c>
      <c r="B22908" s="3" t="str">
        <f>HYPERLINK("https://www.773grp.com/manufacturer/renesas-electronics-america-inc?pageNo=764", "Renesas Electronics")</f>
        <v>Renesas Electronics</v>
      </c>
      <c r="C22908" s="6">
        <v>27500</v>
      </c>
      <c r="D22908" s="7">
        <v>0.28000000000000003</v>
      </c>
    </row>
    <row r="22909" spans="1:4" x14ac:dyDescent="0.25">
      <c r="A22909" t="str">
        <f>HYPERLINK("https://www.773grp.com/globalSearch/HZL6.2Z4KRF-E/page-1", "HZL6.2Z4KRF-E")</f>
        <v>HZL6.2Z4KRF-E</v>
      </c>
      <c r="B22909" s="3" t="str">
        <f>HYPERLINK("https://www.773grp.com/manufacturer/renesas-electronics-america-inc?pageNo=765", "Renesas Electronics")</f>
        <v>Renesas Electronics</v>
      </c>
      <c r="C22909" s="6">
        <v>20000</v>
      </c>
      <c r="D22909" s="7">
        <v>0.28000000000000003</v>
      </c>
    </row>
    <row r="22910" spans="1:4" x14ac:dyDescent="0.25">
      <c r="A22910" t="str">
        <f>HYPERLINK("https://www.773grp.com/globalSearch/HZM5.1NB2TL/page-1", "HZM5.1NB2TL")</f>
        <v>HZM5.1NB2TL</v>
      </c>
      <c r="B22910" s="3" t="str">
        <f>HYPERLINK("https://www.773grp.com/manufacturer/renesas-electronics-america-inc?pageNo=766", "Renesas Electronics")</f>
        <v>Renesas Electronics</v>
      </c>
      <c r="C22910" s="6">
        <v>9000</v>
      </c>
      <c r="D22910" s="7">
        <v>0.28000000000000003</v>
      </c>
    </row>
    <row r="22911" spans="1:4" x14ac:dyDescent="0.25">
      <c r="A22911" t="str">
        <f>HYPERLINK("https://www.773grp.com/globalSearch/HZS10NB2TA-E/page-1", "HZS10NB2TA-E")</f>
        <v>HZS10NB2TA-E</v>
      </c>
      <c r="B22911" s="3" t="str">
        <f>HYPERLINK("https://www.773grp.com/manufacturer/renesas-electronics-america-inc?pageNo=767", "Renesas Electronics")</f>
        <v>Renesas Electronics</v>
      </c>
      <c r="C22911" s="6">
        <v>15000</v>
      </c>
      <c r="D22911" s="7">
        <v>0.28000000000000003</v>
      </c>
    </row>
    <row r="22912" spans="1:4" x14ac:dyDescent="0.25">
      <c r="A22912" t="str">
        <f>HYPERLINK("https://www.773grp.com/globalSearch/HZS11NB2TA-E/page-1", "HZS11NB2TA-E")</f>
        <v>HZS11NB2TA-E</v>
      </c>
      <c r="B22912" s="3" t="str">
        <f>HYPERLINK("https://www.773grp.com/manufacturer/renesas-electronics-america-inc?pageNo=768", "Renesas Electronics")</f>
        <v>Renesas Electronics</v>
      </c>
      <c r="C22912" s="6">
        <v>15000</v>
      </c>
      <c r="D22912" s="7">
        <v>0.28000000000000003</v>
      </c>
    </row>
    <row r="22913" spans="1:4" x14ac:dyDescent="0.25">
      <c r="A22913" t="str">
        <f>HYPERLINK("https://www.773grp.com/globalSearch/HZS12A3LTD-E/page-1", "HZS12A3LTD-E")</f>
        <v>HZS12A3LTD-E</v>
      </c>
      <c r="B22913" s="3" t="str">
        <f>HYPERLINK("https://www.773grp.com/manufacturer/renesas-electronics-america-inc?pageNo=769", "Renesas Electronics")</f>
        <v>Renesas Electronics</v>
      </c>
      <c r="C22913" s="6">
        <v>20000</v>
      </c>
      <c r="D22913" s="7">
        <v>0.28000000000000003</v>
      </c>
    </row>
    <row r="22914" spans="1:4" x14ac:dyDescent="0.25">
      <c r="A22914" t="str">
        <f>HYPERLINK("https://www.773grp.com/globalSearch/HZS12B2TA-E/page-1", "HZS12B2TA-E")</f>
        <v>HZS12B2TA-E</v>
      </c>
      <c r="B22914" s="3" t="str">
        <f>HYPERLINK("https://www.773grp.com/manufacturer/renesas-electronics-america-inc?pageNo=770", "Renesas Electronics")</f>
        <v>Renesas Electronics</v>
      </c>
      <c r="C22914" s="6">
        <v>20000</v>
      </c>
      <c r="D22914" s="7">
        <v>0.28000000000000003</v>
      </c>
    </row>
    <row r="22915" spans="1:4" x14ac:dyDescent="0.25">
      <c r="A22915" t="str">
        <f>HYPERLINK("https://www.773grp.com/globalSearch/HZS15-2LTD-E/page-1", "HZS15-2LTD-E")</f>
        <v>HZS15-2LTD-E</v>
      </c>
      <c r="B22915" s="3" t="str">
        <f>HYPERLINK("https://www.773grp.com/manufacturer/renesas-electronics-america-inc?pageNo=771", "Renesas Electronics")</f>
        <v>Renesas Electronics</v>
      </c>
      <c r="C22915" s="6">
        <v>7500</v>
      </c>
      <c r="D22915" s="7">
        <v>0.28000000000000003</v>
      </c>
    </row>
    <row r="22916" spans="1:4" x14ac:dyDescent="0.25">
      <c r="A22916" t="str">
        <f>HYPERLINK("https://www.773grp.com/globalSearch/HZS15-3LTD-E/page-1", "HZS15-3LTD-E")</f>
        <v>HZS15-3LTD-E</v>
      </c>
      <c r="B22916" s="3" t="str">
        <f>HYPERLINK("https://www.773grp.com/manufacturer/renesas-electronics-america-inc?pageNo=772", "Renesas Electronics")</f>
        <v>Renesas Electronics</v>
      </c>
      <c r="C22916" s="6">
        <v>20000</v>
      </c>
      <c r="D22916" s="7">
        <v>0.28000000000000003</v>
      </c>
    </row>
    <row r="22917" spans="1:4" x14ac:dyDescent="0.25">
      <c r="A22917" t="str">
        <f>HYPERLINK("https://www.773grp.com/globalSearch/HZS16-3LTD-E/page-1", "HZS16-3LTD-E")</f>
        <v>HZS16-3LTD-E</v>
      </c>
      <c r="B22917" s="3" t="str">
        <f>HYPERLINK("https://www.773grp.com/manufacturer/renesas-electronics-america-inc?pageNo=773", "Renesas Electronics")</f>
        <v>Renesas Electronics</v>
      </c>
      <c r="C22917" s="6">
        <v>12500</v>
      </c>
      <c r="D22917" s="7">
        <v>0.28000000000000003</v>
      </c>
    </row>
    <row r="22918" spans="1:4" x14ac:dyDescent="0.25">
      <c r="A22918" t="str">
        <f>HYPERLINK("https://www.773grp.com/globalSearch/HZS16NB3TD-E/page-1", "HZS16NB3TD-E")</f>
        <v>HZS16NB3TD-E</v>
      </c>
      <c r="B22918" s="3" t="str">
        <f>HYPERLINK("https://www.773grp.com/manufacturer/renesas-electronics-america-inc?pageNo=774", "Renesas Electronics")</f>
        <v>Renesas Electronics</v>
      </c>
      <c r="C22918" s="6">
        <v>17500</v>
      </c>
      <c r="D22918" s="7">
        <v>0.28000000000000003</v>
      </c>
    </row>
    <row r="22919" spans="1:4" x14ac:dyDescent="0.25">
      <c r="A22919" t="str">
        <f>HYPERLINK("https://www.773grp.com/globalSearch/HZS18-1LTA-E/page-1", "HZS18-1LTA-E")</f>
        <v>HZS18-1LTA-E</v>
      </c>
      <c r="B22919" s="3" t="str">
        <f>HYPERLINK("https://www.773grp.com/manufacturer/renesas-electronics-america-inc?pageNo=775", "Renesas Electronics")</f>
        <v>Renesas Electronics</v>
      </c>
      <c r="C22919" s="6">
        <v>10000</v>
      </c>
      <c r="D22919" s="7">
        <v>0.28000000000000003</v>
      </c>
    </row>
    <row r="22920" spans="1:4" x14ac:dyDescent="0.25">
      <c r="A22920" t="str">
        <f>HYPERLINK("https://www.773grp.com/globalSearch/HZS18NB3TA-E/page-1", "HZS18NB3TA-E")</f>
        <v>HZS18NB3TA-E</v>
      </c>
      <c r="B22920" s="3" t="str">
        <f>HYPERLINK("https://www.773grp.com/manufacturer/renesas-electronics-america-inc?pageNo=776", "Renesas Electronics")</f>
        <v>Renesas Electronics</v>
      </c>
      <c r="C22920" s="6">
        <v>5000</v>
      </c>
      <c r="D22920" s="7">
        <v>0.28000000000000003</v>
      </c>
    </row>
    <row r="22921" spans="1:4" x14ac:dyDescent="0.25">
      <c r="A22921" t="str">
        <f>HYPERLINK("https://www.773grp.com/globalSearch/HZS2.2NB2TD-E/page-1", "HZS2.2NB2TD-E")</f>
        <v>HZS2.2NB2TD-E</v>
      </c>
      <c r="B22921" s="3" t="str">
        <f>HYPERLINK("https://www.773grp.com/manufacturer/renesas-electronics-america-inc?pageNo=777", "Renesas Electronics")</f>
        <v>Renesas Electronics</v>
      </c>
      <c r="C22921" s="6">
        <v>10000</v>
      </c>
      <c r="D22921" s="7">
        <v>0.28000000000000003</v>
      </c>
    </row>
    <row r="22922" spans="1:4" x14ac:dyDescent="0.25">
      <c r="A22922" t="str">
        <f>HYPERLINK("https://www.773grp.com/globalSearch/HZS2.7NB2TA-E/page-1", "HZS2.7NB2TA-E")</f>
        <v>HZS2.7NB2TA-E</v>
      </c>
      <c r="B22922" s="3" t="str">
        <f>HYPERLINK("https://www.773grp.com/manufacturer/renesas-electronics-america-inc?pageNo=778", "Renesas Electronics")</f>
        <v>Renesas Electronics</v>
      </c>
      <c r="C22922" s="6">
        <v>15000</v>
      </c>
      <c r="D22922" s="7">
        <v>0.28000000000000003</v>
      </c>
    </row>
    <row r="22923" spans="1:4" x14ac:dyDescent="0.25">
      <c r="A22923" t="str">
        <f>HYPERLINK("https://www.773grp.com/globalSearch/HZS20-3LTD-E/page-1", "HZS20-3LTD-E")</f>
        <v>HZS20-3LTD-E</v>
      </c>
      <c r="B22923" s="3" t="str">
        <f>HYPERLINK("https://www.773grp.com/manufacturer/renesas-electronics-america-inc?pageNo=779", "Renesas Electronics")</f>
        <v>Renesas Electronics</v>
      </c>
      <c r="C22923" s="6">
        <v>10000</v>
      </c>
      <c r="D22923" s="7">
        <v>0.28000000000000003</v>
      </c>
    </row>
    <row r="22924" spans="1:4" x14ac:dyDescent="0.25">
      <c r="A22924" t="str">
        <f>HYPERLINK("https://www.773grp.com/globalSearch/HZS24-2LTD-E/page-1", "HZS24-2LTD-E")</f>
        <v>HZS24-2LTD-E</v>
      </c>
      <c r="B22924" s="3" t="str">
        <f>HYPERLINK("https://www.773grp.com/manufacturer/renesas-electronics-america-inc?pageNo=780", "Renesas Electronics")</f>
        <v>Renesas Electronics</v>
      </c>
      <c r="C22924" s="6">
        <v>10000</v>
      </c>
      <c r="D22924" s="7">
        <v>0.28000000000000003</v>
      </c>
    </row>
    <row r="22925" spans="1:4" x14ac:dyDescent="0.25">
      <c r="A22925" t="str">
        <f>HYPERLINK("https://www.773grp.com/globalSearch/HZS24-3TA-E/page-1", "HZS24-3TA-E")</f>
        <v>HZS24-3TA-E</v>
      </c>
      <c r="B22925" s="3" t="str">
        <f>HYPERLINK("https://www.773grp.com/manufacturer/renesas-electronics-america-inc?pageNo=781", "Renesas Electronics")</f>
        <v>Renesas Electronics</v>
      </c>
      <c r="C22925" s="6">
        <v>15000</v>
      </c>
      <c r="D22925" s="7">
        <v>0.28000000000000003</v>
      </c>
    </row>
    <row r="22926" spans="1:4" x14ac:dyDescent="0.25">
      <c r="A22926" t="str">
        <f>HYPERLINK("https://www.773grp.com/globalSearch/HZS24NB2TA-E/page-1", "HZS24NB2TA-E")</f>
        <v>HZS24NB2TA-E</v>
      </c>
      <c r="B22926" s="3" t="str">
        <f>HYPERLINK("https://www.773grp.com/manufacturer/renesas-electronics-america-inc?pageNo=782", "Renesas Electronics")</f>
        <v>Renesas Electronics</v>
      </c>
      <c r="C22926" s="6">
        <v>25000</v>
      </c>
      <c r="D22926" s="7">
        <v>0.28000000000000003</v>
      </c>
    </row>
    <row r="22927" spans="1:4" x14ac:dyDescent="0.25">
      <c r="A22927" t="str">
        <f>HYPERLINK("https://www.773grp.com/globalSearch/HZS27-1LTD-E/page-1", "HZS27-1LTD-E")</f>
        <v>HZS27-1LTD-E</v>
      </c>
      <c r="B22927" s="3" t="str">
        <f>HYPERLINK("https://www.773grp.com/manufacturer/renesas-electronics-america-inc?pageNo=783", "Renesas Electronics")</f>
        <v>Renesas Electronics</v>
      </c>
      <c r="C22927" s="6">
        <v>2500</v>
      </c>
      <c r="D22927" s="7">
        <v>0.28000000000000003</v>
      </c>
    </row>
    <row r="22928" spans="1:4" x14ac:dyDescent="0.25">
      <c r="A22928" t="str">
        <f>HYPERLINK("https://www.773grp.com/globalSearch/HZS27-3TD-E/page-1", "HZS27-3TD-E")</f>
        <v>HZS27-3TD-E</v>
      </c>
      <c r="B22928" s="3" t="str">
        <f>HYPERLINK("https://www.773grp.com/manufacturer/renesas-electronics-america-inc?pageNo=784", "Renesas Electronics")</f>
        <v>Renesas Electronics</v>
      </c>
      <c r="C22928" s="6">
        <v>15000</v>
      </c>
      <c r="D22928" s="7">
        <v>0.28000000000000003</v>
      </c>
    </row>
    <row r="22929" spans="1:4" x14ac:dyDescent="0.25">
      <c r="A22929" t="str">
        <f>HYPERLINK("https://www.773grp.com/globalSearch/HZS2A3TD-E/page-1", "HZS2A3TD-E")</f>
        <v>HZS2A3TD-E</v>
      </c>
      <c r="B22929" s="3" t="str">
        <f>HYPERLINK("https://www.773grp.com/manufacturer/renesas-electronics-america-inc?pageNo=785", "Renesas Electronics")</f>
        <v>Renesas Electronics</v>
      </c>
      <c r="C22929" s="6">
        <v>20000</v>
      </c>
      <c r="D22929" s="7">
        <v>0.28000000000000003</v>
      </c>
    </row>
    <row r="22930" spans="1:4" x14ac:dyDescent="0.25">
      <c r="A22930" t="str">
        <f>HYPERLINK("https://www.773grp.com/globalSearch/HZS2B3TD-E/page-1", "HZS2B3TD-E")</f>
        <v>HZS2B3TD-E</v>
      </c>
      <c r="B22930" s="3" t="str">
        <f>HYPERLINK("https://www.773grp.com/manufacturer/renesas-electronics-america-inc?pageNo=786", "Renesas Electronics")</f>
        <v>Renesas Electronics</v>
      </c>
      <c r="C22930" s="6">
        <v>10000</v>
      </c>
      <c r="D22930" s="7">
        <v>0.28000000000000003</v>
      </c>
    </row>
    <row r="22931" spans="1:4" x14ac:dyDescent="0.25">
      <c r="A22931" t="str">
        <f>HYPERLINK("https://www.773grp.com/globalSearch/HZS2C2JRX/page-1", "HZS2C2JRX")</f>
        <v>HZS2C2JRX</v>
      </c>
      <c r="B22931" s="3" t="str">
        <f>HYPERLINK("https://www.773grp.com/manufacturer/renesas-electronics-america-inc?pageNo=787", "Renesas Electronics")</f>
        <v>Renesas Electronics</v>
      </c>
      <c r="C22931" s="6">
        <v>32500</v>
      </c>
      <c r="D22931" s="7">
        <v>0.28000000000000003</v>
      </c>
    </row>
    <row r="22932" spans="1:4" x14ac:dyDescent="0.25">
      <c r="A22932" t="str">
        <f>HYPERLINK("https://www.773grp.com/globalSearch/HZS2C2TD-P-E/page-1", "HZS2C2TD-P-E")</f>
        <v>HZS2C2TD-P-E</v>
      </c>
      <c r="B22932" s="3" t="str">
        <f>HYPERLINK("https://www.773grp.com/manufacturer/renesas-electronics-america-inc?pageNo=788", "Renesas Electronics")</f>
        <v>Renesas Electronics</v>
      </c>
      <c r="C22932" s="6">
        <v>15000</v>
      </c>
      <c r="D22932" s="7">
        <v>0.28000000000000003</v>
      </c>
    </row>
    <row r="22933" spans="1:4" x14ac:dyDescent="0.25">
      <c r="A22933" t="str">
        <f>HYPERLINK("https://www.773grp.com/globalSearch/HZS3.0NB1JRX/page-1", "HZS3.0NB1JRX")</f>
        <v>HZS3.0NB1JRX</v>
      </c>
      <c r="B22933" s="3" t="str">
        <f>HYPERLINK("https://www.773grp.com/manufacturer/renesas-electronics-america-inc?pageNo=789", "Renesas Electronics")</f>
        <v>Renesas Electronics</v>
      </c>
      <c r="C22933" s="6">
        <v>25000</v>
      </c>
      <c r="D22933" s="7">
        <v>0.28000000000000003</v>
      </c>
    </row>
    <row r="22934" spans="1:4" x14ac:dyDescent="0.25">
      <c r="A22934" t="str">
        <f>HYPERLINK("https://www.773grp.com/globalSearch/HZS30-1LTA-E/page-1", "HZS30-1LTA-E")</f>
        <v>HZS30-1LTA-E</v>
      </c>
      <c r="B22934" s="3" t="str">
        <f>HYPERLINK("https://www.773grp.com/manufacturer/renesas-electronics-america-inc?pageNo=790", "Renesas Electronics")</f>
        <v>Renesas Electronics</v>
      </c>
      <c r="C22934" s="6">
        <v>30000</v>
      </c>
      <c r="D22934" s="7">
        <v>0.28000000000000003</v>
      </c>
    </row>
    <row r="22935" spans="1:4" x14ac:dyDescent="0.25">
      <c r="A22935" t="str">
        <f>HYPERLINK("https://www.773grp.com/globalSearch/HZS30-2LTA-E/page-1", "HZS30-2LTA-E")</f>
        <v>HZS30-2LTA-E</v>
      </c>
      <c r="B22935" s="3" t="str">
        <f>HYPERLINK("https://www.773grp.com/manufacturer/renesas-electronics-america-inc?pageNo=791", "Renesas Electronics")</f>
        <v>Renesas Electronics</v>
      </c>
      <c r="C22935" s="6">
        <v>15000</v>
      </c>
      <c r="D22935" s="7">
        <v>0.28000000000000003</v>
      </c>
    </row>
    <row r="22936" spans="1:4" x14ac:dyDescent="0.25">
      <c r="A22936" t="str">
        <f>HYPERLINK("https://www.773grp.com/globalSearch/HZS33-2LRX-E/page-1", "HZS33-2LRX-E")</f>
        <v>HZS33-2LRX-E</v>
      </c>
      <c r="B22936" s="3" t="str">
        <f>HYPERLINK("https://www.773grp.com/manufacturer/renesas-electronics-america-inc?pageNo=792", "Renesas Electronics")</f>
        <v>Renesas Electronics</v>
      </c>
      <c r="C22936" s="6">
        <v>20000</v>
      </c>
      <c r="D22936" s="7">
        <v>0.28000000000000003</v>
      </c>
    </row>
    <row r="22937" spans="1:4" x14ac:dyDescent="0.25">
      <c r="A22937" t="str">
        <f>HYPERLINK("https://www.773grp.com/globalSearch/HZS33-2LTA-E/page-1", "HZS33-2LTA-E")</f>
        <v>HZS33-2LTA-E</v>
      </c>
      <c r="B22937" s="3" t="str">
        <f>HYPERLINK("https://www.773grp.com/manufacturer/renesas-electronics-america-inc?pageNo=793", "Renesas Electronics")</f>
        <v>Renesas Electronics</v>
      </c>
      <c r="C22937" s="6">
        <v>5000</v>
      </c>
      <c r="D22937" s="7">
        <v>0.28000000000000003</v>
      </c>
    </row>
    <row r="22938" spans="1:4" x14ac:dyDescent="0.25">
      <c r="A22938" t="str">
        <f>HYPERLINK("https://www.773grp.com/globalSearch/HZS33NB1TA-E/page-1", "HZS33NB1TA-E")</f>
        <v>HZS33NB1TA-E</v>
      </c>
      <c r="B22938" s="3" t="str">
        <f>HYPERLINK("https://www.773grp.com/manufacturer/renesas-electronics-america-inc?pageNo=794", "Renesas Electronics")</f>
        <v>Renesas Electronics</v>
      </c>
      <c r="C22938" s="6">
        <v>10000</v>
      </c>
      <c r="D22938" s="7">
        <v>0.28000000000000003</v>
      </c>
    </row>
    <row r="22939" spans="1:4" x14ac:dyDescent="0.25">
      <c r="A22939" t="str">
        <f>HYPERLINK("https://www.773grp.com/globalSearch/HZS33NB2TA-E/page-1", "HZS33NB2TA-E")</f>
        <v>HZS33NB2TA-E</v>
      </c>
      <c r="B22939" s="3" t="str">
        <f>HYPERLINK("https://www.773grp.com/manufacturer/renesas-electronics-america-inc?pageNo=795", "Renesas Electronics")</f>
        <v>Renesas Electronics</v>
      </c>
      <c r="C22939" s="6">
        <v>10000</v>
      </c>
      <c r="D22939" s="7">
        <v>0.28000000000000003</v>
      </c>
    </row>
    <row r="22940" spans="1:4" x14ac:dyDescent="0.25">
      <c r="A22940" t="str">
        <f>HYPERLINK("https://www.773grp.com/globalSearch/HZS36-3LTA-E/page-1", "HZS36-3LTA-E")</f>
        <v>HZS36-3LTA-E</v>
      </c>
      <c r="B22940" s="3" t="str">
        <f>HYPERLINK("https://www.773grp.com/manufacturer/renesas-electronics-america-inc?pageNo=796", "Renesas Electronics")</f>
        <v>Renesas Electronics</v>
      </c>
      <c r="C22940" s="6">
        <v>5000</v>
      </c>
      <c r="D22940" s="7">
        <v>0.28000000000000003</v>
      </c>
    </row>
    <row r="22941" spans="1:4" x14ac:dyDescent="0.25">
      <c r="A22941" t="str">
        <f>HYPERLINK("https://www.773grp.com/globalSearch/HZS36NB3TD-E/page-1", "HZS36NB3TD-E")</f>
        <v>HZS36NB3TD-E</v>
      </c>
      <c r="B22941" s="3" t="str">
        <f>HYPERLINK("https://www.773grp.com/manufacturer/renesas-electronics-america-inc?pageNo=797", "Renesas Electronics")</f>
        <v>Renesas Electronics</v>
      </c>
      <c r="C22941" s="6">
        <v>5000</v>
      </c>
      <c r="D22941" s="7">
        <v>0.28000000000000003</v>
      </c>
    </row>
    <row r="22942" spans="1:4" x14ac:dyDescent="0.25">
      <c r="A22942" t="str">
        <f>HYPERLINK("https://www.773grp.com/globalSearch/HZS39NB2TA-E/page-1", "HZS39NB2TA-E")</f>
        <v>HZS39NB2TA-E</v>
      </c>
      <c r="B22942" s="3" t="str">
        <f>HYPERLINK("https://www.773grp.com/manufacturer/renesas-electronics-america-inc?pageNo=798", "Renesas Electronics")</f>
        <v>Renesas Electronics</v>
      </c>
      <c r="C22942" s="6">
        <v>5000</v>
      </c>
      <c r="D22942" s="7">
        <v>0.28000000000000003</v>
      </c>
    </row>
    <row r="22943" spans="1:4" x14ac:dyDescent="0.25">
      <c r="A22943" t="str">
        <f>HYPERLINK("https://www.773grp.com/globalSearch/HZS39NB3TA-E/page-1", "HZS39NB3TA-E")</f>
        <v>HZS39NB3TA-E</v>
      </c>
      <c r="B22943" s="3" t="str">
        <f>HYPERLINK("https://www.773grp.com/manufacturer/renesas-electronics-america-inc?pageNo=799", "Renesas Electronics")</f>
        <v>Renesas Electronics</v>
      </c>
      <c r="C22943" s="6">
        <v>35000</v>
      </c>
      <c r="D22943" s="7">
        <v>0.28000000000000003</v>
      </c>
    </row>
    <row r="22944" spans="1:4" x14ac:dyDescent="0.25">
      <c r="A22944" t="str">
        <f>HYPERLINK("https://www.773grp.com/globalSearch/HZS3A2TD-E/page-1", "HZS3A2TD-E")</f>
        <v>HZS3A2TD-E</v>
      </c>
      <c r="B22944" s="3" t="str">
        <f>HYPERLINK("https://www.773grp.com/manufacturer/renesas-electronics-america-inc?pageNo=800", "Renesas Electronics")</f>
        <v>Renesas Electronics</v>
      </c>
      <c r="C22944" s="6">
        <v>5000</v>
      </c>
      <c r="D22944" s="7">
        <v>0.28000000000000003</v>
      </c>
    </row>
    <row r="22945" spans="1:4" x14ac:dyDescent="0.25">
      <c r="A22945" t="str">
        <f>HYPERLINK("https://www.773grp.com/globalSearch/HZS4.3NB2JRX/page-1", "HZS4.3NB2JRX")</f>
        <v>HZS4.3NB2JRX</v>
      </c>
      <c r="B22945" s="3" t="str">
        <f>HYPERLINK("https://www.773grp.com/manufacturer/renesas-electronics-america-inc?pageNo=801", "Renesas Electronics")</f>
        <v>Renesas Electronics</v>
      </c>
      <c r="C22945" s="6">
        <v>12500</v>
      </c>
      <c r="D22945" s="7">
        <v>0.28000000000000003</v>
      </c>
    </row>
    <row r="22946" spans="1:4" x14ac:dyDescent="0.25">
      <c r="A22946" t="str">
        <f>HYPERLINK("https://www.773grp.com/globalSearch/HZS4.7NB2TA-E/page-1", "HZS4.7NB2TA-E")</f>
        <v>HZS4.7NB2TA-E</v>
      </c>
      <c r="B22946" s="3" t="str">
        <f>HYPERLINK("https://www.773grp.com/manufacturer/renesas-electronics-america-inc?pageNo=802", "Renesas Electronics")</f>
        <v>Renesas Electronics</v>
      </c>
      <c r="C22946" s="6">
        <v>10000</v>
      </c>
      <c r="D22946" s="7">
        <v>0.28000000000000003</v>
      </c>
    </row>
    <row r="22947" spans="1:4" x14ac:dyDescent="0.25">
      <c r="A22947" t="str">
        <f>HYPERLINK("https://www.773grp.com/globalSearch/HZS4A1TD-E/page-1", "HZS4A1TD-E")</f>
        <v>HZS4A1TD-E</v>
      </c>
      <c r="B22947" s="3" t="str">
        <f>HYPERLINK("https://www.773grp.com/manufacturer/renesas-electronics-america-inc?pageNo=803", "Renesas Electronics")</f>
        <v>Renesas Electronics</v>
      </c>
      <c r="C22947" s="6">
        <v>10000</v>
      </c>
      <c r="D22947" s="7">
        <v>0.28000000000000003</v>
      </c>
    </row>
    <row r="22948" spans="1:4" x14ac:dyDescent="0.25">
      <c r="A22948" t="str">
        <f>HYPERLINK("https://www.773grp.com/globalSearch/HZS4B2TD-E/page-1", "HZS4B2TD-E")</f>
        <v>HZS4B2TD-E</v>
      </c>
      <c r="B22948" s="3" t="str">
        <f>HYPERLINK("https://www.773grp.com/manufacturer/renesas-electronics-america-inc?pageNo=804", "Renesas Electronics")</f>
        <v>Renesas Electronics</v>
      </c>
      <c r="C22948" s="6">
        <v>50000</v>
      </c>
      <c r="D22948" s="7">
        <v>0.28000000000000003</v>
      </c>
    </row>
    <row r="22949" spans="1:4" x14ac:dyDescent="0.25">
      <c r="A22949" t="str">
        <f>HYPERLINK("https://www.773grp.com/globalSearch/HZS4C3JRX/page-1", "HZS4C3JRX")</f>
        <v>HZS4C3JRX</v>
      </c>
      <c r="B22949" s="3" t="str">
        <f>HYPERLINK("https://www.773grp.com/manufacturer/renesas-electronics-america-inc?pageNo=805", "Renesas Electronics")</f>
        <v>Renesas Electronics</v>
      </c>
      <c r="C22949" s="6">
        <v>5000</v>
      </c>
      <c r="D22949" s="7">
        <v>0.28000000000000003</v>
      </c>
    </row>
    <row r="22950" spans="1:4" x14ac:dyDescent="0.25">
      <c r="A22950" t="str">
        <f>HYPERLINK("https://www.773grp.com/globalSearch/HZS5.1NB2TD-P-E/page-1", "HZS5.1NB2TD-P-E")</f>
        <v>HZS5.1NB2TD-P-E</v>
      </c>
      <c r="B22950" s="3" t="str">
        <f>HYPERLINK("https://www.773grp.com/manufacturer/renesas-electronics-america-inc?pageNo=806", "Renesas Electronics")</f>
        <v>Renesas Electronics</v>
      </c>
      <c r="C22950" s="6">
        <v>12500</v>
      </c>
      <c r="D22950" s="7">
        <v>0.28000000000000003</v>
      </c>
    </row>
    <row r="22951" spans="1:4" x14ac:dyDescent="0.25">
      <c r="A22951" t="str">
        <f>HYPERLINK("https://www.773grp.com/globalSearch/HZS5ALLTA-E/page-1", "HZS5ALLTA-E")</f>
        <v>HZS5ALLTA-E</v>
      </c>
      <c r="B22951" s="3" t="str">
        <f>HYPERLINK("https://www.773grp.com/manufacturer/renesas-electronics-america-inc?pageNo=807", "Renesas Electronics")</f>
        <v>Renesas Electronics</v>
      </c>
      <c r="C22951" s="6">
        <v>65000</v>
      </c>
      <c r="D22951" s="7">
        <v>0.28000000000000003</v>
      </c>
    </row>
    <row r="22952" spans="1:4" x14ac:dyDescent="0.25">
      <c r="A22952" t="str">
        <f>HYPERLINK("https://www.773grp.com/globalSearch/HZS5BLLTA-E/page-1", "HZS5BLLTA-E")</f>
        <v>HZS5BLLTA-E</v>
      </c>
      <c r="B22952" s="3" t="str">
        <f>HYPERLINK("https://www.773grp.com/manufacturer/renesas-electronics-america-inc?pageNo=808", "Renesas Electronics")</f>
        <v>Renesas Electronics</v>
      </c>
      <c r="C22952" s="6">
        <v>70000</v>
      </c>
      <c r="D22952" s="7">
        <v>0.28000000000000003</v>
      </c>
    </row>
    <row r="22953" spans="1:4" x14ac:dyDescent="0.25">
      <c r="A22953" t="str">
        <f>HYPERLINK("https://www.773grp.com/globalSearch/HZS6A2LTA-E/page-1", "HZS6A2LTA-E")</f>
        <v>HZS6A2LTA-E</v>
      </c>
      <c r="B22953" s="3" t="str">
        <f>HYPERLINK("https://www.773grp.com/manufacturer/renesas-electronics-america-inc?pageNo=809", "Renesas Electronics")</f>
        <v>Renesas Electronics</v>
      </c>
      <c r="C22953" s="6">
        <v>5000</v>
      </c>
      <c r="D22953" s="7">
        <v>0.28000000000000003</v>
      </c>
    </row>
    <row r="22954" spans="1:4" x14ac:dyDescent="0.25">
      <c r="A22954" t="str">
        <f>HYPERLINK("https://www.773grp.com/globalSearch/HZS6A3LTA-E/page-1", "HZS6A3LTA-E")</f>
        <v>HZS6A3LTA-E</v>
      </c>
      <c r="B22954" s="3" t="str">
        <f>HYPERLINK("https://www.773grp.com/manufacturer/renesas-electronics-america-inc?pageNo=810", "Renesas Electronics")</f>
        <v>Renesas Electronics</v>
      </c>
      <c r="C22954" s="6">
        <v>10000</v>
      </c>
      <c r="D22954" s="7">
        <v>0.28000000000000003</v>
      </c>
    </row>
    <row r="22955" spans="1:4" x14ac:dyDescent="0.25">
      <c r="A22955" t="str">
        <f>HYPERLINK("https://www.773grp.com/globalSearch/HZS6B1L-JTA-E/page-1", "HZS6B1L-JTA-E")</f>
        <v>HZS6B1L-JTA-E</v>
      </c>
      <c r="B22955" s="3" t="str">
        <f>HYPERLINK("https://www.773grp.com/manufacturer/renesas-electronics-america-inc?pageNo=811", "Renesas Electronics")</f>
        <v>Renesas Electronics</v>
      </c>
      <c r="C22955" s="6">
        <v>20000</v>
      </c>
      <c r="D22955" s="7">
        <v>0.28000000000000003</v>
      </c>
    </row>
    <row r="22956" spans="1:4" x14ac:dyDescent="0.25">
      <c r="A22956" t="str">
        <f>HYPERLINK("https://www.773grp.com/globalSearch/HZS6B3TD-E/page-1", "HZS6B3TD-E")</f>
        <v>HZS6B3TD-E</v>
      </c>
      <c r="B22956" s="3" t="str">
        <f>HYPERLINK("https://www.773grp.com/manufacturer/renesas-electronics-america-inc?pageNo=812", "Renesas Electronics")</f>
        <v>Renesas Electronics</v>
      </c>
      <c r="C22956" s="6">
        <v>10000</v>
      </c>
      <c r="D22956" s="7">
        <v>0.28000000000000003</v>
      </c>
    </row>
    <row r="22957" spans="1:4" x14ac:dyDescent="0.25">
      <c r="A22957" t="str">
        <f>HYPERLINK("https://www.773grp.com/globalSearch/HZS7B1LTA-E/page-1", "HZS7B1LTA-E")</f>
        <v>HZS7B1LTA-E</v>
      </c>
      <c r="B22957" s="3" t="str">
        <f>HYPERLINK("https://www.773grp.com/manufacturer/renesas-electronics-america-inc?pageNo=813", "Renesas Electronics")</f>
        <v>Renesas Electronics</v>
      </c>
      <c r="C22957" s="6">
        <v>20000</v>
      </c>
      <c r="D22957" s="7">
        <v>0.28000000000000003</v>
      </c>
    </row>
    <row r="22958" spans="1:4" x14ac:dyDescent="0.25">
      <c r="A22958" t="str">
        <f>HYPERLINK("https://www.773grp.com/globalSearch/HZS8.2NB1TA-E/page-1", "HZS8.2NB1TA-E")</f>
        <v>HZS8.2NB1TA-E</v>
      </c>
      <c r="B22958" s="3" t="str">
        <f>HYPERLINK("https://www.773grp.com/manufacturer/renesas-electronics-america-inc?pageNo=814", "Renesas Electronics")</f>
        <v>Renesas Electronics</v>
      </c>
      <c r="C22958" s="6">
        <v>10000</v>
      </c>
      <c r="D22958" s="7">
        <v>0.28000000000000003</v>
      </c>
    </row>
    <row r="22959" spans="1:4" x14ac:dyDescent="0.25">
      <c r="A22959" t="str">
        <f>HYPERLINK("https://www.773grp.com/globalSearch/HZS9.1NB1TD-E/page-1", "HZS9.1NB1TD-E")</f>
        <v>HZS9.1NB1TD-E</v>
      </c>
      <c r="B22959" s="3" t="str">
        <f>HYPERLINK("https://www.773grp.com/manufacturer/renesas-electronics-america-inc?pageNo=815", "Renesas Electronics")</f>
        <v>Renesas Electronics</v>
      </c>
      <c r="C22959" s="6">
        <v>92500</v>
      </c>
      <c r="D22959" s="7">
        <v>0.28000000000000003</v>
      </c>
    </row>
    <row r="22960" spans="1:4" x14ac:dyDescent="0.25">
      <c r="A22960" t="str">
        <f>HYPERLINK("https://www.773grp.com/globalSearch/HZS9C1LTA-E/page-1", "HZS9C1LTA-E")</f>
        <v>HZS9C1LTA-E</v>
      </c>
      <c r="B22960" s="3" t="str">
        <f>HYPERLINK("https://www.773grp.com/manufacturer/renesas-electronics-america-inc?pageNo=816", "Renesas Electronics")</f>
        <v>Renesas Electronics</v>
      </c>
      <c r="C22960" s="6">
        <v>20000</v>
      </c>
      <c r="D22960" s="7">
        <v>0.28000000000000003</v>
      </c>
    </row>
    <row r="22961" spans="1:4" x14ac:dyDescent="0.25">
      <c r="A22961" t="str">
        <f>HYPERLINK("https://www.773grp.com/globalSearch/HZU10B2JTRF/page-1", "HZU10B2JTRF")</f>
        <v>HZU10B2JTRF</v>
      </c>
      <c r="B22961" s="3" t="str">
        <f>HYPERLINK("https://www.773grp.com/manufacturer/renesas-electronics-america-inc?pageNo=817", "Renesas Electronics")</f>
        <v>Renesas Electronics</v>
      </c>
      <c r="C22961" s="6">
        <v>33000</v>
      </c>
      <c r="D22961" s="7">
        <v>0.28000000000000003</v>
      </c>
    </row>
    <row r="22962" spans="1:4" x14ac:dyDescent="0.25">
      <c r="A22962" t="str">
        <f>HYPERLINK("https://www.773grp.com/globalSearch/HZU10GTRF-E/page-1", "HZU10GTRF-E")</f>
        <v>HZU10GTRF-E</v>
      </c>
      <c r="B22962" s="3" t="str">
        <f>HYPERLINK("https://www.773grp.com/manufacturer/renesas-electronics-america-inc?pageNo=818", "Renesas Electronics")</f>
        <v>Renesas Electronics</v>
      </c>
      <c r="C22962" s="6">
        <v>57000</v>
      </c>
      <c r="D22962" s="7">
        <v>0.28000000000000003</v>
      </c>
    </row>
    <row r="22963" spans="1:4" x14ac:dyDescent="0.25">
      <c r="A22963" t="str">
        <f>HYPERLINK("https://www.773grp.com/globalSearch/HZU11B2LTRF-E/page-1", "HZU11B2LTRF-E")</f>
        <v>HZU11B2LTRF-E</v>
      </c>
      <c r="B22963" s="3" t="str">
        <f>HYPERLINK("https://www.773grp.com/manufacturer/renesas-electronics-america-inc?pageNo=819", "Renesas Electronics")</f>
        <v>Renesas Electronics</v>
      </c>
      <c r="C22963" s="6">
        <v>87000</v>
      </c>
      <c r="D22963" s="7">
        <v>0.28000000000000003</v>
      </c>
    </row>
    <row r="22964" spans="1:4" x14ac:dyDescent="0.25">
      <c r="A22964" t="str">
        <f>HYPERLINK("https://www.773grp.com/globalSearch/HZU12B2JTRF/page-1", "HZU12B2JTRF")</f>
        <v>HZU12B2JTRF</v>
      </c>
      <c r="B22964" s="3" t="str">
        <f>HYPERLINK("https://www.773grp.com/manufacturer/renesas-electronics-america-inc?pageNo=820", "Renesas Electronics")</f>
        <v>Renesas Electronics</v>
      </c>
      <c r="C22964" s="6">
        <v>18000</v>
      </c>
      <c r="D22964" s="7">
        <v>0.28000000000000003</v>
      </c>
    </row>
    <row r="22965" spans="1:4" x14ac:dyDescent="0.25">
      <c r="A22965" t="str">
        <f>HYPERLINK("https://www.773grp.com/globalSearch/HZU12B3LTRF-E/page-1", "HZU12B3LTRF-E")</f>
        <v>HZU12B3LTRF-E</v>
      </c>
      <c r="B22965" s="3" t="str">
        <f>HYPERLINK("https://www.773grp.com/manufacturer/renesas-electronics-america-inc?pageNo=821", "Renesas Electronics")</f>
        <v>Renesas Electronics</v>
      </c>
      <c r="C22965" s="6">
        <v>84000</v>
      </c>
      <c r="D22965" s="7">
        <v>0.28000000000000003</v>
      </c>
    </row>
    <row r="22966" spans="1:4" x14ac:dyDescent="0.25">
      <c r="A22966" t="str">
        <f>HYPERLINK("https://www.773grp.com/globalSearch/HZU13B1JTRF/page-1", "HZU13B1JTRF")</f>
        <v>HZU13B1JTRF</v>
      </c>
      <c r="B22966" s="3" t="str">
        <f>HYPERLINK("https://www.773grp.com/manufacturer/renesas-electronics-america-inc?pageNo=822", "Renesas Electronics")</f>
        <v>Renesas Electronics</v>
      </c>
      <c r="C22966" s="6">
        <v>624000</v>
      </c>
      <c r="D22966" s="7">
        <v>0.28000000000000003</v>
      </c>
    </row>
    <row r="22967" spans="1:4" x14ac:dyDescent="0.25">
      <c r="A22967" t="str">
        <f>HYPERLINK("https://www.773grp.com/globalSearch/HZU13B2JTRF-E/page-1", "HZU13B2JTRF-E")</f>
        <v>HZU13B2JTRF-E</v>
      </c>
      <c r="B22967" s="3" t="str">
        <f>HYPERLINK("https://www.773grp.com/manufacturer/renesas-electronics-america-inc?pageNo=823", "Renesas Electronics")</f>
        <v>Renesas Electronics</v>
      </c>
      <c r="C22967" s="6">
        <v>117000</v>
      </c>
      <c r="D22967" s="7">
        <v>0.28000000000000003</v>
      </c>
    </row>
    <row r="22968" spans="1:4" x14ac:dyDescent="0.25">
      <c r="A22968" t="str">
        <f>HYPERLINK("https://www.773grp.com/globalSearch/HZU16B1URF-E/page-1", "HZU16B1URF-E")</f>
        <v>HZU16B1URF-E</v>
      </c>
      <c r="B22968" s="3" t="str">
        <f>HYPERLINK("https://www.773grp.com/manufacturer/renesas-electronics-america-inc?pageNo=824", "Renesas Electronics")</f>
        <v>Renesas Electronics</v>
      </c>
      <c r="C22968" s="6">
        <v>29166</v>
      </c>
      <c r="D22968" s="7">
        <v>0.28000000000000003</v>
      </c>
    </row>
    <row r="22969" spans="1:4" x14ac:dyDescent="0.25">
      <c r="A22969" t="str">
        <f>HYPERLINK("https://www.773grp.com/globalSearch/HZU18B2JTRF/page-1", "HZU18B2JTRF")</f>
        <v>HZU18B2JTRF</v>
      </c>
      <c r="B22969" s="3" t="str">
        <f>HYPERLINK("https://www.773grp.com/manufacturer/renesas-electronics-america-inc?pageNo=825", "Renesas Electronics")</f>
        <v>Renesas Electronics</v>
      </c>
      <c r="C22969" s="6">
        <v>3000</v>
      </c>
      <c r="D22969" s="7">
        <v>0.28000000000000003</v>
      </c>
    </row>
    <row r="22970" spans="1:4" x14ac:dyDescent="0.25">
      <c r="A22970" t="str">
        <f>HYPERLINK("https://www.773grp.com/globalSearch/HZU20B3TRF-E/page-1", "HZU20B3TRF-E")</f>
        <v>HZU20B3TRF-E</v>
      </c>
      <c r="B22970" s="3" t="str">
        <f>HYPERLINK("https://www.773grp.com/manufacturer/renesas-electronics-america-inc?pageNo=826", "Renesas Electronics")</f>
        <v>Renesas Electronics</v>
      </c>
      <c r="C22970" s="6">
        <v>45000</v>
      </c>
      <c r="D22970" s="7">
        <v>0.28000000000000003</v>
      </c>
    </row>
    <row r="22971" spans="1:4" x14ac:dyDescent="0.25">
      <c r="A22971" t="str">
        <f>HYPERLINK("https://www.773grp.com/globalSearch/HZU4BLL-JTRF/page-1", "HZU4BLL-JTRF")</f>
        <v>HZU4BLL-JTRF</v>
      </c>
      <c r="B22971" s="3" t="str">
        <f>HYPERLINK("https://www.773grp.com/manufacturer/renesas-electronics-america-inc?pageNo=827", "Renesas Electronics")</f>
        <v>Renesas Electronics</v>
      </c>
      <c r="C22971" s="6">
        <v>24000</v>
      </c>
      <c r="D22971" s="7">
        <v>0.28000000000000003</v>
      </c>
    </row>
    <row r="22972" spans="1:4" x14ac:dyDescent="0.25">
      <c r="A22972" t="str">
        <f>HYPERLINK("https://www.773grp.com/globalSearch/HZU5.1B1JTRF/page-1", "HZU5.1B1JTRF")</f>
        <v>HZU5.1B1JTRF</v>
      </c>
      <c r="B22972" s="3" t="str">
        <f>HYPERLINK("https://www.773grp.com/manufacturer/renesas-electronics-america-inc?pageNo=828", "Renesas Electronics")</f>
        <v>Renesas Electronics</v>
      </c>
      <c r="C22972" s="6">
        <v>147000</v>
      </c>
      <c r="D22972" s="7">
        <v>0.28000000000000003</v>
      </c>
    </row>
    <row r="22973" spans="1:4" x14ac:dyDescent="0.25">
      <c r="A22973" t="str">
        <f>HYPERLINK("https://www.773grp.com/globalSearch/HZU5.1B2JTRF/page-1", "HZU5.1B2JTRF")</f>
        <v>HZU5.1B2JTRF</v>
      </c>
      <c r="B22973" s="3" t="str">
        <f>HYPERLINK("https://www.773grp.com/manufacturer/renesas-electronics-america-inc?pageNo=829", "Renesas Electronics")</f>
        <v>Renesas Electronics</v>
      </c>
      <c r="C22973" s="6">
        <v>18000</v>
      </c>
      <c r="D22973" s="7">
        <v>0.28000000000000003</v>
      </c>
    </row>
    <row r="22974" spans="1:4" x14ac:dyDescent="0.25">
      <c r="A22974" t="str">
        <f>HYPERLINK("https://www.773grp.com/globalSearch/HZU5ALL-JTRF/page-1", "HZU5ALL-JTRF")</f>
        <v>HZU5ALL-JTRF</v>
      </c>
      <c r="B22974" s="3" t="str">
        <f>HYPERLINK("https://www.773grp.com/manufacturer/renesas-electronics-america-inc?pageNo=830", "Renesas Electronics")</f>
        <v>Renesas Electronics</v>
      </c>
      <c r="C22974" s="6">
        <v>33000</v>
      </c>
      <c r="D22974" s="7">
        <v>0.28000000000000003</v>
      </c>
    </row>
    <row r="22975" spans="1:4" x14ac:dyDescent="0.25">
      <c r="A22975" t="str">
        <f>HYPERLINK("https://www.773grp.com/globalSearch/HZU6.2B1JTRF-E/page-1", "HZU6.2B1JTRF-E")</f>
        <v>HZU6.2B1JTRF-E</v>
      </c>
      <c r="B22975" s="3" t="str">
        <f>HYPERLINK("https://www.773grp.com/manufacturer/renesas-electronics-america-inc?pageNo=831", "Renesas Electronics")</f>
        <v>Renesas Electronics</v>
      </c>
      <c r="C22975" s="6">
        <v>18000</v>
      </c>
      <c r="D22975" s="7">
        <v>0.28000000000000003</v>
      </c>
    </row>
    <row r="22976" spans="1:4" x14ac:dyDescent="0.25">
      <c r="A22976" t="str">
        <f>HYPERLINK("https://www.773grp.com/globalSearch/HZU6.2B3JTRF/page-1", "HZU6.2B3JTRF")</f>
        <v>HZU6.2B3JTRF</v>
      </c>
      <c r="B22976" s="3" t="str">
        <f>HYPERLINK("https://www.773grp.com/manufacturer/renesas-electronics-america-inc?pageNo=832", "Renesas Electronics")</f>
        <v>Renesas Electronics</v>
      </c>
      <c r="C22976" s="6">
        <v>9000</v>
      </c>
      <c r="D22976" s="7">
        <v>0.28000000000000003</v>
      </c>
    </row>
    <row r="22977" spans="1:4" x14ac:dyDescent="0.25">
      <c r="A22977" t="str">
        <f>HYPERLINK("https://www.773grp.com/globalSearch/HZU6.8B3JTRF-E/page-1", "HZU6.8B3JTRF-E")</f>
        <v>HZU6.8B3JTRF-E</v>
      </c>
      <c r="B22977" s="3" t="str">
        <f>HYPERLINK("https://www.773grp.com/manufacturer/renesas-electronics-america-inc?pageNo=833", "Renesas Electronics")</f>
        <v>Renesas Electronics</v>
      </c>
      <c r="C22977" s="6">
        <v>93000</v>
      </c>
      <c r="D22977" s="7">
        <v>0.28000000000000003</v>
      </c>
    </row>
    <row r="22978" spans="1:4" x14ac:dyDescent="0.25">
      <c r="A22978" t="str">
        <f>HYPERLINK("https://www.773grp.com/globalSearch/HZU6.8GTRF-E/page-1", "HZU6.8GTRF-E")</f>
        <v>HZU6.8GTRF-E</v>
      </c>
      <c r="B22978" s="3" t="str">
        <f>HYPERLINK("https://www.773grp.com/manufacturer/renesas-electronics-america-inc?pageNo=834", "Renesas Electronics")</f>
        <v>Renesas Electronics</v>
      </c>
      <c r="C22978" s="6">
        <v>93000</v>
      </c>
      <c r="D22978" s="7">
        <v>0.28000000000000003</v>
      </c>
    </row>
    <row r="22979" spans="1:4" x14ac:dyDescent="0.25">
      <c r="A22979" t="str">
        <f>HYPERLINK("https://www.773grp.com/globalSearch/HZU9.1B3JTRF/page-1", "HZU9.1B3JTRF")</f>
        <v>HZU9.1B3JTRF</v>
      </c>
      <c r="B22979" s="3" t="str">
        <f>HYPERLINK("https://www.773grp.com/manufacturer/renesas-electronics-america-inc?pageNo=835", "Renesas Electronics")</f>
        <v>Renesas Electronics</v>
      </c>
      <c r="C22979" s="6">
        <v>9000</v>
      </c>
      <c r="D22979" s="7">
        <v>0.28000000000000003</v>
      </c>
    </row>
    <row r="22980" spans="1:4" x14ac:dyDescent="0.25">
      <c r="A22980" t="str">
        <f>HYPERLINK("https://www.773grp.com/globalSearch/RD5.1ES-T1-AZ/page-1", "RD5.1ES-T1-AZ")</f>
        <v>RD5.1ES-T1-AZ</v>
      </c>
      <c r="B22980" s="3" t="str">
        <f>HYPERLINK("https://www.773grp.com/manufacturer/renesas-electronics-america-inc?pageNo=836", "Renesas Electronics")</f>
        <v>Renesas Electronics</v>
      </c>
      <c r="C22980" s="6">
        <v>300000</v>
      </c>
      <c r="D22980" s="7">
        <v>0.28000000000000003</v>
      </c>
    </row>
    <row r="22981" spans="1:4" x14ac:dyDescent="0.25">
      <c r="A22981" t="str">
        <f>HYPERLINK("https://www.773grp.com/globalSearch/RKD704KP#R5/page-1", "RKD704KP#R5")</f>
        <v>RKD704KP#R5</v>
      </c>
      <c r="B22981" s="3" t="str">
        <f>HYPERLINK("https://www.773grp.com/manufacturer/renesas-electronics-america-inc?pageNo=837", "Renesas Electronics")</f>
        <v>Renesas Electronics</v>
      </c>
      <c r="C22981" s="6">
        <v>290000</v>
      </c>
      <c r="D22981" s="7">
        <v>0.28000000000000003</v>
      </c>
    </row>
    <row r="22982" spans="1:4" x14ac:dyDescent="0.25">
      <c r="A22982" t="str">
        <f>HYPERLINK("https://www.773grp.com/globalSearch/RKD751KP#R0/page-1", "RKD751KP#R0")</f>
        <v>RKD751KP#R0</v>
      </c>
      <c r="B22982" s="3" t="str">
        <f>HYPERLINK("https://www.773grp.com/manufacturer/renesas-electronics-america-inc?pageNo=838", "Renesas Electronics")</f>
        <v>Renesas Electronics</v>
      </c>
      <c r="C22982" s="6">
        <v>290000</v>
      </c>
      <c r="D22982" s="7">
        <v>0.28000000000000003</v>
      </c>
    </row>
    <row r="22983" spans="1:4" x14ac:dyDescent="0.25">
      <c r="A22983" t="str">
        <f>HYPERLINK("https://www.773grp.com/globalSearch/RKP204KP-3#R0/page-1", "RKP204KP-3#R0")</f>
        <v>RKP204KP-3#R0</v>
      </c>
      <c r="B22983" s="3" t="str">
        <f>HYPERLINK("https://www.773grp.com/manufacturer/renesas-electronics-america-inc?pageNo=839", "Renesas Electronics")</f>
        <v>Renesas Electronics</v>
      </c>
      <c r="C22983" s="6">
        <v>470000</v>
      </c>
      <c r="D22983" s="7">
        <v>0.28000000000000003</v>
      </c>
    </row>
    <row r="22984" spans="1:4" x14ac:dyDescent="0.25">
      <c r="A22984" t="str">
        <f>HYPERLINK("https://www.773grp.com/globalSearch/RKV500KJ#R1/page-1", "RKV500KJ#R1")</f>
        <v>RKV500KJ#R1</v>
      </c>
      <c r="B22984" s="3" t="str">
        <f>HYPERLINK("https://www.773grp.com/manufacturer/renesas-electronics-america-inc?pageNo=840", "Renesas Electronics")</f>
        <v>Renesas Electronics</v>
      </c>
      <c r="C22984" s="6">
        <v>88000</v>
      </c>
      <c r="D22984" s="7">
        <v>0.28000000000000003</v>
      </c>
    </row>
    <row r="22985" spans="1:4" x14ac:dyDescent="0.25">
      <c r="A22985" t="str">
        <f>HYPERLINK("https://www.773grp.com/globalSearch/RKV600KP-1#R0/page-1", "RKV600KP-1#R0")</f>
        <v>RKV600KP-1#R0</v>
      </c>
      <c r="B22985" s="3" t="str">
        <f>HYPERLINK("https://www.773grp.com/manufacturer/renesas-electronics-america-inc?pageNo=841", "Renesas Electronics")</f>
        <v>Renesas Electronics</v>
      </c>
      <c r="C22985" s="6">
        <v>210000</v>
      </c>
      <c r="D22985" s="7">
        <v>0.28000000000000003</v>
      </c>
    </row>
    <row r="22986" spans="1:4" x14ac:dyDescent="0.25">
      <c r="A22986" t="str">
        <f>HYPERLINK("https://www.773grp.com/globalSearch/RKV603KP#R0/page-1", "RKV603KP#R0")</f>
        <v>RKV603KP#R0</v>
      </c>
      <c r="B22986" s="3" t="str">
        <f>HYPERLINK("https://www.773grp.com/manufacturer/renesas-electronics-america-inc?pageNo=842", "Renesas Electronics")</f>
        <v>Renesas Electronics</v>
      </c>
      <c r="C22986" s="6">
        <v>250000</v>
      </c>
      <c r="D22986" s="7">
        <v>0.28000000000000003</v>
      </c>
    </row>
    <row r="22987" spans="1:4" x14ac:dyDescent="0.25">
      <c r="A22987" t="str">
        <f>HYPERLINK("https://www.773grp.com/globalSearch/RKV604KP-2#R0/page-1", "RKV604KP-2#R0")</f>
        <v>RKV604KP-2#R0</v>
      </c>
      <c r="B22987" s="3" t="str">
        <f>HYPERLINK("https://www.773grp.com/manufacturer/renesas-electronics-america-inc?pageNo=843", "Renesas Electronics")</f>
        <v>Renesas Electronics</v>
      </c>
      <c r="C22987" s="6">
        <v>30000</v>
      </c>
      <c r="D22987" s="7">
        <v>0.28000000000000003</v>
      </c>
    </row>
    <row r="22988" spans="1:4" x14ac:dyDescent="0.25">
      <c r="A22988" t="str">
        <f>HYPERLINK("https://www.773grp.com/globalSearch/RKV607KL#R1/page-1", "RKV607KL#R1")</f>
        <v>RKV607KL#R1</v>
      </c>
      <c r="B22988" s="3" t="str">
        <f>HYPERLINK("https://www.773grp.com/manufacturer/renesas-electronics-america-inc?pageNo=844", "Renesas Electronics")</f>
        <v>Renesas Electronics</v>
      </c>
      <c r="C22988" s="6">
        <v>10000</v>
      </c>
      <c r="D22988" s="7">
        <v>0.28000000000000003</v>
      </c>
    </row>
    <row r="22989" spans="1:4" x14ac:dyDescent="0.25">
      <c r="A22989" t="str">
        <f>HYPERLINK("https://www.773grp.com/globalSearch/RKV607KP#R0/page-1", "RKV607KP#R0")</f>
        <v>RKV607KP#R0</v>
      </c>
      <c r="B22989" s="3" t="str">
        <f>HYPERLINK("https://www.773grp.com/manufacturer/renesas-electronics-america-inc?pageNo=845", "Renesas Electronics")</f>
        <v>Renesas Electronics</v>
      </c>
      <c r="C22989" s="6">
        <v>40000</v>
      </c>
      <c r="D22989" s="7">
        <v>0.28000000000000003</v>
      </c>
    </row>
    <row r="22990" spans="1:4" x14ac:dyDescent="0.25">
      <c r="A22990" t="str">
        <f>HYPERLINK("https://www.773grp.com/globalSearch/RKV611KJ#R1/page-1", "RKV611KJ#R1")</f>
        <v>RKV611KJ#R1</v>
      </c>
      <c r="B22990" s="3" t="str">
        <f>HYPERLINK("https://www.773grp.com/manufacturer/renesas-electronics-america-inc?pageNo=846", "Renesas Electronics")</f>
        <v>Renesas Electronics</v>
      </c>
      <c r="C22990" s="6">
        <v>72000</v>
      </c>
      <c r="D22990" s="7">
        <v>0.28000000000000003</v>
      </c>
    </row>
    <row r="22991" spans="1:4" x14ac:dyDescent="0.25">
      <c r="A22991" t="str">
        <f>HYPERLINK("https://www.773grp.com/globalSearch/RKV653KL#R1/page-1", "RKV653KL#R1")</f>
        <v>RKV653KL#R1</v>
      </c>
      <c r="B22991" s="3" t="str">
        <f>HYPERLINK("https://www.773grp.com/manufacturer/renesas-electronics-america-inc?pageNo=847", "Renesas Electronics")</f>
        <v>Renesas Electronics</v>
      </c>
      <c r="C22991" s="6">
        <v>520000</v>
      </c>
      <c r="D22991" s="7">
        <v>0.28000000000000003</v>
      </c>
    </row>
    <row r="22992" spans="1:4" x14ac:dyDescent="0.25">
      <c r="A22992" t="str">
        <f>HYPERLINK("https://www.773grp.com/globalSearch/RKZ10CKU#P6/page-1", "RKZ10CKU#P6")</f>
        <v>RKZ10CKU#P6</v>
      </c>
      <c r="B22992" s="3" t="str">
        <f>HYPERLINK("https://www.773grp.com/manufacturer/renesas-electronics-america-inc?pageNo=848", "Renesas Electronics")</f>
        <v>Renesas Electronics</v>
      </c>
      <c r="C22992" s="6">
        <v>92000</v>
      </c>
      <c r="D22992" s="7">
        <v>0.28000000000000003</v>
      </c>
    </row>
    <row r="22993" spans="1:4" x14ac:dyDescent="0.25">
      <c r="A22993" t="str">
        <f>HYPERLINK("https://www.773grp.com/globalSearch/RKZ12B2KJ#R1/page-1", "RKZ12B2KJ#R1")</f>
        <v>RKZ12B2KJ#R1</v>
      </c>
      <c r="B22993" s="3" t="str">
        <f>HYPERLINK("https://www.773grp.com/manufacturer/renesas-electronics-america-inc?pageNo=849", "Renesas Electronics")</f>
        <v>Renesas Electronics</v>
      </c>
      <c r="C22993" s="6">
        <v>128000</v>
      </c>
      <c r="D22993" s="7">
        <v>0.28000000000000003</v>
      </c>
    </row>
    <row r="22994" spans="1:4" x14ac:dyDescent="0.25">
      <c r="A22994" t="str">
        <f>HYPERLINK("https://www.773grp.com/globalSearch/RKZ15AKU#P6/page-1", "RKZ15AKU#P6")</f>
        <v>RKZ15AKU#P6</v>
      </c>
      <c r="B22994" s="3" t="str">
        <f>HYPERLINK("https://www.773grp.com/manufacturer/renesas-electronics-america-inc?pageNo=850", "Renesas Electronics")</f>
        <v>Renesas Electronics</v>
      </c>
      <c r="C22994" s="6">
        <v>96000</v>
      </c>
      <c r="D22994" s="7">
        <v>0.28000000000000003</v>
      </c>
    </row>
    <row r="22995" spans="1:4" x14ac:dyDescent="0.25">
      <c r="A22995" t="str">
        <f>HYPERLINK("https://www.773grp.com/globalSearch/RKZ18B2KJ#R1/page-1", "RKZ18B2KJ#R1")</f>
        <v>RKZ18B2KJ#R1</v>
      </c>
      <c r="B22995" s="3" t="str">
        <f>HYPERLINK("https://www.773grp.com/manufacturer/renesas-electronics-america-inc?pageNo=851", "Renesas Electronics")</f>
        <v>Renesas Electronics</v>
      </c>
      <c r="C22995" s="6">
        <v>112000</v>
      </c>
      <c r="D22995" s="7">
        <v>0.28000000000000003</v>
      </c>
    </row>
    <row r="22996" spans="1:4" x14ac:dyDescent="0.25">
      <c r="A22996" t="str">
        <f>HYPERLINK("https://www.773grp.com/globalSearch/RKZ2.0BKJ#R1/page-1", "RKZ2.0BKJ#R1")</f>
        <v>RKZ2.0BKJ#R1</v>
      </c>
      <c r="B22996" s="3" t="str">
        <f>HYPERLINK("https://www.773grp.com/manufacturer/renesas-electronics-america-inc?pageNo=852", "Renesas Electronics")</f>
        <v>Renesas Electronics</v>
      </c>
      <c r="C22996" s="6">
        <v>8000</v>
      </c>
      <c r="D22996" s="7">
        <v>0.28000000000000003</v>
      </c>
    </row>
    <row r="22997" spans="1:4" x14ac:dyDescent="0.25">
      <c r="A22997" t="str">
        <f>HYPERLINK("https://www.773grp.com/globalSearch/RKZ20AKU#P6/page-1", "RKZ20AKU#P6")</f>
        <v>RKZ20AKU#P6</v>
      </c>
      <c r="B22997" s="3" t="str">
        <f>HYPERLINK("https://www.773grp.com/manufacturer/renesas-electronics-america-inc?pageNo=853", "Renesas Electronics")</f>
        <v>Renesas Electronics</v>
      </c>
      <c r="C22997" s="6">
        <v>40000</v>
      </c>
      <c r="D22997" s="7">
        <v>0.28000000000000003</v>
      </c>
    </row>
    <row r="22998" spans="1:4" x14ac:dyDescent="0.25">
      <c r="A22998" t="str">
        <f>HYPERLINK("https://www.773grp.com/globalSearch/RKZ20DKU#P6/page-1", "RKZ20DKU#P6")</f>
        <v>RKZ20DKU#P6</v>
      </c>
      <c r="B22998" s="3" t="str">
        <f>HYPERLINK("https://www.773grp.com/manufacturer/renesas-electronics-america-inc?pageNo=854", "Renesas Electronics")</f>
        <v>Renesas Electronics</v>
      </c>
      <c r="C22998" s="6">
        <v>344000</v>
      </c>
      <c r="D22998" s="7">
        <v>0.28000000000000003</v>
      </c>
    </row>
    <row r="22999" spans="1:4" x14ac:dyDescent="0.25">
      <c r="A22999" t="str">
        <f>HYPERLINK("https://www.773grp.com/globalSearch/RKZ27AKU#P6/page-1", "RKZ27AKU#P6")</f>
        <v>RKZ27AKU#P6</v>
      </c>
      <c r="B22999" s="3" t="str">
        <f>HYPERLINK("https://www.773grp.com/manufacturer/renesas-electronics-america-inc?pageNo=855", "Renesas Electronics")</f>
        <v>Renesas Electronics</v>
      </c>
      <c r="C22999" s="6">
        <v>8000</v>
      </c>
      <c r="D22999" s="7">
        <v>0.28000000000000003</v>
      </c>
    </row>
    <row r="23000" spans="1:4" x14ac:dyDescent="0.25">
      <c r="A23000" t="str">
        <f>HYPERLINK("https://www.773grp.com/globalSearch/RKZ3.6B2KG#P6/page-1", "RKZ3.6B2KG#P6")</f>
        <v>RKZ3.6B2KG#P6</v>
      </c>
      <c r="B23000" s="3" t="str">
        <f>HYPERLINK("https://www.773grp.com/manufacturer/renesas-electronics-america-inc?pageNo=856", "Renesas Electronics")</f>
        <v>Renesas Electronics</v>
      </c>
      <c r="C23000" s="6">
        <v>138000</v>
      </c>
      <c r="D23000" s="7">
        <v>0.28000000000000003</v>
      </c>
    </row>
    <row r="23001" spans="1:4" x14ac:dyDescent="0.25">
      <c r="A23001" t="str">
        <f>HYPERLINK("https://www.773grp.com/globalSearch/RKZ3.6BKU#P6/page-1", "RKZ3.6BKU#P6")</f>
        <v>RKZ3.6BKU#P6</v>
      </c>
      <c r="B23001" s="3" t="str">
        <f>HYPERLINK("https://www.773grp.com/manufacturer/renesas-electronics-america-inc?pageNo=857", "Renesas Electronics")</f>
        <v>Renesas Electronics</v>
      </c>
      <c r="C23001" s="6">
        <v>120000</v>
      </c>
      <c r="D23001" s="7">
        <v>0.28000000000000003</v>
      </c>
    </row>
    <row r="23002" spans="1:4" x14ac:dyDescent="0.25">
      <c r="A23002" t="str">
        <f>HYPERLINK("https://www.773grp.com/globalSearch/RKZ30CKU#P6/page-1", "RKZ30CKU#P6")</f>
        <v>RKZ30CKU#P6</v>
      </c>
      <c r="B23002" s="3" t="str">
        <f>HYPERLINK("https://www.773grp.com/manufacturer/renesas-electronics-america-inc?pageNo=858", "Renesas Electronics")</f>
        <v>Renesas Electronics</v>
      </c>
      <c r="C23002" s="6">
        <v>132000</v>
      </c>
      <c r="D23002" s="7">
        <v>0.28000000000000003</v>
      </c>
    </row>
    <row r="23003" spans="1:4" x14ac:dyDescent="0.25">
      <c r="A23003" t="str">
        <f>HYPERLINK("https://www.773grp.com/globalSearch/RKZ30DKU#P6/page-1", "RKZ30DKU#P6")</f>
        <v>RKZ30DKU#P6</v>
      </c>
      <c r="B23003" s="3" t="str">
        <f>HYPERLINK("https://www.773grp.com/manufacturer/renesas-electronics-america-inc?pageNo=859", "Renesas Electronics")</f>
        <v>Renesas Electronics</v>
      </c>
      <c r="C23003" s="6">
        <v>68000</v>
      </c>
      <c r="D23003" s="7">
        <v>0.28000000000000003</v>
      </c>
    </row>
    <row r="23004" spans="1:4" x14ac:dyDescent="0.25">
      <c r="A23004" t="str">
        <f>HYPERLINK("https://www.773grp.com/globalSearch/RKZ36BKU#P6/page-1", "RKZ36BKU#P6")</f>
        <v>RKZ36BKU#P6</v>
      </c>
      <c r="B23004" s="3" t="str">
        <f>HYPERLINK("https://www.773grp.com/manufacturer/renesas-electronics-america-inc?pageNo=860", "Renesas Electronics")</f>
        <v>Renesas Electronics</v>
      </c>
      <c r="C23004" s="6">
        <v>40000</v>
      </c>
      <c r="D23004" s="7">
        <v>0.28000000000000003</v>
      </c>
    </row>
    <row r="23005" spans="1:4" x14ac:dyDescent="0.25">
      <c r="A23005" t="str">
        <f>HYPERLINK("https://www.773grp.com/globalSearch/RKZ5.1CKU#P6/page-1", "RKZ5.1CKU#P6")</f>
        <v>RKZ5.1CKU#P6</v>
      </c>
      <c r="B23005" s="3" t="str">
        <f>HYPERLINK("https://www.773grp.com/manufacturer/renesas-electronics-america-inc?pageNo=861", "Renesas Electronics")</f>
        <v>Renesas Electronics</v>
      </c>
      <c r="C23005" s="6">
        <v>92000</v>
      </c>
      <c r="D23005" s="7">
        <v>0.28000000000000003</v>
      </c>
    </row>
    <row r="23006" spans="1:4" x14ac:dyDescent="0.25">
      <c r="A23006" t="str">
        <f>HYPERLINK("https://www.773grp.com/globalSearch/RKZ5.6BKU#P6/page-1", "RKZ5.6BKU#P6")</f>
        <v>RKZ5.6BKU#P6</v>
      </c>
      <c r="B23006" s="3" t="str">
        <f>HYPERLINK("https://www.773grp.com/manufacturer/renesas-electronics-america-inc?pageNo=862", "Renesas Electronics")</f>
        <v>Renesas Electronics</v>
      </c>
      <c r="C23006" s="6">
        <v>80000</v>
      </c>
      <c r="D23006" s="7">
        <v>0.28000000000000003</v>
      </c>
    </row>
    <row r="23007" spans="1:4" x14ac:dyDescent="0.25">
      <c r="A23007" t="str">
        <f>HYPERLINK("https://www.773grp.com/globalSearch/RKZ6.2CKU#P6/page-1", "RKZ6.2CKU#P6")</f>
        <v>RKZ6.2CKU#P6</v>
      </c>
      <c r="B23007" s="3" t="str">
        <f>HYPERLINK("https://www.773grp.com/manufacturer/renesas-electronics-america-inc?pageNo=863", "Renesas Electronics")</f>
        <v>Renesas Electronics</v>
      </c>
      <c r="C23007" s="6">
        <v>124000</v>
      </c>
      <c r="D23007" s="7">
        <v>0.28000000000000003</v>
      </c>
    </row>
    <row r="23008" spans="1:4" x14ac:dyDescent="0.25">
      <c r="A23008" t="str">
        <f>HYPERLINK("https://www.773grp.com/globalSearch/RKZ6.8B2KJ#R1/page-1", "RKZ6.8B2KJ#R1")</f>
        <v>RKZ6.8B2KJ#R1</v>
      </c>
      <c r="B23008" s="3" t="str">
        <f>HYPERLINK("https://www.773grp.com/manufacturer/renesas-electronics-america-inc?pageNo=864", "Renesas Electronics")</f>
        <v>Renesas Electronics</v>
      </c>
      <c r="C23008" s="6">
        <v>8000</v>
      </c>
      <c r="D23008" s="7">
        <v>0.28000000000000003</v>
      </c>
    </row>
    <row r="23009" spans="1:4" x14ac:dyDescent="0.25">
      <c r="A23009" t="str">
        <f>HYPERLINK("https://www.773grp.com/globalSearch/RKZ6.8CKU#P6/page-1", "RKZ6.8CKU#P6")</f>
        <v>RKZ6.8CKU#P6</v>
      </c>
      <c r="B23009" s="3" t="str">
        <f>HYPERLINK("https://www.773grp.com/manufacturer/renesas-electronics-america-inc?pageNo=865", "Renesas Electronics")</f>
        <v>Renesas Electronics</v>
      </c>
      <c r="C23009" s="6">
        <v>156000</v>
      </c>
      <c r="D23009" s="7">
        <v>0.28000000000000003</v>
      </c>
    </row>
    <row r="23010" spans="1:4" x14ac:dyDescent="0.25">
      <c r="A23010" t="str">
        <f>HYPERLINK("https://www.773grp.com/globalSearch/RKZ7.5CKU#P6/page-1", "RKZ7.5CKU#P6")</f>
        <v>RKZ7.5CKU#P6</v>
      </c>
      <c r="B23010" s="3" t="str">
        <f>HYPERLINK("https://www.773grp.com/manufacturer/renesas-electronics-america-inc?pageNo=866", "Renesas Electronics")</f>
        <v>Renesas Electronics</v>
      </c>
      <c r="C23010" s="6">
        <v>116000</v>
      </c>
      <c r="D23010" s="7">
        <v>0.28000000000000003</v>
      </c>
    </row>
    <row r="23011" spans="1:4" x14ac:dyDescent="0.25">
      <c r="A23011" t="str">
        <f>HYPERLINK("https://www.773grp.com/globalSearch/RKZ7.5TKP#R5/page-1", "RKZ7.5TKP#R5")</f>
        <v>RKZ7.5TKP#R5</v>
      </c>
      <c r="B23011" s="3" t="str">
        <f>HYPERLINK("https://www.773grp.com/manufacturer/renesas-electronics-america-inc?pageNo=867", "Renesas Electronics")</f>
        <v>Renesas Electronics</v>
      </c>
      <c r="C23011" s="6">
        <v>400000</v>
      </c>
      <c r="D23011" s="7">
        <v>0.28000000000000003</v>
      </c>
    </row>
    <row r="23012" spans="1:4" x14ac:dyDescent="0.25">
      <c r="A23012" t="str">
        <f>HYPERLINK("https://www.773grp.com/globalSearch/RKZ8.2B2KJ#R1/page-1", "RKZ8.2B2KJ#R1")</f>
        <v>RKZ8.2B2KJ#R1</v>
      </c>
      <c r="B23012" s="3" t="str">
        <f>HYPERLINK("https://www.773grp.com/manufacturer/renesas-electronics-america-inc?pageNo=868", "Renesas Electronics")</f>
        <v>Renesas Electronics</v>
      </c>
      <c r="C23012" s="6">
        <v>40000</v>
      </c>
      <c r="D23012" s="7">
        <v>0.28000000000000003</v>
      </c>
    </row>
    <row r="23013" spans="1:4" x14ac:dyDescent="0.25">
      <c r="A23013" t="str">
        <f>HYPERLINK("https://www.773grp.com/globalSearch/RKZ8.2CKU#P6/page-1", "RKZ8.2CKU#P6")</f>
        <v>RKZ8.2CKU#P6</v>
      </c>
      <c r="B23013" s="3" t="str">
        <f>HYPERLINK("https://www.773grp.com/manufacturer/renesas-electronics-america-inc?pageNo=869", "Renesas Electronics")</f>
        <v>Renesas Electronics</v>
      </c>
      <c r="C23013" s="6">
        <v>92000</v>
      </c>
      <c r="D23013" s="7">
        <v>0.28000000000000003</v>
      </c>
    </row>
    <row r="23014" spans="1:4" x14ac:dyDescent="0.25">
      <c r="A23014" t="str">
        <f>HYPERLINK("https://www.773grp.com/globalSearch/RKZ9.1B2KJ#R1/page-1", "RKZ9.1B2KJ#R1")</f>
        <v>RKZ9.1B2KJ#R1</v>
      </c>
      <c r="B23014" s="3" t="str">
        <f>HYPERLINK("https://www.773grp.com/manufacturer/renesas-electronics-america-inc?pageNo=870", "Renesas Electronics")</f>
        <v>Renesas Electronics</v>
      </c>
      <c r="C23014" s="6">
        <v>224000</v>
      </c>
      <c r="D23014" s="7">
        <v>0.28000000000000003</v>
      </c>
    </row>
    <row r="23015" spans="1:4" x14ac:dyDescent="0.25">
      <c r="A23015" t="str">
        <f>HYPERLINK("https://www.773grp.com/globalSearch/1S2074HRE-E/page-1", "1S2074HRE-E")</f>
        <v>1S2074HRE-E</v>
      </c>
      <c r="B23015" s="3" t="str">
        <f>HYPERLINK("https://www.773grp.com/manufacturer/renesas-electronics-america-inc?pageNo=871", "Renesas Electronics")</f>
        <v>Renesas Electronics</v>
      </c>
      <c r="C23015" s="6">
        <v>52000</v>
      </c>
      <c r="D23015" s="7">
        <v>0.33</v>
      </c>
    </row>
    <row r="23016" spans="1:4" x14ac:dyDescent="0.25">
      <c r="A23016" t="str">
        <f>HYPERLINK("https://www.773grp.com/globalSearch/1S2074HTD/page-1", "1S2074HTD")</f>
        <v>1S2074HTD</v>
      </c>
      <c r="B23016" s="3" t="str">
        <f>HYPERLINK("https://www.773grp.com/manufacturer/renesas-electronics-america-inc?pageNo=872", "Renesas Electronics")</f>
        <v>Renesas Electronics</v>
      </c>
      <c r="C23016" s="6">
        <v>8000</v>
      </c>
      <c r="D23016" s="7">
        <v>0.33</v>
      </c>
    </row>
    <row r="23017" spans="1:4" x14ac:dyDescent="0.25">
      <c r="A23017" t="str">
        <f>HYPERLINK("https://www.773grp.com/globalSearch/1S2838-T1B/page-1", "1S2838-T1B")</f>
        <v>1S2838-T1B</v>
      </c>
      <c r="B23017" s="3" t="str">
        <f>HYPERLINK("https://www.773grp.com/manufacturer/renesas-electronics-america-inc?pageNo=873", "Renesas Electronics")</f>
        <v>Renesas Electronics</v>
      </c>
      <c r="C23017" s="6">
        <v>33000</v>
      </c>
      <c r="D23017" s="7">
        <v>0.33</v>
      </c>
    </row>
    <row r="23018" spans="1:4" x14ac:dyDescent="0.25">
      <c r="A23018" t="str">
        <f>HYPERLINK("https://www.773grp.com/globalSearch/1S953(3)-T2/page-1", "1S953(3)-T2")</f>
        <v>1S953(3)-T2</v>
      </c>
      <c r="B23018" s="3" t="str">
        <f>HYPERLINK("https://www.773grp.com/manufacturer/renesas-electronics-america-inc?pageNo=874", "Renesas Electronics")</f>
        <v>Renesas Electronics</v>
      </c>
      <c r="C23018" s="6">
        <v>10000</v>
      </c>
      <c r="D23018" s="7">
        <v>0.33</v>
      </c>
    </row>
    <row r="23019" spans="1:4" x14ac:dyDescent="0.25">
      <c r="A23019" t="str">
        <f>HYPERLINK("https://www.773grp.com/globalSearch/1SS220-T1B-A/page-1", "1SS220-T1B-A")</f>
        <v>1SS220-T1B-A</v>
      </c>
      <c r="B23019" s="3" t="str">
        <f>HYPERLINK("https://www.773grp.com/manufacturer/renesas-electronics-america-inc?pageNo=875", "Renesas Electronics")</f>
        <v>Renesas Electronics</v>
      </c>
      <c r="C23019" s="6">
        <v>27000</v>
      </c>
      <c r="D23019" s="7">
        <v>0.33</v>
      </c>
    </row>
    <row r="23020" spans="1:4" x14ac:dyDescent="0.25">
      <c r="A23020" t="str">
        <f>HYPERLINK("https://www.773grp.com/globalSearch/1SS55-AZ/page-1", "1SS55-AZ")</f>
        <v>1SS55-AZ</v>
      </c>
      <c r="B23020" s="3" t="str">
        <f>HYPERLINK("https://www.773grp.com/manufacturer/renesas-electronics-america-inc?pageNo=876", "Renesas Electronics")</f>
        <v>Renesas Electronics</v>
      </c>
      <c r="C23020" s="6">
        <v>177000</v>
      </c>
      <c r="D23020" s="7">
        <v>0.33</v>
      </c>
    </row>
    <row r="23021" spans="1:4" x14ac:dyDescent="0.25">
      <c r="A23021" t="str">
        <f>HYPERLINK("https://www.773grp.com/globalSearch/1SS55-T4-AZ/page-1", "1SS55-T4-AZ")</f>
        <v>1SS55-T4-AZ</v>
      </c>
      <c r="B23021" s="3" t="str">
        <f>HYPERLINK("https://www.773grp.com/manufacturer/renesas-electronics-america-inc?pageNo=877", "Renesas Electronics")</f>
        <v>Renesas Electronics</v>
      </c>
      <c r="C23021" s="6">
        <v>80000</v>
      </c>
      <c r="D23021" s="7">
        <v>0.33</v>
      </c>
    </row>
    <row r="23022" spans="1:4" x14ac:dyDescent="0.25">
      <c r="A23022" t="str">
        <f>HYPERLINK("https://www.773grp.com/globalSearch/1SS82JTD-E/page-1", "1SS82JTD-E")</f>
        <v>1SS82JTD-E</v>
      </c>
      <c r="B23022" s="3" t="str">
        <f>HYPERLINK("https://www.773grp.com/manufacturer/renesas-electronics-america-inc?pageNo=878", "Renesas Electronics")</f>
        <v>Renesas Electronics</v>
      </c>
      <c r="C23022" s="6">
        <v>20000</v>
      </c>
      <c r="D23022" s="7">
        <v>0.33</v>
      </c>
    </row>
    <row r="23023" spans="1:4" x14ac:dyDescent="0.25">
      <c r="A23023" t="str">
        <f>HYPERLINK("https://www.773grp.com/globalSearch/1SS83RE-E/page-1", "1SS83RE-E")</f>
        <v>1SS83RE-E</v>
      </c>
      <c r="B23023" s="3" t="str">
        <f>HYPERLINK("https://www.773grp.com/manufacturer/renesas-electronics-america-inc?pageNo=879", "Renesas Electronics")</f>
        <v>Renesas Electronics</v>
      </c>
      <c r="C23023" s="6">
        <v>20000</v>
      </c>
      <c r="D23023" s="7">
        <v>0.33</v>
      </c>
    </row>
    <row r="23024" spans="1:4" x14ac:dyDescent="0.25">
      <c r="A23024" t="str">
        <f>HYPERLINK("https://www.773grp.com/globalSearch/HSC226-NTRF-E/page-1", "HSC226-NTRF-E")</f>
        <v>HSC226-NTRF-E</v>
      </c>
      <c r="B23024" s="3" t="str">
        <f>HYPERLINK("https://www.773grp.com/manufacturer/renesas-electronics-america-inc?pageNo=880", "Renesas Electronics")</f>
        <v>Renesas Electronics</v>
      </c>
      <c r="C23024" s="6">
        <v>12000</v>
      </c>
      <c r="D23024" s="7">
        <v>0.33</v>
      </c>
    </row>
    <row r="23025" spans="1:4" x14ac:dyDescent="0.25">
      <c r="A23025" t="str">
        <f>HYPERLINK("https://www.773grp.com/globalSearch/HSM223CTL-E/page-1", "HSM223CTL-E")</f>
        <v>HSM223CTL-E</v>
      </c>
      <c r="B23025" s="3" t="str">
        <f>HYPERLINK("https://www.773grp.com/manufacturer/renesas-electronics-america-inc?pageNo=881", "Renesas Electronics")</f>
        <v>Renesas Electronics</v>
      </c>
      <c r="C23025" s="6">
        <v>15000</v>
      </c>
      <c r="D23025" s="7">
        <v>0.33</v>
      </c>
    </row>
    <row r="23026" spans="1:4" x14ac:dyDescent="0.25">
      <c r="A23026" t="str">
        <f>HYPERLINK("https://www.773grp.com/globalSearch/HSM2836C91TR-E/page-1", "HSM2836C91TR-E")</f>
        <v>HSM2836C91TR-E</v>
      </c>
      <c r="B23026" s="3" t="str">
        <f>HYPERLINK("https://www.773grp.com/manufacturer/renesas-electronics-america-inc?pageNo=882", "Renesas Electronics")</f>
        <v>Renesas Electronics</v>
      </c>
      <c r="C23026" s="6">
        <v>39000</v>
      </c>
      <c r="D23026" s="7">
        <v>0.33</v>
      </c>
    </row>
    <row r="23027" spans="1:4" x14ac:dyDescent="0.25">
      <c r="A23027" t="str">
        <f>HYPERLINK("https://www.773grp.com/globalSearch/HSU83-2TRF-E/page-1", "HSU83-2TRF-E")</f>
        <v>HSU83-2TRF-E</v>
      </c>
      <c r="B23027" s="3" t="str">
        <f>HYPERLINK("https://www.773grp.com/manufacturer/renesas-electronics-america-inc?pageNo=883", "Renesas Electronics")</f>
        <v>Renesas Electronics</v>
      </c>
      <c r="C23027" s="6">
        <v>6000</v>
      </c>
      <c r="D23027" s="7">
        <v>0.33</v>
      </c>
    </row>
    <row r="23028" spans="1:4" x14ac:dyDescent="0.25">
      <c r="A23028" t="str">
        <f>HYPERLINK("https://www.773grp.com/globalSearch/HVC306C1TRU-E/page-1", "HVC306C1TRU-E")</f>
        <v>HVC306C1TRU-E</v>
      </c>
      <c r="B23028" s="3" t="str">
        <f>HYPERLINK("https://www.773grp.com/manufacturer/renesas-electronics-america-inc?pageNo=884", "Renesas Electronics")</f>
        <v>Renesas Electronics</v>
      </c>
      <c r="C23028" s="6">
        <v>80000</v>
      </c>
      <c r="D23028" s="7">
        <v>0.33</v>
      </c>
    </row>
    <row r="23029" spans="1:4" x14ac:dyDescent="0.25">
      <c r="A23029" t="str">
        <f>HYPERLINK("https://www.773grp.com/globalSearch/HVC350B7TRF-E/page-1", "HVC350B7TRF-E")</f>
        <v>HVC350B7TRF-E</v>
      </c>
      <c r="B23029" s="3" t="str">
        <f>HYPERLINK("https://www.773grp.com/manufacturer/renesas-electronics-america-inc?pageNo=885", "Renesas Electronics")</f>
        <v>Renesas Electronics</v>
      </c>
      <c r="C23029" s="6">
        <v>4000</v>
      </c>
      <c r="D23029" s="7">
        <v>0.33</v>
      </c>
    </row>
    <row r="23030" spans="1:4" x14ac:dyDescent="0.25">
      <c r="A23030" t="str">
        <f>HYPERLINK("https://www.773grp.com/globalSearch/HVU306CTRU-E/page-1", "HVU306CTRU-E")</f>
        <v>HVU306CTRU-E</v>
      </c>
      <c r="B23030" s="3" t="str">
        <f>HYPERLINK("https://www.773grp.com/manufacturer/renesas-electronics-america-inc?pageNo=886", "Renesas Electronics")</f>
        <v>Renesas Electronics</v>
      </c>
      <c r="C23030" s="6">
        <v>93000</v>
      </c>
      <c r="D23030" s="7">
        <v>0.33</v>
      </c>
    </row>
    <row r="23031" spans="1:4" x14ac:dyDescent="0.25">
      <c r="A23031" t="str">
        <f>HYPERLINK("https://www.773grp.com/globalSearch/HVU316-1TRU-E/page-1", "HVU316-1TRU-E")</f>
        <v>HVU316-1TRU-E</v>
      </c>
      <c r="B23031" s="3" t="str">
        <f>HYPERLINK("https://www.773grp.com/manufacturer/renesas-electronics-america-inc?pageNo=887", "Renesas Electronics")</f>
        <v>Renesas Electronics</v>
      </c>
      <c r="C23031" s="6">
        <v>150000</v>
      </c>
      <c r="D23031" s="7">
        <v>0.33</v>
      </c>
    </row>
    <row r="23032" spans="1:4" x14ac:dyDescent="0.25">
      <c r="A23032" t="str">
        <f>HYPERLINK("https://www.773grp.com/globalSearch/HVU357TRF/page-1", "HVU357TRF")</f>
        <v>HVU357TRF</v>
      </c>
      <c r="B23032" s="3" t="str">
        <f>HYPERLINK("https://www.773grp.com/manufacturer/renesas-electronics-america-inc?pageNo=888", "Renesas Electronics")</f>
        <v>Renesas Electronics</v>
      </c>
      <c r="C23032" s="6">
        <v>144000</v>
      </c>
      <c r="D23032" s="7">
        <v>0.33</v>
      </c>
    </row>
    <row r="23033" spans="1:4" x14ac:dyDescent="0.25">
      <c r="A23033" t="str">
        <f>HYPERLINK("https://www.773grp.com/globalSearch/HZ11A2L-E/page-1", "HZ11A2L-E")</f>
        <v>HZ11A2L-E</v>
      </c>
      <c r="B23033" s="3" t="str">
        <f>HYPERLINK("https://www.773grp.com/manufacturer/renesas-electronics-america-inc?pageNo=889", "Renesas Electronics")</f>
        <v>Renesas Electronics</v>
      </c>
      <c r="C23033" s="6">
        <v>18500</v>
      </c>
      <c r="D23033" s="7">
        <v>0.33</v>
      </c>
    </row>
    <row r="23034" spans="1:4" x14ac:dyDescent="0.25">
      <c r="A23034" t="str">
        <f>HYPERLINK("https://www.773grp.com/globalSearch/HZ11B2LTD-E/page-1", "HZ11B2LTD-E")</f>
        <v>HZ11B2LTD-E</v>
      </c>
      <c r="B23034" s="3" t="str">
        <f>HYPERLINK("https://www.773grp.com/manufacturer/renesas-electronics-america-inc?pageNo=890", "Renesas Electronics")</f>
        <v>Renesas Electronics</v>
      </c>
      <c r="C23034" s="6">
        <v>12500</v>
      </c>
      <c r="D23034" s="7">
        <v>0.33</v>
      </c>
    </row>
    <row r="23035" spans="1:4" x14ac:dyDescent="0.25">
      <c r="A23035" t="str">
        <f>HYPERLINK("https://www.773grp.com/globalSearch/HZ11C2L-E/page-1", "HZ11C2L-E")</f>
        <v>HZ11C2L-E</v>
      </c>
      <c r="B23035" s="3" t="str">
        <f>HYPERLINK("https://www.773grp.com/manufacturer/renesas-electronics-america-inc?pageNo=891", "Renesas Electronics")</f>
        <v>Renesas Electronics</v>
      </c>
      <c r="C23035" s="6">
        <v>3000</v>
      </c>
      <c r="D23035" s="7">
        <v>0.33</v>
      </c>
    </row>
    <row r="23036" spans="1:4" x14ac:dyDescent="0.25">
      <c r="A23036" t="str">
        <f>HYPERLINK("https://www.773grp.com/globalSearch/HZ12B1LTA-E/page-1", "HZ12B1LTA-E")</f>
        <v>HZ12B1LTA-E</v>
      </c>
      <c r="B23036" s="3" t="str">
        <f>HYPERLINK("https://www.773grp.com/manufacturer/renesas-electronics-america-inc?pageNo=892", "Renesas Electronics")</f>
        <v>Renesas Electronics</v>
      </c>
      <c r="C23036" s="6">
        <v>45000</v>
      </c>
      <c r="D23036" s="7">
        <v>0.33</v>
      </c>
    </row>
    <row r="23037" spans="1:4" x14ac:dyDescent="0.25">
      <c r="A23037" t="str">
        <f>HYPERLINK("https://www.773grp.com/globalSearch/HZ12B1TA-E/page-1", "HZ12B1TA-E")</f>
        <v>HZ12B1TA-E</v>
      </c>
      <c r="B23037" s="3" t="str">
        <f>HYPERLINK("https://www.773grp.com/manufacturer/renesas-electronics-america-inc?pageNo=893", "Renesas Electronics")</f>
        <v>Renesas Electronics</v>
      </c>
      <c r="C23037" s="6">
        <v>10000</v>
      </c>
      <c r="D23037" s="7">
        <v>0.33</v>
      </c>
    </row>
    <row r="23038" spans="1:4" x14ac:dyDescent="0.25">
      <c r="A23038" t="str">
        <f>HYPERLINK("https://www.773grp.com/globalSearch/HZ12B2L-E/page-1", "HZ12B2L-E")</f>
        <v>HZ12B2L-E</v>
      </c>
      <c r="B23038" s="3" t="str">
        <f>HYPERLINK("https://www.773grp.com/manufacturer/renesas-electronics-america-inc?pageNo=894", "Renesas Electronics")</f>
        <v>Renesas Electronics</v>
      </c>
      <c r="C23038" s="6">
        <v>5000</v>
      </c>
      <c r="D23038" s="7">
        <v>0.33</v>
      </c>
    </row>
    <row r="23039" spans="1:4" x14ac:dyDescent="0.25">
      <c r="A23039" t="str">
        <f>HYPERLINK("https://www.773grp.com/globalSearch/HZ12B2LTD-E/page-1", "HZ12B2LTD-E")</f>
        <v>HZ12B2LTD-E</v>
      </c>
      <c r="B23039" s="3" t="str">
        <f>HYPERLINK("https://www.773grp.com/manufacturer/renesas-electronics-america-inc?pageNo=1", "Renesas Electronics")</f>
        <v>Renesas Electronics</v>
      </c>
      <c r="C23039" s="6">
        <v>30000</v>
      </c>
      <c r="D23039" s="7">
        <v>0.33</v>
      </c>
    </row>
    <row r="23040" spans="1:4" x14ac:dyDescent="0.25">
      <c r="A23040" t="str">
        <f>HYPERLINK("https://www.773grp.com/globalSearch/HZ15-1L-E/page-1", "HZ15-1L-E")</f>
        <v>HZ15-1L-E</v>
      </c>
      <c r="B23040" s="3" t="str">
        <f>HYPERLINK("https://www.773grp.com/manufacturer/renesas-electronics-america-inc?pageNo=2", "Renesas Electronics")</f>
        <v>Renesas Electronics</v>
      </c>
      <c r="C23040" s="6">
        <v>6000</v>
      </c>
      <c r="D23040" s="7">
        <v>0.33</v>
      </c>
    </row>
    <row r="23041" spans="1:4" x14ac:dyDescent="0.25">
      <c r="A23041" t="str">
        <f>HYPERLINK("https://www.773grp.com/globalSearch/HZ15-3LTD-E/page-1", "HZ15-3LTD-E")</f>
        <v>HZ15-3LTD-E</v>
      </c>
      <c r="B23041" s="3" t="str">
        <f>HYPERLINK("https://www.773grp.com/manufacturer/renesas-electronics-america-inc?pageNo=3", "Renesas Electronics")</f>
        <v>Renesas Electronics</v>
      </c>
      <c r="C23041" s="6">
        <v>15000</v>
      </c>
      <c r="D23041" s="7">
        <v>0.33</v>
      </c>
    </row>
    <row r="23042" spans="1:4" x14ac:dyDescent="0.25">
      <c r="A23042" t="str">
        <f>HYPERLINK("https://www.773grp.com/globalSearch/HZ16-1L-E/page-1", "HZ16-1L-E")</f>
        <v>HZ16-1L-E</v>
      </c>
      <c r="B23042" s="3" t="str">
        <f>HYPERLINK("https://www.773grp.com/manufacturer/renesas-electronics-america-inc?pageNo=4", "Renesas Electronics")</f>
        <v>Renesas Electronics</v>
      </c>
      <c r="C23042" s="6">
        <v>34000</v>
      </c>
      <c r="D23042" s="7">
        <v>0.33</v>
      </c>
    </row>
    <row r="23043" spans="1:4" x14ac:dyDescent="0.25">
      <c r="A23043" t="str">
        <f>HYPERLINK("https://www.773grp.com/globalSearch/HZ16-1LTD-E/page-1", "HZ16-1LTD-E")</f>
        <v>HZ16-1LTD-E</v>
      </c>
      <c r="B23043" s="3" t="str">
        <f>HYPERLINK("https://www.773grp.com/manufacturer/renesas-electronics-america-inc?pageNo=5", "Renesas Electronics")</f>
        <v>Renesas Electronics</v>
      </c>
      <c r="C23043" s="6">
        <v>5000</v>
      </c>
      <c r="D23043" s="7">
        <v>0.33</v>
      </c>
    </row>
    <row r="23044" spans="1:4" x14ac:dyDescent="0.25">
      <c r="A23044" t="str">
        <f>HYPERLINK("https://www.773grp.com/globalSearch/HZ16-2LTD-E/page-1", "HZ16-2LTD-E")</f>
        <v>HZ16-2LTD-E</v>
      </c>
      <c r="B23044" s="3" t="str">
        <f>HYPERLINK("https://www.773grp.com/manufacturer/renesas-electronics-america-inc?pageNo=6", "Renesas Electronics")</f>
        <v>Renesas Electronics</v>
      </c>
      <c r="C23044" s="6">
        <v>20000</v>
      </c>
      <c r="D23044" s="7">
        <v>0.33</v>
      </c>
    </row>
    <row r="23045" spans="1:4" x14ac:dyDescent="0.25">
      <c r="A23045" t="str">
        <f>HYPERLINK("https://www.773grp.com/globalSearch/HZ16-3L-E/page-1", "HZ16-3L-E")</f>
        <v>HZ16-3L-E</v>
      </c>
      <c r="B23045" s="3" t="str">
        <f>HYPERLINK("https://www.773grp.com/manufacturer/renesas-electronics-america-inc?pageNo=7", "Renesas Electronics")</f>
        <v>Renesas Electronics</v>
      </c>
      <c r="C23045" s="6">
        <v>6000</v>
      </c>
      <c r="D23045" s="7">
        <v>0.33</v>
      </c>
    </row>
    <row r="23046" spans="1:4" x14ac:dyDescent="0.25">
      <c r="A23046" t="str">
        <f>HYPERLINK("https://www.773grp.com/globalSearch/HZ16-3TA-E/page-1", "HZ16-3TA-E")</f>
        <v>HZ16-3TA-E</v>
      </c>
      <c r="B23046" s="3" t="str">
        <f>HYPERLINK("https://www.773grp.com/manufacturer/renesas-electronics-america-inc?pageNo=8", "Renesas Electronics")</f>
        <v>Renesas Electronics</v>
      </c>
      <c r="C23046" s="6">
        <v>30000</v>
      </c>
      <c r="D23046" s="7">
        <v>0.33</v>
      </c>
    </row>
    <row r="23047" spans="1:4" x14ac:dyDescent="0.25">
      <c r="A23047" t="str">
        <f>HYPERLINK("https://www.773grp.com/globalSearch/HZ20-2-E/page-1", "HZ20-2-E")</f>
        <v>HZ20-2-E</v>
      </c>
      <c r="B23047" s="3" t="str">
        <f>HYPERLINK("https://www.773grp.com/manufacturer/renesas-electronics-america-inc?pageNo=9", "Renesas Electronics")</f>
        <v>Renesas Electronics</v>
      </c>
      <c r="C23047" s="6">
        <v>6980</v>
      </c>
      <c r="D23047" s="7">
        <v>0.33</v>
      </c>
    </row>
    <row r="23048" spans="1:4" x14ac:dyDescent="0.25">
      <c r="A23048" t="str">
        <f>HYPERLINK("https://www.773grp.com/globalSearch/HZ22-1TD-E/page-1", "HZ22-1TD-E")</f>
        <v>HZ22-1TD-E</v>
      </c>
      <c r="B23048" s="3" t="str">
        <f>HYPERLINK("https://www.773grp.com/manufacturer/renesas-electronics-america-inc?pageNo=10", "Renesas Electronics")</f>
        <v>Renesas Electronics</v>
      </c>
      <c r="C23048" s="6">
        <v>15000</v>
      </c>
      <c r="D23048" s="7">
        <v>0.33</v>
      </c>
    </row>
    <row r="23049" spans="1:4" x14ac:dyDescent="0.25">
      <c r="A23049" t="str">
        <f>HYPERLINK("https://www.773grp.com/globalSearch/HZ22-3TD-E/page-1", "HZ22-3TD-E")</f>
        <v>HZ22-3TD-E</v>
      </c>
      <c r="B23049" s="3" t="str">
        <f>HYPERLINK("https://www.773grp.com/manufacturer/renesas-electronics-america-inc?pageNo=11", "Renesas Electronics")</f>
        <v>Renesas Electronics</v>
      </c>
      <c r="C23049" s="6">
        <v>12500</v>
      </c>
      <c r="D23049" s="7">
        <v>0.33</v>
      </c>
    </row>
    <row r="23050" spans="1:4" x14ac:dyDescent="0.25">
      <c r="A23050" t="str">
        <f>HYPERLINK("https://www.773grp.com/globalSearch/HZ24-1JTA-E/page-1", "HZ24-1JTA-E")</f>
        <v>HZ24-1JTA-E</v>
      </c>
      <c r="B23050" s="3" t="str">
        <f>HYPERLINK("https://www.773grp.com/manufacturer/renesas-electronics-america-inc?pageNo=12", "Renesas Electronics")</f>
        <v>Renesas Electronics</v>
      </c>
      <c r="C23050" s="6">
        <v>20000</v>
      </c>
      <c r="D23050" s="7">
        <v>0.33</v>
      </c>
    </row>
    <row r="23051" spans="1:4" x14ac:dyDescent="0.25">
      <c r="A23051" t="str">
        <f>HYPERLINK("https://www.773grp.com/globalSearch/HZ24-1LRE-E/page-1", "HZ24-1LRE-E")</f>
        <v>HZ24-1LRE-E</v>
      </c>
      <c r="B23051" s="3" t="str">
        <f>HYPERLINK("https://www.773grp.com/manufacturer/renesas-electronics-america-inc?pageNo=13", "Renesas Electronics")</f>
        <v>Renesas Electronics</v>
      </c>
      <c r="C23051" s="6">
        <v>4000</v>
      </c>
      <c r="D23051" s="7">
        <v>0.33</v>
      </c>
    </row>
    <row r="23052" spans="1:4" x14ac:dyDescent="0.25">
      <c r="A23052" t="str">
        <f>HYPERLINK("https://www.773grp.com/globalSearch/HZ24-1LTD-E/page-1", "HZ24-1LTD-E")</f>
        <v>HZ24-1LTD-E</v>
      </c>
      <c r="B23052" s="3" t="str">
        <f>HYPERLINK("https://www.773grp.com/manufacturer/renesas-electronics-america-inc?pageNo=14", "Renesas Electronics")</f>
        <v>Renesas Electronics</v>
      </c>
      <c r="C23052" s="6">
        <v>27500</v>
      </c>
      <c r="D23052" s="7">
        <v>0.33</v>
      </c>
    </row>
    <row r="23053" spans="1:4" x14ac:dyDescent="0.25">
      <c r="A23053" t="str">
        <f>HYPERLINK("https://www.773grp.com/globalSearch/HZ24-2LTD-E/page-1", "HZ24-2LTD-E")</f>
        <v>HZ24-2LTD-E</v>
      </c>
      <c r="B23053" s="3" t="str">
        <f>HYPERLINK("https://www.773grp.com/manufacturer/renesas-electronics-america-inc?pageNo=15", "Renesas Electronics")</f>
        <v>Renesas Electronics</v>
      </c>
      <c r="C23053" s="6">
        <v>10000</v>
      </c>
      <c r="D23053" s="7">
        <v>0.33</v>
      </c>
    </row>
    <row r="23054" spans="1:4" x14ac:dyDescent="0.25">
      <c r="A23054" t="str">
        <f>HYPERLINK("https://www.773grp.com/globalSearch/HZ24-3TE-E/page-1", "HZ24-3TE-E")</f>
        <v>HZ24-3TE-E</v>
      </c>
      <c r="B23054" s="3" t="str">
        <f>HYPERLINK("https://www.773grp.com/manufacturer/renesas-electronics-america-inc?pageNo=16", "Renesas Electronics")</f>
        <v>Renesas Electronics</v>
      </c>
      <c r="C23054" s="6">
        <v>15000</v>
      </c>
      <c r="D23054" s="7">
        <v>0.33</v>
      </c>
    </row>
    <row r="23055" spans="1:4" x14ac:dyDescent="0.25">
      <c r="A23055" t="str">
        <f>HYPERLINK("https://www.773grp.com/globalSearch/HZ27-2LTD-E/page-1", "HZ27-2LTD-E")</f>
        <v>HZ27-2LTD-E</v>
      </c>
      <c r="B23055" s="3" t="str">
        <f>HYPERLINK("https://www.773grp.com/manufacturer/renesas-electronics-america-inc?pageNo=17", "Renesas Electronics")</f>
        <v>Renesas Electronics</v>
      </c>
      <c r="C23055" s="6">
        <v>42500</v>
      </c>
      <c r="D23055" s="7">
        <v>0.33</v>
      </c>
    </row>
    <row r="23056" spans="1:4" x14ac:dyDescent="0.25">
      <c r="A23056" t="str">
        <f>HYPERLINK("https://www.773grp.com/globalSearch/HZ27-2TD-E/page-1", "HZ27-2TD-E")</f>
        <v>HZ27-2TD-E</v>
      </c>
      <c r="B23056" s="3" t="str">
        <f>HYPERLINK("https://www.773grp.com/manufacturer/renesas-electronics-america-inc?pageNo=18", "Renesas Electronics")</f>
        <v>Renesas Electronics</v>
      </c>
      <c r="C23056" s="6">
        <v>5000</v>
      </c>
      <c r="D23056" s="7">
        <v>0.33</v>
      </c>
    </row>
    <row r="23057" spans="1:4" x14ac:dyDescent="0.25">
      <c r="A23057" t="str">
        <f>HYPERLINK("https://www.773grp.com/globalSearch/HZ27-3LRE-E/page-1", "HZ27-3LRE-E")</f>
        <v>HZ27-3LRE-E</v>
      </c>
      <c r="B23057" s="3" t="str">
        <f>HYPERLINK("https://www.773grp.com/manufacturer/renesas-electronics-america-inc?pageNo=19", "Renesas Electronics")</f>
        <v>Renesas Electronics</v>
      </c>
      <c r="C23057" s="6">
        <v>20000</v>
      </c>
      <c r="D23057" s="7">
        <v>0.33</v>
      </c>
    </row>
    <row r="23058" spans="1:4" x14ac:dyDescent="0.25">
      <c r="A23058" t="str">
        <f>HYPERLINK("https://www.773grp.com/globalSearch/HZ2A2TD-E/page-1", "HZ2A2TD-E")</f>
        <v>HZ2A2TD-E</v>
      </c>
      <c r="B23058" s="3" t="str">
        <f>HYPERLINK("https://www.773grp.com/manufacturer/renesas-electronics-america-inc?pageNo=20", "Renesas Electronics")</f>
        <v>Renesas Electronics</v>
      </c>
      <c r="C23058" s="6">
        <v>2500</v>
      </c>
      <c r="D23058" s="7">
        <v>0.33</v>
      </c>
    </row>
    <row r="23059" spans="1:4" x14ac:dyDescent="0.25">
      <c r="A23059" t="str">
        <f>HYPERLINK("https://www.773grp.com/globalSearch/HZ2ALLTA-E/page-1", "HZ2ALLTA-E")</f>
        <v>HZ2ALLTA-E</v>
      </c>
      <c r="B23059" s="3" t="str">
        <f>HYPERLINK("https://www.773grp.com/manufacturer/renesas-electronics-america-inc?pageNo=21", "Renesas Electronics")</f>
        <v>Renesas Electronics</v>
      </c>
      <c r="C23059" s="6">
        <v>15000</v>
      </c>
      <c r="D23059" s="7">
        <v>0.33</v>
      </c>
    </row>
    <row r="23060" spans="1:4" x14ac:dyDescent="0.25">
      <c r="A23060" t="str">
        <f>HYPERLINK("https://www.773grp.com/globalSearch/HZ2B1-E/page-1", "HZ2B1-E")</f>
        <v>HZ2B1-E</v>
      </c>
      <c r="B23060" s="3" t="str">
        <f>HYPERLINK("https://www.773grp.com/manufacturer/renesas-electronics-america-inc?pageNo=22", "Renesas Electronics")</f>
        <v>Renesas Electronics</v>
      </c>
      <c r="C23060" s="6">
        <v>23990</v>
      </c>
      <c r="D23060" s="7">
        <v>0.33</v>
      </c>
    </row>
    <row r="23061" spans="1:4" x14ac:dyDescent="0.25">
      <c r="A23061" t="str">
        <f>HYPERLINK("https://www.773grp.com/globalSearch/HZ2BLLTD-E/page-1", "HZ2BLLTD-E")</f>
        <v>HZ2BLLTD-E</v>
      </c>
      <c r="B23061" s="3" t="str">
        <f>HYPERLINK("https://www.773grp.com/manufacturer/renesas-electronics-america-inc?pageNo=23", "Renesas Electronics")</f>
        <v>Renesas Electronics</v>
      </c>
      <c r="C23061" s="6">
        <v>7500</v>
      </c>
      <c r="D23061" s="7">
        <v>0.33</v>
      </c>
    </row>
    <row r="23062" spans="1:4" x14ac:dyDescent="0.25">
      <c r="A23062" t="str">
        <f>HYPERLINK("https://www.773grp.com/globalSearch/HZ2C2TD-E/page-1", "HZ2C2TD-E")</f>
        <v>HZ2C2TD-E</v>
      </c>
      <c r="B23062" s="3" t="str">
        <f>HYPERLINK("https://www.773grp.com/manufacturer/renesas-electronics-america-inc?pageNo=24", "Renesas Electronics")</f>
        <v>Renesas Electronics</v>
      </c>
      <c r="C23062" s="6">
        <v>17500</v>
      </c>
      <c r="D23062" s="7">
        <v>0.33</v>
      </c>
    </row>
    <row r="23063" spans="1:4" x14ac:dyDescent="0.25">
      <c r="A23063" t="str">
        <f>HYPERLINK("https://www.773grp.com/globalSearch/HZ30-2LTD-E/page-1", "HZ30-2LTD-E")</f>
        <v>HZ30-2LTD-E</v>
      </c>
      <c r="B23063" s="3" t="str">
        <f>HYPERLINK("https://www.773grp.com/manufacturer/renesas-electronics-america-inc?pageNo=25", "Renesas Electronics")</f>
        <v>Renesas Electronics</v>
      </c>
      <c r="C23063" s="6">
        <v>15000</v>
      </c>
      <c r="D23063" s="7">
        <v>0.33</v>
      </c>
    </row>
    <row r="23064" spans="1:4" x14ac:dyDescent="0.25">
      <c r="A23064" t="str">
        <f>HYPERLINK("https://www.773grp.com/globalSearch/HZ30-3-E/page-1", "HZ30-3-E")</f>
        <v>HZ30-3-E</v>
      </c>
      <c r="B23064" s="3" t="str">
        <f>HYPERLINK("https://www.773grp.com/manufacturer/renesas-electronics-america-inc?pageNo=26", "Renesas Electronics")</f>
        <v>Renesas Electronics</v>
      </c>
      <c r="C23064" s="6">
        <v>20000</v>
      </c>
      <c r="D23064" s="7">
        <v>0.33</v>
      </c>
    </row>
    <row r="23065" spans="1:4" x14ac:dyDescent="0.25">
      <c r="A23065" t="str">
        <f>HYPERLINK("https://www.773grp.com/globalSearch/HZ30-3TD-E/page-1", "HZ30-3TD-E")</f>
        <v>HZ30-3TD-E</v>
      </c>
      <c r="B23065" s="3" t="str">
        <f>HYPERLINK("https://www.773grp.com/manufacturer/renesas-electronics-america-inc?pageNo=27", "Renesas Electronics")</f>
        <v>Renesas Electronics</v>
      </c>
      <c r="C23065" s="6">
        <v>12500</v>
      </c>
      <c r="D23065" s="7">
        <v>0.33</v>
      </c>
    </row>
    <row r="23066" spans="1:4" x14ac:dyDescent="0.25">
      <c r="A23066" t="str">
        <f>HYPERLINK("https://www.773grp.com/globalSearch/HZ33-1-E/page-1", "HZ33-1-E")</f>
        <v>HZ33-1-E</v>
      </c>
      <c r="B23066" s="3" t="str">
        <f>HYPERLINK("https://www.773grp.com/manufacturer/renesas-electronics-america-inc?pageNo=28", "Renesas Electronics")</f>
        <v>Renesas Electronics</v>
      </c>
      <c r="C23066" s="6">
        <v>7500</v>
      </c>
      <c r="D23066" s="7">
        <v>0.33</v>
      </c>
    </row>
    <row r="23067" spans="1:4" x14ac:dyDescent="0.25">
      <c r="A23067" t="str">
        <f>HYPERLINK("https://www.773grp.com/globalSearch/HZ33-1L-E/page-1", "HZ33-1L-E")</f>
        <v>HZ33-1L-E</v>
      </c>
      <c r="B23067" s="3" t="str">
        <f>HYPERLINK("https://www.773grp.com/manufacturer/renesas-electronics-america-inc?pageNo=29", "Renesas Electronics")</f>
        <v>Renesas Electronics</v>
      </c>
      <c r="C23067" s="6">
        <v>7400</v>
      </c>
      <c r="D23067" s="7">
        <v>0.33</v>
      </c>
    </row>
    <row r="23068" spans="1:4" x14ac:dyDescent="0.25">
      <c r="A23068" t="str">
        <f>HYPERLINK("https://www.773grp.com/globalSearch/HZ33-2-E/page-1", "HZ33-2-E")</f>
        <v>HZ33-2-E</v>
      </c>
      <c r="B23068" s="3" t="str">
        <f>HYPERLINK("https://www.773grp.com/manufacturer/renesas-electronics-america-inc?pageNo=30", "Renesas Electronics")</f>
        <v>Renesas Electronics</v>
      </c>
      <c r="C23068" s="6">
        <v>22000</v>
      </c>
      <c r="D23068" s="7">
        <v>0.33</v>
      </c>
    </row>
    <row r="23069" spans="1:4" x14ac:dyDescent="0.25">
      <c r="A23069" t="str">
        <f>HYPERLINK("https://www.773grp.com/globalSearch/HZ33-2TA-E/page-1", "HZ33-2TA-E")</f>
        <v>HZ33-2TA-E</v>
      </c>
      <c r="B23069" s="3" t="str">
        <f>HYPERLINK("https://www.773grp.com/manufacturer/renesas-electronics-america-inc?pageNo=31", "Renesas Electronics")</f>
        <v>Renesas Electronics</v>
      </c>
      <c r="C23069" s="6">
        <v>15000</v>
      </c>
      <c r="D23069" s="7">
        <v>0.33</v>
      </c>
    </row>
    <row r="23070" spans="1:4" x14ac:dyDescent="0.25">
      <c r="A23070" t="str">
        <f>HYPERLINK("https://www.773grp.com/globalSearch/HZ36-1TD-E/page-1", "HZ36-1TD-E")</f>
        <v>HZ36-1TD-E</v>
      </c>
      <c r="B23070" s="3" t="str">
        <f>HYPERLINK("https://www.773grp.com/manufacturer/renesas-electronics-america-inc?pageNo=32", "Renesas Electronics")</f>
        <v>Renesas Electronics</v>
      </c>
      <c r="C23070" s="6">
        <v>10000</v>
      </c>
      <c r="D23070" s="7">
        <v>0.33</v>
      </c>
    </row>
    <row r="23071" spans="1:4" x14ac:dyDescent="0.25">
      <c r="A23071" t="str">
        <f>HYPERLINK("https://www.773grp.com/globalSearch/HZ36-3TD-P-E/page-1", "HZ36-3TD-P-E")</f>
        <v>HZ36-3TD-P-E</v>
      </c>
      <c r="B23071" s="3" t="str">
        <f>HYPERLINK("https://www.773grp.com/manufacturer/renesas-electronics-america-inc?pageNo=33", "Renesas Electronics")</f>
        <v>Renesas Electronics</v>
      </c>
      <c r="C23071" s="6">
        <v>30000</v>
      </c>
      <c r="D23071" s="7">
        <v>0.33</v>
      </c>
    </row>
    <row r="23072" spans="1:4" x14ac:dyDescent="0.25">
      <c r="A23072" t="str">
        <f>HYPERLINK("https://www.773grp.com/globalSearch/HZ3B1TD-E/page-1", "HZ3B1TD-E")</f>
        <v>HZ3B1TD-E</v>
      </c>
      <c r="B23072" s="3" t="str">
        <f>HYPERLINK("https://www.773grp.com/manufacturer/renesas-electronics-america-inc?pageNo=34", "Renesas Electronics")</f>
        <v>Renesas Electronics</v>
      </c>
      <c r="C23072" s="6">
        <v>25000</v>
      </c>
      <c r="D23072" s="7">
        <v>0.33</v>
      </c>
    </row>
    <row r="23073" spans="1:4" x14ac:dyDescent="0.25">
      <c r="A23073" t="str">
        <f>HYPERLINK("https://www.773grp.com/globalSearch/HZ3B3TD-E/page-1", "HZ3B3TD-E")</f>
        <v>HZ3B3TD-E</v>
      </c>
      <c r="B23073" s="3" t="str">
        <f>HYPERLINK("https://www.773grp.com/manufacturer/renesas-electronics-america-inc?pageNo=35", "Renesas Electronics")</f>
        <v>Renesas Electronics</v>
      </c>
      <c r="C23073" s="6">
        <v>5000</v>
      </c>
      <c r="D23073" s="7">
        <v>0.33</v>
      </c>
    </row>
    <row r="23074" spans="1:4" x14ac:dyDescent="0.25">
      <c r="A23074" t="str">
        <f>HYPERLINK("https://www.773grp.com/globalSearch/HZ3C1TA/page-1", "HZ3C1TA")</f>
        <v>HZ3C1TA</v>
      </c>
      <c r="B23074" s="3" t="str">
        <f>HYPERLINK("https://www.773grp.com/manufacturer/renesas-electronics-america-inc?pageNo=36", "Renesas Electronics")</f>
        <v>Renesas Electronics</v>
      </c>
      <c r="C23074" s="6">
        <v>5000</v>
      </c>
      <c r="D23074" s="7">
        <v>0.33</v>
      </c>
    </row>
    <row r="23075" spans="1:4" x14ac:dyDescent="0.25">
      <c r="A23075" t="str">
        <f>HYPERLINK("https://www.773grp.com/globalSearch/HZ3C3JTA-E/page-1", "HZ3C3JTA-E")</f>
        <v>HZ3C3JTA-E</v>
      </c>
      <c r="B23075" s="3" t="str">
        <f>HYPERLINK("https://www.773grp.com/manufacturer/renesas-electronics-america-inc?pageNo=37", "Renesas Electronics")</f>
        <v>Renesas Electronics</v>
      </c>
      <c r="C23075" s="6">
        <v>20000</v>
      </c>
      <c r="D23075" s="7">
        <v>0.33</v>
      </c>
    </row>
    <row r="23076" spans="1:4" x14ac:dyDescent="0.25">
      <c r="A23076" t="str">
        <f>HYPERLINK("https://www.773grp.com/globalSearch/HZ3C3TD-E/page-1", "HZ3C3TD-E")</f>
        <v>HZ3C3TD-E</v>
      </c>
      <c r="B23076" s="3" t="str">
        <f>HYPERLINK("https://www.773grp.com/manufacturer/renesas-electronics-america-inc?pageNo=38", "Renesas Electronics")</f>
        <v>Renesas Electronics</v>
      </c>
      <c r="C23076" s="6">
        <v>20000</v>
      </c>
      <c r="D23076" s="7">
        <v>0.33</v>
      </c>
    </row>
    <row r="23077" spans="1:4" x14ac:dyDescent="0.25">
      <c r="A23077" t="str">
        <f>HYPERLINK("https://www.773grp.com/globalSearch/HZ3CLL-JTA-E/page-1", "HZ3CLL-JTA-E")</f>
        <v>HZ3CLL-JTA-E</v>
      </c>
      <c r="B23077" s="3" t="str">
        <f>HYPERLINK("https://www.773grp.com/manufacturer/renesas-electronics-america-inc?pageNo=39", "Renesas Electronics")</f>
        <v>Renesas Electronics</v>
      </c>
      <c r="C23077" s="6">
        <v>15000</v>
      </c>
      <c r="D23077" s="7">
        <v>0.33</v>
      </c>
    </row>
    <row r="23078" spans="1:4" x14ac:dyDescent="0.25">
      <c r="A23078" t="str">
        <f>HYPERLINK("https://www.773grp.com/globalSearch/HZ4A1JTA-E/page-1", "HZ4A1JTA-E")</f>
        <v>HZ4A1JTA-E</v>
      </c>
      <c r="B23078" s="3" t="str">
        <f>HYPERLINK("https://www.773grp.com/manufacturer/renesas-electronics-america-inc?pageNo=40", "Renesas Electronics")</f>
        <v>Renesas Electronics</v>
      </c>
      <c r="C23078" s="6">
        <v>10000</v>
      </c>
      <c r="D23078" s="7">
        <v>0.33</v>
      </c>
    </row>
    <row r="23079" spans="1:4" x14ac:dyDescent="0.25">
      <c r="A23079" t="str">
        <f>HYPERLINK("https://www.773grp.com/globalSearch/HZ4A2J-E/page-1", "HZ4A2J-E")</f>
        <v>HZ4A2J-E</v>
      </c>
      <c r="B23079" s="3" t="str">
        <f>HYPERLINK("https://www.773grp.com/manufacturer/renesas-electronics-america-inc?pageNo=41", "Renesas Electronics")</f>
        <v>Renesas Electronics</v>
      </c>
      <c r="C23079" s="6">
        <v>11000</v>
      </c>
      <c r="D23079" s="7">
        <v>0.33</v>
      </c>
    </row>
    <row r="23080" spans="1:4" x14ac:dyDescent="0.25">
      <c r="A23080" t="str">
        <f>HYPERLINK("https://www.773grp.com/globalSearch/HZ4B3-E/page-1", "HZ4B3-E")</f>
        <v>HZ4B3-E</v>
      </c>
      <c r="B23080" s="3" t="str">
        <f>HYPERLINK("https://www.773grp.com/manufacturer/renesas-electronics-america-inc?pageNo=42", "Renesas Electronics")</f>
        <v>Renesas Electronics</v>
      </c>
      <c r="C23080" s="6">
        <v>12500</v>
      </c>
      <c r="D23080" s="7">
        <v>0.33</v>
      </c>
    </row>
    <row r="23081" spans="1:4" x14ac:dyDescent="0.25">
      <c r="A23081" t="str">
        <f>HYPERLINK("https://www.773grp.com/globalSearch/HZ4BLL-E/page-1", "HZ4BLL-E")</f>
        <v>HZ4BLL-E</v>
      </c>
      <c r="B23081" s="3" t="str">
        <f>HYPERLINK("https://www.773grp.com/manufacturer/renesas-electronics-america-inc?pageNo=43", "Renesas Electronics")</f>
        <v>Renesas Electronics</v>
      </c>
      <c r="C23081" s="6">
        <v>4500</v>
      </c>
      <c r="D23081" s="7">
        <v>0.33</v>
      </c>
    </row>
    <row r="23082" spans="1:4" x14ac:dyDescent="0.25">
      <c r="A23082" t="str">
        <f>HYPERLINK("https://www.773grp.com/globalSearch/HZ4BLLTD-E/page-1", "HZ4BLLTD-E")</f>
        <v>HZ4BLLTD-E</v>
      </c>
      <c r="B23082" s="3" t="str">
        <f>HYPERLINK("https://www.773grp.com/manufacturer/renesas-electronics-america-inc?pageNo=44", "Renesas Electronics")</f>
        <v>Renesas Electronics</v>
      </c>
      <c r="C23082" s="6">
        <v>17500</v>
      </c>
      <c r="D23082" s="7">
        <v>0.33</v>
      </c>
    </row>
    <row r="23083" spans="1:4" x14ac:dyDescent="0.25">
      <c r="A23083" t="str">
        <f>HYPERLINK("https://www.773grp.com/globalSearch/HZ4C1-E/page-1", "HZ4C1-E")</f>
        <v>HZ4C1-E</v>
      </c>
      <c r="B23083" s="3" t="str">
        <f>HYPERLINK("https://www.773grp.com/manufacturer/renesas-electronics-america-inc?pageNo=45", "Renesas Electronics")</f>
        <v>Renesas Electronics</v>
      </c>
      <c r="C23083" s="6">
        <v>2500</v>
      </c>
      <c r="D23083" s="7">
        <v>0.33</v>
      </c>
    </row>
    <row r="23084" spans="1:4" x14ac:dyDescent="0.25">
      <c r="A23084" t="str">
        <f>HYPERLINK("https://www.773grp.com/globalSearch/HZ4C1TD-E/page-1", "HZ4C1TD-E")</f>
        <v>HZ4C1TD-E</v>
      </c>
      <c r="B23084" s="3" t="str">
        <f>HYPERLINK("https://www.773grp.com/manufacturer/renesas-electronics-america-inc?pageNo=46", "Renesas Electronics")</f>
        <v>Renesas Electronics</v>
      </c>
      <c r="C23084" s="6">
        <v>10000</v>
      </c>
      <c r="D23084" s="7">
        <v>0.33</v>
      </c>
    </row>
    <row r="23085" spans="1:4" x14ac:dyDescent="0.25">
      <c r="A23085" t="str">
        <f>HYPERLINK("https://www.773grp.com/globalSearch/HZ4C3J-E/page-1", "HZ4C3J-E")</f>
        <v>HZ4C3J-E</v>
      </c>
      <c r="B23085" s="3" t="str">
        <f>HYPERLINK("https://www.773grp.com/manufacturer/renesas-electronics-america-inc?pageNo=47", "Renesas Electronics")</f>
        <v>Renesas Electronics</v>
      </c>
      <c r="C23085" s="6">
        <v>11500</v>
      </c>
      <c r="D23085" s="7">
        <v>0.33</v>
      </c>
    </row>
    <row r="23086" spans="1:4" x14ac:dyDescent="0.25">
      <c r="A23086" t="str">
        <f>HYPERLINK("https://www.773grp.com/globalSearch/HZ4CLL-E/page-1", "HZ4CLL-E")</f>
        <v>HZ4CLL-E</v>
      </c>
      <c r="B23086" s="3" t="str">
        <f>HYPERLINK("https://www.773grp.com/manufacturer/renesas-electronics-america-inc?pageNo=48", "Renesas Electronics")</f>
        <v>Renesas Electronics</v>
      </c>
      <c r="C23086" s="6">
        <v>5285</v>
      </c>
      <c r="D23086" s="7">
        <v>0.33</v>
      </c>
    </row>
    <row r="23087" spans="1:4" x14ac:dyDescent="0.25">
      <c r="A23087" t="str">
        <f>HYPERLINK("https://www.773grp.com/globalSearch/HZ5A2-E/page-1", "HZ5A2-E")</f>
        <v>HZ5A2-E</v>
      </c>
      <c r="B23087" s="3" t="str">
        <f>HYPERLINK("https://www.773grp.com/manufacturer/renesas-electronics-america-inc?pageNo=49", "Renesas Electronics")</f>
        <v>Renesas Electronics</v>
      </c>
      <c r="C23087" s="6">
        <v>15000</v>
      </c>
      <c r="D23087" s="7">
        <v>0.33</v>
      </c>
    </row>
    <row r="23088" spans="1:4" x14ac:dyDescent="0.25">
      <c r="A23088" t="str">
        <f>HYPERLINK("https://www.773grp.com/globalSearch/HZ5A2RE-E/page-1", "HZ5A2RE-E")</f>
        <v>HZ5A2RE-E</v>
      </c>
      <c r="B23088" s="3" t="str">
        <f>HYPERLINK("https://www.773grp.com/manufacturer/renesas-electronics-america-inc?pageNo=50", "Renesas Electronics")</f>
        <v>Renesas Electronics</v>
      </c>
      <c r="C23088" s="6">
        <v>12000</v>
      </c>
      <c r="D23088" s="7">
        <v>0.33</v>
      </c>
    </row>
    <row r="23089" spans="1:4" x14ac:dyDescent="0.25">
      <c r="A23089" t="str">
        <f>HYPERLINK("https://www.773grp.com/globalSearch/HZ5A2TD-E/page-1", "HZ5A2TD-E")</f>
        <v>HZ5A2TD-E</v>
      </c>
      <c r="B23089" s="3" t="str">
        <f>HYPERLINK("https://www.773grp.com/manufacturer/renesas-electronics-america-inc?pageNo=51", "Renesas Electronics")</f>
        <v>Renesas Electronics</v>
      </c>
      <c r="C23089" s="6">
        <v>10000</v>
      </c>
      <c r="D23089" s="7">
        <v>0.33</v>
      </c>
    </row>
    <row r="23090" spans="1:4" x14ac:dyDescent="0.25">
      <c r="A23090" t="str">
        <f>HYPERLINK("https://www.773grp.com/globalSearch/HZ5ALL-E/page-1", "HZ5ALL-E")</f>
        <v>HZ5ALL-E</v>
      </c>
      <c r="B23090" s="3" t="str">
        <f>HYPERLINK("https://www.773grp.com/manufacturer/renesas-electronics-america-inc?pageNo=52", "Renesas Electronics")</f>
        <v>Renesas Electronics</v>
      </c>
      <c r="C23090" s="6">
        <v>40000</v>
      </c>
      <c r="D23090" s="7">
        <v>0.33</v>
      </c>
    </row>
    <row r="23091" spans="1:4" x14ac:dyDescent="0.25">
      <c r="A23091" t="str">
        <f>HYPERLINK("https://www.773grp.com/globalSearch/HZ5ALLRE-E/page-1", "HZ5ALLRE-E")</f>
        <v>HZ5ALLRE-E</v>
      </c>
      <c r="B23091" s="3" t="str">
        <f>HYPERLINK("https://www.773grp.com/manufacturer/renesas-electronics-america-inc?pageNo=53", "Renesas Electronics")</f>
        <v>Renesas Electronics</v>
      </c>
      <c r="C23091" s="6">
        <v>8000</v>
      </c>
      <c r="D23091" s="7">
        <v>0.33</v>
      </c>
    </row>
    <row r="23092" spans="1:4" x14ac:dyDescent="0.25">
      <c r="A23092" t="str">
        <f>HYPERLINK("https://www.773grp.com/globalSearch/HZ5B2JTA-E/page-1", "HZ5B2JTA-E")</f>
        <v>HZ5B2JTA-E</v>
      </c>
      <c r="B23092" s="3" t="str">
        <f>HYPERLINK("https://www.773grp.com/manufacturer/renesas-electronics-america-inc?pageNo=54", "Renesas Electronics")</f>
        <v>Renesas Electronics</v>
      </c>
      <c r="C23092" s="6">
        <v>5000</v>
      </c>
      <c r="D23092" s="7">
        <v>0.33</v>
      </c>
    </row>
    <row r="23093" spans="1:4" x14ac:dyDescent="0.25">
      <c r="A23093" t="str">
        <f>HYPERLINK("https://www.773grp.com/globalSearch/HZ5C1J-E/page-1", "HZ5C1J-E")</f>
        <v>HZ5C1J-E</v>
      </c>
      <c r="B23093" s="3" t="str">
        <f>HYPERLINK("https://www.773grp.com/manufacturer/renesas-electronics-america-inc?pageNo=55", "Renesas Electronics")</f>
        <v>Renesas Electronics</v>
      </c>
      <c r="C23093" s="6">
        <v>17500</v>
      </c>
      <c r="D23093" s="7">
        <v>0.33</v>
      </c>
    </row>
    <row r="23094" spans="1:4" x14ac:dyDescent="0.25">
      <c r="A23094" t="str">
        <f>HYPERLINK("https://www.773grp.com/globalSearch/HZ5C3TD-E/page-1", "HZ5C3TD-E")</f>
        <v>HZ5C3TD-E</v>
      </c>
      <c r="B23094" s="3" t="str">
        <f>HYPERLINK("https://www.773grp.com/manufacturer/renesas-electronics-america-inc?pageNo=56", "Renesas Electronics")</f>
        <v>Renesas Electronics</v>
      </c>
      <c r="C23094" s="6">
        <v>7500</v>
      </c>
      <c r="D23094" s="7">
        <v>0.33</v>
      </c>
    </row>
    <row r="23095" spans="1:4" x14ac:dyDescent="0.25">
      <c r="A23095" t="str">
        <f>HYPERLINK("https://www.773grp.com/globalSearch/HZ6B2-1TD-E/page-1", "HZ6B2-1TD-E")</f>
        <v>HZ6B2-1TD-E</v>
      </c>
      <c r="B23095" s="3" t="str">
        <f>HYPERLINK("https://www.773grp.com/manufacturer/renesas-electronics-america-inc?pageNo=57", "Renesas Electronics")</f>
        <v>Renesas Electronics</v>
      </c>
      <c r="C23095" s="6">
        <v>15000</v>
      </c>
      <c r="D23095" s="7">
        <v>0.33</v>
      </c>
    </row>
    <row r="23096" spans="1:4" x14ac:dyDescent="0.25">
      <c r="A23096" t="str">
        <f>HYPERLINK("https://www.773grp.com/globalSearch/HZ6B3L01TD-E/page-1", "HZ6B3L01TD-E")</f>
        <v>HZ6B3L01TD-E</v>
      </c>
      <c r="B23096" s="3" t="str">
        <f>HYPERLINK("https://www.773grp.com/manufacturer/renesas-electronics-america-inc?pageNo=58", "Renesas Electronics")</f>
        <v>Renesas Electronics</v>
      </c>
      <c r="C23096" s="6">
        <v>2500</v>
      </c>
      <c r="D23096" s="7">
        <v>0.33</v>
      </c>
    </row>
    <row r="23097" spans="1:4" x14ac:dyDescent="0.25">
      <c r="A23097" t="str">
        <f>HYPERLINK("https://www.773grp.com/globalSearch/HZ6C1TA/page-1", "HZ6C1TA")</f>
        <v>HZ6C1TA</v>
      </c>
      <c r="B23097" s="3" t="str">
        <f>HYPERLINK("https://www.773grp.com/manufacturer/renesas-electronics-america-inc?pageNo=59", "Renesas Electronics")</f>
        <v>Renesas Electronics</v>
      </c>
      <c r="C23097" s="6">
        <v>5000</v>
      </c>
      <c r="D23097" s="7">
        <v>0.33</v>
      </c>
    </row>
    <row r="23098" spans="1:4" x14ac:dyDescent="0.25">
      <c r="A23098" t="str">
        <f>HYPERLINK("https://www.773grp.com/globalSearch/HZ6C1TA-E/page-1", "HZ6C1TA-E")</f>
        <v>HZ6C1TA-E</v>
      </c>
      <c r="B23098" s="3" t="str">
        <f>HYPERLINK("https://www.773grp.com/manufacturer/renesas-electronics-america-inc?pageNo=60", "Renesas Electronics")</f>
        <v>Renesas Electronics</v>
      </c>
      <c r="C23098" s="6">
        <v>5000</v>
      </c>
      <c r="D23098" s="7">
        <v>0.33</v>
      </c>
    </row>
    <row r="23099" spans="1:4" x14ac:dyDescent="0.25">
      <c r="A23099" t="str">
        <f>HYPERLINK("https://www.773grp.com/globalSearch/HZ6C2LRE-E/page-1", "HZ6C2LRE-E")</f>
        <v>HZ6C2LRE-E</v>
      </c>
      <c r="B23099" s="3" t="str">
        <f>HYPERLINK("https://www.773grp.com/manufacturer/renesas-electronics-america-inc?pageNo=61", "Renesas Electronics")</f>
        <v>Renesas Electronics</v>
      </c>
      <c r="C23099" s="6">
        <v>20000</v>
      </c>
      <c r="D23099" s="7">
        <v>0.33</v>
      </c>
    </row>
    <row r="23100" spans="1:4" x14ac:dyDescent="0.25">
      <c r="A23100" t="str">
        <f>HYPERLINK("https://www.773grp.com/globalSearch/HZ6C2LTA-E/page-1", "HZ6C2LTA-E")</f>
        <v>HZ6C2LTA-E</v>
      </c>
      <c r="B23100" s="3" t="str">
        <f>HYPERLINK("https://www.773grp.com/manufacturer/renesas-electronics-america-inc?pageNo=62", "Renesas Electronics")</f>
        <v>Renesas Electronics</v>
      </c>
      <c r="C23100" s="6">
        <v>20000</v>
      </c>
      <c r="D23100" s="7">
        <v>0.33</v>
      </c>
    </row>
    <row r="23101" spans="1:4" x14ac:dyDescent="0.25">
      <c r="A23101" t="str">
        <f>HYPERLINK("https://www.773grp.com/globalSearch/HZ6C2LTD-E/page-1", "HZ6C2LTD-E")</f>
        <v>HZ6C2LTD-E</v>
      </c>
      <c r="B23101" s="3" t="str">
        <f>HYPERLINK("https://www.773grp.com/manufacturer/renesas-electronics-america-inc?pageNo=63", "Renesas Electronics")</f>
        <v>Renesas Electronics</v>
      </c>
      <c r="C23101" s="6">
        <v>10000</v>
      </c>
      <c r="D23101" s="7">
        <v>0.33</v>
      </c>
    </row>
    <row r="23102" spans="1:4" x14ac:dyDescent="0.25">
      <c r="A23102" t="str">
        <f>HYPERLINK("https://www.773grp.com/globalSearch/HZ7A2L-E/page-1", "HZ7A2L-E")</f>
        <v>HZ7A2L-E</v>
      </c>
      <c r="B23102" s="3" t="str">
        <f>HYPERLINK("https://www.773grp.com/manufacturer/renesas-electronics-america-inc?pageNo=64", "Renesas Electronics")</f>
        <v>Renesas Electronics</v>
      </c>
      <c r="C23102" s="6">
        <v>30000</v>
      </c>
      <c r="D23102" s="7">
        <v>0.33</v>
      </c>
    </row>
    <row r="23103" spans="1:4" x14ac:dyDescent="0.25">
      <c r="A23103" t="str">
        <f>HYPERLINK("https://www.773grp.com/globalSearch/HZ7A2TD-E/page-1", "HZ7A2TD-E")</f>
        <v>HZ7A2TD-E</v>
      </c>
      <c r="B23103" s="3" t="str">
        <f>HYPERLINK("https://www.773grp.com/manufacturer/renesas-electronics-america-inc?pageNo=65", "Renesas Electronics")</f>
        <v>Renesas Electronics</v>
      </c>
      <c r="C23103" s="6">
        <v>2500</v>
      </c>
      <c r="D23103" s="7">
        <v>0.33</v>
      </c>
    </row>
    <row r="23104" spans="1:4" x14ac:dyDescent="0.25">
      <c r="A23104" t="str">
        <f>HYPERLINK("https://www.773grp.com/globalSearch/HZ7B1-E/page-1", "HZ7B1-E")</f>
        <v>HZ7B1-E</v>
      </c>
      <c r="B23104" s="3" t="str">
        <f>HYPERLINK("https://www.773grp.com/manufacturer/renesas-electronics-america-inc?pageNo=66", "Renesas Electronics")</f>
        <v>Renesas Electronics</v>
      </c>
      <c r="C23104" s="6">
        <v>5000</v>
      </c>
      <c r="D23104" s="7">
        <v>0.33</v>
      </c>
    </row>
    <row r="23105" spans="1:4" x14ac:dyDescent="0.25">
      <c r="A23105" t="str">
        <f>HYPERLINK("https://www.773grp.com/globalSearch/HZ7B1L-E/page-1", "HZ7B1L-E")</f>
        <v>HZ7B1L-E</v>
      </c>
      <c r="B23105" s="3" t="str">
        <f>HYPERLINK("https://www.773grp.com/manufacturer/renesas-electronics-america-inc?pageNo=67", "Renesas Electronics")</f>
        <v>Renesas Electronics</v>
      </c>
      <c r="C23105" s="6">
        <v>13970</v>
      </c>
      <c r="D23105" s="7">
        <v>0.33</v>
      </c>
    </row>
    <row r="23106" spans="1:4" x14ac:dyDescent="0.25">
      <c r="A23106" t="str">
        <f>HYPERLINK("https://www.773grp.com/globalSearch/HZ7B2RE-E/page-1", "HZ7B2RE-E")</f>
        <v>HZ7B2RE-E</v>
      </c>
      <c r="B23106" s="3" t="str">
        <f>HYPERLINK("https://www.773grp.com/manufacturer/renesas-electronics-america-inc?pageNo=68", "Renesas Electronics")</f>
        <v>Renesas Electronics</v>
      </c>
      <c r="C23106" s="6">
        <v>32000</v>
      </c>
      <c r="D23106" s="7">
        <v>0.33</v>
      </c>
    </row>
    <row r="23107" spans="1:4" x14ac:dyDescent="0.25">
      <c r="A23107" t="str">
        <f>HYPERLINK("https://www.773grp.com/globalSearch/HZ7C1-90TA/page-1", "HZ7C1-90TA")</f>
        <v>HZ7C1-90TA</v>
      </c>
      <c r="B23107" s="3" t="str">
        <f>HYPERLINK("https://www.773grp.com/manufacturer/renesas-electronics-america-inc?pageNo=69", "Renesas Electronics")</f>
        <v>Renesas Electronics</v>
      </c>
      <c r="C23107" s="6">
        <v>15000</v>
      </c>
      <c r="D23107" s="7">
        <v>0.33</v>
      </c>
    </row>
    <row r="23108" spans="1:4" x14ac:dyDescent="0.25">
      <c r="A23108" t="str">
        <f>HYPERLINK("https://www.773grp.com/globalSearch/HZ7C1-E/page-1", "HZ7C1-E")</f>
        <v>HZ7C1-E</v>
      </c>
      <c r="B23108" s="3" t="str">
        <f>HYPERLINK("https://www.773grp.com/manufacturer/renesas-electronics-america-inc?pageNo=70", "Renesas Electronics")</f>
        <v>Renesas Electronics</v>
      </c>
      <c r="C23108" s="6">
        <v>22500</v>
      </c>
      <c r="D23108" s="7">
        <v>0.33</v>
      </c>
    </row>
    <row r="23109" spans="1:4" x14ac:dyDescent="0.25">
      <c r="A23109" t="str">
        <f>HYPERLINK("https://www.773grp.com/globalSearch/HZ7C2LTD-E/page-1", "HZ7C2LTD-E")</f>
        <v>HZ7C2LTD-E</v>
      </c>
      <c r="B23109" s="3" t="str">
        <f>HYPERLINK("https://www.773grp.com/manufacturer/renesas-electronics-america-inc?pageNo=71", "Renesas Electronics")</f>
        <v>Renesas Electronics</v>
      </c>
      <c r="C23109" s="6">
        <v>10000</v>
      </c>
      <c r="D23109" s="7">
        <v>0.33</v>
      </c>
    </row>
    <row r="23110" spans="1:4" x14ac:dyDescent="0.25">
      <c r="A23110" t="str">
        <f>HYPERLINK("https://www.773grp.com/globalSearch/HZ7C3L-JTA-E/page-1", "HZ7C3L-JTA-E")</f>
        <v>HZ7C3L-JTA-E</v>
      </c>
      <c r="B23110" s="3" t="str">
        <f>HYPERLINK("https://www.773grp.com/manufacturer/renesas-electronics-america-inc?pageNo=72", "Renesas Electronics")</f>
        <v>Renesas Electronics</v>
      </c>
      <c r="C23110" s="6">
        <v>25000</v>
      </c>
      <c r="D23110" s="7">
        <v>0.33</v>
      </c>
    </row>
    <row r="23111" spans="1:4" x14ac:dyDescent="0.25">
      <c r="A23111" t="str">
        <f>HYPERLINK("https://www.773grp.com/globalSearch/HZ9A3LTD-E/page-1", "HZ9A3LTD-E")</f>
        <v>HZ9A3LTD-E</v>
      </c>
      <c r="B23111" s="3" t="str">
        <f>HYPERLINK("https://www.773grp.com/manufacturer/renesas-electronics-america-inc?pageNo=73", "Renesas Electronics")</f>
        <v>Renesas Electronics</v>
      </c>
      <c r="C23111" s="6">
        <v>10000</v>
      </c>
      <c r="D23111" s="7">
        <v>0.33</v>
      </c>
    </row>
    <row r="23112" spans="1:4" x14ac:dyDescent="0.25">
      <c r="A23112" t="str">
        <f>HYPERLINK("https://www.773grp.com/globalSearch/HZ9B1-E/page-1", "HZ9B1-E")</f>
        <v>HZ9B1-E</v>
      </c>
      <c r="B23112" s="3" t="str">
        <f>HYPERLINK("https://www.773grp.com/manufacturer/renesas-electronics-america-inc?pageNo=74", "Renesas Electronics")</f>
        <v>Renesas Electronics</v>
      </c>
      <c r="C23112" s="6">
        <v>10000</v>
      </c>
      <c r="D23112" s="7">
        <v>0.33</v>
      </c>
    </row>
    <row r="23113" spans="1:4" x14ac:dyDescent="0.25">
      <c r="A23113" t="str">
        <f>HYPERLINK("https://www.773grp.com/globalSearch/HZ9B1JFA/page-1", "HZ9B1JFA")</f>
        <v>HZ9B1JFA</v>
      </c>
      <c r="B23113" s="3" t="str">
        <f>HYPERLINK("https://www.773grp.com/manufacturer/renesas-electronics-america-inc?pageNo=75", "Renesas Electronics")</f>
        <v>Renesas Electronics</v>
      </c>
      <c r="C23113" s="6">
        <v>3800</v>
      </c>
      <c r="D23113" s="7">
        <v>0.33</v>
      </c>
    </row>
    <row r="23114" spans="1:4" x14ac:dyDescent="0.25">
      <c r="A23114" t="str">
        <f>HYPERLINK("https://www.773grp.com/globalSearch/HZ9B1L-E/page-1", "HZ9B1L-E")</f>
        <v>HZ9B1L-E</v>
      </c>
      <c r="B23114" s="3" t="str">
        <f>HYPERLINK("https://www.773grp.com/manufacturer/renesas-electronics-america-inc?pageNo=76", "Renesas Electronics")</f>
        <v>Renesas Electronics</v>
      </c>
      <c r="C23114" s="6">
        <v>3500</v>
      </c>
      <c r="D23114" s="7">
        <v>0.33</v>
      </c>
    </row>
    <row r="23115" spans="1:4" x14ac:dyDescent="0.25">
      <c r="A23115" t="str">
        <f>HYPERLINK("https://www.773grp.com/globalSearch/HZ9C2-E/page-1", "HZ9C2-E")</f>
        <v>HZ9C2-E</v>
      </c>
      <c r="B23115" s="3" t="str">
        <f>HYPERLINK("https://www.773grp.com/manufacturer/renesas-electronics-america-inc?pageNo=77", "Renesas Electronics")</f>
        <v>Renesas Electronics</v>
      </c>
      <c r="C23115" s="6">
        <v>12000</v>
      </c>
      <c r="D23115" s="7">
        <v>0.33</v>
      </c>
    </row>
    <row r="23116" spans="1:4" x14ac:dyDescent="0.25">
      <c r="A23116" t="str">
        <f>HYPERLINK("https://www.773grp.com/globalSearch/HZ9C2LTD-E/page-1", "HZ9C2LTD-E")</f>
        <v>HZ9C2LTD-E</v>
      </c>
      <c r="B23116" s="3" t="str">
        <f>HYPERLINK("https://www.773grp.com/manufacturer/renesas-electronics-america-inc?pageNo=78", "Renesas Electronics")</f>
        <v>Renesas Electronics</v>
      </c>
      <c r="C23116" s="6">
        <v>120000</v>
      </c>
      <c r="D23116" s="7">
        <v>0.33</v>
      </c>
    </row>
    <row r="23117" spans="1:4" x14ac:dyDescent="0.25">
      <c r="A23117" t="str">
        <f>HYPERLINK("https://www.773grp.com/globalSearch/HZ9C2TD-E/page-1", "HZ9C2TD-E")</f>
        <v>HZ9C2TD-E</v>
      </c>
      <c r="B23117" s="3" t="str">
        <f>HYPERLINK("https://www.773grp.com/manufacturer/renesas-electronics-america-inc?pageNo=79", "Renesas Electronics")</f>
        <v>Renesas Electronics</v>
      </c>
      <c r="C23117" s="6">
        <v>10000</v>
      </c>
      <c r="D23117" s="7">
        <v>0.33</v>
      </c>
    </row>
    <row r="23118" spans="1:4" x14ac:dyDescent="0.25">
      <c r="A23118" t="str">
        <f>HYPERLINK("https://www.773grp.com/globalSearch/HZ9C3LTD-E/page-1", "HZ9C3LTD-E")</f>
        <v>HZ9C3LTD-E</v>
      </c>
      <c r="B23118" s="3" t="str">
        <f>HYPERLINK("https://www.773grp.com/manufacturer/renesas-electronics-america-inc?pageNo=80", "Renesas Electronics")</f>
        <v>Renesas Electronics</v>
      </c>
      <c r="C23118" s="6">
        <v>17500</v>
      </c>
      <c r="D23118" s="7">
        <v>0.33</v>
      </c>
    </row>
    <row r="23119" spans="1:4" x14ac:dyDescent="0.25">
      <c r="A23119" t="str">
        <f>HYPERLINK("https://www.773grp.com/globalSearch/HZC13TRF-E/page-1", "HZC13TRF-E")</f>
        <v>HZC13TRF-E</v>
      </c>
      <c r="B23119" s="3" t="str">
        <f>HYPERLINK("https://www.773grp.com/manufacturer/renesas-electronics-america-inc?pageNo=81", "Renesas Electronics")</f>
        <v>Renesas Electronics</v>
      </c>
      <c r="C23119" s="6">
        <v>64000</v>
      </c>
      <c r="D23119" s="7">
        <v>0.33</v>
      </c>
    </row>
    <row r="23120" spans="1:4" x14ac:dyDescent="0.25">
      <c r="A23120" t="str">
        <f>HYPERLINK("https://www.773grp.com/globalSearch/HZC2.7TRF-E/page-1", "HZC2.7TRF-E")</f>
        <v>HZC2.7TRF-E</v>
      </c>
      <c r="B23120" s="3" t="str">
        <f>HYPERLINK("https://www.773grp.com/manufacturer/renesas-electronics-america-inc?pageNo=82", "Renesas Electronics")</f>
        <v>Renesas Electronics</v>
      </c>
      <c r="C23120" s="6">
        <v>8000</v>
      </c>
      <c r="D23120" s="7">
        <v>0.33</v>
      </c>
    </row>
    <row r="23121" spans="1:4" x14ac:dyDescent="0.25">
      <c r="A23121" t="str">
        <f>HYPERLINK("https://www.773grp.com/globalSearch/HZC4.3TRF-E/page-1", "HZC4.3TRF-E")</f>
        <v>HZC4.3TRF-E</v>
      </c>
      <c r="B23121" s="3" t="str">
        <f>HYPERLINK("https://www.773grp.com/manufacturer/renesas-electronics-america-inc?pageNo=83", "Renesas Electronics")</f>
        <v>Renesas Electronics</v>
      </c>
      <c r="C23121" s="6">
        <v>76000</v>
      </c>
      <c r="D23121" s="7">
        <v>0.33</v>
      </c>
    </row>
    <row r="23122" spans="1:4" x14ac:dyDescent="0.25">
      <c r="A23122" t="str">
        <f>HYPERLINK("https://www.773grp.com/globalSearch/HZK18LTL-S-E/page-1", "HZK18LTL-S-E")</f>
        <v>HZK18LTL-S-E</v>
      </c>
      <c r="B23122" s="3" t="str">
        <f>HYPERLINK("https://www.773grp.com/manufacturer/renesas-electronics-america-inc?pageNo=84", "Renesas Electronics")</f>
        <v>Renesas Electronics</v>
      </c>
      <c r="C23122" s="6">
        <v>7500</v>
      </c>
      <c r="D23122" s="7">
        <v>0.33</v>
      </c>
    </row>
    <row r="23123" spans="1:4" x14ac:dyDescent="0.25">
      <c r="A23123" t="str">
        <f>HYPERLINK("https://www.773grp.com/globalSearch/HZK22TR-S-E/page-1", "HZK22TR-S-E")</f>
        <v>HZK22TR-S-E</v>
      </c>
      <c r="B23123" s="3" t="str">
        <f>HYPERLINK("https://www.773grp.com/manufacturer/renesas-electronics-america-inc?pageNo=85", "Renesas Electronics")</f>
        <v>Renesas Electronics</v>
      </c>
      <c r="C23123" s="6">
        <v>10000</v>
      </c>
      <c r="D23123" s="7">
        <v>0.33</v>
      </c>
    </row>
    <row r="23124" spans="1:4" x14ac:dyDescent="0.25">
      <c r="A23124" t="str">
        <f>HYPERLINK("https://www.773grp.com/globalSearch/HZM10NB1TR-E/page-1", "HZM10NB1TR-E")</f>
        <v>HZM10NB1TR-E</v>
      </c>
      <c r="B23124" s="3" t="str">
        <f>HYPERLINK("https://www.773grp.com/manufacturer/renesas-electronics-america-inc?pageNo=86", "Renesas Electronics")</f>
        <v>Renesas Electronics</v>
      </c>
      <c r="C23124" s="6">
        <v>18000</v>
      </c>
      <c r="D23124" s="7">
        <v>0.33</v>
      </c>
    </row>
    <row r="23125" spans="1:4" x14ac:dyDescent="0.25">
      <c r="A23125" t="str">
        <f>HYPERLINK("https://www.773grp.com/globalSearch/HZM12NB2JTR/page-1", "HZM12NB2JTR")</f>
        <v>HZM12NB2JTR</v>
      </c>
      <c r="B23125" s="3" t="str">
        <f>HYPERLINK("https://www.773grp.com/manufacturer/renesas-electronics-america-inc?pageNo=87", "Renesas Electronics")</f>
        <v>Renesas Electronics</v>
      </c>
      <c r="C23125" s="6">
        <v>36000</v>
      </c>
      <c r="D23125" s="7">
        <v>0.33</v>
      </c>
    </row>
    <row r="23126" spans="1:4" x14ac:dyDescent="0.25">
      <c r="A23126" t="str">
        <f>HYPERLINK("https://www.773grp.com/globalSearch/HZM18NB2JTL/page-1", "HZM18NB2JTL")</f>
        <v>HZM18NB2JTL</v>
      </c>
      <c r="B23126" s="3" t="str">
        <f>HYPERLINK("https://www.773grp.com/manufacturer/renesas-electronics-america-inc?pageNo=88", "Renesas Electronics")</f>
        <v>Renesas Electronics</v>
      </c>
      <c r="C23126" s="6">
        <v>21000</v>
      </c>
      <c r="D23126" s="7">
        <v>0.33</v>
      </c>
    </row>
    <row r="23127" spans="1:4" x14ac:dyDescent="0.25">
      <c r="A23127" t="str">
        <f>HYPERLINK("https://www.773grp.com/globalSearch/HZM2.0NBTR-E/page-1", "HZM2.0NBTR-E")</f>
        <v>HZM2.0NBTR-E</v>
      </c>
      <c r="B23127" s="3" t="str">
        <f>HYPERLINK("https://www.773grp.com/manufacturer/renesas-electronics-america-inc?pageNo=89", "Renesas Electronics")</f>
        <v>Renesas Electronics</v>
      </c>
      <c r="C23127" s="6">
        <v>15000</v>
      </c>
      <c r="D23127" s="7">
        <v>0.33</v>
      </c>
    </row>
    <row r="23128" spans="1:4" x14ac:dyDescent="0.25">
      <c r="A23128" t="str">
        <f>HYPERLINK("https://www.773grp.com/globalSearch/HZM22NB3TL-E/page-1", "HZM22NB3TL-E")</f>
        <v>HZM22NB3TL-E</v>
      </c>
      <c r="B23128" s="3" t="str">
        <f>HYPERLINK("https://www.773grp.com/manufacturer/renesas-electronics-america-inc?pageNo=90", "Renesas Electronics")</f>
        <v>Renesas Electronics</v>
      </c>
      <c r="C23128" s="6">
        <v>12000</v>
      </c>
      <c r="D23128" s="7">
        <v>0.33</v>
      </c>
    </row>
    <row r="23129" spans="1:4" x14ac:dyDescent="0.25">
      <c r="A23129" t="str">
        <f>HYPERLINK("https://www.773grp.com/globalSearch/HZM6.2NB3TL-E/page-1", "HZM6.2NB3TL-E")</f>
        <v>HZM6.2NB3TL-E</v>
      </c>
      <c r="B23129" s="3" t="str">
        <f>HYPERLINK("https://www.773grp.com/manufacturer/renesas-electronics-america-inc?pageNo=91", "Renesas Electronics")</f>
        <v>Renesas Electronics</v>
      </c>
      <c r="C23129" s="6">
        <v>30000</v>
      </c>
      <c r="D23129" s="7">
        <v>0.33</v>
      </c>
    </row>
    <row r="23130" spans="1:4" x14ac:dyDescent="0.25">
      <c r="A23130" t="str">
        <f>HYPERLINK("https://www.773grp.com/globalSearch/HZM7.5NB3JTL-E/page-1", "HZM7.5NB3JTL-E")</f>
        <v>HZM7.5NB3JTL-E</v>
      </c>
      <c r="B23130" s="3" t="str">
        <f>HYPERLINK("https://www.773grp.com/manufacturer/renesas-electronics-america-inc?pageNo=92", "Renesas Electronics")</f>
        <v>Renesas Electronics</v>
      </c>
      <c r="C23130" s="6">
        <v>6000</v>
      </c>
      <c r="D23130" s="7">
        <v>0.33</v>
      </c>
    </row>
    <row r="23131" spans="1:4" x14ac:dyDescent="0.25">
      <c r="A23131" t="str">
        <f>HYPERLINK("https://www.773grp.com/globalSearch/HZM8.2NB1TR-E/page-1", "HZM8.2NB1TR-E")</f>
        <v>HZM8.2NB1TR-E</v>
      </c>
      <c r="B23131" s="3" t="str">
        <f>HYPERLINK("https://www.773grp.com/manufacturer/renesas-electronics-america-inc?pageNo=93", "Renesas Electronics")</f>
        <v>Renesas Electronics</v>
      </c>
      <c r="C23131" s="6">
        <v>63000</v>
      </c>
      <c r="D23131" s="7">
        <v>0.33</v>
      </c>
    </row>
    <row r="23132" spans="1:4" x14ac:dyDescent="0.25">
      <c r="A23132" t="str">
        <f>HYPERLINK("https://www.773grp.com/globalSearch/HZM8.2NB3TR-E/page-1", "HZM8.2NB3TR-E")</f>
        <v>HZM8.2NB3TR-E</v>
      </c>
      <c r="B23132" s="3" t="str">
        <f>HYPERLINK("https://www.773grp.com/manufacturer/renesas-electronics-america-inc?pageNo=94", "Renesas Electronics")</f>
        <v>Renesas Electronics</v>
      </c>
      <c r="C23132" s="6">
        <v>90000</v>
      </c>
      <c r="D23132" s="7">
        <v>0.33</v>
      </c>
    </row>
    <row r="23133" spans="1:4" x14ac:dyDescent="0.25">
      <c r="A23133" t="str">
        <f>HYPERLINK("https://www.773grp.com/globalSearch/HZS27-2LTA-E/page-1", "HZS27-2LTA-E")</f>
        <v>HZS27-2LTA-E</v>
      </c>
      <c r="B23133" s="3" t="str">
        <f>HYPERLINK("https://www.773grp.com/manufacturer/renesas-electronics-america-inc?pageNo=95", "Renesas Electronics")</f>
        <v>Renesas Electronics</v>
      </c>
      <c r="C23133" s="6">
        <v>30000</v>
      </c>
      <c r="D23133" s="7">
        <v>0.33</v>
      </c>
    </row>
    <row r="23134" spans="1:4" x14ac:dyDescent="0.25">
      <c r="A23134" t="str">
        <f>HYPERLINK("https://www.773grp.com/globalSearch/HZU11B1LTRF-E/page-1", "HZU11B1LTRF-E")</f>
        <v>HZU11B1LTRF-E</v>
      </c>
      <c r="B23134" s="3" t="str">
        <f>HYPERLINK("https://www.773grp.com/manufacturer/renesas-electronics-america-inc?pageNo=96", "Renesas Electronics")</f>
        <v>Renesas Electronics</v>
      </c>
      <c r="C23134" s="6">
        <v>69000</v>
      </c>
      <c r="D23134" s="7">
        <v>0.33</v>
      </c>
    </row>
    <row r="23135" spans="1:4" x14ac:dyDescent="0.25">
      <c r="A23135" t="str">
        <f>HYPERLINK("https://www.773grp.com/globalSearch/HZU11C1LTRF-E/page-1", "HZU11C1LTRF-E")</f>
        <v>HZU11C1LTRF-E</v>
      </c>
      <c r="B23135" s="3" t="str">
        <f>HYPERLINK("https://www.773grp.com/manufacturer/renesas-electronics-america-inc?pageNo=97", "Renesas Electronics")</f>
        <v>Renesas Electronics</v>
      </c>
      <c r="C23135" s="6">
        <v>123000</v>
      </c>
      <c r="D23135" s="7">
        <v>0.33</v>
      </c>
    </row>
    <row r="23136" spans="1:4" x14ac:dyDescent="0.25">
      <c r="A23136" t="str">
        <f>HYPERLINK("https://www.773grp.com/globalSearch/HZU11C2LTRF-E/page-1", "HZU11C2LTRF-E")</f>
        <v>HZU11C2LTRF-E</v>
      </c>
      <c r="B23136" s="3" t="str">
        <f>HYPERLINK("https://www.773grp.com/manufacturer/renesas-electronics-america-inc?pageNo=98", "Renesas Electronics")</f>
        <v>Renesas Electronics</v>
      </c>
      <c r="C23136" s="6">
        <v>123000</v>
      </c>
      <c r="D23136" s="7">
        <v>0.33</v>
      </c>
    </row>
    <row r="23137" spans="1:4" x14ac:dyDescent="0.25">
      <c r="A23137" t="str">
        <f>HYPERLINK("https://www.773grp.com/globalSearch/HZU12A1LTRF-E/page-1", "HZU12A1LTRF-E")</f>
        <v>HZU12A1LTRF-E</v>
      </c>
      <c r="B23137" s="3" t="str">
        <f>HYPERLINK("https://www.773grp.com/manufacturer/renesas-electronics-america-inc?pageNo=99", "Renesas Electronics")</f>
        <v>Renesas Electronics</v>
      </c>
      <c r="C23137" s="6">
        <v>114000</v>
      </c>
      <c r="D23137" s="7">
        <v>0.33</v>
      </c>
    </row>
    <row r="23138" spans="1:4" x14ac:dyDescent="0.25">
      <c r="A23138" t="str">
        <f>HYPERLINK("https://www.773grp.com/globalSearch/HZU12B1LTRF-E/page-1", "HZU12B1LTRF-E")</f>
        <v>HZU12B1LTRF-E</v>
      </c>
      <c r="B23138" s="3" t="str">
        <f>HYPERLINK("https://www.773grp.com/manufacturer/renesas-electronics-america-inc?pageNo=100", "Renesas Electronics")</f>
        <v>Renesas Electronics</v>
      </c>
      <c r="C23138" s="6">
        <v>57000</v>
      </c>
      <c r="D23138" s="7">
        <v>0.33</v>
      </c>
    </row>
    <row r="23139" spans="1:4" x14ac:dyDescent="0.25">
      <c r="A23139" t="str">
        <f>HYPERLINK("https://www.773grp.com/globalSearch/HZU15B2JTRF/page-1", "HZU15B2JTRF")</f>
        <v>HZU15B2JTRF</v>
      </c>
      <c r="B23139" s="3" t="str">
        <f>HYPERLINK("https://www.773grp.com/manufacturer/renesas-electronics-america-inc?pageNo=101", "Renesas Electronics")</f>
        <v>Renesas Electronics</v>
      </c>
      <c r="C23139" s="6">
        <v>66000</v>
      </c>
      <c r="D23139" s="7">
        <v>0.33</v>
      </c>
    </row>
    <row r="23140" spans="1:4" x14ac:dyDescent="0.25">
      <c r="A23140" t="str">
        <f>HYPERLINK("https://www.773grp.com/globalSearch/HZU24B3JTRF-E/page-1", "HZU24B3JTRF-E")</f>
        <v>HZU24B3JTRF-E</v>
      </c>
      <c r="B23140" s="3" t="str">
        <f>HYPERLINK("https://www.773grp.com/manufacturer/renesas-electronics-america-inc?pageNo=102", "Renesas Electronics")</f>
        <v>Renesas Electronics</v>
      </c>
      <c r="C23140" s="6">
        <v>33000</v>
      </c>
      <c r="D23140" s="7">
        <v>0.33</v>
      </c>
    </row>
    <row r="23141" spans="1:4" x14ac:dyDescent="0.25">
      <c r="A23141" t="str">
        <f>HYPERLINK("https://www.773grp.com/globalSearch/HZU27B-JTRF/page-1", "HZU27B-JTRF")</f>
        <v>HZU27B-JTRF</v>
      </c>
      <c r="B23141" s="3" t="str">
        <f>HYPERLINK("https://www.773grp.com/manufacturer/renesas-electronics-america-inc?pageNo=103", "Renesas Electronics")</f>
        <v>Renesas Electronics</v>
      </c>
      <c r="C23141" s="6">
        <v>66000</v>
      </c>
      <c r="D23141" s="7">
        <v>0.33</v>
      </c>
    </row>
    <row r="23142" spans="1:4" x14ac:dyDescent="0.25">
      <c r="A23142" t="str">
        <f>HYPERLINK("https://www.773grp.com/globalSearch/HZU6C2LTRF-E/page-1", "HZU6C2LTRF-E")</f>
        <v>HZU6C2LTRF-E</v>
      </c>
      <c r="B23142" s="3" t="str">
        <f>HYPERLINK("https://www.773grp.com/manufacturer/renesas-electronics-america-inc?pageNo=104", "Renesas Electronics")</f>
        <v>Renesas Electronics</v>
      </c>
      <c r="C23142" s="6">
        <v>63000</v>
      </c>
      <c r="D23142" s="7">
        <v>0.33</v>
      </c>
    </row>
    <row r="23143" spans="1:4" x14ac:dyDescent="0.25">
      <c r="A23143" t="str">
        <f>HYPERLINK("https://www.773grp.com/globalSearch/HZU8.2B2JTRF/page-1", "HZU8.2B2JTRF")</f>
        <v>HZU8.2B2JTRF</v>
      </c>
      <c r="B23143" s="3" t="str">
        <f>HYPERLINK("https://www.773grp.com/manufacturer/renesas-electronics-america-inc?pageNo=105", "Renesas Electronics")</f>
        <v>Renesas Electronics</v>
      </c>
      <c r="C23143" s="6">
        <v>108000</v>
      </c>
      <c r="D23143" s="7">
        <v>0.33</v>
      </c>
    </row>
    <row r="23144" spans="1:4" x14ac:dyDescent="0.25">
      <c r="A23144" t="str">
        <f>HYPERLINK("https://www.773grp.com/globalSearch/RD100E(1)/page-1", "RD100E(1)")</f>
        <v>RD100E(1)</v>
      </c>
      <c r="B23144" s="3" t="str">
        <f>HYPERLINK("https://www.773grp.com/manufacturer/renesas-electronics-america-inc?pageNo=106", "Renesas Electronics")</f>
        <v>Renesas Electronics</v>
      </c>
      <c r="C23144" s="6">
        <v>2800</v>
      </c>
      <c r="D23144" s="7">
        <v>0.33</v>
      </c>
    </row>
    <row r="23145" spans="1:4" x14ac:dyDescent="0.25">
      <c r="A23145" t="str">
        <f>HYPERLINK("https://www.773grp.com/globalSearch/RD3.0S-T1/page-1", "RD3.0S-T1")</f>
        <v>RD3.0S-T1</v>
      </c>
      <c r="B23145" s="3" t="str">
        <f>HYPERLINK("https://www.773grp.com/manufacturer/renesas-electronics-america-inc?pageNo=107", "Renesas Electronics")</f>
        <v>Renesas Electronics</v>
      </c>
      <c r="C23145" s="6">
        <v>105000</v>
      </c>
      <c r="D23145" s="7">
        <v>0.33</v>
      </c>
    </row>
    <row r="23146" spans="1:4" x14ac:dyDescent="0.25">
      <c r="A23146" t="str">
        <f>HYPERLINK("https://www.773grp.com/globalSearch/RD43E(N)-T4/page-1", "RD43E(N)-T4")</f>
        <v>RD43E(N)-T4</v>
      </c>
      <c r="B23146" s="3" t="str">
        <f>HYPERLINK("https://www.773grp.com/manufacturer/renesas-electronics-america-inc?pageNo=108", "Renesas Electronics")</f>
        <v>Renesas Electronics</v>
      </c>
      <c r="C23146" s="6">
        <v>10000</v>
      </c>
      <c r="D23146" s="7">
        <v>0.33</v>
      </c>
    </row>
    <row r="23147" spans="1:4" x14ac:dyDescent="0.25">
      <c r="A23147" t="str">
        <f>HYPERLINK("https://www.773grp.com/globalSearch/RD62E(N)-T4/page-1", "RD62E(N)-T4")</f>
        <v>RD62E(N)-T4</v>
      </c>
      <c r="B23147" s="3" t="str">
        <f>HYPERLINK("https://www.773grp.com/manufacturer/renesas-electronics-america-inc?pageNo=109", "Renesas Electronics")</f>
        <v>Renesas Electronics</v>
      </c>
      <c r="C23147" s="6">
        <v>15000</v>
      </c>
      <c r="D23147" s="7">
        <v>0.33</v>
      </c>
    </row>
    <row r="23148" spans="1:4" x14ac:dyDescent="0.25">
      <c r="A23148" t="str">
        <f>HYPERLINK("https://www.773grp.com/globalSearch/RD75E(N)-T1/page-1", "RD75E(N)-T1")</f>
        <v>RD75E(N)-T1</v>
      </c>
      <c r="B23148" s="3" t="str">
        <f>HYPERLINK("https://www.773grp.com/manufacturer/renesas-electronics-america-inc?pageNo=110", "Renesas Electronics")</f>
        <v>Renesas Electronics</v>
      </c>
      <c r="C23148" s="6">
        <v>12000</v>
      </c>
      <c r="D23148" s="7">
        <v>0.33</v>
      </c>
    </row>
    <row r="23149" spans="1:4" x14ac:dyDescent="0.25">
      <c r="A23149" t="str">
        <f>HYPERLINK("https://www.773grp.com/globalSearch/RD75E(N)-T2/page-1", "RD75E(N)-T2")</f>
        <v>RD75E(N)-T2</v>
      </c>
      <c r="B23149" s="3" t="str">
        <f>HYPERLINK("https://www.773grp.com/manufacturer/renesas-electronics-america-inc?pageNo=111", "Renesas Electronics")</f>
        <v>Renesas Electronics</v>
      </c>
      <c r="C23149" s="6">
        <v>15000</v>
      </c>
      <c r="D23149" s="7">
        <v>0.33</v>
      </c>
    </row>
    <row r="23150" spans="1:4" x14ac:dyDescent="0.25">
      <c r="A23150" t="str">
        <f>HYPERLINK("https://www.773grp.com/globalSearch/RKD702KL-1N#R1/page-1", "RKD702KL-1N#R1")</f>
        <v>RKD702KL-1N#R1</v>
      </c>
      <c r="B23150" s="3" t="str">
        <f>HYPERLINK("https://www.773grp.com/manufacturer/renesas-electronics-america-inc?pageNo=112", "Renesas Electronics")</f>
        <v>Renesas Electronics</v>
      </c>
      <c r="C23150" s="6">
        <v>450000</v>
      </c>
      <c r="D23150" s="7">
        <v>0.33</v>
      </c>
    </row>
    <row r="23151" spans="1:4" x14ac:dyDescent="0.25">
      <c r="A23151" t="str">
        <f>HYPERLINK("https://www.773grp.com/globalSearch/RKD702KL-N#R1/page-1", "RKD702KL-N#R1")</f>
        <v>RKD702KL-N#R1</v>
      </c>
      <c r="B23151" s="3" t="str">
        <f>HYPERLINK("https://www.773grp.com/manufacturer/renesas-electronics-america-inc?pageNo=113", "Renesas Electronics")</f>
        <v>Renesas Electronics</v>
      </c>
      <c r="C23151" s="6">
        <v>80000</v>
      </c>
      <c r="D23151" s="7">
        <v>0.33</v>
      </c>
    </row>
    <row r="23152" spans="1:4" x14ac:dyDescent="0.25">
      <c r="A23152" t="str">
        <f>HYPERLINK("https://www.773grp.com/globalSearch/RKD703KK#R6/page-1", "RKD703KK#R6")</f>
        <v>RKD703KK#R6</v>
      </c>
      <c r="B23152" s="3" t="str">
        <f>HYPERLINK("https://www.773grp.com/manufacturer/renesas-electronics-america-inc?pageNo=114", "Renesas Electronics")</f>
        <v>Renesas Electronics</v>
      </c>
      <c r="C23152" s="6">
        <v>232000</v>
      </c>
      <c r="D23152" s="7">
        <v>0.33</v>
      </c>
    </row>
    <row r="23153" spans="1:4" x14ac:dyDescent="0.25">
      <c r="A23153" t="str">
        <f>HYPERLINK("https://www.773grp.com/globalSearch/RKZ10AKU#P6/page-1", "RKZ10AKU#P6")</f>
        <v>RKZ10AKU#P6</v>
      </c>
      <c r="B23153" s="3" t="str">
        <f>HYPERLINK("https://www.773grp.com/manufacturer/renesas-electronics-america-inc?pageNo=115", "Renesas Electronics")</f>
        <v>Renesas Electronics</v>
      </c>
      <c r="C23153" s="6">
        <v>48000</v>
      </c>
      <c r="D23153" s="7">
        <v>0.33</v>
      </c>
    </row>
    <row r="23154" spans="1:4" x14ac:dyDescent="0.25">
      <c r="A23154" t="str">
        <f>HYPERLINK("https://www.773grp.com/globalSearch/RKZ10DKU#P6/page-1", "RKZ10DKU#P6")</f>
        <v>RKZ10DKU#P6</v>
      </c>
      <c r="B23154" s="3" t="str">
        <f>HYPERLINK("https://www.773grp.com/manufacturer/renesas-electronics-america-inc?pageNo=116", "Renesas Electronics")</f>
        <v>Renesas Electronics</v>
      </c>
      <c r="C23154" s="6">
        <v>32000</v>
      </c>
      <c r="D23154" s="7">
        <v>0.33</v>
      </c>
    </row>
    <row r="23155" spans="1:4" x14ac:dyDescent="0.25">
      <c r="A23155" t="str">
        <f>HYPERLINK("https://www.773grp.com/globalSearch/RKZ11AKU#P6/page-1", "RKZ11AKU#P6")</f>
        <v>RKZ11AKU#P6</v>
      </c>
      <c r="B23155" s="3" t="str">
        <f>HYPERLINK("https://www.773grp.com/manufacturer/renesas-electronics-america-inc?pageNo=117", "Renesas Electronics")</f>
        <v>Renesas Electronics</v>
      </c>
      <c r="C23155" s="6">
        <v>48000</v>
      </c>
      <c r="D23155" s="7">
        <v>0.33</v>
      </c>
    </row>
    <row r="23156" spans="1:4" x14ac:dyDescent="0.25">
      <c r="A23156" t="str">
        <f>HYPERLINK("https://www.773grp.com/globalSearch/RKZ11CKU#P6/page-1", "RKZ11CKU#P6")</f>
        <v>RKZ11CKU#P6</v>
      </c>
      <c r="B23156" s="3" t="str">
        <f>HYPERLINK("https://www.773grp.com/manufacturer/renesas-electronics-america-inc?pageNo=118", "Renesas Electronics")</f>
        <v>Renesas Electronics</v>
      </c>
      <c r="C23156" s="6">
        <v>132000</v>
      </c>
      <c r="D23156" s="7">
        <v>0.33</v>
      </c>
    </row>
    <row r="23157" spans="1:4" x14ac:dyDescent="0.25">
      <c r="A23157" t="str">
        <f>HYPERLINK("https://www.773grp.com/globalSearch/RKZ12AKU#P6/page-1", "RKZ12AKU#P6")</f>
        <v>RKZ12AKU#P6</v>
      </c>
      <c r="B23157" s="3" t="str">
        <f>HYPERLINK("https://www.773grp.com/manufacturer/renesas-electronics-america-inc?pageNo=119", "Renesas Electronics")</f>
        <v>Renesas Electronics</v>
      </c>
      <c r="C23157" s="6">
        <v>112000</v>
      </c>
      <c r="D23157" s="7">
        <v>0.33</v>
      </c>
    </row>
    <row r="23158" spans="1:4" x14ac:dyDescent="0.25">
      <c r="A23158" t="str">
        <f>HYPERLINK("https://www.773grp.com/globalSearch/RKZ24DKU#P6/page-1", "RKZ24DKU#P6")</f>
        <v>RKZ24DKU#P6</v>
      </c>
      <c r="B23158" s="3" t="str">
        <f>HYPERLINK("https://www.773grp.com/manufacturer/renesas-electronics-america-inc?pageNo=120", "Renesas Electronics")</f>
        <v>Renesas Electronics</v>
      </c>
      <c r="C23158" s="6">
        <v>52000</v>
      </c>
      <c r="D23158" s="7">
        <v>0.33</v>
      </c>
    </row>
    <row r="23159" spans="1:4" x14ac:dyDescent="0.25">
      <c r="A23159" t="str">
        <f>HYPERLINK("https://www.773grp.com/globalSearch/RKZ3.0BKU#P6/page-1", "RKZ3.0BKU#P6")</f>
        <v>RKZ3.0BKU#P6</v>
      </c>
      <c r="B23159" s="3" t="str">
        <f>HYPERLINK("https://www.773grp.com/manufacturer/renesas-electronics-america-inc?pageNo=121", "Renesas Electronics")</f>
        <v>Renesas Electronics</v>
      </c>
      <c r="C23159" s="6">
        <v>60000</v>
      </c>
      <c r="D23159" s="7">
        <v>0.33</v>
      </c>
    </row>
    <row r="23160" spans="1:4" x14ac:dyDescent="0.25">
      <c r="A23160" t="str">
        <f>HYPERLINK("https://www.773grp.com/globalSearch/RKZ3.3B2KK#R1/page-1", "RKZ3.3B2KK#R1")</f>
        <v>RKZ3.3B2KK#R1</v>
      </c>
      <c r="B23160" s="3" t="str">
        <f>HYPERLINK("https://www.773grp.com/manufacturer/renesas-electronics-america-inc?pageNo=122", "Renesas Electronics")</f>
        <v>Renesas Electronics</v>
      </c>
      <c r="C23160" s="6">
        <v>96000</v>
      </c>
      <c r="D23160" s="7">
        <v>0.33</v>
      </c>
    </row>
    <row r="23161" spans="1:4" x14ac:dyDescent="0.25">
      <c r="A23161" t="str">
        <f>HYPERLINK("https://www.773grp.com/globalSearch/RKZ3.6AKU#P6/page-1", "RKZ3.6AKU#P6")</f>
        <v>RKZ3.6AKU#P6</v>
      </c>
      <c r="B23161" s="3" t="str">
        <f>HYPERLINK("https://www.773grp.com/manufacturer/renesas-electronics-america-inc?pageNo=123", "Renesas Electronics")</f>
        <v>Renesas Electronics</v>
      </c>
      <c r="C23161" s="6">
        <v>80000</v>
      </c>
      <c r="D23161" s="7">
        <v>0.33</v>
      </c>
    </row>
    <row r="23162" spans="1:4" x14ac:dyDescent="0.25">
      <c r="A23162" t="str">
        <f>HYPERLINK("https://www.773grp.com/globalSearch/RKZ3.6BKV#P1/page-1", "RKZ3.6BKV#P1")</f>
        <v>RKZ3.6BKV#P1</v>
      </c>
      <c r="B23162" s="3" t="str">
        <f>HYPERLINK("https://www.773grp.com/manufacturer/renesas-electronics-america-inc?pageNo=124", "Renesas Electronics")</f>
        <v>Renesas Electronics</v>
      </c>
      <c r="C23162" s="6">
        <v>9000</v>
      </c>
      <c r="D23162" s="7">
        <v>0.33</v>
      </c>
    </row>
    <row r="23163" spans="1:4" x14ac:dyDescent="0.25">
      <c r="A23163" t="str">
        <f>HYPERLINK("https://www.773grp.com/globalSearch/RKZ33AKU#P6/page-1", "RKZ33AKU#P6")</f>
        <v>RKZ33AKU#P6</v>
      </c>
      <c r="B23163" s="3" t="str">
        <f>HYPERLINK("https://www.773grp.com/manufacturer/renesas-electronics-america-inc?pageNo=125", "Renesas Electronics")</f>
        <v>Renesas Electronics</v>
      </c>
      <c r="C23163" s="6">
        <v>44000</v>
      </c>
      <c r="D23163" s="7">
        <v>0.33</v>
      </c>
    </row>
    <row r="23164" spans="1:4" x14ac:dyDescent="0.25">
      <c r="A23164" t="str">
        <f>HYPERLINK("https://www.773grp.com/globalSearch/RKZ33BKU#P6/page-1", "RKZ33BKU#P6")</f>
        <v>RKZ33BKU#P6</v>
      </c>
      <c r="B23164" s="3" t="str">
        <f>HYPERLINK("https://www.773grp.com/manufacturer/renesas-electronics-america-inc?pageNo=126", "Renesas Electronics")</f>
        <v>Renesas Electronics</v>
      </c>
      <c r="C23164" s="6">
        <v>116000</v>
      </c>
      <c r="D23164" s="7">
        <v>0.33</v>
      </c>
    </row>
    <row r="23165" spans="1:4" x14ac:dyDescent="0.25">
      <c r="A23165" t="str">
        <f>HYPERLINK("https://www.773grp.com/globalSearch/RKZ5.6B2KL#R1/page-1", "RKZ5.6B2KL#R1")</f>
        <v>RKZ5.6B2KL#R1</v>
      </c>
      <c r="B23165" s="3" t="str">
        <f>HYPERLINK("https://www.773grp.com/manufacturer/renesas-electronics-america-inc?pageNo=127", "Renesas Electronics")</f>
        <v>Renesas Electronics</v>
      </c>
      <c r="C23165" s="6">
        <v>350000</v>
      </c>
      <c r="D23165" s="7">
        <v>0.33</v>
      </c>
    </row>
    <row r="23166" spans="1:4" x14ac:dyDescent="0.25">
      <c r="A23166" t="str">
        <f>HYPERLINK("https://www.773grp.com/globalSearch/RKZ5.6BKV#P1/page-1", "RKZ5.6BKV#P1")</f>
        <v>RKZ5.6BKV#P1</v>
      </c>
      <c r="B23166" s="3" t="str">
        <f>HYPERLINK("https://www.773grp.com/manufacturer/renesas-electronics-america-inc?pageNo=128", "Renesas Electronics")</f>
        <v>Renesas Electronics</v>
      </c>
      <c r="C23166" s="6">
        <v>66000</v>
      </c>
      <c r="D23166" s="7">
        <v>0.33</v>
      </c>
    </row>
    <row r="23167" spans="1:4" x14ac:dyDescent="0.25">
      <c r="A23167" t="str">
        <f>HYPERLINK("https://www.773grp.com/globalSearch/RKZ6.2AKU#P6/page-1", "RKZ6.2AKU#P6")</f>
        <v>RKZ6.2AKU#P6</v>
      </c>
      <c r="B23167" s="3" t="str">
        <f>HYPERLINK("https://www.773grp.com/manufacturer/renesas-electronics-america-inc?pageNo=129", "Renesas Electronics")</f>
        <v>Renesas Electronics</v>
      </c>
      <c r="C23167" s="6">
        <v>60000</v>
      </c>
      <c r="D23167" s="7">
        <v>0.33</v>
      </c>
    </row>
    <row r="23168" spans="1:4" x14ac:dyDescent="0.25">
      <c r="A23168" t="str">
        <f>HYPERLINK("https://www.773grp.com/globalSearch/RKZ6.8AKU#P6/page-1", "RKZ6.8AKU#P6")</f>
        <v>RKZ6.8AKU#P6</v>
      </c>
      <c r="B23168" s="3" t="str">
        <f>HYPERLINK("https://www.773grp.com/manufacturer/renesas-electronics-america-inc?pageNo=130", "Renesas Electronics")</f>
        <v>Renesas Electronics</v>
      </c>
      <c r="C23168" s="6">
        <v>8000</v>
      </c>
      <c r="D23168" s="7">
        <v>0.33</v>
      </c>
    </row>
    <row r="23169" spans="1:4" x14ac:dyDescent="0.25">
      <c r="A23169" t="str">
        <f>HYPERLINK("https://www.773grp.com/globalSearch/RKZ6.8B2KK#R1/page-1", "RKZ6.8B2KK#R1")</f>
        <v>RKZ6.8B2KK#R1</v>
      </c>
      <c r="B23169" s="3" t="str">
        <f>HYPERLINK("https://www.773grp.com/manufacturer/renesas-electronics-america-inc?pageNo=131", "Renesas Electronics")</f>
        <v>Renesas Electronics</v>
      </c>
      <c r="C23169" s="6">
        <v>216000</v>
      </c>
      <c r="D23169" s="7">
        <v>0.33</v>
      </c>
    </row>
    <row r="23170" spans="1:4" x14ac:dyDescent="0.25">
      <c r="A23170" t="str">
        <f>HYPERLINK("https://www.773grp.com/globalSearch/RKZ9.1BKV#P1/page-1", "RKZ9.1BKV#P1")</f>
        <v>RKZ9.1BKV#P1</v>
      </c>
      <c r="B23170" s="3" t="str">
        <f>HYPERLINK("https://www.773grp.com/manufacturer/renesas-electronics-america-inc?pageNo=132", "Renesas Electronics")</f>
        <v>Renesas Electronics</v>
      </c>
      <c r="C23170" s="6">
        <v>114000</v>
      </c>
      <c r="D23170" s="7">
        <v>0.33</v>
      </c>
    </row>
    <row r="23171" spans="1:4" x14ac:dyDescent="0.25">
      <c r="A23171" t="str">
        <f>HYPERLINK("https://www.773grp.com/globalSearch/1S2076A90TA-E/page-1", "1S2076A90TA-E")</f>
        <v>1S2076A90TA-E</v>
      </c>
      <c r="B23171" s="3" t="str">
        <f>HYPERLINK("https://www.773grp.com/manufacturer/renesas-electronics-america-inc?pageNo=133", "Renesas Electronics")</f>
        <v>Renesas Electronics</v>
      </c>
      <c r="C23171" s="6">
        <v>20000</v>
      </c>
      <c r="D23171" s="7">
        <v>0.38</v>
      </c>
    </row>
    <row r="23172" spans="1:4" x14ac:dyDescent="0.25">
      <c r="A23172" t="str">
        <f>HYPERLINK("https://www.773grp.com/globalSearch/1S954-T1/page-1", "1S954-T1")</f>
        <v>1S954-T1</v>
      </c>
      <c r="B23172" s="3" t="str">
        <f>HYPERLINK("https://www.773grp.com/manufacturer/renesas-electronics-america-inc?pageNo=134", "Renesas Electronics")</f>
        <v>Renesas Electronics</v>
      </c>
      <c r="C23172" s="6">
        <v>11375</v>
      </c>
      <c r="D23172" s="7">
        <v>0.38</v>
      </c>
    </row>
    <row r="23173" spans="1:4" x14ac:dyDescent="0.25">
      <c r="A23173" t="str">
        <f>HYPERLINK("https://www.773grp.com/globalSearch/1S954-TB/page-1", "1S954-TB")</f>
        <v>1S954-TB</v>
      </c>
      <c r="B23173" s="3" t="str">
        <f>HYPERLINK("https://www.773grp.com/manufacturer/renesas-electronics-america-inc?pageNo=135", "Renesas Electronics")</f>
        <v>Renesas Electronics</v>
      </c>
      <c r="C23173" s="6">
        <v>14385</v>
      </c>
      <c r="D23173" s="7">
        <v>0.38</v>
      </c>
    </row>
    <row r="23174" spans="1:4" x14ac:dyDescent="0.25">
      <c r="A23174" t="str">
        <f>HYPERLINK("https://www.773grp.com/globalSearch/1SS198-E/page-1", "1SS198-E")</f>
        <v>1SS198-E</v>
      </c>
      <c r="B23174" s="3" t="str">
        <f>HYPERLINK("https://www.773grp.com/manufacturer/renesas-electronics-america-inc?pageNo=136", "Renesas Electronics")</f>
        <v>Renesas Electronics</v>
      </c>
      <c r="C23174" s="6">
        <v>69125</v>
      </c>
      <c r="D23174" s="7">
        <v>0.38</v>
      </c>
    </row>
    <row r="23175" spans="1:4" x14ac:dyDescent="0.25">
      <c r="A23175" t="str">
        <f>HYPERLINK("https://www.773grp.com/globalSearch/2SC4965YV-TL-E/page-1", "2SC4965YV-TL-E")</f>
        <v>2SC4965YV-TL-E</v>
      </c>
      <c r="B23175" s="3" t="str">
        <f>HYPERLINK("https://www.773grp.com/manufacturer/renesas-electronics-america-inc?pageNo=137", "Renesas Electronics")</f>
        <v>Renesas Electronics</v>
      </c>
      <c r="C23175" s="6">
        <v>48000</v>
      </c>
      <c r="D23175" s="7">
        <v>0.38</v>
      </c>
    </row>
    <row r="23176" spans="1:4" x14ac:dyDescent="0.25">
      <c r="A23176" t="str">
        <f>HYPERLINK("https://www.773grp.com/globalSearch/2SD467CTZ-E/page-1", "2SD467CTZ-E")</f>
        <v>2SD467CTZ-E</v>
      </c>
      <c r="B23176" s="3" t="str">
        <f>HYPERLINK("https://www.773grp.com/manufacturer/renesas-electronics-america-inc?pageNo=138", "Renesas Electronics")</f>
        <v>Renesas Electronics</v>
      </c>
      <c r="C23176" s="6">
        <v>2500</v>
      </c>
      <c r="D23176" s="7">
        <v>0.38</v>
      </c>
    </row>
    <row r="23177" spans="1:4" x14ac:dyDescent="0.25">
      <c r="A23177" t="str">
        <f>HYPERLINK("https://www.773grp.com/globalSearch/HRU0302ATRF-P-E/page-1", "HRU0302ATRF-P-E")</f>
        <v>HRU0302ATRF-P-E</v>
      </c>
      <c r="B23177" s="3" t="str">
        <f>HYPERLINK("https://www.773grp.com/manufacturer/renesas-electronics-america-inc?pageNo=139", "Renesas Electronics")</f>
        <v>Renesas Electronics</v>
      </c>
      <c r="C23177" s="6">
        <v>96000</v>
      </c>
      <c r="D23177" s="7">
        <v>0.38</v>
      </c>
    </row>
    <row r="23178" spans="1:4" x14ac:dyDescent="0.25">
      <c r="A23178" t="str">
        <f>HYPERLINK("https://www.773grp.com/globalSearch/HSB2836TR-E/page-1", "HSB2836TR-E")</f>
        <v>HSB2836TR-E</v>
      </c>
      <c r="B23178" s="3" t="str">
        <f>HYPERLINK("https://www.773grp.com/manufacturer/renesas-electronics-america-inc?pageNo=140", "Renesas Electronics")</f>
        <v>Renesas Electronics</v>
      </c>
      <c r="C23178" s="6">
        <v>36000</v>
      </c>
      <c r="D23178" s="7">
        <v>0.38</v>
      </c>
    </row>
    <row r="23179" spans="1:4" x14ac:dyDescent="0.25">
      <c r="A23179" t="str">
        <f>HYPERLINK("https://www.773grp.com/globalSearch/HSC226JKRF-E/page-1", "HSC226JKRF-E")</f>
        <v>HSC226JKRF-E</v>
      </c>
      <c r="B23179" s="3" t="str">
        <f>HYPERLINK("https://www.773grp.com/manufacturer/renesas-electronics-america-inc?pageNo=141", "Renesas Electronics")</f>
        <v>Renesas Electronics</v>
      </c>
      <c r="C23179" s="6">
        <v>96000</v>
      </c>
      <c r="D23179" s="7">
        <v>0.38</v>
      </c>
    </row>
    <row r="23180" spans="1:4" x14ac:dyDescent="0.25">
      <c r="A23180" t="str">
        <f>HYPERLINK("https://www.773grp.com/globalSearch/HSC276A1TRF-E/page-1", "HSC276A1TRF-E")</f>
        <v>HSC276A1TRF-E</v>
      </c>
      <c r="B23180" s="3" t="str">
        <f>HYPERLINK("https://www.773grp.com/manufacturer/renesas-electronics-america-inc?pageNo=142", "Renesas Electronics")</f>
        <v>Renesas Electronics</v>
      </c>
      <c r="C23180" s="6">
        <v>28000</v>
      </c>
      <c r="D23180" s="7">
        <v>0.38</v>
      </c>
    </row>
    <row r="23181" spans="1:4" x14ac:dyDescent="0.25">
      <c r="A23181" t="str">
        <f>HYPERLINK("https://www.773grp.com/globalSearch/HSM123-92TR-E/page-1", "HSM123-92TR-E")</f>
        <v>HSM123-92TR-E</v>
      </c>
      <c r="B23181" s="3" t="str">
        <f>HYPERLINK("https://www.773grp.com/manufacturer/renesas-electronics-america-inc?pageNo=143", "Renesas Electronics")</f>
        <v>Renesas Electronics</v>
      </c>
      <c r="C23181" s="6">
        <v>27000</v>
      </c>
      <c r="D23181" s="7">
        <v>0.38</v>
      </c>
    </row>
    <row r="23182" spans="1:4" x14ac:dyDescent="0.25">
      <c r="A23182" t="str">
        <f>HYPERLINK("https://www.773grp.com/globalSearch/HSM221C-JTR/page-1", "HSM221C-JTR")</f>
        <v>HSM221C-JTR</v>
      </c>
      <c r="B23182" s="3" t="str">
        <f>HYPERLINK("https://www.773grp.com/manufacturer/renesas-electronics-america-inc?pageNo=144", "Renesas Electronics")</f>
        <v>Renesas Electronics</v>
      </c>
      <c r="C23182" s="6">
        <v>3000</v>
      </c>
      <c r="D23182" s="7">
        <v>0.38</v>
      </c>
    </row>
    <row r="23183" spans="1:4" x14ac:dyDescent="0.25">
      <c r="A23183" t="str">
        <f>HYPERLINK("https://www.773grp.com/globalSearch/HSU276ATRF-E/page-1", "HSU276ATRF-E")</f>
        <v>HSU276ATRF-E</v>
      </c>
      <c r="B23183" s="3" t="str">
        <f>HYPERLINK("https://www.773grp.com/manufacturer/renesas-electronics-america-inc?pageNo=145", "Renesas Electronics")</f>
        <v>Renesas Electronics</v>
      </c>
      <c r="C23183" s="6">
        <v>66000</v>
      </c>
      <c r="D23183" s="7">
        <v>0.38</v>
      </c>
    </row>
    <row r="23184" spans="1:4" x14ac:dyDescent="0.25">
      <c r="A23184" t="str">
        <f>HYPERLINK("https://www.773grp.com/globalSearch/HVC142A-NKRF-E/page-1", "HVC142A-NKRF-E")</f>
        <v>HVC142A-NKRF-E</v>
      </c>
      <c r="B23184" s="3" t="str">
        <f>HYPERLINK("https://www.773grp.com/manufacturer/renesas-electronics-america-inc?pageNo=146", "Renesas Electronics")</f>
        <v>Renesas Electronics</v>
      </c>
      <c r="C23184" s="6">
        <v>216000</v>
      </c>
      <c r="D23184" s="7">
        <v>0.38</v>
      </c>
    </row>
    <row r="23185" spans="1:4" x14ac:dyDescent="0.25">
      <c r="A23185" t="str">
        <f>HYPERLINK("https://www.773grp.com/globalSearch/HVC300C1TRU-E/page-1", "HVC300C1TRU-E")</f>
        <v>HVC300C1TRU-E</v>
      </c>
      <c r="B23185" s="3" t="str">
        <f>HYPERLINK("https://www.773grp.com/manufacturer/renesas-electronics-america-inc?pageNo=147", "Renesas Electronics")</f>
        <v>Renesas Electronics</v>
      </c>
      <c r="C23185" s="6">
        <v>80000</v>
      </c>
      <c r="D23185" s="7">
        <v>0.38</v>
      </c>
    </row>
    <row r="23186" spans="1:4" x14ac:dyDescent="0.25">
      <c r="A23186" t="str">
        <f>HYPERLINK("https://www.773grp.com/globalSearch/HVD145KRF-E/page-1", "HVD145KRF-E")</f>
        <v>HVD145KRF-E</v>
      </c>
      <c r="B23186" s="3" t="str">
        <f>HYPERLINK("https://www.773grp.com/manufacturer/renesas-electronics-america-inc?pageNo=148", "Renesas Electronics")</f>
        <v>Renesas Electronics</v>
      </c>
      <c r="C23186" s="6">
        <v>80000</v>
      </c>
      <c r="D23186" s="7">
        <v>0.38</v>
      </c>
    </row>
    <row r="23187" spans="1:4" x14ac:dyDescent="0.25">
      <c r="A23187" t="str">
        <f>HYPERLINK("https://www.773grp.com/globalSearch/HVL142-3PRF-E/page-1", "HVL142-3PRF-E")</f>
        <v>HVL142-3PRF-E</v>
      </c>
      <c r="B23187" s="3" t="str">
        <f>HYPERLINK("https://www.773grp.com/manufacturer/renesas-electronics-america-inc?pageNo=149", "Renesas Electronics")</f>
        <v>Renesas Electronics</v>
      </c>
      <c r="C23187" s="6">
        <v>120000</v>
      </c>
      <c r="D23187" s="7">
        <v>0.38</v>
      </c>
    </row>
    <row r="23188" spans="1:4" x14ac:dyDescent="0.25">
      <c r="A23188" t="str">
        <f>HYPERLINK("https://www.773grp.com/globalSearch/HVL142AM3KRF-E/page-1", "HVL142AM3KRF-E")</f>
        <v>HVL142AM3KRF-E</v>
      </c>
      <c r="B23188" s="3" t="str">
        <f>HYPERLINK("https://www.773grp.com/manufacturer/renesas-electronics-america-inc?pageNo=150", "Renesas Electronics")</f>
        <v>Renesas Electronics</v>
      </c>
      <c r="C23188" s="6">
        <v>830000</v>
      </c>
      <c r="D23188" s="7">
        <v>0.38</v>
      </c>
    </row>
    <row r="23189" spans="1:4" x14ac:dyDescent="0.25">
      <c r="A23189" t="str">
        <f>HYPERLINK("https://www.773grp.com/globalSearch/HVL144A3KRF-E/page-1", "HVL144A3KRF-E")</f>
        <v>HVL144A3KRF-E</v>
      </c>
      <c r="B23189" s="3" t="str">
        <f>HYPERLINK("https://www.773grp.com/manufacturer/renesas-electronics-america-inc?pageNo=151", "Renesas Electronics")</f>
        <v>Renesas Electronics</v>
      </c>
      <c r="C23189" s="6">
        <v>200000</v>
      </c>
      <c r="D23189" s="7">
        <v>0.38</v>
      </c>
    </row>
    <row r="23190" spans="1:4" x14ac:dyDescent="0.25">
      <c r="A23190" t="str">
        <f>HYPERLINK("https://www.773grp.com/globalSearch/HVL144AKRF-E/page-1", "HVL144AKRF-E")</f>
        <v>HVL144AKRF-E</v>
      </c>
      <c r="B23190" s="3" t="str">
        <f>HYPERLINK("https://www.773grp.com/manufacturer/renesas-electronics-america-inc?pageNo=152", "Renesas Electronics")</f>
        <v>Renesas Electronics</v>
      </c>
      <c r="C23190" s="6">
        <v>90000</v>
      </c>
      <c r="D23190" s="7">
        <v>0.38</v>
      </c>
    </row>
    <row r="23191" spans="1:4" x14ac:dyDescent="0.25">
      <c r="A23191" t="str">
        <f>HYPERLINK("https://www.773grp.com/globalSearch/HVU300C4TRF-E/page-1", "HVU300C4TRF-E")</f>
        <v>HVU300C4TRF-E</v>
      </c>
      <c r="B23191" s="3" t="str">
        <f>HYPERLINK("https://www.773grp.com/manufacturer/renesas-electronics-america-inc?pageNo=153", "Renesas Electronics")</f>
        <v>Renesas Electronics</v>
      </c>
      <c r="C23191" s="6">
        <v>84000</v>
      </c>
      <c r="D23191" s="7">
        <v>0.38</v>
      </c>
    </row>
    <row r="23192" spans="1:4" x14ac:dyDescent="0.25">
      <c r="A23192" t="str">
        <f>HYPERLINK("https://www.773grp.com/globalSearch/HZ11A1LTD-E/page-1", "HZ11A1LTD-E")</f>
        <v>HZ11A1LTD-E</v>
      </c>
      <c r="B23192" s="3" t="str">
        <f>HYPERLINK("https://www.773grp.com/manufacturer/renesas-electronics-america-inc?pageNo=154", "Renesas Electronics")</f>
        <v>Renesas Electronics</v>
      </c>
      <c r="C23192" s="6">
        <v>5000</v>
      </c>
      <c r="D23192" s="7">
        <v>0.38</v>
      </c>
    </row>
    <row r="23193" spans="1:4" x14ac:dyDescent="0.25">
      <c r="A23193" t="str">
        <f>HYPERLINK("https://www.773grp.com/globalSearch/HZ11B2JTA-E/page-1", "HZ11B2JTA-E")</f>
        <v>HZ11B2JTA-E</v>
      </c>
      <c r="B23193" s="3" t="str">
        <f>HYPERLINK("https://www.773grp.com/manufacturer/renesas-electronics-america-inc?pageNo=155", "Renesas Electronics")</f>
        <v>Renesas Electronics</v>
      </c>
      <c r="C23193" s="6">
        <v>15000</v>
      </c>
      <c r="D23193" s="7">
        <v>0.38</v>
      </c>
    </row>
    <row r="23194" spans="1:4" x14ac:dyDescent="0.25">
      <c r="A23194" t="str">
        <f>HYPERLINK("https://www.773grp.com/globalSearch/HZ11B3L-E/page-1", "HZ11B3L-E")</f>
        <v>HZ11B3L-E</v>
      </c>
      <c r="B23194" s="3" t="str">
        <f>HYPERLINK("https://www.773grp.com/manufacturer/renesas-electronics-america-inc?pageNo=156", "Renesas Electronics")</f>
        <v>Renesas Electronics</v>
      </c>
      <c r="C23194" s="6">
        <v>15500</v>
      </c>
      <c r="D23194" s="7">
        <v>0.38</v>
      </c>
    </row>
    <row r="23195" spans="1:4" x14ac:dyDescent="0.25">
      <c r="A23195" t="str">
        <f>HYPERLINK("https://www.773grp.com/globalSearch/HZ12B1L-E/page-1", "HZ12B1L-E")</f>
        <v>HZ12B1L-E</v>
      </c>
      <c r="B23195" s="3" t="str">
        <f>HYPERLINK("https://www.773grp.com/manufacturer/renesas-electronics-america-inc?pageNo=157", "Renesas Electronics")</f>
        <v>Renesas Electronics</v>
      </c>
      <c r="C23195" s="6">
        <v>12000</v>
      </c>
      <c r="D23195" s="7">
        <v>0.38</v>
      </c>
    </row>
    <row r="23196" spans="1:4" x14ac:dyDescent="0.25">
      <c r="A23196" t="str">
        <f>HYPERLINK("https://www.773grp.com/globalSearch/HZ12B1LTD-E/page-1", "HZ12B1LTD-E")</f>
        <v>HZ12B1LTD-E</v>
      </c>
      <c r="B23196" s="3" t="str">
        <f>HYPERLINK("https://www.773grp.com/manufacturer/renesas-electronics-america-inc?pageNo=158", "Renesas Electronics")</f>
        <v>Renesas Electronics</v>
      </c>
      <c r="C23196" s="6">
        <v>50000</v>
      </c>
      <c r="D23196" s="7">
        <v>0.38</v>
      </c>
    </row>
    <row r="23197" spans="1:4" x14ac:dyDescent="0.25">
      <c r="A23197" t="str">
        <f>HYPERLINK("https://www.773grp.com/globalSearch/HZ12B3LTD-E/page-1", "HZ12B3LTD-E")</f>
        <v>HZ12B3LTD-E</v>
      </c>
      <c r="B23197" s="3" t="str">
        <f>HYPERLINK("https://www.773grp.com/manufacturer/renesas-electronics-america-inc?pageNo=159", "Renesas Electronics")</f>
        <v>Renesas Electronics</v>
      </c>
      <c r="C23197" s="6">
        <v>5000</v>
      </c>
      <c r="D23197" s="7">
        <v>0.38</v>
      </c>
    </row>
    <row r="23198" spans="1:4" x14ac:dyDescent="0.25">
      <c r="A23198" t="str">
        <f>HYPERLINK("https://www.773grp.com/globalSearch/HZ12C1J-E/page-1", "HZ12C1J-E")</f>
        <v>HZ12C1J-E</v>
      </c>
      <c r="B23198" s="3" t="str">
        <f>HYPERLINK("https://www.773grp.com/manufacturer/renesas-electronics-america-inc?pageNo=160", "Renesas Electronics")</f>
        <v>Renesas Electronics</v>
      </c>
      <c r="C23198" s="6">
        <v>11000</v>
      </c>
      <c r="D23198" s="7">
        <v>0.38</v>
      </c>
    </row>
    <row r="23199" spans="1:4" x14ac:dyDescent="0.25">
      <c r="A23199" t="str">
        <f>HYPERLINK("https://www.773grp.com/globalSearch/HZ15-1LTA-E/page-1", "HZ15-1LTA-E")</f>
        <v>HZ15-1LTA-E</v>
      </c>
      <c r="B23199" s="3" t="str">
        <f>HYPERLINK("https://www.773grp.com/manufacturer/renesas-electronics-america-inc?pageNo=161", "Renesas Electronics")</f>
        <v>Renesas Electronics</v>
      </c>
      <c r="C23199" s="6">
        <v>5000</v>
      </c>
      <c r="D23199" s="7">
        <v>0.38</v>
      </c>
    </row>
    <row r="23200" spans="1:4" x14ac:dyDescent="0.25">
      <c r="A23200" t="str">
        <f>HYPERLINK("https://www.773grp.com/globalSearch/HZ15-2J-E/page-1", "HZ15-2J-E")</f>
        <v>HZ15-2J-E</v>
      </c>
      <c r="B23200" s="3" t="str">
        <f>HYPERLINK("https://www.773grp.com/manufacturer/renesas-electronics-america-inc?pageNo=162", "Renesas Electronics")</f>
        <v>Renesas Electronics</v>
      </c>
      <c r="C23200" s="6">
        <v>18500</v>
      </c>
      <c r="D23200" s="7">
        <v>0.38</v>
      </c>
    </row>
    <row r="23201" spans="1:4" x14ac:dyDescent="0.25">
      <c r="A23201" t="str">
        <f>HYPERLINK("https://www.773grp.com/globalSearch/HZ16-1-90/page-1", "HZ16-1-90")</f>
        <v>HZ16-1-90</v>
      </c>
      <c r="B23201" s="3" t="str">
        <f>HYPERLINK("https://www.773grp.com/manufacturer/renesas-electronics-america-inc?pageNo=163", "Renesas Electronics")</f>
        <v>Renesas Electronics</v>
      </c>
      <c r="C23201" s="6">
        <v>19000</v>
      </c>
      <c r="D23201" s="7">
        <v>0.38</v>
      </c>
    </row>
    <row r="23202" spans="1:4" x14ac:dyDescent="0.25">
      <c r="A23202" t="str">
        <f>HYPERLINK("https://www.773grp.com/globalSearch/HZ16-2JTA-E/page-1", "HZ16-2JTA-E")</f>
        <v>HZ16-2JTA-E</v>
      </c>
      <c r="B23202" s="3" t="str">
        <f>HYPERLINK("https://www.773grp.com/manufacturer/renesas-electronics-america-inc?pageNo=164", "Renesas Electronics")</f>
        <v>Renesas Electronics</v>
      </c>
      <c r="C23202" s="6">
        <v>10000</v>
      </c>
      <c r="D23202" s="7">
        <v>0.38</v>
      </c>
    </row>
    <row r="23203" spans="1:4" x14ac:dyDescent="0.25">
      <c r="A23203" t="str">
        <f>HYPERLINK("https://www.773grp.com/globalSearch/HZ3B2J/page-1", "HZ3B2J")</f>
        <v>HZ3B2J</v>
      </c>
      <c r="B23203" s="3" t="str">
        <f>HYPERLINK("https://www.773grp.com/manufacturer/renesas-electronics-america-inc?pageNo=165", "Renesas Electronics")</f>
        <v>Renesas Electronics</v>
      </c>
      <c r="C23203" s="6">
        <v>17931</v>
      </c>
      <c r="D23203" s="7">
        <v>0.38</v>
      </c>
    </row>
    <row r="23204" spans="1:4" x14ac:dyDescent="0.25">
      <c r="A23204" t="str">
        <f>HYPERLINK("https://www.773grp.com/globalSearch/HZ4A3J-E/page-1", "HZ4A3J-E")</f>
        <v>HZ4A3J-E</v>
      </c>
      <c r="B23204" s="3" t="str">
        <f>HYPERLINK("https://www.773grp.com/manufacturer/renesas-electronics-america-inc?pageNo=166", "Renesas Electronics")</f>
        <v>Renesas Electronics</v>
      </c>
      <c r="C23204" s="6">
        <v>13500</v>
      </c>
      <c r="D23204" s="7">
        <v>0.38</v>
      </c>
    </row>
    <row r="23205" spans="1:4" x14ac:dyDescent="0.25">
      <c r="A23205" t="str">
        <f>HYPERLINK("https://www.773grp.com/globalSearch/HZ4ALLTD-E/page-1", "HZ4ALLTD-E")</f>
        <v>HZ4ALLTD-E</v>
      </c>
      <c r="B23205" s="3" t="str">
        <f>HYPERLINK("https://www.773grp.com/manufacturer/renesas-electronics-america-inc?pageNo=167", "Renesas Electronics")</f>
        <v>Renesas Electronics</v>
      </c>
      <c r="C23205" s="6">
        <v>17500</v>
      </c>
      <c r="D23205" s="7">
        <v>0.38</v>
      </c>
    </row>
    <row r="23206" spans="1:4" x14ac:dyDescent="0.25">
      <c r="A23206" t="str">
        <f>HYPERLINK("https://www.773grp.com/globalSearch/HZ4C3JTA-E/page-1", "HZ4C3JTA-E")</f>
        <v>HZ4C3JTA-E</v>
      </c>
      <c r="B23206" s="3" t="str">
        <f>HYPERLINK("https://www.773grp.com/manufacturer/renesas-electronics-america-inc?pageNo=168", "Renesas Electronics")</f>
        <v>Renesas Electronics</v>
      </c>
      <c r="C23206" s="6">
        <v>10000</v>
      </c>
      <c r="D23206" s="7">
        <v>0.38</v>
      </c>
    </row>
    <row r="23207" spans="1:4" x14ac:dyDescent="0.25">
      <c r="A23207" t="str">
        <f>HYPERLINK("https://www.773grp.com/globalSearch/HZ5A2J-E/page-1", "HZ5A2J-E")</f>
        <v>HZ5A2J-E</v>
      </c>
      <c r="B23207" s="3" t="str">
        <f>HYPERLINK("https://www.773grp.com/manufacturer/renesas-electronics-america-inc?pageNo=169", "Renesas Electronics")</f>
        <v>Renesas Electronics</v>
      </c>
      <c r="C23207" s="6">
        <v>10000</v>
      </c>
      <c r="D23207" s="7">
        <v>0.38</v>
      </c>
    </row>
    <row r="23208" spans="1:4" x14ac:dyDescent="0.25">
      <c r="A23208" t="str">
        <f>HYPERLINK("https://www.773grp.com/globalSearch/HZ5ALL-J-E/page-1", "HZ5ALL-J-E")</f>
        <v>HZ5ALL-J-E</v>
      </c>
      <c r="B23208" s="3" t="str">
        <f>HYPERLINK("https://www.773grp.com/manufacturer/renesas-electronics-america-inc?pageNo=170", "Renesas Electronics")</f>
        <v>Renesas Electronics</v>
      </c>
      <c r="C23208" s="6">
        <v>47500</v>
      </c>
      <c r="D23208" s="7">
        <v>0.38</v>
      </c>
    </row>
    <row r="23209" spans="1:4" x14ac:dyDescent="0.25">
      <c r="A23209" t="str">
        <f>HYPERLINK("https://www.773grp.com/globalSearch/HZ5B2J-E/page-1", "HZ5B2J-E")</f>
        <v>HZ5B2J-E</v>
      </c>
      <c r="B23209" s="3" t="str">
        <f>HYPERLINK("https://www.773grp.com/manufacturer/renesas-electronics-america-inc?pageNo=171", "Renesas Electronics")</f>
        <v>Renesas Electronics</v>
      </c>
      <c r="C23209" s="6">
        <v>5000</v>
      </c>
      <c r="D23209" s="7">
        <v>0.38</v>
      </c>
    </row>
    <row r="23210" spans="1:4" x14ac:dyDescent="0.25">
      <c r="A23210" t="str">
        <f>HYPERLINK("https://www.773grp.com/globalSearch/HZ5BLLRE-E/page-1", "HZ5BLLRE-E")</f>
        <v>HZ5BLLRE-E</v>
      </c>
      <c r="B23210" s="3" t="str">
        <f>HYPERLINK("https://www.773grp.com/manufacturer/renesas-electronics-america-inc?pageNo=172", "Renesas Electronics")</f>
        <v>Renesas Electronics</v>
      </c>
      <c r="C23210" s="6">
        <v>88000</v>
      </c>
      <c r="D23210" s="7">
        <v>0.38</v>
      </c>
    </row>
    <row r="23211" spans="1:4" x14ac:dyDescent="0.25">
      <c r="A23211" t="str">
        <f>HYPERLINK("https://www.773grp.com/globalSearch/HZ5BLLTA-E/page-1", "HZ5BLLTA-E")</f>
        <v>HZ5BLLTA-E</v>
      </c>
      <c r="B23211" s="3" t="str">
        <f>HYPERLINK("https://www.773grp.com/manufacturer/renesas-electronics-america-inc?pageNo=173", "Renesas Electronics")</f>
        <v>Renesas Electronics</v>
      </c>
      <c r="C23211" s="6">
        <v>5000</v>
      </c>
      <c r="D23211" s="7">
        <v>0.38</v>
      </c>
    </row>
    <row r="23212" spans="1:4" x14ac:dyDescent="0.25">
      <c r="A23212" t="str">
        <f>HYPERLINK("https://www.773grp.com/globalSearch/HZ5C3J-E/page-1", "HZ5C3J-E")</f>
        <v>HZ5C3J-E</v>
      </c>
      <c r="B23212" s="3" t="str">
        <f>HYPERLINK("https://www.773grp.com/manufacturer/renesas-electronics-america-inc?pageNo=174", "Renesas Electronics")</f>
        <v>Renesas Electronics</v>
      </c>
      <c r="C23212" s="6">
        <v>11000</v>
      </c>
      <c r="D23212" s="7">
        <v>0.38</v>
      </c>
    </row>
    <row r="23213" spans="1:4" x14ac:dyDescent="0.25">
      <c r="A23213" t="str">
        <f>HYPERLINK("https://www.773grp.com/globalSearch/HZ5CLL-J/page-1", "HZ5CLL-J")</f>
        <v>HZ5CLL-J</v>
      </c>
      <c r="B23213" s="3" t="str">
        <f>HYPERLINK("https://www.773grp.com/manufacturer/renesas-electronics-america-inc?pageNo=175", "Renesas Electronics")</f>
        <v>Renesas Electronics</v>
      </c>
      <c r="C23213" s="6">
        <v>12000</v>
      </c>
      <c r="D23213" s="7">
        <v>0.38</v>
      </c>
    </row>
    <row r="23214" spans="1:4" x14ac:dyDescent="0.25">
      <c r="A23214" t="str">
        <f>HYPERLINK("https://www.773grp.com/globalSearch/HZ6A2LTA-E/page-1", "HZ6A2LTA-E")</f>
        <v>HZ6A2LTA-E</v>
      </c>
      <c r="B23214" s="3" t="str">
        <f>HYPERLINK("https://www.773grp.com/manufacturer/renesas-electronics-america-inc?pageNo=176", "Renesas Electronics")</f>
        <v>Renesas Electronics</v>
      </c>
      <c r="C23214" s="6">
        <v>28570</v>
      </c>
      <c r="D23214" s="7">
        <v>0.38</v>
      </c>
    </row>
    <row r="23215" spans="1:4" x14ac:dyDescent="0.25">
      <c r="A23215" t="str">
        <f>HYPERLINK("https://www.773grp.com/globalSearch/HZ6C1J-E/page-1", "HZ6C1J-E")</f>
        <v>HZ6C1J-E</v>
      </c>
      <c r="B23215" s="3" t="str">
        <f>HYPERLINK("https://www.773grp.com/manufacturer/renesas-electronics-america-inc?pageNo=177", "Renesas Electronics")</f>
        <v>Renesas Electronics</v>
      </c>
      <c r="C23215" s="6">
        <v>10500</v>
      </c>
      <c r="D23215" s="7">
        <v>0.38</v>
      </c>
    </row>
    <row r="23216" spans="1:4" x14ac:dyDescent="0.25">
      <c r="A23216" t="str">
        <f>HYPERLINK("https://www.773grp.com/globalSearch/HZ7B2LRE-E/page-1", "HZ7B2LRE-E")</f>
        <v>HZ7B2LRE-E</v>
      </c>
      <c r="B23216" s="3" t="str">
        <f>HYPERLINK("https://www.773grp.com/manufacturer/renesas-electronics-america-inc?pageNo=178", "Renesas Electronics")</f>
        <v>Renesas Electronics</v>
      </c>
      <c r="C23216" s="6">
        <v>4000</v>
      </c>
      <c r="D23216" s="7">
        <v>0.38</v>
      </c>
    </row>
    <row r="23217" spans="1:4" x14ac:dyDescent="0.25">
      <c r="A23217" t="str">
        <f>HYPERLINK("https://www.773grp.com/globalSearch/HZ7B2LTA-E/page-1", "HZ7B2LTA-E")</f>
        <v>HZ7B2LTA-E</v>
      </c>
      <c r="B23217" s="3" t="str">
        <f>HYPERLINK("https://www.773grp.com/manufacturer/renesas-electronics-america-inc?pageNo=179", "Renesas Electronics")</f>
        <v>Renesas Electronics</v>
      </c>
      <c r="C23217" s="6">
        <v>45000</v>
      </c>
      <c r="D23217" s="7">
        <v>0.38</v>
      </c>
    </row>
    <row r="23218" spans="1:4" x14ac:dyDescent="0.25">
      <c r="A23218" t="str">
        <f>HYPERLINK("https://www.773grp.com/globalSearch/HZ7C3LTD-E/page-1", "HZ7C3LTD-E")</f>
        <v>HZ7C3LTD-E</v>
      </c>
      <c r="B23218" s="3" t="str">
        <f>HYPERLINK("https://www.773grp.com/manufacturer/renesas-electronics-america-inc?pageNo=180", "Renesas Electronics")</f>
        <v>Renesas Electronics</v>
      </c>
      <c r="C23218" s="6">
        <v>15000</v>
      </c>
      <c r="D23218" s="7">
        <v>0.38</v>
      </c>
    </row>
    <row r="23219" spans="1:4" x14ac:dyDescent="0.25">
      <c r="A23219" t="str">
        <f>HYPERLINK("https://www.773grp.com/globalSearch/HZ9B1LRE-E/page-1", "HZ9B1LRE-E")</f>
        <v>HZ9B1LRE-E</v>
      </c>
      <c r="B23219" s="3" t="str">
        <f>HYPERLINK("https://www.773grp.com/manufacturer/renesas-electronics-america-inc?pageNo=181", "Renesas Electronics")</f>
        <v>Renesas Electronics</v>
      </c>
      <c r="C23219" s="6">
        <v>12000</v>
      </c>
      <c r="D23219" s="7">
        <v>0.38</v>
      </c>
    </row>
    <row r="23220" spans="1:4" x14ac:dyDescent="0.25">
      <c r="A23220" t="str">
        <f>HYPERLINK("https://www.773grp.com/globalSearch/HZK12ALTL-S-E/page-1", "HZK12ALTL-S-E")</f>
        <v>HZK12ALTL-S-E</v>
      </c>
      <c r="B23220" s="3" t="str">
        <f>HYPERLINK("https://www.773grp.com/manufacturer/renesas-electronics-america-inc?pageNo=182", "Renesas Electronics")</f>
        <v>Renesas Electronics</v>
      </c>
      <c r="C23220" s="6">
        <v>15000</v>
      </c>
      <c r="D23220" s="7">
        <v>0.38</v>
      </c>
    </row>
    <row r="23221" spans="1:4" x14ac:dyDescent="0.25">
      <c r="A23221" t="str">
        <f>HYPERLINK("https://www.773grp.com/globalSearch/HZK12CTR-S-E/page-1", "HZK12CTR-S-E")</f>
        <v>HZK12CTR-S-E</v>
      </c>
      <c r="B23221" s="3" t="str">
        <f>HYPERLINK("https://www.773grp.com/manufacturer/renesas-electronics-america-inc?pageNo=183", "Renesas Electronics")</f>
        <v>Renesas Electronics</v>
      </c>
      <c r="C23221" s="6">
        <v>5000</v>
      </c>
      <c r="D23221" s="7">
        <v>0.38</v>
      </c>
    </row>
    <row r="23222" spans="1:4" x14ac:dyDescent="0.25">
      <c r="A23222" t="str">
        <f>HYPERLINK("https://www.773grp.com/globalSearch/HZK18TL/page-1", "HZK18TL")</f>
        <v>HZK18TL</v>
      </c>
      <c r="B23222" s="3" t="str">
        <f>HYPERLINK("https://www.773grp.com/manufacturer/renesas-electronics-america-inc?pageNo=184", "Renesas Electronics")</f>
        <v>Renesas Electronics</v>
      </c>
      <c r="C23222" s="6">
        <v>25000</v>
      </c>
      <c r="D23222" s="7">
        <v>0.38</v>
      </c>
    </row>
    <row r="23223" spans="1:4" x14ac:dyDescent="0.25">
      <c r="A23223" t="str">
        <f>HYPERLINK("https://www.773grp.com/globalSearch/HZK33TL-S-E/page-1", "HZK33TL-S-E")</f>
        <v>HZK33TL-S-E</v>
      </c>
      <c r="B23223" s="3" t="str">
        <f>HYPERLINK("https://www.773grp.com/manufacturer/renesas-electronics-america-inc?pageNo=185", "Renesas Electronics")</f>
        <v>Renesas Electronics</v>
      </c>
      <c r="C23223" s="6">
        <v>12500</v>
      </c>
      <c r="D23223" s="7">
        <v>0.38</v>
      </c>
    </row>
    <row r="23224" spans="1:4" x14ac:dyDescent="0.25">
      <c r="A23224" t="str">
        <f>HYPERLINK("https://www.773grp.com/globalSearch/HZK36-3-90TR/page-1", "HZK36-3-90TR")</f>
        <v>HZK36-3-90TR</v>
      </c>
      <c r="B23224" s="3" t="str">
        <f>HYPERLINK("https://www.773grp.com/manufacturer/renesas-electronics-america-inc?pageNo=186", "Renesas Electronics")</f>
        <v>Renesas Electronics</v>
      </c>
      <c r="C23224" s="6">
        <v>77500</v>
      </c>
      <c r="D23224" s="7">
        <v>0.38</v>
      </c>
    </row>
    <row r="23225" spans="1:4" x14ac:dyDescent="0.25">
      <c r="A23225" t="str">
        <f>HYPERLINK("https://www.773grp.com/globalSearch/HZK4BTR-S-E/page-1", "HZK4BTR-S-E")</f>
        <v>HZK4BTR-S-E</v>
      </c>
      <c r="B23225" s="3" t="str">
        <f>HYPERLINK("https://www.773grp.com/manufacturer/renesas-electronics-america-inc?pageNo=187", "Renesas Electronics")</f>
        <v>Renesas Electronics</v>
      </c>
      <c r="C23225" s="6">
        <v>55000</v>
      </c>
      <c r="D23225" s="7">
        <v>0.38</v>
      </c>
    </row>
    <row r="23226" spans="1:4" x14ac:dyDescent="0.25">
      <c r="A23226" t="str">
        <f>HYPERLINK("https://www.773grp.com/globalSearch/HZK5BLL-JTR/page-1", "HZK5BLL-JTR")</f>
        <v>HZK5BLL-JTR</v>
      </c>
      <c r="B23226" s="3" t="str">
        <f>HYPERLINK("https://www.773grp.com/manufacturer/renesas-electronics-america-inc?pageNo=188", "Renesas Electronics")</f>
        <v>Renesas Electronics</v>
      </c>
      <c r="C23226" s="6">
        <v>20000</v>
      </c>
      <c r="D23226" s="7">
        <v>0.38</v>
      </c>
    </row>
    <row r="23227" spans="1:4" x14ac:dyDescent="0.25">
      <c r="A23227" t="str">
        <f>HYPERLINK("https://www.773grp.com/globalSearch/HZK5BTR-S-E/page-1", "HZK5BTR-S-E")</f>
        <v>HZK5BTR-S-E</v>
      </c>
      <c r="B23227" s="3" t="str">
        <f>HYPERLINK("https://www.773grp.com/manufacturer/renesas-electronics-america-inc?pageNo=189", "Renesas Electronics")</f>
        <v>Renesas Electronics</v>
      </c>
      <c r="C23227" s="6">
        <v>17500</v>
      </c>
      <c r="D23227" s="7">
        <v>0.38</v>
      </c>
    </row>
    <row r="23228" spans="1:4" x14ac:dyDescent="0.25">
      <c r="A23228" t="str">
        <f>HYPERLINK("https://www.773grp.com/globalSearch/HZK9B-JTR/page-1", "HZK9B-JTR")</f>
        <v>HZK9B-JTR</v>
      </c>
      <c r="B23228" s="3" t="str">
        <f>HYPERLINK("https://www.773grp.com/manufacturer/renesas-electronics-america-inc?pageNo=190", "Renesas Electronics")</f>
        <v>Renesas Electronics</v>
      </c>
      <c r="C23228" s="6">
        <v>17500</v>
      </c>
      <c r="D23228" s="7">
        <v>0.38</v>
      </c>
    </row>
    <row r="23229" spans="1:4" x14ac:dyDescent="0.25">
      <c r="A23229" t="str">
        <f>HYPERLINK("https://www.773grp.com/globalSearch/HZM6.2ZMWATL-P-E/page-1", "HZM6.2ZMWATL-P-E")</f>
        <v>HZM6.2ZMWATL-P-E</v>
      </c>
      <c r="B23229" s="3" t="str">
        <f>HYPERLINK("https://www.773grp.com/manufacturer/renesas-electronics-america-inc?pageNo=191", "Renesas Electronics")</f>
        <v>Renesas Electronics</v>
      </c>
      <c r="C23229" s="6">
        <v>9000</v>
      </c>
      <c r="D23229" s="7">
        <v>0.38</v>
      </c>
    </row>
    <row r="23230" spans="1:4" x14ac:dyDescent="0.25">
      <c r="A23230" t="str">
        <f>HYPERLINK("https://www.773grp.com/globalSearch/HZS27-2JTA-E/page-1", "HZS27-2JTA-E")</f>
        <v>HZS27-2JTA-E</v>
      </c>
      <c r="B23230" s="3" t="str">
        <f>HYPERLINK("https://www.773grp.com/manufacturer/renesas-electronics-america-inc?pageNo=192", "Renesas Electronics")</f>
        <v>Renesas Electronics</v>
      </c>
      <c r="C23230" s="6">
        <v>10000</v>
      </c>
      <c r="D23230" s="7">
        <v>0.38</v>
      </c>
    </row>
    <row r="23231" spans="1:4" x14ac:dyDescent="0.25">
      <c r="A23231" t="str">
        <f>HYPERLINK("https://www.773grp.com/globalSearch/HZU11A1LTRF-E/page-1", "HZU11A1LTRF-E")</f>
        <v>HZU11A1LTRF-E</v>
      </c>
      <c r="B23231" s="3" t="str">
        <f>HYPERLINK("https://www.773grp.com/manufacturer/renesas-electronics-america-inc?pageNo=193", "Renesas Electronics")</f>
        <v>Renesas Electronics</v>
      </c>
      <c r="C23231" s="6">
        <v>108000</v>
      </c>
      <c r="D23231" s="7">
        <v>0.38</v>
      </c>
    </row>
    <row r="23232" spans="1:4" x14ac:dyDescent="0.25">
      <c r="A23232" t="str">
        <f>HYPERLINK("https://www.773grp.com/globalSearch/HZU11A3LTRF-E/page-1", "HZU11A3LTRF-E")</f>
        <v>HZU11A3LTRF-E</v>
      </c>
      <c r="B23232" s="3" t="str">
        <f>HYPERLINK("https://www.773grp.com/manufacturer/renesas-electronics-america-inc?pageNo=194", "Renesas Electronics")</f>
        <v>Renesas Electronics</v>
      </c>
      <c r="C23232" s="6">
        <v>18000</v>
      </c>
      <c r="D23232" s="7">
        <v>0.38</v>
      </c>
    </row>
    <row r="23233" spans="1:4" x14ac:dyDescent="0.25">
      <c r="A23233" t="str">
        <f>HYPERLINK("https://www.773grp.com/globalSearch/HZU5.6G-JTRF-E/page-1", "HZU5.6G-JTRF-E")</f>
        <v>HZU5.6G-JTRF-E</v>
      </c>
      <c r="B23233" s="3" t="str">
        <f>HYPERLINK("https://www.773grp.com/manufacturer/renesas-electronics-america-inc?pageNo=195", "Renesas Electronics")</f>
        <v>Renesas Electronics</v>
      </c>
      <c r="C23233" s="6">
        <v>57000</v>
      </c>
      <c r="D23233" s="7">
        <v>0.38</v>
      </c>
    </row>
    <row r="23234" spans="1:4" x14ac:dyDescent="0.25">
      <c r="A23234" t="str">
        <f>HYPERLINK("https://www.773grp.com/globalSearch/HZU5BLL-JTRF/page-1", "HZU5BLL-JTRF")</f>
        <v>HZU5BLL-JTRF</v>
      </c>
      <c r="B23234" s="3" t="str">
        <f>HYPERLINK("https://www.773grp.com/manufacturer/renesas-electronics-america-inc?pageNo=196", "Renesas Electronics")</f>
        <v>Renesas Electronics</v>
      </c>
      <c r="C23234" s="6">
        <v>63000</v>
      </c>
      <c r="D23234" s="7">
        <v>0.38</v>
      </c>
    </row>
    <row r="23235" spans="1:4" x14ac:dyDescent="0.25">
      <c r="A23235" t="str">
        <f>HYPERLINK("https://www.773grp.com/globalSearch/HZU9C1LTRF-E/page-1", "HZU9C1LTRF-E")</f>
        <v>HZU9C1LTRF-E</v>
      </c>
      <c r="B23235" s="3" t="str">
        <f>HYPERLINK("https://www.773grp.com/manufacturer/renesas-electronics-america-inc?pageNo=197", "Renesas Electronics")</f>
        <v>Renesas Electronics</v>
      </c>
      <c r="C23235" s="6">
        <v>51000</v>
      </c>
      <c r="D23235" s="7">
        <v>0.38</v>
      </c>
    </row>
    <row r="23236" spans="1:4" x14ac:dyDescent="0.25">
      <c r="A23236" t="str">
        <f>HYPERLINK("https://www.773grp.com/globalSearch/HZU9C3LTRF-E/page-1", "HZU9C3LTRF-E")</f>
        <v>HZU9C3LTRF-E</v>
      </c>
      <c r="B23236" s="3" t="str">
        <f>HYPERLINK("https://www.773grp.com/manufacturer/renesas-electronics-america-inc?pageNo=198", "Renesas Electronics")</f>
        <v>Renesas Electronics</v>
      </c>
      <c r="C23236" s="6">
        <v>105000</v>
      </c>
      <c r="D23236" s="7">
        <v>0.38</v>
      </c>
    </row>
    <row r="23237" spans="1:4" x14ac:dyDescent="0.25">
      <c r="A23237" t="str">
        <f>HYPERLINK("https://www.773grp.com/globalSearch/NNCD8.2J-T1-A/page-1", "NNCD8.2J-T1-A")</f>
        <v>NNCD8.2J-T1-A</v>
      </c>
      <c r="B23237" s="3" t="str">
        <f>HYPERLINK("https://www.773grp.com/manufacturer/renesas-electronics-america-inc?pageNo=199", "Renesas Electronics")</f>
        <v>Renesas Electronics</v>
      </c>
      <c r="C23237" s="6">
        <v>6000</v>
      </c>
      <c r="D23237" s="7">
        <v>0.38</v>
      </c>
    </row>
    <row r="23238" spans="1:4" x14ac:dyDescent="0.25">
      <c r="A23238" t="str">
        <f>HYPERLINK("https://www.773grp.com/globalSearch/RD2.7M-L-A/page-1", "RD2.7M-L-A")</f>
        <v>RD2.7M-L-A</v>
      </c>
      <c r="B23238" s="3" t="str">
        <f>HYPERLINK("https://www.773grp.com/manufacturer/renesas-electronics-america-inc?pageNo=200", "Renesas Electronics")</f>
        <v>Renesas Electronics</v>
      </c>
      <c r="C23238" s="6">
        <v>3600</v>
      </c>
      <c r="D23238" s="7">
        <v>0.38</v>
      </c>
    </row>
    <row r="23239" spans="1:4" x14ac:dyDescent="0.25">
      <c r="A23239" t="str">
        <f>HYPERLINK("https://www.773grp.com/globalSearch/RD20M-L-A/page-1", "RD20M-L-A")</f>
        <v>RD20M-L-A</v>
      </c>
      <c r="B23239" s="3" t="str">
        <f>HYPERLINK("https://www.773grp.com/manufacturer/renesas-electronics-america-inc?pageNo=201", "Renesas Electronics")</f>
        <v>Renesas Electronics</v>
      </c>
      <c r="C23239" s="6">
        <v>600</v>
      </c>
      <c r="D23239" s="7">
        <v>0.38</v>
      </c>
    </row>
    <row r="23240" spans="1:4" x14ac:dyDescent="0.25">
      <c r="A23240" t="str">
        <f>HYPERLINK("https://www.773grp.com/globalSearch/RD3.0M-L-A/page-1", "RD3.0M-L-A")</f>
        <v>RD3.0M-L-A</v>
      </c>
      <c r="B23240" s="3" t="str">
        <f>HYPERLINK("https://www.773grp.com/manufacturer/renesas-electronics-america-inc?pageNo=202", "Renesas Electronics")</f>
        <v>Renesas Electronics</v>
      </c>
      <c r="C23240" s="6">
        <v>900</v>
      </c>
      <c r="D23240" s="7">
        <v>0.38</v>
      </c>
    </row>
    <row r="23241" spans="1:4" x14ac:dyDescent="0.25">
      <c r="A23241" t="str">
        <f>HYPERLINK("https://www.773grp.com/globalSearch/RD3.3M-L-A/page-1", "RD3.3M-L-A")</f>
        <v>RD3.3M-L-A</v>
      </c>
      <c r="B23241" s="3" t="str">
        <f>HYPERLINK("https://www.773grp.com/manufacturer/renesas-electronics-america-inc?pageNo=203", "Renesas Electronics")</f>
        <v>Renesas Electronics</v>
      </c>
      <c r="C23241" s="6">
        <v>6500</v>
      </c>
      <c r="D23241" s="7">
        <v>0.38</v>
      </c>
    </row>
    <row r="23242" spans="1:4" x14ac:dyDescent="0.25">
      <c r="A23242" t="str">
        <f>HYPERLINK("https://www.773grp.com/globalSearch/RD39M-L-A/page-1", "RD39M-L-A")</f>
        <v>RD39M-L-A</v>
      </c>
      <c r="B23242" s="3" t="str">
        <f>HYPERLINK("https://www.773grp.com/manufacturer/renesas-electronics-america-inc?pageNo=204", "Renesas Electronics")</f>
        <v>Renesas Electronics</v>
      </c>
      <c r="C23242" s="6">
        <v>1800</v>
      </c>
      <c r="D23242" s="7">
        <v>0.38</v>
      </c>
    </row>
    <row r="23243" spans="1:4" x14ac:dyDescent="0.25">
      <c r="A23243" t="str">
        <f>HYPERLINK("https://www.773grp.com/globalSearch/RKH0160AKU-1#P6/page-1", "RKH0160AKU-1#P6")</f>
        <v>RKH0160AKU-1#P6</v>
      </c>
      <c r="B23243" s="3" t="str">
        <f>HYPERLINK("https://www.773grp.com/manufacturer/renesas-electronics-america-inc?pageNo=205", "Renesas Electronics")</f>
        <v>Renesas Electronics</v>
      </c>
      <c r="C23243" s="6">
        <v>4000</v>
      </c>
      <c r="D23243" s="7">
        <v>0.38</v>
      </c>
    </row>
    <row r="23244" spans="1:4" x14ac:dyDescent="0.25">
      <c r="A23244" t="str">
        <f>HYPERLINK("https://www.773grp.com/globalSearch/RKP204KP#R0/page-1", "RKP204KP#R0")</f>
        <v>RKP204KP#R0</v>
      </c>
      <c r="B23244" s="3" t="str">
        <f>HYPERLINK("https://www.773grp.com/manufacturer/renesas-electronics-america-inc?pageNo=206", "Renesas Electronics")</f>
        <v>Renesas Electronics</v>
      </c>
      <c r="C23244" s="6">
        <v>30000</v>
      </c>
      <c r="D23244" s="7">
        <v>0.38</v>
      </c>
    </row>
    <row r="23245" spans="1:4" x14ac:dyDescent="0.25">
      <c r="A23245" t="str">
        <f>HYPERLINK("https://www.773grp.com/globalSearch/RKR0303AKJ#P1/page-1", "RKR0303AKJ#P1")</f>
        <v>RKR0303AKJ#P1</v>
      </c>
      <c r="B23245" s="3" t="str">
        <f>HYPERLINK("https://www.773grp.com/manufacturer/renesas-electronics-america-inc?pageNo=207", "Renesas Electronics")</f>
        <v>Renesas Electronics</v>
      </c>
      <c r="C23245" s="6">
        <v>188000</v>
      </c>
      <c r="D23245" s="7">
        <v>0.38</v>
      </c>
    </row>
    <row r="23246" spans="1:4" x14ac:dyDescent="0.25">
      <c r="A23246" t="str">
        <f>HYPERLINK("https://www.773grp.com/globalSearch/RKR0303AKJ#R6/page-1", "RKR0303AKJ#R6")</f>
        <v>RKR0303AKJ#R6</v>
      </c>
      <c r="B23246" s="3" t="str">
        <f>HYPERLINK("https://www.773grp.com/manufacturer/renesas-electronics-america-inc?pageNo=208", "Renesas Electronics")</f>
        <v>Renesas Electronics</v>
      </c>
      <c r="C23246" s="6">
        <v>656000</v>
      </c>
      <c r="D23246" s="7">
        <v>0.38</v>
      </c>
    </row>
    <row r="23247" spans="1:4" x14ac:dyDescent="0.25">
      <c r="A23247" t="str">
        <f>HYPERLINK("https://www.773grp.com/globalSearch/RKR0503AKH#P1/page-1", "RKR0503AKH#P1")</f>
        <v>RKR0503AKH#P1</v>
      </c>
      <c r="B23247" s="3" t="str">
        <f>HYPERLINK("https://www.773grp.com/manufacturer/renesas-electronics-america-inc?pageNo=209", "Renesas Electronics")</f>
        <v>Renesas Electronics</v>
      </c>
      <c r="C23247" s="6">
        <v>200000</v>
      </c>
      <c r="D23247" s="7">
        <v>0.38</v>
      </c>
    </row>
    <row r="23248" spans="1:4" x14ac:dyDescent="0.25">
      <c r="A23248" t="str">
        <f>HYPERLINK("https://www.773grp.com/globalSearch/RKR0503AKJ#R6/page-1", "RKR0503AKJ#R6")</f>
        <v>RKR0503AKJ#R6</v>
      </c>
      <c r="B23248" s="3" t="str">
        <f>HYPERLINK("https://www.773grp.com/manufacturer/renesas-electronics-america-inc?pageNo=210", "Renesas Electronics")</f>
        <v>Renesas Electronics</v>
      </c>
      <c r="C23248" s="6">
        <v>136000</v>
      </c>
      <c r="D23248" s="7">
        <v>0.38</v>
      </c>
    </row>
    <row r="23249" spans="1:4" x14ac:dyDescent="0.25">
      <c r="A23249" t="str">
        <f>HYPERLINK("https://www.773grp.com/globalSearch/RKR0505AKH#P1/page-1", "RKR0505AKH#P1")</f>
        <v>RKR0505AKH#P1</v>
      </c>
      <c r="B23249" s="3" t="str">
        <f>HYPERLINK("https://www.773grp.com/manufacturer/renesas-electronics-america-inc?pageNo=211", "Renesas Electronics")</f>
        <v>Renesas Electronics</v>
      </c>
      <c r="C23249" s="6">
        <v>540000</v>
      </c>
      <c r="D23249" s="7">
        <v>0.38</v>
      </c>
    </row>
    <row r="23250" spans="1:4" x14ac:dyDescent="0.25">
      <c r="A23250" t="str">
        <f>HYPERLINK("https://www.773grp.com/globalSearch/RKZ10BJKU#P6/page-1", "RKZ10BJKU#P6")</f>
        <v>RKZ10BJKU#P6</v>
      </c>
      <c r="B23250" s="3" t="str">
        <f>HYPERLINK("https://www.773grp.com/manufacturer/renesas-electronics-america-inc?pageNo=212", "Renesas Electronics")</f>
        <v>Renesas Electronics</v>
      </c>
      <c r="C23250" s="6">
        <v>28000</v>
      </c>
      <c r="D23250" s="7">
        <v>0.38</v>
      </c>
    </row>
    <row r="23251" spans="1:4" x14ac:dyDescent="0.25">
      <c r="A23251" t="str">
        <f>HYPERLINK("https://www.773grp.com/globalSearch/RKZ15BJKU#P6/page-1", "RKZ15BJKU#P6")</f>
        <v>RKZ15BJKU#P6</v>
      </c>
      <c r="B23251" s="3" t="str">
        <f>HYPERLINK("https://www.773grp.com/manufacturer/renesas-electronics-america-inc?pageNo=213", "Renesas Electronics")</f>
        <v>Renesas Electronics</v>
      </c>
      <c r="C23251" s="6">
        <v>12000</v>
      </c>
      <c r="D23251" s="7">
        <v>0.38</v>
      </c>
    </row>
    <row r="23252" spans="1:4" x14ac:dyDescent="0.25">
      <c r="A23252" t="str">
        <f>HYPERLINK("https://www.773grp.com/globalSearch/RKZ15CJKU#P6/page-1", "RKZ15CJKU#P6")</f>
        <v>RKZ15CJKU#P6</v>
      </c>
      <c r="B23252" s="3" t="str">
        <f>HYPERLINK("https://www.773grp.com/manufacturer/renesas-electronics-america-inc?pageNo=214", "Renesas Electronics")</f>
        <v>Renesas Electronics</v>
      </c>
      <c r="C23252" s="6">
        <v>64000</v>
      </c>
      <c r="D23252" s="7">
        <v>0.38</v>
      </c>
    </row>
    <row r="23253" spans="1:4" x14ac:dyDescent="0.25">
      <c r="A23253" t="str">
        <f>HYPERLINK("https://www.773grp.com/globalSearch/RKZ18TKG#P1/page-1", "RKZ18TKG#P1")</f>
        <v>RKZ18TKG#P1</v>
      </c>
      <c r="B23253" s="3" t="str">
        <f>HYPERLINK("https://www.773grp.com/manufacturer/renesas-electronics-america-inc?pageNo=215", "Renesas Electronics")</f>
        <v>Renesas Electronics</v>
      </c>
      <c r="C23253" s="6">
        <v>33000</v>
      </c>
      <c r="D23253" s="7">
        <v>0.38</v>
      </c>
    </row>
    <row r="23254" spans="1:4" x14ac:dyDescent="0.25">
      <c r="A23254" t="str">
        <f>HYPERLINK("https://www.773grp.com/globalSearch/RKZ22BJKU#P6/page-1", "RKZ22BJKU#P6")</f>
        <v>RKZ22BJKU#P6</v>
      </c>
      <c r="B23254" s="3" t="str">
        <f>HYPERLINK("https://www.773grp.com/manufacturer/renesas-electronics-america-inc?pageNo=216", "Renesas Electronics")</f>
        <v>Renesas Electronics</v>
      </c>
      <c r="C23254" s="6">
        <v>84000</v>
      </c>
      <c r="D23254" s="7">
        <v>0.38</v>
      </c>
    </row>
    <row r="23255" spans="1:4" x14ac:dyDescent="0.25">
      <c r="A23255" t="str">
        <f>HYPERLINK("https://www.773grp.com/globalSearch/RKZ24AKU#P6/page-1", "RKZ24AKU#P6")</f>
        <v>RKZ24AKU#P6</v>
      </c>
      <c r="B23255" s="3" t="str">
        <f>HYPERLINK("https://www.773grp.com/manufacturer/renesas-electronics-america-inc?pageNo=217", "Renesas Electronics")</f>
        <v>Renesas Electronics</v>
      </c>
      <c r="C23255" s="6">
        <v>48000</v>
      </c>
      <c r="D23255" s="7">
        <v>0.38</v>
      </c>
    </row>
    <row r="23256" spans="1:4" x14ac:dyDescent="0.25">
      <c r="A23256" t="str">
        <f>HYPERLINK("https://www.773grp.com/globalSearch/RKZ27CKU#P6/page-1", "RKZ27CKU#P6")</f>
        <v>RKZ27CKU#P6</v>
      </c>
      <c r="B23256" s="3" t="str">
        <f>HYPERLINK("https://www.773grp.com/manufacturer/renesas-electronics-america-inc?pageNo=218", "Renesas Electronics")</f>
        <v>Renesas Electronics</v>
      </c>
      <c r="C23256" s="6">
        <v>44000</v>
      </c>
      <c r="D23256" s="7">
        <v>0.38</v>
      </c>
    </row>
    <row r="23257" spans="1:4" x14ac:dyDescent="0.25">
      <c r="A23257" t="str">
        <f>HYPERLINK("https://www.773grp.com/globalSearch/RKZ3.9BKU#P6/page-1", "RKZ3.9BKU#P6")</f>
        <v>RKZ3.9BKU#P6</v>
      </c>
      <c r="B23257" s="3" t="str">
        <f>HYPERLINK("https://www.773grp.com/manufacturer/renesas-electronics-america-inc?pageNo=219", "Renesas Electronics")</f>
        <v>Renesas Electronics</v>
      </c>
      <c r="C23257" s="6">
        <v>256000</v>
      </c>
      <c r="D23257" s="7">
        <v>0.38</v>
      </c>
    </row>
    <row r="23258" spans="1:4" x14ac:dyDescent="0.25">
      <c r="A23258" t="str">
        <f>HYPERLINK("https://www.773grp.com/globalSearch/RKZ30BJKU#P6/page-1", "RKZ30BJKU#P6")</f>
        <v>RKZ30BJKU#P6</v>
      </c>
      <c r="B23258" s="3" t="str">
        <f>HYPERLINK("https://www.773grp.com/manufacturer/renesas-electronics-america-inc?pageNo=220", "Renesas Electronics")</f>
        <v>Renesas Electronics</v>
      </c>
      <c r="C23258" s="6">
        <v>108000</v>
      </c>
      <c r="D23258" s="7">
        <v>0.38</v>
      </c>
    </row>
    <row r="23259" spans="1:4" x14ac:dyDescent="0.25">
      <c r="A23259" t="str">
        <f>HYPERLINK("https://www.773grp.com/globalSearch/RKZ9.1BJKU#P6/page-1", "RKZ9.1BJKU#P6")</f>
        <v>RKZ9.1BJKU#P6</v>
      </c>
      <c r="B23259" s="3" t="str">
        <f>HYPERLINK("https://www.773grp.com/manufacturer/renesas-electronics-america-inc?pageNo=221", "Renesas Electronics")</f>
        <v>Renesas Electronics</v>
      </c>
      <c r="C23259" s="6">
        <v>44000</v>
      </c>
      <c r="D23259" s="7">
        <v>0.38</v>
      </c>
    </row>
    <row r="23260" spans="1:4" x14ac:dyDescent="0.25">
      <c r="A23260" t="str">
        <f>HYPERLINK("https://www.773grp.com/globalSearch/1S2074H/page-1", "1S2074H")</f>
        <v>1S2074H</v>
      </c>
      <c r="B23260" s="3" t="str">
        <f>HYPERLINK("https://www.773grp.com/manufacturer/renesas-electronics-america-inc?pageNo=222", "Renesas Electronics")</f>
        <v>Renesas Electronics</v>
      </c>
      <c r="C23260" s="6">
        <v>18500</v>
      </c>
      <c r="D23260" s="7">
        <v>0.43</v>
      </c>
    </row>
    <row r="23261" spans="1:4" x14ac:dyDescent="0.25">
      <c r="A23261" t="str">
        <f>HYPERLINK("https://www.773grp.com/globalSearch/1S2074HTA-E/page-1", "1S2074HTA-E")</f>
        <v>1S2074HTA-E</v>
      </c>
      <c r="B23261" s="3" t="str">
        <f>HYPERLINK("https://www.773grp.com/manufacturer/renesas-electronics-america-inc?pageNo=223", "Renesas Electronics")</f>
        <v>Renesas Electronics</v>
      </c>
      <c r="C23261" s="6">
        <v>130000</v>
      </c>
      <c r="D23261" s="7">
        <v>0.43</v>
      </c>
    </row>
    <row r="23262" spans="1:4" x14ac:dyDescent="0.25">
      <c r="A23262" t="str">
        <f>HYPERLINK("https://www.773grp.com/globalSearch/2SA1052MDTR-E/page-1", "2SA1052MDTR-E")</f>
        <v>2SA1052MDTR-E</v>
      </c>
      <c r="B23262" s="3" t="str">
        <f>HYPERLINK("https://www.773grp.com/manufacturer/renesas-electronics-america-inc?pageNo=224", "Renesas Electronics")</f>
        <v>Renesas Electronics</v>
      </c>
      <c r="C23262" s="6">
        <v>12000</v>
      </c>
      <c r="D23262" s="7">
        <v>0.43</v>
      </c>
    </row>
    <row r="23263" spans="1:4" x14ac:dyDescent="0.25">
      <c r="A23263" t="str">
        <f>HYPERLINK("https://www.773grp.com/globalSearch/2SC1841-A/page-1", "2SC1841-A")</f>
        <v>2SC1841-A</v>
      </c>
      <c r="B23263" s="3" t="str">
        <f>HYPERLINK("https://www.773grp.com/manufacturer/renesas-electronics-america-inc?pageNo=225", "Renesas Electronics")</f>
        <v>Renesas Electronics</v>
      </c>
      <c r="C23263" s="6">
        <v>78106</v>
      </c>
      <c r="D23263" s="7">
        <v>0.43</v>
      </c>
    </row>
    <row r="23264" spans="1:4" x14ac:dyDescent="0.25">
      <c r="A23264" t="str">
        <f>HYPERLINK("https://www.773grp.com/globalSearch/2SC4260TI-TL-E/page-1", "2SC4260TI-TL-E")</f>
        <v>2SC4260TI-TL-E</v>
      </c>
      <c r="B23264" s="3" t="str">
        <f>HYPERLINK("https://www.773grp.com/manufacturer/renesas-electronics-america-inc?pageNo=226", "Renesas Electronics")</f>
        <v>Renesas Electronics</v>
      </c>
      <c r="C23264" s="6">
        <v>15000</v>
      </c>
      <c r="D23264" s="7">
        <v>0.43</v>
      </c>
    </row>
    <row r="23265" spans="1:4" x14ac:dyDescent="0.25">
      <c r="A23265" t="str">
        <f>HYPERLINK("https://www.773grp.com/globalSearch/2SJ576APTL-E/page-1", "2SJ576APTL-E")</f>
        <v>2SJ576APTL-E</v>
      </c>
      <c r="B23265" s="3" t="str">
        <f>HYPERLINK("https://www.773grp.com/manufacturer/renesas-electronics-america-inc?pageNo=227", "Renesas Electronics")</f>
        <v>Renesas Electronics</v>
      </c>
      <c r="C23265" s="6">
        <v>15000</v>
      </c>
      <c r="D23265" s="7">
        <v>0.43</v>
      </c>
    </row>
    <row r="23266" spans="1:4" x14ac:dyDescent="0.25">
      <c r="A23266" t="str">
        <f>HYPERLINK("https://www.773grp.com/globalSearch/HSC276TRF-E/page-1", "HSC276TRF-E")</f>
        <v>HSC276TRF-E</v>
      </c>
      <c r="B23266" s="3" t="str">
        <f>HYPERLINK("https://www.773grp.com/manufacturer/renesas-electronics-america-inc?pageNo=228", "Renesas Electronics")</f>
        <v>Renesas Electronics</v>
      </c>
      <c r="C23266" s="6">
        <v>68000</v>
      </c>
      <c r="D23266" s="7">
        <v>0.43</v>
      </c>
    </row>
    <row r="23267" spans="1:4" x14ac:dyDescent="0.25">
      <c r="A23267" t="str">
        <f>HYPERLINK("https://www.773grp.com/globalSearch/HSK120TR/page-1", "HSK120TR")</f>
        <v>HSK120TR</v>
      </c>
      <c r="B23267" s="3" t="str">
        <f>HYPERLINK("https://www.773grp.com/manufacturer/renesas-electronics-america-inc?pageNo=229", "Renesas Electronics")</f>
        <v>Renesas Electronics</v>
      </c>
      <c r="C23267" s="6">
        <v>15604</v>
      </c>
      <c r="D23267" s="7">
        <v>0.43</v>
      </c>
    </row>
    <row r="23268" spans="1:4" x14ac:dyDescent="0.25">
      <c r="A23268" t="str">
        <f>HYPERLINK("https://www.773grp.com/globalSearch/HSL278KRF-E/page-1", "HSL278KRF-E")</f>
        <v>HSL278KRF-E</v>
      </c>
      <c r="B23268" s="3" t="str">
        <f>HYPERLINK("https://www.773grp.com/manufacturer/renesas-electronics-america-inc?pageNo=230", "Renesas Electronics")</f>
        <v>Renesas Electronics</v>
      </c>
      <c r="C23268" s="6">
        <v>80000</v>
      </c>
      <c r="D23268" s="7">
        <v>0.43</v>
      </c>
    </row>
    <row r="23269" spans="1:4" x14ac:dyDescent="0.25">
      <c r="A23269" t="str">
        <f>HYPERLINK("https://www.773grp.com/globalSearch/HSM123JTR/page-1", "HSM123JTR")</f>
        <v>HSM123JTR</v>
      </c>
      <c r="B23269" s="3" t="str">
        <f>HYPERLINK("https://www.773grp.com/manufacturer/renesas-electronics-america-inc?pageNo=231", "Renesas Electronics")</f>
        <v>Renesas Electronics</v>
      </c>
      <c r="C23269" s="6">
        <v>27000</v>
      </c>
      <c r="D23269" s="7">
        <v>0.43</v>
      </c>
    </row>
    <row r="23270" spans="1:4" x14ac:dyDescent="0.25">
      <c r="A23270" t="str">
        <f>HYPERLINK("https://www.773grp.com/globalSearch/HSM2838C-JTR/page-1", "HSM2838C-JTR")</f>
        <v>HSM2838C-JTR</v>
      </c>
      <c r="B23270" s="3" t="str">
        <f>HYPERLINK("https://www.773grp.com/manufacturer/renesas-electronics-america-inc?pageNo=232", "Renesas Electronics")</f>
        <v>Renesas Electronics</v>
      </c>
      <c r="C23270" s="6">
        <v>9000</v>
      </c>
      <c r="D23270" s="7">
        <v>0.43</v>
      </c>
    </row>
    <row r="23271" spans="1:4" x14ac:dyDescent="0.25">
      <c r="A23271" t="str">
        <f>HYPERLINK("https://www.773grp.com/globalSearch/HSS81JTA/page-1", "HSS81JTA")</f>
        <v>HSS81JTA</v>
      </c>
      <c r="B23271" s="3" t="str">
        <f>HYPERLINK("https://www.773grp.com/manufacturer/renesas-electronics-america-inc?pageNo=233", "Renesas Electronics")</f>
        <v>Renesas Electronics</v>
      </c>
      <c r="C23271" s="6">
        <v>15000</v>
      </c>
      <c r="D23271" s="7">
        <v>0.43</v>
      </c>
    </row>
    <row r="23272" spans="1:4" x14ac:dyDescent="0.25">
      <c r="A23272" t="str">
        <f>HYPERLINK("https://www.773grp.com/globalSearch/HVC350B1BTRF-E/page-1", "HVC350B1BTRF-E")</f>
        <v>HVC350B1BTRF-E</v>
      </c>
      <c r="B23272" s="3" t="str">
        <f>HYPERLINK("https://www.773grp.com/manufacturer/renesas-electronics-america-inc?pageNo=234", "Renesas Electronics")</f>
        <v>Renesas Electronics</v>
      </c>
      <c r="C23272" s="6">
        <v>172000</v>
      </c>
      <c r="D23272" s="7">
        <v>0.43</v>
      </c>
    </row>
    <row r="23273" spans="1:4" x14ac:dyDescent="0.25">
      <c r="A23273" t="str">
        <f>HYPERLINK("https://www.773grp.com/globalSearch/HVC355B10TRF-E/page-1", "HVC355B10TRF-E")</f>
        <v>HVC355B10TRF-E</v>
      </c>
      <c r="B23273" s="3" t="str">
        <f>HYPERLINK("https://www.773grp.com/manufacturer/renesas-electronics-america-inc?pageNo=235", "Renesas Electronics")</f>
        <v>Renesas Electronics</v>
      </c>
      <c r="C23273" s="6">
        <v>76000</v>
      </c>
      <c r="D23273" s="7">
        <v>0.43</v>
      </c>
    </row>
    <row r="23274" spans="1:4" x14ac:dyDescent="0.25">
      <c r="A23274" t="str">
        <f>HYPERLINK("https://www.773grp.com/globalSearch/HVC355B1TRF-E/page-1", "HVC355B1TRF-E")</f>
        <v>HVC355B1TRF-E</v>
      </c>
      <c r="B23274" s="3" t="str">
        <f>HYPERLINK("https://www.773grp.com/manufacturer/renesas-electronics-america-inc?pageNo=236", "Renesas Electronics")</f>
        <v>Renesas Electronics</v>
      </c>
      <c r="C23274" s="6">
        <v>36000</v>
      </c>
      <c r="D23274" s="7">
        <v>0.43</v>
      </c>
    </row>
    <row r="23275" spans="1:4" x14ac:dyDescent="0.25">
      <c r="A23275" t="str">
        <f>HYPERLINK("https://www.773grp.com/globalSearch/HVC385BTRF-E/page-1", "HVC385BTRF-E")</f>
        <v>HVC385BTRF-E</v>
      </c>
      <c r="B23275" s="3" t="str">
        <f>HYPERLINK("https://www.773grp.com/manufacturer/renesas-electronics-america-inc?pageNo=237", "Renesas Electronics")</f>
        <v>Renesas Electronics</v>
      </c>
      <c r="C23275" s="6">
        <v>64000</v>
      </c>
      <c r="D23275" s="7">
        <v>0.43</v>
      </c>
    </row>
    <row r="23276" spans="1:4" x14ac:dyDescent="0.25">
      <c r="A23276" t="str">
        <f>HYPERLINK("https://www.773grp.com/globalSearch/HVD355B17KRF-E/page-1", "HVD355B17KRF-E")</f>
        <v>HVD355B17KRF-E</v>
      </c>
      <c r="B23276" s="3" t="str">
        <f>HYPERLINK("https://www.773grp.com/manufacturer/renesas-electronics-america-inc?pageNo=238", "Renesas Electronics")</f>
        <v>Renesas Electronics</v>
      </c>
      <c r="C23276" s="6">
        <v>248000</v>
      </c>
      <c r="D23276" s="7">
        <v>0.43</v>
      </c>
    </row>
    <row r="23277" spans="1:4" x14ac:dyDescent="0.25">
      <c r="A23277" t="str">
        <f>HYPERLINK("https://www.773grp.com/globalSearch/HVL355CM-NKRF-E/page-1", "HVL355CM-NKRF-E")</f>
        <v>HVL355CM-NKRF-E</v>
      </c>
      <c r="B23277" s="3" t="str">
        <f>HYPERLINK("https://www.773grp.com/manufacturer/renesas-electronics-america-inc?pageNo=239", "Renesas Electronics")</f>
        <v>Renesas Electronics</v>
      </c>
      <c r="C23277" s="6">
        <v>3600000</v>
      </c>
      <c r="D23277" s="7">
        <v>0.43</v>
      </c>
    </row>
    <row r="23278" spans="1:4" x14ac:dyDescent="0.25">
      <c r="A23278" t="str">
        <f>HYPERLINK("https://www.773grp.com/globalSearch/HVU306A8TRU-E/page-1", "HVU306A8TRU-E")</f>
        <v>HVU306A8TRU-E</v>
      </c>
      <c r="B23278" s="3" t="str">
        <f>HYPERLINK("https://www.773grp.com/manufacturer/renesas-electronics-america-inc?pageNo=240", "Renesas Electronics")</f>
        <v>Renesas Electronics</v>
      </c>
      <c r="C23278" s="6">
        <v>93000</v>
      </c>
      <c r="D23278" s="7">
        <v>0.43</v>
      </c>
    </row>
    <row r="23279" spans="1:4" x14ac:dyDescent="0.25">
      <c r="A23279" t="str">
        <f>HYPERLINK("https://www.773grp.com/globalSearch/HZ24H1/page-1", "HZ24H1")</f>
        <v>HZ24H1</v>
      </c>
      <c r="B23279" s="3" t="str">
        <f>HYPERLINK("https://www.773grp.com/manufacturer/renesas-electronics-america-inc?pageNo=241", "Renesas Electronics")</f>
        <v>Renesas Electronics</v>
      </c>
      <c r="C23279" s="6">
        <v>11500</v>
      </c>
      <c r="D23279" s="7">
        <v>0.43</v>
      </c>
    </row>
    <row r="23280" spans="1:4" x14ac:dyDescent="0.25">
      <c r="A23280" t="str">
        <f>HYPERLINK("https://www.773grp.com/globalSearch/HZ3HC1-E/page-1", "HZ3HC1-E")</f>
        <v>HZ3HC1-E</v>
      </c>
      <c r="B23280" s="3" t="str">
        <f>HYPERLINK("https://www.773grp.com/manufacturer/renesas-electronics-america-inc?pageNo=242", "Renesas Electronics")</f>
        <v>Renesas Electronics</v>
      </c>
      <c r="C23280" s="6">
        <v>9500</v>
      </c>
      <c r="D23280" s="7">
        <v>0.43</v>
      </c>
    </row>
    <row r="23281" spans="1:4" x14ac:dyDescent="0.25">
      <c r="A23281" t="str">
        <f>HYPERLINK("https://www.773grp.com/globalSearch/HZ6A1L-J-E/page-1", "HZ6A1L-J-E")</f>
        <v>HZ6A1L-J-E</v>
      </c>
      <c r="B23281" s="3" t="str">
        <f>HYPERLINK("https://www.773grp.com/manufacturer/renesas-electronics-america-inc?pageNo=243", "Renesas Electronics")</f>
        <v>Renesas Electronics</v>
      </c>
      <c r="C23281" s="6">
        <v>7500</v>
      </c>
      <c r="D23281" s="7">
        <v>0.43</v>
      </c>
    </row>
    <row r="23282" spans="1:4" x14ac:dyDescent="0.25">
      <c r="A23282" t="str">
        <f>HYPERLINK("https://www.773grp.com/globalSearch/HZ6B1L-J-E/page-1", "HZ6B1L-J-E")</f>
        <v>HZ6B1L-J-E</v>
      </c>
      <c r="B23282" s="3" t="str">
        <f>HYPERLINK("https://www.773grp.com/manufacturer/renesas-electronics-america-inc?pageNo=244", "Renesas Electronics")</f>
        <v>Renesas Electronics</v>
      </c>
      <c r="C23282" s="6">
        <v>11500</v>
      </c>
      <c r="D23282" s="7">
        <v>0.43</v>
      </c>
    </row>
    <row r="23283" spans="1:4" x14ac:dyDescent="0.25">
      <c r="A23283" t="str">
        <f>HYPERLINK("https://www.773grp.com/globalSearch/HZ6C2L-J-E/page-1", "HZ6C2L-J-E")</f>
        <v>HZ6C2L-J-E</v>
      </c>
      <c r="B23283" s="3" t="str">
        <f>HYPERLINK("https://www.773grp.com/manufacturer/renesas-electronics-america-inc?pageNo=245", "Renesas Electronics")</f>
        <v>Renesas Electronics</v>
      </c>
      <c r="C23283" s="6">
        <v>11500</v>
      </c>
      <c r="D23283" s="7">
        <v>0.43</v>
      </c>
    </row>
    <row r="23284" spans="1:4" x14ac:dyDescent="0.25">
      <c r="A23284" t="str">
        <f>HYPERLINK("https://www.773grp.com/globalSearch/HZ9A1J-E/page-1", "HZ9A1J-E")</f>
        <v>HZ9A1J-E</v>
      </c>
      <c r="B23284" s="3" t="str">
        <f>HYPERLINK("https://www.773grp.com/manufacturer/renesas-electronics-america-inc?pageNo=246", "Renesas Electronics")</f>
        <v>Renesas Electronics</v>
      </c>
      <c r="C23284" s="6">
        <v>8500</v>
      </c>
      <c r="D23284" s="7">
        <v>0.43</v>
      </c>
    </row>
    <row r="23285" spans="1:4" x14ac:dyDescent="0.25">
      <c r="A23285" t="str">
        <f>HYPERLINK("https://www.773grp.com/globalSearch/HZK12BTR/page-1", "HZK12BTR")</f>
        <v>HZK12BTR</v>
      </c>
      <c r="B23285" s="3" t="str">
        <f>HYPERLINK("https://www.773grp.com/manufacturer/renesas-electronics-america-inc?pageNo=247", "Renesas Electronics")</f>
        <v>Renesas Electronics</v>
      </c>
      <c r="C23285" s="6">
        <v>2500</v>
      </c>
      <c r="D23285" s="7">
        <v>0.43</v>
      </c>
    </row>
    <row r="23286" spans="1:4" x14ac:dyDescent="0.25">
      <c r="A23286" t="str">
        <f>HYPERLINK("https://www.773grp.com/globalSearch/HZM3.6NB1TR-E/page-1", "HZM3.6NB1TR-E")</f>
        <v>HZM3.6NB1TR-E</v>
      </c>
      <c r="B23286" s="3" t="str">
        <f>HYPERLINK("https://www.773grp.com/manufacturer/renesas-electronics-america-inc?pageNo=248", "Renesas Electronics")</f>
        <v>Renesas Electronics</v>
      </c>
      <c r="C23286" s="6">
        <v>24000</v>
      </c>
      <c r="D23286" s="7">
        <v>0.43</v>
      </c>
    </row>
    <row r="23287" spans="1:4" x14ac:dyDescent="0.25">
      <c r="A23287" t="str">
        <f>HYPERLINK("https://www.773grp.com/globalSearch/HZM4.3NB1TR-E/page-1", "HZM4.3NB1TR-E")</f>
        <v>HZM4.3NB1TR-E</v>
      </c>
      <c r="B23287" s="3" t="str">
        <f>HYPERLINK("https://www.773grp.com/manufacturer/renesas-electronics-america-inc?pageNo=249", "Renesas Electronics")</f>
        <v>Renesas Electronics</v>
      </c>
      <c r="C23287" s="6">
        <v>27000</v>
      </c>
      <c r="D23287" s="7">
        <v>0.43</v>
      </c>
    </row>
    <row r="23288" spans="1:4" x14ac:dyDescent="0.25">
      <c r="A23288" t="str">
        <f>HYPERLINK("https://www.773grp.com/globalSearch/HZS16-2JTA-E/page-1", "HZS16-2JTA-E")</f>
        <v>HZS16-2JTA-E</v>
      </c>
      <c r="B23288" s="3" t="str">
        <f>HYPERLINK("https://www.773grp.com/manufacturer/renesas-electronics-america-inc?pageNo=250", "Renesas Electronics")</f>
        <v>Renesas Electronics</v>
      </c>
      <c r="C23288" s="6">
        <v>10000</v>
      </c>
      <c r="D23288" s="7">
        <v>0.43</v>
      </c>
    </row>
    <row r="23289" spans="1:4" x14ac:dyDescent="0.25">
      <c r="A23289" t="str">
        <f>HYPERLINK("https://www.773grp.com/globalSearch/HZS2ALLTA-E/page-1", "HZS2ALLTA-E")</f>
        <v>HZS2ALLTA-E</v>
      </c>
      <c r="B23289" s="3" t="str">
        <f>HYPERLINK("https://www.773grp.com/manufacturer/renesas-electronics-america-inc?pageNo=251", "Renesas Electronics")</f>
        <v>Renesas Electronics</v>
      </c>
      <c r="C23289" s="6">
        <v>15000</v>
      </c>
      <c r="D23289" s="7">
        <v>0.43</v>
      </c>
    </row>
    <row r="23290" spans="1:4" x14ac:dyDescent="0.25">
      <c r="A23290" t="str">
        <f>HYPERLINK("https://www.773grp.com/globalSearch/HZS2BLLTA-E/page-1", "HZS2BLLTA-E")</f>
        <v>HZS2BLLTA-E</v>
      </c>
      <c r="B23290" s="3" t="str">
        <f>HYPERLINK("https://www.773grp.com/manufacturer/renesas-electronics-america-inc?pageNo=252", "Renesas Electronics")</f>
        <v>Renesas Electronics</v>
      </c>
      <c r="C23290" s="6">
        <v>15000</v>
      </c>
      <c r="D23290" s="7">
        <v>0.43</v>
      </c>
    </row>
    <row r="23291" spans="1:4" x14ac:dyDescent="0.25">
      <c r="A23291" t="str">
        <f>HYPERLINK("https://www.773grp.com/globalSearch/HZS4A1J-E/page-1", "HZS4A1J-E")</f>
        <v>HZS4A1J-E</v>
      </c>
      <c r="B23291" s="3" t="str">
        <f>HYPERLINK("https://www.773grp.com/manufacturer/renesas-electronics-america-inc?pageNo=253", "Renesas Electronics")</f>
        <v>Renesas Electronics</v>
      </c>
      <c r="C23291" s="6">
        <v>11000</v>
      </c>
      <c r="D23291" s="7">
        <v>0.43</v>
      </c>
    </row>
    <row r="23292" spans="1:4" x14ac:dyDescent="0.25">
      <c r="A23292" t="str">
        <f>HYPERLINK("https://www.773grp.com/globalSearch/HZS6B1JTA-E/page-1", "HZS6B1JTA-E")</f>
        <v>HZS6B1JTA-E</v>
      </c>
      <c r="B23292" s="3" t="str">
        <f>HYPERLINK("https://www.773grp.com/manufacturer/renesas-electronics-america-inc?pageNo=254", "Renesas Electronics")</f>
        <v>Renesas Electronics</v>
      </c>
      <c r="C23292" s="6">
        <v>5000</v>
      </c>
      <c r="D23292" s="7">
        <v>0.43</v>
      </c>
    </row>
    <row r="23293" spans="1:4" x14ac:dyDescent="0.25">
      <c r="A23293" t="str">
        <f>HYPERLINK("https://www.773grp.com/globalSearch/HZS6C1J-E/page-1", "HZS6C1J-E")</f>
        <v>HZS6C1J-E</v>
      </c>
      <c r="B23293" s="3" t="str">
        <f>HYPERLINK("https://www.773grp.com/manufacturer/renesas-electronics-america-inc?pageNo=255", "Renesas Electronics")</f>
        <v>Renesas Electronics</v>
      </c>
      <c r="C23293" s="6">
        <v>11500</v>
      </c>
      <c r="D23293" s="7">
        <v>0.43</v>
      </c>
    </row>
    <row r="23294" spans="1:4" x14ac:dyDescent="0.25">
      <c r="A23294" t="str">
        <f>HYPERLINK("https://www.773grp.com/globalSearch/HZS6C2JTD-E/page-1", "HZS6C2JTD-E")</f>
        <v>HZS6C2JTD-E</v>
      </c>
      <c r="B23294" s="3" t="str">
        <f>HYPERLINK("https://www.773grp.com/manufacturer/renesas-electronics-america-inc?pageNo=256", "Renesas Electronics")</f>
        <v>Renesas Electronics</v>
      </c>
      <c r="C23294" s="6">
        <v>5000</v>
      </c>
      <c r="D23294" s="7">
        <v>0.43</v>
      </c>
    </row>
    <row r="23295" spans="1:4" x14ac:dyDescent="0.25">
      <c r="A23295" t="str">
        <f>HYPERLINK("https://www.773grp.com/globalSearch/HZS7A1J-E/page-1", "HZS7A1J-E")</f>
        <v>HZS7A1J-E</v>
      </c>
      <c r="B23295" s="3" t="str">
        <f>HYPERLINK("https://www.773grp.com/manufacturer/renesas-electronics-america-inc?pageNo=257", "Renesas Electronics")</f>
        <v>Renesas Electronics</v>
      </c>
      <c r="C23295" s="6">
        <v>8000</v>
      </c>
      <c r="D23295" s="7">
        <v>0.43</v>
      </c>
    </row>
    <row r="23296" spans="1:4" x14ac:dyDescent="0.25">
      <c r="A23296" t="str">
        <f>HYPERLINK("https://www.773grp.com/globalSearch/HZS7B2JTA-E/page-1", "HZS7B2JTA-E")</f>
        <v>HZS7B2JTA-E</v>
      </c>
      <c r="B23296" s="3" t="str">
        <f>HYPERLINK("https://www.773grp.com/manufacturer/renesas-electronics-america-inc?pageNo=258", "Renesas Electronics")</f>
        <v>Renesas Electronics</v>
      </c>
      <c r="C23296" s="6">
        <v>20000</v>
      </c>
      <c r="D23296" s="7">
        <v>0.43</v>
      </c>
    </row>
    <row r="23297" spans="1:4" x14ac:dyDescent="0.25">
      <c r="A23297" t="str">
        <f>HYPERLINK("https://www.773grp.com/globalSearch/RD9.1MW-A/page-1", "RD9.1MW-A")</f>
        <v>RD9.1MW-A</v>
      </c>
      <c r="B23297" s="3" t="str">
        <f>HYPERLINK("https://www.773grp.com/manufacturer/renesas-electronics-america-inc?pageNo=259", "Renesas Electronics")</f>
        <v>Renesas Electronics</v>
      </c>
      <c r="C23297" s="6">
        <v>1600</v>
      </c>
      <c r="D23297" s="7">
        <v>0.43</v>
      </c>
    </row>
    <row r="23298" spans="1:4" x14ac:dyDescent="0.25">
      <c r="A23298" t="str">
        <f>HYPERLINK("https://www.773grp.com/globalSearch/RKR0202AQE#P1/page-1", "RKR0202AQE#P1")</f>
        <v>RKR0202AQE#P1</v>
      </c>
      <c r="B23298" s="3" t="str">
        <f>HYPERLINK("https://www.773grp.com/manufacturer/renesas-electronics-america-inc?pageNo=260", "Renesas Electronics")</f>
        <v>Renesas Electronics</v>
      </c>
      <c r="C23298" s="6">
        <v>69000</v>
      </c>
      <c r="D23298" s="7">
        <v>0.43</v>
      </c>
    </row>
    <row r="23299" spans="1:4" x14ac:dyDescent="0.25">
      <c r="A23299" t="str">
        <f>HYPERLINK("https://www.773grp.com/globalSearch/RKR0703BKH#P1/page-1", "RKR0703BKH#P1")</f>
        <v>RKR0703BKH#P1</v>
      </c>
      <c r="B23299" s="3" t="str">
        <f>HYPERLINK("https://www.773grp.com/manufacturer/renesas-electronics-america-inc?pageNo=261", "Renesas Electronics")</f>
        <v>Renesas Electronics</v>
      </c>
      <c r="C23299" s="6">
        <v>112000</v>
      </c>
      <c r="D23299" s="7">
        <v>0.43</v>
      </c>
    </row>
    <row r="23300" spans="1:4" x14ac:dyDescent="0.25">
      <c r="A23300" t="str">
        <f>HYPERLINK("https://www.773grp.com/globalSearch/RKS802SKR#P1/page-1", "RKS802SKR#P1")</f>
        <v>RKS802SKR#P1</v>
      </c>
      <c r="B23300" s="3" t="str">
        <f>HYPERLINK("https://www.773grp.com/manufacturer/renesas-electronics-america-inc?pageNo=262", "Renesas Electronics")</f>
        <v>Renesas Electronics</v>
      </c>
      <c r="C23300" s="6">
        <v>234000</v>
      </c>
      <c r="D23300" s="7">
        <v>0.43</v>
      </c>
    </row>
    <row r="23301" spans="1:4" x14ac:dyDescent="0.25">
      <c r="A23301" t="str">
        <f>HYPERLINK("https://www.773grp.com/globalSearch/RKV655KL#R6/page-1", "RKV655KL#R6")</f>
        <v>RKV655KL#R6</v>
      </c>
      <c r="B23301" s="3" t="str">
        <f>HYPERLINK("https://www.773grp.com/manufacturer/renesas-electronics-america-inc?pageNo=263", "Renesas Electronics")</f>
        <v>Renesas Electronics</v>
      </c>
      <c r="C23301" s="6">
        <v>110000</v>
      </c>
      <c r="D23301" s="7">
        <v>0.43</v>
      </c>
    </row>
    <row r="23302" spans="1:4" x14ac:dyDescent="0.25">
      <c r="A23302" t="str">
        <f>HYPERLINK("https://www.773grp.com/globalSearch/RKZ6.2Z4MFAKT#H1/page-1", "RKZ6.2Z4MFAKT#H1")</f>
        <v>RKZ6.2Z4MFAKT#H1</v>
      </c>
      <c r="B23302" s="3" t="str">
        <f>HYPERLINK("https://www.773grp.com/manufacturer/renesas-electronics-america-inc?pageNo=264", "Renesas Electronics")</f>
        <v>Renesas Electronics</v>
      </c>
      <c r="C23302" s="6">
        <v>81000</v>
      </c>
      <c r="D23302" s="7">
        <v>0.43</v>
      </c>
    </row>
    <row r="23303" spans="1:4" x14ac:dyDescent="0.25">
      <c r="A23303" t="str">
        <f>HYPERLINK("https://www.773grp.com/globalSearch/RKZ7.5BKV#P1/page-1", "RKZ7.5BKV#P1")</f>
        <v>RKZ7.5BKV#P1</v>
      </c>
      <c r="B23303" s="3" t="str">
        <f>HYPERLINK("https://www.773grp.com/manufacturer/renesas-electronics-america-inc?pageNo=265", "Renesas Electronics")</f>
        <v>Renesas Electronics</v>
      </c>
      <c r="C23303" s="6">
        <v>60000</v>
      </c>
      <c r="D23303" s="7">
        <v>0.43</v>
      </c>
    </row>
    <row r="23304" spans="1:4" x14ac:dyDescent="0.25">
      <c r="A23304" t="str">
        <f>HYPERLINK("https://www.773grp.com/globalSearch/1S954(1)-AZ/page-1", "1S954(1)-AZ")</f>
        <v>1S954(1)-AZ</v>
      </c>
      <c r="B23304" s="3" t="str">
        <f>HYPERLINK("https://www.773grp.com/manufacturer/renesas-electronics-america-inc?pageNo=266", "Renesas Electronics")</f>
        <v>Renesas Electronics</v>
      </c>
      <c r="C23304" s="6">
        <v>1072</v>
      </c>
      <c r="D23304" s="7">
        <v>0.48</v>
      </c>
    </row>
    <row r="23305" spans="1:4" x14ac:dyDescent="0.25">
      <c r="A23305" t="str">
        <f>HYPERLINK("https://www.773grp.com/globalSearch/1S954(3)/page-1", "1S954(3)")</f>
        <v>1S954(3)</v>
      </c>
      <c r="B23305" s="3" t="str">
        <f>HYPERLINK("https://www.773grp.com/manufacturer/renesas-electronics-america-inc?pageNo=267", "Renesas Electronics")</f>
        <v>Renesas Electronics</v>
      </c>
      <c r="C23305" s="6">
        <v>2308</v>
      </c>
      <c r="D23305" s="7">
        <v>0.48</v>
      </c>
    </row>
    <row r="23306" spans="1:4" x14ac:dyDescent="0.25">
      <c r="A23306" t="str">
        <f>HYPERLINK("https://www.773grp.com/globalSearch/1S954(YDK)/page-1", "1S954(YDK)")</f>
        <v>1S954(YDK)</v>
      </c>
      <c r="B23306" s="3" t="str">
        <f>HYPERLINK("https://www.773grp.com/manufacturer/renesas-electronics-america-inc?pageNo=268", "Renesas Electronics")</f>
        <v>Renesas Electronics</v>
      </c>
      <c r="C23306" s="6">
        <v>4072</v>
      </c>
      <c r="D23306" s="7">
        <v>0.48</v>
      </c>
    </row>
    <row r="23307" spans="1:4" x14ac:dyDescent="0.25">
      <c r="A23307" t="str">
        <f>HYPERLINK("https://www.773grp.com/globalSearch/2SC1009A-T1B-AT/page-1", "2SC1009A-T1B-AT")</f>
        <v>2SC1009A-T1B-AT</v>
      </c>
      <c r="B23307" s="3" t="str">
        <f>HYPERLINK("https://www.773grp.com/manufacturer/renesas-electronics-america-inc?pageNo=269", "Renesas Electronics")</f>
        <v>Renesas Electronics</v>
      </c>
      <c r="C23307" s="6">
        <v>48000</v>
      </c>
      <c r="D23307" s="7">
        <v>0.48</v>
      </c>
    </row>
    <row r="23308" spans="1:4" x14ac:dyDescent="0.25">
      <c r="A23308" t="str">
        <f>HYPERLINK("https://www.773grp.com/globalSearch/2SC2463DETL-E/page-1", "2SC2463DETL-E")</f>
        <v>2SC2463DETL-E</v>
      </c>
      <c r="B23308" s="3" t="str">
        <f>HYPERLINK("https://www.773grp.com/manufacturer/renesas-electronics-america-inc?pageNo=270", "Renesas Electronics")</f>
        <v>Renesas Electronics</v>
      </c>
      <c r="C23308" s="6">
        <v>69000</v>
      </c>
      <c r="D23308" s="7">
        <v>0.48</v>
      </c>
    </row>
    <row r="23309" spans="1:4" x14ac:dyDescent="0.25">
      <c r="A23309" t="str">
        <f>HYPERLINK("https://www.773grp.com/globalSearch/2SC2619FCTL-E/page-1", "2SC2619FCTL-E")</f>
        <v>2SC2619FCTL-E</v>
      </c>
      <c r="B23309" s="3" t="str">
        <f>HYPERLINK("https://www.773grp.com/manufacturer/renesas-electronics-america-inc?pageNo=271", "Renesas Electronics")</f>
        <v>Renesas Electronics</v>
      </c>
      <c r="C23309" s="6">
        <v>27000</v>
      </c>
      <c r="D23309" s="7">
        <v>0.48</v>
      </c>
    </row>
    <row r="23310" spans="1:4" x14ac:dyDescent="0.25">
      <c r="A23310" t="str">
        <f>HYPERLINK("https://www.773grp.com/globalSearch/2SC2619FCTR-E/page-1", "2SC2619FCTR-E")</f>
        <v>2SC2619FCTR-E</v>
      </c>
      <c r="B23310" s="3" t="str">
        <f>HYPERLINK("https://www.773grp.com/manufacturer/renesas-electronics-america-inc?pageNo=272", "Renesas Electronics")</f>
        <v>Renesas Electronics</v>
      </c>
      <c r="C23310" s="6">
        <v>111000</v>
      </c>
      <c r="D23310" s="7">
        <v>0.48</v>
      </c>
    </row>
    <row r="23311" spans="1:4" x14ac:dyDescent="0.25">
      <c r="A23311" t="str">
        <f>HYPERLINK("https://www.773grp.com/globalSearch/2SC4176-T2-A/page-1", "2SC4176-T2-A")</f>
        <v>2SC4176-T2-A</v>
      </c>
      <c r="B23311" s="3" t="str">
        <f>HYPERLINK("https://www.773grp.com/manufacturer/renesas-electronics-america-inc?pageNo=273", "Renesas Electronics")</f>
        <v>Renesas Electronics</v>
      </c>
      <c r="C23311" s="6">
        <v>72000</v>
      </c>
      <c r="D23311" s="7">
        <v>0.48</v>
      </c>
    </row>
    <row r="23312" spans="1:4" x14ac:dyDescent="0.25">
      <c r="A23312" t="str">
        <f>HYPERLINK("https://www.773grp.com/globalSearch/2SC5850LCTL-E/page-1", "2SC5850LCTL-E")</f>
        <v>2SC5850LCTL-E</v>
      </c>
      <c r="B23312" s="3" t="str">
        <f>HYPERLINK("https://www.773grp.com/manufacturer/renesas-electronics-america-inc?pageNo=274", "Renesas Electronics")</f>
        <v>Renesas Electronics</v>
      </c>
      <c r="C23312" s="6">
        <v>60000</v>
      </c>
      <c r="D23312" s="7">
        <v>0.48</v>
      </c>
    </row>
    <row r="23313" spans="1:4" x14ac:dyDescent="0.25">
      <c r="A23313" t="str">
        <f>HYPERLINK("https://www.773grp.com/globalSearch/2SK3289ANTL-E/page-1", "2SK3289ANTL-E")</f>
        <v>2SK3289ANTL-E</v>
      </c>
      <c r="B23313" s="3" t="str">
        <f>HYPERLINK("https://www.773grp.com/manufacturer/renesas-electronics-america-inc?pageNo=275", "Renesas Electronics")</f>
        <v>Renesas Electronics</v>
      </c>
      <c r="C23313" s="6">
        <v>18000</v>
      </c>
      <c r="D23313" s="7">
        <v>0.48</v>
      </c>
    </row>
    <row r="23314" spans="1:4" x14ac:dyDescent="0.25">
      <c r="A23314" t="str">
        <f>HYPERLINK("https://www.773grp.com/globalSearch/2SK3348CNTL-E/page-1", "2SK3348CNTL-E")</f>
        <v>2SK3348CNTL-E</v>
      </c>
      <c r="B23314" s="3" t="str">
        <f>HYPERLINK("https://www.773grp.com/manufacturer/renesas-electronics-america-inc?pageNo=276", "Renesas Electronics")</f>
        <v>Renesas Electronics</v>
      </c>
      <c r="C23314" s="6">
        <v>27000</v>
      </c>
      <c r="D23314" s="7">
        <v>0.48</v>
      </c>
    </row>
    <row r="23315" spans="1:4" x14ac:dyDescent="0.25">
      <c r="A23315" t="str">
        <f>HYPERLINK("https://www.773grp.com/globalSearch/74HC1G00CME-E/page-1", "74HC1G00CME-E")</f>
        <v>74HC1G00CME-E</v>
      </c>
      <c r="B23315" s="3" t="str">
        <f>HYPERLINK("https://www.773grp.com/manufacturer/renesas-electronics-america-inc?pageNo=277", "Renesas Electronics")</f>
        <v>Renesas Electronics</v>
      </c>
      <c r="C23315" s="6">
        <v>9000</v>
      </c>
      <c r="D23315" s="7">
        <v>0.48</v>
      </c>
    </row>
    <row r="23316" spans="1:4" x14ac:dyDescent="0.25">
      <c r="A23316" t="str">
        <f>HYPERLINK("https://www.773grp.com/globalSearch/74HCT1G00CME-E/page-1", "74HCT1G00CME-E")</f>
        <v>74HCT1G00CME-E</v>
      </c>
      <c r="B23316" s="3" t="str">
        <f>HYPERLINK("https://www.773grp.com/manufacturer/renesas-electronics-america-inc?pageNo=278", "Renesas Electronics")</f>
        <v>Renesas Electronics</v>
      </c>
      <c r="C23316" s="6">
        <v>30000</v>
      </c>
      <c r="D23316" s="7">
        <v>0.48</v>
      </c>
    </row>
    <row r="23317" spans="1:4" x14ac:dyDescent="0.25">
      <c r="A23317" t="str">
        <f>HYPERLINK("https://www.773grp.com/globalSearch/74HCT1G04CME-E/page-1", "74HCT1G04CME-E")</f>
        <v>74HCT1G04CME-E</v>
      </c>
      <c r="B23317" s="3" t="str">
        <f>HYPERLINK("https://www.773grp.com/manufacturer/renesas-electronics-america-inc?pageNo=279", "Renesas Electronics")</f>
        <v>Renesas Electronics</v>
      </c>
      <c r="C23317" s="6">
        <v>45000</v>
      </c>
      <c r="D23317" s="7">
        <v>0.48</v>
      </c>
    </row>
    <row r="23318" spans="1:4" x14ac:dyDescent="0.25">
      <c r="A23318" t="str">
        <f>HYPERLINK("https://www.773grp.com/globalSearch/74HCT1G08CME-E/page-1", "74HCT1G08CME-E")</f>
        <v>74HCT1G08CME-E</v>
      </c>
      <c r="B23318" s="3" t="str">
        <f>HYPERLINK("https://www.773grp.com/manufacturer/renesas-electronics-america-inc?pageNo=280", "Renesas Electronics")</f>
        <v>Renesas Electronics</v>
      </c>
      <c r="C23318" s="6">
        <v>42000</v>
      </c>
      <c r="D23318" s="7">
        <v>0.48</v>
      </c>
    </row>
    <row r="23319" spans="1:4" x14ac:dyDescent="0.25">
      <c r="A23319" t="str">
        <f>HYPERLINK("https://www.773grp.com/globalSearch/74HCT1G14CME-E/page-1", "74HCT1G14CME-E")</f>
        <v>74HCT1G14CME-E</v>
      </c>
      <c r="B23319" s="3" t="str">
        <f>HYPERLINK("https://www.773grp.com/manufacturer/renesas-electronics-america-inc?pageNo=281", "Renesas Electronics")</f>
        <v>Renesas Electronics</v>
      </c>
      <c r="C23319" s="6">
        <v>45000</v>
      </c>
      <c r="D23319" s="7">
        <v>0.48</v>
      </c>
    </row>
    <row r="23320" spans="1:4" x14ac:dyDescent="0.25">
      <c r="A23320" t="str">
        <f>HYPERLINK("https://www.773grp.com/globalSearch/HSB0104YPTR-E/page-1", "HSB0104YPTR-E")</f>
        <v>HSB0104YPTR-E</v>
      </c>
      <c r="B23320" s="3" t="str">
        <f>HYPERLINK("https://www.773grp.com/manufacturer/renesas-electronics-america-inc?pageNo=282", "Renesas Electronics")</f>
        <v>Renesas Electronics</v>
      </c>
      <c r="C23320" s="6">
        <v>54000</v>
      </c>
      <c r="D23320" s="7">
        <v>0.48</v>
      </c>
    </row>
    <row r="23321" spans="1:4" x14ac:dyDescent="0.25">
      <c r="A23321" t="str">
        <f>HYPERLINK("https://www.773grp.com/globalSearch/HSM221CTL/page-1", "HSM221CTL")</f>
        <v>HSM221CTL</v>
      </c>
      <c r="B23321" s="3" t="str">
        <f>HYPERLINK("https://www.773grp.com/manufacturer/renesas-electronics-america-inc?pageNo=283", "Renesas Electronics")</f>
        <v>Renesas Electronics</v>
      </c>
      <c r="C23321" s="6">
        <v>60000</v>
      </c>
      <c r="D23321" s="7">
        <v>0.48</v>
      </c>
    </row>
    <row r="23322" spans="1:4" x14ac:dyDescent="0.25">
      <c r="A23322" t="str">
        <f>HYPERLINK("https://www.773grp.com/globalSearch/HVC132-8TRF-E/page-1", "HVC132-8TRF-E")</f>
        <v>HVC132-8TRF-E</v>
      </c>
      <c r="B23322" s="3" t="str">
        <f>HYPERLINK("https://www.773grp.com/manufacturer/renesas-electronics-america-inc?pageNo=284", "Renesas Electronics")</f>
        <v>Renesas Electronics</v>
      </c>
      <c r="C23322" s="6">
        <v>32000</v>
      </c>
      <c r="D23322" s="7">
        <v>0.48</v>
      </c>
    </row>
    <row r="23323" spans="1:4" x14ac:dyDescent="0.25">
      <c r="A23323" t="str">
        <f>HYPERLINK("https://www.773grp.com/globalSearch/HVC381BTRF-E/page-1", "HVC381BTRF-E")</f>
        <v>HVC381BTRF-E</v>
      </c>
      <c r="B23323" s="3" t="str">
        <f>HYPERLINK("https://www.773grp.com/manufacturer/renesas-electronics-america-inc?pageNo=285", "Renesas Electronics")</f>
        <v>Renesas Electronics</v>
      </c>
      <c r="C23323" s="6">
        <v>72000</v>
      </c>
      <c r="D23323" s="7">
        <v>0.48</v>
      </c>
    </row>
    <row r="23324" spans="1:4" x14ac:dyDescent="0.25">
      <c r="A23324" t="str">
        <f>HYPERLINK("https://www.773grp.com/globalSearch/HVL358CMKRF-E/page-1", "HVL358CMKRF-E")</f>
        <v>HVL358CMKRF-E</v>
      </c>
      <c r="B23324" s="3" t="str">
        <f>HYPERLINK("https://www.773grp.com/manufacturer/renesas-electronics-america-inc?pageNo=286", "Renesas Electronics")</f>
        <v>Renesas Electronics</v>
      </c>
      <c r="C23324" s="6">
        <v>290000</v>
      </c>
      <c r="D23324" s="7">
        <v>0.48</v>
      </c>
    </row>
    <row r="23325" spans="1:4" x14ac:dyDescent="0.25">
      <c r="A23325" t="str">
        <f>HYPERLINK("https://www.773grp.com/globalSearch/HZ12B2-90/page-1", "HZ12B2-90")</f>
        <v>HZ12B2-90</v>
      </c>
      <c r="B23325" s="3" t="str">
        <f>HYPERLINK("https://www.773grp.com/manufacturer/renesas-electronics-america-inc?pageNo=287", "Renesas Electronics")</f>
        <v>Renesas Electronics</v>
      </c>
      <c r="C23325" s="6">
        <v>9000</v>
      </c>
      <c r="D23325" s="7">
        <v>0.48</v>
      </c>
    </row>
    <row r="23326" spans="1:4" x14ac:dyDescent="0.25">
      <c r="A23326" t="str">
        <f>HYPERLINK("https://www.773grp.com/globalSearch/HZ12B2J-E/page-1", "HZ12B2J-E")</f>
        <v>HZ12B2J-E</v>
      </c>
      <c r="B23326" s="3" t="str">
        <f>HYPERLINK("https://www.773grp.com/manufacturer/renesas-electronics-america-inc?pageNo=288", "Renesas Electronics")</f>
        <v>Renesas Electronics</v>
      </c>
      <c r="C23326" s="6">
        <v>16000</v>
      </c>
      <c r="D23326" s="7">
        <v>0.48</v>
      </c>
    </row>
    <row r="23327" spans="1:4" x14ac:dyDescent="0.25">
      <c r="A23327" t="str">
        <f>HYPERLINK("https://www.773grp.com/globalSearch/HZ12C3JTA/page-1", "HZ12C3JTA")</f>
        <v>HZ12C3JTA</v>
      </c>
      <c r="B23327" s="3" t="str">
        <f>HYPERLINK("https://www.773grp.com/manufacturer/renesas-electronics-america-inc?pageNo=289", "Renesas Electronics")</f>
        <v>Renesas Electronics</v>
      </c>
      <c r="C23327" s="6">
        <v>10000</v>
      </c>
      <c r="D23327" s="7">
        <v>0.48</v>
      </c>
    </row>
    <row r="23328" spans="1:4" x14ac:dyDescent="0.25">
      <c r="A23328" t="str">
        <f>HYPERLINK("https://www.773grp.com/globalSearch/HZ27-2JRE-E/page-1", "HZ27-2JRE-E")</f>
        <v>HZ27-2JRE-E</v>
      </c>
      <c r="B23328" s="3" t="str">
        <f>HYPERLINK("https://www.773grp.com/manufacturer/renesas-electronics-america-inc?pageNo=290", "Renesas Electronics")</f>
        <v>Renesas Electronics</v>
      </c>
      <c r="C23328" s="6">
        <v>16000</v>
      </c>
      <c r="D23328" s="7">
        <v>0.48</v>
      </c>
    </row>
    <row r="23329" spans="1:4" x14ac:dyDescent="0.25">
      <c r="A23329" t="str">
        <f>HYPERLINK("https://www.773grp.com/globalSearch/HZ3ALL-E/page-1", "HZ3ALL-E")</f>
        <v>HZ3ALL-E</v>
      </c>
      <c r="B23329" s="3" t="str">
        <f>HYPERLINK("https://www.773grp.com/manufacturer/renesas-electronics-america-inc?pageNo=291", "Renesas Electronics")</f>
        <v>Renesas Electronics</v>
      </c>
      <c r="C23329" s="6">
        <v>16982</v>
      </c>
      <c r="D23329" s="7">
        <v>0.48</v>
      </c>
    </row>
    <row r="23330" spans="1:4" x14ac:dyDescent="0.25">
      <c r="A23330" t="str">
        <f>HYPERLINK("https://www.773grp.com/globalSearch/HZ3BLL-JTA/page-1", "HZ3BLL-JTA")</f>
        <v>HZ3BLL-JTA</v>
      </c>
      <c r="B23330" s="3" t="str">
        <f>HYPERLINK("https://www.773grp.com/manufacturer/renesas-electronics-america-inc?pageNo=292", "Renesas Electronics")</f>
        <v>Renesas Electronics</v>
      </c>
      <c r="C23330" s="6">
        <v>5000</v>
      </c>
      <c r="D23330" s="7">
        <v>0.48</v>
      </c>
    </row>
    <row r="23331" spans="1:4" x14ac:dyDescent="0.25">
      <c r="A23331" t="str">
        <f>HYPERLINK("https://www.773grp.com/globalSearch/HZ4CLL-JTA/page-1", "HZ4CLL-JTA")</f>
        <v>HZ4CLL-JTA</v>
      </c>
      <c r="B23331" s="3" t="str">
        <f>HYPERLINK("https://www.773grp.com/manufacturer/renesas-electronics-america-inc?pageNo=293", "Renesas Electronics")</f>
        <v>Renesas Electronics</v>
      </c>
      <c r="C23331" s="6">
        <v>50000</v>
      </c>
      <c r="D23331" s="7">
        <v>0.48</v>
      </c>
    </row>
    <row r="23332" spans="1:4" x14ac:dyDescent="0.25">
      <c r="A23332" t="str">
        <f>HYPERLINK("https://www.773grp.com/globalSearch/HZ5ALL-J/page-1", "HZ5ALL-J")</f>
        <v>HZ5ALL-J</v>
      </c>
      <c r="B23332" s="3" t="str">
        <f>HYPERLINK("https://www.773grp.com/manufacturer/renesas-electronics-america-inc?pageNo=294", "Renesas Electronics")</f>
        <v>Renesas Electronics</v>
      </c>
      <c r="C23332" s="6">
        <v>15000</v>
      </c>
      <c r="D23332" s="7">
        <v>0.48</v>
      </c>
    </row>
    <row r="23333" spans="1:4" x14ac:dyDescent="0.25">
      <c r="A23333" t="str">
        <f>HYPERLINK("https://www.773grp.com/globalSearch/HZ5ALLTD/page-1", "HZ5ALLTD")</f>
        <v>HZ5ALLTD</v>
      </c>
      <c r="B23333" s="3" t="str">
        <f>HYPERLINK("https://www.773grp.com/manufacturer/renesas-electronics-america-inc?pageNo=295", "Renesas Electronics")</f>
        <v>Renesas Electronics</v>
      </c>
      <c r="C23333" s="6">
        <v>17500</v>
      </c>
      <c r="D23333" s="7">
        <v>0.48</v>
      </c>
    </row>
    <row r="23334" spans="1:4" x14ac:dyDescent="0.25">
      <c r="A23334" t="str">
        <f>HYPERLINK("https://www.773grp.com/globalSearch/HZ5BLL90/page-1", "HZ5BLL90")</f>
        <v>HZ5BLL90</v>
      </c>
      <c r="B23334" s="3" t="str">
        <f>HYPERLINK("https://www.773grp.com/manufacturer/renesas-electronics-america-inc?pageNo=296", "Renesas Electronics")</f>
        <v>Renesas Electronics</v>
      </c>
      <c r="C23334" s="6">
        <v>26000</v>
      </c>
      <c r="D23334" s="7">
        <v>0.48</v>
      </c>
    </row>
    <row r="23335" spans="1:4" x14ac:dyDescent="0.25">
      <c r="A23335" t="str">
        <f>HYPERLINK("https://www.773grp.com/globalSearch/HZ5CLL90TA/page-1", "HZ5CLL90TA")</f>
        <v>HZ5CLL90TA</v>
      </c>
      <c r="B23335" s="3" t="str">
        <f>HYPERLINK("https://www.773grp.com/manufacturer/renesas-electronics-america-inc?pageNo=297", "Renesas Electronics")</f>
        <v>Renesas Electronics</v>
      </c>
      <c r="C23335" s="6">
        <v>15000</v>
      </c>
      <c r="D23335" s="7">
        <v>0.48</v>
      </c>
    </row>
    <row r="23336" spans="1:4" x14ac:dyDescent="0.25">
      <c r="A23336" t="str">
        <f>HYPERLINK("https://www.773grp.com/globalSearch/HZ6A1L-JTA/page-1", "HZ6A1L-JTA")</f>
        <v>HZ6A1L-JTA</v>
      </c>
      <c r="B23336" s="3" t="str">
        <f>HYPERLINK("https://www.773grp.com/manufacturer/renesas-electronics-america-inc?pageNo=298", "Renesas Electronics")</f>
        <v>Renesas Electronics</v>
      </c>
      <c r="C23336" s="6">
        <v>30000</v>
      </c>
      <c r="D23336" s="7">
        <v>0.48</v>
      </c>
    </row>
    <row r="23337" spans="1:4" x14ac:dyDescent="0.25">
      <c r="A23337" t="str">
        <f>HYPERLINK("https://www.773grp.com/globalSearch/HZ6B2L-JTA/page-1", "HZ6B2L-JTA")</f>
        <v>HZ6B2L-JTA</v>
      </c>
      <c r="B23337" s="3" t="str">
        <f>HYPERLINK("https://www.773grp.com/manufacturer/renesas-electronics-america-inc?pageNo=299", "Renesas Electronics")</f>
        <v>Renesas Electronics</v>
      </c>
      <c r="C23337" s="6">
        <v>10000</v>
      </c>
      <c r="D23337" s="7">
        <v>0.48</v>
      </c>
    </row>
    <row r="23338" spans="1:4" x14ac:dyDescent="0.25">
      <c r="A23338" t="str">
        <f>HYPERLINK("https://www.773grp.com/globalSearch/HZ7HC1/page-1", "HZ7HC1")</f>
        <v>HZ7HC1</v>
      </c>
      <c r="B23338" s="3" t="str">
        <f>HYPERLINK("https://www.773grp.com/manufacturer/renesas-electronics-america-inc?pageNo=300", "Renesas Electronics")</f>
        <v>Renesas Electronics</v>
      </c>
      <c r="C23338" s="6">
        <v>13000</v>
      </c>
      <c r="D23338" s="7">
        <v>0.48</v>
      </c>
    </row>
    <row r="23339" spans="1:4" x14ac:dyDescent="0.25">
      <c r="A23339" t="str">
        <f>HYPERLINK("https://www.773grp.com/globalSearch/HZ9A1JTA/page-1", "HZ9A1JTA")</f>
        <v>HZ9A1JTA</v>
      </c>
      <c r="B23339" s="3" t="str">
        <f>HYPERLINK("https://www.773grp.com/manufacturer/renesas-electronics-america-inc?pageNo=301", "Renesas Electronics")</f>
        <v>Renesas Electronics</v>
      </c>
      <c r="C23339" s="6">
        <v>5000</v>
      </c>
      <c r="D23339" s="7">
        <v>0.48</v>
      </c>
    </row>
    <row r="23340" spans="1:4" x14ac:dyDescent="0.25">
      <c r="A23340" t="str">
        <f>HYPERLINK("https://www.773grp.com/globalSearch/HZ9HA1/page-1", "HZ9HA1")</f>
        <v>HZ9HA1</v>
      </c>
      <c r="B23340" s="3" t="str">
        <f>HYPERLINK("https://www.773grp.com/manufacturer/renesas-electronics-america-inc?pageNo=302", "Renesas Electronics")</f>
        <v>Renesas Electronics</v>
      </c>
      <c r="C23340" s="6">
        <v>11000</v>
      </c>
      <c r="D23340" s="7">
        <v>0.48</v>
      </c>
    </row>
    <row r="23341" spans="1:4" x14ac:dyDescent="0.25">
      <c r="A23341" t="str">
        <f>HYPERLINK("https://www.773grp.com/globalSearch/HZK6BL-JTR/page-1", "HZK6BL-JTR")</f>
        <v>HZK6BL-JTR</v>
      </c>
      <c r="B23341" s="3" t="str">
        <f>HYPERLINK("https://www.773grp.com/manufacturer/renesas-electronics-america-inc?pageNo=303", "Renesas Electronics")</f>
        <v>Renesas Electronics</v>
      </c>
      <c r="C23341" s="6">
        <v>65000</v>
      </c>
      <c r="D23341" s="7">
        <v>0.48</v>
      </c>
    </row>
    <row r="23342" spans="1:4" x14ac:dyDescent="0.25">
      <c r="A23342" t="str">
        <f>HYPERLINK("https://www.773grp.com/globalSearch/HZK7CLTR-S-E/page-1", "HZK7CLTR-S-E")</f>
        <v>HZK7CLTR-S-E</v>
      </c>
      <c r="B23342" s="3" t="str">
        <f>HYPERLINK("https://www.773grp.com/manufacturer/renesas-electronics-america-inc?pageNo=304", "Renesas Electronics")</f>
        <v>Renesas Electronics</v>
      </c>
      <c r="C23342" s="6">
        <v>17500</v>
      </c>
      <c r="D23342" s="7">
        <v>0.48</v>
      </c>
    </row>
    <row r="23343" spans="1:4" x14ac:dyDescent="0.25">
      <c r="A23343" t="str">
        <f>HYPERLINK("https://www.773grp.com/globalSearch/HZK9BLTL-S-E/page-1", "HZK9BLTL-S-E")</f>
        <v>HZK9BLTL-S-E</v>
      </c>
      <c r="B23343" s="3" t="str">
        <f>HYPERLINK("https://www.773grp.com/manufacturer/renesas-electronics-america-inc?pageNo=305", "Renesas Electronics")</f>
        <v>Renesas Electronics</v>
      </c>
      <c r="C23343" s="6">
        <v>17500</v>
      </c>
      <c r="D23343" s="7">
        <v>0.48</v>
      </c>
    </row>
    <row r="23344" spans="1:4" x14ac:dyDescent="0.25">
      <c r="A23344" t="str">
        <f>HYPERLINK("https://www.773grp.com/globalSearch/HZM10NB1JTL/page-1", "HZM10NB1JTL")</f>
        <v>HZM10NB1JTL</v>
      </c>
      <c r="B23344" s="3" t="str">
        <f>HYPERLINK("https://www.773grp.com/manufacturer/renesas-electronics-america-inc?pageNo=306", "Renesas Electronics")</f>
        <v>Renesas Electronics</v>
      </c>
      <c r="C23344" s="6">
        <v>15000</v>
      </c>
      <c r="D23344" s="7">
        <v>0.48</v>
      </c>
    </row>
    <row r="23345" spans="1:4" x14ac:dyDescent="0.25">
      <c r="A23345" t="str">
        <f>HYPERLINK("https://www.773grp.com/globalSearch/HZM10NB3TL-E/page-1", "HZM10NB3TL-E")</f>
        <v>HZM10NB3TL-E</v>
      </c>
      <c r="B23345" s="3" t="str">
        <f>HYPERLINK("https://www.773grp.com/manufacturer/renesas-electronics-america-inc?pageNo=307", "Renesas Electronics")</f>
        <v>Renesas Electronics</v>
      </c>
      <c r="C23345" s="6">
        <v>30000</v>
      </c>
      <c r="D23345" s="7">
        <v>0.48</v>
      </c>
    </row>
    <row r="23346" spans="1:4" x14ac:dyDescent="0.25">
      <c r="A23346" t="str">
        <f>HYPERLINK("https://www.773grp.com/globalSearch/HZM2.0NBTL/page-1", "HZM2.0NBTL")</f>
        <v>HZM2.0NBTL</v>
      </c>
      <c r="B23346" s="3" t="str">
        <f>HYPERLINK("https://www.773grp.com/manufacturer/renesas-electronics-america-inc?pageNo=308", "Renesas Electronics")</f>
        <v>Renesas Electronics</v>
      </c>
      <c r="C23346" s="6">
        <v>3000</v>
      </c>
      <c r="D23346" s="7">
        <v>0.48</v>
      </c>
    </row>
    <row r="23347" spans="1:4" x14ac:dyDescent="0.25">
      <c r="A23347" t="str">
        <f>HYPERLINK("https://www.773grp.com/globalSearch/HZM20NB3TR-E/page-1", "HZM20NB3TR-E")</f>
        <v>HZM20NB3TR-E</v>
      </c>
      <c r="B23347" s="3" t="str">
        <f>HYPERLINK("https://www.773grp.com/manufacturer/renesas-electronics-america-inc?pageNo=309", "Renesas Electronics")</f>
        <v>Renesas Electronics</v>
      </c>
      <c r="C23347" s="6">
        <v>27000</v>
      </c>
      <c r="D23347" s="7">
        <v>0.48</v>
      </c>
    </row>
    <row r="23348" spans="1:4" x14ac:dyDescent="0.25">
      <c r="A23348" t="str">
        <f>HYPERLINK("https://www.773grp.com/globalSearch/HZM4.3NB2JTL-E/page-1", "HZM4.3NB2JTL-E")</f>
        <v>HZM4.3NB2JTL-E</v>
      </c>
      <c r="B23348" s="3" t="str">
        <f>HYPERLINK("https://www.773grp.com/manufacturer/renesas-electronics-america-inc?pageNo=310", "Renesas Electronics")</f>
        <v>Renesas Electronics</v>
      </c>
      <c r="C23348" s="6">
        <v>63000</v>
      </c>
      <c r="D23348" s="7">
        <v>0.48</v>
      </c>
    </row>
    <row r="23349" spans="1:4" x14ac:dyDescent="0.25">
      <c r="A23349" t="str">
        <f>HYPERLINK("https://www.773grp.com/globalSearch/HZM6.8Z4MWATR-E/page-1", "HZM6.8Z4MWATR-E")</f>
        <v>HZM6.8Z4MWATR-E</v>
      </c>
      <c r="B23349" s="3" t="str">
        <f>HYPERLINK("https://www.773grp.com/manufacturer/renesas-electronics-america-inc?pageNo=311", "Renesas Electronics")</f>
        <v>Renesas Electronics</v>
      </c>
      <c r="C23349" s="6">
        <v>18000</v>
      </c>
      <c r="D23349" s="7">
        <v>0.48</v>
      </c>
    </row>
    <row r="23350" spans="1:4" x14ac:dyDescent="0.25">
      <c r="A23350" t="str">
        <f>HYPERLINK("https://www.773grp.com/globalSearch/HZM7.5NB1TR-E/page-1", "HZM7.5NB1TR-E")</f>
        <v>HZM7.5NB1TR-E</v>
      </c>
      <c r="B23350" s="3" t="str">
        <f>HYPERLINK("https://www.773grp.com/manufacturer/renesas-electronics-america-inc?pageNo=312", "Renesas Electronics")</f>
        <v>Renesas Electronics</v>
      </c>
      <c r="C23350" s="6">
        <v>6000</v>
      </c>
      <c r="D23350" s="7">
        <v>0.48</v>
      </c>
    </row>
    <row r="23351" spans="1:4" x14ac:dyDescent="0.25">
      <c r="A23351" t="str">
        <f>HYPERLINK("https://www.773grp.com/globalSearch/HZM9.1NB1TR-E/page-1", "HZM9.1NB1TR-E")</f>
        <v>HZM9.1NB1TR-E</v>
      </c>
      <c r="B23351" s="3" t="str">
        <f>HYPERLINK("https://www.773grp.com/manufacturer/renesas-electronics-america-inc?pageNo=313", "Renesas Electronics")</f>
        <v>Renesas Electronics</v>
      </c>
      <c r="C23351" s="6">
        <v>18000</v>
      </c>
      <c r="D23351" s="7">
        <v>0.48</v>
      </c>
    </row>
    <row r="23352" spans="1:4" x14ac:dyDescent="0.25">
      <c r="A23352" t="str">
        <f>HYPERLINK("https://www.773grp.com/globalSearch/HZS3CLLTA-E/page-1", "HZS3CLLTA-E")</f>
        <v>HZS3CLLTA-E</v>
      </c>
      <c r="B23352" s="3" t="str">
        <f>HYPERLINK("https://www.773grp.com/manufacturer/renesas-electronics-america-inc?pageNo=314", "Renesas Electronics")</f>
        <v>Renesas Electronics</v>
      </c>
      <c r="C23352" s="6">
        <v>25000</v>
      </c>
      <c r="D23352" s="7">
        <v>0.48</v>
      </c>
    </row>
    <row r="23353" spans="1:4" x14ac:dyDescent="0.25">
      <c r="A23353" t="str">
        <f>HYPERLINK("https://www.773grp.com/globalSearch/HZS4ALLTA-E/page-1", "HZS4ALLTA-E")</f>
        <v>HZS4ALLTA-E</v>
      </c>
      <c r="B23353" s="3" t="str">
        <f>HYPERLINK("https://www.773grp.com/manufacturer/renesas-electronics-america-inc?pageNo=315", "Renesas Electronics")</f>
        <v>Renesas Electronics</v>
      </c>
      <c r="C23353" s="6">
        <v>25000</v>
      </c>
      <c r="D23353" s="7">
        <v>0.48</v>
      </c>
    </row>
    <row r="23354" spans="1:4" x14ac:dyDescent="0.25">
      <c r="A23354" t="str">
        <f>HYPERLINK("https://www.773grp.com/globalSearch/HZS4CLLTA-E/page-1", "HZS4CLLTA-E")</f>
        <v>HZS4CLLTA-E</v>
      </c>
      <c r="B23354" s="3" t="str">
        <f>HYPERLINK("https://www.773grp.com/manufacturer/renesas-electronics-america-inc?pageNo=316", "Renesas Electronics")</f>
        <v>Renesas Electronics</v>
      </c>
      <c r="C23354" s="6">
        <v>14545</v>
      </c>
      <c r="D23354" s="7">
        <v>0.48</v>
      </c>
    </row>
    <row r="23355" spans="1:4" x14ac:dyDescent="0.25">
      <c r="A23355" t="str">
        <f>HYPERLINK("https://www.773grp.com/globalSearch/NNCD5.6J-T1-AT/page-1", "NNCD5.6J-T1-AT")</f>
        <v>NNCD5.6J-T1-AT</v>
      </c>
      <c r="B23355" s="3" t="str">
        <f>HYPERLINK("https://www.773grp.com/manufacturer/renesas-electronics-america-inc?pageNo=317", "Renesas Electronics")</f>
        <v>Renesas Electronics</v>
      </c>
      <c r="C23355" s="6">
        <v>39000</v>
      </c>
      <c r="D23355" s="7">
        <v>0.48</v>
      </c>
    </row>
    <row r="23356" spans="1:4" x14ac:dyDescent="0.25">
      <c r="A23356" t="str">
        <f>HYPERLINK("https://www.773grp.com/globalSearch/RKD702KP#R0/page-1", "RKD702KP#R0")</f>
        <v>RKD702KP#R0</v>
      </c>
      <c r="B23356" s="3" t="str">
        <f>HYPERLINK("https://www.773grp.com/manufacturer/renesas-electronics-america-inc?pageNo=318", "Renesas Electronics")</f>
        <v>Renesas Electronics</v>
      </c>
      <c r="C23356" s="6">
        <v>110000</v>
      </c>
      <c r="D23356" s="7">
        <v>0.48</v>
      </c>
    </row>
    <row r="23357" spans="1:4" x14ac:dyDescent="0.25">
      <c r="A23357" t="str">
        <f>HYPERLINK("https://www.773grp.com/globalSearch/RKR0503BKH#P1/page-1", "RKR0503BKH#P1")</f>
        <v>RKR0503BKH#P1</v>
      </c>
      <c r="B23357" s="3" t="str">
        <f>HYPERLINK("https://www.773grp.com/manufacturer/renesas-electronics-america-inc?pageNo=319", "Renesas Electronics")</f>
        <v>Renesas Electronics</v>
      </c>
      <c r="C23357" s="6">
        <v>72000</v>
      </c>
      <c r="D23357" s="7">
        <v>0.48</v>
      </c>
    </row>
    <row r="23358" spans="1:4" x14ac:dyDescent="0.25">
      <c r="A23358" t="str">
        <f>HYPERLINK("https://www.773grp.com/globalSearch/RKZ10BKV#P1/page-1", "RKZ10BKV#P1")</f>
        <v>RKZ10BKV#P1</v>
      </c>
      <c r="B23358" s="3" t="str">
        <f>HYPERLINK("https://www.773grp.com/manufacturer/renesas-electronics-america-inc?pageNo=320", "Renesas Electronics")</f>
        <v>Renesas Electronics</v>
      </c>
      <c r="C23358" s="6">
        <v>48000</v>
      </c>
      <c r="D23358" s="7">
        <v>0.48</v>
      </c>
    </row>
    <row r="23359" spans="1:4" x14ac:dyDescent="0.25">
      <c r="A23359" t="str">
        <f>HYPERLINK("https://www.773grp.com/globalSearch/RKZ4.3BKV#P1/page-1", "RKZ4.3BKV#P1")</f>
        <v>RKZ4.3BKV#P1</v>
      </c>
      <c r="B23359" s="3" t="str">
        <f>HYPERLINK("https://www.773grp.com/manufacturer/renesas-electronics-america-inc?pageNo=321", "Renesas Electronics")</f>
        <v>Renesas Electronics</v>
      </c>
      <c r="C23359" s="6">
        <v>51000</v>
      </c>
      <c r="D23359" s="7">
        <v>0.48</v>
      </c>
    </row>
    <row r="23360" spans="1:4" x14ac:dyDescent="0.25">
      <c r="A23360" t="str">
        <f>HYPERLINK("https://www.773grp.com/globalSearch/RKZ5.1BKV#P1/page-1", "RKZ5.1BKV#P1")</f>
        <v>RKZ5.1BKV#P1</v>
      </c>
      <c r="B23360" s="3" t="str">
        <f>HYPERLINK("https://www.773grp.com/manufacturer/renesas-electronics-america-inc?pageNo=322", "Renesas Electronics")</f>
        <v>Renesas Electronics</v>
      </c>
      <c r="C23360" s="6">
        <v>36000</v>
      </c>
      <c r="D23360" s="7">
        <v>0.48</v>
      </c>
    </row>
    <row r="23361" spans="1:4" x14ac:dyDescent="0.25">
      <c r="A23361" t="str">
        <f>HYPERLINK("https://www.773grp.com/globalSearch/UPD78F8043K8(R)-9B4-AX/page-1", "UPD78F8043K8(R)-9B4-AX")</f>
        <v>UPD78F8043K8(R)-9B4-AX</v>
      </c>
      <c r="B23361" s="3" t="str">
        <f>HYPERLINK("https://www.773grp.com/manufacturer/renesas-electronics-america-inc?pageNo=323", "Renesas Electronics")</f>
        <v>Renesas Electronics</v>
      </c>
      <c r="C23361" s="6">
        <v>207</v>
      </c>
      <c r="D23361" s="7">
        <v>0.48</v>
      </c>
    </row>
    <row r="23362" spans="1:4" x14ac:dyDescent="0.25">
      <c r="A23362" t="str">
        <f>HYPERLINK("https://www.773grp.com/globalSearch/UPD78F9210GR-JJG-A/page-1", "UPD78F9210GR-JJG-A")</f>
        <v>UPD78F9210GR-JJG-A</v>
      </c>
      <c r="B23362" s="3" t="str">
        <f>HYPERLINK("https://www.773grp.com/manufacturer/renesas-electronics-america-inc?pageNo=324", "Renesas Electronics")</f>
        <v>Renesas Electronics</v>
      </c>
      <c r="C23362" s="6">
        <v>120</v>
      </c>
      <c r="D23362" s="7">
        <v>0.48</v>
      </c>
    </row>
    <row r="23363" spans="1:4" x14ac:dyDescent="0.25">
      <c r="A23363" t="str">
        <f>HYPERLINK("https://www.773grp.com/globalSearch/1SS221-T1B-A/page-1", "1SS221-T1B-A")</f>
        <v>1SS221-T1B-A</v>
      </c>
      <c r="B23363" s="3" t="str">
        <f>HYPERLINK("https://www.773grp.com/manufacturer/renesas-electronics-america-inc?pageNo=325", "Renesas Electronics")</f>
        <v>Renesas Electronics</v>
      </c>
      <c r="C23363" s="6">
        <v>102000</v>
      </c>
      <c r="D23363" s="7">
        <v>0.53</v>
      </c>
    </row>
    <row r="23364" spans="1:4" x14ac:dyDescent="0.25">
      <c r="A23364" t="str">
        <f>HYPERLINK("https://www.773grp.com/globalSearch/1SS221-T2B-A/page-1", "1SS221-T2B-A")</f>
        <v>1SS221-T2B-A</v>
      </c>
      <c r="B23364" s="3" t="str">
        <f>HYPERLINK("https://www.773grp.com/manufacturer/renesas-electronics-america-inc?pageNo=326", "Renesas Electronics")</f>
        <v>Renesas Electronics</v>
      </c>
      <c r="C23364" s="6">
        <v>3000</v>
      </c>
      <c r="D23364" s="7">
        <v>0.53</v>
      </c>
    </row>
    <row r="23365" spans="1:4" x14ac:dyDescent="0.25">
      <c r="A23365" t="str">
        <f>HYPERLINK("https://www.773grp.com/globalSearch/2SC2620QCTL-E/page-1", "2SC2620QCTL-E")</f>
        <v>2SC2620QCTL-E</v>
      </c>
      <c r="B23365" s="3" t="str">
        <f>HYPERLINK("https://www.773grp.com/manufacturer/renesas-electronics-america-inc?pageNo=327", "Renesas Electronics")</f>
        <v>Renesas Electronics</v>
      </c>
      <c r="C23365" s="6">
        <v>3000</v>
      </c>
      <c r="D23365" s="7">
        <v>0.53</v>
      </c>
    </row>
    <row r="23366" spans="1:4" x14ac:dyDescent="0.25">
      <c r="A23366" t="str">
        <f>HYPERLINK("https://www.773grp.com/globalSearch/2SD789E-E/page-1", "2SD789E-E")</f>
        <v>2SD789E-E</v>
      </c>
      <c r="B23366" s="3" t="str">
        <f>HYPERLINK("https://www.773grp.com/manufacturer/renesas-electronics-america-inc?pageNo=328", "Renesas Electronics")</f>
        <v>Renesas Electronics</v>
      </c>
      <c r="C23366" s="6">
        <v>20000</v>
      </c>
      <c r="D23366" s="7">
        <v>0.53</v>
      </c>
    </row>
    <row r="23367" spans="1:4" x14ac:dyDescent="0.25">
      <c r="A23367" t="str">
        <f>HYPERLINK("https://www.773grp.com/globalSearch/74HC1G02CME-E/page-1", "74HC1G02CME-E")</f>
        <v>74HC1G02CME-E</v>
      </c>
      <c r="B23367" s="3" t="str">
        <f>HYPERLINK("https://www.773grp.com/manufacturer/renesas-electronics-america-inc?pageNo=329", "Renesas Electronics")</f>
        <v>Renesas Electronics</v>
      </c>
      <c r="C23367" s="6">
        <v>27000</v>
      </c>
      <c r="D23367" s="7">
        <v>0.53</v>
      </c>
    </row>
    <row r="23368" spans="1:4" x14ac:dyDescent="0.25">
      <c r="A23368" t="str">
        <f>HYPERLINK("https://www.773grp.com/globalSearch/HRU0103A-JTRF-E/page-1", "HRU0103A-JTRF-E")</f>
        <v>HRU0103A-JTRF-E</v>
      </c>
      <c r="B23368" s="3" t="str">
        <f>HYPERLINK("https://www.773grp.com/manufacturer/renesas-electronics-america-inc?pageNo=330", "Renesas Electronics")</f>
        <v>Renesas Electronics</v>
      </c>
      <c r="C23368" s="6">
        <v>30000</v>
      </c>
      <c r="D23368" s="7">
        <v>0.53</v>
      </c>
    </row>
    <row r="23369" spans="1:4" x14ac:dyDescent="0.25">
      <c r="A23369" t="str">
        <f>HYPERLINK("https://www.773grp.com/globalSearch/HRW0302ATL-E/page-1", "HRW0302ATL-E")</f>
        <v>HRW0302ATL-E</v>
      </c>
      <c r="B23369" s="3" t="str">
        <f>HYPERLINK("https://www.773grp.com/manufacturer/renesas-electronics-america-inc?pageNo=331", "Renesas Electronics")</f>
        <v>Renesas Electronics</v>
      </c>
      <c r="C23369" s="6">
        <v>30000</v>
      </c>
      <c r="D23369" s="7">
        <v>0.53</v>
      </c>
    </row>
    <row r="23370" spans="1:4" x14ac:dyDescent="0.25">
      <c r="A23370" t="str">
        <f>HYPERLINK("https://www.773grp.com/globalSearch/HSB2838JTL-E/page-1", "HSB2838JTL-E")</f>
        <v>HSB2838JTL-E</v>
      </c>
      <c r="B23370" s="3" t="str">
        <f>HYPERLINK("https://www.773grp.com/manufacturer/renesas-electronics-america-inc?pageNo=332", "Renesas Electronics")</f>
        <v>Renesas Electronics</v>
      </c>
      <c r="C23370" s="6">
        <v>6000</v>
      </c>
      <c r="D23370" s="7">
        <v>0.53</v>
      </c>
    </row>
    <row r="23371" spans="1:4" x14ac:dyDescent="0.25">
      <c r="A23371" t="str">
        <f>HYPERLINK("https://www.773grp.com/globalSearch/HSB83JTL-E/page-1", "HSB83JTL-E")</f>
        <v>HSB83JTL-E</v>
      </c>
      <c r="B23371" s="3" t="str">
        <f>HYPERLINK("https://www.773grp.com/manufacturer/renesas-electronics-america-inc?pageNo=333", "Renesas Electronics")</f>
        <v>Renesas Electronics</v>
      </c>
      <c r="C23371" s="6">
        <v>6000</v>
      </c>
      <c r="D23371" s="7">
        <v>0.53</v>
      </c>
    </row>
    <row r="23372" spans="1:4" x14ac:dyDescent="0.25">
      <c r="A23372" t="str">
        <f>HYPERLINK("https://www.773grp.com/globalSearch/HVC321B1TRF-E/page-1", "HVC321B1TRF-E")</f>
        <v>HVC321B1TRF-E</v>
      </c>
      <c r="B23372" s="3" t="str">
        <f>HYPERLINK("https://www.773grp.com/manufacturer/renesas-electronics-america-inc?pageNo=334", "Renesas Electronics")</f>
        <v>Renesas Electronics</v>
      </c>
      <c r="C23372" s="6">
        <v>16000</v>
      </c>
      <c r="D23372" s="7">
        <v>0.53</v>
      </c>
    </row>
    <row r="23373" spans="1:4" x14ac:dyDescent="0.25">
      <c r="A23373" t="str">
        <f>HYPERLINK("https://www.773grp.com/globalSearch/HVC357TRF-E/page-1", "HVC357TRF-E")</f>
        <v>HVC357TRF-E</v>
      </c>
      <c r="B23373" s="3" t="str">
        <f>HYPERLINK("https://www.773grp.com/manufacturer/renesas-electronics-america-inc?pageNo=335", "Renesas Electronics")</f>
        <v>Renesas Electronics</v>
      </c>
      <c r="C23373" s="6">
        <v>60000</v>
      </c>
      <c r="D23373" s="7">
        <v>0.53</v>
      </c>
    </row>
    <row r="23374" spans="1:4" x14ac:dyDescent="0.25">
      <c r="A23374" t="str">
        <f>HYPERLINK("https://www.773grp.com/globalSearch/HVC417C1TRU-E/page-1", "HVC417C1TRU-E")</f>
        <v>HVC417C1TRU-E</v>
      </c>
      <c r="B23374" s="3" t="str">
        <f>HYPERLINK("https://www.773grp.com/manufacturer/renesas-electronics-america-inc?pageNo=336", "Renesas Electronics")</f>
        <v>Renesas Electronics</v>
      </c>
      <c r="C23374" s="6">
        <v>60000</v>
      </c>
      <c r="D23374" s="7">
        <v>0.53</v>
      </c>
    </row>
    <row r="23375" spans="1:4" x14ac:dyDescent="0.25">
      <c r="A23375" t="str">
        <f>HYPERLINK("https://www.773grp.com/globalSearch/HVD132-7KRF-E/page-1", "HVD132-7KRF-E")</f>
        <v>HVD132-7KRF-E</v>
      </c>
      <c r="B23375" s="3" t="str">
        <f>HYPERLINK("https://www.773grp.com/manufacturer/renesas-electronics-america-inc?pageNo=337", "Renesas Electronics")</f>
        <v>Renesas Electronics</v>
      </c>
      <c r="C23375" s="6">
        <v>24000</v>
      </c>
      <c r="D23375" s="7">
        <v>0.53</v>
      </c>
    </row>
    <row r="23376" spans="1:4" x14ac:dyDescent="0.25">
      <c r="A23376" t="str">
        <f>HYPERLINK("https://www.773grp.com/globalSearch/HVD359KRF-E/page-1", "HVD359KRF-E")</f>
        <v>HVD359KRF-E</v>
      </c>
      <c r="B23376" s="3" t="str">
        <f>HYPERLINK("https://www.773grp.com/manufacturer/renesas-electronics-america-inc?pageNo=338", "Renesas Electronics")</f>
        <v>Renesas Electronics</v>
      </c>
      <c r="C23376" s="6">
        <v>96000</v>
      </c>
      <c r="D23376" s="7">
        <v>0.53</v>
      </c>
    </row>
    <row r="23377" spans="1:4" x14ac:dyDescent="0.25">
      <c r="A23377" t="str">
        <f>HYPERLINK("https://www.773grp.com/globalSearch/HVU350-3BTRF-E/page-1", "HVU350-3BTRF-E")</f>
        <v>HVU350-3BTRF-E</v>
      </c>
      <c r="B23377" s="3" t="str">
        <f>HYPERLINK("https://www.773grp.com/manufacturer/renesas-electronics-america-inc?pageNo=339", "Renesas Electronics")</f>
        <v>Renesas Electronics</v>
      </c>
      <c r="C23377" s="6">
        <v>57000</v>
      </c>
      <c r="D23377" s="7">
        <v>0.53</v>
      </c>
    </row>
    <row r="23378" spans="1:4" x14ac:dyDescent="0.25">
      <c r="A23378" t="str">
        <f>HYPERLINK("https://www.773grp.com/globalSearch/HVU358-2TRF-E/page-1", "HVU358-2TRF-E")</f>
        <v>HVU358-2TRF-E</v>
      </c>
      <c r="B23378" s="3" t="str">
        <f>HYPERLINK("https://www.773grp.com/manufacturer/renesas-electronics-america-inc?pageNo=340", "Renesas Electronics")</f>
        <v>Renesas Electronics</v>
      </c>
      <c r="C23378" s="6">
        <v>90000</v>
      </c>
      <c r="D23378" s="7">
        <v>0.53</v>
      </c>
    </row>
    <row r="23379" spans="1:4" x14ac:dyDescent="0.25">
      <c r="A23379" t="str">
        <f>HYPERLINK("https://www.773grp.com/globalSearch/HVU383BTRF-E/page-1", "HVU383BTRF-E")</f>
        <v>HVU383BTRF-E</v>
      </c>
      <c r="B23379" s="3" t="str">
        <f>HYPERLINK("https://www.773grp.com/manufacturer/renesas-electronics-america-inc?pageNo=341", "Renesas Electronics")</f>
        <v>Renesas Electronics</v>
      </c>
      <c r="C23379" s="6">
        <v>114000</v>
      </c>
      <c r="D23379" s="7">
        <v>0.53</v>
      </c>
    </row>
    <row r="23380" spans="1:4" x14ac:dyDescent="0.25">
      <c r="A23380" t="str">
        <f>HYPERLINK("https://www.773grp.com/globalSearch/HZ16-2JTA/page-1", "HZ16-2JTA")</f>
        <v>HZ16-2JTA</v>
      </c>
      <c r="B23380" s="3" t="str">
        <f>HYPERLINK("https://www.773grp.com/manufacturer/renesas-electronics-america-inc?pageNo=342", "Renesas Electronics")</f>
        <v>Renesas Electronics</v>
      </c>
      <c r="C23380" s="6">
        <v>40000</v>
      </c>
      <c r="D23380" s="7">
        <v>0.53</v>
      </c>
    </row>
    <row r="23381" spans="1:4" x14ac:dyDescent="0.25">
      <c r="A23381" t="str">
        <f>HYPERLINK("https://www.773grp.com/globalSearch/HZ18-3J-E/page-1", "HZ18-3J-E")</f>
        <v>HZ18-3J-E</v>
      </c>
      <c r="B23381" s="3" t="str">
        <f>HYPERLINK("https://www.773grp.com/manufacturer/renesas-electronics-america-inc?pageNo=343", "Renesas Electronics")</f>
        <v>Renesas Electronics</v>
      </c>
      <c r="C23381" s="6">
        <v>10000</v>
      </c>
      <c r="D23381" s="7">
        <v>0.53</v>
      </c>
    </row>
    <row r="23382" spans="1:4" x14ac:dyDescent="0.25">
      <c r="A23382" t="str">
        <f>HYPERLINK("https://www.773grp.com/globalSearch/HZ2BLLRE-E/page-1", "HZ2BLLRE-E")</f>
        <v>HZ2BLLRE-E</v>
      </c>
      <c r="B23382" s="3" t="str">
        <f>HYPERLINK("https://www.773grp.com/manufacturer/renesas-electronics-america-inc?pageNo=344", "Renesas Electronics")</f>
        <v>Renesas Electronics</v>
      </c>
      <c r="C23382" s="6">
        <v>20000</v>
      </c>
      <c r="D23382" s="7">
        <v>0.53</v>
      </c>
    </row>
    <row r="23383" spans="1:4" x14ac:dyDescent="0.25">
      <c r="A23383" t="str">
        <f>HYPERLINK("https://www.773grp.com/globalSearch/HZ4BLLRE-E/page-1", "HZ4BLLRE-E")</f>
        <v>HZ4BLLRE-E</v>
      </c>
      <c r="B23383" s="3" t="str">
        <f>HYPERLINK("https://www.773grp.com/manufacturer/renesas-electronics-america-inc?pageNo=345", "Renesas Electronics")</f>
        <v>Renesas Electronics</v>
      </c>
      <c r="C23383" s="6">
        <v>8000</v>
      </c>
      <c r="D23383" s="7">
        <v>0.53</v>
      </c>
    </row>
    <row r="23384" spans="1:4" x14ac:dyDescent="0.25">
      <c r="A23384" t="str">
        <f>HYPERLINK("https://www.773grp.com/globalSearch/HZK15LTR-S-E/page-1", "HZK15LTR-S-E")</f>
        <v>HZK15LTR-S-E</v>
      </c>
      <c r="B23384" s="3" t="str">
        <f>HYPERLINK("https://www.773grp.com/manufacturer/renesas-electronics-america-inc?pageNo=346", "Renesas Electronics")</f>
        <v>Renesas Electronics</v>
      </c>
      <c r="C23384" s="6">
        <v>5000</v>
      </c>
      <c r="D23384" s="7">
        <v>0.53</v>
      </c>
    </row>
    <row r="23385" spans="1:4" x14ac:dyDescent="0.25">
      <c r="A23385" t="str">
        <f>HYPERLINK("https://www.773grp.com/globalSearch/HZM12NB1TL/page-1", "HZM12NB1TL")</f>
        <v>HZM12NB1TL</v>
      </c>
      <c r="B23385" s="3" t="str">
        <f>HYPERLINK("https://www.773grp.com/manufacturer/renesas-electronics-america-inc?pageNo=347", "Renesas Electronics")</f>
        <v>Renesas Electronics</v>
      </c>
      <c r="C23385" s="6">
        <v>12000</v>
      </c>
      <c r="D23385" s="7">
        <v>0.53</v>
      </c>
    </row>
    <row r="23386" spans="1:4" x14ac:dyDescent="0.25">
      <c r="A23386" t="str">
        <f>HYPERLINK("https://www.773grp.com/globalSearch/HZM2.7NB1TL/page-1", "HZM2.7NB1TL")</f>
        <v>HZM2.7NB1TL</v>
      </c>
      <c r="B23386" s="3" t="str">
        <f>HYPERLINK("https://www.773grp.com/manufacturer/renesas-electronics-america-inc?pageNo=348", "Renesas Electronics")</f>
        <v>Renesas Electronics</v>
      </c>
      <c r="C23386" s="6">
        <v>12000</v>
      </c>
      <c r="D23386" s="7">
        <v>0.53</v>
      </c>
    </row>
    <row r="23387" spans="1:4" x14ac:dyDescent="0.25">
      <c r="A23387" t="str">
        <f>HYPERLINK("https://www.773grp.com/globalSearch/HZM27NBTL/page-1", "HZM27NBTL")</f>
        <v>HZM27NBTL</v>
      </c>
      <c r="B23387" s="3" t="str">
        <f>HYPERLINK("https://www.773grp.com/manufacturer/renesas-electronics-america-inc?pageNo=349", "Renesas Electronics")</f>
        <v>Renesas Electronics</v>
      </c>
      <c r="C23387" s="6">
        <v>9000</v>
      </c>
      <c r="D23387" s="7">
        <v>0.53</v>
      </c>
    </row>
    <row r="23388" spans="1:4" x14ac:dyDescent="0.25">
      <c r="A23388" t="str">
        <f>HYPERLINK("https://www.773grp.com/globalSearch/HZM6.8ZMFATL-P-E/page-1", "HZM6.8ZMFATL-P-E")</f>
        <v>HZM6.8ZMFATL-P-E</v>
      </c>
      <c r="B23388" s="3" t="str">
        <f>HYPERLINK("https://www.773grp.com/manufacturer/renesas-electronics-america-inc?pageNo=350", "Renesas Electronics")</f>
        <v>Renesas Electronics</v>
      </c>
      <c r="C23388" s="6">
        <v>345000</v>
      </c>
      <c r="D23388" s="7">
        <v>0.53</v>
      </c>
    </row>
    <row r="23389" spans="1:4" x14ac:dyDescent="0.25">
      <c r="A23389" t="str">
        <f>HYPERLINK("https://www.773grp.com/globalSearch/HZM6B-JTR/page-1", "HZM6B-JTR")</f>
        <v>HZM6B-JTR</v>
      </c>
      <c r="B23389" s="3" t="str">
        <f>HYPERLINK("https://www.773grp.com/manufacturer/renesas-electronics-america-inc?pageNo=351", "Renesas Electronics")</f>
        <v>Renesas Electronics</v>
      </c>
      <c r="C23389" s="6">
        <v>33000</v>
      </c>
      <c r="D23389" s="7">
        <v>0.53</v>
      </c>
    </row>
    <row r="23390" spans="1:4" x14ac:dyDescent="0.25">
      <c r="A23390" t="str">
        <f>HYPERLINK("https://www.773grp.com/globalSearch/HZM8.2NB2JTR-E/page-1", "HZM8.2NB2JTR-E")</f>
        <v>HZM8.2NB2JTR-E</v>
      </c>
      <c r="B23390" s="3" t="str">
        <f>HYPERLINK("https://www.773grp.com/manufacturer/renesas-electronics-america-inc?pageNo=352", "Renesas Electronics")</f>
        <v>Renesas Electronics</v>
      </c>
      <c r="C23390" s="6">
        <v>30000</v>
      </c>
      <c r="D23390" s="7">
        <v>0.53</v>
      </c>
    </row>
    <row r="23391" spans="1:4" x14ac:dyDescent="0.25">
      <c r="A23391" t="str">
        <f>HYPERLINK("https://www.773grp.com/globalSearch/HZS2CLLRX-E/page-1", "HZS2CLLRX-E")</f>
        <v>HZS2CLLRX-E</v>
      </c>
      <c r="B23391" s="3" t="str">
        <f>HYPERLINK("https://www.773grp.com/manufacturer/renesas-electronics-america-inc?pageNo=353", "Renesas Electronics")</f>
        <v>Renesas Electronics</v>
      </c>
      <c r="C23391" s="6">
        <v>7500</v>
      </c>
      <c r="D23391" s="7">
        <v>0.53</v>
      </c>
    </row>
    <row r="23392" spans="1:4" x14ac:dyDescent="0.25">
      <c r="A23392" t="str">
        <f>HYPERLINK("https://www.773grp.com/globalSearch/HZS3ALLRX-E/page-1", "HZS3ALLRX-E")</f>
        <v>HZS3ALLRX-E</v>
      </c>
      <c r="B23392" s="3" t="str">
        <f>HYPERLINK("https://www.773grp.com/manufacturer/renesas-electronics-america-inc?pageNo=354", "Renesas Electronics")</f>
        <v>Renesas Electronics</v>
      </c>
      <c r="C23392" s="6">
        <v>17500</v>
      </c>
      <c r="D23392" s="7">
        <v>0.53</v>
      </c>
    </row>
    <row r="23393" spans="1:4" x14ac:dyDescent="0.25">
      <c r="A23393" t="str">
        <f>HYPERLINK("https://www.773grp.com/globalSearch/N413/page-1", "N413")</f>
        <v>N413</v>
      </c>
      <c r="B23393" s="3" t="str">
        <f>HYPERLINK("https://www.773grp.com/manufacturer/renesas-electronics-america-inc?pageNo=355", "Renesas Electronics")</f>
        <v>Renesas Electronics</v>
      </c>
      <c r="C23393" s="6">
        <v>4590</v>
      </c>
      <c r="D23393" s="7">
        <v>0.53</v>
      </c>
    </row>
    <row r="23394" spans="1:4" x14ac:dyDescent="0.25">
      <c r="A23394" t="str">
        <f>HYPERLINK("https://www.773grp.com/globalSearch/NNCD6.8RL-T1-A/page-1", "NNCD6.8RL-T1-A")</f>
        <v>NNCD6.8RL-T1-A</v>
      </c>
      <c r="B23394" s="3" t="str">
        <f>HYPERLINK("https://www.773grp.com/manufacturer/renesas-electronics-america-inc?pageNo=356", "Renesas Electronics")</f>
        <v>Renesas Electronics</v>
      </c>
      <c r="C23394" s="6">
        <v>60000</v>
      </c>
      <c r="D23394" s="7">
        <v>0.53</v>
      </c>
    </row>
    <row r="23395" spans="1:4" x14ac:dyDescent="0.25">
      <c r="A23395" t="str">
        <f>HYPERLINK("https://www.773grp.com/globalSearch/NNCD6.8RL-T1-AT/page-1", "NNCD6.8RL-T1-AT")</f>
        <v>NNCD6.8RL-T1-AT</v>
      </c>
      <c r="B23395" s="3" t="str">
        <f>HYPERLINK("https://www.773grp.com/manufacturer/renesas-electronics-america-inc?pageNo=357", "Renesas Electronics")</f>
        <v>Renesas Electronics</v>
      </c>
      <c r="C23395" s="6">
        <v>18000</v>
      </c>
      <c r="D23395" s="7">
        <v>0.53</v>
      </c>
    </row>
    <row r="23396" spans="1:4" x14ac:dyDescent="0.25">
      <c r="A23396" t="str">
        <f>HYPERLINK("https://www.773grp.com/globalSearch/RD16F(N)-T7/page-1", "RD16F(N)-T7")</f>
        <v>RD16F(N)-T7</v>
      </c>
      <c r="B23396" s="3" t="str">
        <f>HYPERLINK("https://www.773grp.com/manufacturer/renesas-electronics-america-inc?pageNo=358", "Renesas Electronics")</f>
        <v>Renesas Electronics</v>
      </c>
      <c r="C23396" s="6">
        <v>5000</v>
      </c>
      <c r="D23396" s="7">
        <v>0.53</v>
      </c>
    </row>
    <row r="23397" spans="1:4" x14ac:dyDescent="0.25">
      <c r="A23397" t="str">
        <f>HYPERLINK("https://www.773grp.com/globalSearch/RD2.0F(N)/page-1", "RD2.0F(N)")</f>
        <v>RD2.0F(N)</v>
      </c>
      <c r="B23397" s="3" t="str">
        <f>HYPERLINK("https://www.773grp.com/manufacturer/renesas-electronics-america-inc?pageNo=359", "Renesas Electronics")</f>
        <v>Renesas Electronics</v>
      </c>
      <c r="C23397" s="6">
        <v>10000</v>
      </c>
      <c r="D23397" s="7">
        <v>0.53</v>
      </c>
    </row>
    <row r="23398" spans="1:4" x14ac:dyDescent="0.25">
      <c r="A23398" t="str">
        <f>HYPERLINK("https://www.773grp.com/globalSearch/RJK03J4DPA-WS#J5A/page-1", "RJK03J4DPA-WS#J5A")</f>
        <v>RJK03J4DPA-WS#J5A</v>
      </c>
      <c r="B23398" s="3" t="str">
        <f>HYPERLINK("https://www.773grp.com/manufacturer/renesas-electronics-america-inc?pageNo=360", "Renesas Electronics")</f>
        <v>Renesas Electronics</v>
      </c>
      <c r="C23398" s="6">
        <v>3000</v>
      </c>
      <c r="D23398" s="7">
        <v>0.53</v>
      </c>
    </row>
    <row r="23399" spans="1:4" x14ac:dyDescent="0.25">
      <c r="A23399" t="str">
        <f>HYPERLINK("https://www.773grp.com/globalSearch/RKV650KP#R0/page-1", "RKV650KP#R0")</f>
        <v>RKV650KP#R0</v>
      </c>
      <c r="B23399" s="3" t="str">
        <f>HYPERLINK("https://www.773grp.com/manufacturer/renesas-electronics-america-inc?pageNo=361", "Renesas Electronics")</f>
        <v>Renesas Electronics</v>
      </c>
      <c r="C23399" s="6">
        <v>160000</v>
      </c>
      <c r="D23399" s="7">
        <v>0.53</v>
      </c>
    </row>
    <row r="23400" spans="1:4" x14ac:dyDescent="0.25">
      <c r="A23400" t="str">
        <f>HYPERLINK("https://www.773grp.com/globalSearch/RKZ18BKV#P1/page-1", "RKZ18BKV#P1")</f>
        <v>RKZ18BKV#P1</v>
      </c>
      <c r="B23400" s="3" t="str">
        <f>HYPERLINK("https://www.773grp.com/manufacturer/renesas-electronics-america-inc?pageNo=362", "Renesas Electronics")</f>
        <v>Renesas Electronics</v>
      </c>
      <c r="C23400" s="6">
        <v>51000</v>
      </c>
      <c r="D23400" s="7">
        <v>0.53</v>
      </c>
    </row>
    <row r="23401" spans="1:4" x14ac:dyDescent="0.25">
      <c r="A23401" t="str">
        <f>HYPERLINK("https://www.773grp.com/globalSearch/RKZ24BKV#P1/page-1", "RKZ24BKV#P1")</f>
        <v>RKZ24BKV#P1</v>
      </c>
      <c r="B23401" s="3" t="str">
        <f>HYPERLINK("https://www.773grp.com/manufacturer/renesas-electronics-america-inc?pageNo=363", "Renesas Electronics")</f>
        <v>Renesas Electronics</v>
      </c>
      <c r="C23401" s="6">
        <v>63000</v>
      </c>
      <c r="D23401" s="7">
        <v>0.53</v>
      </c>
    </row>
    <row r="23402" spans="1:4" x14ac:dyDescent="0.25">
      <c r="A23402" t="str">
        <f>HYPERLINK("https://www.773grp.com/globalSearch/RKZ3.9BKV#P1/page-1", "RKZ3.9BKV#P1")</f>
        <v>RKZ3.9BKV#P1</v>
      </c>
      <c r="B23402" s="3" t="str">
        <f>HYPERLINK("https://www.773grp.com/manufacturer/renesas-electronics-america-inc?pageNo=364", "Renesas Electronics")</f>
        <v>Renesas Electronics</v>
      </c>
      <c r="C23402" s="6">
        <v>90000</v>
      </c>
      <c r="D23402" s="7">
        <v>0.53</v>
      </c>
    </row>
    <row r="23403" spans="1:4" x14ac:dyDescent="0.25">
      <c r="A23403" t="str">
        <f>HYPERLINK("https://www.773grp.com/globalSearch/2SA1052MCTR-E/page-1", "2SA1052MCTR-E")</f>
        <v>2SA1052MCTR-E</v>
      </c>
      <c r="B23403" s="3" t="str">
        <f>HYPERLINK("https://www.773grp.com/manufacturer/renesas-electronics-america-inc?pageNo=365", "Renesas Electronics")</f>
        <v>Renesas Electronics</v>
      </c>
      <c r="C23403" s="6">
        <v>57000</v>
      </c>
      <c r="D23403" s="7">
        <v>0.57999999999999996</v>
      </c>
    </row>
    <row r="23404" spans="1:4" x14ac:dyDescent="0.25">
      <c r="A23404" t="str">
        <f>HYPERLINK("https://www.773grp.com/globalSearch/2SA1122CCTL-E/page-1", "2SA1122CCTL-E")</f>
        <v>2SA1122CCTL-E</v>
      </c>
      <c r="B23404" s="3" t="str">
        <f>HYPERLINK("https://www.773grp.com/manufacturer/renesas-electronics-america-inc?pageNo=366", "Renesas Electronics")</f>
        <v>Renesas Electronics</v>
      </c>
      <c r="C23404" s="6">
        <v>75000</v>
      </c>
      <c r="D23404" s="7">
        <v>0.57999999999999996</v>
      </c>
    </row>
    <row r="23405" spans="1:4" x14ac:dyDescent="0.25">
      <c r="A23405" t="str">
        <f>HYPERLINK("https://www.773grp.com/globalSearch/2SB561CTZ-E/page-1", "2SB561CTZ-E")</f>
        <v>2SB561CTZ-E</v>
      </c>
      <c r="B23405" s="3" t="str">
        <f>HYPERLINK("https://www.773grp.com/manufacturer/renesas-electronics-america-inc?pageNo=367", "Renesas Electronics")</f>
        <v>Renesas Electronics</v>
      </c>
      <c r="C23405" s="6">
        <v>15000</v>
      </c>
      <c r="D23405" s="7">
        <v>0.57999999999999996</v>
      </c>
    </row>
    <row r="23406" spans="1:4" x14ac:dyDescent="0.25">
      <c r="A23406" t="str">
        <f>HYPERLINK("https://www.773grp.com/globalSearch/2SC4260TI-03TR-E/page-1", "2SC4260TI-03TR-E")</f>
        <v>2SC4260TI-03TR-E</v>
      </c>
      <c r="B23406" s="3" t="str">
        <f>HYPERLINK("https://www.773grp.com/manufacturer/renesas-electronics-america-inc?pageNo=368", "Renesas Electronics")</f>
        <v>Renesas Electronics</v>
      </c>
      <c r="C23406" s="6">
        <v>45000</v>
      </c>
      <c r="D23406" s="7">
        <v>0.57999999999999996</v>
      </c>
    </row>
    <row r="23407" spans="1:4" x14ac:dyDescent="0.25">
      <c r="A23407" t="str">
        <f>HYPERLINK("https://www.773grp.com/globalSearch/2SK3378ENTL-E/page-1", "2SK3378ENTL-E")</f>
        <v>2SK3378ENTL-E</v>
      </c>
      <c r="B23407" s="3" t="str">
        <f>HYPERLINK("https://www.773grp.com/manufacturer/renesas-electronics-america-inc?pageNo=369", "Renesas Electronics")</f>
        <v>Renesas Electronics</v>
      </c>
      <c r="C23407" s="6">
        <v>66000</v>
      </c>
      <c r="D23407" s="7">
        <v>0.57999999999999996</v>
      </c>
    </row>
    <row r="23408" spans="1:4" x14ac:dyDescent="0.25">
      <c r="A23408" t="str">
        <f>HYPERLINK("https://www.773grp.com/globalSearch/74HC1G86CME-E/page-1", "74HC1G86CME-E")</f>
        <v>74HC1G86CME-E</v>
      </c>
      <c r="B23408" s="3" t="str">
        <f>HYPERLINK("https://www.773grp.com/manufacturer/renesas-electronics-america-inc?pageNo=370", "Renesas Electronics")</f>
        <v>Renesas Electronics</v>
      </c>
      <c r="C23408" s="6">
        <v>12000</v>
      </c>
      <c r="D23408" s="7">
        <v>0.57999999999999996</v>
      </c>
    </row>
    <row r="23409" spans="1:4" x14ac:dyDescent="0.25">
      <c r="A23409" t="str">
        <f>HYPERLINK("https://www.773grp.com/globalSearch/BB504CDS-WS-E/page-1", "BB504CDS-WS-E")</f>
        <v>BB504CDS-WS-E</v>
      </c>
      <c r="B23409" s="3" t="str">
        <f>HYPERLINK("https://www.773grp.com/manufacturer/renesas-electronics-america-inc?pageNo=371", "Renesas Electronics")</f>
        <v>Renesas Electronics</v>
      </c>
      <c r="C23409" s="6">
        <v>2980</v>
      </c>
      <c r="D23409" s="7">
        <v>0.57999999999999996</v>
      </c>
    </row>
    <row r="23410" spans="1:4" x14ac:dyDescent="0.25">
      <c r="A23410" t="str">
        <f>HYPERLINK("https://www.773grp.com/globalSearch/HSB276STL-E/page-1", "HSB276STL-E")</f>
        <v>HSB276STL-E</v>
      </c>
      <c r="B23410" s="3" t="str">
        <f>HYPERLINK("https://www.773grp.com/manufacturer/renesas-electronics-america-inc?pageNo=372", "Renesas Electronics")</f>
        <v>Renesas Electronics</v>
      </c>
      <c r="C23410" s="6">
        <v>33000</v>
      </c>
      <c r="D23410" s="7">
        <v>0.57999999999999996</v>
      </c>
    </row>
    <row r="23411" spans="1:4" x14ac:dyDescent="0.25">
      <c r="A23411" t="str">
        <f>HYPERLINK("https://www.773grp.com/globalSearch/HSB2836JTR-E/page-1", "HSB2836JTR-E")</f>
        <v>HSB2836JTR-E</v>
      </c>
      <c r="B23411" s="3" t="str">
        <f>HYPERLINK("https://www.773grp.com/manufacturer/renesas-electronics-america-inc?pageNo=373", "Renesas Electronics")</f>
        <v>Renesas Electronics</v>
      </c>
      <c r="C23411" s="6">
        <v>30000</v>
      </c>
      <c r="D23411" s="7">
        <v>0.57999999999999996</v>
      </c>
    </row>
    <row r="23412" spans="1:4" x14ac:dyDescent="0.25">
      <c r="A23412" t="str">
        <f>HYPERLINK("https://www.773grp.com/globalSearch/HSM2694TR-E/page-1", "HSM2694TR-E")</f>
        <v>HSM2694TR-E</v>
      </c>
      <c r="B23412" s="3" t="str">
        <f>HYPERLINK("https://www.773grp.com/manufacturer/renesas-electronics-america-inc?pageNo=374", "Renesas Electronics")</f>
        <v>Renesas Electronics</v>
      </c>
      <c r="C23412" s="6">
        <v>42000</v>
      </c>
      <c r="D23412" s="7">
        <v>0.57999999999999996</v>
      </c>
    </row>
    <row r="23413" spans="1:4" x14ac:dyDescent="0.25">
      <c r="A23413" t="str">
        <f>HYPERLINK("https://www.773grp.com/globalSearch/HVU200ATRU-E/page-1", "HVU200ATRU-E")</f>
        <v>HVU200ATRU-E</v>
      </c>
      <c r="B23413" s="3" t="str">
        <f>HYPERLINK("https://www.773grp.com/manufacturer/renesas-electronics-america-inc?pageNo=375", "Renesas Electronics")</f>
        <v>Renesas Electronics</v>
      </c>
      <c r="C23413" s="6">
        <v>81000</v>
      </c>
      <c r="D23413" s="7">
        <v>0.57999999999999996</v>
      </c>
    </row>
    <row r="23414" spans="1:4" x14ac:dyDescent="0.25">
      <c r="A23414" t="str">
        <f>HYPERLINK("https://www.773grp.com/globalSearch/HZM9.1NB1JTL-E/page-1", "HZM9.1NB1JTL-E")</f>
        <v>HZM9.1NB1JTL-E</v>
      </c>
      <c r="B23414" s="3" t="str">
        <f>HYPERLINK("https://www.773grp.com/manufacturer/renesas-electronics-america-inc?pageNo=376", "Renesas Electronics")</f>
        <v>Renesas Electronics</v>
      </c>
      <c r="C23414" s="6">
        <v>12000</v>
      </c>
      <c r="D23414" s="7">
        <v>0.57999999999999996</v>
      </c>
    </row>
    <row r="23415" spans="1:4" x14ac:dyDescent="0.25">
      <c r="A23415" t="str">
        <f>HYPERLINK("https://www.773grp.com/globalSearch/NNCD6.8PL-T1-AT/page-1", "NNCD6.8PL-T1-AT")</f>
        <v>NNCD6.8PL-T1-AT</v>
      </c>
      <c r="B23415" s="3" t="str">
        <f>HYPERLINK("https://www.773grp.com/manufacturer/renesas-electronics-america-inc?pageNo=377", "Renesas Electronics")</f>
        <v>Renesas Electronics</v>
      </c>
      <c r="C23415" s="6">
        <v>42000</v>
      </c>
      <c r="D23415" s="7">
        <v>0.57999999999999996</v>
      </c>
    </row>
    <row r="23416" spans="1:4" x14ac:dyDescent="0.25">
      <c r="A23416" t="str">
        <f>HYPERLINK("https://www.773grp.com/globalSearch/NNCD6.8PL-T2-A/page-1", "NNCD6.8PL-T2-A")</f>
        <v>NNCD6.8PL-T2-A</v>
      </c>
      <c r="B23416" s="3" t="str">
        <f>HYPERLINK("https://www.773grp.com/manufacturer/renesas-electronics-america-inc?pageNo=378", "Renesas Electronics")</f>
        <v>Renesas Electronics</v>
      </c>
      <c r="C23416" s="6">
        <v>318000</v>
      </c>
      <c r="D23416" s="7">
        <v>0.57999999999999996</v>
      </c>
    </row>
    <row r="23417" spans="1:4" x14ac:dyDescent="0.25">
      <c r="A23417" t="str">
        <f>HYPERLINK("https://www.773grp.com/globalSearch/RKZ15BKV#P1/page-1", "RKZ15BKV#P1")</f>
        <v>RKZ15BKV#P1</v>
      </c>
      <c r="B23417" s="3" t="str">
        <f>HYPERLINK("https://www.773grp.com/manufacturer/renesas-electronics-america-inc?pageNo=379", "Renesas Electronics")</f>
        <v>Renesas Electronics</v>
      </c>
      <c r="C23417" s="6">
        <v>27000</v>
      </c>
      <c r="D23417" s="7">
        <v>0.57999999999999996</v>
      </c>
    </row>
    <row r="23418" spans="1:4" x14ac:dyDescent="0.25">
      <c r="A23418" t="str">
        <f>HYPERLINK("https://www.773grp.com/globalSearch/RKZ18TWAQE#H1/page-1", "RKZ18TWAQE#H1")</f>
        <v>RKZ18TWAQE#H1</v>
      </c>
      <c r="B23418" s="3" t="str">
        <f>HYPERLINK("https://www.773grp.com/manufacturer/renesas-electronics-america-inc?pageNo=380", "Renesas Electronics")</f>
        <v>Renesas Electronics</v>
      </c>
      <c r="C23418" s="6">
        <v>132000</v>
      </c>
      <c r="D23418" s="7">
        <v>0.57999999999999996</v>
      </c>
    </row>
    <row r="23419" spans="1:4" x14ac:dyDescent="0.25">
      <c r="A23419" t="str">
        <f>HYPERLINK("https://www.773grp.com/globalSearch/RKZ22BKV#P1/page-1", "RKZ22BKV#P1")</f>
        <v>RKZ22BKV#P1</v>
      </c>
      <c r="B23419" s="3" t="str">
        <f>HYPERLINK("https://www.773grp.com/manufacturer/renesas-electronics-america-inc?pageNo=381", "Renesas Electronics")</f>
        <v>Renesas Electronics</v>
      </c>
      <c r="C23419" s="6">
        <v>72000</v>
      </c>
      <c r="D23419" s="7">
        <v>0.57999999999999996</v>
      </c>
    </row>
    <row r="23420" spans="1:4" x14ac:dyDescent="0.25">
      <c r="A23420" t="str">
        <f>HYPERLINK("https://www.773grp.com/globalSearch/RKZ36BKV#P1/page-1", "RKZ36BKV#P1")</f>
        <v>RKZ36BKV#P1</v>
      </c>
      <c r="B23420" s="3" t="str">
        <f>HYPERLINK("https://www.773grp.com/manufacturer/renesas-electronics-america-inc?pageNo=382", "Renesas Electronics")</f>
        <v>Renesas Electronics</v>
      </c>
      <c r="C23420" s="6">
        <v>87000</v>
      </c>
      <c r="D23420" s="7">
        <v>0.57999999999999996</v>
      </c>
    </row>
    <row r="23421" spans="1:4" x14ac:dyDescent="0.25">
      <c r="A23421" t="str">
        <f>HYPERLINK("https://www.773grp.com/globalSearch/2SB740CTZ-E/page-1", "2SB740CTZ-E")</f>
        <v>2SB740CTZ-E</v>
      </c>
      <c r="B23421" s="3" t="str">
        <f>HYPERLINK("https://www.773grp.com/manufacturer/renesas-electronics-america-inc?pageNo=383", "Renesas Electronics")</f>
        <v>Renesas Electronics</v>
      </c>
      <c r="C23421" s="6">
        <v>2500</v>
      </c>
      <c r="D23421" s="7">
        <v>0.64</v>
      </c>
    </row>
    <row r="23422" spans="1:4" x14ac:dyDescent="0.25">
      <c r="A23422" t="str">
        <f>HYPERLINK("https://www.773grp.com/globalSearch/1N4737AT9-E/page-1", "1N4737AT9-E")</f>
        <v>1N4737AT9-E</v>
      </c>
      <c r="B23422" s="3" t="str">
        <f>HYPERLINK("https://www.773grp.com/manufacturer/renesas-electronics-america-inc?pageNo=384", "Renesas Electronics")</f>
        <v>Renesas Electronics</v>
      </c>
      <c r="C23422" s="6">
        <v>5000</v>
      </c>
      <c r="D23422" s="7">
        <v>0.64</v>
      </c>
    </row>
    <row r="23423" spans="1:4" x14ac:dyDescent="0.25">
      <c r="A23423" t="str">
        <f>HYPERLINK("https://www.773grp.com/globalSearch/1S2835-D-T1-A/page-1", "1S2835-D-T1-A")</f>
        <v>1S2835-D-T1-A</v>
      </c>
      <c r="B23423" s="3" t="str">
        <f>HYPERLINK("https://www.773grp.com/manufacturer/renesas-electronics-america-inc?pageNo=385", "Renesas Electronics")</f>
        <v>Renesas Electronics</v>
      </c>
      <c r="C23423" s="6">
        <v>12000</v>
      </c>
      <c r="D23423" s="7">
        <v>0.64</v>
      </c>
    </row>
    <row r="23424" spans="1:4" x14ac:dyDescent="0.25">
      <c r="A23424" t="str">
        <f>HYPERLINK("https://www.773grp.com/globalSearch/2SC1907-E/page-1", "2SC1907-E")</f>
        <v>2SC1907-E</v>
      </c>
      <c r="B23424" s="3" t="str">
        <f>HYPERLINK("https://www.773grp.com/manufacturer/renesas-electronics-america-inc?pageNo=386", "Renesas Electronics")</f>
        <v>Renesas Electronics</v>
      </c>
      <c r="C23424" s="6">
        <v>4000</v>
      </c>
      <c r="D23424" s="7">
        <v>0.64</v>
      </c>
    </row>
    <row r="23425" spans="1:4" x14ac:dyDescent="0.25">
      <c r="A23425" t="str">
        <f>HYPERLINK("https://www.773grp.com/globalSearch/2SC2619FBTR-E/page-1", "2SC2619FBTR-E")</f>
        <v>2SC2619FBTR-E</v>
      </c>
      <c r="B23425" s="3" t="str">
        <f>HYPERLINK("https://www.773grp.com/manufacturer/renesas-electronics-america-inc?pageNo=387", "Renesas Electronics")</f>
        <v>Renesas Electronics</v>
      </c>
      <c r="C23425" s="6">
        <v>15000</v>
      </c>
      <c r="D23425" s="7">
        <v>0.64</v>
      </c>
    </row>
    <row r="23426" spans="1:4" x14ac:dyDescent="0.25">
      <c r="A23426" t="str">
        <f>HYPERLINK("https://www.773grp.com/globalSearch/2SC4995YD-TL-E/page-1", "2SC4995YD-TL-E")</f>
        <v>2SC4995YD-TL-E</v>
      </c>
      <c r="B23426" s="3" t="str">
        <f>HYPERLINK("https://www.773grp.com/manufacturer/renesas-electronics-america-inc?pageNo=388", "Renesas Electronics")</f>
        <v>Renesas Electronics</v>
      </c>
      <c r="C23426" s="6">
        <v>153000</v>
      </c>
      <c r="D23426" s="7">
        <v>0.64</v>
      </c>
    </row>
    <row r="23427" spans="1:4" x14ac:dyDescent="0.25">
      <c r="A23427" t="str">
        <f>HYPERLINK("https://www.773grp.com/globalSearch/2SK514-T-A/page-1", "2SK514-T-A")</f>
        <v>2SK514-T-A</v>
      </c>
      <c r="B23427" s="3" t="str">
        <f>HYPERLINK("https://www.773grp.com/manufacturer/renesas-electronics-america-inc?pageNo=389", "Renesas Electronics")</f>
        <v>Renesas Electronics</v>
      </c>
      <c r="C23427" s="6">
        <v>4050000</v>
      </c>
      <c r="D23427" s="7">
        <v>0.64</v>
      </c>
    </row>
    <row r="23428" spans="1:4" x14ac:dyDescent="0.25">
      <c r="A23428" t="str">
        <f>HYPERLINK("https://www.773grp.com/globalSearch/HSB0104YP-NTR-E/page-1", "HSB0104YP-NTR-E")</f>
        <v>HSB0104YP-NTR-E</v>
      </c>
      <c r="B23428" s="3" t="str">
        <f>HYPERLINK("https://www.773grp.com/manufacturer/renesas-electronics-america-inc?pageNo=390", "Renesas Electronics")</f>
        <v>Renesas Electronics</v>
      </c>
      <c r="C23428" s="6">
        <v>6000</v>
      </c>
      <c r="D23428" s="7">
        <v>0.64</v>
      </c>
    </row>
    <row r="23429" spans="1:4" x14ac:dyDescent="0.25">
      <c r="A23429" t="str">
        <f>HYPERLINK("https://www.773grp.com/globalSearch/HZS5BLL-JTA/page-1", "HZS5BLL-JTA")</f>
        <v>HZS5BLL-JTA</v>
      </c>
      <c r="B23429" s="3" t="str">
        <f>HYPERLINK("https://www.773grp.com/manufacturer/renesas-electronics-america-inc?pageNo=391", "Renesas Electronics")</f>
        <v>Renesas Electronics</v>
      </c>
      <c r="C23429" s="6">
        <v>5000</v>
      </c>
      <c r="D23429" s="7">
        <v>0.64</v>
      </c>
    </row>
    <row r="23430" spans="1:4" x14ac:dyDescent="0.25">
      <c r="A23430" t="str">
        <f>HYPERLINK("https://www.773grp.com/globalSearch/N413-AZ/page-1", "N413-AZ")</f>
        <v>N413-AZ</v>
      </c>
      <c r="B23430" s="3" t="str">
        <f>HYPERLINK("https://www.773grp.com/manufacturer/renesas-electronics-america-inc?pageNo=392", "Renesas Electronics")</f>
        <v>Renesas Electronics</v>
      </c>
      <c r="C23430" s="6">
        <v>8700</v>
      </c>
      <c r="D23430" s="7">
        <v>0.64</v>
      </c>
    </row>
    <row r="23431" spans="1:4" x14ac:dyDescent="0.25">
      <c r="A23431" t="str">
        <f>HYPERLINK("https://www.773grp.com/globalSearch/N413-T2-AZ/page-1", "N413-T2-AZ")</f>
        <v>N413-T2-AZ</v>
      </c>
      <c r="B23431" s="3" t="str">
        <f>HYPERLINK("https://www.773grp.com/manufacturer/renesas-electronics-america-inc?pageNo=393", "Renesas Electronics")</f>
        <v>Renesas Electronics</v>
      </c>
      <c r="C23431" s="6">
        <v>160000</v>
      </c>
      <c r="D23431" s="7">
        <v>0.64</v>
      </c>
    </row>
    <row r="23432" spans="1:4" x14ac:dyDescent="0.25">
      <c r="A23432" t="str">
        <f>HYPERLINK("https://www.773grp.com/globalSearch/NNCD6.8RL(0)-T1-A/page-1", "NNCD6.8RL(0)-T1-A")</f>
        <v>NNCD6.8RL(0)-T1-A</v>
      </c>
      <c r="B23432" s="3" t="str">
        <f>HYPERLINK("https://www.773grp.com/manufacturer/renesas-electronics-america-inc?pageNo=394", "Renesas Electronics")</f>
        <v>Renesas Electronics</v>
      </c>
      <c r="C23432" s="6">
        <v>3000</v>
      </c>
      <c r="D23432" s="7">
        <v>0.64</v>
      </c>
    </row>
    <row r="23433" spans="1:4" x14ac:dyDescent="0.25">
      <c r="A23433" t="str">
        <f>HYPERLINK("https://www.773grp.com/globalSearch/RD10F/page-1", "RD10F")</f>
        <v>RD10F</v>
      </c>
      <c r="B23433" s="3" t="str">
        <f>HYPERLINK("https://www.773grp.com/manufacturer/renesas-electronics-america-inc?pageNo=395", "Renesas Electronics")</f>
        <v>Renesas Electronics</v>
      </c>
      <c r="C23433" s="6">
        <v>27169</v>
      </c>
      <c r="D23433" s="7">
        <v>0.64</v>
      </c>
    </row>
    <row r="23434" spans="1:4" x14ac:dyDescent="0.25">
      <c r="A23434" t="str">
        <f>HYPERLINK("https://www.773grp.com/globalSearch/RD10F-T6/page-1", "RD10F-T6")</f>
        <v>RD10F-T6</v>
      </c>
      <c r="B23434" s="3" t="str">
        <f>HYPERLINK("https://www.773grp.com/manufacturer/renesas-electronics-america-inc?pageNo=396", "Renesas Electronics")</f>
        <v>Renesas Electronics</v>
      </c>
      <c r="C23434" s="6">
        <v>2500</v>
      </c>
      <c r="D23434" s="7">
        <v>0.64</v>
      </c>
    </row>
    <row r="23435" spans="1:4" x14ac:dyDescent="0.25">
      <c r="A23435" t="str">
        <f>HYPERLINK("https://www.773grp.com/globalSearch/RD10F-T7/page-1", "RD10F-T7")</f>
        <v>RD10F-T7</v>
      </c>
      <c r="B23435" s="3" t="str">
        <f>HYPERLINK("https://www.773grp.com/manufacturer/renesas-electronics-america-inc?pageNo=397", "Renesas Electronics")</f>
        <v>Renesas Electronics</v>
      </c>
      <c r="C23435" s="6">
        <v>2500</v>
      </c>
      <c r="D23435" s="7">
        <v>0.64</v>
      </c>
    </row>
    <row r="23436" spans="1:4" x14ac:dyDescent="0.25">
      <c r="A23436" t="str">
        <f>HYPERLINK("https://www.773grp.com/globalSearch/RD10F-T8-AZ/page-1", "RD10F-T8-AZ")</f>
        <v>RD10F-T8-AZ</v>
      </c>
      <c r="B23436" s="3" t="str">
        <f>HYPERLINK("https://www.773grp.com/manufacturer/renesas-electronics-america-inc?pageNo=398", "Renesas Electronics")</f>
        <v>Renesas Electronics</v>
      </c>
      <c r="C23436" s="6">
        <v>50000</v>
      </c>
      <c r="D23436" s="7">
        <v>0.64</v>
      </c>
    </row>
    <row r="23437" spans="1:4" x14ac:dyDescent="0.25">
      <c r="A23437" t="str">
        <f>HYPERLINK("https://www.773grp.com/globalSearch/RD11F-T7/page-1", "RD11F-T7")</f>
        <v>RD11F-T7</v>
      </c>
      <c r="B23437" s="3" t="str">
        <f>HYPERLINK("https://www.773grp.com/manufacturer/renesas-electronics-america-inc?pageNo=399", "Renesas Electronics")</f>
        <v>Renesas Electronics</v>
      </c>
      <c r="C23437" s="6">
        <v>7500</v>
      </c>
      <c r="D23437" s="7">
        <v>0.64</v>
      </c>
    </row>
    <row r="23438" spans="1:4" x14ac:dyDescent="0.25">
      <c r="A23438" t="str">
        <f>HYPERLINK("https://www.773grp.com/globalSearch/RD11F-T8-AZ/page-1", "RD11F-T8-AZ")</f>
        <v>RD11F-T8-AZ</v>
      </c>
      <c r="B23438" s="3" t="str">
        <f>HYPERLINK("https://www.773grp.com/manufacturer/renesas-electronics-america-inc?pageNo=400", "Renesas Electronics")</f>
        <v>Renesas Electronics</v>
      </c>
      <c r="C23438" s="6">
        <v>5000</v>
      </c>
      <c r="D23438" s="7">
        <v>0.64</v>
      </c>
    </row>
    <row r="23439" spans="1:4" x14ac:dyDescent="0.25">
      <c r="A23439" t="str">
        <f>HYPERLINK("https://www.773grp.com/globalSearch/RD12F-T6-AZ/page-1", "RD12F-T6-AZ")</f>
        <v>RD12F-T6-AZ</v>
      </c>
      <c r="B23439" s="3" t="str">
        <f>HYPERLINK("https://www.773grp.com/manufacturer/renesas-electronics-america-inc?pageNo=401", "Renesas Electronics")</f>
        <v>Renesas Electronics</v>
      </c>
      <c r="C23439" s="6">
        <v>2500</v>
      </c>
      <c r="D23439" s="7">
        <v>0.64</v>
      </c>
    </row>
    <row r="23440" spans="1:4" x14ac:dyDescent="0.25">
      <c r="A23440" t="str">
        <f>HYPERLINK("https://www.773grp.com/globalSearch/RD12F-T7-AZ/page-1", "RD12F-T7-AZ")</f>
        <v>RD12F-T7-AZ</v>
      </c>
      <c r="B23440" s="3" t="str">
        <f>HYPERLINK("https://www.773grp.com/manufacturer/renesas-electronics-america-inc?pageNo=402", "Renesas Electronics")</f>
        <v>Renesas Electronics</v>
      </c>
      <c r="C23440" s="6">
        <v>7500</v>
      </c>
      <c r="D23440" s="7">
        <v>0.64</v>
      </c>
    </row>
    <row r="23441" spans="1:4" x14ac:dyDescent="0.25">
      <c r="A23441" t="str">
        <f>HYPERLINK("https://www.773grp.com/globalSearch/RD12F-T8/page-1", "RD12F-T8")</f>
        <v>RD12F-T8</v>
      </c>
      <c r="B23441" s="3" t="str">
        <f>HYPERLINK("https://www.773grp.com/manufacturer/renesas-electronics-america-inc?pageNo=403", "Renesas Electronics")</f>
        <v>Renesas Electronics</v>
      </c>
      <c r="C23441" s="6">
        <v>10000</v>
      </c>
      <c r="D23441" s="7">
        <v>0.64</v>
      </c>
    </row>
    <row r="23442" spans="1:4" x14ac:dyDescent="0.25">
      <c r="A23442" t="str">
        <f>HYPERLINK("https://www.773grp.com/globalSearch/RD12F-T8-AZ/page-1", "RD12F-T8-AZ")</f>
        <v>RD12F-T8-AZ</v>
      </c>
      <c r="B23442" s="3" t="str">
        <f>HYPERLINK("https://www.773grp.com/manufacturer/renesas-electronics-america-inc?pageNo=404", "Renesas Electronics")</f>
        <v>Renesas Electronics</v>
      </c>
      <c r="C23442" s="6">
        <v>5000</v>
      </c>
      <c r="D23442" s="7">
        <v>0.64</v>
      </c>
    </row>
    <row r="23443" spans="1:4" x14ac:dyDescent="0.25">
      <c r="A23443" t="str">
        <f>HYPERLINK("https://www.773grp.com/globalSearch/RD13F-T7/page-1", "RD13F-T7")</f>
        <v>RD13F-T7</v>
      </c>
      <c r="B23443" s="3" t="str">
        <f>HYPERLINK("https://www.773grp.com/manufacturer/renesas-electronics-america-inc?pageNo=405", "Renesas Electronics")</f>
        <v>Renesas Electronics</v>
      </c>
      <c r="C23443" s="6">
        <v>17500</v>
      </c>
      <c r="D23443" s="7">
        <v>0.64</v>
      </c>
    </row>
    <row r="23444" spans="1:4" x14ac:dyDescent="0.25">
      <c r="A23444" t="str">
        <f>HYPERLINK("https://www.773grp.com/globalSearch/RD13F-T7-AZ/page-1", "RD13F-T7-AZ")</f>
        <v>RD13F-T7-AZ</v>
      </c>
      <c r="B23444" s="3" t="str">
        <f>HYPERLINK("https://www.773grp.com/manufacturer/renesas-electronics-america-inc?pageNo=406", "Renesas Electronics")</f>
        <v>Renesas Electronics</v>
      </c>
      <c r="C23444" s="6">
        <v>7500</v>
      </c>
      <c r="D23444" s="7">
        <v>0.64</v>
      </c>
    </row>
    <row r="23445" spans="1:4" x14ac:dyDescent="0.25">
      <c r="A23445" t="str">
        <f>HYPERLINK("https://www.773grp.com/globalSearch/RD13F-T8/page-1", "RD13F-T8")</f>
        <v>RD13F-T8</v>
      </c>
      <c r="B23445" s="3" t="str">
        <f>HYPERLINK("https://www.773grp.com/manufacturer/renesas-electronics-america-inc?pageNo=407", "Renesas Electronics")</f>
        <v>Renesas Electronics</v>
      </c>
      <c r="C23445" s="6">
        <v>5000</v>
      </c>
      <c r="D23445" s="7">
        <v>0.64</v>
      </c>
    </row>
    <row r="23446" spans="1:4" x14ac:dyDescent="0.25">
      <c r="A23446" t="str">
        <f>HYPERLINK("https://www.773grp.com/globalSearch/RD13F-T8-AZ/page-1", "RD13F-T8-AZ")</f>
        <v>RD13F-T8-AZ</v>
      </c>
      <c r="B23446" s="3" t="str">
        <f>HYPERLINK("https://www.773grp.com/manufacturer/renesas-electronics-america-inc?pageNo=408", "Renesas Electronics")</f>
        <v>Renesas Electronics</v>
      </c>
      <c r="C23446" s="6">
        <v>10000</v>
      </c>
      <c r="D23446" s="7">
        <v>0.64</v>
      </c>
    </row>
    <row r="23447" spans="1:4" x14ac:dyDescent="0.25">
      <c r="A23447" t="str">
        <f>HYPERLINK("https://www.773grp.com/globalSearch/RD15F/page-1", "RD15F")</f>
        <v>RD15F</v>
      </c>
      <c r="B23447" s="3" t="str">
        <f>HYPERLINK("https://www.773grp.com/manufacturer/renesas-electronics-america-inc?pageNo=409", "Renesas Electronics")</f>
        <v>Renesas Electronics</v>
      </c>
      <c r="C23447" s="6">
        <v>12100</v>
      </c>
      <c r="D23447" s="7">
        <v>0.64</v>
      </c>
    </row>
    <row r="23448" spans="1:4" x14ac:dyDescent="0.25">
      <c r="A23448" t="str">
        <f>HYPERLINK("https://www.773grp.com/globalSearch/RD15F-T6-AZ/page-1", "RD15F-T6-AZ")</f>
        <v>RD15F-T6-AZ</v>
      </c>
      <c r="B23448" s="3" t="str">
        <f>HYPERLINK("https://www.773grp.com/manufacturer/renesas-electronics-america-inc?pageNo=410", "Renesas Electronics")</f>
        <v>Renesas Electronics</v>
      </c>
      <c r="C23448" s="6">
        <v>22500</v>
      </c>
      <c r="D23448" s="7">
        <v>0.64</v>
      </c>
    </row>
    <row r="23449" spans="1:4" x14ac:dyDescent="0.25">
      <c r="A23449" t="str">
        <f>HYPERLINK("https://www.773grp.com/globalSearch/RD15F-T7/page-1", "RD15F-T7")</f>
        <v>RD15F-T7</v>
      </c>
      <c r="B23449" s="3" t="str">
        <f>HYPERLINK("https://www.773grp.com/manufacturer/renesas-electronics-america-inc?pageNo=411", "Renesas Electronics")</f>
        <v>Renesas Electronics</v>
      </c>
      <c r="C23449" s="6">
        <v>7500</v>
      </c>
      <c r="D23449" s="7">
        <v>0.64</v>
      </c>
    </row>
    <row r="23450" spans="1:4" x14ac:dyDescent="0.25">
      <c r="A23450" t="str">
        <f>HYPERLINK("https://www.773grp.com/globalSearch/RD15F-T7-AZ/page-1", "RD15F-T7-AZ")</f>
        <v>RD15F-T7-AZ</v>
      </c>
      <c r="B23450" s="3" t="str">
        <f>HYPERLINK("https://www.773grp.com/manufacturer/renesas-electronics-america-inc?pageNo=412", "Renesas Electronics")</f>
        <v>Renesas Electronics</v>
      </c>
      <c r="C23450" s="6">
        <v>73500</v>
      </c>
      <c r="D23450" s="7">
        <v>0.64</v>
      </c>
    </row>
    <row r="23451" spans="1:4" x14ac:dyDescent="0.25">
      <c r="A23451" t="str">
        <f>HYPERLINK("https://www.773grp.com/globalSearch/RD15F-T8-AZ/page-1", "RD15F-T8-AZ")</f>
        <v>RD15F-T8-AZ</v>
      </c>
      <c r="B23451" s="3" t="str">
        <f>HYPERLINK("https://www.773grp.com/manufacturer/renesas-electronics-america-inc?pageNo=413", "Renesas Electronics")</f>
        <v>Renesas Electronics</v>
      </c>
      <c r="C23451" s="6">
        <v>140000</v>
      </c>
      <c r="D23451" s="7">
        <v>0.64</v>
      </c>
    </row>
    <row r="23452" spans="1:4" x14ac:dyDescent="0.25">
      <c r="A23452" t="str">
        <f>HYPERLINK("https://www.773grp.com/globalSearch/RD16F-T6-AZ/page-1", "RD16F-T6-AZ")</f>
        <v>RD16F-T6-AZ</v>
      </c>
      <c r="B23452" s="3" t="str">
        <f>HYPERLINK("https://www.773grp.com/manufacturer/renesas-electronics-america-inc?pageNo=414", "Renesas Electronics")</f>
        <v>Renesas Electronics</v>
      </c>
      <c r="C23452" s="6">
        <v>2500</v>
      </c>
      <c r="D23452" s="7">
        <v>0.64</v>
      </c>
    </row>
    <row r="23453" spans="1:4" x14ac:dyDescent="0.25">
      <c r="A23453" t="str">
        <f>HYPERLINK("https://www.773grp.com/globalSearch/RD16F-T7-AZ/page-1", "RD16F-T7-AZ")</f>
        <v>RD16F-T7-AZ</v>
      </c>
      <c r="B23453" s="3" t="str">
        <f>HYPERLINK("https://www.773grp.com/manufacturer/renesas-electronics-america-inc?pageNo=415", "Renesas Electronics")</f>
        <v>Renesas Electronics</v>
      </c>
      <c r="C23453" s="6">
        <v>222500</v>
      </c>
      <c r="D23453" s="7">
        <v>0.64</v>
      </c>
    </row>
    <row r="23454" spans="1:4" x14ac:dyDescent="0.25">
      <c r="A23454" t="str">
        <f>HYPERLINK("https://www.773grp.com/globalSearch/RD16F-T8/page-1", "RD16F-T8")</f>
        <v>RD16F-T8</v>
      </c>
      <c r="B23454" s="3" t="str">
        <f>HYPERLINK("https://www.773grp.com/manufacturer/renesas-electronics-america-inc?pageNo=416", "Renesas Electronics")</f>
        <v>Renesas Electronics</v>
      </c>
      <c r="C23454" s="6">
        <v>2500</v>
      </c>
      <c r="D23454" s="7">
        <v>0.64</v>
      </c>
    </row>
    <row r="23455" spans="1:4" x14ac:dyDescent="0.25">
      <c r="A23455" t="str">
        <f>HYPERLINK("https://www.773grp.com/globalSearch/RD16F-T8-AZ/page-1", "RD16F-T8-AZ")</f>
        <v>RD16F-T8-AZ</v>
      </c>
      <c r="B23455" s="3" t="str">
        <f>HYPERLINK("https://www.773grp.com/manufacturer/renesas-electronics-america-inc?pageNo=417", "Renesas Electronics")</f>
        <v>Renesas Electronics</v>
      </c>
      <c r="C23455" s="6">
        <v>10000</v>
      </c>
      <c r="D23455" s="7">
        <v>0.64</v>
      </c>
    </row>
    <row r="23456" spans="1:4" x14ac:dyDescent="0.25">
      <c r="A23456" t="str">
        <f>HYPERLINK("https://www.773grp.com/globalSearch/RD18F/page-1", "RD18F")</f>
        <v>RD18F</v>
      </c>
      <c r="B23456" s="3" t="str">
        <f>HYPERLINK("https://www.773grp.com/manufacturer/renesas-electronics-america-inc?pageNo=418", "Renesas Electronics")</f>
        <v>Renesas Electronics</v>
      </c>
      <c r="C23456" s="6">
        <v>961630</v>
      </c>
      <c r="D23456" s="7">
        <v>0.64</v>
      </c>
    </row>
    <row r="23457" spans="1:4" x14ac:dyDescent="0.25">
      <c r="A23457" t="str">
        <f>HYPERLINK("https://www.773grp.com/globalSearch/RD18F-T6/page-1", "RD18F-T6")</f>
        <v>RD18F-T6</v>
      </c>
      <c r="B23457" s="3" t="str">
        <f>HYPERLINK("https://www.773grp.com/manufacturer/renesas-electronics-america-inc?pageNo=419", "Renesas Electronics")</f>
        <v>Renesas Electronics</v>
      </c>
      <c r="C23457" s="6">
        <v>5000</v>
      </c>
      <c r="D23457" s="7">
        <v>0.64</v>
      </c>
    </row>
    <row r="23458" spans="1:4" x14ac:dyDescent="0.25">
      <c r="A23458" t="str">
        <f>HYPERLINK("https://www.773grp.com/globalSearch/RD18F-T8-AZ/page-1", "RD18F-T8-AZ")</f>
        <v>RD18F-T8-AZ</v>
      </c>
      <c r="B23458" s="3" t="str">
        <f>HYPERLINK("https://www.773grp.com/manufacturer/renesas-electronics-america-inc?pageNo=420", "Renesas Electronics")</f>
        <v>Renesas Electronics</v>
      </c>
      <c r="C23458" s="6">
        <v>5000</v>
      </c>
      <c r="D23458" s="7">
        <v>0.64</v>
      </c>
    </row>
    <row r="23459" spans="1:4" x14ac:dyDescent="0.25">
      <c r="A23459" t="str">
        <f>HYPERLINK("https://www.773grp.com/globalSearch/RD2.2F/page-1", "RD2.2F")</f>
        <v>RD2.2F</v>
      </c>
      <c r="B23459" s="3" t="str">
        <f>HYPERLINK("https://www.773grp.com/manufacturer/renesas-electronics-america-inc?pageNo=421", "Renesas Electronics")</f>
        <v>Renesas Electronics</v>
      </c>
      <c r="C23459" s="6">
        <v>2000</v>
      </c>
      <c r="D23459" s="7">
        <v>0.64</v>
      </c>
    </row>
    <row r="23460" spans="1:4" x14ac:dyDescent="0.25">
      <c r="A23460" t="str">
        <f>HYPERLINK("https://www.773grp.com/globalSearch/RD2.2F-AZ/page-1", "RD2.2F-AZ")</f>
        <v>RD2.2F-AZ</v>
      </c>
      <c r="B23460" s="3" t="str">
        <f>HYPERLINK("https://www.773grp.com/manufacturer/renesas-electronics-america-inc?pageNo=422", "Renesas Electronics")</f>
        <v>Renesas Electronics</v>
      </c>
      <c r="C23460" s="6">
        <v>50</v>
      </c>
      <c r="D23460" s="7">
        <v>0.64</v>
      </c>
    </row>
    <row r="23461" spans="1:4" x14ac:dyDescent="0.25">
      <c r="A23461" t="str">
        <f>HYPERLINK("https://www.773grp.com/globalSearch/RD2.2F-T6-AZ/page-1", "RD2.2F-T6-AZ")</f>
        <v>RD2.2F-T6-AZ</v>
      </c>
      <c r="B23461" s="3" t="str">
        <f>HYPERLINK("https://www.773grp.com/manufacturer/renesas-electronics-america-inc?pageNo=423", "Renesas Electronics")</f>
        <v>Renesas Electronics</v>
      </c>
      <c r="C23461" s="6">
        <v>4642</v>
      </c>
      <c r="D23461" s="7">
        <v>0.64</v>
      </c>
    </row>
    <row r="23462" spans="1:4" x14ac:dyDescent="0.25">
      <c r="A23462" t="str">
        <f>HYPERLINK("https://www.773grp.com/globalSearch/RD2.4F-AZ/page-1", "RD2.4F-AZ")</f>
        <v>RD2.4F-AZ</v>
      </c>
      <c r="B23462" s="3" t="str">
        <f>HYPERLINK("https://www.773grp.com/manufacturer/renesas-electronics-america-inc?pageNo=424", "Renesas Electronics")</f>
        <v>Renesas Electronics</v>
      </c>
      <c r="C23462" s="6">
        <v>5300</v>
      </c>
      <c r="D23462" s="7">
        <v>0.64</v>
      </c>
    </row>
    <row r="23463" spans="1:4" x14ac:dyDescent="0.25">
      <c r="A23463" t="str">
        <f>HYPERLINK("https://www.773grp.com/globalSearch/RD2.4F-T7-AZ/page-1", "RD2.4F-T7-AZ")</f>
        <v>RD2.4F-T7-AZ</v>
      </c>
      <c r="B23463" s="3" t="str">
        <f>HYPERLINK("https://www.773grp.com/manufacturer/renesas-electronics-america-inc?pageNo=425", "Renesas Electronics")</f>
        <v>Renesas Electronics</v>
      </c>
      <c r="C23463" s="6">
        <v>7500</v>
      </c>
      <c r="D23463" s="7">
        <v>0.64</v>
      </c>
    </row>
    <row r="23464" spans="1:4" x14ac:dyDescent="0.25">
      <c r="A23464" t="str">
        <f>HYPERLINK("https://www.773grp.com/globalSearch/RD2.7F/page-1", "RD2.7F")</f>
        <v>RD2.7F</v>
      </c>
      <c r="B23464" s="3" t="str">
        <f>HYPERLINK("https://www.773grp.com/manufacturer/renesas-electronics-america-inc?pageNo=426", "Renesas Electronics")</f>
        <v>Renesas Electronics</v>
      </c>
      <c r="C23464" s="6">
        <v>4000</v>
      </c>
      <c r="D23464" s="7">
        <v>0.64</v>
      </c>
    </row>
    <row r="23465" spans="1:4" x14ac:dyDescent="0.25">
      <c r="A23465" t="str">
        <f>HYPERLINK("https://www.773grp.com/globalSearch/RD2.7F-AZ/page-1", "RD2.7F-AZ")</f>
        <v>RD2.7F-AZ</v>
      </c>
      <c r="B23465" s="3" t="str">
        <f>HYPERLINK("https://www.773grp.com/manufacturer/renesas-electronics-america-inc?pageNo=427", "Renesas Electronics")</f>
        <v>Renesas Electronics</v>
      </c>
      <c r="C23465" s="6">
        <v>13100</v>
      </c>
      <c r="D23465" s="7">
        <v>0.64</v>
      </c>
    </row>
    <row r="23466" spans="1:4" x14ac:dyDescent="0.25">
      <c r="A23466" t="str">
        <f>HYPERLINK("https://www.773grp.com/globalSearch/RD2.7F-T6/page-1", "RD2.7F-T6")</f>
        <v>RD2.7F-T6</v>
      </c>
      <c r="B23466" s="3" t="str">
        <f>HYPERLINK("https://www.773grp.com/manufacturer/renesas-electronics-america-inc?pageNo=428", "Renesas Electronics")</f>
        <v>Renesas Electronics</v>
      </c>
      <c r="C23466" s="6">
        <v>2500</v>
      </c>
      <c r="D23466" s="7">
        <v>0.64</v>
      </c>
    </row>
    <row r="23467" spans="1:4" x14ac:dyDescent="0.25">
      <c r="A23467" t="str">
        <f>HYPERLINK("https://www.773grp.com/globalSearch/RD20F/page-1", "RD20F")</f>
        <v>RD20F</v>
      </c>
      <c r="B23467" s="3" t="str">
        <f>HYPERLINK("https://www.773grp.com/manufacturer/renesas-electronics-america-inc?pageNo=429", "Renesas Electronics")</f>
        <v>Renesas Electronics</v>
      </c>
      <c r="C23467" s="6">
        <v>492500</v>
      </c>
      <c r="D23467" s="7">
        <v>0.64</v>
      </c>
    </row>
    <row r="23468" spans="1:4" x14ac:dyDescent="0.25">
      <c r="A23468" t="str">
        <f>HYPERLINK("https://www.773grp.com/globalSearch/RD20F-T6-AZ/page-1", "RD20F-T6-AZ")</f>
        <v>RD20F-T6-AZ</v>
      </c>
      <c r="B23468" s="3" t="str">
        <f>HYPERLINK("https://www.773grp.com/manufacturer/renesas-electronics-america-inc?pageNo=430", "Renesas Electronics")</f>
        <v>Renesas Electronics</v>
      </c>
      <c r="C23468" s="6">
        <v>20000</v>
      </c>
      <c r="D23468" s="7">
        <v>0.64</v>
      </c>
    </row>
    <row r="23469" spans="1:4" x14ac:dyDescent="0.25">
      <c r="A23469" t="str">
        <f>HYPERLINK("https://www.773grp.com/globalSearch/RD20F-T8-AZ/page-1", "RD20F-T8-AZ")</f>
        <v>RD20F-T8-AZ</v>
      </c>
      <c r="B23469" s="3" t="str">
        <f>HYPERLINK("https://www.773grp.com/manufacturer/renesas-electronics-america-inc?pageNo=431", "Renesas Electronics")</f>
        <v>Renesas Electronics</v>
      </c>
      <c r="C23469" s="6">
        <v>5000</v>
      </c>
      <c r="D23469" s="7">
        <v>0.64</v>
      </c>
    </row>
    <row r="23470" spans="1:4" x14ac:dyDescent="0.25">
      <c r="A23470" t="str">
        <f>HYPERLINK("https://www.773grp.com/globalSearch/RD24F-T6/page-1", "RD24F-T6")</f>
        <v>RD24F-T6</v>
      </c>
      <c r="B23470" s="3" t="str">
        <f>HYPERLINK("https://www.773grp.com/manufacturer/renesas-electronics-america-inc?pageNo=432", "Renesas Electronics")</f>
        <v>Renesas Electronics</v>
      </c>
      <c r="C23470" s="6">
        <v>242500</v>
      </c>
      <c r="D23470" s="7">
        <v>0.64</v>
      </c>
    </row>
    <row r="23471" spans="1:4" x14ac:dyDescent="0.25">
      <c r="A23471" t="str">
        <f>HYPERLINK("https://www.773grp.com/globalSearch/RD24F-T6-AZ/page-1", "RD24F-T6-AZ")</f>
        <v>RD24F-T6-AZ</v>
      </c>
      <c r="B23471" s="3" t="str">
        <f>HYPERLINK("https://www.773grp.com/manufacturer/renesas-electronics-america-inc?pageNo=433", "Renesas Electronics")</f>
        <v>Renesas Electronics</v>
      </c>
      <c r="C23471" s="6">
        <v>30000</v>
      </c>
      <c r="D23471" s="7">
        <v>0.64</v>
      </c>
    </row>
    <row r="23472" spans="1:4" x14ac:dyDescent="0.25">
      <c r="A23472" t="str">
        <f>HYPERLINK("https://www.773grp.com/globalSearch/RD24F-T8/page-1", "RD24F-T8")</f>
        <v>RD24F-T8</v>
      </c>
      <c r="B23472" s="3" t="str">
        <f>HYPERLINK("https://www.773grp.com/manufacturer/renesas-electronics-america-inc?pageNo=434", "Renesas Electronics")</f>
        <v>Renesas Electronics</v>
      </c>
      <c r="C23472" s="6">
        <v>5000</v>
      </c>
      <c r="D23472" s="7">
        <v>0.64</v>
      </c>
    </row>
    <row r="23473" spans="1:4" x14ac:dyDescent="0.25">
      <c r="A23473" t="str">
        <f>HYPERLINK("https://www.773grp.com/globalSearch/RD24F-T8-AZ/page-1", "RD24F-T8-AZ")</f>
        <v>RD24F-T8-AZ</v>
      </c>
      <c r="B23473" s="3" t="str">
        <f>HYPERLINK("https://www.773grp.com/manufacturer/renesas-electronics-america-inc?pageNo=435", "Renesas Electronics")</f>
        <v>Renesas Electronics</v>
      </c>
      <c r="C23473" s="6">
        <v>2500</v>
      </c>
      <c r="D23473" s="7">
        <v>0.64</v>
      </c>
    </row>
    <row r="23474" spans="1:4" x14ac:dyDescent="0.25">
      <c r="A23474" t="str">
        <f>HYPERLINK("https://www.773grp.com/globalSearch/RD27F-T6/page-1", "RD27F-T6")</f>
        <v>RD27F-T6</v>
      </c>
      <c r="B23474" s="3" t="str">
        <f>HYPERLINK("https://www.773grp.com/manufacturer/renesas-electronics-america-inc?pageNo=436", "Renesas Electronics")</f>
        <v>Renesas Electronics</v>
      </c>
      <c r="C23474" s="6">
        <v>10000</v>
      </c>
      <c r="D23474" s="7">
        <v>0.64</v>
      </c>
    </row>
    <row r="23475" spans="1:4" x14ac:dyDescent="0.25">
      <c r="A23475" t="str">
        <f>HYPERLINK("https://www.773grp.com/globalSearch/RD27F-T7-AZ/page-1", "RD27F-T7-AZ")</f>
        <v>RD27F-T7-AZ</v>
      </c>
      <c r="B23475" s="3" t="str">
        <f>HYPERLINK("https://www.773grp.com/manufacturer/renesas-electronics-america-inc?pageNo=437", "Renesas Electronics")</f>
        <v>Renesas Electronics</v>
      </c>
      <c r="C23475" s="6">
        <v>35000</v>
      </c>
      <c r="D23475" s="7">
        <v>0.64</v>
      </c>
    </row>
    <row r="23476" spans="1:4" x14ac:dyDescent="0.25">
      <c r="A23476" t="str">
        <f>HYPERLINK("https://www.773grp.com/globalSearch/RD27F-T8-AZ/page-1", "RD27F-T8-AZ")</f>
        <v>RD27F-T8-AZ</v>
      </c>
      <c r="B23476" s="3" t="str">
        <f>HYPERLINK("https://www.773grp.com/manufacturer/renesas-electronics-america-inc?pageNo=438", "Renesas Electronics")</f>
        <v>Renesas Electronics</v>
      </c>
      <c r="C23476" s="6">
        <v>12500</v>
      </c>
      <c r="D23476" s="7">
        <v>0.64</v>
      </c>
    </row>
    <row r="23477" spans="1:4" x14ac:dyDescent="0.25">
      <c r="A23477" t="str">
        <f>HYPERLINK("https://www.773grp.com/globalSearch/RD3.0F-T7-AZ/page-1", "RD3.0F-T7-AZ")</f>
        <v>RD3.0F-T7-AZ</v>
      </c>
      <c r="B23477" s="3" t="str">
        <f>HYPERLINK("https://www.773grp.com/manufacturer/renesas-electronics-america-inc?pageNo=439", "Renesas Electronics")</f>
        <v>Renesas Electronics</v>
      </c>
      <c r="C23477" s="6">
        <v>4642</v>
      </c>
      <c r="D23477" s="7">
        <v>0.64</v>
      </c>
    </row>
    <row r="23478" spans="1:4" x14ac:dyDescent="0.25">
      <c r="A23478" t="str">
        <f>HYPERLINK("https://www.773grp.com/globalSearch/RD3.3F-AZ/page-1", "RD3.3F-AZ")</f>
        <v>RD3.3F-AZ</v>
      </c>
      <c r="B23478" s="3" t="str">
        <f>HYPERLINK("https://www.773grp.com/manufacturer/renesas-electronics-america-inc?pageNo=440", "Renesas Electronics")</f>
        <v>Renesas Electronics</v>
      </c>
      <c r="C23478" s="6">
        <v>6400</v>
      </c>
      <c r="D23478" s="7">
        <v>0.64</v>
      </c>
    </row>
    <row r="23479" spans="1:4" x14ac:dyDescent="0.25">
      <c r="A23479" t="str">
        <f>HYPERLINK("https://www.773grp.com/globalSearch/RD3.6F/page-1", "RD3.6F")</f>
        <v>RD3.6F</v>
      </c>
      <c r="B23479" s="3" t="str">
        <f>HYPERLINK("https://www.773grp.com/manufacturer/renesas-electronics-america-inc?pageNo=441", "Renesas Electronics")</f>
        <v>Renesas Electronics</v>
      </c>
      <c r="C23479" s="6">
        <v>11700</v>
      </c>
      <c r="D23479" s="7">
        <v>0.64</v>
      </c>
    </row>
    <row r="23480" spans="1:4" x14ac:dyDescent="0.25">
      <c r="A23480" t="str">
        <f>HYPERLINK("https://www.773grp.com/globalSearch/RD3.6F-AZ/page-1", "RD3.6F-AZ")</f>
        <v>RD3.6F-AZ</v>
      </c>
      <c r="B23480" s="3" t="str">
        <f>HYPERLINK("https://www.773grp.com/manufacturer/renesas-electronics-america-inc?pageNo=442", "Renesas Electronics")</f>
        <v>Renesas Electronics</v>
      </c>
      <c r="C23480" s="6">
        <v>4800</v>
      </c>
      <c r="D23480" s="7">
        <v>0.64</v>
      </c>
    </row>
    <row r="23481" spans="1:4" x14ac:dyDescent="0.25">
      <c r="A23481" t="str">
        <f>HYPERLINK("https://www.773grp.com/globalSearch/RD3.6F-T7-AZ/page-1", "RD3.6F-T7-AZ")</f>
        <v>RD3.6F-T7-AZ</v>
      </c>
      <c r="B23481" s="3" t="str">
        <f>HYPERLINK("https://www.773grp.com/manufacturer/renesas-electronics-america-inc?pageNo=443", "Renesas Electronics")</f>
        <v>Renesas Electronics</v>
      </c>
      <c r="C23481" s="6">
        <v>5000</v>
      </c>
      <c r="D23481" s="7">
        <v>0.64</v>
      </c>
    </row>
    <row r="23482" spans="1:4" x14ac:dyDescent="0.25">
      <c r="A23482" t="str">
        <f>HYPERLINK("https://www.773grp.com/globalSearch/RD3.9F-AZ/page-1", "RD3.9F-AZ")</f>
        <v>RD3.9F-AZ</v>
      </c>
      <c r="B23482" s="3" t="str">
        <f>HYPERLINK("https://www.773grp.com/manufacturer/renesas-electronics-america-inc?pageNo=444", "Renesas Electronics")</f>
        <v>Renesas Electronics</v>
      </c>
      <c r="C23482" s="6">
        <v>14000</v>
      </c>
      <c r="D23482" s="7">
        <v>0.64</v>
      </c>
    </row>
    <row r="23483" spans="1:4" x14ac:dyDescent="0.25">
      <c r="A23483" t="str">
        <f>HYPERLINK("https://www.773grp.com/globalSearch/RD3.9F-T6-AZ/page-1", "RD3.9F-T6-AZ")</f>
        <v>RD3.9F-T6-AZ</v>
      </c>
      <c r="B23483" s="3" t="str">
        <f>HYPERLINK("https://www.773grp.com/manufacturer/renesas-electronics-america-inc?pageNo=445", "Renesas Electronics")</f>
        <v>Renesas Electronics</v>
      </c>
      <c r="C23483" s="6">
        <v>5000</v>
      </c>
      <c r="D23483" s="7">
        <v>0.64</v>
      </c>
    </row>
    <row r="23484" spans="1:4" x14ac:dyDescent="0.25">
      <c r="A23484" t="str">
        <f>HYPERLINK("https://www.773grp.com/globalSearch/RD3.9F-T8-AZ/page-1", "RD3.9F-T8-AZ")</f>
        <v>RD3.9F-T8-AZ</v>
      </c>
      <c r="B23484" s="3" t="str">
        <f>HYPERLINK("https://www.773grp.com/manufacturer/renesas-electronics-america-inc?pageNo=446", "Renesas Electronics")</f>
        <v>Renesas Electronics</v>
      </c>
      <c r="C23484" s="6">
        <v>5000</v>
      </c>
      <c r="D23484" s="7">
        <v>0.64</v>
      </c>
    </row>
    <row r="23485" spans="1:4" x14ac:dyDescent="0.25">
      <c r="A23485" t="str">
        <f>HYPERLINK("https://www.773grp.com/globalSearch/RD30F(N)-T6/page-1", "RD30F(N)-T6")</f>
        <v>RD30F(N)-T6</v>
      </c>
      <c r="B23485" s="3" t="str">
        <f>HYPERLINK("https://www.773grp.com/manufacturer/renesas-electronics-america-inc?pageNo=447", "Renesas Electronics")</f>
        <v>Renesas Electronics</v>
      </c>
      <c r="C23485" s="6">
        <v>5000</v>
      </c>
      <c r="D23485" s="7">
        <v>0.64</v>
      </c>
    </row>
    <row r="23486" spans="1:4" x14ac:dyDescent="0.25">
      <c r="A23486" t="str">
        <f>HYPERLINK("https://www.773grp.com/globalSearch/RD30F-T7/page-1", "RD30F-T7")</f>
        <v>RD30F-T7</v>
      </c>
      <c r="B23486" s="3" t="str">
        <f>HYPERLINK("https://www.773grp.com/manufacturer/renesas-electronics-america-inc?pageNo=448", "Renesas Electronics")</f>
        <v>Renesas Electronics</v>
      </c>
      <c r="C23486" s="6">
        <v>7500</v>
      </c>
      <c r="D23486" s="7">
        <v>0.64</v>
      </c>
    </row>
    <row r="23487" spans="1:4" x14ac:dyDescent="0.25">
      <c r="A23487" t="str">
        <f>HYPERLINK("https://www.773grp.com/globalSearch/RD30F-T7-AZ/page-1", "RD30F-T7-AZ")</f>
        <v>RD30F-T7-AZ</v>
      </c>
      <c r="B23487" s="3" t="str">
        <f>HYPERLINK("https://www.773grp.com/manufacturer/renesas-electronics-america-inc?pageNo=449", "Renesas Electronics")</f>
        <v>Renesas Electronics</v>
      </c>
      <c r="C23487" s="6">
        <v>809700</v>
      </c>
      <c r="D23487" s="7">
        <v>0.64</v>
      </c>
    </row>
    <row r="23488" spans="1:4" x14ac:dyDescent="0.25">
      <c r="A23488" t="str">
        <f>HYPERLINK("https://www.773grp.com/globalSearch/RD30F-T8-AZ/page-1", "RD30F-T8-AZ")</f>
        <v>RD30F-T8-AZ</v>
      </c>
      <c r="B23488" s="3" t="str">
        <f>HYPERLINK("https://www.773grp.com/manufacturer/renesas-electronics-america-inc?pageNo=450", "Renesas Electronics")</f>
        <v>Renesas Electronics</v>
      </c>
      <c r="C23488" s="6">
        <v>10000</v>
      </c>
      <c r="D23488" s="7">
        <v>0.64</v>
      </c>
    </row>
    <row r="23489" spans="1:4" x14ac:dyDescent="0.25">
      <c r="A23489" t="str">
        <f>HYPERLINK("https://www.773grp.com/globalSearch/RD33F-T6-AZ/page-1", "RD33F-T6-AZ")</f>
        <v>RD33F-T6-AZ</v>
      </c>
      <c r="B23489" s="3" t="str">
        <f>HYPERLINK("https://www.773grp.com/manufacturer/renesas-electronics-america-inc?pageNo=451", "Renesas Electronics")</f>
        <v>Renesas Electronics</v>
      </c>
      <c r="C23489" s="6">
        <v>5000</v>
      </c>
      <c r="D23489" s="7">
        <v>0.64</v>
      </c>
    </row>
    <row r="23490" spans="1:4" x14ac:dyDescent="0.25">
      <c r="A23490" t="str">
        <f>HYPERLINK("https://www.773grp.com/globalSearch/RD33F-T7-AZ/page-1", "RD33F-T7-AZ")</f>
        <v>RD33F-T7-AZ</v>
      </c>
      <c r="B23490" s="3" t="str">
        <f>HYPERLINK("https://www.773grp.com/manufacturer/renesas-electronics-america-inc?pageNo=452", "Renesas Electronics")</f>
        <v>Renesas Electronics</v>
      </c>
      <c r="C23490" s="6">
        <v>709500</v>
      </c>
      <c r="D23490" s="7">
        <v>0.64</v>
      </c>
    </row>
    <row r="23491" spans="1:4" x14ac:dyDescent="0.25">
      <c r="A23491" t="str">
        <f>HYPERLINK("https://www.773grp.com/globalSearch/RD33F-T8-AZ/page-1", "RD33F-T8-AZ")</f>
        <v>RD33F-T8-AZ</v>
      </c>
      <c r="B23491" s="3" t="str">
        <f>HYPERLINK("https://www.773grp.com/manufacturer/renesas-electronics-america-inc?pageNo=453", "Renesas Electronics")</f>
        <v>Renesas Electronics</v>
      </c>
      <c r="C23491" s="6">
        <v>7500</v>
      </c>
      <c r="D23491" s="7">
        <v>0.64</v>
      </c>
    </row>
    <row r="23492" spans="1:4" x14ac:dyDescent="0.25">
      <c r="A23492" t="str">
        <f>HYPERLINK("https://www.773grp.com/globalSearch/RD36F-T8-AZ/page-1", "RD36F-T8-AZ")</f>
        <v>RD36F-T8-AZ</v>
      </c>
      <c r="B23492" s="3" t="str">
        <f>HYPERLINK("https://www.773grp.com/manufacturer/renesas-electronics-america-inc?pageNo=454", "Renesas Electronics")</f>
        <v>Renesas Electronics</v>
      </c>
      <c r="C23492" s="6">
        <v>2500</v>
      </c>
      <c r="D23492" s="7">
        <v>0.64</v>
      </c>
    </row>
    <row r="23493" spans="1:4" x14ac:dyDescent="0.25">
      <c r="A23493" t="str">
        <f>HYPERLINK("https://www.773grp.com/globalSearch/RD4.3F-AZ/page-1", "RD4.3F-AZ")</f>
        <v>RD4.3F-AZ</v>
      </c>
      <c r="B23493" s="3" t="str">
        <f>HYPERLINK("https://www.773grp.com/manufacturer/renesas-electronics-america-inc?pageNo=455", "Renesas Electronics")</f>
        <v>Renesas Electronics</v>
      </c>
      <c r="C23493" s="6">
        <v>16249</v>
      </c>
      <c r="D23493" s="7">
        <v>0.64</v>
      </c>
    </row>
    <row r="23494" spans="1:4" x14ac:dyDescent="0.25">
      <c r="A23494" t="str">
        <f>HYPERLINK("https://www.773grp.com/globalSearch/RD4.3F-T7-AZ/page-1", "RD4.3F-T7-AZ")</f>
        <v>RD4.3F-T7-AZ</v>
      </c>
      <c r="B23494" s="3" t="str">
        <f>HYPERLINK("https://www.773grp.com/manufacturer/renesas-electronics-america-inc?pageNo=456", "Renesas Electronics")</f>
        <v>Renesas Electronics</v>
      </c>
      <c r="C23494" s="6">
        <v>77500</v>
      </c>
      <c r="D23494" s="7">
        <v>0.64</v>
      </c>
    </row>
    <row r="23495" spans="1:4" x14ac:dyDescent="0.25">
      <c r="A23495" t="str">
        <f>HYPERLINK("https://www.773grp.com/globalSearch/RD4.7F/page-1", "RD4.7F")</f>
        <v>RD4.7F</v>
      </c>
      <c r="B23495" s="3" t="str">
        <f>HYPERLINK("https://www.773grp.com/manufacturer/renesas-electronics-america-inc?pageNo=457", "Renesas Electronics")</f>
        <v>Renesas Electronics</v>
      </c>
      <c r="C23495" s="6">
        <v>130210</v>
      </c>
      <c r="D23495" s="7">
        <v>0.64</v>
      </c>
    </row>
    <row r="23496" spans="1:4" x14ac:dyDescent="0.25">
      <c r="A23496" t="str">
        <f>HYPERLINK("https://www.773grp.com/globalSearch/RD4.7F-T7-AZ/page-1", "RD4.7F-T7-AZ")</f>
        <v>RD4.7F-T7-AZ</v>
      </c>
      <c r="B23496" s="3" t="str">
        <f>HYPERLINK("https://www.773grp.com/manufacturer/renesas-electronics-america-inc?pageNo=458", "Renesas Electronics")</f>
        <v>Renesas Electronics</v>
      </c>
      <c r="C23496" s="6">
        <v>227500</v>
      </c>
      <c r="D23496" s="7">
        <v>0.64</v>
      </c>
    </row>
    <row r="23497" spans="1:4" x14ac:dyDescent="0.25">
      <c r="A23497" t="str">
        <f>HYPERLINK("https://www.773grp.com/globalSearch/RD5.1F/page-1", "RD5.1F")</f>
        <v>RD5.1F</v>
      </c>
      <c r="B23497" s="3" t="str">
        <f>HYPERLINK("https://www.773grp.com/manufacturer/renesas-electronics-america-inc?pageNo=459", "Renesas Electronics")</f>
        <v>Renesas Electronics</v>
      </c>
      <c r="C23497" s="6">
        <v>2500</v>
      </c>
      <c r="D23497" s="7">
        <v>0.64</v>
      </c>
    </row>
    <row r="23498" spans="1:4" x14ac:dyDescent="0.25">
      <c r="A23498" t="str">
        <f>HYPERLINK("https://www.773grp.com/globalSearch/RD5.1F-AZ/page-1", "RD5.1F-AZ")</f>
        <v>RD5.1F-AZ</v>
      </c>
      <c r="B23498" s="3" t="str">
        <f>HYPERLINK("https://www.773grp.com/manufacturer/renesas-electronics-america-inc?pageNo=460", "Renesas Electronics")</f>
        <v>Renesas Electronics</v>
      </c>
      <c r="C23498" s="6">
        <v>394340</v>
      </c>
      <c r="D23498" s="7">
        <v>0.64</v>
      </c>
    </row>
    <row r="23499" spans="1:4" x14ac:dyDescent="0.25">
      <c r="A23499" t="str">
        <f>HYPERLINK("https://www.773grp.com/globalSearch/RD5.1F-T7/page-1", "RD5.1F-T7")</f>
        <v>RD5.1F-T7</v>
      </c>
      <c r="B23499" s="3" t="str">
        <f>HYPERLINK("https://www.773grp.com/manufacturer/renesas-electronics-america-inc?pageNo=461", "Renesas Electronics")</f>
        <v>Renesas Electronics</v>
      </c>
      <c r="C23499" s="6">
        <v>20000</v>
      </c>
      <c r="D23499" s="7">
        <v>0.64</v>
      </c>
    </row>
    <row r="23500" spans="1:4" x14ac:dyDescent="0.25">
      <c r="A23500" t="str">
        <f>HYPERLINK("https://www.773grp.com/globalSearch/RD5.1F-T7-AZ/page-1", "RD5.1F-T7-AZ")</f>
        <v>RD5.1F-T7-AZ</v>
      </c>
      <c r="B23500" s="3" t="str">
        <f>HYPERLINK("https://www.773grp.com/manufacturer/renesas-electronics-america-inc?pageNo=462", "Renesas Electronics")</f>
        <v>Renesas Electronics</v>
      </c>
      <c r="C23500" s="6">
        <v>25000</v>
      </c>
      <c r="D23500" s="7">
        <v>0.64</v>
      </c>
    </row>
    <row r="23501" spans="1:4" x14ac:dyDescent="0.25">
      <c r="A23501" t="str">
        <f>HYPERLINK("https://www.773grp.com/globalSearch/RD5.1F-T8-AZ/page-1", "RD5.1F-T8-AZ")</f>
        <v>RD5.1F-T8-AZ</v>
      </c>
      <c r="B23501" s="3" t="str">
        <f>HYPERLINK("https://www.773grp.com/manufacturer/renesas-electronics-america-inc?pageNo=463", "Renesas Electronics")</f>
        <v>Renesas Electronics</v>
      </c>
      <c r="C23501" s="6">
        <v>47500</v>
      </c>
      <c r="D23501" s="7">
        <v>0.64</v>
      </c>
    </row>
    <row r="23502" spans="1:4" x14ac:dyDescent="0.25">
      <c r="A23502" t="str">
        <f>HYPERLINK("https://www.773grp.com/globalSearch/RD5.6F/page-1", "RD5.6F")</f>
        <v>RD5.6F</v>
      </c>
      <c r="B23502" s="3" t="str">
        <f>HYPERLINK("https://www.773grp.com/manufacturer/renesas-electronics-america-inc?pageNo=464", "Renesas Electronics")</f>
        <v>Renesas Electronics</v>
      </c>
      <c r="C23502" s="6">
        <v>7100</v>
      </c>
      <c r="D23502" s="7">
        <v>0.64</v>
      </c>
    </row>
    <row r="23503" spans="1:4" x14ac:dyDescent="0.25">
      <c r="A23503" t="str">
        <f>HYPERLINK("https://www.773grp.com/globalSearch/RD5.6F-T6-AZ/page-1", "RD5.6F-T6-AZ")</f>
        <v>RD5.6F-T6-AZ</v>
      </c>
      <c r="B23503" s="3" t="str">
        <f>HYPERLINK("https://www.773grp.com/manufacturer/renesas-electronics-america-inc?pageNo=465", "Renesas Electronics")</f>
        <v>Renesas Electronics</v>
      </c>
      <c r="C23503" s="6">
        <v>10000</v>
      </c>
      <c r="D23503" s="7">
        <v>0.64</v>
      </c>
    </row>
    <row r="23504" spans="1:4" x14ac:dyDescent="0.25">
      <c r="A23504" t="str">
        <f>HYPERLINK("https://www.773grp.com/globalSearch/RD5.6F-T7/page-1", "RD5.6F-T7")</f>
        <v>RD5.6F-T7</v>
      </c>
      <c r="B23504" s="3" t="str">
        <f>HYPERLINK("https://www.773grp.com/manufacturer/renesas-electronics-america-inc?pageNo=466", "Renesas Electronics")</f>
        <v>Renesas Electronics</v>
      </c>
      <c r="C23504" s="6">
        <v>25000</v>
      </c>
      <c r="D23504" s="7">
        <v>0.64</v>
      </c>
    </row>
    <row r="23505" spans="1:4" x14ac:dyDescent="0.25">
      <c r="A23505" t="str">
        <f>HYPERLINK("https://www.773grp.com/globalSearch/RD5.6F-T7-AZ/page-1", "RD5.6F-T7-AZ")</f>
        <v>RD5.6F-T7-AZ</v>
      </c>
      <c r="B23505" s="3" t="str">
        <f>HYPERLINK("https://www.773grp.com/manufacturer/renesas-electronics-america-inc?pageNo=467", "Renesas Electronics")</f>
        <v>Renesas Electronics</v>
      </c>
      <c r="C23505" s="6">
        <v>30000</v>
      </c>
      <c r="D23505" s="7">
        <v>0.64</v>
      </c>
    </row>
    <row r="23506" spans="1:4" x14ac:dyDescent="0.25">
      <c r="A23506" t="str">
        <f>HYPERLINK("https://www.773grp.com/globalSearch/RD5.6F-T8-AZ/page-1", "RD5.6F-T8-AZ")</f>
        <v>RD5.6F-T8-AZ</v>
      </c>
      <c r="B23506" s="3" t="str">
        <f>HYPERLINK("https://www.773grp.com/manufacturer/renesas-electronics-america-inc?pageNo=468", "Renesas Electronics")</f>
        <v>Renesas Electronics</v>
      </c>
      <c r="C23506" s="6">
        <v>2500</v>
      </c>
      <c r="D23506" s="7">
        <v>0.64</v>
      </c>
    </row>
    <row r="23507" spans="1:4" x14ac:dyDescent="0.25">
      <c r="A23507" t="str">
        <f>HYPERLINK("https://www.773grp.com/globalSearch/RD6.2F-T8/page-1", "RD6.2F-T8")</f>
        <v>RD6.2F-T8</v>
      </c>
      <c r="B23507" s="3" t="str">
        <f>HYPERLINK("https://www.773grp.com/manufacturer/renesas-electronics-america-inc?pageNo=469", "Renesas Electronics")</f>
        <v>Renesas Electronics</v>
      </c>
      <c r="C23507" s="6">
        <v>25000</v>
      </c>
      <c r="D23507" s="7">
        <v>0.64</v>
      </c>
    </row>
    <row r="23508" spans="1:4" x14ac:dyDescent="0.25">
      <c r="A23508" t="str">
        <f>HYPERLINK("https://www.773grp.com/globalSearch/RD6.2F-T8-AZ/page-1", "RD6.2F-T8-AZ")</f>
        <v>RD6.2F-T8-AZ</v>
      </c>
      <c r="B23508" s="3" t="str">
        <f>HYPERLINK("https://www.773grp.com/manufacturer/renesas-electronics-america-inc?pageNo=470", "Renesas Electronics")</f>
        <v>Renesas Electronics</v>
      </c>
      <c r="C23508" s="6">
        <v>4642</v>
      </c>
      <c r="D23508" s="7">
        <v>0.64</v>
      </c>
    </row>
    <row r="23509" spans="1:4" x14ac:dyDescent="0.25">
      <c r="A23509" t="str">
        <f>HYPERLINK("https://www.773grp.com/globalSearch/RD6.8F-T6/page-1", "RD6.8F-T6")</f>
        <v>RD6.8F-T6</v>
      </c>
      <c r="B23509" s="3" t="str">
        <f>HYPERLINK("https://www.773grp.com/manufacturer/renesas-electronics-america-inc?pageNo=471", "Renesas Electronics")</f>
        <v>Renesas Electronics</v>
      </c>
      <c r="C23509" s="6">
        <v>5000</v>
      </c>
      <c r="D23509" s="7">
        <v>0.64</v>
      </c>
    </row>
    <row r="23510" spans="1:4" x14ac:dyDescent="0.25">
      <c r="A23510" t="str">
        <f>HYPERLINK("https://www.773grp.com/globalSearch/RD6.8F-T6-AZ/page-1", "RD6.8F-T6-AZ")</f>
        <v>RD6.8F-T6-AZ</v>
      </c>
      <c r="B23510" s="3" t="str">
        <f>HYPERLINK("https://www.773grp.com/manufacturer/renesas-electronics-america-inc?pageNo=472", "Renesas Electronics")</f>
        <v>Renesas Electronics</v>
      </c>
      <c r="C23510" s="6">
        <v>5000</v>
      </c>
      <c r="D23510" s="7">
        <v>0.64</v>
      </c>
    </row>
    <row r="23511" spans="1:4" x14ac:dyDescent="0.25">
      <c r="A23511" t="str">
        <f>HYPERLINK("https://www.773grp.com/globalSearch/RD6.8F-T8/page-1", "RD6.8F-T8")</f>
        <v>RD6.8F-T8</v>
      </c>
      <c r="B23511" s="3" t="str">
        <f>HYPERLINK("https://www.773grp.com/manufacturer/renesas-electronics-america-inc?pageNo=473", "Renesas Electronics")</f>
        <v>Renesas Electronics</v>
      </c>
      <c r="C23511" s="6">
        <v>5000</v>
      </c>
      <c r="D23511" s="7">
        <v>0.64</v>
      </c>
    </row>
    <row r="23512" spans="1:4" x14ac:dyDescent="0.25">
      <c r="A23512" t="str">
        <f>HYPERLINK("https://www.773grp.com/globalSearch/RD6.8F-T8-AZ/page-1", "RD6.8F-T8-AZ")</f>
        <v>RD6.8F-T8-AZ</v>
      </c>
      <c r="B23512" s="3" t="str">
        <f>HYPERLINK("https://www.773grp.com/manufacturer/renesas-electronics-america-inc?pageNo=474", "Renesas Electronics")</f>
        <v>Renesas Electronics</v>
      </c>
      <c r="C23512" s="6">
        <v>2500</v>
      </c>
      <c r="D23512" s="7">
        <v>0.64</v>
      </c>
    </row>
    <row r="23513" spans="1:4" x14ac:dyDescent="0.25">
      <c r="A23513" t="str">
        <f>HYPERLINK("https://www.773grp.com/globalSearch/RD7.5F/page-1", "RD7.5F")</f>
        <v>RD7.5F</v>
      </c>
      <c r="B23513" s="3" t="str">
        <f>HYPERLINK("https://www.773grp.com/manufacturer/renesas-electronics-america-inc?pageNo=475", "Renesas Electronics")</f>
        <v>Renesas Electronics</v>
      </c>
      <c r="C23513" s="6">
        <v>9270</v>
      </c>
      <c r="D23513" s="7">
        <v>0.64</v>
      </c>
    </row>
    <row r="23514" spans="1:4" x14ac:dyDescent="0.25">
      <c r="A23514" t="str">
        <f>HYPERLINK("https://www.773grp.com/globalSearch/RD7.5F-T7/page-1", "RD7.5F-T7")</f>
        <v>RD7.5F-T7</v>
      </c>
      <c r="B23514" s="3" t="str">
        <f>HYPERLINK("https://www.773grp.com/manufacturer/renesas-electronics-america-inc?pageNo=476", "Renesas Electronics")</f>
        <v>Renesas Electronics</v>
      </c>
      <c r="C23514" s="6">
        <v>10000</v>
      </c>
      <c r="D23514" s="7">
        <v>0.64</v>
      </c>
    </row>
    <row r="23515" spans="1:4" x14ac:dyDescent="0.25">
      <c r="A23515" t="str">
        <f>HYPERLINK("https://www.773grp.com/globalSearch/RD8.2EW/page-1", "RD8.2EW")</f>
        <v>RD8.2EW</v>
      </c>
      <c r="B23515" s="3" t="str">
        <f>HYPERLINK("https://www.773grp.com/manufacturer/renesas-electronics-america-inc?pageNo=477", "Renesas Electronics")</f>
        <v>Renesas Electronics</v>
      </c>
      <c r="C23515" s="6">
        <v>2400</v>
      </c>
      <c r="D23515" s="7">
        <v>0.64</v>
      </c>
    </row>
    <row r="23516" spans="1:4" x14ac:dyDescent="0.25">
      <c r="A23516" t="str">
        <f>HYPERLINK("https://www.773grp.com/globalSearch/RD8.2F/page-1", "RD8.2F")</f>
        <v>RD8.2F</v>
      </c>
      <c r="B23516" s="3" t="str">
        <f>HYPERLINK("https://www.773grp.com/manufacturer/renesas-electronics-america-inc?pageNo=478", "Renesas Electronics")</f>
        <v>Renesas Electronics</v>
      </c>
      <c r="C23516" s="6">
        <v>92800</v>
      </c>
      <c r="D23516" s="7">
        <v>0.64</v>
      </c>
    </row>
    <row r="23517" spans="1:4" x14ac:dyDescent="0.25">
      <c r="A23517" t="str">
        <f>HYPERLINK("https://www.773grp.com/globalSearch/RD82F/page-1", "RD82F")</f>
        <v>RD82F</v>
      </c>
      <c r="B23517" s="3" t="str">
        <f>HYPERLINK("https://www.773grp.com/manufacturer/renesas-electronics-america-inc?pageNo=479", "Renesas Electronics")</f>
        <v>Renesas Electronics</v>
      </c>
      <c r="C23517" s="6">
        <v>5936</v>
      </c>
      <c r="D23517" s="7">
        <v>0.64</v>
      </c>
    </row>
    <row r="23518" spans="1:4" x14ac:dyDescent="0.25">
      <c r="A23518" t="str">
        <f>HYPERLINK("https://www.773grp.com/globalSearch/RD9.1EW/page-1", "RD9.1EW")</f>
        <v>RD9.1EW</v>
      </c>
      <c r="B23518" s="3" t="str">
        <f>HYPERLINK("https://www.773grp.com/manufacturer/renesas-electronics-america-inc?pageNo=480", "Renesas Electronics")</f>
        <v>Renesas Electronics</v>
      </c>
      <c r="C23518" s="6">
        <v>200</v>
      </c>
      <c r="D23518" s="7">
        <v>0.64</v>
      </c>
    </row>
    <row r="23519" spans="1:4" x14ac:dyDescent="0.25">
      <c r="A23519" t="str">
        <f>HYPERLINK("https://www.773grp.com/globalSearch/RD9.1EW-AZ/page-1", "RD9.1EW-AZ")</f>
        <v>RD9.1EW-AZ</v>
      </c>
      <c r="B23519" s="3" t="str">
        <f>HYPERLINK("https://www.773grp.com/manufacturer/renesas-electronics-america-inc?pageNo=481", "Renesas Electronics")</f>
        <v>Renesas Electronics</v>
      </c>
      <c r="C23519" s="6">
        <v>3500</v>
      </c>
      <c r="D23519" s="7">
        <v>0.64</v>
      </c>
    </row>
    <row r="23520" spans="1:4" x14ac:dyDescent="0.25">
      <c r="A23520" t="str">
        <f>HYPERLINK("https://www.773grp.com/globalSearch/RD9.1F-T6-AZ/page-1", "RD9.1F-T6-AZ")</f>
        <v>RD9.1F-T6-AZ</v>
      </c>
      <c r="B23520" s="3" t="str">
        <f>HYPERLINK("https://www.773grp.com/manufacturer/renesas-electronics-america-inc?pageNo=482", "Renesas Electronics")</f>
        <v>Renesas Electronics</v>
      </c>
      <c r="C23520" s="6">
        <v>15000</v>
      </c>
      <c r="D23520" s="7">
        <v>0.64</v>
      </c>
    </row>
    <row r="23521" spans="1:4" x14ac:dyDescent="0.25">
      <c r="A23521" t="str">
        <f>HYPERLINK("https://www.773grp.com/globalSearch/RD9.1F-T7-AZ/page-1", "RD9.1F-T7-AZ")</f>
        <v>RD9.1F-T7-AZ</v>
      </c>
      <c r="B23521" s="3" t="str">
        <f>HYPERLINK("https://www.773grp.com/manufacturer/renesas-electronics-america-inc?pageNo=483", "Renesas Electronics")</f>
        <v>Renesas Electronics</v>
      </c>
      <c r="C23521" s="6">
        <v>5000</v>
      </c>
      <c r="D23521" s="7">
        <v>0.64</v>
      </c>
    </row>
    <row r="23522" spans="1:4" x14ac:dyDescent="0.25">
      <c r="A23522" t="str">
        <f>HYPERLINK("https://www.773grp.com/globalSearch/RKV607KM#R1/page-1", "RKV607KM#R1")</f>
        <v>RKV607KM#R1</v>
      </c>
      <c r="B23522" s="3" t="str">
        <f>HYPERLINK("https://www.773grp.com/manufacturer/renesas-electronics-america-inc?pageNo=484", "Renesas Electronics")</f>
        <v>Renesas Electronics</v>
      </c>
      <c r="C23522" s="6">
        <v>10000</v>
      </c>
      <c r="D23522" s="7">
        <v>0.64</v>
      </c>
    </row>
    <row r="23523" spans="1:4" x14ac:dyDescent="0.25">
      <c r="A23523" t="str">
        <f>HYPERLINK("https://www.773grp.com/globalSearch/2SB562CTZ-E/page-1", "2SB562CTZ-E")</f>
        <v>2SB562CTZ-E</v>
      </c>
      <c r="B23523" s="3" t="str">
        <f>HYPERLINK("https://www.773grp.com/manufacturer/renesas-electronics-america-inc?pageNo=485", "Renesas Electronics")</f>
        <v>Renesas Electronics</v>
      </c>
      <c r="C23523" s="6">
        <v>12500</v>
      </c>
      <c r="D23523" s="7">
        <v>0.69</v>
      </c>
    </row>
    <row r="23524" spans="1:4" x14ac:dyDescent="0.25">
      <c r="A23524" t="str">
        <f>HYPERLINK("https://www.773grp.com/globalSearch/2SC2853E-E/page-1", "2SC2853E-E")</f>
        <v>2SC2853E-E</v>
      </c>
      <c r="B23524" s="3" t="str">
        <f>HYPERLINK("https://www.773grp.com/manufacturer/renesas-electronics-america-inc?pageNo=486", "Renesas Electronics")</f>
        <v>Renesas Electronics</v>
      </c>
      <c r="C23524" s="6">
        <v>38300</v>
      </c>
      <c r="D23524" s="7">
        <v>0.69</v>
      </c>
    </row>
    <row r="23525" spans="1:4" x14ac:dyDescent="0.25">
      <c r="A23525" t="str">
        <f>HYPERLINK("https://www.773grp.com/globalSearch/2SK1337TZ-E/page-1", "2SK1337TZ-E")</f>
        <v>2SK1337TZ-E</v>
      </c>
      <c r="B23525" s="3" t="str">
        <f>HYPERLINK("https://www.773grp.com/manufacturer/renesas-electronics-america-inc?pageNo=487", "Renesas Electronics")</f>
        <v>Renesas Electronics</v>
      </c>
      <c r="C23525" s="6">
        <v>30000</v>
      </c>
      <c r="D23525" s="7">
        <v>0.69</v>
      </c>
    </row>
    <row r="23526" spans="1:4" x14ac:dyDescent="0.25">
      <c r="A23526" t="str">
        <f>HYPERLINK("https://www.773grp.com/globalSearch/HSM276SRTL-E/page-1", "HSM276SRTL-E")</f>
        <v>HSM276SRTL-E</v>
      </c>
      <c r="B23526" s="3" t="str">
        <f>HYPERLINK("https://www.773grp.com/manufacturer/renesas-electronics-america-inc?pageNo=488", "Renesas Electronics")</f>
        <v>Renesas Electronics</v>
      </c>
      <c r="C23526" s="6">
        <v>21000</v>
      </c>
      <c r="D23526" s="7">
        <v>0.69</v>
      </c>
    </row>
    <row r="23527" spans="1:4" x14ac:dyDescent="0.25">
      <c r="A23527" t="str">
        <f>HYPERLINK("https://www.773grp.com/globalSearch/HZ6.2CP-J-E/page-1", "HZ6.2CP-J-E")</f>
        <v>HZ6.2CP-J-E</v>
      </c>
      <c r="B23527" s="3" t="str">
        <f>HYPERLINK("https://www.773grp.com/manufacturer/renesas-electronics-america-inc?pageNo=489", "Renesas Electronics")</f>
        <v>Renesas Electronics</v>
      </c>
      <c r="C23527" s="6">
        <v>10500</v>
      </c>
      <c r="D23527" s="7">
        <v>0.69</v>
      </c>
    </row>
    <row r="23528" spans="1:4" x14ac:dyDescent="0.25">
      <c r="A23528" t="str">
        <f>HYPERLINK("https://www.773grp.com/globalSearch/HZK3ALLTR-S-E/page-1", "HZK3ALLTR-S-E")</f>
        <v>HZK3ALLTR-S-E</v>
      </c>
      <c r="B23528" s="3" t="str">
        <f>HYPERLINK("https://www.773grp.com/manufacturer/renesas-electronics-america-inc?pageNo=490", "Renesas Electronics")</f>
        <v>Renesas Electronics</v>
      </c>
      <c r="C23528" s="6">
        <v>20000</v>
      </c>
      <c r="D23528" s="7">
        <v>0.69</v>
      </c>
    </row>
    <row r="23529" spans="1:4" x14ac:dyDescent="0.25">
      <c r="A23529" t="str">
        <f>HYPERLINK("https://www.773grp.com/globalSearch/HZM6.8Z4MFATL-E/page-1", "HZM6.8Z4MFATL-E")</f>
        <v>HZM6.8Z4MFATL-E</v>
      </c>
      <c r="B23529" s="3" t="str">
        <f>HYPERLINK("https://www.773grp.com/manufacturer/renesas-electronics-america-inc?pageNo=491", "Renesas Electronics")</f>
        <v>Renesas Electronics</v>
      </c>
      <c r="C23529" s="6">
        <v>66000</v>
      </c>
      <c r="D23529" s="7">
        <v>0.69</v>
      </c>
    </row>
    <row r="23530" spans="1:4" x14ac:dyDescent="0.25">
      <c r="A23530" t="str">
        <f>HYPERLINK("https://www.773grp.com/globalSearch/1S955/page-1", "1S955")</f>
        <v>1S955</v>
      </c>
      <c r="B23530" s="3" t="str">
        <f>HYPERLINK("https://www.773grp.com/manufacturer/renesas-electronics-america-inc?pageNo=492", "Renesas Electronics")</f>
        <v>Renesas Electronics</v>
      </c>
      <c r="C23530" s="6">
        <v>152</v>
      </c>
      <c r="D23530" s="7">
        <v>0.74</v>
      </c>
    </row>
    <row r="23531" spans="1:4" x14ac:dyDescent="0.25">
      <c r="A23531" t="str">
        <f>HYPERLINK("https://www.773grp.com/globalSearch/1S955-T2/page-1", "1S955-T2")</f>
        <v>1S955-T2</v>
      </c>
      <c r="B23531" s="3" t="str">
        <f>HYPERLINK("https://www.773grp.com/manufacturer/renesas-electronics-america-inc?pageNo=493", "Renesas Electronics")</f>
        <v>Renesas Electronics</v>
      </c>
      <c r="C23531" s="6">
        <v>29687</v>
      </c>
      <c r="D23531" s="7">
        <v>0.74</v>
      </c>
    </row>
    <row r="23532" spans="1:4" x14ac:dyDescent="0.25">
      <c r="A23532" t="str">
        <f>HYPERLINK("https://www.773grp.com/globalSearch/1S955-T2-AZ/page-1", "1S955-T2-AZ")</f>
        <v>1S955-T2-AZ</v>
      </c>
      <c r="B23532" s="3" t="str">
        <f>HYPERLINK("https://www.773grp.com/manufacturer/renesas-electronics-america-inc?pageNo=494", "Renesas Electronics")</f>
        <v>Renesas Electronics</v>
      </c>
      <c r="C23532" s="6">
        <v>8187</v>
      </c>
      <c r="D23532" s="7">
        <v>0.74</v>
      </c>
    </row>
    <row r="23533" spans="1:4" x14ac:dyDescent="0.25">
      <c r="A23533" t="str">
        <f>HYPERLINK("https://www.773grp.com/globalSearch/1S955-T4/page-1", "1S955-T4")</f>
        <v>1S955-T4</v>
      </c>
      <c r="B23533" s="3" t="str">
        <f>HYPERLINK("https://www.773grp.com/manufacturer/renesas-electronics-america-inc?pageNo=495", "Renesas Electronics")</f>
        <v>Renesas Electronics</v>
      </c>
      <c r="C23533" s="6">
        <v>9500</v>
      </c>
      <c r="D23533" s="7">
        <v>0.74</v>
      </c>
    </row>
    <row r="23534" spans="1:4" x14ac:dyDescent="0.25">
      <c r="A23534" t="str">
        <f>HYPERLINK("https://www.773grp.com/globalSearch/1S955-T4-AZ/page-1", "1S955-T4-AZ")</f>
        <v>1S955-T4-AZ</v>
      </c>
      <c r="B23534" s="3" t="str">
        <f>HYPERLINK("https://www.773grp.com/manufacturer/renesas-electronics-america-inc?pageNo=496", "Renesas Electronics")</f>
        <v>Renesas Electronics</v>
      </c>
      <c r="C23534" s="6">
        <v>115874</v>
      </c>
      <c r="D23534" s="7">
        <v>0.74</v>
      </c>
    </row>
    <row r="23535" spans="1:4" x14ac:dyDescent="0.25">
      <c r="A23535" t="str">
        <f>HYPERLINK("https://www.773grp.com/globalSearch/1S955-TB/page-1", "1S955-TB")</f>
        <v>1S955-TB</v>
      </c>
      <c r="B23535" s="3" t="str">
        <f>HYPERLINK("https://www.773grp.com/manufacturer/renesas-electronics-america-inc?pageNo=497", "Renesas Electronics")</f>
        <v>Renesas Electronics</v>
      </c>
      <c r="C23535" s="6">
        <v>5000</v>
      </c>
      <c r="D23535" s="7">
        <v>0.74</v>
      </c>
    </row>
    <row r="23536" spans="1:4" x14ac:dyDescent="0.25">
      <c r="A23536" t="str">
        <f>HYPERLINK("https://www.773grp.com/globalSearch/1SS86-E/page-1", "1SS86-E")</f>
        <v>1SS86-E</v>
      </c>
      <c r="B23536" s="3" t="str">
        <f>HYPERLINK("https://www.773grp.com/manufacturer/renesas-electronics-america-inc?pageNo=498", "Renesas Electronics")</f>
        <v>Renesas Electronics</v>
      </c>
      <c r="C23536" s="6">
        <v>87073</v>
      </c>
      <c r="D23536" s="7">
        <v>0.74</v>
      </c>
    </row>
    <row r="23537" spans="1:4" x14ac:dyDescent="0.25">
      <c r="A23537" t="str">
        <f>HYPERLINK("https://www.773grp.com/globalSearch/2SB1691WL-WS-E/page-1", "2SB1691WL-WS-E")</f>
        <v>2SB1691WL-WS-E</v>
      </c>
      <c r="B23537" s="3" t="str">
        <f>HYPERLINK("https://www.773grp.com/manufacturer/renesas-electronics-america-inc?pageNo=499", "Renesas Electronics")</f>
        <v>Renesas Electronics</v>
      </c>
      <c r="C23537" s="6">
        <v>2900</v>
      </c>
      <c r="D23537" s="7">
        <v>0.74</v>
      </c>
    </row>
    <row r="23538" spans="1:4" x14ac:dyDescent="0.25">
      <c r="A23538" t="str">
        <f>HYPERLINK("https://www.773grp.com/globalSearch/2SD789D-E/page-1", "2SD789D-E")</f>
        <v>2SD789D-E</v>
      </c>
      <c r="B23538" s="3" t="str">
        <f>HYPERLINK("https://www.773grp.com/manufacturer/renesas-electronics-america-inc?pageNo=500", "Renesas Electronics")</f>
        <v>Renesas Electronics</v>
      </c>
      <c r="C23538" s="6">
        <v>7500</v>
      </c>
      <c r="D23538" s="7">
        <v>0.74</v>
      </c>
    </row>
    <row r="23539" spans="1:4" x14ac:dyDescent="0.25">
      <c r="A23539" t="str">
        <f>HYPERLINK("https://www.773grp.com/globalSearch/HSB226S-JTL-E/page-1", "HSB226S-JTL-E")</f>
        <v>HSB226S-JTL-E</v>
      </c>
      <c r="B23539" s="3" t="str">
        <f>HYPERLINK("https://www.773grp.com/manufacturer/renesas-electronics-america-inc?pageNo=501", "Renesas Electronics")</f>
        <v>Renesas Electronics</v>
      </c>
      <c r="C23539" s="6">
        <v>27000</v>
      </c>
      <c r="D23539" s="7">
        <v>0.74</v>
      </c>
    </row>
    <row r="23540" spans="1:4" x14ac:dyDescent="0.25">
      <c r="A23540" t="str">
        <f>HYPERLINK("https://www.773grp.com/globalSearch/HSM88WATR-E/page-1", "HSM88WATR-E")</f>
        <v>HSM88WATR-E</v>
      </c>
      <c r="B23540" s="3" t="str">
        <f>HYPERLINK("https://www.773grp.com/manufacturer/renesas-electronics-america-inc?pageNo=502", "Renesas Electronics")</f>
        <v>Renesas Electronics</v>
      </c>
      <c r="C23540" s="6">
        <v>57000</v>
      </c>
      <c r="D23540" s="7">
        <v>0.74</v>
      </c>
    </row>
    <row r="23541" spans="1:4" x14ac:dyDescent="0.25">
      <c r="A23541" t="str">
        <f>HYPERLINK("https://www.773grp.com/globalSearch/HZ11HB2-E/page-1", "HZ11HB2-E")</f>
        <v>HZ11HB2-E</v>
      </c>
      <c r="B23541" s="3" t="str">
        <f>HYPERLINK("https://www.773grp.com/manufacturer/renesas-electronics-america-inc?pageNo=503", "Renesas Electronics")</f>
        <v>Renesas Electronics</v>
      </c>
      <c r="C23541" s="6">
        <v>30000</v>
      </c>
      <c r="D23541" s="7">
        <v>0.74</v>
      </c>
    </row>
    <row r="23542" spans="1:4" x14ac:dyDescent="0.25">
      <c r="A23542" t="str">
        <f>HYPERLINK("https://www.773grp.com/globalSearch/HZ12HB1/page-1", "HZ12HB1")</f>
        <v>HZ12HB1</v>
      </c>
      <c r="B23542" s="3" t="str">
        <f>HYPERLINK("https://www.773grp.com/manufacturer/renesas-electronics-america-inc?pageNo=504", "Renesas Electronics")</f>
        <v>Renesas Electronics</v>
      </c>
      <c r="C23542" s="6">
        <v>9000</v>
      </c>
      <c r="D23542" s="7">
        <v>0.74</v>
      </c>
    </row>
    <row r="23543" spans="1:4" x14ac:dyDescent="0.25">
      <c r="A23543" t="str">
        <f>HYPERLINK("https://www.773grp.com/globalSearch/HZ20H1-E/page-1", "HZ20H1-E")</f>
        <v>HZ20H1-E</v>
      </c>
      <c r="B23543" s="3" t="str">
        <f>HYPERLINK("https://www.773grp.com/manufacturer/renesas-electronics-america-inc?pageNo=505", "Renesas Electronics")</f>
        <v>Renesas Electronics</v>
      </c>
      <c r="C23543" s="6">
        <v>9500</v>
      </c>
      <c r="D23543" s="7">
        <v>0.74</v>
      </c>
    </row>
    <row r="23544" spans="1:4" x14ac:dyDescent="0.25">
      <c r="A23544" t="str">
        <f>HYPERLINK("https://www.773grp.com/globalSearch/HZ3HA1-E/page-1", "HZ3HA1-E")</f>
        <v>HZ3HA1-E</v>
      </c>
      <c r="B23544" s="3" t="str">
        <f>HYPERLINK("https://www.773grp.com/manufacturer/renesas-electronics-america-inc?pageNo=506", "Renesas Electronics")</f>
        <v>Renesas Electronics</v>
      </c>
      <c r="C23544" s="6">
        <v>7500</v>
      </c>
      <c r="D23544" s="7">
        <v>0.74</v>
      </c>
    </row>
    <row r="23545" spans="1:4" x14ac:dyDescent="0.25">
      <c r="A23545" t="str">
        <f>HYPERLINK("https://www.773grp.com/globalSearch/HZ3HB2-E/page-1", "HZ3HB2-E")</f>
        <v>HZ3HB2-E</v>
      </c>
      <c r="B23545" s="3" t="str">
        <f>HYPERLINK("https://www.773grp.com/manufacturer/renesas-electronics-america-inc?pageNo=507", "Renesas Electronics")</f>
        <v>Renesas Electronics</v>
      </c>
      <c r="C23545" s="6">
        <v>500</v>
      </c>
      <c r="D23545" s="7">
        <v>0.74</v>
      </c>
    </row>
    <row r="23546" spans="1:4" x14ac:dyDescent="0.25">
      <c r="A23546" t="str">
        <f>HYPERLINK("https://www.773grp.com/globalSearch/HZ9HB2TA/page-1", "HZ9HB2TA")</f>
        <v>HZ9HB2TA</v>
      </c>
      <c r="B23546" s="3" t="str">
        <f>HYPERLINK("https://www.773grp.com/manufacturer/renesas-electronics-america-inc?pageNo=508", "Renesas Electronics")</f>
        <v>Renesas Electronics</v>
      </c>
      <c r="C23546" s="6">
        <v>10000</v>
      </c>
      <c r="D23546" s="7">
        <v>0.74</v>
      </c>
    </row>
    <row r="23547" spans="1:4" x14ac:dyDescent="0.25">
      <c r="A23547" t="str">
        <f>HYPERLINK("https://www.773grp.com/globalSearch/M51944AML#DF0J/page-1", "M51944AML#DF0J")</f>
        <v>M51944AML#DF0J</v>
      </c>
      <c r="B23547" s="3" t="str">
        <f>HYPERLINK("https://www.773grp.com/manufacturer/renesas-electronics-america-inc?pageNo=509", "Renesas Electronics")</f>
        <v>Renesas Electronics</v>
      </c>
      <c r="C23547" s="6">
        <v>49000</v>
      </c>
      <c r="D23547" s="7">
        <v>0.74</v>
      </c>
    </row>
    <row r="23548" spans="1:4" x14ac:dyDescent="0.25">
      <c r="A23548" t="str">
        <f>HYPERLINK("https://www.773grp.com/globalSearch/M51951AML#CF2/page-1", "M51951AML#CF2")</f>
        <v>M51951AML#CF2</v>
      </c>
      <c r="B23548" s="3" t="str">
        <f>HYPERLINK("https://www.773grp.com/manufacturer/renesas-electronics-america-inc?pageNo=510", "Renesas Electronics")</f>
        <v>Renesas Electronics</v>
      </c>
      <c r="C23548" s="6">
        <v>2000</v>
      </c>
      <c r="D23548" s="7">
        <v>0.74</v>
      </c>
    </row>
    <row r="23549" spans="1:4" x14ac:dyDescent="0.25">
      <c r="A23549" t="str">
        <f>HYPERLINK("https://www.773grp.com/globalSearch/M51951ASL#AG2/page-1", "M51951ASL#AG2")</f>
        <v>M51951ASL#AG2</v>
      </c>
      <c r="B23549" s="3" t="str">
        <f>HYPERLINK("https://www.773grp.com/manufacturer/renesas-electronics-america-inc?pageNo=511", "Renesas Electronics")</f>
        <v>Renesas Electronics</v>
      </c>
      <c r="C23549" s="6">
        <v>2000</v>
      </c>
      <c r="D23549" s="7">
        <v>0.74</v>
      </c>
    </row>
    <row r="23550" spans="1:4" x14ac:dyDescent="0.25">
      <c r="A23550" t="str">
        <f>HYPERLINK("https://www.773grp.com/globalSearch/RD43F/page-1", "RD43F")</f>
        <v>RD43F</v>
      </c>
      <c r="B23550" s="3" t="str">
        <f>HYPERLINK("https://www.773grp.com/manufacturer/renesas-electronics-america-inc?pageNo=512", "Renesas Electronics")</f>
        <v>Renesas Electronics</v>
      </c>
      <c r="C23550" s="6">
        <v>4000</v>
      </c>
      <c r="D23550" s="7">
        <v>0.74</v>
      </c>
    </row>
    <row r="23551" spans="1:4" x14ac:dyDescent="0.25">
      <c r="A23551" t="str">
        <f>HYPERLINK("https://www.773grp.com/globalSearch/RD43F-AZ/page-1", "RD43F-AZ")</f>
        <v>RD43F-AZ</v>
      </c>
      <c r="B23551" s="3" t="str">
        <f>HYPERLINK("https://www.773grp.com/manufacturer/renesas-electronics-america-inc?pageNo=513", "Renesas Electronics")</f>
        <v>Renesas Electronics</v>
      </c>
      <c r="C23551" s="6">
        <v>650</v>
      </c>
      <c r="D23551" s="7">
        <v>0.74</v>
      </c>
    </row>
    <row r="23552" spans="1:4" x14ac:dyDescent="0.25">
      <c r="A23552" t="str">
        <f>HYPERLINK("https://www.773grp.com/globalSearch/RD43F-T7-AZ/page-1", "RD43F-T7-AZ")</f>
        <v>RD43F-T7-AZ</v>
      </c>
      <c r="B23552" s="3" t="str">
        <f>HYPERLINK("https://www.773grp.com/manufacturer/renesas-electronics-america-inc?pageNo=514", "Renesas Electronics")</f>
        <v>Renesas Electronics</v>
      </c>
      <c r="C23552" s="6">
        <v>2500</v>
      </c>
      <c r="D23552" s="7">
        <v>0.74</v>
      </c>
    </row>
    <row r="23553" spans="1:4" x14ac:dyDescent="0.25">
      <c r="A23553" t="str">
        <f>HYPERLINK("https://www.773grp.com/globalSearch/RD43F-T8-AZ/page-1", "RD43F-T8-AZ")</f>
        <v>RD43F-T8-AZ</v>
      </c>
      <c r="B23553" s="3" t="str">
        <f>HYPERLINK("https://www.773grp.com/manufacturer/renesas-electronics-america-inc?pageNo=515", "Renesas Electronics")</f>
        <v>Renesas Electronics</v>
      </c>
      <c r="C23553" s="6">
        <v>5000</v>
      </c>
      <c r="D23553" s="7">
        <v>0.74</v>
      </c>
    </row>
    <row r="23554" spans="1:4" x14ac:dyDescent="0.25">
      <c r="A23554" t="str">
        <f>HYPERLINK("https://www.773grp.com/globalSearch/RD47F/page-1", "RD47F")</f>
        <v>RD47F</v>
      </c>
      <c r="B23554" s="3" t="str">
        <f>HYPERLINK("https://www.773grp.com/manufacturer/renesas-electronics-america-inc?pageNo=516", "Renesas Electronics")</f>
        <v>Renesas Electronics</v>
      </c>
      <c r="C23554" s="6">
        <v>20200</v>
      </c>
      <c r="D23554" s="7">
        <v>0.74</v>
      </c>
    </row>
    <row r="23555" spans="1:4" x14ac:dyDescent="0.25">
      <c r="A23555" t="str">
        <f>HYPERLINK("https://www.773grp.com/globalSearch/RD47F-T7/page-1", "RD47F-T7")</f>
        <v>RD47F-T7</v>
      </c>
      <c r="B23555" s="3" t="str">
        <f>HYPERLINK("https://www.773grp.com/manufacturer/renesas-electronics-america-inc?pageNo=517", "Renesas Electronics")</f>
        <v>Renesas Electronics</v>
      </c>
      <c r="C23555" s="6">
        <v>5000</v>
      </c>
      <c r="D23555" s="7">
        <v>0.74</v>
      </c>
    </row>
    <row r="23556" spans="1:4" x14ac:dyDescent="0.25">
      <c r="A23556" t="str">
        <f>HYPERLINK("https://www.773grp.com/globalSearch/RD47F-T7-AZ/page-1", "RD47F-T7-AZ")</f>
        <v>RD47F-T7-AZ</v>
      </c>
      <c r="B23556" s="3" t="str">
        <f>HYPERLINK("https://www.773grp.com/manufacturer/renesas-electronics-america-inc?pageNo=518", "Renesas Electronics")</f>
        <v>Renesas Electronics</v>
      </c>
      <c r="C23556" s="6">
        <v>2500</v>
      </c>
      <c r="D23556" s="7">
        <v>0.74</v>
      </c>
    </row>
    <row r="23557" spans="1:4" x14ac:dyDescent="0.25">
      <c r="A23557" t="str">
        <f>HYPERLINK("https://www.773grp.com/globalSearch/RD51F/page-1", "RD51F")</f>
        <v>RD51F</v>
      </c>
      <c r="B23557" s="3" t="str">
        <f>HYPERLINK("https://www.773grp.com/manufacturer/renesas-electronics-america-inc?pageNo=519", "Renesas Electronics")</f>
        <v>Renesas Electronics</v>
      </c>
      <c r="C23557" s="6">
        <v>8300</v>
      </c>
      <c r="D23557" s="7">
        <v>0.74</v>
      </c>
    </row>
    <row r="23558" spans="1:4" x14ac:dyDescent="0.25">
      <c r="A23558" t="str">
        <f>HYPERLINK("https://www.773grp.com/globalSearch/RD51F-AZ/page-1", "RD51F-AZ")</f>
        <v>RD51F-AZ</v>
      </c>
      <c r="B23558" s="3" t="str">
        <f>HYPERLINK("https://www.773grp.com/manufacturer/renesas-electronics-america-inc?pageNo=520", "Renesas Electronics")</f>
        <v>Renesas Electronics</v>
      </c>
      <c r="C23558" s="6">
        <v>3800</v>
      </c>
      <c r="D23558" s="7">
        <v>0.74</v>
      </c>
    </row>
    <row r="23559" spans="1:4" x14ac:dyDescent="0.25">
      <c r="A23559" t="str">
        <f>HYPERLINK("https://www.773grp.com/globalSearch/RD56F/page-1", "RD56F")</f>
        <v>RD56F</v>
      </c>
      <c r="B23559" s="3" t="str">
        <f>HYPERLINK("https://www.773grp.com/manufacturer/renesas-electronics-america-inc?pageNo=521", "Renesas Electronics")</f>
        <v>Renesas Electronics</v>
      </c>
      <c r="C23559" s="6">
        <v>1320</v>
      </c>
      <c r="D23559" s="7">
        <v>0.74</v>
      </c>
    </row>
    <row r="23560" spans="1:4" x14ac:dyDescent="0.25">
      <c r="A23560" t="str">
        <f>HYPERLINK("https://www.773grp.com/globalSearch/RD56F-T7-AZ/page-1", "RD56F-T7-AZ")</f>
        <v>RD56F-T7-AZ</v>
      </c>
      <c r="B23560" s="3" t="str">
        <f>HYPERLINK("https://www.773grp.com/manufacturer/renesas-electronics-america-inc?pageNo=522", "Renesas Electronics")</f>
        <v>Renesas Electronics</v>
      </c>
      <c r="C23560" s="6">
        <v>2500</v>
      </c>
      <c r="D23560" s="7">
        <v>0.74</v>
      </c>
    </row>
    <row r="23561" spans="1:4" x14ac:dyDescent="0.25">
      <c r="A23561" t="str">
        <f>HYPERLINK("https://www.773grp.com/globalSearch/RD62F-T7/page-1", "RD62F-T7")</f>
        <v>RD62F-T7</v>
      </c>
      <c r="B23561" s="3" t="str">
        <f>HYPERLINK("https://www.773grp.com/manufacturer/renesas-electronics-america-inc?pageNo=523", "Renesas Electronics")</f>
        <v>Renesas Electronics</v>
      </c>
      <c r="C23561" s="6">
        <v>5000</v>
      </c>
      <c r="D23561" s="7">
        <v>0.74</v>
      </c>
    </row>
    <row r="23562" spans="1:4" x14ac:dyDescent="0.25">
      <c r="A23562" t="str">
        <f>HYPERLINK("https://www.773grp.com/globalSearch/RD62F-T7-AZ/page-1", "RD62F-T7-AZ")</f>
        <v>RD62F-T7-AZ</v>
      </c>
      <c r="B23562" s="3" t="str">
        <f>HYPERLINK("https://www.773grp.com/manufacturer/renesas-electronics-america-inc?pageNo=524", "Renesas Electronics")</f>
        <v>Renesas Electronics</v>
      </c>
      <c r="C23562" s="6">
        <v>97000</v>
      </c>
      <c r="D23562" s="7">
        <v>0.74</v>
      </c>
    </row>
    <row r="23563" spans="1:4" x14ac:dyDescent="0.25">
      <c r="A23563" t="str">
        <f>HYPERLINK("https://www.773grp.com/globalSearch/RD62F-T8/page-1", "RD62F-T8")</f>
        <v>RD62F-T8</v>
      </c>
      <c r="B23563" s="3" t="str">
        <f>HYPERLINK("https://www.773grp.com/manufacturer/renesas-electronics-america-inc?pageNo=525", "Renesas Electronics")</f>
        <v>Renesas Electronics</v>
      </c>
      <c r="C23563" s="6">
        <v>15000</v>
      </c>
      <c r="D23563" s="7">
        <v>0.74</v>
      </c>
    </row>
    <row r="23564" spans="1:4" x14ac:dyDescent="0.25">
      <c r="A23564" t="str">
        <f>HYPERLINK("https://www.773grp.com/globalSearch/RD68F/page-1", "RD68F")</f>
        <v>RD68F</v>
      </c>
      <c r="B23564" s="3" t="str">
        <f>HYPERLINK("https://www.773grp.com/manufacturer/renesas-electronics-america-inc?pageNo=526", "Renesas Electronics")</f>
        <v>Renesas Electronics</v>
      </c>
      <c r="C23564" s="6">
        <v>300</v>
      </c>
      <c r="D23564" s="7">
        <v>0.74</v>
      </c>
    </row>
    <row r="23565" spans="1:4" x14ac:dyDescent="0.25">
      <c r="A23565" t="str">
        <f>HYPERLINK("https://www.773grp.com/globalSearch/RD68F-T7-AZ/page-1", "RD68F-T7-AZ")</f>
        <v>RD68F-T7-AZ</v>
      </c>
      <c r="B23565" s="3" t="str">
        <f>HYPERLINK("https://www.773grp.com/manufacturer/renesas-electronics-america-inc?pageNo=527", "Renesas Electronics")</f>
        <v>Renesas Electronics</v>
      </c>
      <c r="C23565" s="6">
        <v>2100</v>
      </c>
      <c r="D23565" s="7">
        <v>0.74</v>
      </c>
    </row>
    <row r="23566" spans="1:4" x14ac:dyDescent="0.25">
      <c r="A23566" t="str">
        <f>HYPERLINK("https://www.773grp.com/globalSearch/RD68F-T8-AZ/page-1", "RD68F-T8-AZ")</f>
        <v>RD68F-T8-AZ</v>
      </c>
      <c r="B23566" s="3" t="str">
        <f>HYPERLINK("https://www.773grp.com/manufacturer/renesas-electronics-america-inc?pageNo=528", "Renesas Electronics")</f>
        <v>Renesas Electronics</v>
      </c>
      <c r="C23566" s="6">
        <v>5000</v>
      </c>
      <c r="D23566" s="7">
        <v>0.74</v>
      </c>
    </row>
    <row r="23567" spans="1:4" x14ac:dyDescent="0.25">
      <c r="A23567" t="str">
        <f>HYPERLINK("https://www.773grp.com/globalSearch/RD75F/page-1", "RD75F")</f>
        <v>RD75F</v>
      </c>
      <c r="B23567" s="3" t="str">
        <f>HYPERLINK("https://www.773grp.com/manufacturer/renesas-electronics-america-inc?pageNo=529", "Renesas Electronics")</f>
        <v>Renesas Electronics</v>
      </c>
      <c r="C23567" s="6">
        <v>50</v>
      </c>
      <c r="D23567" s="7">
        <v>0.74</v>
      </c>
    </row>
    <row r="23568" spans="1:4" x14ac:dyDescent="0.25">
      <c r="A23568" t="str">
        <f>HYPERLINK("https://www.773grp.com/globalSearch/RD75F-AZ/page-1", "RD75F-AZ")</f>
        <v>RD75F-AZ</v>
      </c>
      <c r="B23568" s="3" t="str">
        <f>HYPERLINK("https://www.773grp.com/manufacturer/renesas-electronics-america-inc?pageNo=530", "Renesas Electronics")</f>
        <v>Renesas Electronics</v>
      </c>
      <c r="C23568" s="6">
        <v>4890</v>
      </c>
      <c r="D23568" s="7">
        <v>0.74</v>
      </c>
    </row>
    <row r="23569" spans="1:4" x14ac:dyDescent="0.25">
      <c r="A23569" t="str">
        <f>HYPERLINK("https://www.773grp.com/globalSearch/RD75F-T7/page-1", "RD75F-T7")</f>
        <v>RD75F-T7</v>
      </c>
      <c r="B23569" s="3" t="str">
        <f>HYPERLINK("https://www.773grp.com/manufacturer/renesas-electronics-america-inc?pageNo=531", "Renesas Electronics")</f>
        <v>Renesas Electronics</v>
      </c>
      <c r="C23569" s="6">
        <v>5000</v>
      </c>
      <c r="D23569" s="7">
        <v>0.74</v>
      </c>
    </row>
    <row r="23570" spans="1:4" x14ac:dyDescent="0.25">
      <c r="A23570" t="str">
        <f>HYPERLINK("https://www.773grp.com/globalSearch/RKS101KG-1#P6/page-1", "RKS101KG-1#P6")</f>
        <v>RKS101KG-1#P6</v>
      </c>
      <c r="B23570" s="3" t="str">
        <f>HYPERLINK("https://www.773grp.com/manufacturer/renesas-electronics-america-inc?pageNo=532", "Renesas Electronics")</f>
        <v>Renesas Electronics</v>
      </c>
      <c r="C23570" s="6">
        <v>66000</v>
      </c>
      <c r="D23570" s="7">
        <v>0.74</v>
      </c>
    </row>
    <row r="23571" spans="1:4" x14ac:dyDescent="0.25">
      <c r="A23571" t="str">
        <f>HYPERLINK("https://www.773grp.com/globalSearch/RQK0204TGDQA#H1/page-1", "RQK0204TGDQA#H1")</f>
        <v>RQK0204TGDQA#H1</v>
      </c>
      <c r="B23571" s="3" t="str">
        <f>HYPERLINK("https://www.773grp.com/manufacturer/renesas-electronics-america-inc?pageNo=533", "Renesas Electronics")</f>
        <v>Renesas Electronics</v>
      </c>
      <c r="C23571" s="6">
        <v>3000</v>
      </c>
      <c r="D23571" s="7">
        <v>0.74</v>
      </c>
    </row>
    <row r="23572" spans="1:4" x14ac:dyDescent="0.25">
      <c r="A23572" t="str">
        <f>HYPERLINK("https://www.773grp.com/globalSearch/1N4735AT9-E/page-1", "1N4735AT9-E")</f>
        <v>1N4735AT9-E</v>
      </c>
      <c r="B23572" s="3" t="str">
        <f>HYPERLINK("https://www.773grp.com/manufacturer/renesas-electronics-america-inc?pageNo=534", "Renesas Electronics")</f>
        <v>Renesas Electronics</v>
      </c>
      <c r="C23572" s="6">
        <v>10000</v>
      </c>
      <c r="D23572" s="7">
        <v>0.79</v>
      </c>
    </row>
    <row r="23573" spans="1:4" x14ac:dyDescent="0.25">
      <c r="A23573" t="str">
        <f>HYPERLINK("https://www.773grp.com/globalSearch/2SB637KC93TZ/page-1", "2SB637KC93TZ")</f>
        <v>2SB637KC93TZ</v>
      </c>
      <c r="B23573" s="3" t="str">
        <f>HYPERLINK("https://www.773grp.com/manufacturer/renesas-electronics-america-inc?pageNo=535", "Renesas Electronics")</f>
        <v>Renesas Electronics</v>
      </c>
      <c r="C23573" s="6">
        <v>27500</v>
      </c>
      <c r="D23573" s="7">
        <v>0.79</v>
      </c>
    </row>
    <row r="23574" spans="1:4" x14ac:dyDescent="0.25">
      <c r="A23574" t="str">
        <f>HYPERLINK("https://www.773grp.com/globalSearch/2SB647CTZ-E/page-1", "2SB647CTZ-E")</f>
        <v>2SB647CTZ-E</v>
      </c>
      <c r="B23574" s="3" t="str">
        <f>HYPERLINK("https://www.773grp.com/manufacturer/renesas-electronics-america-inc?pageNo=536", "Renesas Electronics")</f>
        <v>Renesas Electronics</v>
      </c>
      <c r="C23574" s="6">
        <v>14740</v>
      </c>
      <c r="D23574" s="7">
        <v>0.79</v>
      </c>
    </row>
    <row r="23575" spans="1:4" x14ac:dyDescent="0.25">
      <c r="A23575" t="str">
        <f>HYPERLINK("https://www.773grp.com/globalSearch/2SD667AC/page-1", "2SD667AC")</f>
        <v>2SD667AC</v>
      </c>
      <c r="B23575" s="3" t="str">
        <f>HYPERLINK("https://www.773grp.com/manufacturer/renesas-electronics-america-inc?pageNo=537", "Renesas Electronics")</f>
        <v>Renesas Electronics</v>
      </c>
      <c r="C23575" s="6">
        <v>3420</v>
      </c>
      <c r="D23575" s="7">
        <v>0.79</v>
      </c>
    </row>
    <row r="23576" spans="1:4" x14ac:dyDescent="0.25">
      <c r="A23576" t="str">
        <f>HYPERLINK("https://www.773grp.com/globalSearch/2SD667ACTZ-E/page-1", "2SD667ACTZ-E")</f>
        <v>2SD667ACTZ-E</v>
      </c>
      <c r="B23576" s="3" t="str">
        <f>HYPERLINK("https://www.773grp.com/manufacturer/renesas-electronics-america-inc?pageNo=538", "Renesas Electronics")</f>
        <v>Renesas Electronics</v>
      </c>
      <c r="C23576" s="6">
        <v>12500</v>
      </c>
      <c r="D23576" s="7">
        <v>0.79</v>
      </c>
    </row>
    <row r="23577" spans="1:4" x14ac:dyDescent="0.25">
      <c r="A23577" t="str">
        <f>HYPERLINK("https://www.773grp.com/globalSearch/3SK295ZQ-TL-E/page-1", "3SK295ZQ-TL-E")</f>
        <v>3SK295ZQ-TL-E</v>
      </c>
      <c r="B23577" s="3" t="str">
        <f>HYPERLINK("https://www.773grp.com/manufacturer/renesas-electronics-america-inc?pageNo=539", "Renesas Electronics")</f>
        <v>Renesas Electronics</v>
      </c>
      <c r="C23577" s="6">
        <v>36000</v>
      </c>
      <c r="D23577" s="7">
        <v>0.79</v>
      </c>
    </row>
    <row r="23578" spans="1:4" x14ac:dyDescent="0.25">
      <c r="A23578" t="str">
        <f>HYPERLINK("https://www.773grp.com/globalSearch/74HC05FP-E/page-1", "74HC05FP-E")</f>
        <v>74HC05FP-E</v>
      </c>
      <c r="B23578" s="3" t="str">
        <f>HYPERLINK("https://www.773grp.com/manufacturer/renesas-electronics-america-inc?pageNo=540", "Renesas Electronics")</f>
        <v>Renesas Electronics</v>
      </c>
      <c r="C23578" s="6">
        <v>2000</v>
      </c>
      <c r="D23578" s="7">
        <v>0.79</v>
      </c>
    </row>
    <row r="23579" spans="1:4" x14ac:dyDescent="0.25">
      <c r="A23579" t="str">
        <f>HYPERLINK("https://www.773grp.com/globalSearch/74HC20FP-E/page-1", "74HC20FP-E")</f>
        <v>74HC20FP-E</v>
      </c>
      <c r="B23579" s="3" t="str">
        <f>HYPERLINK("https://www.773grp.com/manufacturer/renesas-electronics-america-inc?pageNo=541", "Renesas Electronics")</f>
        <v>Renesas Electronics</v>
      </c>
      <c r="C23579" s="6">
        <v>9000</v>
      </c>
      <c r="D23579" s="7">
        <v>0.79</v>
      </c>
    </row>
    <row r="23580" spans="1:4" x14ac:dyDescent="0.25">
      <c r="A23580" t="str">
        <f>HYPERLINK("https://www.773grp.com/globalSearch/74HC20FPEL-E/page-1", "74HC20FPEL-E")</f>
        <v>74HC20FPEL-E</v>
      </c>
      <c r="B23580" s="3" t="str">
        <f>HYPERLINK("https://www.773grp.com/manufacturer/renesas-electronics-america-inc?pageNo=542", "Renesas Electronics")</f>
        <v>Renesas Electronics</v>
      </c>
      <c r="C23580" s="6">
        <v>6000</v>
      </c>
      <c r="D23580" s="7">
        <v>0.79</v>
      </c>
    </row>
    <row r="23581" spans="1:4" x14ac:dyDescent="0.25">
      <c r="A23581" t="str">
        <f>HYPERLINK("https://www.773grp.com/globalSearch/74HC20P-E/page-1", "74HC20P-E")</f>
        <v>74HC20P-E</v>
      </c>
      <c r="B23581" s="3" t="str">
        <f>HYPERLINK("https://www.773grp.com/manufacturer/renesas-electronics-america-inc?pageNo=543", "Renesas Electronics")</f>
        <v>Renesas Electronics</v>
      </c>
      <c r="C23581" s="6">
        <v>255</v>
      </c>
      <c r="D23581" s="7">
        <v>0.79</v>
      </c>
    </row>
    <row r="23582" spans="1:4" x14ac:dyDescent="0.25">
      <c r="A23582" t="str">
        <f>HYPERLINK("https://www.773grp.com/globalSearch/74HC30P-E/page-1", "74HC30P-E")</f>
        <v>74HC30P-E</v>
      </c>
      <c r="B23582" s="3" t="str">
        <f>HYPERLINK("https://www.773grp.com/manufacturer/renesas-electronics-america-inc?pageNo=544", "Renesas Electronics")</f>
        <v>Renesas Electronics</v>
      </c>
      <c r="C23582" s="6">
        <v>1000</v>
      </c>
      <c r="D23582" s="7">
        <v>0.79</v>
      </c>
    </row>
    <row r="23583" spans="1:4" x14ac:dyDescent="0.25">
      <c r="A23583" t="str">
        <f>HYPERLINK("https://www.773grp.com/globalSearch/HZ27-2JTD/page-1", "HZ27-2JTD")</f>
        <v>HZ27-2JTD</v>
      </c>
      <c r="B23583" s="3" t="str">
        <f>HYPERLINK("https://www.773grp.com/manufacturer/renesas-electronics-america-inc?pageNo=545", "Renesas Electronics")</f>
        <v>Renesas Electronics</v>
      </c>
      <c r="C23583" s="6">
        <v>10000</v>
      </c>
      <c r="D23583" s="7">
        <v>0.79</v>
      </c>
    </row>
    <row r="23584" spans="1:4" x14ac:dyDescent="0.25">
      <c r="A23584" t="str">
        <f>HYPERLINK("https://www.773grp.com/globalSearch/HZ30BPTN-E/page-1", "HZ30BPTN-E")</f>
        <v>HZ30BPTN-E</v>
      </c>
      <c r="B23584" s="3" t="str">
        <f>HYPERLINK("https://www.773grp.com/manufacturer/renesas-electronics-america-inc?pageNo=546", "Renesas Electronics")</f>
        <v>Renesas Electronics</v>
      </c>
      <c r="C23584" s="6">
        <v>1067222</v>
      </c>
      <c r="D23584" s="7">
        <v>0.79</v>
      </c>
    </row>
    <row r="23585" spans="1:4" x14ac:dyDescent="0.25">
      <c r="A23585" t="str">
        <f>HYPERLINK("https://www.773grp.com/globalSearch/HZ30CPTK-E/page-1", "HZ30CPTK-E")</f>
        <v>HZ30CPTK-E</v>
      </c>
      <c r="B23585" s="3" t="str">
        <f>HYPERLINK("https://www.773grp.com/manufacturer/renesas-electronics-america-inc?pageNo=547", "Renesas Electronics")</f>
        <v>Renesas Electronics</v>
      </c>
      <c r="C23585" s="6">
        <v>10000</v>
      </c>
      <c r="D23585" s="7">
        <v>0.79</v>
      </c>
    </row>
    <row r="23586" spans="1:4" x14ac:dyDescent="0.25">
      <c r="A23586" t="str">
        <f>HYPERLINK("https://www.773grp.com/globalSearch/HZ33-3-90TA/page-1", "HZ33-3-90TA")</f>
        <v>HZ33-3-90TA</v>
      </c>
      <c r="B23586" s="3" t="str">
        <f>HYPERLINK("https://www.773grp.com/manufacturer/renesas-electronics-america-inc?pageNo=548", "Renesas Electronics")</f>
        <v>Renesas Electronics</v>
      </c>
      <c r="C23586" s="6">
        <v>110000</v>
      </c>
      <c r="D23586" s="7">
        <v>0.79</v>
      </c>
    </row>
    <row r="23587" spans="1:4" x14ac:dyDescent="0.25">
      <c r="A23587" t="str">
        <f>HYPERLINK("https://www.773grp.com/globalSearch/HZ36CPTK-E/page-1", "HZ36CPTK-E")</f>
        <v>HZ36CPTK-E</v>
      </c>
      <c r="B23587" s="3" t="str">
        <f>HYPERLINK("https://www.773grp.com/manufacturer/renesas-electronics-america-inc?pageNo=549", "Renesas Electronics")</f>
        <v>Renesas Electronics</v>
      </c>
      <c r="C23587" s="6">
        <v>95000</v>
      </c>
      <c r="D23587" s="7">
        <v>0.79</v>
      </c>
    </row>
    <row r="23588" spans="1:4" x14ac:dyDescent="0.25">
      <c r="A23588" t="str">
        <f>HYPERLINK("https://www.773grp.com/globalSearch/HZ4.3CP-E/page-1", "HZ4.3CP-E")</f>
        <v>HZ4.3CP-E</v>
      </c>
      <c r="B23588" s="3" t="str">
        <f>HYPERLINK("https://www.773grp.com/manufacturer/renesas-electronics-america-inc?pageNo=550", "Renesas Electronics")</f>
        <v>Renesas Electronics</v>
      </c>
      <c r="C23588" s="6">
        <v>7500</v>
      </c>
      <c r="D23588" s="7">
        <v>0.79</v>
      </c>
    </row>
    <row r="23589" spans="1:4" x14ac:dyDescent="0.25">
      <c r="A23589" t="str">
        <f>HYPERLINK("https://www.773grp.com/globalSearch/HZ6.8CP-E/page-1", "HZ6.8CP-E")</f>
        <v>HZ6.8CP-E</v>
      </c>
      <c r="B23589" s="3" t="str">
        <f>HYPERLINK("https://www.773grp.com/manufacturer/renesas-electronics-america-inc?pageNo=551", "Renesas Electronics")</f>
        <v>Renesas Electronics</v>
      </c>
      <c r="C23589" s="6">
        <v>7300</v>
      </c>
      <c r="D23589" s="7">
        <v>0.79</v>
      </c>
    </row>
    <row r="23590" spans="1:4" x14ac:dyDescent="0.25">
      <c r="A23590" t="str">
        <f>HYPERLINK("https://www.773grp.com/globalSearch/HZ6.8CPTK-E/page-1", "HZ6.8CPTK-E")</f>
        <v>HZ6.8CPTK-E</v>
      </c>
      <c r="B23590" s="3" t="str">
        <f>HYPERLINK("https://www.773grp.com/manufacturer/renesas-electronics-america-inc?pageNo=552", "Renesas Electronics")</f>
        <v>Renesas Electronics</v>
      </c>
      <c r="C23590" s="6">
        <v>5000</v>
      </c>
      <c r="D23590" s="7">
        <v>0.79</v>
      </c>
    </row>
    <row r="23591" spans="1:4" x14ac:dyDescent="0.25">
      <c r="A23591" t="str">
        <f>HYPERLINK("https://www.773grp.com/globalSearch/HZ7.5CP-E/page-1", "HZ7.5CP-E")</f>
        <v>HZ7.5CP-E</v>
      </c>
      <c r="B23591" s="3" t="str">
        <f>HYPERLINK("https://www.773grp.com/manufacturer/renesas-electronics-america-inc?pageNo=553", "Renesas Electronics")</f>
        <v>Renesas Electronics</v>
      </c>
      <c r="C23591" s="6">
        <v>7800</v>
      </c>
      <c r="D23591" s="7">
        <v>0.79</v>
      </c>
    </row>
    <row r="23592" spans="1:4" x14ac:dyDescent="0.25">
      <c r="A23592" t="str">
        <f>HYPERLINK("https://www.773grp.com/globalSearch/HZ8.2BPTK-E/page-1", "HZ8.2BPTK-E")</f>
        <v>HZ8.2BPTK-E</v>
      </c>
      <c r="B23592" s="3" t="str">
        <f>HYPERLINK("https://www.773grp.com/manufacturer/renesas-electronics-america-inc?pageNo=554", "Renesas Electronics")</f>
        <v>Renesas Electronics</v>
      </c>
      <c r="C23592" s="6">
        <v>27500</v>
      </c>
      <c r="D23592" s="7">
        <v>0.79</v>
      </c>
    </row>
    <row r="23593" spans="1:4" x14ac:dyDescent="0.25">
      <c r="A23593" t="str">
        <f>HYPERLINK("https://www.773grp.com/globalSearch/HZU3CLL-JTRF-E/page-1", "HZU3CLL-JTRF-E")</f>
        <v>HZU3CLL-JTRF-E</v>
      </c>
      <c r="B23593" s="3" t="str">
        <f>HYPERLINK("https://www.773grp.com/manufacturer/renesas-electronics-america-inc?pageNo=555", "Renesas Electronics")</f>
        <v>Renesas Electronics</v>
      </c>
      <c r="C23593" s="6">
        <v>66000</v>
      </c>
      <c r="D23593" s="7">
        <v>0.79</v>
      </c>
    </row>
    <row r="23594" spans="1:4" x14ac:dyDescent="0.25">
      <c r="A23594" t="str">
        <f>HYPERLINK("https://www.773grp.com/globalSearch/HZU4CLL-JTRF-E/page-1", "HZU4CLL-JTRF-E")</f>
        <v>HZU4CLL-JTRF-E</v>
      </c>
      <c r="B23594" s="3" t="str">
        <f>HYPERLINK("https://www.773grp.com/manufacturer/renesas-electronics-america-inc?pageNo=556", "Renesas Electronics")</f>
        <v>Renesas Electronics</v>
      </c>
      <c r="C23594" s="6">
        <v>39000</v>
      </c>
      <c r="D23594" s="7">
        <v>0.79</v>
      </c>
    </row>
    <row r="23595" spans="1:4" x14ac:dyDescent="0.25">
      <c r="A23595" t="str">
        <f>HYPERLINK("https://www.773grp.com/globalSearch/HZU5ALL-JTRF-E/page-1", "HZU5ALL-JTRF-E")</f>
        <v>HZU5ALL-JTRF-E</v>
      </c>
      <c r="B23595" s="3" t="str">
        <f>HYPERLINK("https://www.773grp.com/manufacturer/renesas-electronics-america-inc?pageNo=557", "Renesas Electronics")</f>
        <v>Renesas Electronics</v>
      </c>
      <c r="C23595" s="6">
        <v>27000</v>
      </c>
      <c r="D23595" s="7">
        <v>0.79</v>
      </c>
    </row>
    <row r="23596" spans="1:4" x14ac:dyDescent="0.25">
      <c r="A23596" t="str">
        <f>HYPERLINK("https://www.773grp.com/globalSearch/RD10FM-AZ/page-1", "RD10FM-AZ")</f>
        <v>RD10FM-AZ</v>
      </c>
      <c r="B23596" s="3" t="str">
        <f>HYPERLINK("https://www.773grp.com/manufacturer/renesas-electronics-america-inc?pageNo=558", "Renesas Electronics")</f>
        <v>Renesas Electronics</v>
      </c>
      <c r="C23596" s="6">
        <v>200</v>
      </c>
      <c r="D23596" s="7">
        <v>0.79</v>
      </c>
    </row>
    <row r="23597" spans="1:4" x14ac:dyDescent="0.25">
      <c r="A23597" t="str">
        <f>HYPERLINK("https://www.773grp.com/globalSearch/1N4731AT9-E/page-1", "1N4731AT9-E")</f>
        <v>1N4731AT9-E</v>
      </c>
      <c r="B23597" s="3" t="str">
        <f>HYPERLINK("https://www.773grp.com/manufacturer/renesas-electronics-america-inc?pageNo=559", "Renesas Electronics")</f>
        <v>Renesas Electronics</v>
      </c>
      <c r="C23597" s="6">
        <v>30000</v>
      </c>
      <c r="D23597" s="7">
        <v>0.85</v>
      </c>
    </row>
    <row r="23598" spans="1:4" x14ac:dyDescent="0.25">
      <c r="A23598" t="str">
        <f>HYPERLINK("https://www.773grp.com/globalSearch/1N4743AT9-E/page-1", "1N4743AT9-E")</f>
        <v>1N4743AT9-E</v>
      </c>
      <c r="B23598" s="3" t="str">
        <f>HYPERLINK("https://www.773grp.com/manufacturer/renesas-electronics-america-inc?pageNo=560", "Renesas Electronics")</f>
        <v>Renesas Electronics</v>
      </c>
      <c r="C23598" s="6">
        <v>20000</v>
      </c>
      <c r="D23598" s="7">
        <v>0.85</v>
      </c>
    </row>
    <row r="23599" spans="1:4" x14ac:dyDescent="0.25">
      <c r="A23599" t="str">
        <f>HYPERLINK("https://www.773grp.com/globalSearch/1N4749AT9-E/page-1", "1N4749AT9-E")</f>
        <v>1N4749AT9-E</v>
      </c>
      <c r="B23599" s="3" t="str">
        <f>HYPERLINK("https://www.773grp.com/manufacturer/renesas-electronics-america-inc?pageNo=561", "Renesas Electronics")</f>
        <v>Renesas Electronics</v>
      </c>
      <c r="C23599" s="6">
        <v>15000</v>
      </c>
      <c r="D23599" s="7">
        <v>0.85</v>
      </c>
    </row>
    <row r="23600" spans="1:4" x14ac:dyDescent="0.25">
      <c r="A23600" t="str">
        <f>HYPERLINK("https://www.773grp.com/globalSearch/2SJ399ZF-TL-E/page-1", "2SJ399ZF-TL-E")</f>
        <v>2SJ399ZF-TL-E</v>
      </c>
      <c r="B23600" s="3" t="str">
        <f>HYPERLINK("https://www.773grp.com/manufacturer/renesas-electronics-america-inc?pageNo=562", "Renesas Electronics")</f>
        <v>Renesas Electronics</v>
      </c>
      <c r="C23600" s="6">
        <v>6000</v>
      </c>
      <c r="D23600" s="7">
        <v>0.85</v>
      </c>
    </row>
    <row r="23601" spans="1:4" x14ac:dyDescent="0.25">
      <c r="A23601" t="str">
        <f>HYPERLINK("https://www.773grp.com/globalSearch/HZ11HA2-E/page-1", "HZ11HA2-E")</f>
        <v>HZ11HA2-E</v>
      </c>
      <c r="B23601" s="3" t="str">
        <f>HYPERLINK("https://www.773grp.com/manufacturer/renesas-electronics-america-inc?pageNo=563", "Renesas Electronics")</f>
        <v>Renesas Electronics</v>
      </c>
      <c r="C23601" s="6">
        <v>3000</v>
      </c>
      <c r="D23601" s="7">
        <v>0.85</v>
      </c>
    </row>
    <row r="23602" spans="1:4" x14ac:dyDescent="0.25">
      <c r="A23602" t="str">
        <f>HYPERLINK("https://www.773grp.com/globalSearch/HZ12HB1-E/page-1", "HZ12HB1-E")</f>
        <v>HZ12HB1-E</v>
      </c>
      <c r="B23602" s="3" t="str">
        <f>HYPERLINK("https://www.773grp.com/manufacturer/renesas-electronics-america-inc?pageNo=564", "Renesas Electronics")</f>
        <v>Renesas Electronics</v>
      </c>
      <c r="C23602" s="6">
        <v>6500</v>
      </c>
      <c r="D23602" s="7">
        <v>0.85</v>
      </c>
    </row>
    <row r="23603" spans="1:4" x14ac:dyDescent="0.25">
      <c r="A23603" t="str">
        <f>HYPERLINK("https://www.773grp.com/globalSearch/HZ16H3-E/page-1", "HZ16H3-E")</f>
        <v>HZ16H3-E</v>
      </c>
      <c r="B23603" s="3" t="str">
        <f>HYPERLINK("https://www.773grp.com/manufacturer/renesas-electronics-america-inc?pageNo=565", "Renesas Electronics")</f>
        <v>Renesas Electronics</v>
      </c>
      <c r="C23603" s="6">
        <v>10000</v>
      </c>
      <c r="D23603" s="7">
        <v>0.85</v>
      </c>
    </row>
    <row r="23604" spans="1:4" x14ac:dyDescent="0.25">
      <c r="A23604" t="str">
        <f>HYPERLINK("https://www.773grp.com/globalSearch/HZ2HB1-E/page-1", "HZ2HB1-E")</f>
        <v>HZ2HB1-E</v>
      </c>
      <c r="B23604" s="3" t="str">
        <f>HYPERLINK("https://www.773grp.com/manufacturer/renesas-electronics-america-inc?pageNo=566", "Renesas Electronics")</f>
        <v>Renesas Electronics</v>
      </c>
      <c r="C23604" s="6">
        <v>12500</v>
      </c>
      <c r="D23604" s="7">
        <v>0.85</v>
      </c>
    </row>
    <row r="23605" spans="1:4" x14ac:dyDescent="0.25">
      <c r="A23605" t="str">
        <f>HYPERLINK("https://www.773grp.com/globalSearch/HZ33H2/page-1", "HZ33H2")</f>
        <v>HZ33H2</v>
      </c>
      <c r="B23605" s="3" t="str">
        <f>HYPERLINK("https://www.773grp.com/manufacturer/renesas-electronics-america-inc?pageNo=567", "Renesas Electronics")</f>
        <v>Renesas Electronics</v>
      </c>
      <c r="C23605" s="6">
        <v>1000</v>
      </c>
      <c r="D23605" s="7">
        <v>0.85</v>
      </c>
    </row>
    <row r="23606" spans="1:4" x14ac:dyDescent="0.25">
      <c r="A23606" t="str">
        <f>HYPERLINK("https://www.773grp.com/globalSearch/HZ4HB3-E/page-1", "HZ4HB3-E")</f>
        <v>HZ4HB3-E</v>
      </c>
      <c r="B23606" s="3" t="str">
        <f>HYPERLINK("https://www.773grp.com/manufacturer/renesas-electronics-america-inc?pageNo=568", "Renesas Electronics")</f>
        <v>Renesas Electronics</v>
      </c>
      <c r="C23606" s="6">
        <v>3000</v>
      </c>
      <c r="D23606" s="7">
        <v>0.85</v>
      </c>
    </row>
    <row r="23607" spans="1:4" x14ac:dyDescent="0.25">
      <c r="A23607" t="str">
        <f>HYPERLINK("https://www.773grp.com/globalSearch/HZ5HA1TA/page-1", "HZ5HA1TA")</f>
        <v>HZ5HA1TA</v>
      </c>
      <c r="B23607" s="3" t="str">
        <f>HYPERLINK("https://www.773grp.com/manufacturer/renesas-electronics-america-inc?pageNo=569", "Renesas Electronics")</f>
        <v>Renesas Electronics</v>
      </c>
      <c r="C23607" s="6">
        <v>10000</v>
      </c>
      <c r="D23607" s="7">
        <v>0.85</v>
      </c>
    </row>
    <row r="23608" spans="1:4" x14ac:dyDescent="0.25">
      <c r="A23608" t="str">
        <f>HYPERLINK("https://www.773grp.com/globalSearch/HZ6HC1-E/page-1", "HZ6HC1-E")</f>
        <v>HZ6HC1-E</v>
      </c>
      <c r="B23608" s="3" t="str">
        <f>HYPERLINK("https://www.773grp.com/manufacturer/renesas-electronics-america-inc?pageNo=570", "Renesas Electronics")</f>
        <v>Renesas Electronics</v>
      </c>
      <c r="C23608" s="6">
        <v>5000</v>
      </c>
      <c r="D23608" s="7">
        <v>0.85</v>
      </c>
    </row>
    <row r="23609" spans="1:4" x14ac:dyDescent="0.25">
      <c r="A23609" t="str">
        <f>HYPERLINK("https://www.773grp.com/globalSearch/HZ7HB2-E/page-1", "HZ7HB2-E")</f>
        <v>HZ7HB2-E</v>
      </c>
      <c r="B23609" s="3" t="str">
        <f>HYPERLINK("https://www.773grp.com/manufacturer/renesas-electronics-america-inc?pageNo=571", "Renesas Electronics")</f>
        <v>Renesas Electronics</v>
      </c>
      <c r="C23609" s="6">
        <v>10500</v>
      </c>
      <c r="D23609" s="7">
        <v>0.85</v>
      </c>
    </row>
    <row r="23610" spans="1:4" x14ac:dyDescent="0.25">
      <c r="A23610" t="str">
        <f>HYPERLINK("https://www.773grp.com/globalSearch/HZ9HA2-E/page-1", "HZ9HA2-E")</f>
        <v>HZ9HA2-E</v>
      </c>
      <c r="B23610" s="3" t="str">
        <f>HYPERLINK("https://www.773grp.com/manufacturer/renesas-electronics-america-inc?pageNo=572", "Renesas Electronics")</f>
        <v>Renesas Electronics</v>
      </c>
      <c r="C23610" s="6">
        <v>5500</v>
      </c>
      <c r="D23610" s="7">
        <v>0.85</v>
      </c>
    </row>
    <row r="23611" spans="1:4" x14ac:dyDescent="0.25">
      <c r="A23611" t="str">
        <f>HYPERLINK("https://www.773grp.com/globalSearch/HZ9HB2-E/page-1", "HZ9HB2-E")</f>
        <v>HZ9HB2-E</v>
      </c>
      <c r="B23611" s="3" t="str">
        <f>HYPERLINK("https://www.773grp.com/manufacturer/renesas-electronics-america-inc?pageNo=573", "Renesas Electronics")</f>
        <v>Renesas Electronics</v>
      </c>
      <c r="C23611" s="6">
        <v>8500</v>
      </c>
      <c r="D23611" s="7">
        <v>0.85</v>
      </c>
    </row>
    <row r="23612" spans="1:4" x14ac:dyDescent="0.25">
      <c r="A23612" t="str">
        <f>HYPERLINK("https://www.773grp.com/globalSearch/RKZ12BKV#P1/page-1", "RKZ12BKV#P1")</f>
        <v>RKZ12BKV#P1</v>
      </c>
      <c r="B23612" s="3" t="str">
        <f>HYPERLINK("https://www.773grp.com/manufacturer/renesas-electronics-america-inc?pageNo=574", "Renesas Electronics")</f>
        <v>Renesas Electronics</v>
      </c>
      <c r="C23612" s="6">
        <v>99000</v>
      </c>
      <c r="D23612" s="7">
        <v>0.85</v>
      </c>
    </row>
    <row r="23613" spans="1:4" x14ac:dyDescent="0.25">
      <c r="A23613" t="str">
        <f>HYPERLINK("https://www.773grp.com/globalSearch/RKZ16BKV#P1/page-1", "RKZ16BKV#P1")</f>
        <v>RKZ16BKV#P1</v>
      </c>
      <c r="B23613" s="3" t="str">
        <f>HYPERLINK("https://www.773grp.com/manufacturer/renesas-electronics-america-inc?pageNo=575", "Renesas Electronics")</f>
        <v>Renesas Electronics</v>
      </c>
      <c r="C23613" s="6">
        <v>105000</v>
      </c>
      <c r="D23613" s="7">
        <v>0.85</v>
      </c>
    </row>
    <row r="23614" spans="1:4" x14ac:dyDescent="0.25">
      <c r="A23614" t="str">
        <f>HYPERLINK("https://www.773grp.com/globalSearch/2SA1610-T2-A/page-1", "2SA1610-T2-A")</f>
        <v>2SA1610-T2-A</v>
      </c>
      <c r="B23614" s="3" t="str">
        <f>HYPERLINK("https://www.773grp.com/manufacturer/renesas-electronics-america-inc?pageNo=576", "Renesas Electronics")</f>
        <v>Renesas Electronics</v>
      </c>
      <c r="C23614" s="6">
        <v>96000</v>
      </c>
      <c r="D23614" s="7">
        <v>0.9</v>
      </c>
    </row>
    <row r="23615" spans="1:4" x14ac:dyDescent="0.25">
      <c r="A23615" t="str">
        <f>HYPERLINK("https://www.773grp.com/globalSearch/2SA1625-FD-AZ/page-1", "2SA1625-FD-AZ")</f>
        <v>2SA1625-FD-AZ</v>
      </c>
      <c r="B23615" s="3" t="str">
        <f>HYPERLINK("https://www.773grp.com/manufacturer/renesas-electronics-america-inc?pageNo=577", "Renesas Electronics")</f>
        <v>Renesas Electronics</v>
      </c>
      <c r="C23615" s="6">
        <v>22716</v>
      </c>
      <c r="D23615" s="7">
        <v>0.9</v>
      </c>
    </row>
    <row r="23616" spans="1:4" x14ac:dyDescent="0.25">
      <c r="A23616" t="str">
        <f>HYPERLINK("https://www.773grp.com/globalSearch/2SC2001-A/page-1", "2SC2001-A")</f>
        <v>2SC2001-A</v>
      </c>
      <c r="B23616" s="3" t="str">
        <f>HYPERLINK("https://www.773grp.com/manufacturer/renesas-electronics-america-inc?pageNo=578", "Renesas Electronics")</f>
        <v>Renesas Electronics</v>
      </c>
      <c r="C23616" s="6">
        <v>7582040</v>
      </c>
      <c r="D23616" s="7">
        <v>0.9</v>
      </c>
    </row>
    <row r="23617" spans="1:4" x14ac:dyDescent="0.25">
      <c r="A23617" t="str">
        <f>HYPERLINK("https://www.773grp.com/globalSearch/2SC5773JR-TL-E/page-1", "2SC5773JR-TL-E")</f>
        <v>2SC5773JR-TL-E</v>
      </c>
      <c r="B23617" s="3" t="str">
        <f>HYPERLINK("https://www.773grp.com/manufacturer/renesas-electronics-america-inc?pageNo=579", "Renesas Electronics")</f>
        <v>Renesas Electronics</v>
      </c>
      <c r="C23617" s="6">
        <v>6000</v>
      </c>
      <c r="D23617" s="7">
        <v>0.9</v>
      </c>
    </row>
    <row r="23618" spans="1:4" x14ac:dyDescent="0.25">
      <c r="A23618" t="str">
        <f>HYPERLINK("https://www.773grp.com/globalSearch/74LS09P-E/page-1", "74LS09P-E")</f>
        <v>74LS09P-E</v>
      </c>
      <c r="B23618" s="3" t="str">
        <f>HYPERLINK("https://www.773grp.com/manufacturer/renesas-electronics-america-inc?pageNo=580", "Renesas Electronics")</f>
        <v>Renesas Electronics</v>
      </c>
      <c r="C23618" s="6">
        <v>8000</v>
      </c>
      <c r="D23618" s="7">
        <v>0.9</v>
      </c>
    </row>
    <row r="23619" spans="1:4" x14ac:dyDescent="0.25">
      <c r="A23619" t="str">
        <f>HYPERLINK("https://www.773grp.com/globalSearch/74LS10FP-E/page-1", "74LS10FP-E")</f>
        <v>74LS10FP-E</v>
      </c>
      <c r="B23619" s="3" t="str">
        <f>HYPERLINK("https://www.773grp.com/manufacturer/renesas-electronics-america-inc?pageNo=581", "Renesas Electronics")</f>
        <v>Renesas Electronics</v>
      </c>
      <c r="C23619" s="6">
        <v>2620</v>
      </c>
      <c r="D23619" s="7">
        <v>0.9</v>
      </c>
    </row>
    <row r="23620" spans="1:4" x14ac:dyDescent="0.25">
      <c r="A23620" t="str">
        <f>HYPERLINK("https://www.773grp.com/globalSearch/74LS20FP-E/page-1", "74LS20FP-E")</f>
        <v>74LS20FP-E</v>
      </c>
      <c r="B23620" s="3" t="str">
        <f>HYPERLINK("https://www.773grp.com/manufacturer/renesas-electronics-america-inc?pageNo=582", "Renesas Electronics")</f>
        <v>Renesas Electronics</v>
      </c>
      <c r="C23620" s="6">
        <v>6974</v>
      </c>
      <c r="D23620" s="7">
        <v>0.9</v>
      </c>
    </row>
    <row r="23621" spans="1:4" x14ac:dyDescent="0.25">
      <c r="A23621" t="str">
        <f>HYPERLINK("https://www.773grp.com/globalSearch/74LS21P-E/page-1", "74LS21P-E")</f>
        <v>74LS21P-E</v>
      </c>
      <c r="B23621" s="3" t="str">
        <f>HYPERLINK("https://www.773grp.com/manufacturer/renesas-electronics-america-inc?pageNo=583", "Renesas Electronics")</f>
        <v>Renesas Electronics</v>
      </c>
      <c r="C23621" s="6">
        <v>6000</v>
      </c>
      <c r="D23621" s="7">
        <v>0.9</v>
      </c>
    </row>
    <row r="23622" spans="1:4" x14ac:dyDescent="0.25">
      <c r="A23622" t="str">
        <f>HYPERLINK("https://www.773grp.com/globalSearch/74LS30FP-E/page-1", "74LS30FP-E")</f>
        <v>74LS30FP-E</v>
      </c>
      <c r="B23622" s="3" t="str">
        <f>HYPERLINK("https://www.773grp.com/manufacturer/renesas-electronics-america-inc?pageNo=584", "Renesas Electronics")</f>
        <v>Renesas Electronics</v>
      </c>
      <c r="C23622" s="6">
        <v>7000</v>
      </c>
      <c r="D23622" s="7">
        <v>0.9</v>
      </c>
    </row>
    <row r="23623" spans="1:4" x14ac:dyDescent="0.25">
      <c r="A23623" t="str">
        <f>HYPERLINK("https://www.773grp.com/globalSearch/74LS51FPEL-E/page-1", "74LS51FPEL-E")</f>
        <v>74LS51FPEL-E</v>
      </c>
      <c r="B23623" s="3" t="str">
        <f>HYPERLINK("https://www.773grp.com/manufacturer/renesas-electronics-america-inc?pageNo=585", "Renesas Electronics")</f>
        <v>Renesas Electronics</v>
      </c>
      <c r="C23623" s="6">
        <v>4000</v>
      </c>
      <c r="D23623" s="7">
        <v>0.9</v>
      </c>
    </row>
    <row r="23624" spans="1:4" x14ac:dyDescent="0.25">
      <c r="A23624" t="str">
        <f>HYPERLINK("https://www.773grp.com/globalSearch/D74HV1G04VS#H1/page-1", "D74HV1G04VS#H1")</f>
        <v>D74HV1G04VS#H1</v>
      </c>
      <c r="B23624" s="3" t="str">
        <f>HYPERLINK("https://www.773grp.com/manufacturer/renesas-electronics-america-inc?pageNo=586", "Renesas Electronics")</f>
        <v>Renesas Electronics</v>
      </c>
      <c r="C23624" s="6">
        <v>9000</v>
      </c>
      <c r="D23624" s="7">
        <v>0.9</v>
      </c>
    </row>
    <row r="23625" spans="1:4" x14ac:dyDescent="0.25">
      <c r="A23625" t="str">
        <f>HYPERLINK("https://www.773grp.com/globalSearch/HSM276STL-E/page-1", "HSM276STL-E")</f>
        <v>HSM276STL-E</v>
      </c>
      <c r="B23625" s="3" t="str">
        <f>HYPERLINK("https://www.773grp.com/manufacturer/renesas-electronics-america-inc?pageNo=587", "Renesas Electronics")</f>
        <v>Renesas Electronics</v>
      </c>
      <c r="C23625" s="6">
        <v>42000</v>
      </c>
      <c r="D23625" s="7">
        <v>0.9</v>
      </c>
    </row>
    <row r="23626" spans="1:4" x14ac:dyDescent="0.25">
      <c r="A23626" t="str">
        <f>HYPERLINK("https://www.773grp.com/globalSearch/M51943BML#DF0J/page-1", "M51943BML#DF0J")</f>
        <v>M51943BML#DF0J</v>
      </c>
      <c r="B23626" s="3" t="str">
        <f>HYPERLINK("https://www.773grp.com/manufacturer/renesas-electronics-america-inc?pageNo=588", "Renesas Electronics")</f>
        <v>Renesas Electronics</v>
      </c>
      <c r="C23626" s="6">
        <v>9000</v>
      </c>
      <c r="D23626" s="7">
        <v>0.9</v>
      </c>
    </row>
    <row r="23627" spans="1:4" x14ac:dyDescent="0.25">
      <c r="A23627" t="str">
        <f>HYPERLINK("https://www.773grp.com/globalSearch/M51943BML#TF0J/page-1", "M51943BML#TF0J")</f>
        <v>M51943BML#TF0J</v>
      </c>
      <c r="B23627" s="3" t="str">
        <f>HYPERLINK("https://www.773grp.com/manufacturer/renesas-electronics-america-inc?pageNo=589", "Renesas Electronics")</f>
        <v>Renesas Electronics</v>
      </c>
      <c r="C23627" s="6">
        <v>950</v>
      </c>
      <c r="D23627" s="7">
        <v>0.9</v>
      </c>
    </row>
    <row r="23628" spans="1:4" x14ac:dyDescent="0.25">
      <c r="A23628" t="str">
        <f>HYPERLINK("https://www.773grp.com/globalSearch/RJK03J9DNS-00#J5/page-1", "RJK03J9DNS-00#J5")</f>
        <v>RJK03J9DNS-00#J5</v>
      </c>
      <c r="B23628" s="3" t="str">
        <f>HYPERLINK("https://www.773grp.com/manufacturer/renesas-electronics-america-inc?pageNo=590", "Renesas Electronics")</f>
        <v>Renesas Electronics</v>
      </c>
      <c r="C23628" s="6">
        <v>5000</v>
      </c>
      <c r="D23628" s="7">
        <v>0.9</v>
      </c>
    </row>
    <row r="23629" spans="1:4" x14ac:dyDescent="0.25">
      <c r="A23629" t="str">
        <f>HYPERLINK("https://www.773grp.com/globalSearch/RQK0604IGDQA#H1/page-1", "RQK0604IGDQA#H1")</f>
        <v>RQK0604IGDQA#H1</v>
      </c>
      <c r="B23629" s="3" t="str">
        <f>HYPERLINK("https://www.773grp.com/manufacturer/renesas-electronics-america-inc?pageNo=591", "Renesas Electronics")</f>
        <v>Renesas Electronics</v>
      </c>
      <c r="C23629" s="6">
        <v>36000</v>
      </c>
      <c r="D23629" s="7">
        <v>0.9</v>
      </c>
    </row>
    <row r="23630" spans="1:4" x14ac:dyDescent="0.25">
      <c r="A23630" t="str">
        <f>HYPERLINK("https://www.773grp.com/globalSearch/UPA507TE-T1-AT/page-1", "UPA507TE-T1-AT")</f>
        <v>UPA507TE-T1-AT</v>
      </c>
      <c r="B23630" s="3" t="str">
        <f>HYPERLINK("https://www.773grp.com/manufacturer/renesas-electronics-america-inc?pageNo=592", "Renesas Electronics")</f>
        <v>Renesas Electronics</v>
      </c>
      <c r="C23630" s="6">
        <v>141000</v>
      </c>
      <c r="D23630" s="7">
        <v>0.9</v>
      </c>
    </row>
    <row r="23631" spans="1:4" x14ac:dyDescent="0.25">
      <c r="A23631" t="str">
        <f>HYPERLINK("https://www.773grp.com/globalSearch/1N4733AT9-E/page-1", "1N4733AT9-E")</f>
        <v>1N4733AT9-E</v>
      </c>
      <c r="B23631" s="3" t="str">
        <f>HYPERLINK("https://www.773grp.com/manufacturer/renesas-electronics-america-inc?pageNo=593", "Renesas Electronics")</f>
        <v>Renesas Electronics</v>
      </c>
      <c r="C23631" s="6">
        <v>30000</v>
      </c>
      <c r="D23631" s="7">
        <v>0.95</v>
      </c>
    </row>
    <row r="23632" spans="1:4" x14ac:dyDescent="0.25">
      <c r="A23632" t="str">
        <f>HYPERLINK("https://www.773grp.com/globalSearch/2SA1566JIETR-E/page-1", "2SA1566JIETR-E")</f>
        <v>2SA1566JIETR-E</v>
      </c>
      <c r="B23632" s="3" t="str">
        <f>HYPERLINK("https://www.773grp.com/manufacturer/renesas-electronics-america-inc?pageNo=594", "Renesas Electronics")</f>
        <v>Renesas Electronics</v>
      </c>
      <c r="C23632" s="6">
        <v>3000</v>
      </c>
      <c r="D23632" s="7">
        <v>0.95</v>
      </c>
    </row>
    <row r="23633" spans="1:4" x14ac:dyDescent="0.25">
      <c r="A23633" t="str">
        <f>HYPERLINK("https://www.773grp.com/globalSearch/2SB740BTZ-E/page-1", "2SB740BTZ-E")</f>
        <v>2SB740BTZ-E</v>
      </c>
      <c r="B23633" s="3" t="str">
        <f>HYPERLINK("https://www.773grp.com/manufacturer/renesas-electronics-america-inc?pageNo=595", "Renesas Electronics")</f>
        <v>Renesas Electronics</v>
      </c>
      <c r="C23633" s="6">
        <v>5000</v>
      </c>
      <c r="D23633" s="7">
        <v>0.95</v>
      </c>
    </row>
    <row r="23634" spans="1:4" x14ac:dyDescent="0.25">
      <c r="A23634" t="str">
        <f>HYPERLINK("https://www.773grp.com/globalSearch/2SC2001-T-A/page-1", "2SC2001-T-A")</f>
        <v>2SC2001-T-A</v>
      </c>
      <c r="B23634" s="3" t="str">
        <f>HYPERLINK("https://www.773grp.com/manufacturer/renesas-electronics-america-inc?pageNo=596", "Renesas Electronics")</f>
        <v>Renesas Electronics</v>
      </c>
      <c r="C23634" s="6">
        <v>2375000</v>
      </c>
      <c r="D23634" s="7">
        <v>0.95</v>
      </c>
    </row>
    <row r="23635" spans="1:4" x14ac:dyDescent="0.25">
      <c r="A23635" t="str">
        <f>HYPERLINK("https://www.773grp.com/globalSearch/2SK2373ZE-TL-E/page-1", "2SK2373ZE-TL-E")</f>
        <v>2SK2373ZE-TL-E</v>
      </c>
      <c r="B23635" s="3" t="str">
        <f>HYPERLINK("https://www.773grp.com/manufacturer/renesas-electronics-america-inc?pageNo=597", "Renesas Electronics")</f>
        <v>Renesas Electronics</v>
      </c>
      <c r="C23635" s="6">
        <v>36000</v>
      </c>
      <c r="D23635" s="7">
        <v>0.95</v>
      </c>
    </row>
    <row r="23636" spans="1:4" x14ac:dyDescent="0.25">
      <c r="A23636" t="str">
        <f>HYPERLINK("https://www.773grp.com/globalSearch/M51945BFP#DF0R/page-1", "M51945BFP#DF0R")</f>
        <v>M51945BFP#DF0R</v>
      </c>
      <c r="B23636" s="3" t="str">
        <f>HYPERLINK("https://www.773grp.com/manufacturer/renesas-electronics-america-inc?pageNo=598", "Renesas Electronics")</f>
        <v>Renesas Electronics</v>
      </c>
      <c r="C23636" s="6">
        <v>10000</v>
      </c>
      <c r="D23636" s="7">
        <v>0.95</v>
      </c>
    </row>
    <row r="23637" spans="1:4" x14ac:dyDescent="0.25">
      <c r="A23637" t="str">
        <f>HYPERLINK("https://www.773grp.com/globalSearch/M51955AFP#TF0R/page-1", "M51955AFP#TF0R")</f>
        <v>M51955AFP#TF0R</v>
      </c>
      <c r="B23637" s="3" t="str">
        <f>HYPERLINK("https://www.773grp.com/manufacturer/renesas-electronics-america-inc?pageNo=599", "Renesas Electronics")</f>
        <v>Renesas Electronics</v>
      </c>
      <c r="C23637" s="6">
        <v>6400</v>
      </c>
      <c r="D23637" s="7">
        <v>0.95</v>
      </c>
    </row>
    <row r="23638" spans="1:4" x14ac:dyDescent="0.25">
      <c r="A23638" t="str">
        <f>HYPERLINK("https://www.773grp.com/globalSearch/M51957BFP#TF1J/page-1", "M51957BFP#TF1J")</f>
        <v>M51957BFP#TF1J</v>
      </c>
      <c r="B23638" s="3" t="str">
        <f>HYPERLINK("https://www.773grp.com/manufacturer/renesas-electronics-america-inc?pageNo=600", "Renesas Electronics")</f>
        <v>Renesas Electronics</v>
      </c>
      <c r="C23638" s="6">
        <v>1504</v>
      </c>
      <c r="D23638" s="7">
        <v>0.95</v>
      </c>
    </row>
    <row r="23639" spans="1:4" x14ac:dyDescent="0.25">
      <c r="A23639" t="str">
        <f>HYPERLINK("https://www.773grp.com/globalSearch/M51958AFP#TF0R/page-1", "M51958AFP#TF0R")</f>
        <v>M51958AFP#TF0R</v>
      </c>
      <c r="B23639" s="3" t="str">
        <f>HYPERLINK("https://www.773grp.com/manufacturer/renesas-electronics-america-inc?pageNo=601", "Renesas Electronics")</f>
        <v>Renesas Electronics</v>
      </c>
      <c r="C23639" s="6">
        <v>7863</v>
      </c>
      <c r="D23639" s="7">
        <v>0.95</v>
      </c>
    </row>
    <row r="23640" spans="1:4" x14ac:dyDescent="0.25">
      <c r="A23640" t="str">
        <f>HYPERLINK("https://www.773grp.com/globalSearch/RD10F(2)-AZ/page-1", "RD10F(2)-AZ")</f>
        <v>RD10F(2)-AZ</v>
      </c>
      <c r="B23640" s="3" t="str">
        <f>HYPERLINK("https://www.773grp.com/manufacturer/renesas-electronics-america-inc?pageNo=602", "Renesas Electronics")</f>
        <v>Renesas Electronics</v>
      </c>
      <c r="C23640" s="6">
        <v>100</v>
      </c>
      <c r="D23640" s="7">
        <v>0.95</v>
      </c>
    </row>
    <row r="23641" spans="1:4" x14ac:dyDescent="0.25">
      <c r="A23641" t="str">
        <f>HYPERLINK("https://www.773grp.com/globalSearch/RD16F(10)-T6-AZ/page-1", "RD16F(10)-T6-AZ")</f>
        <v>RD16F(10)-T6-AZ</v>
      </c>
      <c r="B23641" s="3" t="str">
        <f>HYPERLINK("https://www.773grp.com/manufacturer/renesas-electronics-america-inc?pageNo=603", "Renesas Electronics")</f>
        <v>Renesas Electronics</v>
      </c>
      <c r="C23641" s="6">
        <v>5000</v>
      </c>
      <c r="D23641" s="7">
        <v>0.95</v>
      </c>
    </row>
    <row r="23642" spans="1:4" x14ac:dyDescent="0.25">
      <c r="A23642" t="str">
        <f>HYPERLINK("https://www.773grp.com/globalSearch/RD2.0F(N)-T7/page-1", "RD2.0F(N)-T7")</f>
        <v>RD2.0F(N)-T7</v>
      </c>
      <c r="B23642" s="3" t="str">
        <f>HYPERLINK("https://www.773grp.com/manufacturer/renesas-electronics-america-inc?pageNo=604", "Renesas Electronics")</f>
        <v>Renesas Electronics</v>
      </c>
      <c r="C23642" s="6">
        <v>5000</v>
      </c>
      <c r="D23642" s="7">
        <v>0.95</v>
      </c>
    </row>
    <row r="23643" spans="1:4" x14ac:dyDescent="0.25">
      <c r="A23643" t="str">
        <f>HYPERLINK("https://www.773grp.com/globalSearch/RD20F(30)-T7/page-1", "RD20F(30)-T7")</f>
        <v>RD20F(30)-T7</v>
      </c>
      <c r="B23643" s="3" t="str">
        <f>HYPERLINK("https://www.773grp.com/manufacturer/renesas-electronics-america-inc?pageNo=605", "Renesas Electronics")</f>
        <v>Renesas Electronics</v>
      </c>
      <c r="C23643" s="6">
        <v>110000</v>
      </c>
      <c r="D23643" s="7">
        <v>0.95</v>
      </c>
    </row>
    <row r="23644" spans="1:4" x14ac:dyDescent="0.25">
      <c r="A23644" t="str">
        <f>HYPERLINK("https://www.773grp.com/globalSearch/RD30F(10)-T6-AZ/page-1", "RD30F(10)-T6-AZ")</f>
        <v>RD30F(10)-T6-AZ</v>
      </c>
      <c r="B23644" s="3" t="str">
        <f>HYPERLINK("https://www.773grp.com/manufacturer/renesas-electronics-america-inc?pageNo=606", "Renesas Electronics")</f>
        <v>Renesas Electronics</v>
      </c>
      <c r="C23644" s="6">
        <v>10000</v>
      </c>
      <c r="D23644" s="7">
        <v>0.95</v>
      </c>
    </row>
    <row r="23645" spans="1:4" x14ac:dyDescent="0.25">
      <c r="A23645" t="str">
        <f>HYPERLINK("https://www.773grp.com/globalSearch/RD36F(N6)-AZ/page-1", "RD36F(N6)-AZ")</f>
        <v>RD36F(N6)-AZ</v>
      </c>
      <c r="B23645" s="3" t="str">
        <f>HYPERLINK("https://www.773grp.com/manufacturer/renesas-electronics-america-inc?pageNo=607", "Renesas Electronics")</f>
        <v>Renesas Electronics</v>
      </c>
      <c r="C23645" s="6">
        <v>9800</v>
      </c>
      <c r="D23645" s="7">
        <v>0.95</v>
      </c>
    </row>
    <row r="23646" spans="1:4" x14ac:dyDescent="0.25">
      <c r="A23646" t="str">
        <f>HYPERLINK("https://www.773grp.com/globalSearch/RD36F(N6)-T6-AZ/page-1", "RD36F(N6)-T6-AZ")</f>
        <v>RD36F(N6)-T6-AZ</v>
      </c>
      <c r="B23646" s="3" t="str">
        <f>HYPERLINK("https://www.773grp.com/manufacturer/renesas-electronics-america-inc?pageNo=608", "Renesas Electronics")</f>
        <v>Renesas Electronics</v>
      </c>
      <c r="C23646" s="6">
        <v>35000</v>
      </c>
      <c r="D23646" s="7">
        <v>0.95</v>
      </c>
    </row>
    <row r="23647" spans="1:4" x14ac:dyDescent="0.25">
      <c r="A23647" t="str">
        <f>HYPERLINK("https://www.773grp.com/globalSearch/RD6.2F(N)-T6/page-1", "RD6.2F(N)-T6")</f>
        <v>RD6.2F(N)-T6</v>
      </c>
      <c r="B23647" s="3" t="str">
        <f>HYPERLINK("https://www.773grp.com/manufacturer/renesas-electronics-america-inc?pageNo=609", "Renesas Electronics")</f>
        <v>Renesas Electronics</v>
      </c>
      <c r="C23647" s="6">
        <v>12500</v>
      </c>
      <c r="D23647" s="7">
        <v>0.95</v>
      </c>
    </row>
    <row r="23648" spans="1:4" x14ac:dyDescent="0.25">
      <c r="A23648" t="str">
        <f>HYPERLINK("https://www.773grp.com/globalSearch/RD6.8F(5)/page-1", "RD6.8F(5)")</f>
        <v>RD6.8F(5)</v>
      </c>
      <c r="B23648" s="3" t="str">
        <f>HYPERLINK("https://www.773grp.com/manufacturer/renesas-electronics-america-inc?pageNo=610", "Renesas Electronics")</f>
        <v>Renesas Electronics</v>
      </c>
      <c r="C23648" s="6">
        <v>3500</v>
      </c>
      <c r="D23648" s="7">
        <v>0.95</v>
      </c>
    </row>
    <row r="23649" spans="1:4" x14ac:dyDescent="0.25">
      <c r="A23649" t="str">
        <f>HYPERLINK("https://www.773grp.com/globalSearch/RD8.2F(1)-AZ/page-1", "RD8.2F(1)-AZ")</f>
        <v>RD8.2F(1)-AZ</v>
      </c>
      <c r="B23649" s="3" t="str">
        <f>HYPERLINK("https://www.773grp.com/manufacturer/renesas-electronics-america-inc?pageNo=611", "Renesas Electronics")</f>
        <v>Renesas Electronics</v>
      </c>
      <c r="C23649" s="6">
        <v>100</v>
      </c>
      <c r="D23649" s="7">
        <v>0.95</v>
      </c>
    </row>
    <row r="23650" spans="1:4" x14ac:dyDescent="0.25">
      <c r="A23650" t="str">
        <f>HYPERLINK("https://www.773grp.com/globalSearch/RD8.2F(10)-T6-AZ/page-1", "RD8.2F(10)-T6-AZ")</f>
        <v>RD8.2F(10)-T6-AZ</v>
      </c>
      <c r="B23650" s="3" t="str">
        <f>HYPERLINK("https://www.773grp.com/manufacturer/renesas-electronics-america-inc?pageNo=612", "Renesas Electronics")</f>
        <v>Renesas Electronics</v>
      </c>
      <c r="C23650" s="6">
        <v>12500</v>
      </c>
      <c r="D23650" s="7">
        <v>0.95</v>
      </c>
    </row>
    <row r="23651" spans="1:4" x14ac:dyDescent="0.25">
      <c r="A23651" t="str">
        <f>HYPERLINK("https://www.773grp.com/globalSearch/RD8.2F(2)-AZ/page-1", "RD8.2F(2)-AZ")</f>
        <v>RD8.2F(2)-AZ</v>
      </c>
      <c r="B23651" s="3" t="str">
        <f>HYPERLINK("https://www.773grp.com/manufacturer/renesas-electronics-america-inc?pageNo=613", "Renesas Electronics")</f>
        <v>Renesas Electronics</v>
      </c>
      <c r="C23651" s="6">
        <v>2000</v>
      </c>
      <c r="D23651" s="7">
        <v>0.95</v>
      </c>
    </row>
    <row r="23652" spans="1:4" x14ac:dyDescent="0.25">
      <c r="A23652" t="str">
        <f>HYPERLINK("https://www.773grp.com/globalSearch/RD8.2F(N)-T6/page-1", "RD8.2F(N)-T6")</f>
        <v>RD8.2F(N)-T6</v>
      </c>
      <c r="B23652" s="3" t="str">
        <f>HYPERLINK("https://www.773grp.com/manufacturer/renesas-electronics-america-inc?pageNo=614", "Renesas Electronics")</f>
        <v>Renesas Electronics</v>
      </c>
      <c r="C23652" s="6">
        <v>52500</v>
      </c>
      <c r="D23652" s="7">
        <v>0.95</v>
      </c>
    </row>
    <row r="23653" spans="1:4" x14ac:dyDescent="0.25">
      <c r="A23653" t="str">
        <f>HYPERLINK("https://www.773grp.com/globalSearch/RD9.1F(3)-AZ/page-1", "RD9.1F(3)-AZ")</f>
        <v>RD9.1F(3)-AZ</v>
      </c>
      <c r="B23653" s="3" t="str">
        <f>HYPERLINK("https://www.773grp.com/manufacturer/renesas-electronics-america-inc?pageNo=615", "Renesas Electronics")</f>
        <v>Renesas Electronics</v>
      </c>
      <c r="C23653" s="6">
        <v>11100</v>
      </c>
      <c r="D23653" s="7">
        <v>0.95</v>
      </c>
    </row>
    <row r="23654" spans="1:4" x14ac:dyDescent="0.25">
      <c r="A23654" t="str">
        <f>HYPERLINK("https://www.773grp.com/globalSearch/RD9.1F(4)-AZ/page-1", "RD9.1F(4)-AZ")</f>
        <v>RD9.1F(4)-AZ</v>
      </c>
      <c r="B23654" s="3" t="str">
        <f>HYPERLINK("https://www.773grp.com/manufacturer/renesas-electronics-america-inc?pageNo=616", "Renesas Electronics")</f>
        <v>Renesas Electronics</v>
      </c>
      <c r="C23654" s="6">
        <v>50</v>
      </c>
      <c r="D23654" s="7">
        <v>0.95</v>
      </c>
    </row>
    <row r="23655" spans="1:4" x14ac:dyDescent="0.25">
      <c r="A23655" t="str">
        <f>HYPERLINK("https://www.773grp.com/globalSearch/RQJ0303PGDQA#H1/page-1", "RQJ0303PGDQA#H1")</f>
        <v>RQJ0303PGDQA#H1</v>
      </c>
      <c r="B23655" s="3" t="str">
        <f>HYPERLINK("https://www.773grp.com/manufacturer/renesas-electronics-america-inc?pageNo=617", "Renesas Electronics")</f>
        <v>Renesas Electronics</v>
      </c>
      <c r="C23655" s="6">
        <v>5357</v>
      </c>
      <c r="D23655" s="7">
        <v>0.95</v>
      </c>
    </row>
    <row r="23656" spans="1:4" x14ac:dyDescent="0.25">
      <c r="A23656" t="str">
        <f>HYPERLINK("https://www.773grp.com/globalSearch/03P2M/page-1", "03P2M")</f>
        <v>03P2M</v>
      </c>
      <c r="B23656" s="3" t="str">
        <f>HYPERLINK("https://www.773grp.com/manufacturer/renesas-electronics-america-inc?pageNo=618", "Renesas Electronics")</f>
        <v>Renesas Electronics</v>
      </c>
      <c r="C23656" s="6">
        <v>20072</v>
      </c>
      <c r="D23656" s="7">
        <v>1</v>
      </c>
    </row>
    <row r="23657" spans="1:4" x14ac:dyDescent="0.25">
      <c r="A23657" t="str">
        <f>HYPERLINK("https://www.773grp.com/globalSearch/03P2M(3)-AZ/page-1", "03P2M(3)-AZ")</f>
        <v>03P2M(3)-AZ</v>
      </c>
      <c r="B23657" s="3" t="str">
        <f>HYPERLINK("https://www.773grp.com/manufacturer/renesas-electronics-america-inc?pageNo=619", "Renesas Electronics")</f>
        <v>Renesas Electronics</v>
      </c>
      <c r="C23657" s="6">
        <v>6948</v>
      </c>
      <c r="D23657" s="7">
        <v>1</v>
      </c>
    </row>
    <row r="23658" spans="1:4" x14ac:dyDescent="0.25">
      <c r="A23658" t="str">
        <f>HYPERLINK("https://www.773grp.com/globalSearch/03P4M/page-1", "03P4M")</f>
        <v>03P4M</v>
      </c>
      <c r="B23658" s="3" t="str">
        <f>HYPERLINK("https://www.773grp.com/manufacturer/renesas-electronics-america-inc?pageNo=620", "Renesas Electronics")</f>
        <v>Renesas Electronics</v>
      </c>
      <c r="C23658" s="6">
        <v>196211</v>
      </c>
      <c r="D23658" s="7">
        <v>1</v>
      </c>
    </row>
    <row r="23659" spans="1:4" x14ac:dyDescent="0.25">
      <c r="A23659" t="str">
        <f>HYPERLINK("https://www.773grp.com/globalSearch/2SA1152-A/page-1", "2SA1152-A")</f>
        <v>2SA1152-A</v>
      </c>
      <c r="B23659" s="3" t="str">
        <f>HYPERLINK("https://www.773grp.com/manufacturer/renesas-electronics-america-inc?pageNo=621", "Renesas Electronics")</f>
        <v>Renesas Electronics</v>
      </c>
      <c r="C23659" s="6">
        <v>42972</v>
      </c>
      <c r="D23659" s="7">
        <v>1</v>
      </c>
    </row>
    <row r="23660" spans="1:4" x14ac:dyDescent="0.25">
      <c r="A23660" t="str">
        <f>HYPERLINK("https://www.773grp.com/globalSearch/74LS26P-E/page-1", "74LS26P-E")</f>
        <v>74LS26P-E</v>
      </c>
      <c r="B23660" s="3" t="str">
        <f>HYPERLINK("https://www.773grp.com/manufacturer/renesas-electronics-america-inc?pageNo=622", "Renesas Electronics")</f>
        <v>Renesas Electronics</v>
      </c>
      <c r="C23660" s="6">
        <v>6000</v>
      </c>
      <c r="D23660" s="7">
        <v>1</v>
      </c>
    </row>
    <row r="23661" spans="1:4" x14ac:dyDescent="0.25">
      <c r="A23661" t="str">
        <f>HYPERLINK("https://www.773grp.com/globalSearch/HA17393ARPEL-E/page-1", "HA17393ARPEL-E")</f>
        <v>HA17393ARPEL-E</v>
      </c>
      <c r="B23661" s="3" t="str">
        <f>HYPERLINK("https://www.773grp.com/manufacturer/renesas-electronics-america-inc?pageNo=623", "Renesas Electronics")</f>
        <v>Renesas Electronics</v>
      </c>
      <c r="C23661" s="6">
        <v>15000</v>
      </c>
      <c r="D23661" s="7">
        <v>1</v>
      </c>
    </row>
    <row r="23662" spans="1:4" x14ac:dyDescent="0.25">
      <c r="A23662" t="str">
        <f>HYPERLINK("https://www.773grp.com/globalSearch/HSM88WK90TL-E/page-1", "HSM88WK90TL-E")</f>
        <v>HSM88WK90TL-E</v>
      </c>
      <c r="B23662" s="3" t="str">
        <f>HYPERLINK("https://www.773grp.com/manufacturer/renesas-electronics-america-inc?pageNo=624", "Renesas Electronics")</f>
        <v>Renesas Electronics</v>
      </c>
      <c r="C23662" s="6">
        <v>27000</v>
      </c>
      <c r="D23662" s="7">
        <v>1</v>
      </c>
    </row>
    <row r="23663" spans="1:4" x14ac:dyDescent="0.25">
      <c r="A23663" t="str">
        <f>HYPERLINK("https://www.773grp.com/globalSearch/M5237ML#DG7J/page-1", "M5237ML#DG7J")</f>
        <v>M5237ML#DG7J</v>
      </c>
      <c r="B23663" s="3" t="str">
        <f>HYPERLINK("https://www.773grp.com/manufacturer/renesas-electronics-america-inc?pageNo=625", "Renesas Electronics")</f>
        <v>Renesas Electronics</v>
      </c>
      <c r="C23663" s="6">
        <v>18000</v>
      </c>
      <c r="D23663" s="7">
        <v>1</v>
      </c>
    </row>
    <row r="23664" spans="1:4" x14ac:dyDescent="0.25">
      <c r="A23664" t="str">
        <f>HYPERLINK("https://www.773grp.com/globalSearch/RJK03D0DNS-00#J5/page-1", "RJK03D0DNS-00#J5")</f>
        <v>RJK03D0DNS-00#J5</v>
      </c>
      <c r="B23664" s="3" t="str">
        <f>HYPERLINK("https://www.773grp.com/manufacturer/renesas-electronics-america-inc?pageNo=626", "Renesas Electronics")</f>
        <v>Renesas Electronics</v>
      </c>
      <c r="C23664" s="6">
        <v>55000</v>
      </c>
      <c r="D23664" s="7">
        <v>1</v>
      </c>
    </row>
    <row r="23665" spans="1:4" x14ac:dyDescent="0.25">
      <c r="A23665" t="str">
        <f>HYPERLINK("https://www.773grp.com/globalSearch/03P2M-AZ/page-1", "03P2M-AZ")</f>
        <v>03P2M-AZ</v>
      </c>
      <c r="B23665" s="3" t="str">
        <f>HYPERLINK("https://www.773grp.com/manufacturer/renesas-electronics-america-inc?pageNo=627", "Renesas Electronics")</f>
        <v>Renesas Electronics</v>
      </c>
      <c r="C23665" s="6">
        <v>12532</v>
      </c>
      <c r="D23665" s="7">
        <v>1.06</v>
      </c>
    </row>
    <row r="23666" spans="1:4" x14ac:dyDescent="0.25">
      <c r="A23666" t="str">
        <f>HYPERLINK("https://www.773grp.com/globalSearch/03P5J-AZ/page-1", "03P5J-AZ")</f>
        <v>03P5J-AZ</v>
      </c>
      <c r="B23666" s="3" t="str">
        <f>HYPERLINK("https://www.773grp.com/manufacturer/renesas-electronics-america-inc?pageNo=628", "Renesas Electronics")</f>
        <v>Renesas Electronics</v>
      </c>
      <c r="C23666" s="6">
        <v>25</v>
      </c>
      <c r="D23666" s="7">
        <v>1.06</v>
      </c>
    </row>
    <row r="23667" spans="1:4" x14ac:dyDescent="0.25">
      <c r="A23667" t="str">
        <f>HYPERLINK("https://www.773grp.com/globalSearch/2SC4308TZ-E/page-1", "2SC4308TZ-E")</f>
        <v>2SC4308TZ-E</v>
      </c>
      <c r="B23667" s="3" t="str">
        <f>HYPERLINK("https://www.773grp.com/manufacturer/renesas-electronics-america-inc?pageNo=629", "Renesas Electronics")</f>
        <v>Renesas Electronics</v>
      </c>
      <c r="C23667" s="6">
        <v>27500</v>
      </c>
      <c r="D23667" s="7">
        <v>1.06</v>
      </c>
    </row>
    <row r="23668" spans="1:4" x14ac:dyDescent="0.25">
      <c r="A23668" t="str">
        <f>HYPERLINK("https://www.773grp.com/globalSearch/2SD1418DBTR/page-1", "2SD1418DBTR")</f>
        <v>2SD1418DBTR</v>
      </c>
      <c r="B23668" s="3" t="str">
        <f>HYPERLINK("https://www.773grp.com/manufacturer/renesas-electronics-america-inc?pageNo=630", "Renesas Electronics")</f>
        <v>Renesas Electronics</v>
      </c>
      <c r="C23668" s="6">
        <v>2000</v>
      </c>
      <c r="D23668" s="7">
        <v>1.06</v>
      </c>
    </row>
    <row r="23669" spans="1:4" x14ac:dyDescent="0.25">
      <c r="A23669" t="str">
        <f>HYPERLINK("https://www.773grp.com/globalSearch/2SK2570ZL-TL-E/page-1", "2SK2570ZL-TL-E")</f>
        <v>2SK2570ZL-TL-E</v>
      </c>
      <c r="B23669" s="3" t="str">
        <f>HYPERLINK("https://www.773grp.com/manufacturer/renesas-electronics-america-inc?pageNo=631", "Renesas Electronics")</f>
        <v>Renesas Electronics</v>
      </c>
      <c r="C23669" s="6">
        <v>54000</v>
      </c>
      <c r="D23669" s="7">
        <v>1.06</v>
      </c>
    </row>
    <row r="23670" spans="1:4" x14ac:dyDescent="0.25">
      <c r="A23670" t="str">
        <f>HYPERLINK("https://www.773grp.com/globalSearch/CR02AM-8/page-1", "CR02AM-8")</f>
        <v>CR02AM-8</v>
      </c>
      <c r="B23670" s="3" t="str">
        <f>HYPERLINK("https://www.773grp.com/manufacturer/renesas-electronics-america-inc?pageNo=632", "Renesas Electronics")</f>
        <v>Renesas Electronics</v>
      </c>
      <c r="C23670" s="6">
        <v>59427</v>
      </c>
      <c r="D23670" s="7">
        <v>1.06</v>
      </c>
    </row>
    <row r="23671" spans="1:4" x14ac:dyDescent="0.25">
      <c r="A23671" t="str">
        <f>HYPERLINK("https://www.773grp.com/globalSearch/HS54095-01-E/page-1", "HS54095-01-E")</f>
        <v>HS54095-01-E</v>
      </c>
      <c r="B23671" s="3" t="str">
        <f>HYPERLINK("https://www.773grp.com/manufacturer/renesas-electronics-america-inc?pageNo=633", "Renesas Electronics")</f>
        <v>Renesas Electronics</v>
      </c>
      <c r="C23671" s="6">
        <v>5500</v>
      </c>
      <c r="D23671" s="7">
        <v>1.06</v>
      </c>
    </row>
    <row r="23672" spans="1:4" x14ac:dyDescent="0.25">
      <c r="A23672" t="str">
        <f>HYPERLINK("https://www.773grp.com/globalSearch/HSB88WKTL-E/page-1", "HSB88WKTL-E")</f>
        <v>HSB88WKTL-E</v>
      </c>
      <c r="B23672" s="3" t="str">
        <f>HYPERLINK("https://www.773grp.com/manufacturer/renesas-electronics-america-inc?pageNo=634", "Renesas Electronics")</f>
        <v>Renesas Electronics</v>
      </c>
      <c r="C23672" s="6">
        <v>27000</v>
      </c>
      <c r="D23672" s="7">
        <v>1.06</v>
      </c>
    </row>
    <row r="23673" spans="1:4" x14ac:dyDescent="0.25">
      <c r="A23673" t="str">
        <f>HYPERLINK("https://www.773grp.com/globalSearch/HZ6.8BPTK-E/page-1", "HZ6.8BPTK-E")</f>
        <v>HZ6.8BPTK-E</v>
      </c>
      <c r="B23673" s="3" t="str">
        <f>HYPERLINK("https://www.773grp.com/manufacturer/renesas-electronics-america-inc?pageNo=635", "Renesas Electronics")</f>
        <v>Renesas Electronics</v>
      </c>
      <c r="C23673" s="6">
        <v>65000</v>
      </c>
      <c r="D23673" s="7">
        <v>1.06</v>
      </c>
    </row>
    <row r="23674" spans="1:4" x14ac:dyDescent="0.25">
      <c r="A23674" t="str">
        <f>HYPERLINK("https://www.773grp.com/globalSearch/HZ7.5BP-E/page-1", "HZ7.5BP-E")</f>
        <v>HZ7.5BP-E</v>
      </c>
      <c r="B23674" s="3" t="str">
        <f>HYPERLINK("https://www.773grp.com/manufacturer/renesas-electronics-america-inc?pageNo=636", "Renesas Electronics")</f>
        <v>Renesas Electronics</v>
      </c>
      <c r="C23674" s="6">
        <v>5300</v>
      </c>
      <c r="D23674" s="7">
        <v>1.06</v>
      </c>
    </row>
    <row r="23675" spans="1:4" x14ac:dyDescent="0.25">
      <c r="A23675" t="str">
        <f>HYPERLINK("https://www.773grp.com/globalSearch/M51981ML#DF0J/page-1", "M51981ML#DF0J")</f>
        <v>M51981ML#DF0J</v>
      </c>
      <c r="B23675" s="3" t="str">
        <f>HYPERLINK("https://www.773grp.com/manufacturer/renesas-electronics-america-inc?pageNo=637", "Renesas Electronics")</f>
        <v>Renesas Electronics</v>
      </c>
      <c r="C23675" s="6">
        <v>4000</v>
      </c>
      <c r="D23675" s="7">
        <v>1.06</v>
      </c>
    </row>
    <row r="23676" spans="1:4" x14ac:dyDescent="0.25">
      <c r="A23676" t="str">
        <f>HYPERLINK("https://www.773grp.com/globalSearch/M5218AL#TG1Z/page-1", "M5218AL#TG1Z")</f>
        <v>M5218AL#TG1Z</v>
      </c>
      <c r="B23676" s="3" t="str">
        <f>HYPERLINK("https://www.773grp.com/manufacturer/renesas-electronics-america-inc?pageNo=638", "Renesas Electronics")</f>
        <v>Renesas Electronics</v>
      </c>
      <c r="C23676" s="6">
        <v>5287</v>
      </c>
      <c r="D23676" s="7">
        <v>1.06</v>
      </c>
    </row>
    <row r="23677" spans="1:4" x14ac:dyDescent="0.25">
      <c r="A23677" t="str">
        <f>HYPERLINK("https://www.773grp.com/globalSearch/M5218AP#TG1Z/page-1", "M5218AP#TG1Z")</f>
        <v>M5218AP#TG1Z</v>
      </c>
      <c r="B23677" s="3" t="str">
        <f>HYPERLINK("https://www.773grp.com/manufacturer/renesas-electronics-america-inc?pageNo=639", "Renesas Electronics")</f>
        <v>Renesas Electronics</v>
      </c>
      <c r="C23677" s="6">
        <v>4816</v>
      </c>
      <c r="D23677" s="7">
        <v>1.06</v>
      </c>
    </row>
    <row r="23678" spans="1:4" x14ac:dyDescent="0.25">
      <c r="A23678" t="str">
        <f>HYPERLINK("https://www.773grp.com/globalSearch/M5237L#YF0J/page-1", "M5237L#YF0J")</f>
        <v>M5237L#YF0J</v>
      </c>
      <c r="B23678" s="3" t="str">
        <f>HYPERLINK("https://www.773grp.com/manufacturer/renesas-electronics-america-inc?pageNo=640", "Renesas Electronics")</f>
        <v>Renesas Electronics</v>
      </c>
      <c r="C23678" s="6">
        <v>1276</v>
      </c>
      <c r="D23678" s="7">
        <v>1.06</v>
      </c>
    </row>
    <row r="23679" spans="1:4" x14ac:dyDescent="0.25">
      <c r="A23679" t="str">
        <f>HYPERLINK("https://www.773grp.com/globalSearch/M62705ML#CF0J/page-1", "M62705ML#CF0J")</f>
        <v>M62705ML#CF0J</v>
      </c>
      <c r="B23679" s="3" t="str">
        <f>HYPERLINK("https://www.773grp.com/manufacturer/renesas-electronics-america-inc?pageNo=641", "Renesas Electronics")</f>
        <v>Renesas Electronics</v>
      </c>
      <c r="C23679" s="6">
        <v>3750</v>
      </c>
      <c r="D23679" s="7">
        <v>1.06</v>
      </c>
    </row>
    <row r="23680" spans="1:4" x14ac:dyDescent="0.25">
      <c r="A23680" t="str">
        <f>HYPERLINK("https://www.773grp.com/globalSearch/M62723ML#CF0J/page-1", "M62723ML#CF0J")</f>
        <v>M62723ML#CF0J</v>
      </c>
      <c r="B23680" s="3" t="str">
        <f>HYPERLINK("https://www.773grp.com/manufacturer/renesas-electronics-america-inc?pageNo=642", "Renesas Electronics")</f>
        <v>Renesas Electronics</v>
      </c>
      <c r="C23680" s="6">
        <v>19000</v>
      </c>
      <c r="D23680" s="7">
        <v>1.06</v>
      </c>
    </row>
    <row r="23681" spans="1:4" x14ac:dyDescent="0.25">
      <c r="A23681" t="str">
        <f>HYPERLINK("https://www.773grp.com/globalSearch/M62724ML#CG0J/page-1", "M62724ML#CG0J")</f>
        <v>M62724ML#CG0J</v>
      </c>
      <c r="B23681" s="3" t="str">
        <f>HYPERLINK("https://www.773grp.com/manufacturer/renesas-electronics-america-inc?pageNo=643", "Renesas Electronics")</f>
        <v>Renesas Electronics</v>
      </c>
      <c r="C23681" s="6">
        <v>9000</v>
      </c>
      <c r="D23681" s="7">
        <v>1.06</v>
      </c>
    </row>
    <row r="23682" spans="1:4" x14ac:dyDescent="0.25">
      <c r="A23682" t="str">
        <f>HYPERLINK("https://www.773grp.com/globalSearch/M62733ML#TF0J/page-1", "M62733ML#TF0J")</f>
        <v>M62733ML#TF0J</v>
      </c>
      <c r="B23682" s="3" t="str">
        <f>HYPERLINK("https://www.773grp.com/manufacturer/renesas-electronics-america-inc?pageNo=644", "Renesas Electronics")</f>
        <v>Renesas Electronics</v>
      </c>
      <c r="C23682" s="6">
        <v>2775</v>
      </c>
      <c r="D23682" s="7">
        <v>1.06</v>
      </c>
    </row>
    <row r="23683" spans="1:4" x14ac:dyDescent="0.25">
      <c r="A23683" t="str">
        <f>HYPERLINK("https://www.773grp.com/globalSearch/RD10P-AZ/page-1", "RD10P-AZ")</f>
        <v>RD10P-AZ</v>
      </c>
      <c r="B23683" s="3" t="str">
        <f>HYPERLINK("https://www.773grp.com/manufacturer/renesas-electronics-america-inc?pageNo=645", "Renesas Electronics")</f>
        <v>Renesas Electronics</v>
      </c>
      <c r="C23683" s="6">
        <v>50</v>
      </c>
      <c r="D23683" s="7">
        <v>1.06</v>
      </c>
    </row>
    <row r="23684" spans="1:4" x14ac:dyDescent="0.25">
      <c r="A23684" t="str">
        <f>HYPERLINK("https://www.773grp.com/globalSearch/RQJ0201UGDQA#H1/page-1", "RQJ0201UGDQA#H1")</f>
        <v>RQJ0201UGDQA#H1</v>
      </c>
      <c r="B23684" s="3" t="str">
        <f>HYPERLINK("https://www.773grp.com/manufacturer/renesas-electronics-america-inc?pageNo=646", "Renesas Electronics")</f>
        <v>Renesas Electronics</v>
      </c>
      <c r="C23684" s="6">
        <v>9000</v>
      </c>
      <c r="D23684" s="7">
        <v>1.06</v>
      </c>
    </row>
    <row r="23685" spans="1:4" x14ac:dyDescent="0.25">
      <c r="A23685" t="str">
        <f>HYPERLINK("https://www.773grp.com/globalSearch/TBB1010KMWS-E/page-1", "TBB1010KMWS-E")</f>
        <v>TBB1010KMWS-E</v>
      </c>
      <c r="B23685" s="3" t="str">
        <f>HYPERLINK("https://www.773grp.com/manufacturer/renesas-electronics-america-inc?pageNo=647", "Renesas Electronics")</f>
        <v>Renesas Electronics</v>
      </c>
      <c r="C23685" s="6">
        <v>2990</v>
      </c>
      <c r="D23685" s="7">
        <v>1.06</v>
      </c>
    </row>
    <row r="23686" spans="1:4" x14ac:dyDescent="0.25">
      <c r="A23686" t="str">
        <f>HYPERLINK("https://www.773grp.com/globalSearch/2SA952-A/page-1", "2SA952-A")</f>
        <v>2SA952-A</v>
      </c>
      <c r="B23686" s="3" t="str">
        <f>HYPERLINK("https://www.773grp.com/manufacturer/renesas-electronics-america-inc?pageNo=648", "Renesas Electronics")</f>
        <v>Renesas Electronics</v>
      </c>
      <c r="C23686" s="6">
        <v>1385539</v>
      </c>
      <c r="D23686" s="7">
        <v>1.1100000000000001</v>
      </c>
    </row>
    <row r="23687" spans="1:4" x14ac:dyDescent="0.25">
      <c r="A23687" t="str">
        <f>HYPERLINK("https://www.773grp.com/globalSearch/2SB1001BJTR-E/page-1", "2SB1001BJTR-E")</f>
        <v>2SB1001BJTR-E</v>
      </c>
      <c r="B23687" s="3" t="str">
        <f>HYPERLINK("https://www.773grp.com/manufacturer/renesas-electronics-america-inc?pageNo=649", "Renesas Electronics")</f>
        <v>Renesas Electronics</v>
      </c>
      <c r="C23687" s="6">
        <v>18000</v>
      </c>
      <c r="D23687" s="7">
        <v>1.1100000000000001</v>
      </c>
    </row>
    <row r="23688" spans="1:4" x14ac:dyDescent="0.25">
      <c r="A23688" t="str">
        <f>HYPERLINK("https://www.773grp.com/globalSearch/2SD2213TZ-E/page-1", "2SD2213TZ-E")</f>
        <v>2SD2213TZ-E</v>
      </c>
      <c r="B23688" s="3" t="str">
        <f>HYPERLINK("https://www.773grp.com/manufacturer/renesas-electronics-america-inc?pageNo=650", "Renesas Electronics")</f>
        <v>Renesas Electronics</v>
      </c>
      <c r="C23688" s="6">
        <v>2500</v>
      </c>
      <c r="D23688" s="7">
        <v>1.1100000000000001</v>
      </c>
    </row>
    <row r="23689" spans="1:4" x14ac:dyDescent="0.25">
      <c r="A23689" t="str">
        <f>HYPERLINK("https://www.773grp.com/globalSearch/2SD667D-E/page-1", "2SD667D-E")</f>
        <v>2SD667D-E</v>
      </c>
      <c r="B23689" s="3" t="str">
        <f>HYPERLINK("https://www.773grp.com/manufacturer/renesas-electronics-america-inc?pageNo=651", "Renesas Electronics")</f>
        <v>Renesas Electronics</v>
      </c>
      <c r="C23689" s="6">
        <v>3820</v>
      </c>
      <c r="D23689" s="7">
        <v>1.1100000000000001</v>
      </c>
    </row>
    <row r="23690" spans="1:4" x14ac:dyDescent="0.25">
      <c r="A23690" t="str">
        <f>HYPERLINK("https://www.773grp.com/globalSearch/2SK1772HYTR-E/page-1", "2SK1772HYTR-E")</f>
        <v>2SK1772HYTR-E</v>
      </c>
      <c r="B23690" s="3" t="str">
        <f>HYPERLINK("https://www.773grp.com/manufacturer/renesas-electronics-america-inc?pageNo=652", "Renesas Electronics")</f>
        <v>Renesas Electronics</v>
      </c>
      <c r="C23690" s="6">
        <v>26771</v>
      </c>
      <c r="D23690" s="7">
        <v>1.1100000000000001</v>
      </c>
    </row>
    <row r="23691" spans="1:4" x14ac:dyDescent="0.25">
      <c r="A23691" t="str">
        <f>HYPERLINK("https://www.773grp.com/globalSearch/HSG2001VF-01TL-E/page-1", "HSG2001VF-01TL-E")</f>
        <v>HSG2001VF-01TL-E</v>
      </c>
      <c r="B23691" s="3" t="str">
        <f>HYPERLINK("https://www.773grp.com/manufacturer/renesas-electronics-america-inc?pageNo=653", "Renesas Electronics")</f>
        <v>Renesas Electronics</v>
      </c>
      <c r="C23691" s="6">
        <v>468000</v>
      </c>
      <c r="D23691" s="7">
        <v>1.1100000000000001</v>
      </c>
    </row>
    <row r="23692" spans="1:4" x14ac:dyDescent="0.25">
      <c r="A23692" t="str">
        <f>HYPERLINK("https://www.773grp.com/globalSearch/RJK03M6DNS-WS#J5/page-1", "RJK03M6DNS-WS#J5")</f>
        <v>RJK03M6DNS-WS#J5</v>
      </c>
      <c r="B23692" s="3" t="str">
        <f>HYPERLINK("https://www.773grp.com/manufacturer/renesas-electronics-america-inc?pageNo=654", "Renesas Electronics")</f>
        <v>Renesas Electronics</v>
      </c>
      <c r="C23692" s="6">
        <v>3610</v>
      </c>
      <c r="D23692" s="7">
        <v>1.1100000000000001</v>
      </c>
    </row>
    <row r="23693" spans="1:4" x14ac:dyDescent="0.25">
      <c r="A23693" t="str">
        <f>HYPERLINK("https://www.773grp.com/globalSearch/RJK03M6DPA-WS#J5A/page-1", "RJK03M6DPA-WS#J5A")</f>
        <v>RJK03M6DPA-WS#J5A</v>
      </c>
      <c r="B23693" s="3" t="str">
        <f>HYPERLINK("https://www.773grp.com/manufacturer/renesas-electronics-america-inc?pageNo=655", "Renesas Electronics")</f>
        <v>Renesas Electronics</v>
      </c>
      <c r="C23693" s="6">
        <v>1740</v>
      </c>
      <c r="D23693" s="7">
        <v>1.1100000000000001</v>
      </c>
    </row>
    <row r="23694" spans="1:4" x14ac:dyDescent="0.25">
      <c r="A23694" t="str">
        <f>HYPERLINK("https://www.773grp.com/globalSearch/UPA2352BT1G-E4-A/page-1", "UPA2352BT1G-E4-A")</f>
        <v>UPA2352BT1G-E4-A</v>
      </c>
      <c r="B23694" s="3" t="str">
        <f>HYPERLINK("https://www.773grp.com/manufacturer/renesas-electronics-america-inc?pageNo=656", "Renesas Electronics")</f>
        <v>Renesas Electronics</v>
      </c>
      <c r="C23694" s="6">
        <v>50000</v>
      </c>
      <c r="D23694" s="7">
        <v>1.1100000000000001</v>
      </c>
    </row>
    <row r="23695" spans="1:4" x14ac:dyDescent="0.25">
      <c r="A23695" t="str">
        <f>HYPERLINK("https://www.773grp.com/globalSearch/PS2705A-1-F3-A/page-1", "PS2705A-1-F3-A")</f>
        <v>PS2705A-1-F3-A</v>
      </c>
      <c r="B23695" s="3" t="str">
        <f>HYPERLINK("https://www.773grp.com/manufacturer/renesas-electronics-america-inc?pageNo=657", "Renesas Electronics")</f>
        <v>Renesas Electronics</v>
      </c>
      <c r="C23695" s="6">
        <v>3000</v>
      </c>
      <c r="D23695" s="7">
        <v>1.1100000000000001</v>
      </c>
    </row>
    <row r="23696" spans="1:4" x14ac:dyDescent="0.25">
      <c r="A23696" t="str">
        <f>HYPERLINK("https://www.773grp.com/globalSearch/2SA992-T-A/page-1", "2SA992-T-A")</f>
        <v>2SA992-T-A</v>
      </c>
      <c r="B23696" s="3" t="str">
        <f>HYPERLINK("https://www.773grp.com/manufacturer/renesas-electronics-america-inc?pageNo=658", "Renesas Electronics")</f>
        <v>Renesas Electronics</v>
      </c>
      <c r="C23696" s="6">
        <v>447500</v>
      </c>
      <c r="D23696" s="7">
        <v>1.1599999999999999</v>
      </c>
    </row>
    <row r="23697" spans="1:4" x14ac:dyDescent="0.25">
      <c r="A23697" t="str">
        <f>HYPERLINK("https://www.773grp.com/globalSearch/2SC3127ID-TL-E/page-1", "2SC3127ID-TL-E")</f>
        <v>2SC3127ID-TL-E</v>
      </c>
      <c r="B23697" s="3" t="str">
        <f>HYPERLINK("https://www.773grp.com/manufacturer/renesas-electronics-america-inc?pageNo=659", "Renesas Electronics")</f>
        <v>Renesas Electronics</v>
      </c>
      <c r="C23697" s="6">
        <v>42000</v>
      </c>
      <c r="D23697" s="7">
        <v>1.1599999999999999</v>
      </c>
    </row>
    <row r="23698" spans="1:4" x14ac:dyDescent="0.25">
      <c r="A23698" t="str">
        <f>HYPERLINK("https://www.773grp.com/globalSearch/AC01DJM-AZ/page-1", "AC01DJM-AZ")</f>
        <v>AC01DJM-AZ</v>
      </c>
      <c r="B23698" s="3" t="str">
        <f>HYPERLINK("https://www.773grp.com/manufacturer/renesas-electronics-america-inc?pageNo=660", "Renesas Electronics")</f>
        <v>Renesas Electronics</v>
      </c>
      <c r="C23698" s="6">
        <v>350</v>
      </c>
      <c r="D23698" s="7">
        <v>1.1599999999999999</v>
      </c>
    </row>
    <row r="23699" spans="1:4" x14ac:dyDescent="0.25">
      <c r="A23699" t="str">
        <f>HYPERLINK("https://www.773grp.com/globalSearch/HZ12CP-E/page-1", "HZ12CP-E")</f>
        <v>HZ12CP-E</v>
      </c>
      <c r="B23699" s="3" t="str">
        <f>HYPERLINK("https://www.773grp.com/manufacturer/renesas-electronics-america-inc?pageNo=661", "Renesas Electronics")</f>
        <v>Renesas Electronics</v>
      </c>
      <c r="C23699" s="6">
        <v>2880</v>
      </c>
      <c r="D23699" s="7">
        <v>1.1599999999999999</v>
      </c>
    </row>
    <row r="23700" spans="1:4" x14ac:dyDescent="0.25">
      <c r="A23700" t="str">
        <f>HYPERLINK("https://www.773grp.com/globalSearch/HZ13BP-J-E/page-1", "HZ13BP-J-E")</f>
        <v>HZ13BP-J-E</v>
      </c>
      <c r="B23700" s="3" t="str">
        <f>HYPERLINK("https://www.773grp.com/manufacturer/renesas-electronics-america-inc?pageNo=662", "Renesas Electronics")</f>
        <v>Renesas Electronics</v>
      </c>
      <c r="C23700" s="6">
        <v>10700</v>
      </c>
      <c r="D23700" s="7">
        <v>1.1599999999999999</v>
      </c>
    </row>
    <row r="23701" spans="1:4" x14ac:dyDescent="0.25">
      <c r="A23701" t="str">
        <f>HYPERLINK("https://www.773grp.com/globalSearch/HZ16BPTK-E/page-1", "HZ16BPTK-E")</f>
        <v>HZ16BPTK-E</v>
      </c>
      <c r="B23701" s="3" t="str">
        <f>HYPERLINK("https://www.773grp.com/manufacturer/renesas-electronics-america-inc?pageNo=663", "Renesas Electronics")</f>
        <v>Renesas Electronics</v>
      </c>
      <c r="C23701" s="6">
        <v>32500</v>
      </c>
      <c r="D23701" s="7">
        <v>1.1599999999999999</v>
      </c>
    </row>
    <row r="23702" spans="1:4" x14ac:dyDescent="0.25">
      <c r="A23702" t="str">
        <f>HYPERLINK("https://www.773grp.com/globalSearch/HZ16BPTN-E/page-1", "HZ16BPTN-E")</f>
        <v>HZ16BPTN-E</v>
      </c>
      <c r="B23702" s="3" t="str">
        <f>HYPERLINK("https://www.773grp.com/manufacturer/renesas-electronics-america-inc?pageNo=664", "Renesas Electronics")</f>
        <v>Renesas Electronics</v>
      </c>
      <c r="C23702" s="6">
        <v>267500</v>
      </c>
      <c r="D23702" s="7">
        <v>1.1599999999999999</v>
      </c>
    </row>
    <row r="23703" spans="1:4" x14ac:dyDescent="0.25">
      <c r="A23703" t="str">
        <f>HYPERLINK("https://www.773grp.com/globalSearch/HZ18BP-E/page-1", "HZ18BP-E")</f>
        <v>HZ18BP-E</v>
      </c>
      <c r="B23703" s="3" t="str">
        <f>HYPERLINK("https://www.773grp.com/manufacturer/renesas-electronics-america-inc?pageNo=665", "Renesas Electronics")</f>
        <v>Renesas Electronics</v>
      </c>
      <c r="C23703" s="6">
        <v>74040</v>
      </c>
      <c r="D23703" s="7">
        <v>1.1599999999999999</v>
      </c>
    </row>
    <row r="23704" spans="1:4" x14ac:dyDescent="0.25">
      <c r="A23704" t="str">
        <f>HYPERLINK("https://www.773grp.com/globalSearch/HZ18BPTN-E/page-1", "HZ18BPTN-E")</f>
        <v>HZ18BPTN-E</v>
      </c>
      <c r="B23704" s="3" t="str">
        <f>HYPERLINK("https://www.773grp.com/manufacturer/renesas-electronics-america-inc?pageNo=666", "Renesas Electronics")</f>
        <v>Renesas Electronics</v>
      </c>
      <c r="C23704" s="6">
        <v>907500</v>
      </c>
      <c r="D23704" s="7">
        <v>1.1599999999999999</v>
      </c>
    </row>
    <row r="23705" spans="1:4" x14ac:dyDescent="0.25">
      <c r="A23705" t="str">
        <f>HYPERLINK("https://www.773grp.com/globalSearch/HZ20BPTK-E/page-1", "HZ20BPTK-E")</f>
        <v>HZ20BPTK-E</v>
      </c>
      <c r="B23705" s="3" t="str">
        <f>HYPERLINK("https://www.773grp.com/manufacturer/renesas-electronics-america-inc?pageNo=667", "Renesas Electronics")</f>
        <v>Renesas Electronics</v>
      </c>
      <c r="C23705" s="6">
        <v>572500</v>
      </c>
      <c r="D23705" s="7">
        <v>1.1599999999999999</v>
      </c>
    </row>
    <row r="23706" spans="1:4" x14ac:dyDescent="0.25">
      <c r="A23706" t="str">
        <f>HYPERLINK("https://www.773grp.com/globalSearch/HZ22CPTK-E/page-1", "HZ22CPTK-E")</f>
        <v>HZ22CPTK-E</v>
      </c>
      <c r="B23706" s="3" t="str">
        <f>HYPERLINK("https://www.773grp.com/manufacturer/renesas-electronics-america-inc?pageNo=668", "Renesas Electronics")</f>
        <v>Renesas Electronics</v>
      </c>
      <c r="C23706" s="6">
        <v>5000</v>
      </c>
      <c r="D23706" s="7">
        <v>1.1599999999999999</v>
      </c>
    </row>
    <row r="23707" spans="1:4" x14ac:dyDescent="0.25">
      <c r="A23707" t="str">
        <f>HYPERLINK("https://www.773grp.com/globalSearch/HZ24BP-E/page-1", "HZ24BP-E")</f>
        <v>HZ24BP-E</v>
      </c>
      <c r="B23707" s="3" t="str">
        <f>HYPERLINK("https://www.773grp.com/manufacturer/renesas-electronics-america-inc?pageNo=669", "Renesas Electronics")</f>
        <v>Renesas Electronics</v>
      </c>
      <c r="C23707" s="6">
        <v>3900</v>
      </c>
      <c r="D23707" s="7">
        <v>1.1599999999999999</v>
      </c>
    </row>
    <row r="23708" spans="1:4" x14ac:dyDescent="0.25">
      <c r="A23708" t="str">
        <f>HYPERLINK("https://www.773grp.com/globalSearch/HZ24BPTK-E/page-1", "HZ24BPTK-E")</f>
        <v>HZ24BPTK-E</v>
      </c>
      <c r="B23708" s="3" t="str">
        <f>HYPERLINK("https://www.773grp.com/manufacturer/renesas-electronics-america-inc?pageNo=670", "Renesas Electronics")</f>
        <v>Renesas Electronics</v>
      </c>
      <c r="C23708" s="6">
        <v>1122500</v>
      </c>
      <c r="D23708" s="7">
        <v>1.1599999999999999</v>
      </c>
    </row>
    <row r="23709" spans="1:4" x14ac:dyDescent="0.25">
      <c r="A23709" t="str">
        <f>HYPERLINK("https://www.773grp.com/globalSearch/HZ27CPTK-E/page-1", "HZ27CPTK-E")</f>
        <v>HZ27CPTK-E</v>
      </c>
      <c r="B23709" s="3" t="str">
        <f>HYPERLINK("https://www.773grp.com/manufacturer/renesas-electronics-america-inc?pageNo=671", "Renesas Electronics")</f>
        <v>Renesas Electronics</v>
      </c>
      <c r="C23709" s="6">
        <v>190000</v>
      </c>
      <c r="D23709" s="7">
        <v>1.1599999999999999</v>
      </c>
    </row>
    <row r="23710" spans="1:4" x14ac:dyDescent="0.25">
      <c r="A23710" t="str">
        <f>HYPERLINK("https://www.773grp.com/globalSearch/HZ33CP-E/page-1", "HZ33CP-E")</f>
        <v>HZ33CP-E</v>
      </c>
      <c r="B23710" s="3" t="str">
        <f>HYPERLINK("https://www.773grp.com/manufacturer/renesas-electronics-america-inc?pageNo=672", "Renesas Electronics")</f>
        <v>Renesas Electronics</v>
      </c>
      <c r="C23710" s="6">
        <v>47500</v>
      </c>
      <c r="D23710" s="7">
        <v>1.1599999999999999</v>
      </c>
    </row>
    <row r="23711" spans="1:4" x14ac:dyDescent="0.25">
      <c r="A23711" t="str">
        <f>HYPERLINK("https://www.773grp.com/globalSearch/HZ4.7BPTK-E/page-1", "HZ4.7BPTK-E")</f>
        <v>HZ4.7BPTK-E</v>
      </c>
      <c r="B23711" s="3" t="str">
        <f>HYPERLINK("https://www.773grp.com/manufacturer/renesas-electronics-america-inc?pageNo=673", "Renesas Electronics")</f>
        <v>Renesas Electronics</v>
      </c>
      <c r="C23711" s="6">
        <v>35000</v>
      </c>
      <c r="D23711" s="7">
        <v>1.1599999999999999</v>
      </c>
    </row>
    <row r="23712" spans="1:4" x14ac:dyDescent="0.25">
      <c r="A23712" t="str">
        <f>HYPERLINK("https://www.773grp.com/globalSearch/HZ5.1BPTK-E/page-1", "HZ5.1BPTK-E")</f>
        <v>HZ5.1BPTK-E</v>
      </c>
      <c r="B23712" s="3" t="str">
        <f>HYPERLINK("https://www.773grp.com/manufacturer/renesas-electronics-america-inc?pageNo=674", "Renesas Electronics")</f>
        <v>Renesas Electronics</v>
      </c>
      <c r="C23712" s="6">
        <v>72500</v>
      </c>
      <c r="D23712" s="7">
        <v>1.1599999999999999</v>
      </c>
    </row>
    <row r="23713" spans="1:4" x14ac:dyDescent="0.25">
      <c r="A23713" t="str">
        <f>HYPERLINK("https://www.773grp.com/globalSearch/HZ5.6CP-E/page-1", "HZ5.6CP-E")</f>
        <v>HZ5.6CP-E</v>
      </c>
      <c r="B23713" s="3" t="str">
        <f>HYPERLINK("https://www.773grp.com/manufacturer/renesas-electronics-america-inc?pageNo=675", "Renesas Electronics")</f>
        <v>Renesas Electronics</v>
      </c>
      <c r="C23713" s="6">
        <v>10690</v>
      </c>
      <c r="D23713" s="7">
        <v>1.1599999999999999</v>
      </c>
    </row>
    <row r="23714" spans="1:4" x14ac:dyDescent="0.25">
      <c r="A23714" t="str">
        <f>HYPERLINK("https://www.773grp.com/globalSearch/HZ6.2BP-E/page-1", "HZ6.2BP-E")</f>
        <v>HZ6.2BP-E</v>
      </c>
      <c r="B23714" s="3" t="str">
        <f>HYPERLINK("https://www.773grp.com/manufacturer/renesas-electronics-america-inc?pageNo=676", "Renesas Electronics")</f>
        <v>Renesas Electronics</v>
      </c>
      <c r="C23714" s="6">
        <v>14190</v>
      </c>
      <c r="D23714" s="7">
        <v>1.1599999999999999</v>
      </c>
    </row>
    <row r="23715" spans="1:4" x14ac:dyDescent="0.25">
      <c r="A23715" t="str">
        <f>HYPERLINK("https://www.773grp.com/globalSearch/HZ6.2BPTK-E/page-1", "HZ6.2BPTK-E")</f>
        <v>HZ6.2BPTK-E</v>
      </c>
      <c r="B23715" s="3" t="str">
        <f>HYPERLINK("https://www.773grp.com/manufacturer/renesas-electronics-america-inc?pageNo=677", "Renesas Electronics")</f>
        <v>Renesas Electronics</v>
      </c>
      <c r="C23715" s="6">
        <v>10000</v>
      </c>
      <c r="D23715" s="7">
        <v>1.1599999999999999</v>
      </c>
    </row>
    <row r="23716" spans="1:4" x14ac:dyDescent="0.25">
      <c r="A23716" t="str">
        <f>HYPERLINK("https://www.773grp.com/globalSearch/HZ6.2CPTK-E/page-1", "HZ6.2CPTK-E")</f>
        <v>HZ6.2CPTK-E</v>
      </c>
      <c r="B23716" s="3" t="str">
        <f>HYPERLINK("https://www.773grp.com/manufacturer/renesas-electronics-america-inc?pageNo=678", "Renesas Electronics")</f>
        <v>Renesas Electronics</v>
      </c>
      <c r="C23716" s="6">
        <v>22500</v>
      </c>
      <c r="D23716" s="7">
        <v>1.1599999999999999</v>
      </c>
    </row>
    <row r="23717" spans="1:4" x14ac:dyDescent="0.25">
      <c r="A23717" t="str">
        <f>HYPERLINK("https://www.773grp.com/globalSearch/RJK03J7DPA-00#J5A/page-1", "RJK03J7DPA-00#J5A")</f>
        <v>RJK03J7DPA-00#J5A</v>
      </c>
      <c r="B23717" s="3" t="str">
        <f>HYPERLINK("https://www.773grp.com/manufacturer/renesas-electronics-america-inc?pageNo=679", "Renesas Electronics")</f>
        <v>Renesas Electronics</v>
      </c>
      <c r="C23717" s="6">
        <v>60000</v>
      </c>
      <c r="D23717" s="7">
        <v>1.1599999999999999</v>
      </c>
    </row>
    <row r="23718" spans="1:4" x14ac:dyDescent="0.25">
      <c r="A23718" t="str">
        <f>HYPERLINK("https://www.773grp.com/globalSearch/RKP411KS#P1/page-1", "RKP411KS#P1")</f>
        <v>RKP411KS#P1</v>
      </c>
      <c r="B23718" s="3" t="str">
        <f>HYPERLINK("https://www.773grp.com/manufacturer/renesas-electronics-america-inc?pageNo=680", "Renesas Electronics")</f>
        <v>Renesas Electronics</v>
      </c>
      <c r="C23718" s="6">
        <v>56000</v>
      </c>
      <c r="D23718" s="7">
        <v>1.1599999999999999</v>
      </c>
    </row>
    <row r="23719" spans="1:4" x14ac:dyDescent="0.25">
      <c r="A23719" t="str">
        <f>HYPERLINK("https://www.773grp.com/globalSearch/RKP411KS-1#Q1/page-1", "RKP411KS-1#Q1")</f>
        <v>RKP411KS-1#Q1</v>
      </c>
      <c r="B23719" s="3" t="str">
        <f>HYPERLINK("https://www.773grp.com/manufacturer/renesas-electronics-america-inc?pageNo=681", "Renesas Electronics")</f>
        <v>Renesas Electronics</v>
      </c>
      <c r="C23719" s="6">
        <v>285000</v>
      </c>
      <c r="D23719" s="7">
        <v>1.1599999999999999</v>
      </c>
    </row>
    <row r="23720" spans="1:4" x14ac:dyDescent="0.25">
      <c r="A23720" t="str">
        <f>HYPERLINK("https://www.773grp.com/globalSearch/RKP415KS#P1/page-1", "RKP415KS#P1")</f>
        <v>RKP415KS#P1</v>
      </c>
      <c r="B23720" s="3" t="str">
        <f>HYPERLINK("https://www.773grp.com/manufacturer/renesas-electronics-america-inc?pageNo=682", "Renesas Electronics")</f>
        <v>Renesas Electronics</v>
      </c>
      <c r="C23720" s="6">
        <v>700000</v>
      </c>
      <c r="D23720" s="7">
        <v>1.1599999999999999</v>
      </c>
    </row>
    <row r="23721" spans="1:4" x14ac:dyDescent="0.25">
      <c r="A23721" t="str">
        <f>HYPERLINK("https://www.773grp.com/globalSearch/RKP434KE#R5/page-1", "RKP434KE#R5")</f>
        <v>RKP434KE#R5</v>
      </c>
      <c r="B23721" s="3" t="str">
        <f>HYPERLINK("https://www.773grp.com/manufacturer/renesas-electronics-america-inc?pageNo=683", "Renesas Electronics")</f>
        <v>Renesas Electronics</v>
      </c>
      <c r="C23721" s="6">
        <v>410000</v>
      </c>
      <c r="D23721" s="7">
        <v>1.1599999999999999</v>
      </c>
    </row>
    <row r="23722" spans="1:4" x14ac:dyDescent="0.25">
      <c r="A23722" t="str">
        <f>HYPERLINK("https://www.773grp.com/globalSearch/RKP450KE#R0/page-1", "RKP450KE#R0")</f>
        <v>RKP450KE#R0</v>
      </c>
      <c r="B23722" s="3" t="str">
        <f>HYPERLINK("https://www.773grp.com/manufacturer/renesas-electronics-america-inc?pageNo=684", "Renesas Electronics")</f>
        <v>Renesas Electronics</v>
      </c>
      <c r="C23722" s="6">
        <v>500000</v>
      </c>
      <c r="D23722" s="7">
        <v>1.1599999999999999</v>
      </c>
    </row>
    <row r="23723" spans="1:4" x14ac:dyDescent="0.25">
      <c r="A23723" t="str">
        <f>HYPERLINK("https://www.773grp.com/globalSearch/UPC78L07J-A/page-1", "UPC78L07J-A")</f>
        <v>UPC78L07J-A</v>
      </c>
      <c r="B23723" s="3" t="str">
        <f>HYPERLINK("https://www.773grp.com/manufacturer/renesas-electronics-america-inc?pageNo=685", "Renesas Electronics")</f>
        <v>Renesas Electronics</v>
      </c>
      <c r="C23723" s="6">
        <v>53301</v>
      </c>
      <c r="D23723" s="7">
        <v>1.1599999999999999</v>
      </c>
    </row>
    <row r="23724" spans="1:4" x14ac:dyDescent="0.25">
      <c r="A23724" t="str">
        <f>HYPERLINK("https://www.773grp.com/globalSearch/03P4MG-AZ/page-1", "03P4MG-AZ")</f>
        <v>03P4MG-AZ</v>
      </c>
      <c r="B23724" s="3" t="str">
        <f>HYPERLINK("https://www.773grp.com/manufacturer/renesas-electronics-america-inc?pageNo=686", "Renesas Electronics")</f>
        <v>Renesas Electronics</v>
      </c>
      <c r="C23724" s="6">
        <v>2951</v>
      </c>
      <c r="D23724" s="7">
        <v>1.21</v>
      </c>
    </row>
    <row r="23725" spans="1:4" x14ac:dyDescent="0.25">
      <c r="A23725" t="str">
        <f>HYPERLINK("https://www.773grp.com/globalSearch/03P4MG-T-AZ/page-1", "03P4MG-T-AZ")</f>
        <v>03P4MG-T-AZ</v>
      </c>
      <c r="B23725" s="3" t="str">
        <f>HYPERLINK("https://www.773grp.com/manufacturer/renesas-electronics-america-inc?pageNo=687", "Renesas Electronics")</f>
        <v>Renesas Electronics</v>
      </c>
      <c r="C23725" s="6">
        <v>2500</v>
      </c>
      <c r="D23725" s="7">
        <v>1.21</v>
      </c>
    </row>
    <row r="23726" spans="1:4" x14ac:dyDescent="0.25">
      <c r="A23726" t="str">
        <f>HYPERLINK("https://www.773grp.com/globalSearch/03P6MG/page-1", "03P6MG")</f>
        <v>03P6MG</v>
      </c>
      <c r="B23726" s="3" t="str">
        <f>HYPERLINK("https://www.773grp.com/manufacturer/renesas-electronics-america-inc?pageNo=688", "Renesas Electronics")</f>
        <v>Renesas Electronics</v>
      </c>
      <c r="C23726" s="6">
        <v>81359</v>
      </c>
      <c r="D23726" s="7">
        <v>1.21</v>
      </c>
    </row>
    <row r="23727" spans="1:4" x14ac:dyDescent="0.25">
      <c r="A23727" t="str">
        <f>HYPERLINK("https://www.773grp.com/globalSearch/2SA1084E-E/page-1", "2SA1084E-E")</f>
        <v>2SA1084E-E</v>
      </c>
      <c r="B23727" s="3" t="str">
        <f>HYPERLINK("https://www.773grp.com/manufacturer/renesas-electronics-america-inc?pageNo=689", "Renesas Electronics")</f>
        <v>Renesas Electronics</v>
      </c>
      <c r="C23727" s="6">
        <v>9500</v>
      </c>
      <c r="D23727" s="7">
        <v>1.21</v>
      </c>
    </row>
    <row r="23728" spans="1:4" x14ac:dyDescent="0.25">
      <c r="A23728" t="str">
        <f>HYPERLINK("https://www.773grp.com/globalSearch/74HC73FPEL-E/page-1", "74HC73FPEL-E")</f>
        <v>74HC73FPEL-E</v>
      </c>
      <c r="B23728" s="3" t="str">
        <f>HYPERLINK("https://www.773grp.com/manufacturer/renesas-electronics-america-inc?pageNo=690", "Renesas Electronics")</f>
        <v>Renesas Electronics</v>
      </c>
      <c r="C23728" s="6">
        <v>4000</v>
      </c>
      <c r="D23728" s="7">
        <v>1.21</v>
      </c>
    </row>
    <row r="23729" spans="1:4" x14ac:dyDescent="0.25">
      <c r="A23729" t="str">
        <f>HYPERLINK("https://www.773grp.com/globalSearch/74HC73P-E/page-1", "74HC73P-E")</f>
        <v>74HC73P-E</v>
      </c>
      <c r="B23729" s="3" t="str">
        <f>HYPERLINK("https://www.773grp.com/manufacturer/renesas-electronics-america-inc?pageNo=691", "Renesas Electronics")</f>
        <v>Renesas Electronics</v>
      </c>
      <c r="C23729" s="6">
        <v>2000</v>
      </c>
      <c r="D23729" s="7">
        <v>1.21</v>
      </c>
    </row>
    <row r="23730" spans="1:4" x14ac:dyDescent="0.25">
      <c r="A23730" t="str">
        <f>HYPERLINK("https://www.773grp.com/globalSearch/74HC75FP-E/page-1", "74HC75FP-E")</f>
        <v>74HC75FP-E</v>
      </c>
      <c r="B23730" s="3" t="str">
        <f>HYPERLINK("https://www.773grp.com/manufacturer/renesas-electronics-america-inc?pageNo=692", "Renesas Electronics")</f>
        <v>Renesas Electronics</v>
      </c>
      <c r="C23730" s="6">
        <v>1000</v>
      </c>
      <c r="D23730" s="7">
        <v>1.21</v>
      </c>
    </row>
    <row r="23731" spans="1:4" x14ac:dyDescent="0.25">
      <c r="A23731" t="str">
        <f>HYPERLINK("https://www.773grp.com/globalSearch/74HC75P-E/page-1", "74HC75P-E")</f>
        <v>74HC75P-E</v>
      </c>
      <c r="B23731" s="3" t="str">
        <f>HYPERLINK("https://www.773grp.com/manufacturer/renesas-electronics-america-inc?pageNo=693", "Renesas Electronics")</f>
        <v>Renesas Electronics</v>
      </c>
      <c r="C23731" s="6">
        <v>7000</v>
      </c>
      <c r="D23731" s="7">
        <v>1.21</v>
      </c>
    </row>
    <row r="23732" spans="1:4" x14ac:dyDescent="0.25">
      <c r="A23732" t="str">
        <f>HYPERLINK("https://www.773grp.com/globalSearch/74HC76P-E/page-1", "74HC76P-E")</f>
        <v>74HC76P-E</v>
      </c>
      <c r="B23732" s="3" t="str">
        <f>HYPERLINK("https://www.773grp.com/manufacturer/renesas-electronics-america-inc?pageNo=694", "Renesas Electronics")</f>
        <v>Renesas Electronics</v>
      </c>
      <c r="C23732" s="6">
        <v>2000</v>
      </c>
      <c r="D23732" s="7">
        <v>1.21</v>
      </c>
    </row>
    <row r="23733" spans="1:4" x14ac:dyDescent="0.25">
      <c r="A23733" t="str">
        <f>HYPERLINK("https://www.773grp.com/globalSearch/HA17393F-EL-E/page-1", "HA17393F-EL-E")</f>
        <v>HA17393F-EL-E</v>
      </c>
      <c r="B23733" s="3" t="str">
        <f>HYPERLINK("https://www.773grp.com/manufacturer/renesas-electronics-america-inc?pageNo=695", "Renesas Electronics")</f>
        <v>Renesas Electronics</v>
      </c>
      <c r="C23733" s="6">
        <v>7500</v>
      </c>
      <c r="D23733" s="7">
        <v>1.21</v>
      </c>
    </row>
    <row r="23734" spans="1:4" x14ac:dyDescent="0.25">
      <c r="A23734" t="str">
        <f>HYPERLINK("https://www.773grp.com/globalSearch/HA17903FP-EL-E/page-1", "HA17903FP-EL-E")</f>
        <v>HA17903FP-EL-E</v>
      </c>
      <c r="B23734" s="3" t="str">
        <f>HYPERLINK("https://www.773grp.com/manufacturer/renesas-electronics-america-inc?pageNo=696", "Renesas Electronics")</f>
        <v>Renesas Electronics</v>
      </c>
      <c r="C23734" s="6">
        <v>2500</v>
      </c>
      <c r="D23734" s="7">
        <v>1.21</v>
      </c>
    </row>
    <row r="23735" spans="1:4" x14ac:dyDescent="0.25">
      <c r="A23735" t="str">
        <f>HYPERLINK("https://www.773grp.com/globalSearch/HVM16-03TL-E/page-1", "HVM16-03TL-E")</f>
        <v>HVM16-03TL-E</v>
      </c>
      <c r="B23735" s="3" t="str">
        <f>HYPERLINK("https://www.773grp.com/manufacturer/renesas-electronics-america-inc?pageNo=697", "Renesas Electronics")</f>
        <v>Renesas Electronics</v>
      </c>
      <c r="C23735" s="6">
        <v>24000</v>
      </c>
      <c r="D23735" s="7">
        <v>1.21</v>
      </c>
    </row>
    <row r="23736" spans="1:4" x14ac:dyDescent="0.25">
      <c r="A23736" t="str">
        <f>HYPERLINK("https://www.773grp.com/globalSearch/UPC78L05T-E1/page-1", "UPC78L05T-E1")</f>
        <v>UPC78L05T-E1</v>
      </c>
      <c r="B23736" s="3" t="str">
        <f>HYPERLINK("https://www.773grp.com/manufacturer/renesas-electronics-america-inc?pageNo=698", "Renesas Electronics")</f>
        <v>Renesas Electronics</v>
      </c>
      <c r="C23736" s="6">
        <v>26000</v>
      </c>
      <c r="D23736" s="7">
        <v>1.21</v>
      </c>
    </row>
    <row r="23737" spans="1:4" x14ac:dyDescent="0.25">
      <c r="A23737" t="str">
        <f>HYPERLINK("https://www.773grp.com/globalSearch/03P6MG(1)-AZ/page-1", "03P6MG(1)-AZ")</f>
        <v>03P6MG(1)-AZ</v>
      </c>
      <c r="B23737" s="3" t="str">
        <f>HYPERLINK("https://www.773grp.com/manufacturer/renesas-electronics-america-inc?pageNo=699", "Renesas Electronics")</f>
        <v>Renesas Electronics</v>
      </c>
      <c r="C23737" s="6">
        <v>2650</v>
      </c>
      <c r="D23737" s="7">
        <v>1.26</v>
      </c>
    </row>
    <row r="23738" spans="1:4" x14ac:dyDescent="0.25">
      <c r="A23738" t="str">
        <f>HYPERLINK("https://www.773grp.com/globalSearch/74HC109FPEL-E/page-1", "74HC109FPEL-E")</f>
        <v>74HC109FPEL-E</v>
      </c>
      <c r="B23738" s="3" t="str">
        <f>HYPERLINK("https://www.773grp.com/manufacturer/renesas-electronics-america-inc?pageNo=700", "Renesas Electronics")</f>
        <v>Renesas Electronics</v>
      </c>
      <c r="C23738" s="6">
        <v>22000</v>
      </c>
      <c r="D23738" s="7">
        <v>1.26</v>
      </c>
    </row>
    <row r="23739" spans="1:4" x14ac:dyDescent="0.25">
      <c r="A23739" t="str">
        <f>HYPERLINK("https://www.773grp.com/globalSearch/74HC112FPEL-E/page-1", "74HC112FPEL-E")</f>
        <v>74HC112FPEL-E</v>
      </c>
      <c r="B23739" s="3" t="str">
        <f>HYPERLINK("https://www.773grp.com/manufacturer/renesas-electronics-america-inc?pageNo=701", "Renesas Electronics")</f>
        <v>Renesas Electronics</v>
      </c>
      <c r="C23739" s="6">
        <v>10000</v>
      </c>
      <c r="D23739" s="7">
        <v>1.26</v>
      </c>
    </row>
    <row r="23740" spans="1:4" x14ac:dyDescent="0.25">
      <c r="A23740" t="str">
        <f>HYPERLINK("https://www.773grp.com/globalSearch/74HC112P-E/page-1", "74HC112P-E")</f>
        <v>74HC112P-E</v>
      </c>
      <c r="B23740" s="3" t="str">
        <f>HYPERLINK("https://www.773grp.com/manufacturer/renesas-electronics-america-inc?pageNo=702", "Renesas Electronics")</f>
        <v>Renesas Electronics</v>
      </c>
      <c r="C23740" s="6">
        <v>6000</v>
      </c>
      <c r="D23740" s="7">
        <v>1.26</v>
      </c>
    </row>
    <row r="23741" spans="1:4" x14ac:dyDescent="0.25">
      <c r="A23741" t="str">
        <f>HYPERLINK("https://www.773grp.com/globalSearch/74HC112TELL-E/page-1", "74HC112TELL-E")</f>
        <v>74HC112TELL-E</v>
      </c>
      <c r="B23741" s="3" t="str">
        <f>HYPERLINK("https://www.773grp.com/manufacturer/renesas-electronics-america-inc?pageNo=703", "Renesas Electronics")</f>
        <v>Renesas Electronics</v>
      </c>
      <c r="C23741" s="6">
        <v>8000</v>
      </c>
      <c r="D23741" s="7">
        <v>1.26</v>
      </c>
    </row>
    <row r="23742" spans="1:4" x14ac:dyDescent="0.25">
      <c r="A23742" t="str">
        <f>HYPERLINK("https://www.773grp.com/globalSearch/74HC173P-E/page-1", "74HC173P-E")</f>
        <v>74HC173P-E</v>
      </c>
      <c r="B23742" s="3" t="str">
        <f>HYPERLINK("https://www.773grp.com/manufacturer/renesas-electronics-america-inc?pageNo=704", "Renesas Electronics")</f>
        <v>Renesas Electronics</v>
      </c>
      <c r="C23742" s="6">
        <v>5000</v>
      </c>
      <c r="D23742" s="7">
        <v>1.26</v>
      </c>
    </row>
    <row r="23743" spans="1:4" x14ac:dyDescent="0.25">
      <c r="A23743" t="str">
        <f>HYPERLINK("https://www.773grp.com/globalSearch/74HCT138FP-E/page-1", "74HCT138FP-E")</f>
        <v>74HCT138FP-E</v>
      </c>
      <c r="B23743" s="3" t="str">
        <f>HYPERLINK("https://www.773grp.com/manufacturer/renesas-electronics-america-inc?pageNo=705", "Renesas Electronics")</f>
        <v>Renesas Electronics</v>
      </c>
      <c r="C23743" s="6">
        <v>1950</v>
      </c>
      <c r="D23743" s="7">
        <v>1.26</v>
      </c>
    </row>
    <row r="23744" spans="1:4" x14ac:dyDescent="0.25">
      <c r="A23744" t="str">
        <f>HYPERLINK("https://www.773grp.com/globalSearch/74HCT138P-E/page-1", "74HCT138P-E")</f>
        <v>74HCT138P-E</v>
      </c>
      <c r="B23744" s="3" t="str">
        <f>HYPERLINK("https://www.773grp.com/manufacturer/renesas-electronics-america-inc?pageNo=706", "Renesas Electronics")</f>
        <v>Renesas Electronics</v>
      </c>
      <c r="C23744" s="6">
        <v>992</v>
      </c>
      <c r="D23744" s="7">
        <v>1.26</v>
      </c>
    </row>
    <row r="23745" spans="1:4" x14ac:dyDescent="0.25">
      <c r="A23745" t="str">
        <f>HYPERLINK("https://www.773grp.com/globalSearch/M51943AML#DF0J/page-1", "M51943AML#DF0J")</f>
        <v>M51943AML#DF0J</v>
      </c>
      <c r="B23745" s="3" t="str">
        <f>HYPERLINK("https://www.773grp.com/manufacturer/renesas-electronics-america-inc?pageNo=707", "Renesas Electronics")</f>
        <v>Renesas Electronics</v>
      </c>
      <c r="C23745" s="6">
        <v>12000</v>
      </c>
      <c r="D23745" s="7">
        <v>1.26</v>
      </c>
    </row>
    <row r="23746" spans="1:4" x14ac:dyDescent="0.25">
      <c r="A23746" t="str">
        <f>HYPERLINK("https://www.773grp.com/globalSearch/2SA715VC/page-1", "2SA715VC")</f>
        <v>2SA715VC</v>
      </c>
      <c r="B23746" s="3" t="str">
        <f>HYPERLINK("https://www.773grp.com/manufacturer/renesas-electronics-america-inc?pageNo=708", "Renesas Electronics")</f>
        <v>Renesas Electronics</v>
      </c>
      <c r="C23746" s="6">
        <v>2587</v>
      </c>
      <c r="D23746" s="7">
        <v>1.31</v>
      </c>
    </row>
    <row r="23747" spans="1:4" x14ac:dyDescent="0.25">
      <c r="A23747" t="str">
        <f>HYPERLINK("https://www.773grp.com/globalSearch/2SA715VD/page-1", "2SA715VD")</f>
        <v>2SA715VD</v>
      </c>
      <c r="B23747" s="3" t="str">
        <f>HYPERLINK("https://www.773grp.com/manufacturer/renesas-electronics-america-inc?pageNo=709", "Renesas Electronics")</f>
        <v>Renesas Electronics</v>
      </c>
      <c r="C23747" s="6">
        <v>1675</v>
      </c>
      <c r="D23747" s="7">
        <v>1.31</v>
      </c>
    </row>
    <row r="23748" spans="1:4" x14ac:dyDescent="0.25">
      <c r="A23748" t="str">
        <f>HYPERLINK("https://www.773grp.com/globalSearch/2SD667ABTZ-E/page-1", "2SD667ABTZ-E")</f>
        <v>2SD667ABTZ-E</v>
      </c>
      <c r="B23748" s="3" t="str">
        <f>HYPERLINK("https://www.773grp.com/manufacturer/renesas-electronics-america-inc?pageNo=710", "Renesas Electronics")</f>
        <v>Renesas Electronics</v>
      </c>
      <c r="C23748" s="6">
        <v>15000</v>
      </c>
      <c r="D23748" s="7">
        <v>1.31</v>
      </c>
    </row>
    <row r="23749" spans="1:4" x14ac:dyDescent="0.25">
      <c r="A23749" t="str">
        <f>HYPERLINK("https://www.773grp.com/globalSearch/2SD667AC-E/page-1", "2SD667AC-E")</f>
        <v>2SD667AC-E</v>
      </c>
      <c r="B23749" s="3" t="str">
        <f>HYPERLINK("https://www.773grp.com/manufacturer/renesas-electronics-america-inc?pageNo=711", "Renesas Electronics")</f>
        <v>Renesas Electronics</v>
      </c>
      <c r="C23749" s="6">
        <v>7064</v>
      </c>
      <c r="D23749" s="7">
        <v>1.31</v>
      </c>
    </row>
    <row r="23750" spans="1:4" x14ac:dyDescent="0.25">
      <c r="A23750" t="str">
        <f>HYPERLINK("https://www.773grp.com/globalSearch/HA17339ARP-E-WS/page-1", "HA17339ARP-E-WS")</f>
        <v>HA17339ARP-E-WS</v>
      </c>
      <c r="B23750" s="3" t="str">
        <f>HYPERLINK("https://www.773grp.com/manufacturer/renesas-electronics-america-inc?pageNo=712", "Renesas Electronics")</f>
        <v>Renesas Electronics</v>
      </c>
      <c r="C23750" s="6">
        <v>2340</v>
      </c>
      <c r="D23750" s="7">
        <v>1.31</v>
      </c>
    </row>
    <row r="23751" spans="1:4" x14ac:dyDescent="0.25">
      <c r="A23751" t="str">
        <f>HYPERLINK("https://www.773grp.com/globalSearch/HA17431UA-E/page-1", "HA17431UA-E")</f>
        <v>HA17431UA-E</v>
      </c>
      <c r="B23751" s="3" t="str">
        <f>HYPERLINK("https://www.773grp.com/manufacturer/renesas-electronics-america-inc?pageNo=713", "Renesas Electronics")</f>
        <v>Renesas Electronics</v>
      </c>
      <c r="C23751" s="6">
        <v>75</v>
      </c>
      <c r="D23751" s="7">
        <v>1.31</v>
      </c>
    </row>
    <row r="23752" spans="1:4" x14ac:dyDescent="0.25">
      <c r="A23752" t="str">
        <f>HYPERLINK("https://www.773grp.com/globalSearch/M51945AFP#DF1J/page-1", "M51945AFP#DF1J")</f>
        <v>M51945AFP#DF1J</v>
      </c>
      <c r="B23752" s="3" t="str">
        <f>HYPERLINK("https://www.773grp.com/manufacturer/renesas-electronics-america-inc?pageNo=714", "Renesas Electronics")</f>
        <v>Renesas Electronics</v>
      </c>
      <c r="C23752" s="6">
        <v>3000</v>
      </c>
      <c r="D23752" s="7">
        <v>1.31</v>
      </c>
    </row>
    <row r="23753" spans="1:4" x14ac:dyDescent="0.25">
      <c r="A23753" t="str">
        <f>HYPERLINK("https://www.773grp.com/globalSearch/R1EX24002ASAS0I#S1/page-1", "R1EX24002ASAS0I#S1")</f>
        <v>R1EX24002ASAS0I#S1</v>
      </c>
      <c r="B23753" s="3" t="str">
        <f>HYPERLINK("https://www.773grp.com/manufacturer/renesas-electronics-america-inc?pageNo=715", "Renesas Electronics")</f>
        <v>Renesas Electronics</v>
      </c>
      <c r="C23753" s="6">
        <v>3000</v>
      </c>
      <c r="D23753" s="7">
        <v>1.31</v>
      </c>
    </row>
    <row r="23754" spans="1:4" x14ac:dyDescent="0.25">
      <c r="A23754" t="str">
        <f>HYPERLINK("https://www.773grp.com/globalSearch/R1EX25002ASA00I#S1/page-1", "R1EX25002ASA00I#S1")</f>
        <v>R1EX25002ASA00I#S1</v>
      </c>
      <c r="B23754" s="3" t="str">
        <f>HYPERLINK("https://www.773grp.com/manufacturer/renesas-electronics-america-inc?pageNo=716", "Renesas Electronics")</f>
        <v>Renesas Electronics</v>
      </c>
      <c r="C23754" s="6">
        <v>1000</v>
      </c>
      <c r="D23754" s="7">
        <v>1.31</v>
      </c>
    </row>
    <row r="23755" spans="1:4" x14ac:dyDescent="0.25">
      <c r="A23755" t="str">
        <f>HYPERLINK("https://www.773grp.com/globalSearch/RJK03M7DPA-00#J5A/page-1", "RJK03M7DPA-00#J5A")</f>
        <v>RJK03M7DPA-00#J5A</v>
      </c>
      <c r="B23755" s="3" t="str">
        <f>HYPERLINK("https://www.773grp.com/manufacturer/renesas-electronics-america-inc?pageNo=717", "Renesas Electronics")</f>
        <v>Renesas Electronics</v>
      </c>
      <c r="C23755" s="6">
        <v>9000</v>
      </c>
      <c r="D23755" s="7">
        <v>1.31</v>
      </c>
    </row>
    <row r="23756" spans="1:4" x14ac:dyDescent="0.25">
      <c r="A23756" t="str">
        <f>HYPERLINK("https://www.773grp.com/globalSearch/UPA2350BT1G-E4-A/page-1", "UPA2350BT1G-E4-A")</f>
        <v>UPA2350BT1G-E4-A</v>
      </c>
      <c r="B23756" s="3" t="str">
        <f>HYPERLINK("https://www.773grp.com/manufacturer/renesas-electronics-america-inc?pageNo=718", "Renesas Electronics")</f>
        <v>Renesas Electronics</v>
      </c>
      <c r="C23756" s="6">
        <v>965000</v>
      </c>
      <c r="D23756" s="7">
        <v>1.31</v>
      </c>
    </row>
    <row r="23757" spans="1:4" x14ac:dyDescent="0.25">
      <c r="A23757" t="str">
        <f>HYPERLINK("https://www.773grp.com/globalSearch/74HC157TELL-E/page-1", "74HC157TELL-E")</f>
        <v>74HC157TELL-E</v>
      </c>
      <c r="B23757" s="3" t="str">
        <f>HYPERLINK("https://www.773grp.com/manufacturer/renesas-electronics-america-inc?pageNo=719", "Renesas Electronics")</f>
        <v>Renesas Electronics</v>
      </c>
      <c r="C23757" s="6">
        <v>8000</v>
      </c>
      <c r="D23757" s="7">
        <v>1.36</v>
      </c>
    </row>
    <row r="23758" spans="1:4" x14ac:dyDescent="0.25">
      <c r="A23758" t="str">
        <f>HYPERLINK("https://www.773grp.com/globalSearch/74HC4066FP-E/page-1", "74HC4066FP-E")</f>
        <v>74HC4066FP-E</v>
      </c>
      <c r="B23758" s="3" t="str">
        <f>HYPERLINK("https://www.773grp.com/manufacturer/renesas-electronics-america-inc?pageNo=720", "Renesas Electronics")</f>
        <v>Renesas Electronics</v>
      </c>
      <c r="C23758" s="6">
        <v>2000</v>
      </c>
      <c r="D23758" s="7">
        <v>1.36</v>
      </c>
    </row>
    <row r="23759" spans="1:4" x14ac:dyDescent="0.25">
      <c r="A23759" t="str">
        <f>HYPERLINK("https://www.773grp.com/globalSearch/HA17324ARP-E-WS/page-1", "HA17324ARP-E-WS")</f>
        <v>HA17324ARP-E-WS</v>
      </c>
      <c r="B23759" s="3" t="str">
        <f>HYPERLINK("https://www.773grp.com/manufacturer/renesas-electronics-america-inc?pageNo=721", "Renesas Electronics")</f>
        <v>Renesas Electronics</v>
      </c>
      <c r="C23759" s="6">
        <v>1450</v>
      </c>
      <c r="D23759" s="7">
        <v>1.36</v>
      </c>
    </row>
    <row r="23760" spans="1:4" x14ac:dyDescent="0.25">
      <c r="A23760" t="str">
        <f>HYPERLINK("https://www.773grp.com/globalSearch/HN58X2402STI#S0/page-1", "HN58X2402STI#S0")</f>
        <v>HN58X2402STI#S0</v>
      </c>
      <c r="B23760" s="3" t="str">
        <f>HYPERLINK("https://www.773grp.com/manufacturer/renesas-electronics-america-inc?pageNo=722", "Renesas Electronics")</f>
        <v>Renesas Electronics</v>
      </c>
      <c r="C23760" s="6">
        <v>3000</v>
      </c>
      <c r="D23760" s="7">
        <v>1.36</v>
      </c>
    </row>
    <row r="23761" spans="1:4" x14ac:dyDescent="0.25">
      <c r="A23761" t="str">
        <f>HYPERLINK("https://www.773grp.com/globalSearch/HVR200A3TRF-E/page-1", "HVR200A3TRF-E")</f>
        <v>HVR200A3TRF-E</v>
      </c>
      <c r="B23761" s="3" t="str">
        <f>HYPERLINK("https://www.773grp.com/manufacturer/renesas-electronics-america-inc?pageNo=723", "Renesas Electronics")</f>
        <v>Renesas Electronics</v>
      </c>
      <c r="C23761" s="6">
        <v>93000</v>
      </c>
      <c r="D23761" s="7">
        <v>1.36</v>
      </c>
    </row>
    <row r="23762" spans="1:4" x14ac:dyDescent="0.25">
      <c r="A23762" t="str">
        <f>HYPERLINK("https://www.773grp.com/globalSearch/R1EX24008ASA00I#S0/page-1", "R1EX24008ASA00I#S0")</f>
        <v>R1EX24008ASA00I#S0</v>
      </c>
      <c r="B23762" s="3" t="str">
        <f>HYPERLINK("https://www.773grp.com/manufacturer/renesas-electronics-america-inc?pageNo=724", "Renesas Electronics")</f>
        <v>Renesas Electronics</v>
      </c>
      <c r="C23762" s="6">
        <v>7500</v>
      </c>
      <c r="D23762" s="7">
        <v>1.36</v>
      </c>
    </row>
    <row r="23763" spans="1:4" x14ac:dyDescent="0.25">
      <c r="A23763" t="str">
        <f>HYPERLINK("https://www.773grp.com/globalSearch/RJK0362DSP-WS#J0/page-1", "RJK0362DSP-WS#J0")</f>
        <v>RJK0362DSP-WS#J0</v>
      </c>
      <c r="B23763" s="3" t="str">
        <f>HYPERLINK("https://www.773grp.com/manufacturer/renesas-electronics-america-inc?pageNo=725", "Renesas Electronics")</f>
        <v>Renesas Electronics</v>
      </c>
      <c r="C23763" s="6">
        <v>1830</v>
      </c>
      <c r="D23763" s="7">
        <v>1.36</v>
      </c>
    </row>
    <row r="23764" spans="1:4" x14ac:dyDescent="0.25">
      <c r="A23764" t="str">
        <f>HYPERLINK("https://www.773grp.com/globalSearch/RKP403KS#P1/page-1", "RKP403KS#P1")</f>
        <v>RKP403KS#P1</v>
      </c>
      <c r="B23764" s="3" t="str">
        <f>HYPERLINK("https://www.773grp.com/manufacturer/renesas-electronics-america-inc?pageNo=726", "Renesas Electronics")</f>
        <v>Renesas Electronics</v>
      </c>
      <c r="C23764" s="6">
        <v>144000</v>
      </c>
      <c r="D23764" s="7">
        <v>1.36</v>
      </c>
    </row>
    <row r="23765" spans="1:4" x14ac:dyDescent="0.25">
      <c r="A23765" t="str">
        <f>HYPERLINK("https://www.773grp.com/globalSearch/RKP406KS#P1/page-1", "RKP406KS#P1")</f>
        <v>RKP406KS#P1</v>
      </c>
      <c r="B23765" s="3" t="str">
        <f>HYPERLINK("https://www.773grp.com/manufacturer/renesas-electronics-america-inc?pageNo=727", "Renesas Electronics")</f>
        <v>Renesas Electronics</v>
      </c>
      <c r="C23765" s="6">
        <v>4000</v>
      </c>
      <c r="D23765" s="7">
        <v>1.36</v>
      </c>
    </row>
    <row r="23766" spans="1:4" x14ac:dyDescent="0.25">
      <c r="A23766" t="str">
        <f>HYPERLINK("https://www.773grp.com/globalSearch/RKP451KE-1#R0/page-1", "RKP451KE-1#R0")</f>
        <v>RKP451KE-1#R0</v>
      </c>
      <c r="B23766" s="3" t="str">
        <f>HYPERLINK("https://www.773grp.com/manufacturer/renesas-electronics-america-inc?pageNo=728", "Renesas Electronics")</f>
        <v>Renesas Electronics</v>
      </c>
      <c r="C23766" s="6">
        <v>60000</v>
      </c>
      <c r="D23766" s="7">
        <v>1.36</v>
      </c>
    </row>
    <row r="23767" spans="1:4" x14ac:dyDescent="0.25">
      <c r="A23767" t="str">
        <f>HYPERLINK("https://www.773grp.com/globalSearch/UPA2350T1G(2)-E4-A/page-1", "UPA2350T1G(2)-E4-A")</f>
        <v>UPA2350T1G(2)-E4-A</v>
      </c>
      <c r="B23767" s="3" t="str">
        <f>HYPERLINK("https://www.773grp.com/manufacturer/renesas-electronics-america-inc?pageNo=729", "Renesas Electronics")</f>
        <v>Renesas Electronics</v>
      </c>
      <c r="C23767" s="6">
        <v>15000</v>
      </c>
      <c r="D23767" s="7">
        <v>1.36</v>
      </c>
    </row>
    <row r="23768" spans="1:4" x14ac:dyDescent="0.25">
      <c r="A23768" t="str">
        <f>HYPERLINK("https://www.773grp.com/globalSearch/74LS279FPEL-E/page-1", "74LS279FPEL-E")</f>
        <v>74LS279FPEL-E</v>
      </c>
      <c r="B23768" s="3" t="str">
        <f>HYPERLINK("https://www.773grp.com/manufacturer/renesas-electronics-america-inc?pageNo=730", "Renesas Electronics")</f>
        <v>Renesas Electronics</v>
      </c>
      <c r="C23768" s="6">
        <v>4000</v>
      </c>
      <c r="D23768" s="7">
        <v>1.41</v>
      </c>
    </row>
    <row r="23769" spans="1:4" x14ac:dyDescent="0.25">
      <c r="A23769" t="str">
        <f>HYPERLINK("https://www.773grp.com/globalSearch/AD2A3M-T/page-1", "AD2A3M-T")</f>
        <v>AD2A3M-T</v>
      </c>
      <c r="B23769" s="3" t="str">
        <f>HYPERLINK("https://www.773grp.com/manufacturer/renesas-electronics-america-inc?pageNo=731", "Renesas Electronics")</f>
        <v>Renesas Electronics</v>
      </c>
      <c r="C23769" s="6">
        <v>7500</v>
      </c>
      <c r="D23769" s="7">
        <v>1.41</v>
      </c>
    </row>
    <row r="23770" spans="1:4" x14ac:dyDescent="0.25">
      <c r="A23770" t="str">
        <f>HYPERLINK("https://www.773grp.com/globalSearch/AD2F3P-T/page-1", "AD2F3P-T")</f>
        <v>AD2F3P-T</v>
      </c>
      <c r="B23770" s="3" t="str">
        <f>HYPERLINK("https://www.773grp.com/manufacturer/renesas-electronics-america-inc?pageNo=732", "Renesas Electronics")</f>
        <v>Renesas Electronics</v>
      </c>
      <c r="C23770" s="6">
        <v>7500</v>
      </c>
      <c r="D23770" s="7">
        <v>1.41</v>
      </c>
    </row>
    <row r="23771" spans="1:4" x14ac:dyDescent="0.25">
      <c r="A23771" t="str">
        <f>HYPERLINK("https://www.773grp.com/globalSearch/M51953BFP#DF1J/page-1", "M51953BFP#DF1J")</f>
        <v>M51953BFP#DF1J</v>
      </c>
      <c r="B23771" s="3" t="str">
        <f>HYPERLINK("https://www.773grp.com/manufacturer/renesas-electronics-america-inc?pageNo=733", "Renesas Electronics")</f>
        <v>Renesas Electronics</v>
      </c>
      <c r="C23771" s="6">
        <v>18000</v>
      </c>
      <c r="D23771" s="7">
        <v>1.41</v>
      </c>
    </row>
    <row r="23772" spans="1:4" x14ac:dyDescent="0.25">
      <c r="A23772" t="str">
        <f>HYPERLINK("https://www.773grp.com/globalSearch/M51957AFP#TF1J/page-1", "M51957AFP#TF1J")</f>
        <v>M51957AFP#TF1J</v>
      </c>
      <c r="B23772" s="3" t="str">
        <f>HYPERLINK("https://www.773grp.com/manufacturer/renesas-electronics-america-inc?pageNo=734", "Renesas Electronics")</f>
        <v>Renesas Electronics</v>
      </c>
      <c r="C23772" s="6">
        <v>2154</v>
      </c>
      <c r="D23772" s="7">
        <v>1.41</v>
      </c>
    </row>
    <row r="23773" spans="1:4" x14ac:dyDescent="0.25">
      <c r="A23773" t="str">
        <f>HYPERLINK("https://www.773grp.com/globalSearch/RJK03B9DNS-00#J5/page-1", "RJK03B9DNS-00#J5")</f>
        <v>RJK03B9DNS-00#J5</v>
      </c>
      <c r="B23773" s="3" t="str">
        <f>HYPERLINK("https://www.773grp.com/manufacturer/renesas-electronics-america-inc?pageNo=735", "Renesas Electronics")</f>
        <v>Renesas Electronics</v>
      </c>
      <c r="C23773" s="6">
        <v>175000</v>
      </c>
      <c r="D23773" s="7">
        <v>1.41</v>
      </c>
    </row>
    <row r="23774" spans="1:4" x14ac:dyDescent="0.25">
      <c r="A23774" t="str">
        <f>HYPERLINK("https://www.773grp.com/globalSearch/74HC137FP-E/page-1", "74HC137FP-E")</f>
        <v>74HC137FP-E</v>
      </c>
      <c r="B23774" s="3" t="str">
        <f>HYPERLINK("https://www.773grp.com/manufacturer/renesas-electronics-america-inc?pageNo=736", "Renesas Electronics")</f>
        <v>Renesas Electronics</v>
      </c>
      <c r="C23774" s="6">
        <v>1950</v>
      </c>
      <c r="D23774" s="7">
        <v>1.49</v>
      </c>
    </row>
    <row r="23775" spans="1:4" x14ac:dyDescent="0.25">
      <c r="A23775" t="str">
        <f>HYPERLINK("https://www.773grp.com/globalSearch/74HC151P-E/page-1", "74HC151P-E")</f>
        <v>74HC151P-E</v>
      </c>
      <c r="B23775" s="3" t="str">
        <f>HYPERLINK("https://www.773grp.com/manufacturer/renesas-electronics-america-inc?pageNo=737", "Renesas Electronics")</f>
        <v>Renesas Electronics</v>
      </c>
      <c r="C23775" s="6">
        <v>5956</v>
      </c>
      <c r="D23775" s="7">
        <v>1.49</v>
      </c>
    </row>
    <row r="23776" spans="1:4" x14ac:dyDescent="0.25">
      <c r="A23776" t="str">
        <f>HYPERLINK("https://www.773grp.com/globalSearch/74HC367P-E/page-1", "74HC367P-E")</f>
        <v>74HC367P-E</v>
      </c>
      <c r="B23776" s="3" t="str">
        <f>HYPERLINK("https://www.773grp.com/manufacturer/renesas-electronics-america-inc?pageNo=738", "Renesas Electronics")</f>
        <v>Renesas Electronics</v>
      </c>
      <c r="C23776" s="6">
        <v>11000</v>
      </c>
      <c r="D23776" s="7">
        <v>1.49</v>
      </c>
    </row>
    <row r="23777" spans="1:4" x14ac:dyDescent="0.25">
      <c r="A23777" t="str">
        <f>HYPERLINK("https://www.773grp.com/globalSearch/74HC368FP-E/page-1", "74HC368FP-E")</f>
        <v>74HC368FP-E</v>
      </c>
      <c r="B23777" s="3" t="str">
        <f>HYPERLINK("https://www.773grp.com/manufacturer/renesas-electronics-america-inc?pageNo=739", "Renesas Electronics")</f>
        <v>Renesas Electronics</v>
      </c>
      <c r="C23777" s="6">
        <v>1000</v>
      </c>
      <c r="D23777" s="7">
        <v>1.49</v>
      </c>
    </row>
    <row r="23778" spans="1:4" x14ac:dyDescent="0.25">
      <c r="A23778" t="str">
        <f>HYPERLINK("https://www.773grp.com/globalSearch/74HC368P-E/page-1", "74HC368P-E")</f>
        <v>74HC368P-E</v>
      </c>
      <c r="B23778" s="3" t="str">
        <f>HYPERLINK("https://www.773grp.com/manufacturer/renesas-electronics-america-inc?pageNo=740", "Renesas Electronics")</f>
        <v>Renesas Electronics</v>
      </c>
      <c r="C23778" s="6">
        <v>4000</v>
      </c>
      <c r="D23778" s="7">
        <v>1.49</v>
      </c>
    </row>
    <row r="23779" spans="1:4" x14ac:dyDescent="0.25">
      <c r="A23779" t="str">
        <f>HYPERLINK("https://www.773grp.com/globalSearch/74HC42FPEL-E/page-1", "74HC42FPEL-E")</f>
        <v>74HC42FPEL-E</v>
      </c>
      <c r="B23779" s="3" t="str">
        <f>HYPERLINK("https://www.773grp.com/manufacturer/renesas-electronics-america-inc?pageNo=741", "Renesas Electronics")</f>
        <v>Renesas Electronics</v>
      </c>
      <c r="C23779" s="6">
        <v>6000</v>
      </c>
      <c r="D23779" s="7">
        <v>1.49</v>
      </c>
    </row>
    <row r="23780" spans="1:4" x14ac:dyDescent="0.25">
      <c r="A23780" t="str">
        <f>HYPERLINK("https://www.773grp.com/globalSearch/74LS107AFPEL-E/page-1", "74LS107AFPEL-E")</f>
        <v>74LS107AFPEL-E</v>
      </c>
      <c r="B23780" s="3" t="str">
        <f>HYPERLINK("https://www.773grp.com/manufacturer/renesas-electronics-america-inc?pageNo=742", "Renesas Electronics")</f>
        <v>Renesas Electronics</v>
      </c>
      <c r="C23780" s="6">
        <v>4000</v>
      </c>
      <c r="D23780" s="7">
        <v>1.49</v>
      </c>
    </row>
    <row r="23781" spans="1:4" x14ac:dyDescent="0.25">
      <c r="A23781" t="str">
        <f>HYPERLINK("https://www.773grp.com/globalSearch/74LS10FPEL-E/page-1", "74LS10FPEL-E")</f>
        <v>74LS10FPEL-E</v>
      </c>
      <c r="B23781" s="3" t="str">
        <f>HYPERLINK("https://www.773grp.com/manufacturer/renesas-electronics-america-inc?pageNo=743", "Renesas Electronics")</f>
        <v>Renesas Electronics</v>
      </c>
      <c r="C23781" s="6">
        <v>10000</v>
      </c>
      <c r="D23781" s="7">
        <v>1.49</v>
      </c>
    </row>
    <row r="23782" spans="1:4" x14ac:dyDescent="0.25">
      <c r="A23782" t="str">
        <f>HYPERLINK("https://www.773grp.com/globalSearch/74LS112FPEL-E/page-1", "74LS112FPEL-E")</f>
        <v>74LS112FPEL-E</v>
      </c>
      <c r="B23782" s="3" t="str">
        <f>HYPERLINK("https://www.773grp.com/manufacturer/renesas-electronics-america-inc?pageNo=744", "Renesas Electronics")</f>
        <v>Renesas Electronics</v>
      </c>
      <c r="C23782" s="6">
        <v>8000</v>
      </c>
      <c r="D23782" s="7">
        <v>1.49</v>
      </c>
    </row>
    <row r="23783" spans="1:4" x14ac:dyDescent="0.25">
      <c r="A23783" t="str">
        <f>HYPERLINK("https://www.773grp.com/globalSearch/74LS112P-E/page-1", "74LS112P-E")</f>
        <v>74LS112P-E</v>
      </c>
      <c r="B23783" s="3" t="str">
        <f>HYPERLINK("https://www.773grp.com/manufacturer/renesas-electronics-america-inc?pageNo=745", "Renesas Electronics")</f>
        <v>Renesas Electronics</v>
      </c>
      <c r="C23783" s="6">
        <v>3000</v>
      </c>
      <c r="D23783" s="7">
        <v>1.49</v>
      </c>
    </row>
    <row r="23784" spans="1:4" x14ac:dyDescent="0.25">
      <c r="A23784" t="str">
        <f>HYPERLINK("https://www.773grp.com/globalSearch/74LS11FPEL-E/page-1", "74LS11FPEL-E")</f>
        <v>74LS11FPEL-E</v>
      </c>
      <c r="B23784" s="3" t="str">
        <f>HYPERLINK("https://www.773grp.com/manufacturer/renesas-electronics-america-inc?pageNo=746", "Renesas Electronics")</f>
        <v>Renesas Electronics</v>
      </c>
      <c r="C23784" s="6">
        <v>4000</v>
      </c>
      <c r="D23784" s="7">
        <v>1.49</v>
      </c>
    </row>
    <row r="23785" spans="1:4" x14ac:dyDescent="0.25">
      <c r="A23785" t="str">
        <f>HYPERLINK("https://www.773grp.com/globalSearch/HZ27BP-JTK/page-1", "HZ27BP-JTK")</f>
        <v>HZ27BP-JTK</v>
      </c>
      <c r="B23785" s="3" t="str">
        <f>HYPERLINK("https://www.773grp.com/manufacturer/renesas-electronics-america-inc?pageNo=747", "Renesas Electronics")</f>
        <v>Renesas Electronics</v>
      </c>
      <c r="C23785" s="6">
        <v>55000</v>
      </c>
      <c r="D23785" s="7">
        <v>1.49</v>
      </c>
    </row>
    <row r="23786" spans="1:4" x14ac:dyDescent="0.25">
      <c r="A23786" t="str">
        <f>HYPERLINK("https://www.773grp.com/globalSearch/HZ3.6BP-E/page-1", "HZ3.6BP-E")</f>
        <v>HZ3.6BP-E</v>
      </c>
      <c r="B23786" s="3" t="str">
        <f>HYPERLINK("https://www.773grp.com/manufacturer/renesas-electronics-america-inc?pageNo=748", "Renesas Electronics")</f>
        <v>Renesas Electronics</v>
      </c>
      <c r="C23786" s="6">
        <v>10400</v>
      </c>
      <c r="D23786" s="7">
        <v>1.49</v>
      </c>
    </row>
    <row r="23787" spans="1:4" x14ac:dyDescent="0.25">
      <c r="A23787" t="str">
        <f>HYPERLINK("https://www.773grp.com/globalSearch/HZ4.3CP-JTK-E/page-1", "HZ4.3CP-JTK-E")</f>
        <v>HZ4.3CP-JTK-E</v>
      </c>
      <c r="B23787" s="3" t="str">
        <f>HYPERLINK("https://www.773grp.com/manufacturer/renesas-electronics-america-inc?pageNo=749", "Renesas Electronics")</f>
        <v>Renesas Electronics</v>
      </c>
      <c r="C23787" s="6">
        <v>10000</v>
      </c>
      <c r="D23787" s="7">
        <v>1.49</v>
      </c>
    </row>
    <row r="23788" spans="1:4" x14ac:dyDescent="0.25">
      <c r="A23788" t="str">
        <f>HYPERLINK("https://www.773grp.com/globalSearch/HZ8.2BP/page-1", "HZ8.2BP")</f>
        <v>HZ8.2BP</v>
      </c>
      <c r="B23788" s="3" t="str">
        <f>HYPERLINK("https://www.773grp.com/manufacturer/renesas-electronics-america-inc?pageNo=750", "Renesas Electronics")</f>
        <v>Renesas Electronics</v>
      </c>
      <c r="C23788" s="6">
        <v>11000</v>
      </c>
      <c r="D23788" s="7">
        <v>1.49</v>
      </c>
    </row>
    <row r="23789" spans="1:4" x14ac:dyDescent="0.25">
      <c r="A23789" t="str">
        <f>HYPERLINK("https://www.773grp.com/globalSearch/M51204FP#TF0R/page-1", "M51204FP#TF0R")</f>
        <v>M51204FP#TF0R</v>
      </c>
      <c r="B23789" s="3" t="str">
        <f>HYPERLINK("https://www.773grp.com/manufacturer/renesas-electronics-america-inc?pageNo=751", "Renesas Electronics")</f>
        <v>Renesas Electronics</v>
      </c>
      <c r="C23789" s="6">
        <v>10490</v>
      </c>
      <c r="D23789" s="7">
        <v>1.49</v>
      </c>
    </row>
    <row r="23790" spans="1:4" x14ac:dyDescent="0.25">
      <c r="A23790" t="str">
        <f>HYPERLINK("https://www.773grp.com/globalSearch/M51945BFP#DF1J/page-1", "M51945BFP#DF1J")</f>
        <v>M51945BFP#DF1J</v>
      </c>
      <c r="B23790" s="3" t="str">
        <f>HYPERLINK("https://www.773grp.com/manufacturer/renesas-electronics-america-inc?pageNo=752", "Renesas Electronics")</f>
        <v>Renesas Electronics</v>
      </c>
      <c r="C23790" s="6">
        <v>12000</v>
      </c>
      <c r="D23790" s="7">
        <v>1.49</v>
      </c>
    </row>
    <row r="23791" spans="1:4" x14ac:dyDescent="0.25">
      <c r="A23791" t="str">
        <f>HYPERLINK("https://www.773grp.com/globalSearch/NFD15-T-AZ/page-1", "NFD15-T-AZ")</f>
        <v>NFD15-T-AZ</v>
      </c>
      <c r="B23791" s="3" t="str">
        <f>HYPERLINK("https://www.773grp.com/manufacturer/renesas-electronics-america-inc?pageNo=753", "Renesas Electronics")</f>
        <v>Renesas Electronics</v>
      </c>
      <c r="C23791" s="6">
        <v>42500</v>
      </c>
      <c r="D23791" s="7">
        <v>1.49</v>
      </c>
    </row>
    <row r="23792" spans="1:4" x14ac:dyDescent="0.25">
      <c r="A23792" t="str">
        <f>HYPERLINK("https://www.773grp.com/globalSearch/RJK03M9DNS-WS#J5/page-1", "RJK03M9DNS-WS#J5")</f>
        <v>RJK03M9DNS-WS#J5</v>
      </c>
      <c r="B23792" s="3" t="str">
        <f>HYPERLINK("https://www.773grp.com/manufacturer/renesas-electronics-america-inc?pageNo=754", "Renesas Electronics")</f>
        <v>Renesas Electronics</v>
      </c>
      <c r="C23792" s="6">
        <v>3572</v>
      </c>
      <c r="D23792" s="7">
        <v>1.49</v>
      </c>
    </row>
    <row r="23793" spans="1:4" x14ac:dyDescent="0.25">
      <c r="A23793" t="str">
        <f>HYPERLINK("https://www.773grp.com/globalSearch/2SA1625-T-AZ/page-1", "2SA1625-T-AZ")</f>
        <v>2SA1625-T-AZ</v>
      </c>
      <c r="B23793" s="3" t="str">
        <f>HYPERLINK("https://www.773grp.com/manufacturer/renesas-electronics-america-inc?pageNo=755", "Renesas Electronics")</f>
        <v>Renesas Electronics</v>
      </c>
      <c r="C23793" s="6">
        <v>2260000</v>
      </c>
      <c r="D23793" s="7">
        <v>1.54</v>
      </c>
    </row>
    <row r="23794" spans="1:4" x14ac:dyDescent="0.25">
      <c r="A23794" t="str">
        <f>HYPERLINK("https://www.773grp.com/globalSearch/2SD1693-AZ/page-1", "2SD1693-AZ")</f>
        <v>2SD1693-AZ</v>
      </c>
      <c r="B23794" s="3" t="str">
        <f>HYPERLINK("https://www.773grp.com/manufacturer/renesas-electronics-america-inc?pageNo=756", "Renesas Electronics")</f>
        <v>Renesas Electronics</v>
      </c>
      <c r="C23794" s="6">
        <v>800</v>
      </c>
      <c r="D23794" s="7">
        <v>1.54</v>
      </c>
    </row>
    <row r="23795" spans="1:4" x14ac:dyDescent="0.25">
      <c r="A23795" t="str">
        <f>HYPERLINK("https://www.773grp.com/globalSearch/HA178L06UA-TL-E/page-1", "HA178L06UA-TL-E")</f>
        <v>HA178L06UA-TL-E</v>
      </c>
      <c r="B23795" s="3" t="str">
        <f>HYPERLINK("https://www.773grp.com/manufacturer/renesas-electronics-america-inc?pageNo=757", "Renesas Electronics")</f>
        <v>Renesas Electronics</v>
      </c>
      <c r="C23795" s="6">
        <v>2000</v>
      </c>
      <c r="D23795" s="7">
        <v>1.54</v>
      </c>
    </row>
    <row r="23796" spans="1:4" x14ac:dyDescent="0.25">
      <c r="A23796" t="str">
        <f>HYPERLINK("https://www.773grp.com/globalSearch/HA179L08U-TL-E/page-1", "HA179L08U-TL-E")</f>
        <v>HA179L08U-TL-E</v>
      </c>
      <c r="B23796" s="3" t="str">
        <f>HYPERLINK("https://www.773grp.com/manufacturer/renesas-electronics-america-inc?pageNo=758", "Renesas Electronics")</f>
        <v>Renesas Electronics</v>
      </c>
      <c r="C23796" s="6">
        <v>19906</v>
      </c>
      <c r="D23796" s="7">
        <v>1.54</v>
      </c>
    </row>
    <row r="23797" spans="1:4" x14ac:dyDescent="0.25">
      <c r="A23797" t="str">
        <f>HYPERLINK("https://www.773grp.com/globalSearch/HSM226STR-E/page-1", "HSM226STR-E")</f>
        <v>HSM226STR-E</v>
      </c>
      <c r="B23797" s="3" t="str">
        <f>HYPERLINK("https://www.773grp.com/manufacturer/renesas-electronics-america-inc?pageNo=759", "Renesas Electronics")</f>
        <v>Renesas Electronics</v>
      </c>
      <c r="C23797" s="6">
        <v>21000</v>
      </c>
      <c r="D23797" s="7">
        <v>1.54</v>
      </c>
    </row>
    <row r="23798" spans="1:4" x14ac:dyDescent="0.25">
      <c r="A23798" t="str">
        <f>HYPERLINK("https://www.773grp.com/globalSearch/M51945BJFP#200D/page-1", "M51945BJFP#200D")</f>
        <v>M51945BJFP#200D</v>
      </c>
      <c r="B23798" s="3" t="str">
        <f>HYPERLINK("https://www.773grp.com/manufacturer/renesas-electronics-america-inc?pageNo=760", "Renesas Electronics")</f>
        <v>Renesas Electronics</v>
      </c>
      <c r="C23798" s="6">
        <v>9000</v>
      </c>
      <c r="D23798" s="7">
        <v>1.54</v>
      </c>
    </row>
    <row r="23799" spans="1:4" x14ac:dyDescent="0.25">
      <c r="A23799" t="str">
        <f>HYPERLINK("https://www.773grp.com/globalSearch/2SD1209KTZ/page-1", "2SD1209KTZ")</f>
        <v>2SD1209KTZ</v>
      </c>
      <c r="B23799" s="3" t="str">
        <f>HYPERLINK("https://www.773grp.com/manufacturer/renesas-electronics-america-inc?pageNo=761", "Renesas Electronics")</f>
        <v>Renesas Electronics</v>
      </c>
      <c r="C23799" s="6">
        <v>5000</v>
      </c>
      <c r="D23799" s="7">
        <v>1.59</v>
      </c>
    </row>
    <row r="23800" spans="1:4" x14ac:dyDescent="0.25">
      <c r="A23800" t="str">
        <f>HYPERLINK("https://www.773grp.com/globalSearch/HA17431GLTPEL-E/page-1", "HA17431GLTPEL-E")</f>
        <v>HA17431GLTPEL-E</v>
      </c>
      <c r="B23800" s="3" t="str">
        <f>HYPERLINK("https://www.773grp.com/manufacturer/renesas-electronics-america-inc?pageNo=762", "Renesas Electronics")</f>
        <v>Renesas Electronics</v>
      </c>
      <c r="C23800" s="6">
        <v>18000</v>
      </c>
      <c r="D23800" s="7">
        <v>1.59</v>
      </c>
    </row>
    <row r="23801" spans="1:4" x14ac:dyDescent="0.25">
      <c r="A23801" t="str">
        <f>HYPERLINK("https://www.773grp.com/globalSearch/HA178L12UA-TR-E/page-1", "HA178L12UA-TR-E")</f>
        <v>HA178L12UA-TR-E</v>
      </c>
      <c r="B23801" s="3" t="str">
        <f>HYPERLINK("https://www.773grp.com/manufacturer/renesas-electronics-america-inc?pageNo=763", "Renesas Electronics")</f>
        <v>Renesas Electronics</v>
      </c>
      <c r="C23801" s="6">
        <v>44000</v>
      </c>
      <c r="D23801" s="7">
        <v>1.59</v>
      </c>
    </row>
    <row r="23802" spans="1:4" x14ac:dyDescent="0.25">
      <c r="A23802" t="str">
        <f>HYPERLINK("https://www.773grp.com/globalSearch/HZ15BP-J-E/page-1", "HZ15BP-J-E")</f>
        <v>HZ15BP-J-E</v>
      </c>
      <c r="B23802" s="3" t="str">
        <f>HYPERLINK("https://www.773grp.com/manufacturer/renesas-electronics-america-inc?pageNo=764", "Renesas Electronics")</f>
        <v>Renesas Electronics</v>
      </c>
      <c r="C23802" s="6">
        <v>10100</v>
      </c>
      <c r="D23802" s="7">
        <v>1.59</v>
      </c>
    </row>
    <row r="23803" spans="1:4" x14ac:dyDescent="0.25">
      <c r="A23803" t="str">
        <f>HYPERLINK("https://www.773grp.com/globalSearch/HZ15CPTN-E/page-1", "HZ15CPTN-E")</f>
        <v>HZ15CPTN-E</v>
      </c>
      <c r="B23803" s="3" t="str">
        <f>HYPERLINK("https://www.773grp.com/manufacturer/renesas-electronics-america-inc?pageNo=765", "Renesas Electronics")</f>
        <v>Renesas Electronics</v>
      </c>
      <c r="C23803" s="6">
        <v>17500</v>
      </c>
      <c r="D23803" s="7">
        <v>1.59</v>
      </c>
    </row>
    <row r="23804" spans="1:4" x14ac:dyDescent="0.25">
      <c r="A23804" t="str">
        <f>HYPERLINK("https://www.773grp.com/globalSearch/HZ24CP-E/page-1", "HZ24CP-E")</f>
        <v>HZ24CP-E</v>
      </c>
      <c r="B23804" s="3" t="str">
        <f>HYPERLINK("https://www.773grp.com/manufacturer/renesas-electronics-america-inc?pageNo=766", "Renesas Electronics")</f>
        <v>Renesas Electronics</v>
      </c>
      <c r="C23804" s="6">
        <v>20400</v>
      </c>
      <c r="D23804" s="7">
        <v>1.59</v>
      </c>
    </row>
    <row r="23805" spans="1:4" x14ac:dyDescent="0.25">
      <c r="A23805" t="str">
        <f>HYPERLINK("https://www.773grp.com/globalSearch/HZ33BP-E/page-1", "HZ33BP-E")</f>
        <v>HZ33BP-E</v>
      </c>
      <c r="B23805" s="3" t="str">
        <f>HYPERLINK("https://www.773grp.com/manufacturer/renesas-electronics-america-inc?pageNo=767", "Renesas Electronics")</f>
        <v>Renesas Electronics</v>
      </c>
      <c r="C23805" s="6">
        <v>8636</v>
      </c>
      <c r="D23805" s="7">
        <v>1.59</v>
      </c>
    </row>
    <row r="23806" spans="1:4" x14ac:dyDescent="0.25">
      <c r="A23806" t="str">
        <f>HYPERLINK("https://www.773grp.com/globalSearch/HZ5.1BP-E/page-1", "HZ5.1BP-E")</f>
        <v>HZ5.1BP-E</v>
      </c>
      <c r="B23806" s="3" t="str">
        <f>HYPERLINK("https://www.773grp.com/manufacturer/renesas-electronics-america-inc?pageNo=768", "Renesas Electronics")</f>
        <v>Renesas Electronics</v>
      </c>
      <c r="C23806" s="6">
        <v>14260</v>
      </c>
      <c r="D23806" s="7">
        <v>1.59</v>
      </c>
    </row>
    <row r="23807" spans="1:4" x14ac:dyDescent="0.25">
      <c r="A23807" t="str">
        <f>HYPERLINK("https://www.773grp.com/globalSearch/HZ9.1BP-E/page-1", "HZ9.1BP-E")</f>
        <v>HZ9.1BP-E</v>
      </c>
      <c r="B23807" s="3" t="str">
        <f>HYPERLINK("https://www.773grp.com/manufacturer/renesas-electronics-america-inc?pageNo=769", "Renesas Electronics")</f>
        <v>Renesas Electronics</v>
      </c>
      <c r="C23807" s="6">
        <v>14300</v>
      </c>
      <c r="D23807" s="7">
        <v>1.59</v>
      </c>
    </row>
    <row r="23808" spans="1:4" x14ac:dyDescent="0.25">
      <c r="A23808" t="str">
        <f>HYPERLINK("https://www.773grp.com/globalSearch/RJK0353DSP-WS#J0/page-1", "RJK0353DSP-WS#J0")</f>
        <v>RJK0353DSP-WS#J0</v>
      </c>
      <c r="B23808" s="3" t="str">
        <f>HYPERLINK("https://www.773grp.com/manufacturer/renesas-electronics-america-inc?pageNo=770", "Renesas Electronics")</f>
        <v>Renesas Electronics</v>
      </c>
      <c r="C23808" s="6">
        <v>1685</v>
      </c>
      <c r="D23808" s="7">
        <v>1.59</v>
      </c>
    </row>
    <row r="23809" spans="1:4" x14ac:dyDescent="0.25">
      <c r="A23809" t="str">
        <f>HYPERLINK("https://www.773grp.com/globalSearch/RJK0397DPA-00#J53/page-1", "RJK0397DPA-00#J53")</f>
        <v>RJK0397DPA-00#J53</v>
      </c>
      <c r="B23809" s="3" t="str">
        <f>HYPERLINK("https://www.773grp.com/manufacturer/renesas-electronics-america-inc?pageNo=771", "Renesas Electronics")</f>
        <v>Renesas Electronics</v>
      </c>
      <c r="C23809" s="6">
        <v>189000</v>
      </c>
      <c r="D23809" s="7">
        <v>1.59</v>
      </c>
    </row>
    <row r="23810" spans="1:4" x14ac:dyDescent="0.25">
      <c r="A23810" t="str">
        <f>HYPERLINK("https://www.773grp.com/globalSearch/RJK0397DPA-02#J53/page-1", "RJK0397DPA-02#J53")</f>
        <v>RJK0397DPA-02#J53</v>
      </c>
      <c r="B23810" s="3" t="str">
        <f>HYPERLINK("https://www.773grp.com/manufacturer/renesas-electronics-america-inc?pageNo=772", "Renesas Electronics")</f>
        <v>Renesas Electronics</v>
      </c>
      <c r="C23810" s="6">
        <v>6000</v>
      </c>
      <c r="D23810" s="7">
        <v>1.59</v>
      </c>
    </row>
    <row r="23811" spans="1:4" x14ac:dyDescent="0.25">
      <c r="A23811" t="str">
        <f>HYPERLINK("https://www.773grp.com/globalSearch/RJK0397DPA-0G#J7A/page-1", "RJK0397DPA-0G#J7A")</f>
        <v>RJK0397DPA-0G#J7A</v>
      </c>
      <c r="B23811" s="3" t="str">
        <f>HYPERLINK("https://www.773grp.com/manufacturer/renesas-electronics-america-inc?pageNo=773", "Renesas Electronics")</f>
        <v>Renesas Electronics</v>
      </c>
      <c r="C23811" s="6">
        <v>4980000</v>
      </c>
      <c r="D23811" s="7">
        <v>1.59</v>
      </c>
    </row>
    <row r="23812" spans="1:4" x14ac:dyDescent="0.25">
      <c r="A23812" t="str">
        <f>HYPERLINK("https://www.773grp.com/globalSearch/RJK03B7DPA-00#J53/page-1", "RJK03B7DPA-00#J53")</f>
        <v>RJK03B7DPA-00#J53</v>
      </c>
      <c r="B23812" s="3" t="str">
        <f>HYPERLINK("https://www.773grp.com/manufacturer/renesas-electronics-america-inc?pageNo=774", "Renesas Electronics")</f>
        <v>Renesas Electronics</v>
      </c>
      <c r="C23812" s="6">
        <v>12000</v>
      </c>
      <c r="D23812" s="7">
        <v>1.59</v>
      </c>
    </row>
    <row r="23813" spans="1:4" x14ac:dyDescent="0.25">
      <c r="A23813" t="str">
        <f>HYPERLINK("https://www.773grp.com/globalSearch/RJK03B7DPA-WS#J53/page-1", "RJK03B7DPA-WS#J53")</f>
        <v>RJK03B7DPA-WS#J53</v>
      </c>
      <c r="B23813" s="3" t="str">
        <f>HYPERLINK("https://www.773grp.com/manufacturer/renesas-electronics-america-inc?pageNo=775", "Renesas Electronics")</f>
        <v>Renesas Electronics</v>
      </c>
      <c r="C23813" s="6">
        <v>2890</v>
      </c>
      <c r="D23813" s="7">
        <v>1.59</v>
      </c>
    </row>
    <row r="23814" spans="1:4" x14ac:dyDescent="0.25">
      <c r="A23814" t="str">
        <f>HYPERLINK("https://www.773grp.com/globalSearch/RJK03B8DPA-00#J53/page-1", "RJK03B8DPA-00#J53")</f>
        <v>RJK03B8DPA-00#J53</v>
      </c>
      <c r="B23814" s="3" t="str">
        <f>HYPERLINK("https://www.773grp.com/manufacturer/renesas-electronics-america-inc?pageNo=776", "Renesas Electronics")</f>
        <v>Renesas Electronics</v>
      </c>
      <c r="C23814" s="6">
        <v>117000</v>
      </c>
      <c r="D23814" s="7">
        <v>1.59</v>
      </c>
    </row>
    <row r="23815" spans="1:4" x14ac:dyDescent="0.25">
      <c r="A23815" t="str">
        <f>HYPERLINK("https://www.773grp.com/globalSearch/RJK03B8DPA-WS#J53/page-1", "RJK03B8DPA-WS#J53")</f>
        <v>RJK03B8DPA-WS#J53</v>
      </c>
      <c r="B23815" s="3" t="str">
        <f>HYPERLINK("https://www.773grp.com/manufacturer/renesas-electronics-america-inc?pageNo=777", "Renesas Electronics")</f>
        <v>Renesas Electronics</v>
      </c>
      <c r="C23815" s="6">
        <v>2475</v>
      </c>
      <c r="D23815" s="7">
        <v>1.59</v>
      </c>
    </row>
    <row r="23816" spans="1:4" x14ac:dyDescent="0.25">
      <c r="A23816" t="str">
        <f>HYPERLINK("https://www.773grp.com/globalSearch/RJK03B9DPA-00#J53/page-1", "RJK03B9DPA-00#J53")</f>
        <v>RJK03B9DPA-00#J53</v>
      </c>
      <c r="B23816" s="3" t="str">
        <f>HYPERLINK("https://www.773grp.com/manufacturer/renesas-electronics-america-inc?pageNo=778", "Renesas Electronics")</f>
        <v>Renesas Electronics</v>
      </c>
      <c r="C23816" s="6">
        <v>21000</v>
      </c>
      <c r="D23816" s="7">
        <v>1.59</v>
      </c>
    </row>
    <row r="23817" spans="1:4" x14ac:dyDescent="0.25">
      <c r="A23817" t="str">
        <f>HYPERLINK("https://www.773grp.com/globalSearch/RJK03B9DPA-00#J5A/page-1", "RJK03B9DPA-00#J5A")</f>
        <v>RJK03B9DPA-00#J5A</v>
      </c>
      <c r="B23817" s="3" t="str">
        <f>HYPERLINK("https://www.773grp.com/manufacturer/renesas-electronics-america-inc?pageNo=779", "Renesas Electronics")</f>
        <v>Renesas Electronics</v>
      </c>
      <c r="C23817" s="6">
        <v>3000</v>
      </c>
      <c r="D23817" s="7">
        <v>1.59</v>
      </c>
    </row>
    <row r="23818" spans="1:4" x14ac:dyDescent="0.25">
      <c r="A23818" t="str">
        <f>HYPERLINK("https://www.773grp.com/globalSearch/RJK03B9DPA-0T#J53/page-1", "RJK03B9DPA-0T#J53")</f>
        <v>RJK03B9DPA-0T#J53</v>
      </c>
      <c r="B23818" s="3" t="str">
        <f>HYPERLINK("https://www.773grp.com/manufacturer/renesas-electronics-america-inc?pageNo=780", "Renesas Electronics")</f>
        <v>Renesas Electronics</v>
      </c>
      <c r="C23818" s="6">
        <v>9000</v>
      </c>
      <c r="D23818" s="7">
        <v>1.59</v>
      </c>
    </row>
    <row r="23819" spans="1:4" x14ac:dyDescent="0.25">
      <c r="A23819" t="str">
        <f>HYPERLINK("https://www.773grp.com/globalSearch/RJK03B9DPA-WS#J53/page-1", "RJK03B9DPA-WS#J53")</f>
        <v>RJK03B9DPA-WS#J53</v>
      </c>
      <c r="B23819" s="3" t="str">
        <f>HYPERLINK("https://www.773grp.com/manufacturer/renesas-electronics-america-inc?pageNo=781", "Renesas Electronics")</f>
        <v>Renesas Electronics</v>
      </c>
      <c r="C23819" s="6">
        <v>2465</v>
      </c>
      <c r="D23819" s="7">
        <v>1.59</v>
      </c>
    </row>
    <row r="23820" spans="1:4" x14ac:dyDescent="0.25">
      <c r="A23820" t="str">
        <f>HYPERLINK("https://www.773grp.com/globalSearch/RJK1028DSP-00#J5/page-1", "RJK1028DSP-00#J5")</f>
        <v>RJK1028DSP-00#J5</v>
      </c>
      <c r="B23820" s="3" t="str">
        <f>HYPERLINK("https://www.773grp.com/manufacturer/renesas-electronics-america-inc?pageNo=782", "Renesas Electronics")</f>
        <v>Renesas Electronics</v>
      </c>
      <c r="C23820" s="6">
        <v>15000</v>
      </c>
      <c r="D23820" s="7">
        <v>1.59</v>
      </c>
    </row>
    <row r="23821" spans="1:4" x14ac:dyDescent="0.25">
      <c r="A23821" t="str">
        <f>HYPERLINK("https://www.773grp.com/globalSearch/UPA2650T1E-E2-AT/page-1", "UPA2650T1E-E2-AT")</f>
        <v>UPA2650T1E-E2-AT</v>
      </c>
      <c r="B23821" s="3" t="str">
        <f>HYPERLINK("https://www.773grp.com/manufacturer/renesas-electronics-america-inc?pageNo=783", "Renesas Electronics")</f>
        <v>Renesas Electronics</v>
      </c>
      <c r="C23821" s="6">
        <v>270000</v>
      </c>
      <c r="D23821" s="7">
        <v>1.59</v>
      </c>
    </row>
    <row r="23822" spans="1:4" x14ac:dyDescent="0.25">
      <c r="A23822" t="str">
        <f>HYPERLINK("https://www.773grp.com/globalSearch/2SA1220A-AZ/page-1", "2SA1220A-AZ")</f>
        <v>2SA1220A-AZ</v>
      </c>
      <c r="B23822" s="3" t="str">
        <f>HYPERLINK("https://www.773grp.com/manufacturer/renesas-electronics-america-inc?pageNo=784", "Renesas Electronics")</f>
        <v>Renesas Electronics</v>
      </c>
      <c r="C23822" s="6">
        <v>6080</v>
      </c>
      <c r="D23822" s="7">
        <v>1.64</v>
      </c>
    </row>
    <row r="23823" spans="1:4" x14ac:dyDescent="0.25">
      <c r="A23823" t="str">
        <f>HYPERLINK("https://www.773grp.com/globalSearch/2SC5998YC-TL-E/page-1", "2SC5998YC-TL-E")</f>
        <v>2SC5998YC-TL-E</v>
      </c>
      <c r="B23823" s="3" t="str">
        <f>HYPERLINK("https://www.773grp.com/manufacturer/renesas-electronics-america-inc?pageNo=785", "Renesas Electronics")</f>
        <v>Renesas Electronics</v>
      </c>
      <c r="C23823" s="6">
        <v>18000</v>
      </c>
      <c r="D23823" s="7">
        <v>1.64</v>
      </c>
    </row>
    <row r="23824" spans="1:4" x14ac:dyDescent="0.25">
      <c r="A23824" t="str">
        <f>HYPERLINK("https://www.773grp.com/globalSearch/74HC30TELL-E/page-1", "74HC30TELL-E")</f>
        <v>74HC30TELL-E</v>
      </c>
      <c r="B23824" s="3" t="str">
        <f>HYPERLINK("https://www.773grp.com/manufacturer/renesas-electronics-america-inc?pageNo=786", "Renesas Electronics")</f>
        <v>Renesas Electronics</v>
      </c>
      <c r="C23824" s="6">
        <v>32000</v>
      </c>
      <c r="D23824" s="7">
        <v>1.64</v>
      </c>
    </row>
    <row r="23825" spans="1:4" x14ac:dyDescent="0.25">
      <c r="A23825" t="str">
        <f>HYPERLINK("https://www.773grp.com/globalSearch/74HC4053P-E/page-1", "74HC4053P-E")</f>
        <v>74HC4053P-E</v>
      </c>
      <c r="B23825" s="3" t="str">
        <f>HYPERLINK("https://www.773grp.com/manufacturer/renesas-electronics-america-inc?pageNo=787", "Renesas Electronics")</f>
        <v>Renesas Electronics</v>
      </c>
      <c r="C23825" s="6">
        <v>1000</v>
      </c>
      <c r="D23825" s="7">
        <v>1.64</v>
      </c>
    </row>
    <row r="23826" spans="1:4" x14ac:dyDescent="0.25">
      <c r="A23826" t="str">
        <f>HYPERLINK("https://www.773grp.com/globalSearch/74HCT125P-E/page-1", "74HCT125P-E")</f>
        <v>74HCT125P-E</v>
      </c>
      <c r="B23826" s="3" t="str">
        <f>HYPERLINK("https://www.773grp.com/manufacturer/renesas-electronics-america-inc?pageNo=788", "Renesas Electronics")</f>
        <v>Renesas Electronics</v>
      </c>
      <c r="C23826" s="6">
        <v>5000</v>
      </c>
      <c r="D23826" s="7">
        <v>1.64</v>
      </c>
    </row>
    <row r="23827" spans="1:4" x14ac:dyDescent="0.25">
      <c r="A23827" t="str">
        <f>HYPERLINK("https://www.773grp.com/globalSearch/74HCT126TELL-E/page-1", "74HCT126TELL-E")</f>
        <v>74HCT126TELL-E</v>
      </c>
      <c r="B23827" s="3" t="str">
        <f>HYPERLINK("https://www.773grp.com/manufacturer/renesas-electronics-america-inc?pageNo=789", "Renesas Electronics")</f>
        <v>Renesas Electronics</v>
      </c>
      <c r="C23827" s="6">
        <v>8000</v>
      </c>
      <c r="D23827" s="7">
        <v>1.64</v>
      </c>
    </row>
    <row r="23828" spans="1:4" x14ac:dyDescent="0.25">
      <c r="A23828" t="str">
        <f>HYPERLINK("https://www.773grp.com/globalSearch/M51945AL/page-1", "M51945AL")</f>
        <v>M51945AL</v>
      </c>
      <c r="B23828" s="3" t="str">
        <f>HYPERLINK("https://www.773grp.com/manufacturer/renesas-electronics-america-inc?pageNo=790", "Renesas Electronics")</f>
        <v>Renesas Electronics</v>
      </c>
      <c r="C23828" s="6">
        <v>5800</v>
      </c>
      <c r="D23828" s="7">
        <v>1.64</v>
      </c>
    </row>
    <row r="23829" spans="1:4" x14ac:dyDescent="0.25">
      <c r="A23829" t="str">
        <f>HYPERLINK("https://www.773grp.com/globalSearch/RJK0352DSP-WS#J0/page-1", "RJK0352DSP-WS#J0")</f>
        <v>RJK0352DSP-WS#J0</v>
      </c>
      <c r="B23829" s="3" t="str">
        <f>HYPERLINK("https://www.773grp.com/manufacturer/renesas-electronics-america-inc?pageNo=791", "Renesas Electronics")</f>
        <v>Renesas Electronics</v>
      </c>
      <c r="C23829" s="6">
        <v>1850</v>
      </c>
      <c r="D23829" s="7">
        <v>1.64</v>
      </c>
    </row>
    <row r="23830" spans="1:4" x14ac:dyDescent="0.25">
      <c r="A23830" t="str">
        <f>HYPERLINK("https://www.773grp.com/globalSearch/RJK03M8DNS-00#J5/page-1", "RJK03M8DNS-00#J5")</f>
        <v>RJK03M8DNS-00#J5</v>
      </c>
      <c r="B23830" s="3" t="str">
        <f>HYPERLINK("https://www.773grp.com/manufacturer/renesas-electronics-america-inc?pageNo=792", "Renesas Electronics")</f>
        <v>Renesas Electronics</v>
      </c>
      <c r="C23830" s="6">
        <v>315000</v>
      </c>
      <c r="D23830" s="7">
        <v>1.64</v>
      </c>
    </row>
    <row r="23831" spans="1:4" x14ac:dyDescent="0.25">
      <c r="A23831" t="str">
        <f>HYPERLINK("https://www.773grp.com/globalSearch/RJK03P5DPA-00#J5A/page-1", "RJK03P5DPA-00#J5A")</f>
        <v>RJK03P5DPA-00#J5A</v>
      </c>
      <c r="B23831" s="3" t="str">
        <f>HYPERLINK("https://www.773grp.com/manufacturer/renesas-electronics-america-inc?pageNo=793", "Renesas Electronics")</f>
        <v>Renesas Electronics</v>
      </c>
      <c r="C23831" s="6">
        <v>468000</v>
      </c>
      <c r="D23831" s="7">
        <v>1.64</v>
      </c>
    </row>
    <row r="23832" spans="1:4" x14ac:dyDescent="0.25">
      <c r="A23832" t="str">
        <f>HYPERLINK("https://www.773grp.com/globalSearch/2SB794-AZ/page-1", "2SB794-AZ")</f>
        <v>2SB794-AZ</v>
      </c>
      <c r="B23832" s="3" t="str">
        <f>HYPERLINK("https://www.773grp.com/manufacturer/renesas-electronics-america-inc?pageNo=794", "Renesas Electronics")</f>
        <v>Renesas Electronics</v>
      </c>
      <c r="C23832" s="6">
        <v>5000</v>
      </c>
      <c r="D23832" s="7">
        <v>1.69</v>
      </c>
    </row>
    <row r="23833" spans="1:4" x14ac:dyDescent="0.25">
      <c r="A23833" t="str">
        <f>HYPERLINK("https://www.773grp.com/globalSearch/2SC2690A-AZ/page-1", "2SC2690A-AZ")</f>
        <v>2SC2690A-AZ</v>
      </c>
      <c r="B23833" s="3" t="str">
        <f>HYPERLINK("https://www.773grp.com/manufacturer/renesas-electronics-america-inc?pageNo=795", "Renesas Electronics")</f>
        <v>Renesas Electronics</v>
      </c>
      <c r="C23833" s="6">
        <v>5605</v>
      </c>
      <c r="D23833" s="7">
        <v>1.69</v>
      </c>
    </row>
    <row r="23834" spans="1:4" x14ac:dyDescent="0.25">
      <c r="A23834" t="str">
        <f>HYPERLINK("https://www.773grp.com/globalSearch/2SC2690A-S1-AZ/page-1", "2SC2690A-S1-AZ")</f>
        <v>2SC2690A-S1-AZ</v>
      </c>
      <c r="B23834" s="3" t="str">
        <f>HYPERLINK("https://www.773grp.com/manufacturer/renesas-electronics-america-inc?pageNo=796", "Renesas Electronics")</f>
        <v>Renesas Electronics</v>
      </c>
      <c r="C23834" s="6">
        <v>1760</v>
      </c>
      <c r="D23834" s="7">
        <v>1.69</v>
      </c>
    </row>
    <row r="23835" spans="1:4" x14ac:dyDescent="0.25">
      <c r="A23835" t="str">
        <f>HYPERLINK("https://www.773grp.com/globalSearch/74AC08FP-E/page-1", "74AC08FP-E")</f>
        <v>74AC08FP-E</v>
      </c>
      <c r="B23835" s="3" t="str">
        <f>HYPERLINK("https://www.773grp.com/manufacturer/renesas-electronics-america-inc?pageNo=797", "Renesas Electronics")</f>
        <v>Renesas Electronics</v>
      </c>
      <c r="C23835" s="6">
        <v>1000</v>
      </c>
      <c r="D23835" s="7">
        <v>1.69</v>
      </c>
    </row>
    <row r="23836" spans="1:4" x14ac:dyDescent="0.25">
      <c r="A23836" t="str">
        <f>HYPERLINK("https://www.773grp.com/globalSearch/74AC08P-E/page-1", "74AC08P-E")</f>
        <v>74AC08P-E</v>
      </c>
      <c r="B23836" s="3" t="str">
        <f>HYPERLINK("https://www.773grp.com/manufacturer/renesas-electronics-america-inc?pageNo=798", "Renesas Electronics")</f>
        <v>Renesas Electronics</v>
      </c>
      <c r="C23836" s="6">
        <v>10000</v>
      </c>
      <c r="D23836" s="7">
        <v>1.69</v>
      </c>
    </row>
    <row r="23837" spans="1:4" x14ac:dyDescent="0.25">
      <c r="A23837" t="str">
        <f>HYPERLINK("https://www.773grp.com/globalSearch/HZF5.6CP-JTL/page-1", "HZF5.6CP-JTL")</f>
        <v>HZF5.6CP-JTL</v>
      </c>
      <c r="B23837" s="3" t="str">
        <f>HYPERLINK("https://www.773grp.com/manufacturer/renesas-electronics-america-inc?pageNo=799", "Renesas Electronics")</f>
        <v>Renesas Electronics</v>
      </c>
      <c r="C23837" s="6">
        <v>162000</v>
      </c>
      <c r="D23837" s="7">
        <v>1.69</v>
      </c>
    </row>
    <row r="23838" spans="1:4" x14ac:dyDescent="0.25">
      <c r="A23838" t="str">
        <f>HYPERLINK("https://www.773grp.com/globalSearch/M51952BSL#YF0J/page-1", "M51952BSL#YF0J")</f>
        <v>M51952BSL#YF0J</v>
      </c>
      <c r="B23838" s="3" t="str">
        <f>HYPERLINK("https://www.773grp.com/manufacturer/renesas-electronics-america-inc?pageNo=800", "Renesas Electronics")</f>
        <v>Renesas Electronics</v>
      </c>
      <c r="C23838" s="6">
        <v>5700</v>
      </c>
      <c r="D23838" s="7">
        <v>1.69</v>
      </c>
    </row>
    <row r="23839" spans="1:4" x14ac:dyDescent="0.25">
      <c r="A23839" t="str">
        <f>HYPERLINK("https://www.773grp.com/globalSearch/RJK0212DPA-00#J5A/page-1", "RJK0212DPA-00#J5A")</f>
        <v>RJK0212DPA-00#J5A</v>
      </c>
      <c r="B23839" s="3" t="str">
        <f>HYPERLINK("https://www.773grp.com/manufacturer/renesas-electronics-america-inc?pageNo=801", "Renesas Electronics")</f>
        <v>Renesas Electronics</v>
      </c>
      <c r="C23839" s="6">
        <v>27000</v>
      </c>
      <c r="D23839" s="7">
        <v>1.69</v>
      </c>
    </row>
    <row r="23840" spans="1:4" x14ac:dyDescent="0.25">
      <c r="A23840" t="str">
        <f>HYPERLINK("https://www.773grp.com/globalSearch/2SJ244JYTR-E/page-1", "2SJ244JYTR-E")</f>
        <v>2SJ244JYTR-E</v>
      </c>
      <c r="B23840" s="3" t="str">
        <f>HYPERLINK("https://www.773grp.com/manufacturer/renesas-electronics-america-inc?pageNo=802", "Renesas Electronics")</f>
        <v>Renesas Electronics</v>
      </c>
      <c r="C23840" s="6">
        <v>11000</v>
      </c>
      <c r="D23840" s="7">
        <v>1.74</v>
      </c>
    </row>
    <row r="23841" spans="1:4" x14ac:dyDescent="0.25">
      <c r="A23841" t="str">
        <f>HYPERLINK("https://www.773grp.com/globalSearch/2SK975TZWS-E/page-1", "2SK975TZWS-E")</f>
        <v>2SK975TZWS-E</v>
      </c>
      <c r="B23841" s="3" t="str">
        <f>HYPERLINK("https://www.773grp.com/manufacturer/renesas-electronics-america-inc?pageNo=803", "Renesas Electronics")</f>
        <v>Renesas Electronics</v>
      </c>
      <c r="C23841" s="6">
        <v>2380</v>
      </c>
      <c r="D23841" s="7">
        <v>1.74</v>
      </c>
    </row>
    <row r="23842" spans="1:4" x14ac:dyDescent="0.25">
      <c r="A23842" t="str">
        <f>HYPERLINK("https://www.773grp.com/globalSearch/74HC131P-E/page-1", "74HC131P-E")</f>
        <v>74HC131P-E</v>
      </c>
      <c r="B23842" s="3" t="str">
        <f>HYPERLINK("https://www.773grp.com/manufacturer/renesas-electronics-america-inc?pageNo=804", "Renesas Electronics")</f>
        <v>Renesas Electronics</v>
      </c>
      <c r="C23842" s="6">
        <v>3000</v>
      </c>
      <c r="D23842" s="7">
        <v>1.74</v>
      </c>
    </row>
    <row r="23843" spans="1:4" x14ac:dyDescent="0.25">
      <c r="A23843" t="str">
        <f>HYPERLINK("https://www.773grp.com/globalSearch/74HC158P-E/page-1", "74HC158P-E")</f>
        <v>74HC158P-E</v>
      </c>
      <c r="B23843" s="3" t="str">
        <f>HYPERLINK("https://www.773grp.com/manufacturer/renesas-electronics-america-inc?pageNo=805", "Renesas Electronics")</f>
        <v>Renesas Electronics</v>
      </c>
      <c r="C23843" s="6">
        <v>2000</v>
      </c>
      <c r="D23843" s="7">
        <v>1.74</v>
      </c>
    </row>
    <row r="23844" spans="1:4" x14ac:dyDescent="0.25">
      <c r="A23844" t="str">
        <f>HYPERLINK("https://www.773grp.com/globalSearch/74LS125AFP-E/page-1", "74LS125AFP-E")</f>
        <v>74LS125AFP-E</v>
      </c>
      <c r="B23844" s="3" t="str">
        <f>HYPERLINK("https://www.773grp.com/manufacturer/renesas-electronics-america-inc?pageNo=806", "Renesas Electronics")</f>
        <v>Renesas Electronics</v>
      </c>
      <c r="C23844" s="6">
        <v>4575</v>
      </c>
      <c r="D23844" s="7">
        <v>1.74</v>
      </c>
    </row>
    <row r="23845" spans="1:4" x14ac:dyDescent="0.25">
      <c r="A23845" t="str">
        <f>HYPERLINK("https://www.773grp.com/globalSearch/74LS139FP-E/page-1", "74LS139FP-E")</f>
        <v>74LS139FP-E</v>
      </c>
      <c r="B23845" s="3" t="str">
        <f>HYPERLINK("https://www.773grp.com/manufacturer/renesas-electronics-america-inc?pageNo=807", "Renesas Electronics")</f>
        <v>Renesas Electronics</v>
      </c>
      <c r="C23845" s="6">
        <v>3000</v>
      </c>
      <c r="D23845" s="7">
        <v>1.74</v>
      </c>
    </row>
    <row r="23846" spans="1:4" x14ac:dyDescent="0.25">
      <c r="A23846" t="str">
        <f>HYPERLINK("https://www.773grp.com/globalSearch/74LS139FPEL-E/page-1", "74LS139FPEL-E")</f>
        <v>74LS139FPEL-E</v>
      </c>
      <c r="B23846" s="3" t="str">
        <f>HYPERLINK("https://www.773grp.com/manufacturer/renesas-electronics-america-inc?pageNo=808", "Renesas Electronics")</f>
        <v>Renesas Electronics</v>
      </c>
      <c r="C23846" s="6">
        <v>8000</v>
      </c>
      <c r="D23846" s="7">
        <v>1.74</v>
      </c>
    </row>
    <row r="23847" spans="1:4" x14ac:dyDescent="0.25">
      <c r="A23847" t="str">
        <f>HYPERLINK("https://www.773grp.com/globalSearch/74LS157P-E/page-1", "74LS157P-E")</f>
        <v>74LS157P-E</v>
      </c>
      <c r="B23847" s="3" t="str">
        <f>HYPERLINK("https://www.773grp.com/manufacturer/renesas-electronics-america-inc?pageNo=809", "Renesas Electronics")</f>
        <v>Renesas Electronics</v>
      </c>
      <c r="C23847" s="6">
        <v>1000</v>
      </c>
      <c r="D23847" s="7">
        <v>1.74</v>
      </c>
    </row>
    <row r="23848" spans="1:4" x14ac:dyDescent="0.25">
      <c r="A23848" t="str">
        <f>HYPERLINK("https://www.773grp.com/globalSearch/D74HV1G00VS#H1/page-1", "D74HV1G00VS#H1")</f>
        <v>D74HV1G00VS#H1</v>
      </c>
      <c r="B23848" s="3" t="str">
        <f>HYPERLINK("https://www.773grp.com/manufacturer/renesas-electronics-america-inc?pageNo=810", "Renesas Electronics")</f>
        <v>Renesas Electronics</v>
      </c>
      <c r="C23848" s="6">
        <v>30000</v>
      </c>
      <c r="D23848" s="7">
        <v>1.74</v>
      </c>
    </row>
    <row r="23849" spans="1:4" x14ac:dyDescent="0.25">
      <c r="A23849" t="str">
        <f>HYPERLINK("https://www.773grp.com/globalSearch/RJK0358DSP-00#J0/page-1", "RJK0358DSP-00#J0")</f>
        <v>RJK0358DSP-00#J0</v>
      </c>
      <c r="B23849" s="3" t="str">
        <f>HYPERLINK("https://www.773grp.com/manufacturer/renesas-electronics-america-inc?pageNo=811", "Renesas Electronics")</f>
        <v>Renesas Electronics</v>
      </c>
      <c r="C23849" s="6">
        <v>787500</v>
      </c>
      <c r="D23849" s="7">
        <v>1.74</v>
      </c>
    </row>
    <row r="23850" spans="1:4" x14ac:dyDescent="0.25">
      <c r="A23850" t="str">
        <f>HYPERLINK("https://www.773grp.com/globalSearch/RJK0358DSP-01#J0/page-1", "RJK0358DSP-01#J0")</f>
        <v>RJK0358DSP-01#J0</v>
      </c>
      <c r="B23850" s="3" t="str">
        <f>HYPERLINK("https://www.773grp.com/manufacturer/renesas-electronics-america-inc?pageNo=812", "Renesas Electronics")</f>
        <v>Renesas Electronics</v>
      </c>
      <c r="C23850" s="6">
        <v>225000</v>
      </c>
      <c r="D23850" s="7">
        <v>1.74</v>
      </c>
    </row>
    <row r="23851" spans="1:4" x14ac:dyDescent="0.25">
      <c r="A23851" t="str">
        <f>HYPERLINK("https://www.773grp.com/globalSearch/RJK03E3DNS-WS#J5/page-1", "RJK03E3DNS-WS#J5")</f>
        <v>RJK03E3DNS-WS#J5</v>
      </c>
      <c r="B23851" s="3" t="str">
        <f>HYPERLINK("https://www.773grp.com/manufacturer/renesas-electronics-america-inc?pageNo=813", "Renesas Electronics")</f>
        <v>Renesas Electronics</v>
      </c>
      <c r="C23851" s="6">
        <v>4450</v>
      </c>
      <c r="D23851" s="7">
        <v>1.74</v>
      </c>
    </row>
    <row r="23852" spans="1:4" x14ac:dyDescent="0.25">
      <c r="A23852" t="str">
        <f>HYPERLINK("https://www.773grp.com/globalSearch/UPA2451CTL-E1-A/page-1", "UPA2451CTL-E1-A")</f>
        <v>UPA2451CTL-E1-A</v>
      </c>
      <c r="B23852" s="3" t="str">
        <f>HYPERLINK("https://www.773grp.com/manufacturer/renesas-electronics-america-inc?pageNo=814", "Renesas Electronics")</f>
        <v>Renesas Electronics</v>
      </c>
      <c r="C23852" s="6">
        <v>393000</v>
      </c>
      <c r="D23852" s="7">
        <v>1.74</v>
      </c>
    </row>
    <row r="23853" spans="1:4" x14ac:dyDescent="0.25">
      <c r="A23853" t="str">
        <f>HYPERLINK("https://www.773grp.com/globalSearch/UPA2680T1E-E2-AT/page-1", "UPA2680T1E-E2-AT")</f>
        <v>UPA2680T1E-E2-AT</v>
      </c>
      <c r="B23853" s="3" t="str">
        <f>HYPERLINK("https://www.773grp.com/manufacturer/renesas-electronics-america-inc?pageNo=815", "Renesas Electronics")</f>
        <v>Renesas Electronics</v>
      </c>
      <c r="C23853" s="6">
        <v>564000</v>
      </c>
      <c r="D23853" s="7">
        <v>1.74</v>
      </c>
    </row>
    <row r="23854" spans="1:4" x14ac:dyDescent="0.25">
      <c r="A23854" t="str">
        <f>HYPERLINK("https://www.773grp.com/globalSearch/2SD789ETZ/page-1", "2SD789ETZ")</f>
        <v>2SD789ETZ</v>
      </c>
      <c r="B23854" s="3" t="str">
        <f>HYPERLINK("https://www.773grp.com/manufacturer/renesas-electronics-america-inc?pageNo=816", "Renesas Electronics")</f>
        <v>Renesas Electronics</v>
      </c>
      <c r="C23854" s="6">
        <v>2500</v>
      </c>
      <c r="D23854" s="7">
        <v>1.79</v>
      </c>
    </row>
    <row r="23855" spans="1:4" x14ac:dyDescent="0.25">
      <c r="A23855" t="str">
        <f>HYPERLINK("https://www.773grp.com/globalSearch/74HC09FP-E/page-1", "74HC09FP-E")</f>
        <v>74HC09FP-E</v>
      </c>
      <c r="B23855" s="3" t="str">
        <f>HYPERLINK("https://www.773grp.com/manufacturer/renesas-electronics-america-inc?pageNo=817", "Renesas Electronics")</f>
        <v>Renesas Electronics</v>
      </c>
      <c r="C23855" s="6">
        <v>2000</v>
      </c>
      <c r="D23855" s="7">
        <v>1.79</v>
      </c>
    </row>
    <row r="23856" spans="1:4" x14ac:dyDescent="0.25">
      <c r="A23856" t="str">
        <f>HYPERLINK("https://www.773grp.com/globalSearch/74HC251FP-E/page-1", "74HC251FP-E")</f>
        <v>74HC251FP-E</v>
      </c>
      <c r="B23856" s="3" t="str">
        <f>HYPERLINK("https://www.773grp.com/manufacturer/renesas-electronics-america-inc?pageNo=818", "Renesas Electronics")</f>
        <v>Renesas Electronics</v>
      </c>
      <c r="C23856" s="6">
        <v>4000</v>
      </c>
      <c r="D23856" s="7">
        <v>1.79</v>
      </c>
    </row>
    <row r="23857" spans="1:4" x14ac:dyDescent="0.25">
      <c r="A23857" t="str">
        <f>HYPERLINK("https://www.773grp.com/globalSearch/74HC251P-E/page-1", "74HC251P-E")</f>
        <v>74HC251P-E</v>
      </c>
      <c r="B23857" s="3" t="str">
        <f>HYPERLINK("https://www.773grp.com/manufacturer/renesas-electronics-america-inc?pageNo=819", "Renesas Electronics")</f>
        <v>Renesas Electronics</v>
      </c>
      <c r="C23857" s="6">
        <v>5000</v>
      </c>
      <c r="D23857" s="7">
        <v>1.79</v>
      </c>
    </row>
    <row r="23858" spans="1:4" x14ac:dyDescent="0.25">
      <c r="A23858" t="str">
        <f>HYPERLINK("https://www.773grp.com/globalSearch/74HC258P-E/page-1", "74HC258P-E")</f>
        <v>74HC258P-E</v>
      </c>
      <c r="B23858" s="3" t="str">
        <f>HYPERLINK("https://www.773grp.com/manufacturer/renesas-electronics-america-inc?pageNo=820", "Renesas Electronics")</f>
        <v>Renesas Electronics</v>
      </c>
      <c r="C23858" s="6">
        <v>1000</v>
      </c>
      <c r="D23858" s="7">
        <v>1.79</v>
      </c>
    </row>
    <row r="23859" spans="1:4" x14ac:dyDescent="0.25">
      <c r="A23859" t="str">
        <f>HYPERLINK("https://www.773grp.com/globalSearch/HA17385PS/page-1", "HA17385PS")</f>
        <v>HA17385PS</v>
      </c>
      <c r="B23859" s="3" t="str">
        <f>HYPERLINK("https://www.773grp.com/manufacturer/renesas-electronics-america-inc?pageNo=821", "Renesas Electronics")</f>
        <v>Renesas Electronics</v>
      </c>
      <c r="C23859" s="6">
        <v>2267</v>
      </c>
      <c r="D23859" s="7">
        <v>1.79</v>
      </c>
    </row>
    <row r="23860" spans="1:4" x14ac:dyDescent="0.25">
      <c r="A23860" t="str">
        <f>HYPERLINK("https://www.773grp.com/globalSearch/M51943AHP#CF0J/page-1", "M51943AHP#CF0J")</f>
        <v>M51943AHP#CF0J</v>
      </c>
      <c r="B23860" s="3" t="str">
        <f>HYPERLINK("https://www.773grp.com/manufacturer/renesas-electronics-america-inc?pageNo=822", "Renesas Electronics")</f>
        <v>Renesas Electronics</v>
      </c>
      <c r="C23860" s="6">
        <v>407015</v>
      </c>
      <c r="D23860" s="7">
        <v>1.79</v>
      </c>
    </row>
    <row r="23861" spans="1:4" x14ac:dyDescent="0.25">
      <c r="A23861" t="str">
        <f>HYPERLINK("https://www.773grp.com/globalSearch/UPA2450CTL(1)-E1-A/page-1", "UPA2450CTL(1)-E1-A")</f>
        <v>UPA2450CTL(1)-E1-A</v>
      </c>
      <c r="B23861" s="3" t="str">
        <f>HYPERLINK("https://www.773grp.com/manufacturer/renesas-electronics-america-inc?pageNo=823", "Renesas Electronics")</f>
        <v>Renesas Electronics</v>
      </c>
      <c r="C23861" s="6">
        <v>315000</v>
      </c>
      <c r="D23861" s="7">
        <v>1.79</v>
      </c>
    </row>
    <row r="23862" spans="1:4" x14ac:dyDescent="0.25">
      <c r="A23862" t="str">
        <f>HYPERLINK("https://www.773grp.com/globalSearch/74LS03P-E/page-1", "74LS03P-E")</f>
        <v>74LS03P-E</v>
      </c>
      <c r="B23862" s="3" t="str">
        <f>HYPERLINK("https://www.773grp.com/manufacturer/renesas-electronics-america-inc?pageNo=824", "Renesas Electronics")</f>
        <v>Renesas Electronics</v>
      </c>
      <c r="C23862" s="6">
        <v>9000</v>
      </c>
      <c r="D23862" s="7">
        <v>1.84</v>
      </c>
    </row>
    <row r="23863" spans="1:4" x14ac:dyDescent="0.25">
      <c r="A23863" t="str">
        <f>HYPERLINK("https://www.773grp.com/globalSearch/74LS126AFP-E/page-1", "74LS126AFP-E")</f>
        <v>74LS126AFP-E</v>
      </c>
      <c r="B23863" s="3" t="str">
        <f>HYPERLINK("https://www.773grp.com/manufacturer/renesas-electronics-america-inc?pageNo=825", "Renesas Electronics")</f>
        <v>Renesas Electronics</v>
      </c>
      <c r="C23863" s="6">
        <v>1000</v>
      </c>
      <c r="D23863" s="7">
        <v>1.84</v>
      </c>
    </row>
    <row r="23864" spans="1:4" x14ac:dyDescent="0.25">
      <c r="A23864" t="str">
        <f>HYPERLINK("https://www.773grp.com/globalSearch/74LS175FP-E/page-1", "74LS175FP-E")</f>
        <v>74LS175FP-E</v>
      </c>
      <c r="B23864" s="3" t="str">
        <f>HYPERLINK("https://www.773grp.com/manufacturer/renesas-electronics-america-inc?pageNo=826", "Renesas Electronics")</f>
        <v>Renesas Electronics</v>
      </c>
      <c r="C23864" s="6">
        <v>6462</v>
      </c>
      <c r="D23864" s="7">
        <v>1.84</v>
      </c>
    </row>
    <row r="23865" spans="1:4" x14ac:dyDescent="0.25">
      <c r="A23865" t="str">
        <f>HYPERLINK("https://www.773grp.com/globalSearch/74LS175P-E/page-1", "74LS175P-E")</f>
        <v>74LS175P-E</v>
      </c>
      <c r="B23865" s="3" t="str">
        <f>HYPERLINK("https://www.773grp.com/manufacturer/renesas-electronics-america-inc?pageNo=827", "Renesas Electronics")</f>
        <v>Renesas Electronics</v>
      </c>
      <c r="C23865" s="6">
        <v>1999</v>
      </c>
      <c r="D23865" s="7">
        <v>1.84</v>
      </c>
    </row>
    <row r="23866" spans="1:4" x14ac:dyDescent="0.25">
      <c r="A23866" t="str">
        <f>HYPERLINK("https://www.773grp.com/globalSearch/M51953BL/page-1", "M51953BL")</f>
        <v>M51953BL</v>
      </c>
      <c r="B23866" s="3" t="str">
        <f>HYPERLINK("https://www.773grp.com/manufacturer/renesas-electronics-america-inc?pageNo=828", "Renesas Electronics")</f>
        <v>Renesas Electronics</v>
      </c>
      <c r="C23866" s="6">
        <v>2629</v>
      </c>
      <c r="D23866" s="7">
        <v>1.84</v>
      </c>
    </row>
    <row r="23867" spans="1:4" x14ac:dyDescent="0.25">
      <c r="A23867" t="str">
        <f>HYPERLINK("https://www.773grp.com/globalSearch/M62021FP#TF0J/page-1", "M62021FP#TF0J")</f>
        <v>M62021FP#TF0J</v>
      </c>
      <c r="B23867" s="3" t="str">
        <f>HYPERLINK("https://www.773grp.com/manufacturer/renesas-electronics-america-inc?pageNo=829", "Renesas Electronics")</f>
        <v>Renesas Electronics</v>
      </c>
      <c r="C23867" s="6">
        <v>1654</v>
      </c>
      <c r="D23867" s="7">
        <v>1.84</v>
      </c>
    </row>
    <row r="23868" spans="1:4" x14ac:dyDescent="0.25">
      <c r="A23868" t="str">
        <f>HYPERLINK("https://www.773grp.com/globalSearch/R1EX24016ASA00I#S0/page-1", "R1EX24016ASA00I#S0")</f>
        <v>R1EX24016ASA00I#S0</v>
      </c>
      <c r="B23868" s="3" t="str">
        <f>HYPERLINK("https://www.773grp.com/manufacturer/renesas-electronics-america-inc?pageNo=830", "Renesas Electronics")</f>
        <v>Renesas Electronics</v>
      </c>
      <c r="C23868" s="6">
        <v>32500</v>
      </c>
      <c r="D23868" s="7">
        <v>1.84</v>
      </c>
    </row>
    <row r="23869" spans="1:4" x14ac:dyDescent="0.25">
      <c r="A23869" t="str">
        <f>HYPERLINK("https://www.773grp.com/globalSearch/R1EX24016ATA00I#S0/page-1", "R1EX24016ATA00I#S0")</f>
        <v>R1EX24016ATA00I#S0</v>
      </c>
      <c r="B23869" s="3" t="str">
        <f>HYPERLINK("https://www.773grp.com/manufacturer/renesas-electronics-america-inc?pageNo=831", "Renesas Electronics")</f>
        <v>Renesas Electronics</v>
      </c>
      <c r="C23869" s="6">
        <v>132000</v>
      </c>
      <c r="D23869" s="7">
        <v>1.84</v>
      </c>
    </row>
    <row r="23870" spans="1:4" x14ac:dyDescent="0.25">
      <c r="A23870" t="str">
        <f>HYPERLINK("https://www.773grp.com/globalSearch/74HC132FP-E/page-1", "74HC132FP-E")</f>
        <v>74HC132FP-E</v>
      </c>
      <c r="B23870" s="3" t="str">
        <f>HYPERLINK("https://www.773grp.com/manufacturer/renesas-electronics-america-inc?pageNo=832", "Renesas Electronics")</f>
        <v>Renesas Electronics</v>
      </c>
      <c r="C23870" s="6">
        <v>4000</v>
      </c>
      <c r="D23870" s="7">
        <v>1.91</v>
      </c>
    </row>
    <row r="23871" spans="1:4" x14ac:dyDescent="0.25">
      <c r="A23871" t="str">
        <f>HYPERLINK("https://www.773grp.com/globalSearch/74HC132FPEL-E/page-1", "74HC132FPEL-E")</f>
        <v>74HC132FPEL-E</v>
      </c>
      <c r="B23871" s="3" t="str">
        <f>HYPERLINK("https://www.773grp.com/manufacturer/renesas-electronics-america-inc?pageNo=833", "Renesas Electronics")</f>
        <v>Renesas Electronics</v>
      </c>
      <c r="C23871" s="6">
        <v>6000</v>
      </c>
      <c r="D23871" s="7">
        <v>1.91</v>
      </c>
    </row>
    <row r="23872" spans="1:4" x14ac:dyDescent="0.25">
      <c r="A23872" t="str">
        <f>HYPERLINK("https://www.773grp.com/globalSearch/74HC161TELL-E/page-1", "74HC161TELL-E")</f>
        <v>74HC161TELL-E</v>
      </c>
      <c r="B23872" s="3" t="str">
        <f>HYPERLINK("https://www.773grp.com/manufacturer/renesas-electronics-america-inc?pageNo=834", "Renesas Electronics")</f>
        <v>Renesas Electronics</v>
      </c>
      <c r="C23872" s="6">
        <v>14000</v>
      </c>
      <c r="D23872" s="7">
        <v>1.91</v>
      </c>
    </row>
    <row r="23873" spans="1:4" x14ac:dyDescent="0.25">
      <c r="A23873" t="str">
        <f>HYPERLINK("https://www.773grp.com/globalSearch/74HC163FP-E/page-1", "74HC163FP-E")</f>
        <v>74HC163FP-E</v>
      </c>
      <c r="B23873" s="3" t="str">
        <f>HYPERLINK("https://www.773grp.com/manufacturer/renesas-electronics-america-inc?pageNo=835", "Renesas Electronics")</f>
        <v>Renesas Electronics</v>
      </c>
      <c r="C23873" s="6">
        <v>1000</v>
      </c>
      <c r="D23873" s="7">
        <v>1.91</v>
      </c>
    </row>
    <row r="23874" spans="1:4" x14ac:dyDescent="0.25">
      <c r="A23874" t="str">
        <f>HYPERLINK("https://www.773grp.com/globalSearch/74HC30FPEL-E/page-1", "74HC30FPEL-E")</f>
        <v>74HC30FPEL-E</v>
      </c>
      <c r="B23874" s="3" t="str">
        <f>HYPERLINK("https://www.773grp.com/manufacturer/renesas-electronics-america-inc?pageNo=836", "Renesas Electronics")</f>
        <v>Renesas Electronics</v>
      </c>
      <c r="C23874" s="6">
        <v>10000</v>
      </c>
      <c r="D23874" s="7">
        <v>1.91</v>
      </c>
    </row>
    <row r="23875" spans="1:4" x14ac:dyDescent="0.25">
      <c r="A23875" t="str">
        <f>HYPERLINK("https://www.773grp.com/globalSearch/74HC85P-E/page-1", "74HC85P-E")</f>
        <v>74HC85P-E</v>
      </c>
      <c r="B23875" s="3" t="str">
        <f>HYPERLINK("https://www.773grp.com/manufacturer/renesas-electronics-america-inc?pageNo=837", "Renesas Electronics")</f>
        <v>Renesas Electronics</v>
      </c>
      <c r="C23875" s="6">
        <v>1000</v>
      </c>
      <c r="D23875" s="7">
        <v>1.91</v>
      </c>
    </row>
    <row r="23876" spans="1:4" x14ac:dyDescent="0.25">
      <c r="A23876" t="str">
        <f>HYPERLINK("https://www.773grp.com/globalSearch/74HCT240FPV-E/page-1", "74HCT240FPV-E")</f>
        <v>74HCT240FPV-E</v>
      </c>
      <c r="B23876" s="3" t="str">
        <f>HYPERLINK("https://www.773grp.com/manufacturer/renesas-electronics-america-inc?pageNo=838", "Renesas Electronics")</f>
        <v>Renesas Electronics</v>
      </c>
      <c r="C23876" s="6">
        <v>3000</v>
      </c>
      <c r="D23876" s="7">
        <v>1.91</v>
      </c>
    </row>
    <row r="23877" spans="1:4" x14ac:dyDescent="0.25">
      <c r="A23877" t="str">
        <f>HYPERLINK("https://www.773grp.com/globalSearch/74HCT240FPVEL-E/page-1", "74HCT240FPVEL-E")</f>
        <v>74HCT240FPVEL-E</v>
      </c>
      <c r="B23877" s="3" t="str">
        <f>HYPERLINK("https://www.773grp.com/manufacturer/renesas-electronics-america-inc?pageNo=839", "Renesas Electronics")</f>
        <v>Renesas Electronics</v>
      </c>
      <c r="C23877" s="6">
        <v>2000</v>
      </c>
      <c r="D23877" s="7">
        <v>1.91</v>
      </c>
    </row>
    <row r="23878" spans="1:4" x14ac:dyDescent="0.25">
      <c r="A23878" t="str">
        <f>HYPERLINK("https://www.773grp.com/globalSearch/74HCT241PV-E/page-1", "74HCT241PV-E")</f>
        <v>74HCT241PV-E</v>
      </c>
      <c r="B23878" s="3" t="str">
        <f>HYPERLINK("https://www.773grp.com/manufacturer/renesas-electronics-america-inc?pageNo=840", "Renesas Electronics")</f>
        <v>Renesas Electronics</v>
      </c>
      <c r="C23878" s="6">
        <v>3000</v>
      </c>
      <c r="D23878" s="7">
        <v>1.91</v>
      </c>
    </row>
    <row r="23879" spans="1:4" x14ac:dyDescent="0.25">
      <c r="A23879" t="str">
        <f>HYPERLINK("https://www.773grp.com/globalSearch/74LS157FPEL-E/page-1", "74LS157FPEL-E")</f>
        <v>74LS157FPEL-E</v>
      </c>
      <c r="B23879" s="3" t="str">
        <f>HYPERLINK("https://www.773grp.com/manufacturer/renesas-electronics-america-inc?pageNo=841", "Renesas Electronics")</f>
        <v>Renesas Electronics</v>
      </c>
      <c r="C23879" s="6">
        <v>6000</v>
      </c>
      <c r="D23879" s="7">
        <v>1.91</v>
      </c>
    </row>
    <row r="23880" spans="1:4" x14ac:dyDescent="0.25">
      <c r="A23880" t="str">
        <f>HYPERLINK("https://www.773grp.com/globalSearch/74LS27P-E/page-1", "74LS27P-E")</f>
        <v>74LS27P-E</v>
      </c>
      <c r="B23880" s="3" t="str">
        <f>HYPERLINK("https://www.773grp.com/manufacturer/renesas-electronics-america-inc?pageNo=842", "Renesas Electronics")</f>
        <v>Renesas Electronics</v>
      </c>
      <c r="C23880" s="6">
        <v>3000</v>
      </c>
      <c r="D23880" s="7">
        <v>1.91</v>
      </c>
    </row>
    <row r="23881" spans="1:4" x14ac:dyDescent="0.25">
      <c r="A23881" t="str">
        <f>HYPERLINK("https://www.773grp.com/globalSearch/UPC78L05J-A/page-1", "UPC78L05J-A")</f>
        <v>UPC78L05J-A</v>
      </c>
      <c r="B23881" s="3" t="str">
        <f>HYPERLINK("https://www.773grp.com/manufacturer/renesas-electronics-america-inc?pageNo=843", "Renesas Electronics")</f>
        <v>Renesas Electronics</v>
      </c>
      <c r="C23881" s="6">
        <v>938012</v>
      </c>
      <c r="D23881" s="7">
        <v>1.91</v>
      </c>
    </row>
    <row r="23882" spans="1:4" x14ac:dyDescent="0.25">
      <c r="A23882" t="str">
        <f>HYPERLINK("https://www.773grp.com/globalSearch/UPC78L05J-T-A/page-1", "UPC78L05J-T-A")</f>
        <v>UPC78L05J-T-A</v>
      </c>
      <c r="B23882" s="3" t="str">
        <f>HYPERLINK("https://www.773grp.com/manufacturer/renesas-electronics-america-inc?pageNo=844", "Renesas Electronics")</f>
        <v>Renesas Electronics</v>
      </c>
      <c r="C23882" s="6">
        <v>347500</v>
      </c>
      <c r="D23882" s="7">
        <v>1.91</v>
      </c>
    </row>
    <row r="23883" spans="1:4" x14ac:dyDescent="0.25">
      <c r="A23883" t="str">
        <f>HYPERLINK("https://www.773grp.com/globalSearch/2SD1286-Z-E1-AZ/page-1", "2SD1286-Z-E1-AZ")</f>
        <v>2SD1286-Z-E1-AZ</v>
      </c>
      <c r="B23883" s="3" t="str">
        <f>HYPERLINK("https://www.773grp.com/manufacturer/renesas-electronics-america-inc?pageNo=845", "Renesas Electronics")</f>
        <v>Renesas Electronics</v>
      </c>
      <c r="C23883" s="6">
        <v>4000</v>
      </c>
      <c r="D23883" s="7">
        <v>1.96</v>
      </c>
    </row>
    <row r="23884" spans="1:4" x14ac:dyDescent="0.25">
      <c r="A23884" t="str">
        <f>HYPERLINK("https://www.773grp.com/globalSearch/2SJ317NYTR-E/page-1", "2SJ317NYTR-E")</f>
        <v>2SJ317NYTR-E</v>
      </c>
      <c r="B23884" s="3" t="str">
        <f>HYPERLINK("https://www.773grp.com/manufacturer/renesas-electronics-america-inc?pageNo=846", "Renesas Electronics")</f>
        <v>Renesas Electronics</v>
      </c>
      <c r="C23884" s="6">
        <v>4000</v>
      </c>
      <c r="D23884" s="7">
        <v>1.96</v>
      </c>
    </row>
    <row r="23885" spans="1:4" x14ac:dyDescent="0.25">
      <c r="A23885" t="str">
        <f>HYPERLINK("https://www.773grp.com/globalSearch/74HC10FPEL-E/page-1", "74HC10FPEL-E")</f>
        <v>74HC10FPEL-E</v>
      </c>
      <c r="B23885" s="3" t="str">
        <f>HYPERLINK("https://www.773grp.com/manufacturer/renesas-electronics-america-inc?pageNo=847", "Renesas Electronics")</f>
        <v>Renesas Electronics</v>
      </c>
      <c r="C23885" s="6">
        <v>2000</v>
      </c>
      <c r="D23885" s="7">
        <v>1.96</v>
      </c>
    </row>
    <row r="23886" spans="1:4" x14ac:dyDescent="0.25">
      <c r="A23886" t="str">
        <f>HYPERLINK("https://www.773grp.com/globalSearch/74LS122P-E/page-1", "74LS122P-E")</f>
        <v>74LS122P-E</v>
      </c>
      <c r="B23886" s="3" t="str">
        <f>HYPERLINK("https://www.773grp.com/manufacturer/renesas-electronics-america-inc?pageNo=848", "Renesas Electronics")</f>
        <v>Renesas Electronics</v>
      </c>
      <c r="C23886" s="6">
        <v>3000</v>
      </c>
      <c r="D23886" s="7">
        <v>1.96</v>
      </c>
    </row>
    <row r="23887" spans="1:4" x14ac:dyDescent="0.25">
      <c r="A23887" t="str">
        <f>HYPERLINK("https://www.773grp.com/globalSearch/HA17431PAJ-E/page-1", "HA17431PAJ-E")</f>
        <v>HA17431PAJ-E</v>
      </c>
      <c r="B23887" s="3" t="str">
        <f>HYPERLINK("https://www.773grp.com/manufacturer/renesas-electronics-america-inc?pageNo=849", "Renesas Electronics")</f>
        <v>Renesas Electronics</v>
      </c>
      <c r="C23887" s="6">
        <v>1053</v>
      </c>
      <c r="D23887" s="7">
        <v>1.96</v>
      </c>
    </row>
    <row r="23888" spans="1:4" x14ac:dyDescent="0.25">
      <c r="A23888" t="str">
        <f>HYPERLINK("https://www.773grp.com/globalSearch/M5237L#AG0J/page-1", "M5237L#AG0J")</f>
        <v>M5237L#AG0J</v>
      </c>
      <c r="B23888" s="3" t="str">
        <f>HYPERLINK("https://www.773grp.com/manufacturer/renesas-electronics-america-inc?pageNo=850", "Renesas Electronics")</f>
        <v>Renesas Electronics</v>
      </c>
      <c r="C23888" s="6">
        <v>12500</v>
      </c>
      <c r="D23888" s="7">
        <v>1.96</v>
      </c>
    </row>
    <row r="23889" spans="1:4" x14ac:dyDescent="0.25">
      <c r="A23889" t="str">
        <f>HYPERLINK("https://www.773grp.com/globalSearch/RJK0211DPA-00#J5A/page-1", "RJK0211DPA-00#J5A")</f>
        <v>RJK0211DPA-00#J5A</v>
      </c>
      <c r="B23889" s="3" t="str">
        <f>HYPERLINK("https://www.773grp.com/manufacturer/renesas-electronics-america-inc?pageNo=851", "Renesas Electronics")</f>
        <v>Renesas Electronics</v>
      </c>
      <c r="C23889" s="6">
        <v>33000</v>
      </c>
      <c r="D23889" s="7">
        <v>1.96</v>
      </c>
    </row>
    <row r="23890" spans="1:4" x14ac:dyDescent="0.25">
      <c r="A23890" t="str">
        <f>HYPERLINK("https://www.773grp.com/globalSearch/RJK03K2DPA-00#J5A/page-1", "RJK03K2DPA-00#J5A")</f>
        <v>RJK03K2DPA-00#J5A</v>
      </c>
      <c r="B23890" s="3" t="str">
        <f>HYPERLINK("https://www.773grp.com/manufacturer/renesas-electronics-america-inc?pageNo=852", "Renesas Electronics")</f>
        <v>Renesas Electronics</v>
      </c>
      <c r="C23890" s="6">
        <v>51000</v>
      </c>
      <c r="D23890" s="7">
        <v>1.96</v>
      </c>
    </row>
    <row r="23891" spans="1:4" x14ac:dyDescent="0.25">
      <c r="A23891" t="str">
        <f>HYPERLINK("https://www.773grp.com/globalSearch/RJK03K6DPA-00#J5A/page-1", "RJK03K6DPA-00#J5A")</f>
        <v>RJK03K6DPA-00#J5A</v>
      </c>
      <c r="B23891" s="3" t="str">
        <f>HYPERLINK("https://www.773grp.com/manufacturer/renesas-electronics-america-inc?pageNo=853", "Renesas Electronics")</f>
        <v>Renesas Electronics</v>
      </c>
      <c r="C23891" s="6">
        <v>84000</v>
      </c>
      <c r="D23891" s="7">
        <v>1.96</v>
      </c>
    </row>
    <row r="23892" spans="1:4" x14ac:dyDescent="0.25">
      <c r="A23892" t="str">
        <f>HYPERLINK("https://www.773grp.com/globalSearch/03P2M(DC1)-AZ/page-1", "03P2M(DC1)-AZ")</f>
        <v>03P2M(DC1)-AZ</v>
      </c>
      <c r="B23892" s="3" t="str">
        <f>HYPERLINK("https://www.773grp.com/manufacturer/renesas-electronics-america-inc?pageNo=854", "Renesas Electronics")</f>
        <v>Renesas Electronics</v>
      </c>
      <c r="C23892" s="6">
        <v>39</v>
      </c>
      <c r="D23892" s="7">
        <v>2.0099999999999998</v>
      </c>
    </row>
    <row r="23893" spans="1:4" x14ac:dyDescent="0.25">
      <c r="A23893" t="str">
        <f>HYPERLINK("https://www.773grp.com/globalSearch/74HC05FPEL-E/page-1", "74HC05FPEL-E")</f>
        <v>74HC05FPEL-E</v>
      </c>
      <c r="B23893" s="3" t="str">
        <f>HYPERLINK("https://www.773grp.com/manufacturer/renesas-electronics-america-inc?pageNo=855", "Renesas Electronics")</f>
        <v>Renesas Electronics</v>
      </c>
      <c r="C23893" s="6">
        <v>2000</v>
      </c>
      <c r="D23893" s="7">
        <v>2.0099999999999998</v>
      </c>
    </row>
    <row r="23894" spans="1:4" x14ac:dyDescent="0.25">
      <c r="A23894" t="str">
        <f>HYPERLINK("https://www.773grp.com/globalSearch/74HC51FP-E/page-1", "74HC51FP-E")</f>
        <v>74HC51FP-E</v>
      </c>
      <c r="B23894" s="3" t="str">
        <f>HYPERLINK("https://www.773grp.com/manufacturer/renesas-electronics-america-inc?pageNo=856", "Renesas Electronics")</f>
        <v>Renesas Electronics</v>
      </c>
      <c r="C23894" s="6">
        <v>5000</v>
      </c>
      <c r="D23894" s="7">
        <v>2.0099999999999998</v>
      </c>
    </row>
    <row r="23895" spans="1:4" x14ac:dyDescent="0.25">
      <c r="A23895" t="str">
        <f>HYPERLINK("https://www.773grp.com/globalSearch/74HC51FPEL-E/page-1", "74HC51FPEL-E")</f>
        <v>74HC51FPEL-E</v>
      </c>
      <c r="B23895" s="3" t="str">
        <f>HYPERLINK("https://www.773grp.com/manufacturer/renesas-electronics-america-inc?pageNo=857", "Renesas Electronics")</f>
        <v>Renesas Electronics</v>
      </c>
      <c r="C23895" s="6">
        <v>22000</v>
      </c>
      <c r="D23895" s="7">
        <v>2.0099999999999998</v>
      </c>
    </row>
    <row r="23896" spans="1:4" x14ac:dyDescent="0.25">
      <c r="A23896" t="str">
        <f>HYPERLINK("https://www.773grp.com/globalSearch/HA17903PS-E/page-1", "HA17903PS-E")</f>
        <v>HA17903PS-E</v>
      </c>
      <c r="B23896" s="3" t="str">
        <f>HYPERLINK("https://www.773grp.com/manufacturer/renesas-electronics-america-inc?pageNo=858", "Renesas Electronics")</f>
        <v>Renesas Electronics</v>
      </c>
      <c r="C23896" s="6">
        <v>3633</v>
      </c>
      <c r="D23896" s="7">
        <v>2.0099999999999998</v>
      </c>
    </row>
    <row r="23897" spans="1:4" x14ac:dyDescent="0.25">
      <c r="A23897" t="str">
        <f>HYPERLINK("https://www.773grp.com/globalSearch/M5233FP#TF1J/page-1", "M5233FP#TF1J")</f>
        <v>M5233FP#TF1J</v>
      </c>
      <c r="B23897" s="3" t="str">
        <f>HYPERLINK("https://www.773grp.com/manufacturer/renesas-electronics-america-inc?pageNo=859", "Renesas Electronics")</f>
        <v>Renesas Electronics</v>
      </c>
      <c r="C23897" s="6">
        <v>8832</v>
      </c>
      <c r="D23897" s="7">
        <v>2.0099999999999998</v>
      </c>
    </row>
    <row r="23898" spans="1:4" x14ac:dyDescent="0.25">
      <c r="A23898" t="str">
        <f>HYPERLINK("https://www.773grp.com/globalSearch/2SK1283(1)-AZ/page-1", "2SK1283(1)-AZ")</f>
        <v>2SK1283(1)-AZ</v>
      </c>
      <c r="B23898" s="3" t="str">
        <f>HYPERLINK("https://www.773grp.com/manufacturer/renesas-electronics-america-inc?pageNo=860", "Renesas Electronics")</f>
        <v>Renesas Electronics</v>
      </c>
      <c r="C23898" s="6">
        <v>1400</v>
      </c>
      <c r="D23898" s="7">
        <v>2.06</v>
      </c>
    </row>
    <row r="23899" spans="1:4" x14ac:dyDescent="0.25">
      <c r="A23899" t="str">
        <f>HYPERLINK("https://www.773grp.com/globalSearch/M5224P/page-1", "M5224P")</f>
        <v>M5224P</v>
      </c>
      <c r="B23899" s="3" t="str">
        <f>HYPERLINK("https://www.773grp.com/manufacturer/renesas-electronics-america-inc?pageNo=861", "Renesas Electronics")</f>
        <v>Renesas Electronics</v>
      </c>
      <c r="C23899" s="6">
        <v>4917</v>
      </c>
      <c r="D23899" s="7">
        <v>2.06</v>
      </c>
    </row>
    <row r="23900" spans="1:4" x14ac:dyDescent="0.25">
      <c r="A23900" t="str">
        <f>HYPERLINK("https://www.773grp.com/globalSearch/M62030FP#TF0R/page-1", "M62030FP#TF0R")</f>
        <v>M62030FP#TF0R</v>
      </c>
      <c r="B23900" s="3" t="str">
        <f>HYPERLINK("https://www.773grp.com/manufacturer/renesas-electronics-america-inc?pageNo=862", "Renesas Electronics")</f>
        <v>Renesas Electronics</v>
      </c>
      <c r="C23900" s="6">
        <v>4413</v>
      </c>
      <c r="D23900" s="7">
        <v>2.06</v>
      </c>
    </row>
    <row r="23901" spans="1:4" x14ac:dyDescent="0.25">
      <c r="A23901" t="str">
        <f>HYPERLINK("https://www.773grp.com/globalSearch/M62337FP#TF0R/page-1", "M62337FP#TF0R")</f>
        <v>M62337FP#TF0R</v>
      </c>
      <c r="B23901" s="3" t="str">
        <f>HYPERLINK("https://www.773grp.com/manufacturer/renesas-electronics-america-inc?pageNo=863", "Renesas Electronics")</f>
        <v>Renesas Electronics</v>
      </c>
      <c r="C23901" s="6">
        <v>50</v>
      </c>
      <c r="D23901" s="7">
        <v>2.06</v>
      </c>
    </row>
    <row r="23902" spans="1:4" x14ac:dyDescent="0.25">
      <c r="A23902" t="str">
        <f>HYPERLINK("https://www.773grp.com/globalSearch/2SA1395-AZ/page-1", "2SA1395-AZ")</f>
        <v>2SA1395-AZ</v>
      </c>
      <c r="B23902" s="3" t="str">
        <f>HYPERLINK("https://www.773grp.com/manufacturer/renesas-electronics-america-inc?pageNo=864", "Renesas Electronics")</f>
        <v>Renesas Electronics</v>
      </c>
      <c r="C23902" s="6">
        <v>1770</v>
      </c>
      <c r="D23902" s="7">
        <v>2.11</v>
      </c>
    </row>
    <row r="23903" spans="1:4" x14ac:dyDescent="0.25">
      <c r="A23903" t="str">
        <f>HYPERLINK("https://www.773grp.com/globalSearch/2SC4346-Z-E1-AZ/page-1", "2SC4346-Z-E1-AZ")</f>
        <v>2SC4346-Z-E1-AZ</v>
      </c>
      <c r="B23903" s="3" t="str">
        <f>HYPERLINK("https://www.773grp.com/manufacturer/renesas-electronics-america-inc?pageNo=865", "Renesas Electronics")</f>
        <v>Renesas Electronics</v>
      </c>
      <c r="C23903" s="6">
        <v>6000</v>
      </c>
      <c r="D23903" s="7">
        <v>2.11</v>
      </c>
    </row>
    <row r="23904" spans="1:4" x14ac:dyDescent="0.25">
      <c r="A23904" t="str">
        <f>HYPERLINK("https://www.773grp.com/globalSearch/2SD1692-AZ/page-1", "2SD1692-AZ")</f>
        <v>2SD1692-AZ</v>
      </c>
      <c r="B23904" s="3" t="str">
        <f>HYPERLINK("https://www.773grp.com/manufacturer/renesas-electronics-america-inc?pageNo=866", "Renesas Electronics")</f>
        <v>Renesas Electronics</v>
      </c>
      <c r="C23904" s="6">
        <v>6400</v>
      </c>
      <c r="D23904" s="7">
        <v>2.11</v>
      </c>
    </row>
    <row r="23905" spans="1:4" x14ac:dyDescent="0.25">
      <c r="A23905" t="str">
        <f>HYPERLINK("https://www.773grp.com/globalSearch/74AC02TELL-E/page-1", "74AC02TELL-E")</f>
        <v>74AC02TELL-E</v>
      </c>
      <c r="B23905" s="3" t="str">
        <f>HYPERLINK("https://www.773grp.com/manufacturer/renesas-electronics-america-inc?pageNo=867", "Renesas Electronics")</f>
        <v>Renesas Electronics</v>
      </c>
      <c r="C23905" s="6">
        <v>4000</v>
      </c>
      <c r="D23905" s="7">
        <v>2.11</v>
      </c>
    </row>
    <row r="23906" spans="1:4" x14ac:dyDescent="0.25">
      <c r="A23906" t="str">
        <f>HYPERLINK("https://www.773grp.com/globalSearch/74HC139FP-E/page-1", "74HC139FP-E")</f>
        <v>74HC139FP-E</v>
      </c>
      <c r="B23906" s="3" t="str">
        <f>HYPERLINK("https://www.773grp.com/manufacturer/renesas-electronics-america-inc?pageNo=868", "Renesas Electronics")</f>
        <v>Renesas Electronics</v>
      </c>
      <c r="C23906" s="6">
        <v>4000</v>
      </c>
      <c r="D23906" s="7">
        <v>2.11</v>
      </c>
    </row>
    <row r="23907" spans="1:4" x14ac:dyDescent="0.25">
      <c r="A23907" t="str">
        <f>HYPERLINK("https://www.773grp.com/globalSearch/74LS241P-E/page-1", "74LS241P-E")</f>
        <v>74LS241P-E</v>
      </c>
      <c r="B23907" s="3" t="str">
        <f>HYPERLINK("https://www.773grp.com/manufacturer/renesas-electronics-america-inc?pageNo=869", "Renesas Electronics")</f>
        <v>Renesas Electronics</v>
      </c>
      <c r="C23907" s="6">
        <v>2000</v>
      </c>
      <c r="D23907" s="7">
        <v>2.11</v>
      </c>
    </row>
    <row r="23908" spans="1:4" x14ac:dyDescent="0.25">
      <c r="A23908" t="str">
        <f>HYPERLINK("https://www.773grp.com/globalSearch/M5223AP#TF0Z/page-1", "M5223AP#TF0Z")</f>
        <v>M5223AP#TF0Z</v>
      </c>
      <c r="B23908" s="3" t="str">
        <f>HYPERLINK("https://www.773grp.com/manufacturer/renesas-electronics-america-inc?pageNo=870", "Renesas Electronics")</f>
        <v>Renesas Electronics</v>
      </c>
      <c r="C23908" s="6">
        <v>3264</v>
      </c>
      <c r="D23908" s="7">
        <v>2.11</v>
      </c>
    </row>
    <row r="23909" spans="1:4" x14ac:dyDescent="0.25">
      <c r="A23909" t="str">
        <f>HYPERLINK("https://www.773grp.com/globalSearch/M5238AP#TF0Z/page-1", "M5238AP#TF0Z")</f>
        <v>M5238AP#TF0Z</v>
      </c>
      <c r="B23909" s="3" t="str">
        <f>HYPERLINK("https://www.773grp.com/manufacturer/renesas-electronics-america-inc?pageNo=871", "Renesas Electronics")</f>
        <v>Renesas Electronics</v>
      </c>
      <c r="C23909" s="6">
        <v>2962</v>
      </c>
      <c r="D23909" s="7">
        <v>2.11</v>
      </c>
    </row>
    <row r="23910" spans="1:4" x14ac:dyDescent="0.25">
      <c r="A23910" t="str">
        <f>HYPERLINK("https://www.773grp.com/globalSearch/R2A20050NS#W00B/page-1", "R2A20050NS#W00B")</f>
        <v>R2A20050NS#W00B</v>
      </c>
      <c r="B23910" s="3" t="str">
        <f>HYPERLINK("https://www.773grp.com/manufacturer/renesas-electronics-america-inc?pageNo=872", "Renesas Electronics")</f>
        <v>Renesas Electronics</v>
      </c>
      <c r="C23910" s="6">
        <v>5000</v>
      </c>
      <c r="D23910" s="7">
        <v>2.11</v>
      </c>
    </row>
    <row r="23911" spans="1:4" x14ac:dyDescent="0.25">
      <c r="A23911" t="str">
        <f>HYPERLINK("https://www.773grp.com/globalSearch/RJK0396DPA-00#J53/page-1", "RJK0396DPA-00#J53")</f>
        <v>RJK0396DPA-00#J53</v>
      </c>
      <c r="B23911" s="3" t="str">
        <f>HYPERLINK("https://www.773grp.com/manufacturer/renesas-electronics-america-inc?pageNo=873", "Renesas Electronics")</f>
        <v>Renesas Electronics</v>
      </c>
      <c r="C23911" s="6">
        <v>21000</v>
      </c>
      <c r="D23911" s="7">
        <v>2.11</v>
      </c>
    </row>
    <row r="23912" spans="1:4" x14ac:dyDescent="0.25">
      <c r="A23912" t="str">
        <f>HYPERLINK("https://www.773grp.com/globalSearch/RJK03A4DPA-00#J53/page-1", "RJK03A4DPA-00#J53")</f>
        <v>RJK03A4DPA-00#J53</v>
      </c>
      <c r="B23912" s="3" t="str">
        <f>HYPERLINK("https://www.773grp.com/manufacturer/renesas-electronics-america-inc?pageNo=874", "Renesas Electronics")</f>
        <v>Renesas Electronics</v>
      </c>
      <c r="C23912" s="6">
        <v>9000</v>
      </c>
      <c r="D23912" s="7">
        <v>2.11</v>
      </c>
    </row>
    <row r="23913" spans="1:4" x14ac:dyDescent="0.25">
      <c r="A23913" t="str">
        <f>HYPERLINK("https://www.773grp.com/globalSearch/RJK03K1DPA-00#J5A/page-1", "RJK03K1DPA-00#J5A")</f>
        <v>RJK03K1DPA-00#J5A</v>
      </c>
      <c r="B23913" s="3" t="str">
        <f>HYPERLINK("https://www.773grp.com/manufacturer/renesas-electronics-america-inc?pageNo=875", "Renesas Electronics")</f>
        <v>Renesas Electronics</v>
      </c>
      <c r="C23913" s="6">
        <v>3000</v>
      </c>
      <c r="D23913" s="7">
        <v>2.11</v>
      </c>
    </row>
    <row r="23914" spans="1:4" x14ac:dyDescent="0.25">
      <c r="A23914" t="str">
        <f>HYPERLINK("https://www.773grp.com/globalSearch/2SA1385/page-1", "2SA1385")</f>
        <v>2SA1385</v>
      </c>
      <c r="B23914" s="3" t="str">
        <f>HYPERLINK("https://www.773grp.com/manufacturer/renesas-electronics-america-inc?pageNo=876", "Renesas Electronics")</f>
        <v>Renesas Electronics</v>
      </c>
      <c r="C23914" s="6">
        <v>14517</v>
      </c>
      <c r="D23914" s="7">
        <v>2.16</v>
      </c>
    </row>
    <row r="23915" spans="1:4" x14ac:dyDescent="0.25">
      <c r="A23915" t="str">
        <f>HYPERLINK("https://www.773grp.com/globalSearch/M5218AFP#TF0Z/page-1", "M5218AFP#TF0Z")</f>
        <v>M5218AFP#TF0Z</v>
      </c>
      <c r="B23915" s="3" t="str">
        <f>HYPERLINK("https://www.773grp.com/manufacturer/renesas-electronics-america-inc?pageNo=877", "Renesas Electronics")</f>
        <v>Renesas Electronics</v>
      </c>
      <c r="C23915" s="6">
        <v>644</v>
      </c>
      <c r="D23915" s="7">
        <v>2.16</v>
      </c>
    </row>
    <row r="23916" spans="1:4" x14ac:dyDescent="0.25">
      <c r="A23916" t="str">
        <f>HYPERLINK("https://www.773grp.com/globalSearch/RJK03N6DPA-00#J5A/page-1", "RJK03N6DPA-00#J5A")</f>
        <v>RJK03N6DPA-00#J5A</v>
      </c>
      <c r="B23916" s="3" t="str">
        <f>HYPERLINK("https://www.773grp.com/manufacturer/renesas-electronics-america-inc?pageNo=878", "Renesas Electronics")</f>
        <v>Renesas Electronics</v>
      </c>
      <c r="C23916" s="6">
        <v>2247000</v>
      </c>
      <c r="D23916" s="7">
        <v>2.16</v>
      </c>
    </row>
    <row r="23917" spans="1:4" x14ac:dyDescent="0.25">
      <c r="A23917" t="str">
        <f>HYPERLINK("https://www.773grp.com/globalSearch/UPC1093J-A/page-1", "UPC1093J-A")</f>
        <v>UPC1093J-A</v>
      </c>
      <c r="B23917" s="3" t="str">
        <f>HYPERLINK("https://www.773grp.com/manufacturer/renesas-electronics-america-inc?pageNo=879", "Renesas Electronics")</f>
        <v>Renesas Electronics</v>
      </c>
      <c r="C23917" s="6">
        <v>219692</v>
      </c>
      <c r="D23917" s="7">
        <v>2.16</v>
      </c>
    </row>
    <row r="23918" spans="1:4" x14ac:dyDescent="0.25">
      <c r="A23918" t="str">
        <f>HYPERLINK("https://www.773grp.com/globalSearch/2SK2788VYWS-E/page-1", "2SK2788VYWS-E")</f>
        <v>2SK2788VYWS-E</v>
      </c>
      <c r="B23918" s="3" t="str">
        <f>HYPERLINK("https://www.773grp.com/manufacturer/renesas-electronics-america-inc?pageNo=880", "Renesas Electronics")</f>
        <v>Renesas Electronics</v>
      </c>
      <c r="C23918" s="6">
        <v>999</v>
      </c>
      <c r="D23918" s="7">
        <v>2.21</v>
      </c>
    </row>
    <row r="23919" spans="1:4" x14ac:dyDescent="0.25">
      <c r="A23919" t="str">
        <f>HYPERLINK("https://www.773grp.com/globalSearch/74HC148FPEL-E/page-1", "74HC148FPEL-E")</f>
        <v>74HC148FPEL-E</v>
      </c>
      <c r="B23919" s="3" t="str">
        <f>HYPERLINK("https://www.773grp.com/manufacturer/renesas-electronics-america-inc?pageNo=881", "Renesas Electronics")</f>
        <v>Renesas Electronics</v>
      </c>
      <c r="C23919" s="6">
        <v>4000</v>
      </c>
      <c r="D23919" s="7">
        <v>2.21</v>
      </c>
    </row>
    <row r="23920" spans="1:4" x14ac:dyDescent="0.25">
      <c r="A23920" t="str">
        <f>HYPERLINK("https://www.773grp.com/globalSearch/74HC283FP-E/page-1", "74HC283FP-E")</f>
        <v>74HC283FP-E</v>
      </c>
      <c r="B23920" s="3" t="str">
        <f>HYPERLINK("https://www.773grp.com/manufacturer/renesas-electronics-america-inc?pageNo=882", "Renesas Electronics")</f>
        <v>Renesas Electronics</v>
      </c>
      <c r="C23920" s="6">
        <v>2877</v>
      </c>
      <c r="D23920" s="7">
        <v>2.21</v>
      </c>
    </row>
    <row r="23921" spans="1:4" x14ac:dyDescent="0.25">
      <c r="A23921" t="str">
        <f>HYPERLINK("https://www.773grp.com/globalSearch/74LS161AP-E/page-1", "74LS161AP-E")</f>
        <v>74LS161AP-E</v>
      </c>
      <c r="B23921" s="3" t="str">
        <f>HYPERLINK("https://www.773grp.com/manufacturer/renesas-electronics-america-inc?pageNo=883", "Renesas Electronics")</f>
        <v>Renesas Electronics</v>
      </c>
      <c r="C23921" s="6">
        <v>2000</v>
      </c>
      <c r="D23921" s="7">
        <v>2.21</v>
      </c>
    </row>
    <row r="23922" spans="1:4" x14ac:dyDescent="0.25">
      <c r="A23922" t="str">
        <f>HYPERLINK("https://www.773grp.com/globalSearch/74LS20P-E/page-1", "74LS20P-E")</f>
        <v>74LS20P-E</v>
      </c>
      <c r="B23922" s="3" t="str">
        <f>HYPERLINK("https://www.773grp.com/manufacturer/renesas-electronics-america-inc?pageNo=884", "Renesas Electronics")</f>
        <v>Renesas Electronics</v>
      </c>
      <c r="C23922" s="6">
        <v>7000</v>
      </c>
      <c r="D23922" s="7">
        <v>2.21</v>
      </c>
    </row>
    <row r="23923" spans="1:4" x14ac:dyDescent="0.25">
      <c r="A23923" t="str">
        <f>HYPERLINK("https://www.773grp.com/globalSearch/74LS367AFPEL-E/page-1", "74LS367AFPEL-E")</f>
        <v>74LS367AFPEL-E</v>
      </c>
      <c r="B23923" s="3" t="str">
        <f>HYPERLINK("https://www.773grp.com/manufacturer/renesas-electronics-america-inc?pageNo=885", "Renesas Electronics")</f>
        <v>Renesas Electronics</v>
      </c>
      <c r="C23923" s="6">
        <v>2000</v>
      </c>
      <c r="D23923" s="7">
        <v>2.21</v>
      </c>
    </row>
    <row r="23924" spans="1:4" x14ac:dyDescent="0.25">
      <c r="A23924" t="str">
        <f>HYPERLINK("https://www.773grp.com/globalSearch/M62290L#TF0J/page-1", "M62290L#TF0J")</f>
        <v>M62290L#TF0J</v>
      </c>
      <c r="B23924" s="3" t="str">
        <f>HYPERLINK("https://www.773grp.com/manufacturer/renesas-electronics-america-inc?pageNo=886", "Renesas Electronics")</f>
        <v>Renesas Electronics</v>
      </c>
      <c r="C23924" s="6">
        <v>1033</v>
      </c>
      <c r="D23924" s="7">
        <v>2.21</v>
      </c>
    </row>
    <row r="23925" spans="1:4" x14ac:dyDescent="0.25">
      <c r="A23925" t="str">
        <f>HYPERLINK("https://www.773grp.com/globalSearch/UPA2451TL-E1-A/page-1", "UPA2451TL-E1-A")</f>
        <v>UPA2451TL-E1-A</v>
      </c>
      <c r="B23925" s="3" t="str">
        <f>HYPERLINK("https://www.773grp.com/manufacturer/renesas-electronics-america-inc?pageNo=887", "Renesas Electronics")</f>
        <v>Renesas Electronics</v>
      </c>
      <c r="C23925" s="6">
        <v>3000</v>
      </c>
      <c r="D23925" s="7">
        <v>2.21</v>
      </c>
    </row>
    <row r="23926" spans="1:4" x14ac:dyDescent="0.25">
      <c r="A23926" t="str">
        <f>HYPERLINK("https://www.773grp.com/globalSearch/PS2733-1-F3-A/page-1", "PS2733-1-F3-A")</f>
        <v>PS2733-1-F3-A</v>
      </c>
      <c r="B23926" s="3" t="str">
        <f>HYPERLINK("https://www.773grp.com/manufacturer/renesas-electronics-america-inc?pageNo=888", "Renesas Electronics")</f>
        <v>Renesas Electronics</v>
      </c>
      <c r="C23926" s="6">
        <v>17500</v>
      </c>
      <c r="D23926" s="7">
        <v>2.21</v>
      </c>
    </row>
    <row r="23927" spans="1:4" x14ac:dyDescent="0.25">
      <c r="A23927" t="str">
        <f>HYPERLINK("https://www.773grp.com/globalSearch/2SC2690-AZ/page-1", "2SC2690-AZ")</f>
        <v>2SC2690-AZ</v>
      </c>
      <c r="B23927" s="3" t="str">
        <f>HYPERLINK("https://www.773grp.com/manufacturer/renesas-electronics-america-inc?pageNo=889", "Renesas Electronics")</f>
        <v>Renesas Electronics</v>
      </c>
      <c r="C23927" s="6">
        <v>35300</v>
      </c>
      <c r="D23927" s="7">
        <v>2.2599999999999998</v>
      </c>
    </row>
    <row r="23928" spans="1:4" x14ac:dyDescent="0.25">
      <c r="A23928" t="str">
        <f>HYPERLINK("https://www.773grp.com/globalSearch/2SD794-AZ/page-1", "2SD794-AZ")</f>
        <v>2SD794-AZ</v>
      </c>
      <c r="B23928" s="3" t="str">
        <f>HYPERLINK("https://www.773grp.com/manufacturer/renesas-electronics-america-inc?pageNo=890", "Renesas Electronics")</f>
        <v>Renesas Electronics</v>
      </c>
      <c r="C23928" s="6">
        <v>6049</v>
      </c>
      <c r="D23928" s="7">
        <v>2.2599999999999998</v>
      </c>
    </row>
    <row r="23929" spans="1:4" x14ac:dyDescent="0.25">
      <c r="A23929" t="str">
        <f>HYPERLINK("https://www.773grp.com/globalSearch/74HC109P-E/page-1", "74HC109P-E")</f>
        <v>74HC109P-E</v>
      </c>
      <c r="B23929" s="3" t="str">
        <f>HYPERLINK("https://www.773grp.com/manufacturer/renesas-electronics-america-inc?pageNo=891", "Renesas Electronics")</f>
        <v>Renesas Electronics</v>
      </c>
      <c r="C23929" s="6">
        <v>1000</v>
      </c>
      <c r="D23929" s="7">
        <v>2.2599999999999998</v>
      </c>
    </row>
    <row r="23930" spans="1:4" x14ac:dyDescent="0.25">
      <c r="A23930" t="str">
        <f>HYPERLINK("https://www.773grp.com/globalSearch/74HC190P-E/page-1", "74HC190P-E")</f>
        <v>74HC190P-E</v>
      </c>
      <c r="B23930" s="3" t="str">
        <f>HYPERLINK("https://www.773grp.com/manufacturer/renesas-electronics-america-inc?pageNo=892", "Renesas Electronics")</f>
        <v>Renesas Electronics</v>
      </c>
      <c r="C23930" s="6">
        <v>800</v>
      </c>
      <c r="D23930" s="7">
        <v>2.2599999999999998</v>
      </c>
    </row>
    <row r="23931" spans="1:4" x14ac:dyDescent="0.25">
      <c r="A23931" t="str">
        <f>HYPERLINK("https://www.773grp.com/globalSearch/74HC191FP-E/page-1", "74HC191FP-E")</f>
        <v>74HC191FP-E</v>
      </c>
      <c r="B23931" s="3" t="str">
        <f>HYPERLINK("https://www.773grp.com/manufacturer/renesas-electronics-america-inc?pageNo=893", "Renesas Electronics")</f>
        <v>Renesas Electronics</v>
      </c>
      <c r="C23931" s="6">
        <v>3000</v>
      </c>
      <c r="D23931" s="7">
        <v>2.2599999999999998</v>
      </c>
    </row>
    <row r="23932" spans="1:4" x14ac:dyDescent="0.25">
      <c r="A23932" t="str">
        <f>HYPERLINK("https://www.773grp.com/globalSearch/74HC283FPEL-E/page-1", "74HC283FPEL-E")</f>
        <v>74HC283FPEL-E</v>
      </c>
      <c r="B23932" s="3" t="str">
        <f>HYPERLINK("https://www.773grp.com/manufacturer/renesas-electronics-america-inc?pageNo=894", "Renesas Electronics")</f>
        <v>Renesas Electronics</v>
      </c>
      <c r="C23932" s="6">
        <v>6000</v>
      </c>
      <c r="D23932" s="7">
        <v>2.2599999999999998</v>
      </c>
    </row>
    <row r="23933" spans="1:4" x14ac:dyDescent="0.25">
      <c r="A23933" t="str">
        <f>HYPERLINK("https://www.773grp.com/globalSearch/74HC283P-E/page-1", "74HC283P-E")</f>
        <v>74HC283P-E</v>
      </c>
      <c r="B23933" s="3" t="str">
        <f>HYPERLINK("https://www.773grp.com/manufacturer/renesas-electronics-america-inc?pageNo=1", "Renesas Electronics")</f>
        <v>Renesas Electronics</v>
      </c>
      <c r="C23933" s="6">
        <v>1000</v>
      </c>
      <c r="D23933" s="7">
        <v>2.2599999999999998</v>
      </c>
    </row>
    <row r="23934" spans="1:4" x14ac:dyDescent="0.25">
      <c r="A23934" t="str">
        <f>HYPERLINK("https://www.773grp.com/globalSearch/74HC4066P-E/page-1", "74HC4066P-E")</f>
        <v>74HC4066P-E</v>
      </c>
      <c r="B23934" s="3" t="str">
        <f>HYPERLINK("https://www.773grp.com/manufacturer/renesas-electronics-america-inc?pageNo=2", "Renesas Electronics")</f>
        <v>Renesas Electronics</v>
      </c>
      <c r="C23934" s="6">
        <v>4000</v>
      </c>
      <c r="D23934" s="7">
        <v>2.2599999999999998</v>
      </c>
    </row>
    <row r="23935" spans="1:4" x14ac:dyDescent="0.25">
      <c r="A23935" t="str">
        <f>HYPERLINK("https://www.773grp.com/globalSearch/M62342FP#TF5J/page-1", "M62342FP#TF5J")</f>
        <v>M62342FP#TF5J</v>
      </c>
      <c r="B23935" s="3" t="str">
        <f>HYPERLINK("https://www.773grp.com/manufacturer/renesas-electronics-america-inc?pageNo=3", "Renesas Electronics")</f>
        <v>Renesas Electronics</v>
      </c>
      <c r="C23935" s="6">
        <v>3401</v>
      </c>
      <c r="D23935" s="7">
        <v>2.2599999999999998</v>
      </c>
    </row>
    <row r="23936" spans="1:4" x14ac:dyDescent="0.25">
      <c r="A23936" t="str">
        <f>HYPERLINK("https://www.773grp.com/globalSearch/RJK03H0DPA-00#J5A/page-1", "RJK03H0DPA-00#J5A")</f>
        <v>RJK03H0DPA-00#J5A</v>
      </c>
      <c r="B23936" s="3" t="str">
        <f>HYPERLINK("https://www.773grp.com/manufacturer/renesas-electronics-america-inc?pageNo=4", "Renesas Electronics")</f>
        <v>Renesas Electronics</v>
      </c>
      <c r="C23936" s="6">
        <v>21000</v>
      </c>
      <c r="D23936" s="7">
        <v>2.2599999999999998</v>
      </c>
    </row>
    <row r="23937" spans="1:4" x14ac:dyDescent="0.25">
      <c r="A23937" t="str">
        <f>HYPERLINK("https://www.773grp.com/globalSearch/RJK03J1DPA-00#J5A/page-1", "RJK03J1DPA-00#J5A")</f>
        <v>RJK03J1DPA-00#J5A</v>
      </c>
      <c r="B23937" s="3" t="str">
        <f>HYPERLINK("https://www.773grp.com/manufacturer/renesas-electronics-america-inc?pageNo=5", "Renesas Electronics")</f>
        <v>Renesas Electronics</v>
      </c>
      <c r="C23937" s="6">
        <v>918000</v>
      </c>
      <c r="D23937" s="7">
        <v>2.2599999999999998</v>
      </c>
    </row>
    <row r="23938" spans="1:4" x14ac:dyDescent="0.25">
      <c r="A23938" t="str">
        <f>HYPERLINK("https://www.773grp.com/globalSearch/2SD2124STR-E/page-1", "2SD2124STR-E")</f>
        <v>2SD2124STR-E</v>
      </c>
      <c r="B23938" s="3" t="str">
        <f>HYPERLINK("https://www.773grp.com/manufacturer/renesas-electronics-america-inc?pageNo=6", "Renesas Electronics")</f>
        <v>Renesas Electronics</v>
      </c>
      <c r="C23938" s="6">
        <v>6000</v>
      </c>
      <c r="D23938" s="7">
        <v>2.33</v>
      </c>
    </row>
    <row r="23939" spans="1:4" x14ac:dyDescent="0.25">
      <c r="A23939" t="str">
        <f>HYPERLINK("https://www.773grp.com/globalSearch/74LS375P-E/page-1", "74LS375P-E")</f>
        <v>74LS375P-E</v>
      </c>
      <c r="B23939" s="3" t="str">
        <f>HYPERLINK("https://www.773grp.com/manufacturer/renesas-electronics-america-inc?pageNo=7", "Renesas Electronics")</f>
        <v>Renesas Electronics</v>
      </c>
      <c r="C23939" s="6">
        <v>2000</v>
      </c>
      <c r="D23939" s="7">
        <v>2.33</v>
      </c>
    </row>
    <row r="23940" spans="1:4" x14ac:dyDescent="0.25">
      <c r="A23940" t="str">
        <f>HYPERLINK("https://www.773grp.com/globalSearch/AC01DGM(1DF)-AZ/page-1", "AC01DGM(1DF)-AZ")</f>
        <v>AC01DGM(1DF)-AZ</v>
      </c>
      <c r="B23940" s="3" t="str">
        <f>HYPERLINK("https://www.773grp.com/manufacturer/renesas-electronics-america-inc?pageNo=8", "Renesas Electronics")</f>
        <v>Renesas Electronics</v>
      </c>
      <c r="C23940" s="6">
        <v>76</v>
      </c>
      <c r="D23940" s="7">
        <v>2.33</v>
      </c>
    </row>
    <row r="23941" spans="1:4" x14ac:dyDescent="0.25">
      <c r="A23941" t="str">
        <f>HYPERLINK("https://www.773grp.com/globalSearch/HD74HC10PD/page-1", "HD74HC10PD")</f>
        <v>HD74HC10PD</v>
      </c>
      <c r="B23941" s="3" t="str">
        <f>HYPERLINK("https://www.773grp.com/manufacturer/renesas-electronics-america-inc?pageNo=9", "Renesas Electronics")</f>
        <v>Renesas Electronics</v>
      </c>
      <c r="C23941" s="6">
        <v>3000</v>
      </c>
      <c r="D23941" s="7">
        <v>2.33</v>
      </c>
    </row>
    <row r="23942" spans="1:4" x14ac:dyDescent="0.25">
      <c r="A23942" t="str">
        <f>HYPERLINK("https://www.773grp.com/globalSearch/M5216FP#CF0R/page-1", "M5216FP#CF0R")</f>
        <v>M5216FP#CF0R</v>
      </c>
      <c r="B23942" s="3" t="str">
        <f>HYPERLINK("https://www.773grp.com/manufacturer/renesas-electronics-america-inc?pageNo=10", "Renesas Electronics")</f>
        <v>Renesas Electronics</v>
      </c>
      <c r="C23942" s="6">
        <v>12500</v>
      </c>
      <c r="D23942" s="7">
        <v>2.33</v>
      </c>
    </row>
    <row r="23943" spans="1:4" x14ac:dyDescent="0.25">
      <c r="A23943" t="str">
        <f>HYPERLINK("https://www.773grp.com/globalSearch/RJK03K5DPA-00#J5A/page-1", "RJK03K5DPA-00#J5A")</f>
        <v>RJK03K5DPA-00#J5A</v>
      </c>
      <c r="B23943" s="3" t="str">
        <f>HYPERLINK("https://www.773grp.com/manufacturer/renesas-electronics-america-inc?pageNo=11", "Renesas Electronics")</f>
        <v>Renesas Electronics</v>
      </c>
      <c r="C23943" s="6">
        <v>240000</v>
      </c>
      <c r="D23943" s="7">
        <v>2.33</v>
      </c>
    </row>
    <row r="23944" spans="1:4" x14ac:dyDescent="0.25">
      <c r="A23944" t="str">
        <f>HYPERLINK("https://www.773grp.com/globalSearch/1SS286TA-E/page-1", "1SS286TA-E")</f>
        <v>1SS286TA-E</v>
      </c>
      <c r="B23944" s="3" t="str">
        <f>HYPERLINK("https://www.773grp.com/manufacturer/renesas-electronics-america-inc?pageNo=12", "Renesas Electronics")</f>
        <v>Renesas Electronics</v>
      </c>
      <c r="C23944" s="6">
        <v>44620</v>
      </c>
      <c r="D23944" s="7">
        <v>2.38</v>
      </c>
    </row>
    <row r="23945" spans="1:4" x14ac:dyDescent="0.25">
      <c r="A23945" t="str">
        <f>HYPERLINK("https://www.773grp.com/globalSearch/3P4J-Z-E2-AZ/page-1", "3P4J-Z-E2-AZ")</f>
        <v>3P4J-Z-E2-AZ</v>
      </c>
      <c r="B23945" s="3" t="str">
        <f>HYPERLINK("https://www.773grp.com/manufacturer/renesas-electronics-america-inc?pageNo=13", "Renesas Electronics")</f>
        <v>Renesas Electronics</v>
      </c>
      <c r="C23945" s="6">
        <v>2000</v>
      </c>
      <c r="D23945" s="7">
        <v>2.38</v>
      </c>
    </row>
    <row r="23946" spans="1:4" x14ac:dyDescent="0.25">
      <c r="A23946" t="str">
        <f>HYPERLINK("https://www.773grp.com/globalSearch/HSM126S-JTR-E/page-1", "HSM126S-JTR-E")</f>
        <v>HSM126S-JTR-E</v>
      </c>
      <c r="B23946" s="3" t="str">
        <f>HYPERLINK("https://www.773grp.com/manufacturer/renesas-electronics-america-inc?pageNo=14", "Renesas Electronics")</f>
        <v>Renesas Electronics</v>
      </c>
      <c r="C23946" s="6">
        <v>15000</v>
      </c>
      <c r="D23946" s="7">
        <v>2.38</v>
      </c>
    </row>
    <row r="23947" spans="1:4" x14ac:dyDescent="0.25">
      <c r="A23947" t="str">
        <f>HYPERLINK("https://www.773grp.com/globalSearch/HSM126STR-E/page-1", "HSM126STR-E")</f>
        <v>HSM126STR-E</v>
      </c>
      <c r="B23947" s="3" t="str">
        <f>HYPERLINK("https://www.773grp.com/manufacturer/renesas-electronics-america-inc?pageNo=15", "Renesas Electronics")</f>
        <v>Renesas Electronics</v>
      </c>
      <c r="C23947" s="6">
        <v>13700</v>
      </c>
      <c r="D23947" s="7">
        <v>2.38</v>
      </c>
    </row>
    <row r="23948" spans="1:4" x14ac:dyDescent="0.25">
      <c r="A23948" t="str">
        <f>HYPERLINK("https://www.773grp.com/globalSearch/R1EX24032ASA00A#S0/page-1", "R1EX24032ASA00A#S0")</f>
        <v>R1EX24032ASA00A#S0</v>
      </c>
      <c r="B23948" s="3" t="str">
        <f>HYPERLINK("https://www.773grp.com/manufacturer/renesas-electronics-america-inc?pageNo=16", "Renesas Electronics")</f>
        <v>Renesas Electronics</v>
      </c>
      <c r="C23948" s="6">
        <v>20000</v>
      </c>
      <c r="D23948" s="7">
        <v>2.38</v>
      </c>
    </row>
    <row r="23949" spans="1:4" x14ac:dyDescent="0.25">
      <c r="A23949" t="str">
        <f>HYPERLINK("https://www.773grp.com/globalSearch/RJK0349DPA-01#J0B/page-1", "RJK0349DPA-01#J0B")</f>
        <v>RJK0349DPA-01#J0B</v>
      </c>
      <c r="B23949" s="3" t="str">
        <f>HYPERLINK("https://www.773grp.com/manufacturer/renesas-electronics-america-inc?pageNo=17", "Renesas Electronics")</f>
        <v>Renesas Electronics</v>
      </c>
      <c r="C23949" s="6">
        <v>112500</v>
      </c>
      <c r="D23949" s="7">
        <v>2.38</v>
      </c>
    </row>
    <row r="23950" spans="1:4" x14ac:dyDescent="0.25">
      <c r="A23950" t="str">
        <f>HYPERLINK("https://www.773grp.com/globalSearch/RJK03N4DPA-02#J5A/page-1", "RJK03N4DPA-02#J5A")</f>
        <v>RJK03N4DPA-02#J5A</v>
      </c>
      <c r="B23950" s="3" t="str">
        <f>HYPERLINK("https://www.773grp.com/manufacturer/renesas-electronics-america-inc?pageNo=18", "Renesas Electronics")</f>
        <v>Renesas Electronics</v>
      </c>
      <c r="C23950" s="6">
        <v>429000</v>
      </c>
      <c r="D23950" s="7">
        <v>2.38</v>
      </c>
    </row>
    <row r="23951" spans="1:4" x14ac:dyDescent="0.25">
      <c r="A23951" t="str">
        <f>HYPERLINK("https://www.773grp.com/globalSearch/2SD667DTZ/page-1", "2SD667DTZ")</f>
        <v>2SD667DTZ</v>
      </c>
      <c r="B23951" s="3" t="str">
        <f>HYPERLINK("https://www.773grp.com/manufacturer/renesas-electronics-america-inc?pageNo=19", "Renesas Electronics")</f>
        <v>Renesas Electronics</v>
      </c>
      <c r="C23951" s="6">
        <v>10000</v>
      </c>
      <c r="D23951" s="7">
        <v>2.4300000000000002</v>
      </c>
    </row>
    <row r="23952" spans="1:4" x14ac:dyDescent="0.25">
      <c r="A23952" t="str">
        <f>HYPERLINK("https://www.773grp.com/globalSearch/74HC160P-E/page-1", "74HC160P-E")</f>
        <v>74HC160P-E</v>
      </c>
      <c r="B23952" s="3" t="str">
        <f>HYPERLINK("https://www.773grp.com/manufacturer/renesas-electronics-america-inc?pageNo=20", "Renesas Electronics")</f>
        <v>Renesas Electronics</v>
      </c>
      <c r="C23952" s="6">
        <v>2200</v>
      </c>
      <c r="D23952" s="7">
        <v>2.4300000000000002</v>
      </c>
    </row>
    <row r="23953" spans="1:4" x14ac:dyDescent="0.25">
      <c r="A23953" t="str">
        <f>HYPERLINK("https://www.773grp.com/globalSearch/74HC166P-E/page-1", "74HC166P-E")</f>
        <v>74HC166P-E</v>
      </c>
      <c r="B23953" s="3" t="str">
        <f>HYPERLINK("https://www.773grp.com/manufacturer/renesas-electronics-america-inc?pageNo=21", "Renesas Electronics")</f>
        <v>Renesas Electronics</v>
      </c>
      <c r="C23953" s="6">
        <v>1000</v>
      </c>
      <c r="D23953" s="7">
        <v>2.4300000000000002</v>
      </c>
    </row>
    <row r="23954" spans="1:4" x14ac:dyDescent="0.25">
      <c r="A23954" t="str">
        <f>HYPERLINK("https://www.773grp.com/globalSearch/74LS280FP-E/page-1", "74LS280FP-E")</f>
        <v>74LS280FP-E</v>
      </c>
      <c r="B23954" s="3" t="str">
        <f>HYPERLINK("https://www.773grp.com/manufacturer/renesas-electronics-america-inc?pageNo=22", "Renesas Electronics")</f>
        <v>Renesas Electronics</v>
      </c>
      <c r="C23954" s="6">
        <v>2422</v>
      </c>
      <c r="D23954" s="7">
        <v>2.4300000000000002</v>
      </c>
    </row>
    <row r="23955" spans="1:4" x14ac:dyDescent="0.25">
      <c r="A23955" t="str">
        <f>HYPERLINK("https://www.773grp.com/globalSearch/RJK0331DPB-0T#J0/page-1", "RJK0331DPB-0T#J0")</f>
        <v>RJK0331DPB-0T#J0</v>
      </c>
      <c r="B23955" s="3" t="str">
        <f>HYPERLINK("https://www.773grp.com/manufacturer/renesas-electronics-america-inc?pageNo=23", "Renesas Electronics")</f>
        <v>Renesas Electronics</v>
      </c>
      <c r="C23955" s="6">
        <v>10000</v>
      </c>
      <c r="D23955" s="7">
        <v>2.4300000000000002</v>
      </c>
    </row>
    <row r="23956" spans="1:4" x14ac:dyDescent="0.25">
      <c r="A23956" t="str">
        <f>HYPERLINK("https://www.773grp.com/globalSearch/RJK0331DPB-W1#J0/page-1", "RJK0331DPB-W1#J0")</f>
        <v>RJK0331DPB-W1#J0</v>
      </c>
      <c r="B23956" s="3" t="str">
        <f>HYPERLINK("https://www.773grp.com/manufacturer/renesas-electronics-america-inc?pageNo=24", "Renesas Electronics")</f>
        <v>Renesas Electronics</v>
      </c>
      <c r="C23956" s="6">
        <v>2460</v>
      </c>
      <c r="D23956" s="7">
        <v>2.4300000000000002</v>
      </c>
    </row>
    <row r="23957" spans="1:4" x14ac:dyDescent="0.25">
      <c r="A23957" t="str">
        <f>HYPERLINK("https://www.773grp.com/globalSearch/RJK03K4DPA-00#J5A/page-1", "RJK03K4DPA-00#J5A")</f>
        <v>RJK03K4DPA-00#J5A</v>
      </c>
      <c r="B23957" s="3" t="str">
        <f>HYPERLINK("https://www.773grp.com/manufacturer/renesas-electronics-america-inc?pageNo=25", "Renesas Electronics")</f>
        <v>Renesas Electronics</v>
      </c>
      <c r="C23957" s="6">
        <v>513000</v>
      </c>
      <c r="D23957" s="7">
        <v>2.4300000000000002</v>
      </c>
    </row>
    <row r="23958" spans="1:4" x14ac:dyDescent="0.25">
      <c r="A23958" t="str">
        <f>HYPERLINK("https://www.773grp.com/globalSearch/RJK03M8DNS-WS#J5/page-1", "RJK03M8DNS-WS#J5")</f>
        <v>RJK03M8DNS-WS#J5</v>
      </c>
      <c r="B23958" s="3" t="str">
        <f>HYPERLINK("https://www.773grp.com/manufacturer/renesas-electronics-america-inc?pageNo=26", "Renesas Electronics")</f>
        <v>Renesas Electronics</v>
      </c>
      <c r="C23958" s="6">
        <v>4880</v>
      </c>
      <c r="D23958" s="7">
        <v>2.4300000000000002</v>
      </c>
    </row>
    <row r="23959" spans="1:4" x14ac:dyDescent="0.25">
      <c r="A23959" t="str">
        <f>HYPERLINK("https://www.773grp.com/globalSearch/RJP4006AGE-01#P5/page-1", "RJP4006AGE-01#P5")</f>
        <v>RJP4006AGE-01#P5</v>
      </c>
      <c r="B23959" s="3" t="str">
        <f>HYPERLINK("https://www.773grp.com/manufacturer/renesas-electronics-america-inc?pageNo=27", "Renesas Electronics")</f>
        <v>Renesas Electronics</v>
      </c>
      <c r="C23959" s="6">
        <v>27000</v>
      </c>
      <c r="D23959" s="7">
        <v>2.4300000000000002</v>
      </c>
    </row>
    <row r="23960" spans="1:4" x14ac:dyDescent="0.25">
      <c r="A23960" t="str">
        <f>HYPERLINK("https://www.773grp.com/globalSearch/RJP4007ANS-WS/page-1", "RJP4007ANS-WS")</f>
        <v>RJP4007ANS-WS</v>
      </c>
      <c r="B23960" s="3" t="str">
        <f>HYPERLINK("https://www.773grp.com/manufacturer/renesas-electronics-america-inc?pageNo=28", "Renesas Electronics")</f>
        <v>Renesas Electronics</v>
      </c>
      <c r="C23960" s="6">
        <v>795</v>
      </c>
      <c r="D23960" s="7">
        <v>2.4300000000000002</v>
      </c>
    </row>
    <row r="23961" spans="1:4" x14ac:dyDescent="0.25">
      <c r="A23961" t="str">
        <f>HYPERLINK("https://www.773grp.com/globalSearch/UPA1810GR-9JG-E2-A/page-1", "UPA1810GR-9JG-E2-A")</f>
        <v>UPA1810GR-9JG-E2-A</v>
      </c>
      <c r="B23961" s="3" t="str">
        <f>HYPERLINK("https://www.773grp.com/manufacturer/renesas-electronics-america-inc?pageNo=29", "Renesas Electronics")</f>
        <v>Renesas Electronics</v>
      </c>
      <c r="C23961" s="6">
        <v>3000</v>
      </c>
      <c r="D23961" s="7">
        <v>2.4300000000000002</v>
      </c>
    </row>
    <row r="23962" spans="1:4" x14ac:dyDescent="0.25">
      <c r="A23962" t="str">
        <f>HYPERLINK("https://www.773grp.com/globalSearch/2SJ326-AZ/page-1", "2SJ326-AZ")</f>
        <v>2SJ326-AZ</v>
      </c>
      <c r="B23962" s="3" t="str">
        <f>HYPERLINK("https://www.773grp.com/manufacturer/renesas-electronics-america-inc?pageNo=30", "Renesas Electronics")</f>
        <v>Renesas Electronics</v>
      </c>
      <c r="C23962" s="6">
        <v>2548</v>
      </c>
      <c r="D23962" s="7">
        <v>2.48</v>
      </c>
    </row>
    <row r="23963" spans="1:4" x14ac:dyDescent="0.25">
      <c r="A23963" t="str">
        <f>HYPERLINK("https://www.773grp.com/globalSearch/74LS42P-E/page-1", "74LS42P-E")</f>
        <v>74LS42P-E</v>
      </c>
      <c r="B23963" s="3" t="str">
        <f>HYPERLINK("https://www.773grp.com/manufacturer/renesas-electronics-america-inc?pageNo=31", "Renesas Electronics")</f>
        <v>Renesas Electronics</v>
      </c>
      <c r="C23963" s="6">
        <v>2000</v>
      </c>
      <c r="D23963" s="7">
        <v>2.48</v>
      </c>
    </row>
    <row r="23964" spans="1:4" x14ac:dyDescent="0.25">
      <c r="A23964" t="str">
        <f>HYPERLINK("https://www.773grp.com/globalSearch/D74HV1G32VS#H1/page-1", "D74HV1G32VS#H1")</f>
        <v>D74HV1G32VS#H1</v>
      </c>
      <c r="B23964" s="3" t="str">
        <f>HYPERLINK("https://www.773grp.com/manufacturer/renesas-electronics-america-inc?pageNo=32", "Renesas Electronics")</f>
        <v>Renesas Electronics</v>
      </c>
      <c r="C23964" s="6">
        <v>27000</v>
      </c>
      <c r="D23964" s="7">
        <v>2.48</v>
      </c>
    </row>
    <row r="23965" spans="1:4" x14ac:dyDescent="0.25">
      <c r="A23965" t="str">
        <f>HYPERLINK("https://www.773grp.com/globalSearch/M62722ML#CF0J/page-1", "M62722ML#CF0J")</f>
        <v>M62722ML#CF0J</v>
      </c>
      <c r="B23965" s="3" t="str">
        <f>HYPERLINK("https://www.773grp.com/manufacturer/renesas-electronics-america-inc?pageNo=33", "Renesas Electronics")</f>
        <v>Renesas Electronics</v>
      </c>
      <c r="C23965" s="6">
        <v>11000</v>
      </c>
      <c r="D23965" s="7">
        <v>2.48</v>
      </c>
    </row>
    <row r="23966" spans="1:4" x14ac:dyDescent="0.25">
      <c r="A23966" t="str">
        <f>HYPERLINK("https://www.773grp.com/globalSearch/M62743ML#CF0J/page-1", "M62743ML#CF0J")</f>
        <v>M62743ML#CF0J</v>
      </c>
      <c r="B23966" s="3" t="str">
        <f>HYPERLINK("https://www.773grp.com/manufacturer/renesas-electronics-america-inc?pageNo=34", "Renesas Electronics")</f>
        <v>Renesas Electronics</v>
      </c>
      <c r="C23966" s="6">
        <v>11900</v>
      </c>
      <c r="D23966" s="7">
        <v>2.48</v>
      </c>
    </row>
    <row r="23967" spans="1:4" x14ac:dyDescent="0.25">
      <c r="A23967" t="str">
        <f>HYPERLINK("https://www.773grp.com/globalSearch/RJK03K0DPA-00#J5A/page-1", "RJK03K0DPA-00#J5A")</f>
        <v>RJK03K0DPA-00#J5A</v>
      </c>
      <c r="B23967" s="3" t="str">
        <f>HYPERLINK("https://www.773grp.com/manufacturer/renesas-electronics-america-inc?pageNo=35", "Renesas Electronics")</f>
        <v>Renesas Electronics</v>
      </c>
      <c r="C23967" s="6">
        <v>39000</v>
      </c>
      <c r="D23967" s="7">
        <v>2.48</v>
      </c>
    </row>
    <row r="23968" spans="1:4" x14ac:dyDescent="0.25">
      <c r="A23968" t="str">
        <f>HYPERLINK("https://www.773grp.com/globalSearch/2SD1033-E1-AZ/page-1", "2SD1033-E1-AZ")</f>
        <v>2SD1033-E1-AZ</v>
      </c>
      <c r="B23968" s="3" t="str">
        <f>HYPERLINK("https://www.773grp.com/manufacturer/renesas-electronics-america-inc?pageNo=36", "Renesas Electronics")</f>
        <v>Renesas Electronics</v>
      </c>
      <c r="C23968" s="6">
        <v>4000</v>
      </c>
      <c r="D23968" s="7">
        <v>2.54</v>
      </c>
    </row>
    <row r="23969" spans="1:4" x14ac:dyDescent="0.25">
      <c r="A23969" t="str">
        <f>HYPERLINK("https://www.773grp.com/globalSearch/2SK2851TZ-E/page-1", "2SK2851TZ-E")</f>
        <v>2SK2851TZ-E</v>
      </c>
      <c r="B23969" s="3" t="str">
        <f>HYPERLINK("https://www.773grp.com/manufacturer/renesas-electronics-america-inc?pageNo=37", "Renesas Electronics")</f>
        <v>Renesas Electronics</v>
      </c>
      <c r="C23969" s="6">
        <v>5000</v>
      </c>
      <c r="D23969" s="7">
        <v>2.54</v>
      </c>
    </row>
    <row r="23970" spans="1:4" x14ac:dyDescent="0.25">
      <c r="A23970" t="str">
        <f>HYPERLINK("https://www.773grp.com/globalSearch/5P4J-ZK-E2-AZ/page-1", "5P4J-ZK-E2-AZ")</f>
        <v>5P4J-ZK-E2-AZ</v>
      </c>
      <c r="B23970" s="3" t="str">
        <f>HYPERLINK("https://www.773grp.com/manufacturer/renesas-electronics-america-inc?pageNo=38", "Renesas Electronics")</f>
        <v>Renesas Electronics</v>
      </c>
      <c r="C23970" s="6">
        <v>2500</v>
      </c>
      <c r="D23970" s="7">
        <v>2.54</v>
      </c>
    </row>
    <row r="23971" spans="1:4" x14ac:dyDescent="0.25">
      <c r="A23971" t="str">
        <f>HYPERLINK("https://www.773grp.com/globalSearch/74HC257FPEL-E/page-1", "74HC257FPEL-E")</f>
        <v>74HC257FPEL-E</v>
      </c>
      <c r="B23971" s="3" t="str">
        <f>HYPERLINK("https://www.773grp.com/manufacturer/renesas-electronics-america-inc?pageNo=39", "Renesas Electronics")</f>
        <v>Renesas Electronics</v>
      </c>
      <c r="C23971" s="6">
        <v>2000</v>
      </c>
      <c r="D23971" s="7">
        <v>2.54</v>
      </c>
    </row>
    <row r="23972" spans="1:4" x14ac:dyDescent="0.25">
      <c r="A23972" t="str">
        <f>HYPERLINK("https://www.773grp.com/globalSearch/74LS132P-E/page-1", "74LS132P-E")</f>
        <v>74LS132P-E</v>
      </c>
      <c r="B23972" s="3" t="str">
        <f>HYPERLINK("https://www.773grp.com/manufacturer/renesas-electronics-america-inc?pageNo=40", "Renesas Electronics")</f>
        <v>Renesas Electronics</v>
      </c>
      <c r="C23972" s="6">
        <v>7900</v>
      </c>
      <c r="D23972" s="7">
        <v>2.54</v>
      </c>
    </row>
    <row r="23973" spans="1:4" x14ac:dyDescent="0.25">
      <c r="A23973" t="str">
        <f>HYPERLINK("https://www.773grp.com/globalSearch/74LS160AP-E/page-1", "74LS160AP-E")</f>
        <v>74LS160AP-E</v>
      </c>
      <c r="B23973" s="3" t="str">
        <f>HYPERLINK("https://www.773grp.com/manufacturer/renesas-electronics-america-inc?pageNo=41", "Renesas Electronics")</f>
        <v>Renesas Electronics</v>
      </c>
      <c r="C23973" s="6">
        <v>3000</v>
      </c>
      <c r="D23973" s="7">
        <v>2.54</v>
      </c>
    </row>
    <row r="23974" spans="1:4" x14ac:dyDescent="0.25">
      <c r="A23974" t="str">
        <f>HYPERLINK("https://www.773grp.com/globalSearch/74LS194AP-E/page-1", "74LS194AP-E")</f>
        <v>74LS194AP-E</v>
      </c>
      <c r="B23974" s="3" t="str">
        <f>HYPERLINK("https://www.773grp.com/manufacturer/renesas-electronics-america-inc?pageNo=42", "Renesas Electronics")</f>
        <v>Renesas Electronics</v>
      </c>
      <c r="C23974" s="6">
        <v>4000</v>
      </c>
      <c r="D23974" s="7">
        <v>2.54</v>
      </c>
    </row>
    <row r="23975" spans="1:4" x14ac:dyDescent="0.25">
      <c r="A23975" t="str">
        <f>HYPERLINK("https://www.773grp.com/globalSearch/74LS283P-E/page-1", "74LS283P-E")</f>
        <v>74LS283P-E</v>
      </c>
      <c r="B23975" s="3" t="str">
        <f>HYPERLINK("https://www.773grp.com/manufacturer/renesas-electronics-america-inc?pageNo=43", "Renesas Electronics")</f>
        <v>Renesas Electronics</v>
      </c>
      <c r="C23975" s="6">
        <v>1000</v>
      </c>
      <c r="D23975" s="7">
        <v>2.54</v>
      </c>
    </row>
    <row r="23976" spans="1:4" x14ac:dyDescent="0.25">
      <c r="A23976" t="str">
        <f>HYPERLINK("https://www.773grp.com/globalSearch/M62337FP#DF0R/page-1", "M62337FP#DF0R")</f>
        <v>M62337FP#DF0R</v>
      </c>
      <c r="B23976" s="3" t="str">
        <f>HYPERLINK("https://www.773grp.com/manufacturer/renesas-electronics-america-inc?pageNo=44", "Renesas Electronics")</f>
        <v>Renesas Electronics</v>
      </c>
      <c r="C23976" s="6">
        <v>45000</v>
      </c>
      <c r="D23976" s="7">
        <v>2.54</v>
      </c>
    </row>
    <row r="23977" spans="1:4" x14ac:dyDescent="0.25">
      <c r="A23977" t="str">
        <f>HYPERLINK("https://www.773grp.com/globalSearch/R1EX24004ASAS0I#S1/page-1", "R1EX24004ASAS0I#S1")</f>
        <v>R1EX24004ASAS0I#S1</v>
      </c>
      <c r="B23977" s="3" t="str">
        <f>HYPERLINK("https://www.773grp.com/manufacturer/renesas-electronics-america-inc?pageNo=45", "Renesas Electronics")</f>
        <v>Renesas Electronics</v>
      </c>
      <c r="C23977" s="6">
        <v>250</v>
      </c>
      <c r="D23977" s="7">
        <v>2.54</v>
      </c>
    </row>
    <row r="23978" spans="1:4" x14ac:dyDescent="0.25">
      <c r="A23978" t="str">
        <f>HYPERLINK("https://www.773grp.com/globalSearch/R1EX24008ATA00I#S0/page-1", "R1EX24008ATA00I#S0")</f>
        <v>R1EX24008ATA00I#S0</v>
      </c>
      <c r="B23978" s="3" t="str">
        <f>HYPERLINK("https://www.773grp.com/manufacturer/renesas-electronics-america-inc?pageNo=46", "Renesas Electronics")</f>
        <v>Renesas Electronics</v>
      </c>
      <c r="C23978" s="6">
        <v>8400</v>
      </c>
      <c r="D23978" s="7">
        <v>2.54</v>
      </c>
    </row>
    <row r="23979" spans="1:4" x14ac:dyDescent="0.25">
      <c r="A23979" t="str">
        <f>HYPERLINK("https://www.773grp.com/globalSearch/RJK0348DSP-WS#J0/page-1", "RJK0348DSP-WS#J0")</f>
        <v>RJK0348DSP-WS#J0</v>
      </c>
      <c r="B23979" s="3" t="str">
        <f>HYPERLINK("https://www.773grp.com/manufacturer/renesas-electronics-america-inc?pageNo=47", "Renesas Electronics")</f>
        <v>Renesas Electronics</v>
      </c>
      <c r="C23979" s="6">
        <v>2200</v>
      </c>
      <c r="D23979" s="7">
        <v>2.54</v>
      </c>
    </row>
    <row r="23980" spans="1:4" x14ac:dyDescent="0.25">
      <c r="A23980" t="str">
        <f>HYPERLINK("https://www.773grp.com/globalSearch/2SC5624VH-TL-E/page-1", "2SC5624VH-TL-E")</f>
        <v>2SC5624VH-TL-E</v>
      </c>
      <c r="B23980" s="3" t="str">
        <f>HYPERLINK("https://www.773grp.com/manufacturer/renesas-electronics-america-inc?pageNo=48", "Renesas Electronics")</f>
        <v>Renesas Electronics</v>
      </c>
      <c r="C23980" s="6">
        <v>99000</v>
      </c>
      <c r="D23980" s="7">
        <v>2.59</v>
      </c>
    </row>
    <row r="23981" spans="1:4" x14ac:dyDescent="0.25">
      <c r="A23981" t="str">
        <f>HYPERLINK("https://www.773grp.com/globalSearch/74HC73FP-E/page-1", "74HC73FP-E")</f>
        <v>74HC73FP-E</v>
      </c>
      <c r="B23981" s="3" t="str">
        <f>HYPERLINK("https://www.773grp.com/manufacturer/renesas-electronics-america-inc?pageNo=49", "Renesas Electronics")</f>
        <v>Renesas Electronics</v>
      </c>
      <c r="C23981" s="6">
        <v>7376</v>
      </c>
      <c r="D23981" s="7">
        <v>2.59</v>
      </c>
    </row>
    <row r="23982" spans="1:4" x14ac:dyDescent="0.25">
      <c r="A23982" t="str">
        <f>HYPERLINK("https://www.773grp.com/globalSearch/AC03FJM-AZ/page-1", "AC03FJM-AZ")</f>
        <v>AC03FJM-AZ</v>
      </c>
      <c r="B23982" s="3" t="str">
        <f>HYPERLINK("https://www.773grp.com/manufacturer/renesas-electronics-america-inc?pageNo=50", "Renesas Electronics")</f>
        <v>Renesas Electronics</v>
      </c>
      <c r="C23982" s="6">
        <v>8716</v>
      </c>
      <c r="D23982" s="7">
        <v>2.59</v>
      </c>
    </row>
    <row r="23983" spans="1:4" x14ac:dyDescent="0.25">
      <c r="A23983" t="str">
        <f>HYPERLINK("https://www.773grp.com/globalSearch/AC03FJM-Z-AZ/page-1", "AC03FJM-Z-AZ")</f>
        <v>AC03FJM-Z-AZ</v>
      </c>
      <c r="B23983" s="3" t="str">
        <f>HYPERLINK("https://www.773grp.com/manufacturer/renesas-electronics-america-inc?pageNo=51", "Renesas Electronics")</f>
        <v>Renesas Electronics</v>
      </c>
      <c r="C23983" s="6">
        <v>3024</v>
      </c>
      <c r="D23983" s="7">
        <v>2.59</v>
      </c>
    </row>
    <row r="23984" spans="1:4" x14ac:dyDescent="0.25">
      <c r="A23984" t="str">
        <f>HYPERLINK("https://www.773grp.com/globalSearch/HA179L08P-TZ-E/page-1", "HA179L08P-TZ-E")</f>
        <v>HA179L08P-TZ-E</v>
      </c>
      <c r="B23984" s="3" t="str">
        <f>HYPERLINK("https://www.773grp.com/manufacturer/renesas-electronics-america-inc?pageNo=52", "Renesas Electronics")</f>
        <v>Renesas Electronics</v>
      </c>
      <c r="C23984" s="6">
        <v>10000</v>
      </c>
      <c r="D23984" s="7">
        <v>2.59</v>
      </c>
    </row>
    <row r="23985" spans="1:4" x14ac:dyDescent="0.25">
      <c r="A23985" t="str">
        <f>HYPERLINK("https://www.773grp.com/globalSearch/HA179L12P-TZ-E/page-1", "HA179L12P-TZ-E")</f>
        <v>HA179L12P-TZ-E</v>
      </c>
      <c r="B23985" s="3" t="str">
        <f>HYPERLINK("https://www.773grp.com/manufacturer/renesas-electronics-america-inc?pageNo=53", "Renesas Electronics")</f>
        <v>Renesas Electronics</v>
      </c>
      <c r="C23985" s="6">
        <v>43500</v>
      </c>
      <c r="D23985" s="7">
        <v>2.59</v>
      </c>
    </row>
    <row r="23986" spans="1:4" x14ac:dyDescent="0.25">
      <c r="A23986" t="str">
        <f>HYPERLINK("https://www.773grp.com/globalSearch/RJJ0315DSP-WS#J5/page-1", "RJJ0315DSP-WS#J5")</f>
        <v>RJJ0315DSP-WS#J5</v>
      </c>
      <c r="B23986" s="3" t="str">
        <f>HYPERLINK("https://www.773grp.com/manufacturer/renesas-electronics-america-inc?pageNo=54", "Renesas Electronics")</f>
        <v>Renesas Electronics</v>
      </c>
      <c r="C23986" s="6">
        <v>885</v>
      </c>
      <c r="D23986" s="7">
        <v>2.59</v>
      </c>
    </row>
    <row r="23987" spans="1:4" x14ac:dyDescent="0.25">
      <c r="A23987" t="str">
        <f>HYPERLINK("https://www.773grp.com/globalSearch/RJK0233DPA-00#J5A/page-1", "RJK0233DPA-00#J5A")</f>
        <v>RJK0233DPA-00#J5A</v>
      </c>
      <c r="B23987" s="3" t="str">
        <f>HYPERLINK("https://www.773grp.com/manufacturer/renesas-electronics-america-inc?pageNo=55", "Renesas Electronics")</f>
        <v>Renesas Electronics</v>
      </c>
      <c r="C23987" s="6">
        <v>6000</v>
      </c>
      <c r="D23987" s="7">
        <v>2.59</v>
      </c>
    </row>
    <row r="23988" spans="1:4" x14ac:dyDescent="0.25">
      <c r="A23988" t="str">
        <f>HYPERLINK("https://www.773grp.com/globalSearch/RJK0236DPA-00#J5A/page-1", "RJK0236DPA-00#J5A")</f>
        <v>RJK0236DPA-00#J5A</v>
      </c>
      <c r="B23988" s="3" t="str">
        <f>HYPERLINK("https://www.773grp.com/manufacturer/renesas-electronics-america-inc?pageNo=56", "Renesas Electronics")</f>
        <v>Renesas Electronics</v>
      </c>
      <c r="C23988" s="6">
        <v>12000</v>
      </c>
      <c r="D23988" s="7">
        <v>2.59</v>
      </c>
    </row>
    <row r="23989" spans="1:4" x14ac:dyDescent="0.25">
      <c r="A23989" t="str">
        <f>HYPERLINK("https://www.773grp.com/globalSearch/RJK0374DSP-01#J0/page-1", "RJK0374DSP-01#J0")</f>
        <v>RJK0374DSP-01#J0</v>
      </c>
      <c r="B23989" s="3" t="str">
        <f>HYPERLINK("https://www.773grp.com/manufacturer/renesas-electronics-america-inc?pageNo=57", "Renesas Electronics")</f>
        <v>Renesas Electronics</v>
      </c>
      <c r="C23989" s="6">
        <v>200000</v>
      </c>
      <c r="D23989" s="7">
        <v>2.59</v>
      </c>
    </row>
    <row r="23990" spans="1:4" x14ac:dyDescent="0.25">
      <c r="A23990" t="str">
        <f>HYPERLINK("https://www.773grp.com/globalSearch/RJK03J0DPA-00#J5A/page-1", "RJK03J0DPA-00#J5A")</f>
        <v>RJK03J0DPA-00#J5A</v>
      </c>
      <c r="B23990" s="3" t="str">
        <f>HYPERLINK("https://www.773grp.com/manufacturer/renesas-electronics-america-inc?pageNo=58", "Renesas Electronics")</f>
        <v>Renesas Electronics</v>
      </c>
      <c r="C23990" s="6">
        <v>9000</v>
      </c>
      <c r="D23990" s="7">
        <v>2.59</v>
      </c>
    </row>
    <row r="23991" spans="1:4" x14ac:dyDescent="0.25">
      <c r="A23991" t="str">
        <f>HYPERLINK("https://www.773grp.com/globalSearch/5P4J-AZ/page-1", "5P4J-AZ")</f>
        <v>5P4J-AZ</v>
      </c>
      <c r="B23991" s="3" t="str">
        <f>HYPERLINK("https://www.773grp.com/manufacturer/renesas-electronics-america-inc?pageNo=59", "Renesas Electronics")</f>
        <v>Renesas Electronics</v>
      </c>
      <c r="C23991" s="6">
        <v>561</v>
      </c>
      <c r="D23991" s="7">
        <v>2.64</v>
      </c>
    </row>
    <row r="23992" spans="1:4" x14ac:dyDescent="0.25">
      <c r="A23992" t="str">
        <f>HYPERLINK("https://www.773grp.com/globalSearch/74LS156P-E/page-1", "74LS156P-E")</f>
        <v>74LS156P-E</v>
      </c>
      <c r="B23992" s="3" t="str">
        <f>HYPERLINK("https://www.773grp.com/manufacturer/renesas-electronics-america-inc?pageNo=60", "Renesas Electronics")</f>
        <v>Renesas Electronics</v>
      </c>
      <c r="C23992" s="6">
        <v>12000</v>
      </c>
      <c r="D23992" s="7">
        <v>2.64</v>
      </c>
    </row>
    <row r="23993" spans="1:4" x14ac:dyDescent="0.25">
      <c r="A23993" t="str">
        <f>HYPERLINK("https://www.773grp.com/globalSearch/74LS85FP-E/page-1", "74LS85FP-E")</f>
        <v>74LS85FP-E</v>
      </c>
      <c r="B23993" s="3" t="str">
        <f>HYPERLINK("https://www.773grp.com/manufacturer/renesas-electronics-america-inc?pageNo=61", "Renesas Electronics")</f>
        <v>Renesas Electronics</v>
      </c>
      <c r="C23993" s="6">
        <v>4000</v>
      </c>
      <c r="D23993" s="7">
        <v>2.64</v>
      </c>
    </row>
    <row r="23994" spans="1:4" x14ac:dyDescent="0.25">
      <c r="A23994" t="str">
        <f>HYPERLINK("https://www.773grp.com/globalSearch/FS5ASJ-06F-T13#B00/page-1", "FS5ASJ-06F-T13#B00")</f>
        <v>FS5ASJ-06F-T13#B00</v>
      </c>
      <c r="B23994" s="3" t="str">
        <f>HYPERLINK("https://www.773grp.com/manufacturer/renesas-electronics-america-inc?pageNo=62", "Renesas Electronics")</f>
        <v>Renesas Electronics</v>
      </c>
      <c r="C23994" s="6">
        <v>20930</v>
      </c>
      <c r="D23994" s="7">
        <v>2.64</v>
      </c>
    </row>
    <row r="23995" spans="1:4" x14ac:dyDescent="0.25">
      <c r="A23995" t="str">
        <f>HYPERLINK("https://www.773grp.com/globalSearch/HAT2050TWS-E/page-1", "HAT2050TWS-E")</f>
        <v>HAT2050TWS-E</v>
      </c>
      <c r="B23995" s="3" t="str">
        <f>HYPERLINK("https://www.773grp.com/manufacturer/renesas-electronics-america-inc?pageNo=63", "Renesas Electronics")</f>
        <v>Renesas Electronics</v>
      </c>
      <c r="C23995" s="6">
        <v>2905</v>
      </c>
      <c r="D23995" s="7">
        <v>2.64</v>
      </c>
    </row>
    <row r="23996" spans="1:4" x14ac:dyDescent="0.25">
      <c r="A23996" t="str">
        <f>HYPERLINK("https://www.773grp.com/globalSearch/M5295AFP#DF0R/page-1", "M5295AFP#DF0R")</f>
        <v>M5295AFP#DF0R</v>
      </c>
      <c r="B23996" s="3" t="str">
        <f>HYPERLINK("https://www.773grp.com/manufacturer/renesas-electronics-america-inc?pageNo=64", "Renesas Electronics")</f>
        <v>Renesas Electronics</v>
      </c>
      <c r="C23996" s="6">
        <v>17500</v>
      </c>
      <c r="D23996" s="7">
        <v>2.64</v>
      </c>
    </row>
    <row r="23997" spans="1:4" x14ac:dyDescent="0.25">
      <c r="A23997" t="str">
        <f>HYPERLINK("https://www.773grp.com/globalSearch/RJK0351DPA-00#J0/page-1", "RJK0351DPA-00#J0")</f>
        <v>RJK0351DPA-00#J0</v>
      </c>
      <c r="B23997" s="3" t="str">
        <f>HYPERLINK("https://www.773grp.com/manufacturer/renesas-electronics-america-inc?pageNo=65", "Renesas Electronics")</f>
        <v>Renesas Electronics</v>
      </c>
      <c r="C23997" s="6">
        <v>182500</v>
      </c>
      <c r="D23997" s="7">
        <v>2.64</v>
      </c>
    </row>
    <row r="23998" spans="1:4" x14ac:dyDescent="0.25">
      <c r="A23998" t="str">
        <f>HYPERLINK("https://www.773grp.com/globalSearch/RJK0351DPA-01#J0/page-1", "RJK0351DPA-01#J0")</f>
        <v>RJK0351DPA-01#J0</v>
      </c>
      <c r="B23998" s="3" t="str">
        <f>HYPERLINK("https://www.773grp.com/manufacturer/renesas-electronics-america-inc?pageNo=66", "Renesas Electronics")</f>
        <v>Renesas Electronics</v>
      </c>
      <c r="C23998" s="6">
        <v>2500</v>
      </c>
      <c r="D23998" s="7">
        <v>2.64</v>
      </c>
    </row>
    <row r="23999" spans="1:4" x14ac:dyDescent="0.25">
      <c r="A23999" t="str">
        <f>HYPERLINK("https://www.773grp.com/globalSearch/RJK0351DPA-02#J0/page-1", "RJK0351DPA-02#J0")</f>
        <v>RJK0351DPA-02#J0</v>
      </c>
      <c r="B23999" s="3" t="str">
        <f>HYPERLINK("https://www.773grp.com/manufacturer/renesas-electronics-america-inc?pageNo=67", "Renesas Electronics")</f>
        <v>Renesas Electronics</v>
      </c>
      <c r="C23999" s="6">
        <v>50000</v>
      </c>
      <c r="D23999" s="7">
        <v>2.64</v>
      </c>
    </row>
    <row r="24000" spans="1:4" x14ac:dyDescent="0.25">
      <c r="A24000" t="str">
        <f>HYPERLINK("https://www.773grp.com/globalSearch/RJK0351DPA-03#J0B/page-1", "RJK0351DPA-03#J0B")</f>
        <v>RJK0351DPA-03#J0B</v>
      </c>
      <c r="B24000" s="3" t="str">
        <f>HYPERLINK("https://www.773grp.com/manufacturer/renesas-electronics-america-inc?pageNo=68", "Renesas Electronics")</f>
        <v>Renesas Electronics</v>
      </c>
      <c r="C24000" s="6">
        <v>7500</v>
      </c>
      <c r="D24000" s="7">
        <v>2.64</v>
      </c>
    </row>
    <row r="24001" spans="1:4" x14ac:dyDescent="0.25">
      <c r="A24001" t="str">
        <f>HYPERLINK("https://www.773grp.com/globalSearch/RJK0351DPA-WS#J0/page-1", "RJK0351DPA-WS#J0")</f>
        <v>RJK0351DPA-WS#J0</v>
      </c>
      <c r="B24001" s="3" t="str">
        <f>HYPERLINK("https://www.773grp.com/manufacturer/renesas-electronics-america-inc?pageNo=69", "Renesas Electronics")</f>
        <v>Renesas Electronics</v>
      </c>
      <c r="C24001" s="6">
        <v>410</v>
      </c>
      <c r="D24001" s="7">
        <v>2.64</v>
      </c>
    </row>
    <row r="24002" spans="1:4" x14ac:dyDescent="0.25">
      <c r="A24002" t="str">
        <f>HYPERLINK("https://www.773grp.com/globalSearch/RJK0353DPA-WS#J0/page-1", "RJK0353DPA-WS#J0")</f>
        <v>RJK0353DPA-WS#J0</v>
      </c>
      <c r="B24002" s="3" t="str">
        <f>HYPERLINK("https://www.773grp.com/manufacturer/renesas-electronics-america-inc?pageNo=70", "Renesas Electronics")</f>
        <v>Renesas Electronics</v>
      </c>
      <c r="C24002" s="6">
        <v>2830</v>
      </c>
      <c r="D24002" s="7">
        <v>2.64</v>
      </c>
    </row>
    <row r="24003" spans="1:4" x14ac:dyDescent="0.25">
      <c r="A24003" t="str">
        <f>HYPERLINK("https://www.773grp.com/globalSearch/RJK0355DPA-01#J0B/page-1", "RJK0355DPA-01#J0B")</f>
        <v>RJK0355DPA-01#J0B</v>
      </c>
      <c r="B24003" s="3" t="str">
        <f>HYPERLINK("https://www.773grp.com/manufacturer/renesas-electronics-america-inc?pageNo=71", "Renesas Electronics")</f>
        <v>Renesas Electronics</v>
      </c>
      <c r="C24003" s="6">
        <v>2500</v>
      </c>
      <c r="D24003" s="7">
        <v>2.64</v>
      </c>
    </row>
    <row r="24004" spans="1:4" x14ac:dyDescent="0.25">
      <c r="A24004" t="str">
        <f>HYPERLINK("https://www.773grp.com/globalSearch/RJK0355DPA-WS#J0/page-1", "RJK0355DPA-WS#J0")</f>
        <v>RJK0355DPA-WS#J0</v>
      </c>
      <c r="B24004" s="3" t="str">
        <f>HYPERLINK("https://www.773grp.com/manufacturer/renesas-electronics-america-inc?pageNo=72", "Renesas Electronics")</f>
        <v>Renesas Electronics</v>
      </c>
      <c r="C24004" s="6">
        <v>3405</v>
      </c>
      <c r="D24004" s="7">
        <v>2.64</v>
      </c>
    </row>
    <row r="24005" spans="1:4" x14ac:dyDescent="0.25">
      <c r="A24005" t="str">
        <f>HYPERLINK("https://www.773grp.com/globalSearch/RJK0364DPA-WS#J0/page-1", "RJK0364DPA-WS#J0")</f>
        <v>RJK0364DPA-WS#J0</v>
      </c>
      <c r="B24005" s="3" t="str">
        <f>HYPERLINK("https://www.773grp.com/manufacturer/renesas-electronics-america-inc?pageNo=73", "Renesas Electronics")</f>
        <v>Renesas Electronics</v>
      </c>
      <c r="C24005" s="6">
        <v>340</v>
      </c>
      <c r="D24005" s="7">
        <v>2.64</v>
      </c>
    </row>
    <row r="24006" spans="1:4" x14ac:dyDescent="0.25">
      <c r="A24006" t="str">
        <f>HYPERLINK("https://www.773grp.com/globalSearch/RJK0365DPA-00#J0/page-1", "RJK0365DPA-00#J0")</f>
        <v>RJK0365DPA-00#J0</v>
      </c>
      <c r="B24006" s="3" t="str">
        <f>HYPERLINK("https://www.773grp.com/manufacturer/renesas-electronics-america-inc?pageNo=74", "Renesas Electronics")</f>
        <v>Renesas Electronics</v>
      </c>
      <c r="C24006" s="6">
        <v>12500</v>
      </c>
      <c r="D24006" s="7">
        <v>2.64</v>
      </c>
    </row>
    <row r="24007" spans="1:4" x14ac:dyDescent="0.25">
      <c r="A24007" t="str">
        <f>HYPERLINK("https://www.773grp.com/globalSearch/RJK0365DPA-W2#J0B/page-1", "RJK0365DPA-W2#J0B")</f>
        <v>RJK0365DPA-W2#J0B</v>
      </c>
      <c r="B24007" s="3" t="str">
        <f>HYPERLINK("https://www.773grp.com/manufacturer/renesas-electronics-america-inc?pageNo=75", "Renesas Electronics")</f>
        <v>Renesas Electronics</v>
      </c>
      <c r="C24007" s="6">
        <v>2000</v>
      </c>
      <c r="D24007" s="7">
        <v>2.64</v>
      </c>
    </row>
    <row r="24008" spans="1:4" x14ac:dyDescent="0.25">
      <c r="A24008" t="str">
        <f>HYPERLINK("https://www.773grp.com/globalSearch/RJK0365DPA-WS#J0/page-1", "RJK0365DPA-WS#J0")</f>
        <v>RJK0365DPA-WS#J0</v>
      </c>
      <c r="B24008" s="3" t="str">
        <f>HYPERLINK("https://www.773grp.com/manufacturer/renesas-electronics-america-inc?pageNo=76", "Renesas Electronics")</f>
        <v>Renesas Electronics</v>
      </c>
      <c r="C24008" s="6">
        <v>2040</v>
      </c>
      <c r="D24008" s="7">
        <v>2.64</v>
      </c>
    </row>
    <row r="24009" spans="1:4" x14ac:dyDescent="0.25">
      <c r="A24009" t="str">
        <f>HYPERLINK("https://www.773grp.com/globalSearch/RJK0366DPA-00#J0/page-1", "RJK0366DPA-00#J0")</f>
        <v>RJK0366DPA-00#J0</v>
      </c>
      <c r="B24009" s="3" t="str">
        <f>HYPERLINK("https://www.773grp.com/manufacturer/renesas-electronics-america-inc?pageNo=77", "Renesas Electronics")</f>
        <v>Renesas Electronics</v>
      </c>
      <c r="C24009" s="6">
        <v>20000</v>
      </c>
      <c r="D24009" s="7">
        <v>2.64</v>
      </c>
    </row>
    <row r="24010" spans="1:4" x14ac:dyDescent="0.25">
      <c r="A24010" t="str">
        <f>HYPERLINK("https://www.773grp.com/globalSearch/RJK0366DPA-02#J0B/page-1", "RJK0366DPA-02#J0B")</f>
        <v>RJK0366DPA-02#J0B</v>
      </c>
      <c r="B24010" s="3" t="str">
        <f>HYPERLINK("https://www.773grp.com/manufacturer/renesas-electronics-america-inc?pageNo=78", "Renesas Electronics")</f>
        <v>Renesas Electronics</v>
      </c>
      <c r="C24010" s="6">
        <v>5000</v>
      </c>
      <c r="D24010" s="7">
        <v>2.64</v>
      </c>
    </row>
    <row r="24011" spans="1:4" x14ac:dyDescent="0.25">
      <c r="A24011" t="str">
        <f>HYPERLINK("https://www.773grp.com/globalSearch/RJK0366DPA-WS#J0/page-1", "RJK0366DPA-WS#J0")</f>
        <v>RJK0366DPA-WS#J0</v>
      </c>
      <c r="B24011" s="3" t="str">
        <f>HYPERLINK("https://www.773grp.com/manufacturer/renesas-electronics-america-inc?pageNo=79", "Renesas Electronics")</f>
        <v>Renesas Electronics</v>
      </c>
      <c r="C24011" s="6">
        <v>1008</v>
      </c>
      <c r="D24011" s="7">
        <v>2.64</v>
      </c>
    </row>
    <row r="24012" spans="1:4" x14ac:dyDescent="0.25">
      <c r="A24012" t="str">
        <f>HYPERLINK("https://www.773grp.com/globalSearch/RJK0368DPA-WS#J0/page-1", "RJK0368DPA-WS#J0")</f>
        <v>RJK0368DPA-WS#J0</v>
      </c>
      <c r="B24012" s="3" t="str">
        <f>HYPERLINK("https://www.773grp.com/manufacturer/renesas-electronics-america-inc?pageNo=80", "Renesas Electronics")</f>
        <v>Renesas Electronics</v>
      </c>
      <c r="C24012" s="6">
        <v>2085</v>
      </c>
      <c r="D24012" s="7">
        <v>2.64</v>
      </c>
    </row>
    <row r="24013" spans="1:4" x14ac:dyDescent="0.25">
      <c r="A24013" t="str">
        <f>HYPERLINK("https://www.773grp.com/globalSearch/RJK0394DPA-00#J5A/page-1", "RJK0394DPA-00#J5A")</f>
        <v>RJK0394DPA-00#J5A</v>
      </c>
      <c r="B24013" s="3" t="str">
        <f>HYPERLINK("https://www.773grp.com/manufacturer/renesas-electronics-america-inc?pageNo=81", "Renesas Electronics")</f>
        <v>Renesas Electronics</v>
      </c>
      <c r="C24013" s="6">
        <v>96000</v>
      </c>
      <c r="D24013" s="7">
        <v>2.64</v>
      </c>
    </row>
    <row r="24014" spans="1:4" x14ac:dyDescent="0.25">
      <c r="A24014" t="str">
        <f>HYPERLINK("https://www.773grp.com/globalSearch/RJK0394DPA-02#J53/page-1", "RJK0394DPA-02#J53")</f>
        <v>RJK0394DPA-02#J53</v>
      </c>
      <c r="B24014" s="3" t="str">
        <f>HYPERLINK("https://www.773grp.com/manufacturer/renesas-electronics-america-inc?pageNo=82", "Renesas Electronics")</f>
        <v>Renesas Electronics</v>
      </c>
      <c r="C24014" s="6">
        <v>36000</v>
      </c>
      <c r="D24014" s="7">
        <v>2.64</v>
      </c>
    </row>
    <row r="24015" spans="1:4" x14ac:dyDescent="0.25">
      <c r="A24015" t="str">
        <f>HYPERLINK("https://www.773grp.com/globalSearch/RJK0394DPA-WS#J53/page-1", "RJK0394DPA-WS#J53")</f>
        <v>RJK0394DPA-WS#J53</v>
      </c>
      <c r="B24015" s="3" t="str">
        <f>HYPERLINK("https://www.773grp.com/manufacturer/renesas-electronics-america-inc?pageNo=83", "Renesas Electronics")</f>
        <v>Renesas Electronics</v>
      </c>
      <c r="C24015" s="6">
        <v>1055</v>
      </c>
      <c r="D24015" s="7">
        <v>2.64</v>
      </c>
    </row>
    <row r="24016" spans="1:4" x14ac:dyDescent="0.25">
      <c r="A24016" t="str">
        <f>HYPERLINK("https://www.773grp.com/globalSearch/RJK0395DPA-00#J5A/page-1", "RJK0395DPA-00#J5A")</f>
        <v>RJK0395DPA-00#J5A</v>
      </c>
      <c r="B24016" s="3" t="str">
        <f>HYPERLINK("https://www.773grp.com/manufacturer/renesas-electronics-america-inc?pageNo=84", "Renesas Electronics")</f>
        <v>Renesas Electronics</v>
      </c>
      <c r="C24016" s="6">
        <v>3000</v>
      </c>
      <c r="D24016" s="7">
        <v>2.64</v>
      </c>
    </row>
    <row r="24017" spans="1:4" x14ac:dyDescent="0.25">
      <c r="A24017" t="str">
        <f>HYPERLINK("https://www.773grp.com/globalSearch/RJK0395DPA-WS#J53/page-1", "RJK0395DPA-WS#J53")</f>
        <v>RJK0395DPA-WS#J53</v>
      </c>
      <c r="B24017" s="3" t="str">
        <f>HYPERLINK("https://www.773grp.com/manufacturer/renesas-electronics-america-inc?pageNo=85", "Renesas Electronics")</f>
        <v>Renesas Electronics</v>
      </c>
      <c r="C24017" s="6">
        <v>2690</v>
      </c>
      <c r="D24017" s="7">
        <v>2.64</v>
      </c>
    </row>
    <row r="24018" spans="1:4" x14ac:dyDescent="0.25">
      <c r="A24018" t="str">
        <f>HYPERLINK("https://www.773grp.com/globalSearch/RJK03D2DPA-00#J53/page-1", "RJK03D2DPA-00#J53")</f>
        <v>RJK03D2DPA-00#J53</v>
      </c>
      <c r="B24018" s="3" t="str">
        <f>HYPERLINK("https://www.773grp.com/manufacturer/renesas-electronics-america-inc?pageNo=86", "Renesas Electronics")</f>
        <v>Renesas Electronics</v>
      </c>
      <c r="C24018" s="6">
        <v>1578000</v>
      </c>
      <c r="D24018" s="7">
        <v>2.64</v>
      </c>
    </row>
    <row r="24019" spans="1:4" x14ac:dyDescent="0.25">
      <c r="A24019" t="str">
        <f>HYPERLINK("https://www.773grp.com/globalSearch/RJK03D2DPA-00#J5A/page-1", "RJK03D2DPA-00#J5A")</f>
        <v>RJK03D2DPA-00#J5A</v>
      </c>
      <c r="B24019" s="3" t="str">
        <f>HYPERLINK("https://www.773grp.com/manufacturer/renesas-electronics-america-inc?pageNo=87", "Renesas Electronics")</f>
        <v>Renesas Electronics</v>
      </c>
      <c r="C24019" s="6">
        <v>15000</v>
      </c>
      <c r="D24019" s="7">
        <v>2.64</v>
      </c>
    </row>
    <row r="24020" spans="1:4" x14ac:dyDescent="0.25">
      <c r="A24020" t="str">
        <f>HYPERLINK("https://www.773grp.com/globalSearch/RJK03D3DPA-00#J53/page-1", "RJK03D3DPA-00#J53")</f>
        <v>RJK03D3DPA-00#J53</v>
      </c>
      <c r="B24020" s="3" t="str">
        <f>HYPERLINK("https://www.773grp.com/manufacturer/renesas-electronics-america-inc?pageNo=88", "Renesas Electronics")</f>
        <v>Renesas Electronics</v>
      </c>
      <c r="C24020" s="6">
        <v>300000</v>
      </c>
      <c r="D24020" s="7">
        <v>2.64</v>
      </c>
    </row>
    <row r="24021" spans="1:4" x14ac:dyDescent="0.25">
      <c r="A24021" t="str">
        <f>HYPERLINK("https://www.773grp.com/globalSearch/RJK03D3DPA-00#J5A/page-1", "RJK03D3DPA-00#J5A")</f>
        <v>RJK03D3DPA-00#J5A</v>
      </c>
      <c r="B24021" s="3" t="str">
        <f>HYPERLINK("https://www.773grp.com/manufacturer/renesas-electronics-america-inc?pageNo=89", "Renesas Electronics")</f>
        <v>Renesas Electronics</v>
      </c>
      <c r="C24021" s="6">
        <v>195000</v>
      </c>
      <c r="D24021" s="7">
        <v>2.64</v>
      </c>
    </row>
    <row r="24022" spans="1:4" x14ac:dyDescent="0.25">
      <c r="A24022" t="str">
        <f>HYPERLINK("https://www.773grp.com/globalSearch/RJK03D5DPA-00#J53/page-1", "RJK03D5DPA-00#J53")</f>
        <v>RJK03D5DPA-00#J53</v>
      </c>
      <c r="B24022" s="3" t="str">
        <f>HYPERLINK("https://www.773grp.com/manufacturer/renesas-electronics-america-inc?pageNo=90", "Renesas Electronics")</f>
        <v>Renesas Electronics</v>
      </c>
      <c r="C24022" s="6">
        <v>138000</v>
      </c>
      <c r="D24022" s="7">
        <v>2.64</v>
      </c>
    </row>
    <row r="24023" spans="1:4" x14ac:dyDescent="0.25">
      <c r="A24023" t="str">
        <f>HYPERLINK("https://www.773grp.com/globalSearch/RJK1562DJE-00#Z0/page-1", "RJK1562DJE-00#Z0")</f>
        <v>RJK1562DJE-00#Z0</v>
      </c>
      <c r="B24023" s="3" t="str">
        <f>HYPERLINK("https://www.773grp.com/manufacturer/renesas-electronics-america-inc?pageNo=91", "Renesas Electronics")</f>
        <v>Renesas Electronics</v>
      </c>
      <c r="C24023" s="6">
        <v>102500</v>
      </c>
      <c r="D24023" s="7">
        <v>2.64</v>
      </c>
    </row>
    <row r="24024" spans="1:4" x14ac:dyDescent="0.25">
      <c r="A24024" t="str">
        <f>HYPERLINK("https://www.773grp.com/globalSearch/74HC273FPDV-E/page-1", "74HC273FPDV-E")</f>
        <v>74HC273FPDV-E</v>
      </c>
      <c r="B24024" s="3" t="str">
        <f>HYPERLINK("https://www.773grp.com/manufacturer/renesas-electronics-america-inc?pageNo=92", "Renesas Electronics")</f>
        <v>Renesas Electronics</v>
      </c>
      <c r="C24024" s="6">
        <v>5000</v>
      </c>
      <c r="D24024" s="7">
        <v>2.69</v>
      </c>
    </row>
    <row r="24025" spans="1:4" x14ac:dyDescent="0.25">
      <c r="A24025" t="str">
        <f>HYPERLINK("https://www.773grp.com/globalSearch/74HC390P-E/page-1", "74HC390P-E")</f>
        <v>74HC390P-E</v>
      </c>
      <c r="B24025" s="3" t="str">
        <f>HYPERLINK("https://www.773grp.com/manufacturer/renesas-electronics-america-inc?pageNo=93", "Renesas Electronics")</f>
        <v>Renesas Electronics</v>
      </c>
      <c r="C24025" s="6">
        <v>6000</v>
      </c>
      <c r="D24025" s="7">
        <v>2.69</v>
      </c>
    </row>
    <row r="24026" spans="1:4" x14ac:dyDescent="0.25">
      <c r="A24026" t="str">
        <f>HYPERLINK("https://www.773grp.com/globalSearch/74HC4017FP-E/page-1", "74HC4017FP-E")</f>
        <v>74HC4017FP-E</v>
      </c>
      <c r="B24026" s="3" t="str">
        <f>HYPERLINK("https://www.773grp.com/manufacturer/renesas-electronics-america-inc?pageNo=94", "Renesas Electronics")</f>
        <v>Renesas Electronics</v>
      </c>
      <c r="C24026" s="6">
        <v>1000</v>
      </c>
      <c r="D24026" s="7">
        <v>2.69</v>
      </c>
    </row>
    <row r="24027" spans="1:4" x14ac:dyDescent="0.25">
      <c r="A24027" t="str">
        <f>HYPERLINK("https://www.773grp.com/globalSearch/74HC4511P-E/page-1", "74HC4511P-E")</f>
        <v>74HC4511P-E</v>
      </c>
      <c r="B24027" s="3" t="str">
        <f>HYPERLINK("https://www.773grp.com/manufacturer/renesas-electronics-america-inc?pageNo=95", "Renesas Electronics")</f>
        <v>Renesas Electronics</v>
      </c>
      <c r="C24027" s="6">
        <v>5000</v>
      </c>
      <c r="D24027" s="7">
        <v>2.69</v>
      </c>
    </row>
    <row r="24028" spans="1:4" x14ac:dyDescent="0.25">
      <c r="A24028" t="str">
        <f>HYPERLINK("https://www.773grp.com/globalSearch/74HC4520FP-E/page-1", "74HC4520FP-E")</f>
        <v>74HC4520FP-E</v>
      </c>
      <c r="B24028" s="3" t="str">
        <f>HYPERLINK("https://www.773grp.com/manufacturer/renesas-electronics-america-inc?pageNo=96", "Renesas Electronics")</f>
        <v>Renesas Electronics</v>
      </c>
      <c r="C24028" s="6">
        <v>2000</v>
      </c>
      <c r="D24028" s="7">
        <v>2.69</v>
      </c>
    </row>
    <row r="24029" spans="1:4" x14ac:dyDescent="0.25">
      <c r="A24029" t="str">
        <f>HYPERLINK("https://www.773grp.com/globalSearch/74HC4520P-E/page-1", "74HC4520P-E")</f>
        <v>74HC4520P-E</v>
      </c>
      <c r="B24029" s="3" t="str">
        <f>HYPERLINK("https://www.773grp.com/manufacturer/renesas-electronics-america-inc?pageNo=97", "Renesas Electronics")</f>
        <v>Renesas Electronics</v>
      </c>
      <c r="C24029" s="6">
        <v>5000</v>
      </c>
      <c r="D24029" s="7">
        <v>2.69</v>
      </c>
    </row>
    <row r="24030" spans="1:4" x14ac:dyDescent="0.25">
      <c r="A24030" t="str">
        <f>HYPERLINK("https://www.773grp.com/globalSearch/74LS123FP-E/page-1", "74LS123FP-E")</f>
        <v>74LS123FP-E</v>
      </c>
      <c r="B24030" s="3" t="str">
        <f>HYPERLINK("https://www.773grp.com/manufacturer/renesas-electronics-america-inc?pageNo=98", "Renesas Electronics")</f>
        <v>Renesas Electronics</v>
      </c>
      <c r="C24030" s="6">
        <v>3000</v>
      </c>
      <c r="D24030" s="7">
        <v>2.69</v>
      </c>
    </row>
    <row r="24031" spans="1:4" x14ac:dyDescent="0.25">
      <c r="A24031" t="str">
        <f>HYPERLINK("https://www.773grp.com/globalSearch/HA17903ARPEL-E/page-1", "HA17903ARPEL-E")</f>
        <v>HA17903ARPEL-E</v>
      </c>
      <c r="B24031" s="3" t="str">
        <f>HYPERLINK("https://www.773grp.com/manufacturer/renesas-electronics-america-inc?pageNo=99", "Renesas Electronics")</f>
        <v>Renesas Electronics</v>
      </c>
      <c r="C24031" s="6">
        <v>5000</v>
      </c>
      <c r="D24031" s="7">
        <v>2.69</v>
      </c>
    </row>
    <row r="24032" spans="1:4" x14ac:dyDescent="0.25">
      <c r="A24032" t="str">
        <f>HYPERLINK("https://www.773grp.com/globalSearch/M62220L#TF0J/page-1", "M62220L#TF0J")</f>
        <v>M62220L#TF0J</v>
      </c>
      <c r="B24032" s="3" t="str">
        <f>HYPERLINK("https://www.773grp.com/manufacturer/renesas-electronics-america-inc?pageNo=100", "Renesas Electronics")</f>
        <v>Renesas Electronics</v>
      </c>
      <c r="C24032" s="6">
        <v>4683</v>
      </c>
      <c r="D24032" s="7">
        <v>2.69</v>
      </c>
    </row>
    <row r="24033" spans="1:4" x14ac:dyDescent="0.25">
      <c r="A24033" t="str">
        <f>HYPERLINK("https://www.773grp.com/globalSearch/M62332FP#DF0R/page-1", "M62332FP#DF0R")</f>
        <v>M62332FP#DF0R</v>
      </c>
      <c r="B24033" s="3" t="str">
        <f>HYPERLINK("https://www.773grp.com/manufacturer/renesas-electronics-america-inc?pageNo=101", "Renesas Electronics")</f>
        <v>Renesas Electronics</v>
      </c>
      <c r="C24033" s="6">
        <v>5000</v>
      </c>
      <c r="D24033" s="7">
        <v>2.69</v>
      </c>
    </row>
    <row r="24034" spans="1:4" x14ac:dyDescent="0.25">
      <c r="A24034" t="str">
        <f>HYPERLINK("https://www.773grp.com/globalSearch/RJK0381DPA-00#J5A/page-1", "RJK0381DPA-00#J5A")</f>
        <v>RJK0381DPA-00#J5A</v>
      </c>
      <c r="B24034" s="3" t="str">
        <f>HYPERLINK("https://www.773grp.com/manufacturer/renesas-electronics-america-inc?pageNo=102", "Renesas Electronics")</f>
        <v>Renesas Electronics</v>
      </c>
      <c r="C24034" s="6">
        <v>3000</v>
      </c>
      <c r="D24034" s="7">
        <v>2.69</v>
      </c>
    </row>
    <row r="24035" spans="1:4" x14ac:dyDescent="0.25">
      <c r="A24035" t="str">
        <f>HYPERLINK("https://www.773grp.com/globalSearch/RJP4006AGE-00#P5/page-1", "RJP4006AGE-00#P5")</f>
        <v>RJP4006AGE-00#P5</v>
      </c>
      <c r="B24035" s="3" t="str">
        <f>HYPERLINK("https://www.773grp.com/manufacturer/renesas-electronics-america-inc?pageNo=103", "Renesas Electronics")</f>
        <v>Renesas Electronics</v>
      </c>
      <c r="C24035" s="6">
        <v>2907000</v>
      </c>
      <c r="D24035" s="7">
        <v>2.69</v>
      </c>
    </row>
    <row r="24036" spans="1:4" x14ac:dyDescent="0.25">
      <c r="A24036" t="str">
        <f>HYPERLINK("https://www.773grp.com/globalSearch/2SC4500L-E/page-1", "2SC4500L-E")</f>
        <v>2SC4500L-E</v>
      </c>
      <c r="B24036" s="3" t="str">
        <f>HYPERLINK("https://www.773grp.com/manufacturer/renesas-electronics-america-inc?pageNo=104", "Renesas Electronics")</f>
        <v>Renesas Electronics</v>
      </c>
      <c r="C24036" s="6">
        <v>4251</v>
      </c>
      <c r="D24036" s="7">
        <v>2.75</v>
      </c>
    </row>
    <row r="24037" spans="1:4" x14ac:dyDescent="0.25">
      <c r="A24037" t="str">
        <f>HYPERLINK("https://www.773grp.com/globalSearch/2SK1299STL-E/page-1", "2SK1299STL-E")</f>
        <v>2SK1299STL-E</v>
      </c>
      <c r="B24037" s="3" t="str">
        <f>HYPERLINK("https://www.773grp.com/manufacturer/renesas-electronics-america-inc?pageNo=105", "Renesas Electronics")</f>
        <v>Renesas Electronics</v>
      </c>
      <c r="C24037" s="6">
        <v>5690</v>
      </c>
      <c r="D24037" s="7">
        <v>2.75</v>
      </c>
    </row>
    <row r="24038" spans="1:4" x14ac:dyDescent="0.25">
      <c r="A24038" t="str">
        <f>HYPERLINK("https://www.773grp.com/globalSearch/5P6J-AZ/page-1", "5P6J-AZ")</f>
        <v>5P6J-AZ</v>
      </c>
      <c r="B24038" s="3" t="str">
        <f>HYPERLINK("https://www.773grp.com/manufacturer/renesas-electronics-america-inc?pageNo=106", "Renesas Electronics")</f>
        <v>Renesas Electronics</v>
      </c>
      <c r="C24038" s="6">
        <v>187</v>
      </c>
      <c r="D24038" s="7">
        <v>2.75</v>
      </c>
    </row>
    <row r="24039" spans="1:4" x14ac:dyDescent="0.25">
      <c r="A24039" t="str">
        <f>HYPERLINK("https://www.773grp.com/globalSearch/74HC237FP-E/page-1", "74HC237FP-E")</f>
        <v>74HC237FP-E</v>
      </c>
      <c r="B24039" s="3" t="str">
        <f>HYPERLINK("https://www.773grp.com/manufacturer/renesas-electronics-america-inc?pageNo=107", "Renesas Electronics")</f>
        <v>Renesas Electronics</v>
      </c>
      <c r="C24039" s="6">
        <v>5000</v>
      </c>
      <c r="D24039" s="7">
        <v>2.75</v>
      </c>
    </row>
    <row r="24040" spans="1:4" x14ac:dyDescent="0.25">
      <c r="A24040" t="str">
        <f>HYPERLINK("https://www.773grp.com/globalSearch/AC05FJM-Z-AZ/page-1", "AC05FJM-Z-AZ")</f>
        <v>AC05FJM-Z-AZ</v>
      </c>
      <c r="B24040" s="3" t="str">
        <f>HYPERLINK("https://www.773grp.com/manufacturer/renesas-electronics-america-inc?pageNo=108", "Renesas Electronics")</f>
        <v>Renesas Electronics</v>
      </c>
      <c r="C24040" s="6">
        <v>98</v>
      </c>
      <c r="D24040" s="7">
        <v>2.75</v>
      </c>
    </row>
    <row r="24041" spans="1:4" x14ac:dyDescent="0.25">
      <c r="A24041" t="str">
        <f>HYPERLINK("https://www.773grp.com/globalSearch/H7N1004FN-E/page-1", "H7N1004FN-E")</f>
        <v>H7N1004FN-E</v>
      </c>
      <c r="B24041" s="3" t="str">
        <f>HYPERLINK("https://www.773grp.com/manufacturer/renesas-electronics-america-inc?pageNo=109", "Renesas Electronics")</f>
        <v>Renesas Electronics</v>
      </c>
      <c r="C24041" s="6">
        <v>44013</v>
      </c>
      <c r="D24041" s="7">
        <v>2.75</v>
      </c>
    </row>
    <row r="24042" spans="1:4" x14ac:dyDescent="0.25">
      <c r="A24042" t="str">
        <f>HYPERLINK("https://www.773grp.com/globalSearch/RJP4003ASA-00#Q0/page-1", "RJP4003ASA-00#Q0")</f>
        <v>RJP4003ASA-00#Q0</v>
      </c>
      <c r="B24042" s="3" t="str">
        <f>HYPERLINK("https://www.773grp.com/manufacturer/renesas-electronics-america-inc?pageNo=110", "Renesas Electronics")</f>
        <v>Renesas Electronics</v>
      </c>
      <c r="C24042" s="6">
        <v>18000</v>
      </c>
      <c r="D24042" s="7">
        <v>2.75</v>
      </c>
    </row>
    <row r="24043" spans="1:4" x14ac:dyDescent="0.25">
      <c r="A24043" t="str">
        <f>HYPERLINK("https://www.773grp.com/globalSearch/2P4M(DM)-AZ/page-1", "2P4M(DM)-AZ")</f>
        <v>2P4M(DM)-AZ</v>
      </c>
      <c r="B24043" s="3" t="str">
        <f>HYPERLINK("https://www.773grp.com/manufacturer/renesas-electronics-america-inc?pageNo=111", "Renesas Electronics")</f>
        <v>Renesas Electronics</v>
      </c>
      <c r="C24043" s="6">
        <v>721</v>
      </c>
      <c r="D24043" s="7">
        <v>2.8</v>
      </c>
    </row>
    <row r="24044" spans="1:4" x14ac:dyDescent="0.25">
      <c r="A24044" t="str">
        <f>HYPERLINK("https://www.773grp.com/globalSearch/2SK3570-ZK-E1-AZ/page-1", "2SK3570-ZK-E1-AZ")</f>
        <v>2SK3570-ZK-E1-AZ</v>
      </c>
      <c r="B24044" s="3" t="str">
        <f>HYPERLINK("https://www.773grp.com/manufacturer/renesas-electronics-america-inc?pageNo=112", "Renesas Electronics")</f>
        <v>Renesas Electronics</v>
      </c>
      <c r="C24044" s="6">
        <v>800</v>
      </c>
      <c r="D24044" s="7">
        <v>2.8</v>
      </c>
    </row>
    <row r="24045" spans="1:4" x14ac:dyDescent="0.25">
      <c r="A24045" t="str">
        <f>HYPERLINK("https://www.773grp.com/globalSearch/5P4J-Z-AZ/page-1", "5P4J-Z-AZ")</f>
        <v>5P4J-Z-AZ</v>
      </c>
      <c r="B24045" s="3" t="str">
        <f>HYPERLINK("https://www.773grp.com/manufacturer/renesas-electronics-america-inc?pageNo=113", "Renesas Electronics")</f>
        <v>Renesas Electronics</v>
      </c>
      <c r="C24045" s="6">
        <v>8663</v>
      </c>
      <c r="D24045" s="7">
        <v>2.8</v>
      </c>
    </row>
    <row r="24046" spans="1:4" x14ac:dyDescent="0.25">
      <c r="A24046" t="str">
        <f>HYPERLINK("https://www.773grp.com/globalSearch/5P6J-Z-AZ/page-1", "5P6J-Z-AZ")</f>
        <v>5P6J-Z-AZ</v>
      </c>
      <c r="B24046" s="3" t="str">
        <f>HYPERLINK("https://www.773grp.com/manufacturer/renesas-electronics-america-inc?pageNo=114", "Renesas Electronics")</f>
        <v>Renesas Electronics</v>
      </c>
      <c r="C24046" s="6">
        <v>857</v>
      </c>
      <c r="D24046" s="7">
        <v>2.8</v>
      </c>
    </row>
    <row r="24047" spans="1:4" x14ac:dyDescent="0.25">
      <c r="A24047" t="str">
        <f>HYPERLINK("https://www.773grp.com/globalSearch/74LS139P-E/page-1", "74LS139P-E")</f>
        <v>74LS139P-E</v>
      </c>
      <c r="B24047" s="3" t="str">
        <f>HYPERLINK("https://www.773grp.com/manufacturer/renesas-electronics-america-inc?pageNo=115", "Renesas Electronics")</f>
        <v>Renesas Electronics</v>
      </c>
      <c r="C24047" s="6">
        <v>3000</v>
      </c>
      <c r="D24047" s="7">
        <v>2.8</v>
      </c>
    </row>
    <row r="24048" spans="1:4" x14ac:dyDescent="0.25">
      <c r="A24048" t="str">
        <f>HYPERLINK("https://www.773grp.com/globalSearch/74LS47P-E/page-1", "74LS47P-E")</f>
        <v>74LS47P-E</v>
      </c>
      <c r="B24048" s="3" t="str">
        <f>HYPERLINK("https://www.773grp.com/manufacturer/renesas-electronics-america-inc?pageNo=116", "Renesas Electronics")</f>
        <v>Renesas Electronics</v>
      </c>
      <c r="C24048" s="6">
        <v>4000</v>
      </c>
      <c r="D24048" s="7">
        <v>2.8</v>
      </c>
    </row>
    <row r="24049" spans="1:4" x14ac:dyDescent="0.25">
      <c r="A24049" t="str">
        <f>HYPERLINK("https://www.773grp.com/globalSearch/74LS51P-E/page-1", "74LS51P-E")</f>
        <v>74LS51P-E</v>
      </c>
      <c r="B24049" s="3" t="str">
        <f>HYPERLINK("https://www.773grp.com/manufacturer/renesas-electronics-america-inc?pageNo=117", "Renesas Electronics")</f>
        <v>Renesas Electronics</v>
      </c>
      <c r="C24049" s="6">
        <v>8000</v>
      </c>
      <c r="D24049" s="7">
        <v>2.8</v>
      </c>
    </row>
    <row r="24050" spans="1:4" x14ac:dyDescent="0.25">
      <c r="A24050" t="str">
        <f>HYPERLINK("https://www.773grp.com/globalSearch/FS10ASJ-2-T13#B00/page-1", "FS10ASJ-2-T13#B00")</f>
        <v>FS10ASJ-2-T13#B00</v>
      </c>
      <c r="B24050" s="3" t="str">
        <f>HYPERLINK("https://www.773grp.com/manufacturer/renesas-electronics-america-inc?pageNo=118", "Renesas Electronics")</f>
        <v>Renesas Electronics</v>
      </c>
      <c r="C24050" s="6">
        <v>6000</v>
      </c>
      <c r="D24050" s="7">
        <v>2.8</v>
      </c>
    </row>
    <row r="24051" spans="1:4" x14ac:dyDescent="0.25">
      <c r="A24051" t="str">
        <f>HYPERLINK("https://www.773grp.com/globalSearch/M5295AL/page-1", "M5295AL")</f>
        <v>M5295AL</v>
      </c>
      <c r="B24051" s="3" t="str">
        <f>HYPERLINK("https://www.773grp.com/manufacturer/renesas-electronics-america-inc?pageNo=119", "Renesas Electronics")</f>
        <v>Renesas Electronics</v>
      </c>
      <c r="C24051" s="6">
        <v>962</v>
      </c>
      <c r="D24051" s="7">
        <v>2.8</v>
      </c>
    </row>
    <row r="24052" spans="1:4" x14ac:dyDescent="0.25">
      <c r="A24052" t="str">
        <f>HYPERLINK("https://www.773grp.com/globalSearch/RJK0356DPA-01#J0/page-1", "RJK0356DPA-01#J0")</f>
        <v>RJK0356DPA-01#J0</v>
      </c>
      <c r="B24052" s="3" t="str">
        <f>HYPERLINK("https://www.773grp.com/manufacturer/renesas-electronics-america-inc?pageNo=120", "Renesas Electronics")</f>
        <v>Renesas Electronics</v>
      </c>
      <c r="C24052" s="6">
        <v>10000</v>
      </c>
      <c r="D24052" s="7">
        <v>2.8</v>
      </c>
    </row>
    <row r="24053" spans="1:4" x14ac:dyDescent="0.25">
      <c r="A24053" t="str">
        <f>HYPERLINK("https://www.773grp.com/globalSearch/RJK0358DPA-00#J0/page-1", "RJK0358DPA-00#J0")</f>
        <v>RJK0358DPA-00#J0</v>
      </c>
      <c r="B24053" s="3" t="str">
        <f>HYPERLINK("https://www.773grp.com/manufacturer/renesas-electronics-america-inc?pageNo=121", "Renesas Electronics")</f>
        <v>Renesas Electronics</v>
      </c>
      <c r="C24053" s="6">
        <v>2500</v>
      </c>
      <c r="D24053" s="7">
        <v>2.8</v>
      </c>
    </row>
    <row r="24054" spans="1:4" x14ac:dyDescent="0.25">
      <c r="A24054" t="str">
        <f>HYPERLINK("https://www.773grp.com/globalSearch/RJK0358DPA-01#J0/page-1", "RJK0358DPA-01#J0")</f>
        <v>RJK0358DPA-01#J0</v>
      </c>
      <c r="B24054" s="3" t="str">
        <f>HYPERLINK("https://www.773grp.com/manufacturer/renesas-electronics-america-inc?pageNo=122", "Renesas Electronics")</f>
        <v>Renesas Electronics</v>
      </c>
      <c r="C24054" s="6">
        <v>30000</v>
      </c>
      <c r="D24054" s="7">
        <v>2.8</v>
      </c>
    </row>
    <row r="24055" spans="1:4" x14ac:dyDescent="0.25">
      <c r="A24055" t="str">
        <f>HYPERLINK("https://www.773grp.com/globalSearch/RJK0358DPA-01#J0B/page-1", "RJK0358DPA-01#J0B")</f>
        <v>RJK0358DPA-01#J0B</v>
      </c>
      <c r="B24055" s="3" t="str">
        <f>HYPERLINK("https://www.773grp.com/manufacturer/renesas-electronics-america-inc?pageNo=123", "Renesas Electronics")</f>
        <v>Renesas Electronics</v>
      </c>
      <c r="C24055" s="6">
        <v>7500</v>
      </c>
      <c r="D24055" s="7">
        <v>2.8</v>
      </c>
    </row>
    <row r="24056" spans="1:4" x14ac:dyDescent="0.25">
      <c r="A24056" t="str">
        <f>HYPERLINK("https://www.773grp.com/globalSearch/RJK0358DPA-WS#J0/page-1", "RJK0358DPA-WS#J0")</f>
        <v>RJK0358DPA-WS#J0</v>
      </c>
      <c r="B24056" s="3" t="str">
        <f>HYPERLINK("https://www.773grp.com/manufacturer/renesas-electronics-america-inc?pageNo=124", "Renesas Electronics")</f>
        <v>Renesas Electronics</v>
      </c>
      <c r="C24056" s="6">
        <v>2260</v>
      </c>
      <c r="D24056" s="7">
        <v>2.8</v>
      </c>
    </row>
    <row r="24057" spans="1:4" x14ac:dyDescent="0.25">
      <c r="A24057" t="str">
        <f>HYPERLINK("https://www.773grp.com/globalSearch/74HC4538FP-E/page-1", "74HC4538FP-E")</f>
        <v>74HC4538FP-E</v>
      </c>
      <c r="B24057" s="3" t="str">
        <f>HYPERLINK("https://www.773grp.com/manufacturer/renesas-electronics-america-inc?pageNo=125", "Renesas Electronics")</f>
        <v>Renesas Electronics</v>
      </c>
      <c r="C24057" s="6">
        <v>1000</v>
      </c>
      <c r="D24057" s="7">
        <v>2.85</v>
      </c>
    </row>
    <row r="24058" spans="1:4" x14ac:dyDescent="0.25">
      <c r="A24058" t="str">
        <f>HYPERLINK("https://www.773grp.com/globalSearch/74HC4538P-E/page-1", "74HC4538P-E")</f>
        <v>74HC4538P-E</v>
      </c>
      <c r="B24058" s="3" t="str">
        <f>HYPERLINK("https://www.773grp.com/manufacturer/renesas-electronics-america-inc?pageNo=126", "Renesas Electronics")</f>
        <v>Renesas Electronics</v>
      </c>
      <c r="C24058" s="6">
        <v>5995</v>
      </c>
      <c r="D24058" s="7">
        <v>2.85</v>
      </c>
    </row>
    <row r="24059" spans="1:4" x14ac:dyDescent="0.25">
      <c r="A24059" t="str">
        <f>HYPERLINK("https://www.773grp.com/globalSearch/74HC533FP-E/page-1", "74HC533FP-E")</f>
        <v>74HC533FP-E</v>
      </c>
      <c r="B24059" s="3" t="str">
        <f>HYPERLINK("https://www.773grp.com/manufacturer/renesas-electronics-america-inc?pageNo=127", "Renesas Electronics")</f>
        <v>Renesas Electronics</v>
      </c>
      <c r="C24059" s="6">
        <v>370</v>
      </c>
      <c r="D24059" s="7">
        <v>2.85</v>
      </c>
    </row>
    <row r="24060" spans="1:4" x14ac:dyDescent="0.25">
      <c r="A24060" t="str">
        <f>HYPERLINK("https://www.773grp.com/globalSearch/74HC533P-E/page-1", "74HC533P-E")</f>
        <v>74HC533P-E</v>
      </c>
      <c r="B24060" s="3" t="str">
        <f>HYPERLINK("https://www.773grp.com/manufacturer/renesas-electronics-america-inc?pageNo=128", "Renesas Electronics")</f>
        <v>Renesas Electronics</v>
      </c>
      <c r="C24060" s="6">
        <v>1000</v>
      </c>
      <c r="D24060" s="7">
        <v>2.85</v>
      </c>
    </row>
    <row r="24061" spans="1:4" x14ac:dyDescent="0.25">
      <c r="A24061" t="str">
        <f>HYPERLINK("https://www.773grp.com/globalSearch/74HCT534P-E/page-1", "74HCT534P-E")</f>
        <v>74HCT534P-E</v>
      </c>
      <c r="B24061" s="3" t="str">
        <f>HYPERLINK("https://www.773grp.com/manufacturer/renesas-electronics-america-inc?pageNo=129", "Renesas Electronics")</f>
        <v>Renesas Electronics</v>
      </c>
      <c r="C24061" s="6">
        <v>1000</v>
      </c>
      <c r="D24061" s="7">
        <v>2.85</v>
      </c>
    </row>
    <row r="24062" spans="1:4" x14ac:dyDescent="0.25">
      <c r="A24062" t="str">
        <f>HYPERLINK("https://www.773grp.com/globalSearch/AC05DJM-AZ/page-1", "AC05DJM-AZ")</f>
        <v>AC05DJM-AZ</v>
      </c>
      <c r="B24062" s="3" t="str">
        <f>HYPERLINK("https://www.773grp.com/manufacturer/renesas-electronics-america-inc?pageNo=130", "Renesas Electronics")</f>
        <v>Renesas Electronics</v>
      </c>
      <c r="C24062" s="6">
        <v>6477</v>
      </c>
      <c r="D24062" s="7">
        <v>2.85</v>
      </c>
    </row>
    <row r="24063" spans="1:4" x14ac:dyDescent="0.25">
      <c r="A24063" t="str">
        <f>HYPERLINK("https://www.773grp.com/globalSearch/AC05FJM-AZ/page-1", "AC05FJM-AZ")</f>
        <v>AC05FJM-AZ</v>
      </c>
      <c r="B24063" s="3" t="str">
        <f>HYPERLINK("https://www.773grp.com/manufacturer/renesas-electronics-america-inc?pageNo=131", "Renesas Electronics")</f>
        <v>Renesas Electronics</v>
      </c>
      <c r="C24063" s="6">
        <v>384</v>
      </c>
      <c r="D24063" s="7">
        <v>2.85</v>
      </c>
    </row>
    <row r="24064" spans="1:4" x14ac:dyDescent="0.25">
      <c r="A24064" t="str">
        <f>HYPERLINK("https://www.773grp.com/globalSearch/D74HV1G02VS#H1/page-1", "D74HV1G02VS#H1")</f>
        <v>D74HV1G02VS#H1</v>
      </c>
      <c r="B24064" s="3" t="str">
        <f>HYPERLINK("https://www.773grp.com/manufacturer/renesas-electronics-america-inc?pageNo=132", "Renesas Electronics")</f>
        <v>Renesas Electronics</v>
      </c>
      <c r="C24064" s="6">
        <v>33000</v>
      </c>
      <c r="D24064" s="7">
        <v>2.85</v>
      </c>
    </row>
    <row r="24065" spans="1:4" x14ac:dyDescent="0.25">
      <c r="A24065" t="str">
        <f>HYPERLINK("https://www.773grp.com/globalSearch/HCT541TVELL-E-P/page-1", "HCT541TVELL-E-P")</f>
        <v>HCT541TVELL-E-P</v>
      </c>
      <c r="B24065" s="3" t="str">
        <f>HYPERLINK("https://www.773grp.com/manufacturer/renesas-electronics-america-inc?pageNo=133", "Renesas Electronics")</f>
        <v>Renesas Electronics</v>
      </c>
      <c r="C24065" s="6">
        <v>88000</v>
      </c>
      <c r="D24065" s="7">
        <v>2.85</v>
      </c>
    </row>
    <row r="24066" spans="1:4" x14ac:dyDescent="0.25">
      <c r="A24066" t="str">
        <f>HYPERLINK("https://www.773grp.com/globalSearch/R1EX24008ATA00A#S0/page-1", "R1EX24008ATA00A#S0")</f>
        <v>R1EX24008ATA00A#S0</v>
      </c>
      <c r="B24066" s="3" t="str">
        <f>HYPERLINK("https://www.773grp.com/manufacturer/renesas-electronics-america-inc?pageNo=134", "Renesas Electronics")</f>
        <v>Renesas Electronics</v>
      </c>
      <c r="C24066" s="6">
        <v>15000</v>
      </c>
      <c r="D24066" s="7">
        <v>2.85</v>
      </c>
    </row>
    <row r="24067" spans="1:4" x14ac:dyDescent="0.25">
      <c r="A24067" t="str">
        <f>HYPERLINK("https://www.773grp.com/globalSearch/RJK03P3DPA-00#J5A/page-1", "RJK03P3DPA-00#J5A")</f>
        <v>RJK03P3DPA-00#J5A</v>
      </c>
      <c r="B24067" s="3" t="str">
        <f>HYPERLINK("https://www.773grp.com/manufacturer/renesas-electronics-america-inc?pageNo=135", "Renesas Electronics")</f>
        <v>Renesas Electronics</v>
      </c>
      <c r="C24067" s="6">
        <v>816000</v>
      </c>
      <c r="D24067" s="7">
        <v>2.85</v>
      </c>
    </row>
    <row r="24068" spans="1:4" x14ac:dyDescent="0.25">
      <c r="A24068" t="str">
        <f>HYPERLINK("https://www.773grp.com/globalSearch/2SJ128-AZ/page-1", "2SJ128-AZ")</f>
        <v>2SJ128-AZ</v>
      </c>
      <c r="B24068" s="3" t="str">
        <f>HYPERLINK("https://www.773grp.com/manufacturer/renesas-electronics-america-inc?pageNo=136", "Renesas Electronics")</f>
        <v>Renesas Electronics</v>
      </c>
      <c r="C24068" s="6">
        <v>655</v>
      </c>
      <c r="D24068" s="7">
        <v>2.9</v>
      </c>
    </row>
    <row r="24069" spans="1:4" x14ac:dyDescent="0.25">
      <c r="A24069" t="str">
        <f>HYPERLINK("https://www.773grp.com/globalSearch/74HC684P-E/page-1", "74HC684P-E")</f>
        <v>74HC684P-E</v>
      </c>
      <c r="B24069" s="3" t="str">
        <f>HYPERLINK("https://www.773grp.com/manufacturer/renesas-electronics-america-inc?pageNo=137", "Renesas Electronics")</f>
        <v>Renesas Electronics</v>
      </c>
      <c r="C24069" s="6">
        <v>1000</v>
      </c>
      <c r="D24069" s="7">
        <v>2.9</v>
      </c>
    </row>
    <row r="24070" spans="1:4" x14ac:dyDescent="0.25">
      <c r="A24070" t="str">
        <f>HYPERLINK("https://www.773grp.com/globalSearch/74LS148FP-E/page-1", "74LS148FP-E")</f>
        <v>74LS148FP-E</v>
      </c>
      <c r="B24070" s="3" t="str">
        <f>HYPERLINK("https://www.773grp.com/manufacturer/renesas-electronics-america-inc?pageNo=138", "Renesas Electronics")</f>
        <v>Renesas Electronics</v>
      </c>
      <c r="C24070" s="6">
        <v>3000</v>
      </c>
      <c r="D24070" s="7">
        <v>2.9</v>
      </c>
    </row>
    <row r="24071" spans="1:4" x14ac:dyDescent="0.25">
      <c r="A24071" t="str">
        <f>HYPERLINK("https://www.773grp.com/globalSearch/74LS174FP-E/page-1", "74LS174FP-E")</f>
        <v>74LS174FP-E</v>
      </c>
      <c r="B24071" s="3" t="str">
        <f>HYPERLINK("https://www.773grp.com/manufacturer/renesas-electronics-america-inc?pageNo=139", "Renesas Electronics")</f>
        <v>Renesas Electronics</v>
      </c>
      <c r="C24071" s="6">
        <v>5000</v>
      </c>
      <c r="D24071" s="7">
        <v>2.9</v>
      </c>
    </row>
    <row r="24072" spans="1:4" x14ac:dyDescent="0.25">
      <c r="A24072" t="str">
        <f>HYPERLINK("https://www.773grp.com/globalSearch/74LS193P-E/page-1", "74LS193P-E")</f>
        <v>74LS193P-E</v>
      </c>
      <c r="B24072" s="3" t="str">
        <f>HYPERLINK("https://www.773grp.com/manufacturer/renesas-electronics-america-inc?pageNo=140", "Renesas Electronics")</f>
        <v>Renesas Electronics</v>
      </c>
      <c r="C24072" s="6">
        <v>1000</v>
      </c>
      <c r="D24072" s="7">
        <v>2.9</v>
      </c>
    </row>
    <row r="24073" spans="1:4" x14ac:dyDescent="0.25">
      <c r="A24073" t="str">
        <f>HYPERLINK("https://www.773grp.com/globalSearch/74LS247P-E/page-1", "74LS247P-E")</f>
        <v>74LS247P-E</v>
      </c>
      <c r="B24073" s="3" t="str">
        <f>HYPERLINK("https://www.773grp.com/manufacturer/renesas-electronics-america-inc?pageNo=141", "Renesas Electronics")</f>
        <v>Renesas Electronics</v>
      </c>
      <c r="C24073" s="6">
        <v>4000</v>
      </c>
      <c r="D24073" s="7">
        <v>2.9</v>
      </c>
    </row>
    <row r="24074" spans="1:4" x14ac:dyDescent="0.25">
      <c r="A24074" t="str">
        <f>HYPERLINK("https://www.773grp.com/globalSearch/74LS393FP-E/page-1", "74LS393FP-E")</f>
        <v>74LS393FP-E</v>
      </c>
      <c r="B24074" s="3" t="str">
        <f>HYPERLINK("https://www.773grp.com/manufacturer/renesas-electronics-america-inc?pageNo=142", "Renesas Electronics")</f>
        <v>Renesas Electronics</v>
      </c>
      <c r="C24074" s="6">
        <v>7000</v>
      </c>
      <c r="D24074" s="7">
        <v>2.9</v>
      </c>
    </row>
    <row r="24075" spans="1:4" x14ac:dyDescent="0.25">
      <c r="A24075" t="str">
        <f>HYPERLINK("https://www.773grp.com/globalSearch/HA17904PSD/page-1", "HA17904PSD")</f>
        <v>HA17904PSD</v>
      </c>
      <c r="B24075" s="3" t="str">
        <f>HYPERLINK("https://www.773grp.com/manufacturer/renesas-electronics-america-inc?pageNo=143", "Renesas Electronics")</f>
        <v>Renesas Electronics</v>
      </c>
      <c r="C24075" s="6">
        <v>10737</v>
      </c>
      <c r="D24075" s="7">
        <v>2.9</v>
      </c>
    </row>
    <row r="24076" spans="1:4" x14ac:dyDescent="0.25">
      <c r="A24076" t="str">
        <f>HYPERLINK("https://www.773grp.com/globalSearch/M62216FP#CF0R/page-1", "M62216FP#CF0R")</f>
        <v>M62216FP#CF0R</v>
      </c>
      <c r="B24076" s="3" t="str">
        <f>HYPERLINK("https://www.773grp.com/manufacturer/renesas-electronics-america-inc?pageNo=144", "Renesas Electronics")</f>
        <v>Renesas Electronics</v>
      </c>
      <c r="C24076" s="6">
        <v>2500</v>
      </c>
      <c r="D24076" s="7">
        <v>2.9</v>
      </c>
    </row>
    <row r="24077" spans="1:4" x14ac:dyDescent="0.25">
      <c r="A24077" t="str">
        <f>HYPERLINK("https://www.773grp.com/globalSearch/R1EX24064ASA00A#S0/page-1", "R1EX24064ASA00A#S0")</f>
        <v>R1EX24064ASA00A#S0</v>
      </c>
      <c r="B24077" s="3" t="str">
        <f>HYPERLINK("https://www.773grp.com/manufacturer/renesas-electronics-america-inc?pageNo=145", "Renesas Electronics")</f>
        <v>Renesas Electronics</v>
      </c>
      <c r="C24077" s="6">
        <v>7500</v>
      </c>
      <c r="D24077" s="7">
        <v>2.9</v>
      </c>
    </row>
    <row r="24078" spans="1:4" x14ac:dyDescent="0.25">
      <c r="A24078" t="str">
        <f>HYPERLINK("https://www.773grp.com/globalSearch/2SB1150-AZ/page-1", "2SB1150-AZ")</f>
        <v>2SB1150-AZ</v>
      </c>
      <c r="B24078" s="3" t="str">
        <f>HYPERLINK("https://www.773grp.com/manufacturer/renesas-electronics-america-inc?pageNo=146", "Renesas Electronics")</f>
        <v>Renesas Electronics</v>
      </c>
      <c r="C24078" s="6">
        <v>4417</v>
      </c>
      <c r="D24078" s="7">
        <v>2.95</v>
      </c>
    </row>
    <row r="24079" spans="1:4" x14ac:dyDescent="0.25">
      <c r="A24079" t="str">
        <f>HYPERLINK("https://www.773grp.com/globalSearch/5P4J-Z-E1-AZ/page-1", "5P4J-Z-E1-AZ")</f>
        <v>5P4J-Z-E1-AZ</v>
      </c>
      <c r="B24079" s="3" t="str">
        <f>HYPERLINK("https://www.773grp.com/manufacturer/renesas-electronics-america-inc?pageNo=147", "Renesas Electronics")</f>
        <v>Renesas Electronics</v>
      </c>
      <c r="C24079" s="6">
        <v>22000</v>
      </c>
      <c r="D24079" s="7">
        <v>2.95</v>
      </c>
    </row>
    <row r="24080" spans="1:4" x14ac:dyDescent="0.25">
      <c r="A24080" t="str">
        <f>HYPERLINK("https://www.773grp.com/globalSearch/74HC193P-E#D0/page-1", "74HC193P-E#D0")</f>
        <v>74HC193P-E#D0</v>
      </c>
      <c r="B24080" s="3" t="str">
        <f>HYPERLINK("https://www.773grp.com/manufacturer/renesas-electronics-america-inc?pageNo=148", "Renesas Electronics")</f>
        <v>Renesas Electronics</v>
      </c>
      <c r="C24080" s="6">
        <v>2000</v>
      </c>
      <c r="D24080" s="7">
        <v>2.95</v>
      </c>
    </row>
    <row r="24081" spans="1:4" x14ac:dyDescent="0.25">
      <c r="A24081" t="str">
        <f>HYPERLINK("https://www.773grp.com/globalSearch/74HC386FP-E/page-1", "74HC386FP-E")</f>
        <v>74HC386FP-E</v>
      </c>
      <c r="B24081" s="3" t="str">
        <f>HYPERLINK("https://www.773grp.com/manufacturer/renesas-electronics-america-inc?pageNo=149", "Renesas Electronics")</f>
        <v>Renesas Electronics</v>
      </c>
      <c r="C24081" s="6">
        <v>3000</v>
      </c>
      <c r="D24081" s="7">
        <v>2.95</v>
      </c>
    </row>
    <row r="24082" spans="1:4" x14ac:dyDescent="0.25">
      <c r="A24082" t="str">
        <f>HYPERLINK("https://www.773grp.com/globalSearch/74LS151P-E/page-1", "74LS151P-E")</f>
        <v>74LS151P-E</v>
      </c>
      <c r="B24082" s="3" t="str">
        <f>HYPERLINK("https://www.773grp.com/manufacturer/renesas-electronics-america-inc?pageNo=150", "Renesas Electronics")</f>
        <v>Renesas Electronics</v>
      </c>
      <c r="C24082" s="6">
        <v>5000</v>
      </c>
      <c r="D24082" s="7">
        <v>2.95</v>
      </c>
    </row>
    <row r="24083" spans="1:4" x14ac:dyDescent="0.25">
      <c r="A24083" t="str">
        <f>HYPERLINK("https://www.773grp.com/globalSearch/HD74LS190P/page-1", "HD74LS190P")</f>
        <v>HD74LS190P</v>
      </c>
      <c r="B24083" s="3" t="str">
        <f>HYPERLINK("https://www.773grp.com/manufacturer/renesas-electronics-america-inc?pageNo=151", "Renesas Electronics")</f>
        <v>Renesas Electronics</v>
      </c>
      <c r="C24083" s="6">
        <v>6000</v>
      </c>
      <c r="D24083" s="7">
        <v>2.95</v>
      </c>
    </row>
    <row r="24084" spans="1:4" x14ac:dyDescent="0.25">
      <c r="A24084" t="str">
        <f>HYPERLINK("https://www.773grp.com/globalSearch/R1EX24064ATAS0A#RS/page-1", "R1EX24064ATAS0A#RS")</f>
        <v>R1EX24064ATAS0A#RS</v>
      </c>
      <c r="B24084" s="3" t="str">
        <f>HYPERLINK("https://www.773grp.com/manufacturer/renesas-electronics-america-inc?pageNo=152", "Renesas Electronics")</f>
        <v>Renesas Electronics</v>
      </c>
      <c r="C24084" s="6">
        <v>24000</v>
      </c>
      <c r="D24084" s="7">
        <v>2.95</v>
      </c>
    </row>
    <row r="24085" spans="1:4" x14ac:dyDescent="0.25">
      <c r="A24085" t="str">
        <f>HYPERLINK("https://www.773grp.com/globalSearch/2SA1008(4)-S6-AZ/page-1", "2SA1008(4)-S6-AZ")</f>
        <v>2SA1008(4)-S6-AZ</v>
      </c>
      <c r="B24085" s="3" t="str">
        <f>HYPERLINK("https://www.773grp.com/manufacturer/renesas-electronics-america-inc?pageNo=153", "Renesas Electronics")</f>
        <v>Renesas Electronics</v>
      </c>
      <c r="C24085" s="6">
        <v>3370</v>
      </c>
      <c r="D24085" s="7">
        <v>3</v>
      </c>
    </row>
    <row r="24086" spans="1:4" x14ac:dyDescent="0.25">
      <c r="A24086" t="str">
        <f>HYPERLINK("https://www.773grp.com/globalSearch/74HC153FP-E/page-1", "74HC153FP-E")</f>
        <v>74HC153FP-E</v>
      </c>
      <c r="B24086" s="3" t="str">
        <f>HYPERLINK("https://www.773grp.com/manufacturer/renesas-electronics-america-inc?pageNo=154", "Renesas Electronics")</f>
        <v>Renesas Electronics</v>
      </c>
      <c r="C24086" s="6">
        <v>1280</v>
      </c>
      <c r="D24086" s="7">
        <v>3</v>
      </c>
    </row>
    <row r="24087" spans="1:4" x14ac:dyDescent="0.25">
      <c r="A24087" t="str">
        <f>HYPERLINK("https://www.773grp.com/globalSearch/74HC221FP-E/page-1", "74HC221FP-E")</f>
        <v>74HC221FP-E</v>
      </c>
      <c r="B24087" s="3" t="str">
        <f>HYPERLINK("https://www.773grp.com/manufacturer/renesas-electronics-america-inc?pageNo=155", "Renesas Electronics")</f>
        <v>Renesas Electronics</v>
      </c>
      <c r="C24087" s="6">
        <v>4000</v>
      </c>
      <c r="D24087" s="7">
        <v>3</v>
      </c>
    </row>
    <row r="24088" spans="1:4" x14ac:dyDescent="0.25">
      <c r="A24088" t="str">
        <f>HYPERLINK("https://www.773grp.com/globalSearch/8P4J-Z-AZ/page-1", "8P4J-Z-AZ")</f>
        <v>8P4J-Z-AZ</v>
      </c>
      <c r="B24088" s="3" t="str">
        <f>HYPERLINK("https://www.773grp.com/manufacturer/renesas-electronics-america-inc?pageNo=156", "Renesas Electronics")</f>
        <v>Renesas Electronics</v>
      </c>
      <c r="C24088" s="6">
        <v>191</v>
      </c>
      <c r="D24088" s="7">
        <v>3</v>
      </c>
    </row>
    <row r="24089" spans="1:4" x14ac:dyDescent="0.25">
      <c r="A24089" t="str">
        <f>HYPERLINK("https://www.773grp.com/globalSearch/AC05DJM-Z-AZ/page-1", "AC05DJM-Z-AZ")</f>
        <v>AC05DJM-Z-AZ</v>
      </c>
      <c r="B24089" s="3" t="str">
        <f>HYPERLINK("https://www.773grp.com/manufacturer/renesas-electronics-america-inc?pageNo=157", "Renesas Electronics")</f>
        <v>Renesas Electronics</v>
      </c>
      <c r="C24089" s="6">
        <v>61</v>
      </c>
      <c r="D24089" s="7">
        <v>3</v>
      </c>
    </row>
    <row r="24090" spans="1:4" x14ac:dyDescent="0.25">
      <c r="A24090" t="str">
        <f>HYPERLINK("https://www.773grp.com/globalSearch/AC05DJM-Z-E1-AZ/page-1", "AC05DJM-Z-E1-AZ")</f>
        <v>AC05DJM-Z-E1-AZ</v>
      </c>
      <c r="B24090" s="3" t="str">
        <f>HYPERLINK("https://www.773grp.com/manufacturer/renesas-electronics-america-inc?pageNo=158", "Renesas Electronics")</f>
        <v>Renesas Electronics</v>
      </c>
      <c r="C24090" s="6">
        <v>8000</v>
      </c>
      <c r="D24090" s="7">
        <v>3</v>
      </c>
    </row>
    <row r="24091" spans="1:4" x14ac:dyDescent="0.25">
      <c r="A24091" t="str">
        <f>HYPERLINK("https://www.773grp.com/globalSearch/FS30ASJ-06F#B00/page-1", "FS30ASJ-06F#B00")</f>
        <v>FS30ASJ-06F#B00</v>
      </c>
      <c r="B24091" s="3" t="str">
        <f>HYPERLINK("https://www.773grp.com/manufacturer/renesas-electronics-america-inc?pageNo=159", "Renesas Electronics")</f>
        <v>Renesas Electronics</v>
      </c>
      <c r="C24091" s="6">
        <v>3319</v>
      </c>
      <c r="D24091" s="7">
        <v>3</v>
      </c>
    </row>
    <row r="24092" spans="1:4" x14ac:dyDescent="0.25">
      <c r="A24092" t="str">
        <f>HYPERLINK("https://www.773grp.com/globalSearch/M62216FP#TF0R/page-1", "M62216FP#TF0R")</f>
        <v>M62216FP#TF0R</v>
      </c>
      <c r="B24092" s="3" t="str">
        <f>HYPERLINK("https://www.773grp.com/manufacturer/renesas-electronics-america-inc?pageNo=160", "Renesas Electronics")</f>
        <v>Renesas Electronics</v>
      </c>
      <c r="C24092" s="6">
        <v>15</v>
      </c>
      <c r="D24092" s="7">
        <v>3</v>
      </c>
    </row>
    <row r="24093" spans="1:4" x14ac:dyDescent="0.25">
      <c r="A24093" t="str">
        <f>HYPERLINK("https://www.773grp.com/globalSearch/R1EX24008ATAS0I#S1/page-1", "R1EX24008ATAS0I#S1")</f>
        <v>R1EX24008ATAS0I#S1</v>
      </c>
      <c r="B24093" s="3" t="str">
        <f>HYPERLINK("https://www.773grp.com/manufacturer/renesas-electronics-america-inc?pageNo=161", "Renesas Electronics")</f>
        <v>Renesas Electronics</v>
      </c>
      <c r="C24093" s="6">
        <v>250</v>
      </c>
      <c r="D24093" s="7">
        <v>3</v>
      </c>
    </row>
    <row r="24094" spans="1:4" x14ac:dyDescent="0.25">
      <c r="A24094" t="str">
        <f>HYPERLINK("https://www.773grp.com/globalSearch/R1EX24032ATA00I#S0/page-1", "R1EX24032ATA00I#S0")</f>
        <v>R1EX24032ATA00I#S0</v>
      </c>
      <c r="B24094" s="3" t="str">
        <f>HYPERLINK("https://www.773grp.com/manufacturer/renesas-electronics-america-inc?pageNo=162", "Renesas Electronics")</f>
        <v>Renesas Electronics</v>
      </c>
      <c r="C24094" s="6">
        <v>15000</v>
      </c>
      <c r="D24094" s="7">
        <v>3</v>
      </c>
    </row>
    <row r="24095" spans="1:4" x14ac:dyDescent="0.25">
      <c r="A24095" t="str">
        <f>HYPERLINK("https://www.773grp.com/globalSearch/RJK0329DPB-W1#J0/page-1", "RJK0329DPB-W1#J0")</f>
        <v>RJK0329DPB-W1#J0</v>
      </c>
      <c r="B24095" s="3" t="str">
        <f>HYPERLINK("https://www.773grp.com/manufacturer/renesas-electronics-america-inc?pageNo=163", "Renesas Electronics")</f>
        <v>Renesas Electronics</v>
      </c>
      <c r="C24095" s="6">
        <v>2300</v>
      </c>
      <c r="D24095" s="7">
        <v>3</v>
      </c>
    </row>
    <row r="24096" spans="1:4" x14ac:dyDescent="0.25">
      <c r="A24096" t="str">
        <f>HYPERLINK("https://www.773grp.com/globalSearch/RJP4005ANS-01#Q1/page-1", "RJP4005ANS-01#Q1")</f>
        <v>RJP4005ANS-01#Q1</v>
      </c>
      <c r="B24096" s="3" t="str">
        <f>HYPERLINK("https://www.773grp.com/manufacturer/renesas-electronics-america-inc?pageNo=164", "Renesas Electronics")</f>
        <v>Renesas Electronics</v>
      </c>
      <c r="C24096" s="6">
        <v>744000</v>
      </c>
      <c r="D24096" s="7">
        <v>3</v>
      </c>
    </row>
    <row r="24097" spans="1:4" x14ac:dyDescent="0.25">
      <c r="A24097" t="str">
        <f>HYPERLINK("https://www.773grp.com/globalSearch/74HC132P-E/page-1", "74HC132P-E")</f>
        <v>74HC132P-E</v>
      </c>
      <c r="B24097" s="3" t="str">
        <f>HYPERLINK("https://www.773grp.com/manufacturer/renesas-electronics-america-inc?pageNo=165", "Renesas Electronics")</f>
        <v>Renesas Electronics</v>
      </c>
      <c r="C24097" s="6">
        <v>8990</v>
      </c>
      <c r="D24097" s="7">
        <v>3.05</v>
      </c>
    </row>
    <row r="24098" spans="1:4" x14ac:dyDescent="0.25">
      <c r="A24098" t="str">
        <f>HYPERLINK("https://www.773grp.com/globalSearch/74HC280FP-E/page-1", "74HC280FP-E")</f>
        <v>74HC280FP-E</v>
      </c>
      <c r="B24098" s="3" t="str">
        <f>HYPERLINK("https://www.773grp.com/manufacturer/renesas-electronics-america-inc?pageNo=166", "Renesas Electronics")</f>
        <v>Renesas Electronics</v>
      </c>
      <c r="C24098" s="6">
        <v>4851</v>
      </c>
      <c r="D24098" s="7">
        <v>3.05</v>
      </c>
    </row>
    <row r="24099" spans="1:4" x14ac:dyDescent="0.25">
      <c r="A24099" t="str">
        <f>HYPERLINK("https://www.773grp.com/globalSearch/74HC280P-E/page-1", "74HC280P-E")</f>
        <v>74HC280P-E</v>
      </c>
      <c r="B24099" s="3" t="str">
        <f>HYPERLINK("https://www.773grp.com/manufacturer/renesas-electronics-america-inc?pageNo=167", "Renesas Electronics")</f>
        <v>Renesas Electronics</v>
      </c>
      <c r="C24099" s="6">
        <v>3000</v>
      </c>
      <c r="D24099" s="7">
        <v>3.05</v>
      </c>
    </row>
    <row r="24100" spans="1:4" x14ac:dyDescent="0.25">
      <c r="A24100" t="str">
        <f>HYPERLINK("https://www.773grp.com/globalSearch/74HC377FP-E/page-1", "74HC377FP-E")</f>
        <v>74HC377FP-E</v>
      </c>
      <c r="B24100" s="3" t="str">
        <f>HYPERLINK("https://www.773grp.com/manufacturer/renesas-electronics-america-inc?pageNo=168", "Renesas Electronics")</f>
        <v>Renesas Electronics</v>
      </c>
      <c r="C24100" s="6">
        <v>2949</v>
      </c>
      <c r="D24100" s="7">
        <v>3.05</v>
      </c>
    </row>
    <row r="24101" spans="1:4" x14ac:dyDescent="0.25">
      <c r="A24101" t="str">
        <f>HYPERLINK("https://www.773grp.com/globalSearch/74HC4060FP-E/page-1", "74HC4060FP-E")</f>
        <v>74HC4060FP-E</v>
      </c>
      <c r="B24101" s="3" t="str">
        <f>HYPERLINK("https://www.773grp.com/manufacturer/renesas-electronics-america-inc?pageNo=169", "Renesas Electronics")</f>
        <v>Renesas Electronics</v>
      </c>
      <c r="C24101" s="6">
        <v>5000</v>
      </c>
      <c r="D24101" s="7">
        <v>3.05</v>
      </c>
    </row>
    <row r="24102" spans="1:4" x14ac:dyDescent="0.25">
      <c r="A24102" t="str">
        <f>HYPERLINK("https://www.773grp.com/globalSearch/74HC4060P-E/page-1", "74HC4060P-E")</f>
        <v>74HC4060P-E</v>
      </c>
      <c r="B24102" s="3" t="str">
        <f>HYPERLINK("https://www.773grp.com/manufacturer/renesas-electronics-america-inc?pageNo=170", "Renesas Electronics")</f>
        <v>Renesas Electronics</v>
      </c>
      <c r="C24102" s="6">
        <v>7000</v>
      </c>
      <c r="D24102" s="7">
        <v>3.05</v>
      </c>
    </row>
    <row r="24103" spans="1:4" x14ac:dyDescent="0.25">
      <c r="A24103" t="str">
        <f>HYPERLINK("https://www.773grp.com/globalSearch/74HC563FP-E/page-1", "74HC563FP-E")</f>
        <v>74HC563FP-E</v>
      </c>
      <c r="B24103" s="3" t="str">
        <f>HYPERLINK("https://www.773grp.com/manufacturer/renesas-electronics-america-inc?pageNo=171", "Renesas Electronics")</f>
        <v>Renesas Electronics</v>
      </c>
      <c r="C24103" s="6">
        <v>9583</v>
      </c>
      <c r="D24103" s="7">
        <v>3.05</v>
      </c>
    </row>
    <row r="24104" spans="1:4" x14ac:dyDescent="0.25">
      <c r="A24104" t="str">
        <f>HYPERLINK("https://www.773grp.com/globalSearch/74HC564FPEL-E/page-1", "74HC564FPEL-E")</f>
        <v>74HC564FPEL-E</v>
      </c>
      <c r="B24104" s="3" t="str">
        <f>HYPERLINK("https://www.773grp.com/manufacturer/renesas-electronics-america-inc?pageNo=172", "Renesas Electronics")</f>
        <v>Renesas Electronics</v>
      </c>
      <c r="C24104" s="6">
        <v>10000</v>
      </c>
      <c r="D24104" s="7">
        <v>3.05</v>
      </c>
    </row>
    <row r="24105" spans="1:4" x14ac:dyDescent="0.25">
      <c r="A24105" t="str">
        <f>HYPERLINK("https://www.773grp.com/globalSearch/74HCT574FP-E/page-1", "74HCT574FP-E")</f>
        <v>74HCT574FP-E</v>
      </c>
      <c r="B24105" s="3" t="str">
        <f>HYPERLINK("https://www.773grp.com/manufacturer/renesas-electronics-america-inc?pageNo=173", "Renesas Electronics")</f>
        <v>Renesas Electronics</v>
      </c>
      <c r="C24105" s="6">
        <v>1963</v>
      </c>
      <c r="D24105" s="7">
        <v>3.05</v>
      </c>
    </row>
    <row r="24106" spans="1:4" x14ac:dyDescent="0.25">
      <c r="A24106" t="str">
        <f>HYPERLINK("https://www.773grp.com/globalSearch/BCR5AM-12LA-1#B00/page-1", "BCR5AM-12LA-1#B00")</f>
        <v>BCR5AM-12LA-1#B00</v>
      </c>
      <c r="B24106" s="3" t="str">
        <f>HYPERLINK("https://www.773grp.com/manufacturer/renesas-electronics-america-inc?pageNo=174", "Renesas Electronics")</f>
        <v>Renesas Electronics</v>
      </c>
      <c r="C24106" s="6">
        <v>4050</v>
      </c>
      <c r="D24106" s="7">
        <v>3.05</v>
      </c>
    </row>
    <row r="24107" spans="1:4" x14ac:dyDescent="0.25">
      <c r="A24107" t="str">
        <f>HYPERLINK("https://www.773grp.com/globalSearch/FS10ASJ-06F-T13#X3/page-1", "FS10ASJ-06F-T13#X3")</f>
        <v>FS10ASJ-06F-T13#X3</v>
      </c>
      <c r="B24107" s="3" t="str">
        <f>HYPERLINK("https://www.773grp.com/manufacturer/renesas-electronics-america-inc?pageNo=175", "Renesas Electronics")</f>
        <v>Renesas Electronics</v>
      </c>
      <c r="C24107" s="6">
        <v>6000</v>
      </c>
      <c r="D24107" s="7">
        <v>3.05</v>
      </c>
    </row>
    <row r="24108" spans="1:4" x14ac:dyDescent="0.25">
      <c r="A24108" t="str">
        <f>HYPERLINK("https://www.773grp.com/globalSearch/FX20ASJ-03F-T13#X3/page-1", "FX20ASJ-03F-T13#X3")</f>
        <v>FX20ASJ-03F-T13#X3</v>
      </c>
      <c r="B24108" s="3" t="str">
        <f>HYPERLINK("https://www.773grp.com/manufacturer/renesas-electronics-america-inc?pageNo=176", "Renesas Electronics")</f>
        <v>Renesas Electronics</v>
      </c>
      <c r="C24108" s="6">
        <v>6000</v>
      </c>
      <c r="D24108" s="7">
        <v>3.05</v>
      </c>
    </row>
    <row r="24109" spans="1:4" x14ac:dyDescent="0.25">
      <c r="A24109" t="str">
        <f>HYPERLINK("https://www.773grp.com/globalSearch/H5N2521FN-E#T2/page-1", "H5N2521FN-E#T2")</f>
        <v>H5N2521FN-E#T2</v>
      </c>
      <c r="B24109" s="3" t="str">
        <f>HYPERLINK("https://www.773grp.com/manufacturer/renesas-electronics-america-inc?pageNo=177", "Renesas Electronics")</f>
        <v>Renesas Electronics</v>
      </c>
      <c r="C24109" s="6">
        <v>5732</v>
      </c>
      <c r="D24109" s="7">
        <v>3.05</v>
      </c>
    </row>
    <row r="24110" spans="1:4" x14ac:dyDescent="0.25">
      <c r="A24110" t="str">
        <f>HYPERLINK("https://www.773grp.com/globalSearch/HA17902ARP-E/page-1", "HA17902ARP-E")</f>
        <v>HA17902ARP-E</v>
      </c>
      <c r="B24110" s="3" t="str">
        <f>HYPERLINK("https://www.773grp.com/manufacturer/renesas-electronics-america-inc?pageNo=178", "Renesas Electronics")</f>
        <v>Renesas Electronics</v>
      </c>
      <c r="C24110" s="6">
        <v>2534</v>
      </c>
      <c r="D24110" s="7">
        <v>3.05</v>
      </c>
    </row>
    <row r="24111" spans="1:4" x14ac:dyDescent="0.25">
      <c r="A24111" t="str">
        <f>HYPERLINK("https://www.773grp.com/globalSearch/HA17904ARPEL-E/page-1", "HA17904ARPEL-E")</f>
        <v>HA17904ARPEL-E</v>
      </c>
      <c r="B24111" s="3" t="str">
        <f>HYPERLINK("https://www.773grp.com/manufacturer/renesas-electronics-america-inc?pageNo=179", "Renesas Electronics")</f>
        <v>Renesas Electronics</v>
      </c>
      <c r="C24111" s="6">
        <v>40000</v>
      </c>
      <c r="D24111" s="7">
        <v>3.05</v>
      </c>
    </row>
    <row r="24112" spans="1:4" x14ac:dyDescent="0.25">
      <c r="A24112" t="str">
        <f>HYPERLINK("https://www.773grp.com/globalSearch/M61545FP#TF0R/page-1", "M61545FP#TF0R")</f>
        <v>M61545FP#TF0R</v>
      </c>
      <c r="B24112" s="3" t="str">
        <f>HYPERLINK("https://www.773grp.com/manufacturer/renesas-electronics-america-inc?pageNo=180", "Renesas Electronics")</f>
        <v>Renesas Electronics</v>
      </c>
      <c r="C24112" s="6">
        <v>90</v>
      </c>
      <c r="D24112" s="7">
        <v>3.05</v>
      </c>
    </row>
    <row r="24113" spans="1:4" x14ac:dyDescent="0.25">
      <c r="A24113" t="str">
        <f>HYPERLINK("https://www.773grp.com/globalSearch/M62003FP#CF0J/page-1", "M62003FP#CF0J")</f>
        <v>M62003FP#CF0J</v>
      </c>
      <c r="B24113" s="3" t="str">
        <f>HYPERLINK("https://www.773grp.com/manufacturer/renesas-electronics-america-inc?pageNo=181", "Renesas Electronics")</f>
        <v>Renesas Electronics</v>
      </c>
      <c r="C24113" s="6">
        <v>12000</v>
      </c>
      <c r="D24113" s="7">
        <v>3.05</v>
      </c>
    </row>
    <row r="24114" spans="1:4" x14ac:dyDescent="0.25">
      <c r="A24114" t="str">
        <f>HYPERLINK("https://www.773grp.com/globalSearch/RJK0216DPA-WS#J53/page-1", "RJK0216DPA-WS#J53")</f>
        <v>RJK0216DPA-WS#J53</v>
      </c>
      <c r="B24114" s="3" t="str">
        <f>HYPERLINK("https://www.773grp.com/manufacturer/renesas-electronics-america-inc?pageNo=182", "Renesas Electronics")</f>
        <v>Renesas Electronics</v>
      </c>
      <c r="C24114" s="6">
        <v>2135</v>
      </c>
      <c r="D24114" s="7">
        <v>3.05</v>
      </c>
    </row>
    <row r="24115" spans="1:4" x14ac:dyDescent="0.25">
      <c r="A24115" t="str">
        <f>HYPERLINK("https://www.773grp.com/globalSearch/74AC245FP-E/page-1", "74AC245FP-E")</f>
        <v>74AC245FP-E</v>
      </c>
      <c r="B24115" s="3" t="str">
        <f>HYPERLINK("https://www.773grp.com/manufacturer/renesas-electronics-america-inc?pageNo=183", "Renesas Electronics")</f>
        <v>Renesas Electronics</v>
      </c>
      <c r="C24115" s="6">
        <v>6990</v>
      </c>
      <c r="D24115" s="7">
        <v>2.81</v>
      </c>
    </row>
    <row r="24116" spans="1:4" x14ac:dyDescent="0.25">
      <c r="A24116" t="str">
        <f>HYPERLINK("https://www.773grp.com/globalSearch/74ACT139FPEL-E/page-1", "74ACT139FPEL-E")</f>
        <v>74ACT139FPEL-E</v>
      </c>
      <c r="B24116" s="3" t="str">
        <f>HYPERLINK("https://www.773grp.com/manufacturer/renesas-electronics-america-inc?pageNo=184", "Renesas Electronics")</f>
        <v>Renesas Electronics</v>
      </c>
      <c r="C24116" s="6">
        <v>4000</v>
      </c>
      <c r="D24116" s="7">
        <v>2.81</v>
      </c>
    </row>
    <row r="24117" spans="1:4" x14ac:dyDescent="0.25">
      <c r="A24117" t="str">
        <f>HYPERLINK("https://www.773grp.com/globalSearch/BCR16CM-12LA-A6#X2/page-1", "BCR16CM-12LA-A6#X2")</f>
        <v>BCR16CM-12LA-A6#X2</v>
      </c>
      <c r="B24117" s="3" t="str">
        <f>HYPERLINK("https://www.773grp.com/manufacturer/renesas-electronics-america-inc?pageNo=185", "Renesas Electronics")</f>
        <v>Renesas Electronics</v>
      </c>
      <c r="C24117" s="6">
        <v>43289</v>
      </c>
      <c r="D24117" s="7">
        <v>2.81</v>
      </c>
    </row>
    <row r="24118" spans="1:4" x14ac:dyDescent="0.25">
      <c r="A24118" t="str">
        <f>HYPERLINK("https://www.773grp.com/globalSearch/BCR16CM-12LA-AS#X2/page-1", "BCR16CM-12LA-AS#X2")</f>
        <v>BCR16CM-12LA-AS#X2</v>
      </c>
      <c r="B24118" s="3" t="str">
        <f>HYPERLINK("https://www.773grp.com/manufacturer/renesas-electronics-america-inc?pageNo=186", "Renesas Electronics")</f>
        <v>Renesas Electronics</v>
      </c>
      <c r="C24118" s="6">
        <v>41931</v>
      </c>
      <c r="D24118" s="7">
        <v>2.81</v>
      </c>
    </row>
    <row r="24119" spans="1:4" x14ac:dyDescent="0.25">
      <c r="A24119" t="str">
        <f>HYPERLINK("https://www.773grp.com/globalSearch/BCR16CM-12LB-A6#X3/page-1", "BCR16CM-12LB-A6#X3")</f>
        <v>BCR16CM-12LB-A6#X3</v>
      </c>
      <c r="B24119" s="3" t="str">
        <f>HYPERLINK("https://www.773grp.com/manufacturer/renesas-electronics-america-inc?pageNo=187", "Renesas Electronics")</f>
        <v>Renesas Electronics</v>
      </c>
      <c r="C24119" s="6">
        <v>23392</v>
      </c>
      <c r="D24119" s="7">
        <v>2.81</v>
      </c>
    </row>
    <row r="24120" spans="1:4" x14ac:dyDescent="0.25">
      <c r="A24120" t="str">
        <f>HYPERLINK("https://www.773grp.com/globalSearch/BCR16CM-12LB-AA#X3/page-1", "BCR16CM-12LB-AA#X3")</f>
        <v>BCR16CM-12LB-AA#X3</v>
      </c>
      <c r="B24120" s="3" t="str">
        <f>HYPERLINK("https://www.773grp.com/manufacturer/renesas-electronics-america-inc?pageNo=188", "Renesas Electronics")</f>
        <v>Renesas Electronics</v>
      </c>
      <c r="C24120" s="6">
        <v>43503</v>
      </c>
      <c r="D24120" s="7">
        <v>2.81</v>
      </c>
    </row>
    <row r="24121" spans="1:4" x14ac:dyDescent="0.25">
      <c r="A24121" t="str">
        <f>HYPERLINK("https://www.773grp.com/globalSearch/BCR16CM-12LBAP#B01/page-1", "BCR16CM-12LBAP#B01")</f>
        <v>BCR16CM-12LBAP#B01</v>
      </c>
      <c r="B24121" s="3" t="str">
        <f>HYPERLINK("https://www.773grp.com/manufacturer/renesas-electronics-america-inc?pageNo=189", "Renesas Electronics")</f>
        <v>Renesas Electronics</v>
      </c>
      <c r="C24121" s="6">
        <v>644</v>
      </c>
      <c r="D24121" s="7">
        <v>2.81</v>
      </c>
    </row>
    <row r="24122" spans="1:4" x14ac:dyDescent="0.25">
      <c r="A24122" t="str">
        <f>HYPERLINK("https://www.773grp.com/globalSearch/BCR16CM-12LBAS#B01/page-1", "BCR16CM-12LBAS#B01")</f>
        <v>BCR16CM-12LBAS#B01</v>
      </c>
      <c r="B24122" s="3" t="str">
        <f>HYPERLINK("https://www.773grp.com/manufacturer/renesas-electronics-america-inc?pageNo=190", "Renesas Electronics")</f>
        <v>Renesas Electronics</v>
      </c>
      <c r="C24122" s="6">
        <v>5905</v>
      </c>
      <c r="D24122" s="7">
        <v>2.81</v>
      </c>
    </row>
    <row r="24123" spans="1:4" x14ac:dyDescent="0.25">
      <c r="A24123" t="str">
        <f>HYPERLINK("https://www.773grp.com/globalSearch/BCR16CM-12LB-J6B01/page-1", "BCR16CM-12LB-J6B01")</f>
        <v>BCR16CM-12LB-J6B01</v>
      </c>
      <c r="B24123" s="3" t="str">
        <f>HYPERLINK("https://www.773grp.com/manufacturer/renesas-electronics-america-inc?pageNo=191", "Renesas Electronics")</f>
        <v>Renesas Electronics</v>
      </c>
      <c r="C24123" s="6">
        <v>25543</v>
      </c>
      <c r="D24123" s="7">
        <v>2.81</v>
      </c>
    </row>
    <row r="24124" spans="1:4" x14ac:dyDescent="0.25">
      <c r="A24124" t="str">
        <f>HYPERLINK("https://www.773grp.com/globalSearch/BCR8CS-12LA#B00/page-1", "BCR8CS-12LA#B00")</f>
        <v>BCR8CS-12LA#B00</v>
      </c>
      <c r="B24124" s="3" t="str">
        <f>HYPERLINK("https://www.773grp.com/manufacturer/renesas-electronics-america-inc?pageNo=192", "Renesas Electronics")</f>
        <v>Renesas Electronics</v>
      </c>
      <c r="C24124" s="6">
        <v>10157</v>
      </c>
      <c r="D24124" s="7">
        <v>2.81</v>
      </c>
    </row>
    <row r="24125" spans="1:4" x14ac:dyDescent="0.25">
      <c r="A24125" t="str">
        <f>HYPERLINK("https://www.773grp.com/globalSearch/FS30KM-3#B00/page-1", "FS30KM-3#B00")</f>
        <v>FS30KM-3#B00</v>
      </c>
      <c r="B24125" s="3" t="str">
        <f>HYPERLINK("https://www.773grp.com/manufacturer/renesas-electronics-america-inc?pageNo=193", "Renesas Electronics")</f>
        <v>Renesas Electronics</v>
      </c>
      <c r="C24125" s="6">
        <v>15128</v>
      </c>
      <c r="D24125" s="7">
        <v>2.81</v>
      </c>
    </row>
    <row r="24126" spans="1:4" x14ac:dyDescent="0.25">
      <c r="A24126" t="str">
        <f>HYPERLINK("https://www.773grp.com/globalSearch/HA17901P-E/page-1", "HA17901P-E")</f>
        <v>HA17901P-E</v>
      </c>
      <c r="B24126" s="3" t="str">
        <f>HYPERLINK("https://www.773grp.com/manufacturer/renesas-electronics-america-inc?pageNo=194", "Renesas Electronics")</f>
        <v>Renesas Electronics</v>
      </c>
      <c r="C24126" s="6">
        <v>952</v>
      </c>
      <c r="D24126" s="7">
        <v>2.81</v>
      </c>
    </row>
    <row r="24127" spans="1:4" x14ac:dyDescent="0.25">
      <c r="A24127" t="str">
        <f>HYPERLINK("https://www.773grp.com/globalSearch/HAT2172N-EL-E/page-1", "HAT2172N-EL-E")</f>
        <v>HAT2172N-EL-E</v>
      </c>
      <c r="B24127" s="3" t="str">
        <f>HYPERLINK("https://www.773grp.com/manufacturer/renesas-electronics-america-inc?pageNo=195", "Renesas Electronics")</f>
        <v>Renesas Electronics</v>
      </c>
      <c r="C24127" s="6">
        <v>27500</v>
      </c>
      <c r="D24127" s="7">
        <v>2.81</v>
      </c>
    </row>
    <row r="24128" spans="1:4" x14ac:dyDescent="0.25">
      <c r="A24128" t="str">
        <f>HYPERLINK("https://www.773grp.com/globalSearch/HN58X2516TIAG#S0/page-1", "HN58X2516TIAG#S0")</f>
        <v>HN58X2516TIAG#S0</v>
      </c>
      <c r="B24128" s="3" t="str">
        <f>HYPERLINK("https://www.773grp.com/manufacturer/renesas-electronics-america-inc?pageNo=196", "Renesas Electronics")</f>
        <v>Renesas Electronics</v>
      </c>
      <c r="C24128" s="6">
        <v>3000</v>
      </c>
      <c r="D24128" s="7">
        <v>2.81</v>
      </c>
    </row>
    <row r="24129" spans="1:4" x14ac:dyDescent="0.25">
      <c r="A24129" t="str">
        <f>HYPERLINK("https://www.773grp.com/globalSearch/M61529FP#TF0G/page-1", "M61529FP#TF0G")</f>
        <v>M61529FP#TF0G</v>
      </c>
      <c r="B24129" s="3" t="str">
        <f>HYPERLINK("https://www.773grp.com/manufacturer/renesas-electronics-america-inc?pageNo=197", "Renesas Electronics")</f>
        <v>Renesas Electronics</v>
      </c>
      <c r="C24129" s="6">
        <v>1570</v>
      </c>
      <c r="D24129" s="7">
        <v>2.81</v>
      </c>
    </row>
    <row r="24130" spans="1:4" x14ac:dyDescent="0.25">
      <c r="A24130" t="str">
        <f>HYPERLINK("https://www.773grp.com/globalSearch/M62429FP#CF0J/page-1", "M62429FP#CF0J")</f>
        <v>M62429FP#CF0J</v>
      </c>
      <c r="B24130" s="3" t="str">
        <f>HYPERLINK("https://www.773grp.com/manufacturer/renesas-electronics-america-inc?pageNo=198", "Renesas Electronics")</f>
        <v>Renesas Electronics</v>
      </c>
      <c r="C24130" s="6">
        <v>54000</v>
      </c>
      <c r="D24130" s="7">
        <v>2.81</v>
      </c>
    </row>
    <row r="24131" spans="1:4" x14ac:dyDescent="0.25">
      <c r="A24131" t="str">
        <f>HYPERLINK("https://www.773grp.com/globalSearch/R2A15909SP#U1/page-1", "R2A15909SP#U1")</f>
        <v>R2A15909SP#U1</v>
      </c>
      <c r="B24131" s="3" t="str">
        <f>HYPERLINK("https://www.773grp.com/manufacturer/renesas-electronics-america-inc?pageNo=199", "Renesas Electronics")</f>
        <v>Renesas Electronics</v>
      </c>
      <c r="C24131" s="6">
        <v>30</v>
      </c>
      <c r="D24131" s="7">
        <v>2.81</v>
      </c>
    </row>
    <row r="24132" spans="1:4" x14ac:dyDescent="0.25">
      <c r="A24132" t="str">
        <f>HYPERLINK("https://www.773grp.com/globalSearch/R2A20880FP#G0/page-1", "R2A20880FP#G0")</f>
        <v>R2A20880FP#G0</v>
      </c>
      <c r="B24132" s="3" t="str">
        <f>HYPERLINK("https://www.773grp.com/manufacturer/renesas-electronics-america-inc?pageNo=200", "Renesas Electronics")</f>
        <v>Renesas Electronics</v>
      </c>
      <c r="C24132" s="6">
        <v>6000</v>
      </c>
      <c r="D24132" s="7">
        <v>2.81</v>
      </c>
    </row>
    <row r="24133" spans="1:4" x14ac:dyDescent="0.25">
      <c r="A24133" t="str">
        <f>HYPERLINK("https://www.773grp.com/globalSearch/R2A30420NA#W00Z/page-1", "R2A30420NA#W00Z")</f>
        <v>R2A30420NA#W00Z</v>
      </c>
      <c r="B24133" s="3" t="str">
        <f>HYPERLINK("https://www.773grp.com/manufacturer/renesas-electronics-america-inc?pageNo=201", "Renesas Electronics")</f>
        <v>Renesas Electronics</v>
      </c>
      <c r="C24133" s="6">
        <v>565000</v>
      </c>
      <c r="D24133" s="7">
        <v>2.81</v>
      </c>
    </row>
    <row r="24134" spans="1:4" x14ac:dyDescent="0.25">
      <c r="A24134" t="str">
        <f>HYPERLINK("https://www.773grp.com/globalSearch/R8A66154SP#D1/page-1", "R8A66154SP#D1")</f>
        <v>R8A66154SP#D1</v>
      </c>
      <c r="B24134" s="3" t="str">
        <f>HYPERLINK("https://www.773grp.com/manufacturer/renesas-electronics-america-inc?pageNo=202", "Renesas Electronics")</f>
        <v>Renesas Electronics</v>
      </c>
      <c r="C24134" s="6">
        <v>2500</v>
      </c>
      <c r="D24134" s="7">
        <v>2.81</v>
      </c>
    </row>
    <row r="24135" spans="1:4" x14ac:dyDescent="0.25">
      <c r="A24135" t="str">
        <f>HYPERLINK("https://www.773grp.com/globalSearch/R8A66154SP#T1/page-1", "R8A66154SP#T1")</f>
        <v>R8A66154SP#T1</v>
      </c>
      <c r="B24135" s="3" t="str">
        <f>HYPERLINK("https://www.773grp.com/manufacturer/renesas-electronics-america-inc?pageNo=203", "Renesas Electronics")</f>
        <v>Renesas Electronics</v>
      </c>
      <c r="C24135" s="6">
        <v>965</v>
      </c>
      <c r="D24135" s="7">
        <v>2.81</v>
      </c>
    </row>
    <row r="24136" spans="1:4" x14ac:dyDescent="0.25">
      <c r="A24136" t="str">
        <f>HYPERLINK("https://www.773grp.com/globalSearch/RJH30H1DPP-M0#T2/page-1", "RJH30H1DPP-M0#T2")</f>
        <v>RJH30H1DPP-M0#T2</v>
      </c>
      <c r="B24136" s="3" t="str">
        <f>HYPERLINK("https://www.773grp.com/manufacturer/renesas-electronics-america-inc?pageNo=204", "Renesas Electronics")</f>
        <v>Renesas Electronics</v>
      </c>
      <c r="C24136" s="6">
        <v>357</v>
      </c>
      <c r="D24136" s="7">
        <v>2.81</v>
      </c>
    </row>
    <row r="24137" spans="1:4" x14ac:dyDescent="0.25">
      <c r="A24137" t="str">
        <f>HYPERLINK("https://www.773grp.com/globalSearch/RJH30H1DPP-M1#T2/page-1", "RJH30H1DPP-M1#T2")</f>
        <v>RJH30H1DPP-M1#T2</v>
      </c>
      <c r="B24137" s="3" t="str">
        <f>HYPERLINK("https://www.773grp.com/manufacturer/renesas-electronics-america-inc?pageNo=205", "Renesas Electronics")</f>
        <v>Renesas Electronics</v>
      </c>
      <c r="C24137" s="6">
        <v>10841</v>
      </c>
      <c r="D24137" s="7">
        <v>2.81</v>
      </c>
    </row>
    <row r="24138" spans="1:4" x14ac:dyDescent="0.25">
      <c r="A24138" t="str">
        <f>HYPERLINK("https://www.773grp.com/globalSearch/RJK03C0DPA-WS#J53/page-1", "RJK03C0DPA-WS#J53")</f>
        <v>RJK03C0DPA-WS#J53</v>
      </c>
      <c r="B24138" s="3" t="str">
        <f>HYPERLINK("https://www.773grp.com/manufacturer/renesas-electronics-america-inc?pageNo=206", "Renesas Electronics")</f>
        <v>Renesas Electronics</v>
      </c>
      <c r="C24138" s="6">
        <v>907</v>
      </c>
      <c r="D24138" s="7">
        <v>2.81</v>
      </c>
    </row>
    <row r="24139" spans="1:4" x14ac:dyDescent="0.25">
      <c r="A24139" t="str">
        <f>HYPERLINK("https://www.773grp.com/globalSearch/RJK03C0DPA-WS#J5A/page-1", "RJK03C0DPA-WS#J5A")</f>
        <v>RJK03C0DPA-WS#J5A</v>
      </c>
      <c r="B24139" s="3" t="str">
        <f>HYPERLINK("https://www.773grp.com/manufacturer/renesas-electronics-america-inc?pageNo=207", "Renesas Electronics")</f>
        <v>Renesas Electronics</v>
      </c>
      <c r="C24139" s="6">
        <v>2560</v>
      </c>
      <c r="D24139" s="7">
        <v>2.81</v>
      </c>
    </row>
    <row r="24140" spans="1:4" x14ac:dyDescent="0.25">
      <c r="A24140" t="str">
        <f>HYPERLINK("https://www.773grp.com/globalSearch/RJK03C5DPA-WS#J5A/page-1", "RJK03C5DPA-WS#J5A")</f>
        <v>RJK03C5DPA-WS#J5A</v>
      </c>
      <c r="B24140" s="3" t="str">
        <f>HYPERLINK("https://www.773grp.com/manufacturer/renesas-electronics-america-inc?pageNo=208", "Renesas Electronics")</f>
        <v>Renesas Electronics</v>
      </c>
      <c r="C24140" s="6">
        <v>2900</v>
      </c>
      <c r="D24140" s="7">
        <v>2.81</v>
      </c>
    </row>
    <row r="24141" spans="1:4" x14ac:dyDescent="0.25">
      <c r="A24141" t="str">
        <f>HYPERLINK("https://www.773grp.com/globalSearch/RJP30H1DPP-M1#T2/page-1", "RJP30H1DPP-M1#T2")</f>
        <v>RJP30H1DPP-M1#T2</v>
      </c>
      <c r="B24141" s="3" t="str">
        <f>HYPERLINK("https://www.773grp.com/manufacturer/renesas-electronics-america-inc?pageNo=209", "Renesas Electronics")</f>
        <v>Renesas Electronics</v>
      </c>
      <c r="C24141" s="6">
        <v>9068</v>
      </c>
      <c r="D24141" s="7">
        <v>2.81</v>
      </c>
    </row>
    <row r="24142" spans="1:4" x14ac:dyDescent="0.25">
      <c r="A24142" t="str">
        <f>HYPERLINK("https://www.773grp.com/globalSearch/RJP30H1DPP-M9#T2/page-1", "RJP30H1DPP-M9#T2")</f>
        <v>RJP30H1DPP-M9#T2</v>
      </c>
      <c r="B24142" s="3" t="str">
        <f>HYPERLINK("https://www.773grp.com/manufacturer/renesas-electronics-america-inc?pageNo=210", "Renesas Electronics")</f>
        <v>Renesas Electronics</v>
      </c>
      <c r="C24142" s="6">
        <v>6058</v>
      </c>
      <c r="D24142" s="7">
        <v>2.81</v>
      </c>
    </row>
    <row r="24143" spans="1:4" x14ac:dyDescent="0.25">
      <c r="A24143" t="str">
        <f>HYPERLINK("https://www.773grp.com/globalSearch/RJP30H1DPP-MZ#T2/page-1", "RJP30H1DPP-MZ#T2")</f>
        <v>RJP30H1DPP-MZ#T2</v>
      </c>
      <c r="B24143" s="3" t="str">
        <f>HYPERLINK("https://www.773grp.com/manufacturer/renesas-electronics-america-inc?pageNo=211", "Renesas Electronics")</f>
        <v>Renesas Electronics</v>
      </c>
      <c r="C24143" s="6">
        <v>2777</v>
      </c>
      <c r="D24143" s="7">
        <v>2.81</v>
      </c>
    </row>
    <row r="24144" spans="1:4" x14ac:dyDescent="0.25">
      <c r="A24144" t="str">
        <f>HYPERLINK("https://www.773grp.com/globalSearch/RJP30Y2ADPP-M9#T2F/page-1", "RJP30Y2ADPP-M9#T2F")</f>
        <v>RJP30Y2ADPP-M9#T2F</v>
      </c>
      <c r="B24144" s="3" t="str">
        <f>HYPERLINK("https://www.773grp.com/manufacturer/renesas-electronics-america-inc?pageNo=212", "Renesas Electronics")</f>
        <v>Renesas Electronics</v>
      </c>
      <c r="C24144" s="6">
        <v>103200</v>
      </c>
      <c r="D24144" s="7">
        <v>2.81</v>
      </c>
    </row>
    <row r="24145" spans="1:4" x14ac:dyDescent="0.25">
      <c r="A24145" t="str">
        <f>HYPERLINK("https://www.773grp.com/globalSearch/UPA2701TP-E2-AZ/page-1", "UPA2701TP-E2-AZ")</f>
        <v>UPA2701TP-E2-AZ</v>
      </c>
      <c r="B24145" s="3" t="str">
        <f>HYPERLINK("https://www.773grp.com/manufacturer/renesas-electronics-america-inc?pageNo=213", "Renesas Electronics")</f>
        <v>Renesas Electronics</v>
      </c>
      <c r="C24145" s="6">
        <v>2500</v>
      </c>
      <c r="D24145" s="7">
        <v>2.81</v>
      </c>
    </row>
    <row r="24146" spans="1:4" x14ac:dyDescent="0.25">
      <c r="A24146" t="str">
        <f>HYPERLINK("https://www.773grp.com/globalSearch/2SA1194KV/page-1", "2SA1194KV")</f>
        <v>2SA1194KV</v>
      </c>
      <c r="B24146" s="3" t="str">
        <f>HYPERLINK("https://www.773grp.com/manufacturer/renesas-electronics-america-inc?pageNo=214", "Renesas Electronics")</f>
        <v>Renesas Electronics</v>
      </c>
      <c r="C24146" s="6">
        <v>680</v>
      </c>
      <c r="D24146" s="7">
        <v>3.1</v>
      </c>
    </row>
    <row r="24147" spans="1:4" x14ac:dyDescent="0.25">
      <c r="A24147" t="str">
        <f>HYPERLINK("https://www.773grp.com/globalSearch/2SB1430-AZ/page-1", "2SB1430-AZ")</f>
        <v>2SB1430-AZ</v>
      </c>
      <c r="B24147" s="3" t="str">
        <f>HYPERLINK("https://www.773grp.com/manufacturer/renesas-electronics-america-inc?pageNo=215", "Renesas Electronics")</f>
        <v>Renesas Electronics</v>
      </c>
      <c r="C24147" s="6">
        <v>1937</v>
      </c>
      <c r="D24147" s="7">
        <v>3.1</v>
      </c>
    </row>
    <row r="24148" spans="1:4" x14ac:dyDescent="0.25">
      <c r="A24148" t="str">
        <f>HYPERLINK("https://www.773grp.com/globalSearch/74HC390FP-E/page-1", "74HC390FP-E")</f>
        <v>74HC390FP-E</v>
      </c>
      <c r="B24148" s="3" t="str">
        <f>HYPERLINK("https://www.773grp.com/manufacturer/renesas-electronics-america-inc?pageNo=216", "Renesas Electronics")</f>
        <v>Renesas Electronics</v>
      </c>
      <c r="C24148" s="6">
        <v>3000</v>
      </c>
      <c r="D24148" s="7">
        <v>3.1</v>
      </c>
    </row>
    <row r="24149" spans="1:4" x14ac:dyDescent="0.25">
      <c r="A24149" t="str">
        <f>HYPERLINK("https://www.773grp.com/globalSearch/74LS221FP-E/page-1", "74LS221FP-E")</f>
        <v>74LS221FP-E</v>
      </c>
      <c r="B24149" s="3" t="str">
        <f>HYPERLINK("https://www.773grp.com/manufacturer/renesas-electronics-america-inc?pageNo=217", "Renesas Electronics")</f>
        <v>Renesas Electronics</v>
      </c>
      <c r="C24149" s="6">
        <v>3000</v>
      </c>
      <c r="D24149" s="7">
        <v>3.1</v>
      </c>
    </row>
    <row r="24150" spans="1:4" x14ac:dyDescent="0.25">
      <c r="A24150" t="str">
        <f>HYPERLINK("https://www.773grp.com/globalSearch/74LS640FP-E/page-1", "74LS640FP-E")</f>
        <v>74LS640FP-E</v>
      </c>
      <c r="B24150" s="3" t="str">
        <f>HYPERLINK("https://www.773grp.com/manufacturer/renesas-electronics-america-inc?pageNo=218", "Renesas Electronics")</f>
        <v>Renesas Electronics</v>
      </c>
      <c r="C24150" s="6">
        <v>3000</v>
      </c>
      <c r="D24150" s="7">
        <v>3.1</v>
      </c>
    </row>
    <row r="24151" spans="1:4" x14ac:dyDescent="0.25">
      <c r="A24151" t="str">
        <f>HYPERLINK("https://www.773grp.com/globalSearch/R1EX24064ATA00I#S0/page-1", "R1EX24064ATA00I#S0")</f>
        <v>R1EX24064ATA00I#S0</v>
      </c>
      <c r="B24151" s="3" t="str">
        <f>HYPERLINK("https://www.773grp.com/manufacturer/renesas-electronics-america-inc?pageNo=219", "Renesas Electronics")</f>
        <v>Renesas Electronics</v>
      </c>
      <c r="C24151" s="6">
        <v>6000</v>
      </c>
      <c r="D24151" s="7">
        <v>3.1</v>
      </c>
    </row>
    <row r="24152" spans="1:4" x14ac:dyDescent="0.25">
      <c r="A24152" t="str">
        <f>HYPERLINK("https://www.773grp.com/globalSearch/RJK0213DPA-00#J53/page-1", "RJK0213DPA-00#J53")</f>
        <v>RJK0213DPA-00#J53</v>
      </c>
      <c r="B24152" s="3" t="str">
        <f>HYPERLINK("https://www.773grp.com/manufacturer/renesas-electronics-america-inc?pageNo=220", "Renesas Electronics")</f>
        <v>Renesas Electronics</v>
      </c>
      <c r="C24152" s="6">
        <v>111000</v>
      </c>
      <c r="D24152" s="7">
        <v>3.1</v>
      </c>
    </row>
    <row r="24153" spans="1:4" x14ac:dyDescent="0.25">
      <c r="A24153" t="str">
        <f>HYPERLINK("https://www.773grp.com/globalSearch/RJK0358DSP-WS#J0/page-1", "RJK0358DSP-WS#J0")</f>
        <v>RJK0358DSP-WS#J0</v>
      </c>
      <c r="B24153" s="3" t="str">
        <f>HYPERLINK("https://www.773grp.com/manufacturer/renesas-electronics-america-inc?pageNo=221", "Renesas Electronics")</f>
        <v>Renesas Electronics</v>
      </c>
      <c r="C24153" s="6">
        <v>1520</v>
      </c>
      <c r="D24153" s="7">
        <v>3.1</v>
      </c>
    </row>
    <row r="24154" spans="1:4" x14ac:dyDescent="0.25">
      <c r="A24154" t="str">
        <f>HYPERLINK("https://www.773grp.com/globalSearch/2SD768K01-E#00/page-1", "2SD768K01-E#00")</f>
        <v>2SD768K01-E#00</v>
      </c>
      <c r="B24154" s="3" t="str">
        <f>HYPERLINK("https://www.773grp.com/manufacturer/renesas-electronics-america-inc?pageNo=222", "Renesas Electronics")</f>
        <v>Renesas Electronics</v>
      </c>
      <c r="C24154" s="6">
        <v>3171</v>
      </c>
      <c r="D24154" s="7">
        <v>2.84</v>
      </c>
    </row>
    <row r="24155" spans="1:4" x14ac:dyDescent="0.25">
      <c r="A24155" t="str">
        <f>HYPERLINK("https://www.773grp.com/globalSearch/5P6SMA-AZ/page-1", "5P6SMA-AZ")</f>
        <v>5P6SMA-AZ</v>
      </c>
      <c r="B24155" s="3" t="str">
        <f>HYPERLINK("https://www.773grp.com/manufacturer/renesas-electronics-america-inc?pageNo=223", "Renesas Electronics")</f>
        <v>Renesas Electronics</v>
      </c>
      <c r="C24155" s="6">
        <v>712</v>
      </c>
      <c r="D24155" s="7">
        <v>2.84</v>
      </c>
    </row>
    <row r="24156" spans="1:4" x14ac:dyDescent="0.25">
      <c r="A24156" t="str">
        <f>HYPERLINK("https://www.773grp.com/globalSearch/BCR12KM-12LA-1A8X2/page-1", "BCR12KM-12LA-1A8X2")</f>
        <v>BCR12KM-12LA-1A8X2</v>
      </c>
      <c r="B24156" s="3" t="str">
        <f>HYPERLINK("https://www.773grp.com/manufacturer/renesas-electronics-america-inc?pageNo=224", "Renesas Electronics")</f>
        <v>Renesas Electronics</v>
      </c>
      <c r="C24156" s="6">
        <v>88729</v>
      </c>
      <c r="D24156" s="7">
        <v>2.84</v>
      </c>
    </row>
    <row r="24157" spans="1:4" x14ac:dyDescent="0.25">
      <c r="A24157" t="str">
        <f>HYPERLINK("https://www.773grp.com/globalSearch/BCR12KM-12LA-A8#X2/page-1", "BCR12KM-12LA-A8#X2")</f>
        <v>BCR12KM-12LA-A8#X2</v>
      </c>
      <c r="B24157" s="3" t="str">
        <f>HYPERLINK("https://www.773grp.com/manufacturer/renesas-electronics-america-inc?pageNo=225", "Renesas Electronics")</f>
        <v>Renesas Electronics</v>
      </c>
      <c r="C24157" s="6">
        <v>803</v>
      </c>
      <c r="D24157" s="7">
        <v>2.84</v>
      </c>
    </row>
    <row r="24158" spans="1:4" x14ac:dyDescent="0.25">
      <c r="A24158" t="str">
        <f>HYPERLINK("https://www.773grp.com/globalSearch/BCR12KM-12LA-AS#X2/page-1", "BCR12KM-12LA-AS#X2")</f>
        <v>BCR12KM-12LA-AS#X2</v>
      </c>
      <c r="B24158" s="3" t="str">
        <f>HYPERLINK("https://www.773grp.com/manufacturer/renesas-electronics-america-inc?pageNo=226", "Renesas Electronics")</f>
        <v>Renesas Electronics</v>
      </c>
      <c r="C24158" s="6">
        <v>1474</v>
      </c>
      <c r="D24158" s="7">
        <v>2.84</v>
      </c>
    </row>
    <row r="24159" spans="1:4" x14ac:dyDescent="0.25">
      <c r="A24159" t="str">
        <f>HYPERLINK("https://www.773grp.com/globalSearch/BCR3KM-12LA-1A6#X3/page-1", "BCR3KM-12LA-1A6#X3")</f>
        <v>BCR3KM-12LA-1A6#X3</v>
      </c>
      <c r="B24159" s="3" t="str">
        <f>HYPERLINK("https://www.773grp.com/manufacturer/renesas-electronics-america-inc?pageNo=227", "Renesas Electronics")</f>
        <v>Renesas Electronics</v>
      </c>
      <c r="C24159" s="6">
        <v>1162</v>
      </c>
      <c r="D24159" s="7">
        <v>2.84</v>
      </c>
    </row>
    <row r="24160" spans="1:4" x14ac:dyDescent="0.25">
      <c r="A24160" t="str">
        <f>HYPERLINK("https://www.773grp.com/globalSearch/BCR3KM-12RA-1#B00/page-1", "BCR3KM-12RA-1#B00")</f>
        <v>BCR3KM-12RA-1#B00</v>
      </c>
      <c r="B24160" s="3" t="str">
        <f>HYPERLINK("https://www.773grp.com/manufacturer/renesas-electronics-america-inc?pageNo=228", "Renesas Electronics")</f>
        <v>Renesas Electronics</v>
      </c>
      <c r="C24160" s="6">
        <v>37918</v>
      </c>
      <c r="D24160" s="7">
        <v>2.84</v>
      </c>
    </row>
    <row r="24161" spans="1:4" x14ac:dyDescent="0.25">
      <c r="A24161" t="str">
        <f>HYPERLINK("https://www.773grp.com/globalSearch/BCR3KM-12RA1AT#B00/page-1", "BCR3KM-12RA1AT#B00")</f>
        <v>BCR3KM-12RA1AT#B00</v>
      </c>
      <c r="B24161" s="3" t="str">
        <f>HYPERLINK("https://www.773grp.com/manufacturer/renesas-electronics-america-inc?pageNo=229", "Renesas Electronics")</f>
        <v>Renesas Electronics</v>
      </c>
      <c r="C24161" s="6">
        <v>7869</v>
      </c>
      <c r="D24161" s="7">
        <v>2.84</v>
      </c>
    </row>
    <row r="24162" spans="1:4" x14ac:dyDescent="0.25">
      <c r="A24162" t="str">
        <f>HYPERLINK("https://www.773grp.com/globalSearch/BCR3KM-12RA-A9#B00/page-1", "BCR3KM-12RA-A9#B00")</f>
        <v>BCR3KM-12RA-A9#B00</v>
      </c>
      <c r="B24162" s="3" t="str">
        <f>HYPERLINK("https://www.773grp.com/manufacturer/renesas-electronics-america-inc?pageNo=230", "Renesas Electronics")</f>
        <v>Renesas Electronics</v>
      </c>
      <c r="C24162" s="6">
        <v>2040</v>
      </c>
      <c r="D24162" s="7">
        <v>2.84</v>
      </c>
    </row>
    <row r="24163" spans="1:4" x14ac:dyDescent="0.25">
      <c r="A24163" t="str">
        <f>HYPERLINK("https://www.773grp.com/globalSearch/M62005L#TF0J/page-1", "M62005L#TF0J")</f>
        <v>M62005L#TF0J</v>
      </c>
      <c r="B24163" s="3" t="str">
        <f>HYPERLINK("https://www.773grp.com/manufacturer/renesas-electronics-america-inc?pageNo=231", "Renesas Electronics")</f>
        <v>Renesas Electronics</v>
      </c>
      <c r="C24163" s="6">
        <v>3748</v>
      </c>
      <c r="D24163" s="7">
        <v>2.84</v>
      </c>
    </row>
    <row r="24164" spans="1:4" x14ac:dyDescent="0.25">
      <c r="A24164" t="str">
        <f>HYPERLINK("https://www.773grp.com/globalSearch/M62504FP#DF0G/page-1", "M62504FP#DF0G")</f>
        <v>M62504FP#DF0G</v>
      </c>
      <c r="B24164" s="3" t="str">
        <f>HYPERLINK("https://www.773grp.com/manufacturer/renesas-electronics-america-inc?pageNo=232", "Renesas Electronics")</f>
        <v>Renesas Electronics</v>
      </c>
      <c r="C24164" s="6">
        <v>2000</v>
      </c>
      <c r="D24164" s="7">
        <v>2.84</v>
      </c>
    </row>
    <row r="24165" spans="1:4" x14ac:dyDescent="0.25">
      <c r="A24165" t="str">
        <f>HYPERLINK("https://www.773grp.com/globalSearch/R2A30421BM#W00B/page-1", "R2A30421BM#W00B")</f>
        <v>R2A30421BM#W00B</v>
      </c>
      <c r="B24165" s="3" t="str">
        <f>HYPERLINK("https://www.773grp.com/manufacturer/renesas-electronics-america-inc?pageNo=233", "Renesas Electronics")</f>
        <v>Renesas Electronics</v>
      </c>
      <c r="C24165" s="6">
        <v>48000</v>
      </c>
      <c r="D24165" s="7">
        <v>2.84</v>
      </c>
    </row>
    <row r="24166" spans="1:4" x14ac:dyDescent="0.25">
      <c r="A24166" t="str">
        <f>HYPERLINK("https://www.773grp.com/globalSearch/2SA1008-AZ/page-1", "2SA1008-AZ")</f>
        <v>2SA1008-AZ</v>
      </c>
      <c r="B24166" s="3" t="str">
        <f>HYPERLINK("https://www.773grp.com/manufacturer/renesas-electronics-america-inc?pageNo=234", "Renesas Electronics")</f>
        <v>Renesas Electronics</v>
      </c>
      <c r="C24166" s="6">
        <v>27903</v>
      </c>
      <c r="D24166" s="7">
        <v>3.18</v>
      </c>
    </row>
    <row r="24167" spans="1:4" x14ac:dyDescent="0.25">
      <c r="A24167" t="str">
        <f>HYPERLINK("https://www.773grp.com/globalSearch/74HC166FP-E/page-1", "74HC166FP-E")</f>
        <v>74HC166FP-E</v>
      </c>
      <c r="B24167" s="3" t="str">
        <f>HYPERLINK("https://www.773grp.com/manufacturer/renesas-electronics-america-inc?pageNo=235", "Renesas Electronics")</f>
        <v>Renesas Electronics</v>
      </c>
      <c r="C24167" s="6">
        <v>1000</v>
      </c>
      <c r="D24167" s="7">
        <v>3.18</v>
      </c>
    </row>
    <row r="24168" spans="1:4" x14ac:dyDescent="0.25">
      <c r="A24168" t="str">
        <f>HYPERLINK("https://www.773grp.com/globalSearch/74HC166FPEL-E/page-1", "74HC166FPEL-E")</f>
        <v>74HC166FPEL-E</v>
      </c>
      <c r="B24168" s="3" t="str">
        <f>HYPERLINK("https://www.773grp.com/manufacturer/renesas-electronics-america-inc?pageNo=236", "Renesas Electronics")</f>
        <v>Renesas Electronics</v>
      </c>
      <c r="C24168" s="6">
        <v>2000</v>
      </c>
      <c r="D24168" s="7">
        <v>3.18</v>
      </c>
    </row>
    <row r="24169" spans="1:4" x14ac:dyDescent="0.25">
      <c r="A24169" t="str">
        <f>HYPERLINK("https://www.773grp.com/globalSearch/74HC4511FP-E/page-1", "74HC4511FP-E")</f>
        <v>74HC4511FP-E</v>
      </c>
      <c r="B24169" s="3" t="str">
        <f>HYPERLINK("https://www.773grp.com/manufacturer/renesas-electronics-america-inc?pageNo=237", "Renesas Electronics")</f>
        <v>Renesas Electronics</v>
      </c>
      <c r="C24169" s="6">
        <v>6994</v>
      </c>
      <c r="D24169" s="7">
        <v>3.18</v>
      </c>
    </row>
    <row r="24170" spans="1:4" x14ac:dyDescent="0.25">
      <c r="A24170" t="str">
        <f>HYPERLINK("https://www.773grp.com/globalSearch/74HC4511FPEL-E/page-1", "74HC4511FPEL-E")</f>
        <v>74HC4511FPEL-E</v>
      </c>
      <c r="B24170" s="3" t="str">
        <f>HYPERLINK("https://www.773grp.com/manufacturer/renesas-electronics-america-inc?pageNo=238", "Renesas Electronics")</f>
        <v>Renesas Electronics</v>
      </c>
      <c r="C24170" s="6">
        <v>2000</v>
      </c>
      <c r="D24170" s="7">
        <v>3.18</v>
      </c>
    </row>
    <row r="24171" spans="1:4" x14ac:dyDescent="0.25">
      <c r="A24171" t="str">
        <f>HYPERLINK("https://www.773grp.com/globalSearch/74LS166AP-E/page-1", "74LS166AP-E")</f>
        <v>74LS166AP-E</v>
      </c>
      <c r="B24171" s="3" t="str">
        <f>HYPERLINK("https://www.773grp.com/manufacturer/renesas-electronics-america-inc?pageNo=239", "Renesas Electronics")</f>
        <v>Renesas Electronics</v>
      </c>
      <c r="C24171" s="6">
        <v>3000</v>
      </c>
      <c r="D24171" s="7">
        <v>3.18</v>
      </c>
    </row>
    <row r="24172" spans="1:4" x14ac:dyDescent="0.25">
      <c r="A24172" t="str">
        <f>HYPERLINK("https://www.773grp.com/globalSearch/BCR5AM-12LB#B01/page-1", "BCR5AM-12LB#B01")</f>
        <v>BCR5AM-12LB#B01</v>
      </c>
      <c r="B24172" s="3" t="str">
        <f>HYPERLINK("https://www.773grp.com/manufacturer/renesas-electronics-america-inc?pageNo=240", "Renesas Electronics")</f>
        <v>Renesas Electronics</v>
      </c>
      <c r="C24172" s="6">
        <v>1145</v>
      </c>
      <c r="D24172" s="7">
        <v>3.18</v>
      </c>
    </row>
    <row r="24173" spans="1:4" x14ac:dyDescent="0.25">
      <c r="A24173" t="str">
        <f>HYPERLINK("https://www.773grp.com/globalSearch/FX6ASJ-2-T13#B00/page-1", "FX6ASJ-2-T13#B00")</f>
        <v>FX6ASJ-2-T13#B00</v>
      </c>
      <c r="B24173" s="3" t="str">
        <f>HYPERLINK("https://www.773grp.com/manufacturer/renesas-electronics-america-inc?pageNo=241", "Renesas Electronics")</f>
        <v>Renesas Electronics</v>
      </c>
      <c r="C24173" s="6">
        <v>132000</v>
      </c>
      <c r="D24173" s="7">
        <v>3.18</v>
      </c>
    </row>
    <row r="24174" spans="1:4" x14ac:dyDescent="0.25">
      <c r="A24174" t="str">
        <f>HYPERLINK("https://www.773grp.com/globalSearch/M5295FP#CF0J/page-1", "M5295FP#CF0J")</f>
        <v>M5295FP#CF0J</v>
      </c>
      <c r="B24174" s="3" t="str">
        <f>HYPERLINK("https://www.773grp.com/manufacturer/renesas-electronics-america-inc?pageNo=242", "Renesas Electronics")</f>
        <v>Renesas Electronics</v>
      </c>
      <c r="C24174" s="6">
        <v>9000</v>
      </c>
      <c r="D24174" s="7">
        <v>3.18</v>
      </c>
    </row>
    <row r="24175" spans="1:4" x14ac:dyDescent="0.25">
      <c r="A24175" t="str">
        <f>HYPERLINK("https://www.773grp.com/globalSearch/RJK0381DPA-WS#J53/page-1", "RJK0381DPA-WS#J53")</f>
        <v>RJK0381DPA-WS#J53</v>
      </c>
      <c r="B24175" s="3" t="str">
        <f>HYPERLINK("https://www.773grp.com/manufacturer/renesas-electronics-america-inc?pageNo=243", "Renesas Electronics")</f>
        <v>Renesas Electronics</v>
      </c>
      <c r="C24175" s="6">
        <v>2110</v>
      </c>
      <c r="D24175" s="7">
        <v>3.18</v>
      </c>
    </row>
    <row r="24176" spans="1:4" x14ac:dyDescent="0.25">
      <c r="A24176" t="str">
        <f>HYPERLINK("https://www.773grp.com/globalSearch/2SA1652-AZ/page-1", "2SA1652-AZ")</f>
        <v>2SA1652-AZ</v>
      </c>
      <c r="B24176" s="3" t="str">
        <f>HYPERLINK("https://www.773grp.com/manufacturer/renesas-electronics-america-inc?pageNo=244", "Renesas Electronics")</f>
        <v>Renesas Electronics</v>
      </c>
      <c r="C24176" s="6">
        <v>729</v>
      </c>
      <c r="D24176" s="7">
        <v>2.88</v>
      </c>
    </row>
    <row r="24177" spans="1:4" x14ac:dyDescent="0.25">
      <c r="A24177" t="str">
        <f>HYPERLINK("https://www.773grp.com/globalSearch/BCR8KM-14LA#B00/page-1", "BCR8KM-14LA#B00")</f>
        <v>BCR8KM-14LA#B00</v>
      </c>
      <c r="B24177" s="3" t="str">
        <f>HYPERLINK("https://www.773grp.com/manufacturer/renesas-electronics-america-inc?pageNo=245", "Renesas Electronics")</f>
        <v>Renesas Electronics</v>
      </c>
      <c r="C24177" s="6">
        <v>22470</v>
      </c>
      <c r="D24177" s="7">
        <v>2.88</v>
      </c>
    </row>
    <row r="24178" spans="1:4" x14ac:dyDescent="0.25">
      <c r="A24178" t="str">
        <f>HYPERLINK("https://www.773grp.com/globalSearch/BCR8KM-12LB-A8#B00/page-1", "BCR8KM-12LB-A8#B00")</f>
        <v>BCR8KM-12LB-A8#B00</v>
      </c>
      <c r="B24178" s="3" t="str">
        <f>HYPERLINK("https://www.773grp.com/manufacturer/renesas-electronics-america-inc?pageNo=246", "Renesas Electronics")</f>
        <v>Renesas Electronics</v>
      </c>
      <c r="C24178" s="6">
        <v>70534</v>
      </c>
      <c r="D24178" s="7">
        <v>2.9</v>
      </c>
    </row>
    <row r="24179" spans="1:4" x14ac:dyDescent="0.25">
      <c r="A24179" t="str">
        <f>HYPERLINK("https://www.773grp.com/globalSearch/74HC01FP-E/page-1", "74HC01FP-E")</f>
        <v>74HC01FP-E</v>
      </c>
      <c r="B24179" s="3" t="str">
        <f>HYPERLINK("https://www.773grp.com/manufacturer/renesas-electronics-america-inc?pageNo=247", "Renesas Electronics")</f>
        <v>Renesas Electronics</v>
      </c>
      <c r="C24179" s="6">
        <v>995</v>
      </c>
      <c r="D24179" s="7">
        <v>3.23</v>
      </c>
    </row>
    <row r="24180" spans="1:4" x14ac:dyDescent="0.25">
      <c r="A24180" t="str">
        <f>HYPERLINK("https://www.773grp.com/globalSearch/74HC151FPEL-E/page-1", "74HC151FPEL-E")</f>
        <v>74HC151FPEL-E</v>
      </c>
      <c r="B24180" s="3" t="str">
        <f>HYPERLINK("https://www.773grp.com/manufacturer/renesas-electronics-america-inc?pageNo=248", "Renesas Electronics")</f>
        <v>Renesas Electronics</v>
      </c>
      <c r="C24180" s="6">
        <v>6000</v>
      </c>
      <c r="D24180" s="7">
        <v>3.23</v>
      </c>
    </row>
    <row r="24181" spans="1:4" x14ac:dyDescent="0.25">
      <c r="A24181" t="str">
        <f>HYPERLINK("https://www.773grp.com/globalSearch/74HC366FPEL-E/page-1", "74HC366FPEL-E")</f>
        <v>74HC366FPEL-E</v>
      </c>
      <c r="B24181" s="3" t="str">
        <f>HYPERLINK("https://www.773grp.com/manufacturer/renesas-electronics-america-inc?pageNo=249", "Renesas Electronics")</f>
        <v>Renesas Electronics</v>
      </c>
      <c r="C24181" s="6">
        <v>44000</v>
      </c>
      <c r="D24181" s="7">
        <v>3.23</v>
      </c>
    </row>
    <row r="24182" spans="1:4" x14ac:dyDescent="0.25">
      <c r="A24182" t="str">
        <f>HYPERLINK("https://www.773grp.com/globalSearch/74HC4518P-E/page-1", "74HC4518P-E")</f>
        <v>74HC4518P-E</v>
      </c>
      <c r="B24182" s="3" t="str">
        <f>HYPERLINK("https://www.773grp.com/manufacturer/renesas-electronics-america-inc?pageNo=250", "Renesas Electronics")</f>
        <v>Renesas Electronics</v>
      </c>
      <c r="C24182" s="6">
        <v>2000</v>
      </c>
      <c r="D24182" s="7">
        <v>3.23</v>
      </c>
    </row>
    <row r="24183" spans="1:4" x14ac:dyDescent="0.25">
      <c r="A24183" t="str">
        <f>HYPERLINK("https://www.773grp.com/globalSearch/BCR3KM-12RB-1AR#B1/page-1", "BCR3KM-12RB-1AR#B1")</f>
        <v>BCR3KM-12RB-1AR#B1</v>
      </c>
      <c r="B24183" s="3" t="str">
        <f>HYPERLINK("https://www.773grp.com/manufacturer/renesas-electronics-america-inc?pageNo=251", "Renesas Electronics")</f>
        <v>Renesas Electronics</v>
      </c>
      <c r="C24183" s="6">
        <v>24470</v>
      </c>
      <c r="D24183" s="7">
        <v>3.23</v>
      </c>
    </row>
    <row r="24184" spans="1:4" x14ac:dyDescent="0.25">
      <c r="A24184" t="str">
        <f>HYPERLINK("https://www.773grp.com/globalSearch/BCR5PM-12LA-A8/page-1", "BCR5PM-12LA-A8")</f>
        <v>BCR5PM-12LA-A8</v>
      </c>
      <c r="B24184" s="3" t="str">
        <f>HYPERLINK("https://www.773grp.com/manufacturer/renesas-electronics-america-inc?pageNo=252", "Renesas Electronics")</f>
        <v>Renesas Electronics</v>
      </c>
      <c r="C24184" s="6">
        <v>1028</v>
      </c>
      <c r="D24184" s="7">
        <v>3.23</v>
      </c>
    </row>
    <row r="24185" spans="1:4" x14ac:dyDescent="0.25">
      <c r="A24185" t="str">
        <f>HYPERLINK("https://www.773grp.com/globalSearch/HAT2028RJ-EL/page-1", "HAT2028RJ-EL")</f>
        <v>HAT2028RJ-EL</v>
      </c>
      <c r="B24185" s="3" t="str">
        <f>HYPERLINK("https://www.773grp.com/manufacturer/renesas-electronics-america-inc?pageNo=253", "Renesas Electronics")</f>
        <v>Renesas Electronics</v>
      </c>
      <c r="C24185" s="6">
        <v>12500</v>
      </c>
      <c r="D24185" s="7">
        <v>3.23</v>
      </c>
    </row>
    <row r="24186" spans="1:4" x14ac:dyDescent="0.25">
      <c r="A24186" t="str">
        <f>HYPERLINK("https://www.773grp.com/globalSearch/HN58X2402SFPI#S0/page-1", "HN58X2402SFPI#S0")</f>
        <v>HN58X2402SFPI#S0</v>
      </c>
      <c r="B24186" s="3" t="str">
        <f>HYPERLINK("https://www.773grp.com/manufacturer/renesas-electronics-america-inc?pageNo=254", "Renesas Electronics")</f>
        <v>Renesas Electronics</v>
      </c>
      <c r="C24186" s="6">
        <v>2500</v>
      </c>
      <c r="D24186" s="7">
        <v>3.23</v>
      </c>
    </row>
    <row r="24187" spans="1:4" x14ac:dyDescent="0.25">
      <c r="A24187" t="str">
        <f>HYPERLINK("https://www.773grp.com/globalSearch/HAT1139H-EL-E/page-1", "HAT1139H-EL-E")</f>
        <v>HAT1139H-EL-E</v>
      </c>
      <c r="B24187" s="3" t="str">
        <f>HYPERLINK("https://www.773grp.com/manufacturer/renesas-electronics-america-inc?pageNo=255", "Renesas Electronics")</f>
        <v>Renesas Electronics</v>
      </c>
      <c r="C24187" s="6">
        <v>2500</v>
      </c>
      <c r="D24187" s="7">
        <v>2.93</v>
      </c>
    </row>
    <row r="24188" spans="1:4" x14ac:dyDescent="0.25">
      <c r="A24188" t="str">
        <f>HYPERLINK("https://www.773grp.com/globalSearch/HAT2195WP-EL-E/page-1", "HAT2195WP-EL-E")</f>
        <v>HAT2195WP-EL-E</v>
      </c>
      <c r="B24188" s="3" t="str">
        <f>HYPERLINK("https://www.773grp.com/manufacturer/renesas-electronics-america-inc?pageNo=256", "Renesas Electronics")</f>
        <v>Renesas Electronics</v>
      </c>
      <c r="C24188" s="6">
        <v>7500</v>
      </c>
      <c r="D24188" s="7">
        <v>2.93</v>
      </c>
    </row>
    <row r="24189" spans="1:4" x14ac:dyDescent="0.25">
      <c r="A24189" t="str">
        <f>HYPERLINK("https://www.773grp.com/globalSearch/2SD2163-AZ/page-1", "2SD2163-AZ")</f>
        <v>2SD2163-AZ</v>
      </c>
      <c r="B24189" s="3" t="str">
        <f>HYPERLINK("https://www.773grp.com/manufacturer/renesas-electronics-america-inc?pageNo=257", "Renesas Electronics")</f>
        <v>Renesas Electronics</v>
      </c>
      <c r="C24189" s="6">
        <v>815</v>
      </c>
      <c r="D24189" s="7">
        <v>2.95</v>
      </c>
    </row>
    <row r="24190" spans="1:4" x14ac:dyDescent="0.25">
      <c r="A24190" t="str">
        <f>HYPERLINK("https://www.773grp.com/globalSearch/2SJ387L-E/page-1", "2SJ387L-E")</f>
        <v>2SJ387L-E</v>
      </c>
      <c r="B24190" s="3" t="str">
        <f>HYPERLINK("https://www.773grp.com/manufacturer/renesas-electronics-america-inc?pageNo=258", "Renesas Electronics")</f>
        <v>Renesas Electronics</v>
      </c>
      <c r="C24190" s="6">
        <v>727</v>
      </c>
      <c r="D24190" s="7">
        <v>2.95</v>
      </c>
    </row>
    <row r="24191" spans="1:4" x14ac:dyDescent="0.25">
      <c r="A24191" t="str">
        <f>HYPERLINK("https://www.773grp.com/globalSearch/2SK213-E/page-1", "2SK213-E")</f>
        <v>2SK213-E</v>
      </c>
      <c r="B24191" s="3" t="str">
        <f>HYPERLINK("https://www.773grp.com/manufacturer/renesas-electronics-america-inc?pageNo=259", "Renesas Electronics")</f>
        <v>Renesas Electronics</v>
      </c>
      <c r="C24191" s="6">
        <v>1627</v>
      </c>
      <c r="D24191" s="7">
        <v>2.95</v>
      </c>
    </row>
    <row r="24192" spans="1:4" x14ac:dyDescent="0.25">
      <c r="A24192" t="str">
        <f>HYPERLINK("https://www.773grp.com/globalSearch/AC05FSMA-AZ/page-1", "AC05FSMA-AZ")</f>
        <v>AC05FSMA-AZ</v>
      </c>
      <c r="B24192" s="3" t="str">
        <f>HYPERLINK("https://www.773grp.com/manufacturer/renesas-electronics-america-inc?pageNo=260", "Renesas Electronics")</f>
        <v>Renesas Electronics</v>
      </c>
      <c r="C24192" s="6">
        <v>969</v>
      </c>
      <c r="D24192" s="7">
        <v>2.95</v>
      </c>
    </row>
    <row r="24193" spans="1:4" x14ac:dyDescent="0.25">
      <c r="A24193" t="str">
        <f>HYPERLINK("https://www.773grp.com/globalSearch/RJK0349DPA-WS#J0/page-1", "RJK0349DPA-WS#J0")</f>
        <v>RJK0349DPA-WS#J0</v>
      </c>
      <c r="B24193" s="3" t="str">
        <f>HYPERLINK("https://www.773grp.com/manufacturer/renesas-electronics-america-inc?pageNo=261", "Renesas Electronics")</f>
        <v>Renesas Electronics</v>
      </c>
      <c r="C24193" s="6">
        <v>1180</v>
      </c>
      <c r="D24193" s="7">
        <v>2.95</v>
      </c>
    </row>
    <row r="24194" spans="1:4" x14ac:dyDescent="0.25">
      <c r="A24194" t="str">
        <f>HYPERLINK("https://www.773grp.com/globalSearch/UPC16315HF-AZ/page-1", "UPC16315HF-AZ")</f>
        <v>UPC16315HF-AZ</v>
      </c>
      <c r="B24194" s="3" t="str">
        <f>HYPERLINK("https://www.773grp.com/manufacturer/renesas-electronics-america-inc?pageNo=262", "Renesas Electronics")</f>
        <v>Renesas Electronics</v>
      </c>
      <c r="C24194" s="6">
        <v>2397</v>
      </c>
      <c r="D24194" s="7">
        <v>2.95</v>
      </c>
    </row>
    <row r="24195" spans="1:4" x14ac:dyDescent="0.25">
      <c r="A24195" t="str">
        <f>HYPERLINK("https://www.773grp.com/globalSearch/2SK973L-E/page-1", "2SK973L-E")</f>
        <v>2SK973L-E</v>
      </c>
      <c r="B24195" s="3" t="str">
        <f>HYPERLINK("https://www.773grp.com/manufacturer/renesas-electronics-america-inc?pageNo=263", "Renesas Electronics")</f>
        <v>Renesas Electronics</v>
      </c>
      <c r="C24195" s="6">
        <v>3229</v>
      </c>
      <c r="D24195" s="7">
        <v>3.28</v>
      </c>
    </row>
    <row r="24196" spans="1:4" x14ac:dyDescent="0.25">
      <c r="A24196" t="str">
        <f>HYPERLINK("https://www.773grp.com/globalSearch/5P6J-ZK-E1-AZ/page-1", "5P6J-ZK-E1-AZ")</f>
        <v>5P6J-ZK-E1-AZ</v>
      </c>
      <c r="B24196" s="3" t="str">
        <f>HYPERLINK("https://www.773grp.com/manufacturer/renesas-electronics-america-inc?pageNo=264", "Renesas Electronics")</f>
        <v>Renesas Electronics</v>
      </c>
      <c r="C24196" s="6">
        <v>17500</v>
      </c>
      <c r="D24196" s="7">
        <v>3.28</v>
      </c>
    </row>
    <row r="24197" spans="1:4" x14ac:dyDescent="0.25">
      <c r="A24197" t="str">
        <f>HYPERLINK("https://www.773grp.com/globalSearch/74HC597FPEL-E/page-1", "74HC597FPEL-E")</f>
        <v>74HC597FPEL-E</v>
      </c>
      <c r="B24197" s="3" t="str">
        <f>HYPERLINK("https://www.773grp.com/manufacturer/renesas-electronics-america-inc?pageNo=265", "Renesas Electronics")</f>
        <v>Renesas Electronics</v>
      </c>
      <c r="C24197" s="6">
        <v>14000</v>
      </c>
      <c r="D24197" s="7">
        <v>3.28</v>
      </c>
    </row>
    <row r="24198" spans="1:4" x14ac:dyDescent="0.25">
      <c r="A24198" t="str">
        <f>HYPERLINK("https://www.773grp.com/globalSearch/74LS393P-E/page-1", "74LS393P-E")</f>
        <v>74LS393P-E</v>
      </c>
      <c r="B24198" s="3" t="str">
        <f>HYPERLINK("https://www.773grp.com/manufacturer/renesas-electronics-america-inc?pageNo=266", "Renesas Electronics")</f>
        <v>Renesas Electronics</v>
      </c>
      <c r="C24198" s="6">
        <v>4000</v>
      </c>
      <c r="D24198" s="7">
        <v>3.28</v>
      </c>
    </row>
    <row r="24199" spans="1:4" x14ac:dyDescent="0.25">
      <c r="A24199" t="str">
        <f>HYPERLINK("https://www.773grp.com/globalSearch/HD74HC4051FPK/page-1", "HD74HC4051FPK")</f>
        <v>HD74HC4051FPK</v>
      </c>
      <c r="B24199" s="3" t="str">
        <f>HYPERLINK("https://www.773grp.com/manufacturer/renesas-electronics-america-inc?pageNo=267", "Renesas Electronics")</f>
        <v>Renesas Electronics</v>
      </c>
      <c r="C24199" s="6">
        <v>2000</v>
      </c>
      <c r="D24199" s="7">
        <v>3.28</v>
      </c>
    </row>
    <row r="24200" spans="1:4" x14ac:dyDescent="0.25">
      <c r="A24200" t="str">
        <f>HYPERLINK("https://www.773grp.com/globalSearch/UPA2720GR-E1-A/page-1", "UPA2720GR-E1-A")</f>
        <v>UPA2720GR-E1-A</v>
      </c>
      <c r="B24200" s="3" t="str">
        <f>HYPERLINK("https://www.773grp.com/manufacturer/renesas-electronics-america-inc?pageNo=268", "Renesas Electronics")</f>
        <v>Renesas Electronics</v>
      </c>
      <c r="C24200" s="6">
        <v>2500</v>
      </c>
      <c r="D24200" s="7">
        <v>3.28</v>
      </c>
    </row>
    <row r="24201" spans="1:4" x14ac:dyDescent="0.25">
      <c r="A24201" t="str">
        <f>HYPERLINK("https://www.773grp.com/globalSearch/74HC533FPEL-E/page-1", "74HC533FPEL-E")</f>
        <v>74HC533FPEL-E</v>
      </c>
      <c r="B24201" s="3" t="str">
        <f>HYPERLINK("https://www.773grp.com/manufacturer/renesas-electronics-america-inc?pageNo=269", "Renesas Electronics")</f>
        <v>Renesas Electronics</v>
      </c>
      <c r="C24201" s="6">
        <v>2000</v>
      </c>
      <c r="D24201" s="7">
        <v>3.33</v>
      </c>
    </row>
    <row r="24202" spans="1:4" x14ac:dyDescent="0.25">
      <c r="A24202" t="str">
        <f>HYPERLINK("https://www.773grp.com/globalSearch/AC03FGM(11)-AZ/page-1", "AC03FGM(11)-AZ")</f>
        <v>AC03FGM(11)-AZ</v>
      </c>
      <c r="B24202" s="3" t="str">
        <f>HYPERLINK("https://www.773grp.com/manufacturer/renesas-electronics-america-inc?pageNo=270", "Renesas Electronics")</f>
        <v>Renesas Electronics</v>
      </c>
      <c r="C24202" s="6">
        <v>5226</v>
      </c>
      <c r="D24202" s="7">
        <v>3.33</v>
      </c>
    </row>
    <row r="24203" spans="1:4" x14ac:dyDescent="0.25">
      <c r="A24203" t="str">
        <f>HYPERLINK("https://www.773grp.com/globalSearch/D74HV8T06T#H0/page-1", "D74HV8T06T#H0")</f>
        <v>D74HV8T06T#H0</v>
      </c>
      <c r="B24203" s="3" t="str">
        <f>HYPERLINK("https://www.773grp.com/manufacturer/renesas-electronics-america-inc?pageNo=271", "Renesas Electronics")</f>
        <v>Renesas Electronics</v>
      </c>
      <c r="C24203" s="6">
        <v>10000</v>
      </c>
      <c r="D24203" s="7">
        <v>3.33</v>
      </c>
    </row>
    <row r="24204" spans="1:4" x14ac:dyDescent="0.25">
      <c r="A24204" t="str">
        <f>HYPERLINK("https://www.773grp.com/globalSearch/HA17524P/page-1", "HA17524P")</f>
        <v>HA17524P</v>
      </c>
      <c r="B24204" s="3" t="str">
        <f>HYPERLINK("https://www.773grp.com/manufacturer/renesas-electronics-america-inc?pageNo=272", "Renesas Electronics")</f>
        <v>Renesas Electronics</v>
      </c>
      <c r="C24204" s="6">
        <v>166</v>
      </c>
      <c r="D24204" s="7">
        <v>3.33</v>
      </c>
    </row>
    <row r="24205" spans="1:4" x14ac:dyDescent="0.25">
      <c r="A24205" t="str">
        <f>HYPERLINK("https://www.773grp.com/globalSearch/2SK2462(04)-AZ/page-1", "2SK2462(04)-AZ")</f>
        <v>2SK2462(04)-AZ</v>
      </c>
      <c r="B24205" s="3" t="str">
        <f>HYPERLINK("https://www.773grp.com/manufacturer/renesas-electronics-america-inc?pageNo=273", "Renesas Electronics")</f>
        <v>Renesas Electronics</v>
      </c>
      <c r="C24205" s="6">
        <v>21036</v>
      </c>
      <c r="D24205" s="7">
        <v>3</v>
      </c>
    </row>
    <row r="24206" spans="1:4" x14ac:dyDescent="0.25">
      <c r="A24206" t="str">
        <f>HYPERLINK("https://www.773grp.com/globalSearch/BCR16KM-12LB-A8#X6/page-1", "BCR16KM-12LB-A8#X6")</f>
        <v>BCR16KM-12LB-A8#X6</v>
      </c>
      <c r="B24206" s="3" t="str">
        <f>HYPERLINK("https://www.773grp.com/manufacturer/renesas-electronics-america-inc?pageNo=274", "Renesas Electronics")</f>
        <v>Renesas Electronics</v>
      </c>
      <c r="C24206" s="6">
        <v>1411</v>
      </c>
      <c r="D24206" s="7">
        <v>3</v>
      </c>
    </row>
    <row r="24207" spans="1:4" x14ac:dyDescent="0.25">
      <c r="A24207" t="str">
        <f>HYPERLINK("https://www.773grp.com/globalSearch/BCR16KM-12LB-AA#X2/page-1", "BCR16KM-12LB-AA#X2")</f>
        <v>BCR16KM-12LB-AA#X2</v>
      </c>
      <c r="B24207" s="3" t="str">
        <f>HYPERLINK("https://www.773grp.com/manufacturer/renesas-electronics-america-inc?pageNo=275", "Renesas Electronics")</f>
        <v>Renesas Electronics</v>
      </c>
      <c r="C24207" s="6">
        <v>604</v>
      </c>
      <c r="D24207" s="7">
        <v>3</v>
      </c>
    </row>
    <row r="24208" spans="1:4" x14ac:dyDescent="0.25">
      <c r="A24208" t="str">
        <f>HYPERLINK("https://www.773grp.com/globalSearch/BCR8KM-16LA#B00/page-1", "BCR8KM-16LA#B00")</f>
        <v>BCR8KM-16LA#B00</v>
      </c>
      <c r="B24208" s="3" t="str">
        <f>HYPERLINK("https://www.773grp.com/manufacturer/renesas-electronics-america-inc?pageNo=276", "Renesas Electronics")</f>
        <v>Renesas Electronics</v>
      </c>
      <c r="C24208" s="6">
        <v>3781</v>
      </c>
      <c r="D24208" s="7">
        <v>3</v>
      </c>
    </row>
    <row r="24209" spans="1:4" x14ac:dyDescent="0.25">
      <c r="A24209" t="str">
        <f>HYPERLINK("https://www.773grp.com/globalSearch/BCR8KM-16LA-AS#B00/page-1", "BCR8KM-16LA-AS#B00")</f>
        <v>BCR8KM-16LA-AS#B00</v>
      </c>
      <c r="B24209" s="3" t="str">
        <f>HYPERLINK("https://www.773grp.com/manufacturer/renesas-electronics-america-inc?pageNo=277", "Renesas Electronics")</f>
        <v>Renesas Electronics</v>
      </c>
      <c r="C24209" s="6">
        <v>1360</v>
      </c>
      <c r="D24209" s="7">
        <v>3</v>
      </c>
    </row>
    <row r="24210" spans="1:4" x14ac:dyDescent="0.25">
      <c r="A24210" t="str">
        <f>HYPERLINK("https://www.773grp.com/globalSearch/M62366GP#CF0J/page-1", "M62366GP#CF0J")</f>
        <v>M62366GP#CF0J</v>
      </c>
      <c r="B24210" s="3" t="str">
        <f>HYPERLINK("https://www.773grp.com/manufacturer/renesas-electronics-america-inc?pageNo=278", "Renesas Electronics")</f>
        <v>Renesas Electronics</v>
      </c>
      <c r="C24210" s="6">
        <v>17500</v>
      </c>
      <c r="D24210" s="7">
        <v>3</v>
      </c>
    </row>
    <row r="24211" spans="1:4" x14ac:dyDescent="0.25">
      <c r="A24211" t="str">
        <f>HYPERLINK("https://www.773grp.com/globalSearch/2SB1098(5)-AZ/page-1", "2SB1098(5)-AZ")</f>
        <v>2SB1098(5)-AZ</v>
      </c>
      <c r="B24211" s="3" t="str">
        <f>HYPERLINK("https://www.773grp.com/manufacturer/renesas-electronics-america-inc?pageNo=279", "Renesas Electronics")</f>
        <v>Renesas Electronics</v>
      </c>
      <c r="C24211" s="6">
        <v>56911</v>
      </c>
      <c r="D24211" s="7">
        <v>3.04</v>
      </c>
    </row>
    <row r="24212" spans="1:4" x14ac:dyDescent="0.25">
      <c r="A24212" t="str">
        <f>HYPERLINK("https://www.773grp.com/globalSearch/8P4SMA-AZ/page-1", "8P4SMA-AZ")</f>
        <v>8P4SMA-AZ</v>
      </c>
      <c r="B24212" s="3" t="str">
        <f>HYPERLINK("https://www.773grp.com/manufacturer/renesas-electronics-america-inc?pageNo=280", "Renesas Electronics")</f>
        <v>Renesas Electronics</v>
      </c>
      <c r="C24212" s="6">
        <v>888</v>
      </c>
      <c r="D24212" s="7">
        <v>3.04</v>
      </c>
    </row>
    <row r="24213" spans="1:4" x14ac:dyDescent="0.25">
      <c r="A24213" t="str">
        <f>HYPERLINK("https://www.773grp.com/globalSearch/M5282FP#D0/page-1", "M5282FP#D0")</f>
        <v>M5282FP#D0</v>
      </c>
      <c r="B24213" s="3" t="str">
        <f>HYPERLINK("https://www.773grp.com/manufacturer/renesas-electronics-america-inc?pageNo=281", "Renesas Electronics")</f>
        <v>Renesas Electronics</v>
      </c>
      <c r="C24213" s="6">
        <v>2000</v>
      </c>
      <c r="D24213" s="7">
        <v>3.04</v>
      </c>
    </row>
    <row r="24214" spans="1:4" x14ac:dyDescent="0.25">
      <c r="A24214" t="str">
        <f>HYPERLINK("https://www.773grp.com/globalSearch/RJP30E2DPP-M0#T2/page-1", "RJP30E2DPP-M0#T2")</f>
        <v>RJP30E2DPP-M0#T2</v>
      </c>
      <c r="B24214" s="3" t="str">
        <f>HYPERLINK("https://www.773grp.com/manufacturer/renesas-electronics-america-inc?pageNo=282", "Renesas Electronics")</f>
        <v>Renesas Electronics</v>
      </c>
      <c r="C24214" s="6">
        <v>19661</v>
      </c>
      <c r="D24214" s="7">
        <v>3.04</v>
      </c>
    </row>
    <row r="24215" spans="1:4" x14ac:dyDescent="0.25">
      <c r="A24215" t="str">
        <f>HYPERLINK("https://www.773grp.com/globalSearch/2SK3113-Z-AZ/page-1", "2SK3113-Z-AZ")</f>
        <v>2SK3113-Z-AZ</v>
      </c>
      <c r="B24215" s="3" t="str">
        <f>HYPERLINK("https://www.773grp.com/manufacturer/renesas-electronics-america-inc?pageNo=283", "Renesas Electronics")</f>
        <v>Renesas Electronics</v>
      </c>
      <c r="C24215" s="6">
        <v>515</v>
      </c>
      <c r="D24215" s="7">
        <v>3.38</v>
      </c>
    </row>
    <row r="24216" spans="1:4" x14ac:dyDescent="0.25">
      <c r="A24216" t="str">
        <f>HYPERLINK("https://www.773grp.com/globalSearch/2SK3113-Z-E1-AZ/page-1", "2SK3113-Z-E1-AZ")</f>
        <v>2SK3113-Z-E1-AZ</v>
      </c>
      <c r="B24216" s="3" t="str">
        <f>HYPERLINK("https://www.773grp.com/manufacturer/renesas-electronics-america-inc?pageNo=284", "Renesas Electronics")</f>
        <v>Renesas Electronics</v>
      </c>
      <c r="C24216" s="6">
        <v>2000</v>
      </c>
      <c r="D24216" s="7">
        <v>3.38</v>
      </c>
    </row>
    <row r="24217" spans="1:4" x14ac:dyDescent="0.25">
      <c r="A24217" t="str">
        <f>HYPERLINK("https://www.773grp.com/globalSearch/74HC95P-E/page-1", "74HC95P-E")</f>
        <v>74HC95P-E</v>
      </c>
      <c r="B24217" s="3" t="str">
        <f>HYPERLINK("https://www.773grp.com/manufacturer/renesas-electronics-america-inc?pageNo=285", "Renesas Electronics")</f>
        <v>Renesas Electronics</v>
      </c>
      <c r="C24217" s="6">
        <v>1000</v>
      </c>
      <c r="D24217" s="7">
        <v>3.38</v>
      </c>
    </row>
    <row r="24218" spans="1:4" x14ac:dyDescent="0.25">
      <c r="A24218" t="str">
        <f>HYPERLINK("https://www.773grp.com/globalSearch/BCR8CM-12LA-1#B00/page-1", "BCR8CM-12LA-1#B00")</f>
        <v>BCR8CM-12LA-1#B00</v>
      </c>
      <c r="B24218" s="3" t="str">
        <f>HYPERLINK("https://www.773grp.com/manufacturer/renesas-electronics-america-inc?pageNo=286", "Renesas Electronics")</f>
        <v>Renesas Electronics</v>
      </c>
      <c r="C24218" s="6">
        <v>4517</v>
      </c>
      <c r="D24218" s="7">
        <v>3.38</v>
      </c>
    </row>
    <row r="24219" spans="1:4" x14ac:dyDescent="0.25">
      <c r="A24219" t="str">
        <f>HYPERLINK("https://www.773grp.com/globalSearch/D74HV8T07T#H0/page-1", "D74HV8T07T#H0")</f>
        <v>D74HV8T07T#H0</v>
      </c>
      <c r="B24219" s="3" t="str">
        <f>HYPERLINK("https://www.773grp.com/manufacturer/renesas-electronics-america-inc?pageNo=287", "Renesas Electronics")</f>
        <v>Renesas Electronics</v>
      </c>
      <c r="C24219" s="6">
        <v>12000</v>
      </c>
      <c r="D24219" s="7">
        <v>3.38</v>
      </c>
    </row>
    <row r="24220" spans="1:4" x14ac:dyDescent="0.25">
      <c r="A24220" t="str">
        <f>HYPERLINK("https://www.773grp.com/globalSearch/HAT1041T-EL-E/page-1", "HAT1041T-EL-E")</f>
        <v>HAT1041T-EL-E</v>
      </c>
      <c r="B24220" s="3" t="str">
        <f>HYPERLINK("https://www.773grp.com/manufacturer/renesas-electronics-america-inc?pageNo=288", "Renesas Electronics")</f>
        <v>Renesas Electronics</v>
      </c>
      <c r="C24220" s="6">
        <v>3000</v>
      </c>
      <c r="D24220" s="7">
        <v>3.38</v>
      </c>
    </row>
    <row r="24221" spans="1:4" x14ac:dyDescent="0.25">
      <c r="A24221" t="str">
        <f>HYPERLINK("https://www.773grp.com/globalSearch/HAT1130RWS-E/page-1", "HAT1130RWS-E")</f>
        <v>HAT1130RWS-E</v>
      </c>
      <c r="B24221" s="3" t="str">
        <f>HYPERLINK("https://www.773grp.com/manufacturer/renesas-electronics-america-inc?pageNo=289", "Renesas Electronics")</f>
        <v>Renesas Electronics</v>
      </c>
      <c r="C24221" s="6">
        <v>2170</v>
      </c>
      <c r="D24221" s="7">
        <v>3.38</v>
      </c>
    </row>
    <row r="24222" spans="1:4" x14ac:dyDescent="0.25">
      <c r="A24222" t="str">
        <f>HYPERLINK("https://www.773grp.com/globalSearch/M62334P#TF5J/page-1", "M62334P#TF5J")</f>
        <v>M62334P#TF5J</v>
      </c>
      <c r="B24222" s="3" t="str">
        <f>HYPERLINK("https://www.773grp.com/manufacturer/renesas-electronics-america-inc?pageNo=290", "Renesas Electronics")</f>
        <v>Renesas Electronics</v>
      </c>
      <c r="C24222" s="6">
        <v>1977</v>
      </c>
      <c r="D24222" s="7">
        <v>3.38</v>
      </c>
    </row>
    <row r="24223" spans="1:4" x14ac:dyDescent="0.25">
      <c r="A24223" t="str">
        <f>HYPERLINK("https://www.773grp.com/globalSearch/FS10KM-12A/page-1", "FS10KM-12A")</f>
        <v>FS10KM-12A</v>
      </c>
      <c r="B24223" s="3" t="str">
        <f>HYPERLINK("https://www.773grp.com/manufacturer/renesas-electronics-america-inc?pageNo=291", "Renesas Electronics")</f>
        <v>Renesas Electronics</v>
      </c>
      <c r="C24223" s="6">
        <v>5586</v>
      </c>
      <c r="D24223" s="7">
        <v>3.38</v>
      </c>
    </row>
    <row r="24224" spans="1:4" x14ac:dyDescent="0.25">
      <c r="A24224" t="str">
        <f>HYPERLINK("https://www.773grp.com/globalSearch/2SD1592-AZ/page-1", "2SD1592-AZ")</f>
        <v>2SD1592-AZ</v>
      </c>
      <c r="B24224" s="3" t="str">
        <f>HYPERLINK("https://www.773grp.com/manufacturer/renesas-electronics-america-inc?pageNo=292", "Renesas Electronics")</f>
        <v>Renesas Electronics</v>
      </c>
      <c r="C24224" s="6">
        <v>10706</v>
      </c>
      <c r="D24224" s="7">
        <v>3.08</v>
      </c>
    </row>
    <row r="24225" spans="1:4" x14ac:dyDescent="0.25">
      <c r="A24225" t="str">
        <f>HYPERLINK("https://www.773grp.com/globalSearch/2SJ245L-E/page-1", "2SJ245L-E")</f>
        <v>2SJ245L-E</v>
      </c>
      <c r="B24225" s="3" t="str">
        <f>HYPERLINK("https://www.773grp.com/manufacturer/renesas-electronics-america-inc?pageNo=293", "Renesas Electronics")</f>
        <v>Renesas Electronics</v>
      </c>
      <c r="C24225" s="6">
        <v>242</v>
      </c>
      <c r="D24225" s="7">
        <v>3.08</v>
      </c>
    </row>
    <row r="24226" spans="1:4" x14ac:dyDescent="0.25">
      <c r="A24226" t="str">
        <f>HYPERLINK("https://www.773grp.com/globalSearch/HA179L12U-TR-E/page-1", "HA179L12U-TR-E")</f>
        <v>HA179L12U-TR-E</v>
      </c>
      <c r="B24226" s="3" t="str">
        <f>HYPERLINK("https://www.773grp.com/manufacturer/renesas-electronics-america-inc?pageNo=294", "Renesas Electronics")</f>
        <v>Renesas Electronics</v>
      </c>
      <c r="C24226" s="6">
        <v>3000</v>
      </c>
      <c r="D24226" s="7">
        <v>3.43</v>
      </c>
    </row>
    <row r="24227" spans="1:4" x14ac:dyDescent="0.25">
      <c r="A24227" t="str">
        <f>HYPERLINK("https://www.773grp.com/globalSearch/M62242FP#TF1J/page-1", "M62242FP#TF1J")</f>
        <v>M62242FP#TF1J</v>
      </c>
      <c r="B24227" s="3" t="str">
        <f>HYPERLINK("https://www.773grp.com/manufacturer/renesas-electronics-america-inc?pageNo=295", "Renesas Electronics")</f>
        <v>Renesas Electronics</v>
      </c>
      <c r="C24227" s="6">
        <v>870</v>
      </c>
      <c r="D24227" s="7">
        <v>3.43</v>
      </c>
    </row>
    <row r="24228" spans="1:4" x14ac:dyDescent="0.25">
      <c r="A24228" t="str">
        <f>HYPERLINK("https://www.773grp.com/globalSearch/RJK5026DPP-00#T2/page-1", "RJK5026DPP-00#T2")</f>
        <v>RJK5026DPP-00#T2</v>
      </c>
      <c r="B24228" s="3" t="str">
        <f>HYPERLINK("https://www.773grp.com/manufacturer/renesas-electronics-america-inc?pageNo=296", "Renesas Electronics")</f>
        <v>Renesas Electronics</v>
      </c>
      <c r="C24228" s="6">
        <v>2724</v>
      </c>
      <c r="D24228" s="7">
        <v>3.43</v>
      </c>
    </row>
    <row r="24229" spans="1:4" x14ac:dyDescent="0.25">
      <c r="A24229" t="str">
        <f>HYPERLINK("https://www.773grp.com/globalSearch/UPA2760T1A-E1-AT/page-1", "UPA2760T1A-E1-AT")</f>
        <v>UPA2760T1A-E1-AT</v>
      </c>
      <c r="B24229" s="3" t="str">
        <f>HYPERLINK("https://www.773grp.com/manufacturer/renesas-electronics-america-inc?pageNo=297", "Renesas Electronics")</f>
        <v>Renesas Electronics</v>
      </c>
      <c r="C24229" s="6">
        <v>9000</v>
      </c>
      <c r="D24229" s="7">
        <v>3.43</v>
      </c>
    </row>
    <row r="24230" spans="1:4" x14ac:dyDescent="0.25">
      <c r="A24230" t="str">
        <f>HYPERLINK("https://www.773grp.com/globalSearch/UPC4742C-A/page-1", "UPC4742C-A")</f>
        <v>UPC4742C-A</v>
      </c>
      <c r="B24230" s="3" t="str">
        <f>HYPERLINK("https://www.773grp.com/manufacturer/renesas-electronics-america-inc?pageNo=298", "Renesas Electronics")</f>
        <v>Renesas Electronics</v>
      </c>
      <c r="C24230" s="6">
        <v>5639</v>
      </c>
      <c r="D24230" s="7">
        <v>3.43</v>
      </c>
    </row>
    <row r="24231" spans="1:4" x14ac:dyDescent="0.25">
      <c r="A24231" t="str">
        <f>HYPERLINK("https://www.773grp.com/globalSearch/AC05DSMA(1)-AZ/page-1", "AC05DSMA(1)-AZ")</f>
        <v>AC05DSMA(1)-AZ</v>
      </c>
      <c r="B24231" s="3" t="str">
        <f>HYPERLINK("https://www.773grp.com/manufacturer/renesas-electronics-america-inc?pageNo=299", "Renesas Electronics")</f>
        <v>Renesas Electronics</v>
      </c>
      <c r="C24231" s="6">
        <v>71</v>
      </c>
      <c r="D24231" s="7">
        <v>3.09</v>
      </c>
    </row>
    <row r="24232" spans="1:4" x14ac:dyDescent="0.25">
      <c r="A24232" t="str">
        <f>HYPERLINK("https://www.773grp.com/globalSearch/AC05DSMA(2)-AZ/page-1", "AC05DSMA(2)-AZ")</f>
        <v>AC05DSMA(2)-AZ</v>
      </c>
      <c r="B24232" s="3" t="str">
        <f>HYPERLINK("https://www.773grp.com/manufacturer/renesas-electronics-america-inc?pageNo=300", "Renesas Electronics")</f>
        <v>Renesas Electronics</v>
      </c>
      <c r="C24232" s="6">
        <v>4452</v>
      </c>
      <c r="D24232" s="7">
        <v>3.09</v>
      </c>
    </row>
    <row r="24233" spans="1:4" x14ac:dyDescent="0.25">
      <c r="A24233" t="str">
        <f>HYPERLINK("https://www.773grp.com/globalSearch/5P4SMA(3)-AZ/page-1", "5P4SMA(3)-AZ")</f>
        <v>5P4SMA(3)-AZ</v>
      </c>
      <c r="B24233" s="3" t="str">
        <f>HYPERLINK("https://www.773grp.com/manufacturer/renesas-electronics-america-inc?pageNo=301", "Renesas Electronics")</f>
        <v>Renesas Electronics</v>
      </c>
      <c r="C24233" s="6">
        <v>1907</v>
      </c>
      <c r="D24233" s="7">
        <v>3.13</v>
      </c>
    </row>
    <row r="24234" spans="1:4" x14ac:dyDescent="0.25">
      <c r="A24234" t="str">
        <f>HYPERLINK("https://www.773grp.com/globalSearch/FS30KMJ-06F#B00/page-1", "FS30KMJ-06F#B00")</f>
        <v>FS30KMJ-06F#B00</v>
      </c>
      <c r="B24234" s="3" t="str">
        <f>HYPERLINK("https://www.773grp.com/manufacturer/renesas-electronics-america-inc?pageNo=302", "Renesas Electronics")</f>
        <v>Renesas Electronics</v>
      </c>
      <c r="C24234" s="6">
        <v>33843</v>
      </c>
      <c r="D24234" s="7">
        <v>3.13</v>
      </c>
    </row>
    <row r="24235" spans="1:4" x14ac:dyDescent="0.25">
      <c r="A24235" t="str">
        <f>HYPERLINK("https://www.773grp.com/globalSearch/M61530FP#DF0G/page-1", "M61530FP#DF0G")</f>
        <v>M61530FP#DF0G</v>
      </c>
      <c r="B24235" s="3" t="str">
        <f>HYPERLINK("https://www.773grp.com/manufacturer/renesas-electronics-america-inc?pageNo=303", "Renesas Electronics")</f>
        <v>Renesas Electronics</v>
      </c>
      <c r="C24235" s="6">
        <v>15000</v>
      </c>
      <c r="D24235" s="7">
        <v>3.13</v>
      </c>
    </row>
    <row r="24236" spans="1:4" x14ac:dyDescent="0.25">
      <c r="A24236" t="str">
        <f>HYPERLINK("https://www.773grp.com/globalSearch/R2S15900SP#DF0Z/page-1", "R2S15900SP#DF0Z")</f>
        <v>R2S15900SP#DF0Z</v>
      </c>
      <c r="B24236" s="3" t="str">
        <f>HYPERLINK("https://www.773grp.com/manufacturer/renesas-electronics-america-inc?pageNo=304", "Renesas Electronics")</f>
        <v>Renesas Electronics</v>
      </c>
      <c r="C24236" s="6">
        <v>3000</v>
      </c>
      <c r="D24236" s="7">
        <v>3.13</v>
      </c>
    </row>
    <row r="24237" spans="1:4" x14ac:dyDescent="0.25">
      <c r="A24237" t="str">
        <f>HYPERLINK("https://www.773grp.com/globalSearch/R8A66165SP#T1/page-1", "R8A66165SP#T1")</f>
        <v>R8A66165SP#T1</v>
      </c>
      <c r="B24237" s="3" t="str">
        <f>HYPERLINK("https://www.773grp.com/manufacturer/renesas-electronics-america-inc?pageNo=305", "Renesas Electronics")</f>
        <v>Renesas Electronics</v>
      </c>
      <c r="C24237" s="6">
        <v>1653</v>
      </c>
      <c r="D24237" s="7">
        <v>3.13</v>
      </c>
    </row>
    <row r="24238" spans="1:4" x14ac:dyDescent="0.25">
      <c r="A24238" t="str">
        <f>HYPERLINK("https://www.773grp.com/globalSearch/74HC241PV-E/page-1", "74HC241PV-E")</f>
        <v>74HC241PV-E</v>
      </c>
      <c r="B24238" s="3" t="str">
        <f>HYPERLINK("https://www.773grp.com/manufacturer/renesas-electronics-america-inc?pageNo=306", "Renesas Electronics")</f>
        <v>Renesas Electronics</v>
      </c>
      <c r="C24238" s="6">
        <v>3400</v>
      </c>
      <c r="D24238" s="7">
        <v>3.48</v>
      </c>
    </row>
    <row r="24239" spans="1:4" x14ac:dyDescent="0.25">
      <c r="A24239" t="str">
        <f>HYPERLINK("https://www.773grp.com/globalSearch/AC03DSMA(1)-AZ/page-1", "AC03DSMA(1)-AZ")</f>
        <v>AC03DSMA(1)-AZ</v>
      </c>
      <c r="B24239" s="3" t="str">
        <f>HYPERLINK("https://www.773grp.com/manufacturer/renesas-electronics-america-inc?pageNo=307", "Renesas Electronics")</f>
        <v>Renesas Electronics</v>
      </c>
      <c r="C24239" s="6">
        <v>1087</v>
      </c>
      <c r="D24239" s="7">
        <v>3.48</v>
      </c>
    </row>
    <row r="24240" spans="1:4" x14ac:dyDescent="0.25">
      <c r="A24240" t="str">
        <f>HYPERLINK("https://www.773grp.com/globalSearch/BCR8CM-12LA-A6#B00/page-1", "BCR8CM-12LA-A6#B00")</f>
        <v>BCR8CM-12LA-A6#B00</v>
      </c>
      <c r="B24240" s="3" t="str">
        <f>HYPERLINK("https://www.773grp.com/manufacturer/renesas-electronics-america-inc?pageNo=308", "Renesas Electronics")</f>
        <v>Renesas Electronics</v>
      </c>
      <c r="C24240" s="6">
        <v>4588</v>
      </c>
      <c r="D24240" s="7">
        <v>3.48</v>
      </c>
    </row>
    <row r="24241" spans="1:4" x14ac:dyDescent="0.25">
      <c r="A24241" t="str">
        <f>HYPERLINK("https://www.773grp.com/globalSearch/CR6PM-12A/page-1", "CR6PM-12A")</f>
        <v>CR6PM-12A</v>
      </c>
      <c r="B24241" s="3" t="str">
        <f>HYPERLINK("https://www.773grp.com/manufacturer/renesas-electronics-america-inc?pageNo=309", "Renesas Electronics")</f>
        <v>Renesas Electronics</v>
      </c>
      <c r="C24241" s="6">
        <v>3491</v>
      </c>
      <c r="D24241" s="7">
        <v>3.48</v>
      </c>
    </row>
    <row r="24242" spans="1:4" x14ac:dyDescent="0.25">
      <c r="A24242" t="str">
        <f>HYPERLINK("https://www.773grp.com/globalSearch/HA17903PSJ/page-1", "HA17903PSJ")</f>
        <v>HA17903PSJ</v>
      </c>
      <c r="B24242" s="3" t="str">
        <f>HYPERLINK("https://www.773grp.com/manufacturer/renesas-electronics-america-inc?pageNo=310", "Renesas Electronics")</f>
        <v>Renesas Electronics</v>
      </c>
      <c r="C24242" s="6">
        <v>6000</v>
      </c>
      <c r="D24242" s="7">
        <v>3.48</v>
      </c>
    </row>
    <row r="24243" spans="1:4" x14ac:dyDescent="0.25">
      <c r="A24243" t="str">
        <f>HYPERLINK("https://www.773grp.com/globalSearch/HAT1038RJ-EL/page-1", "HAT1038RJ-EL")</f>
        <v>HAT1038RJ-EL</v>
      </c>
      <c r="B24243" s="3" t="str">
        <f>HYPERLINK("https://www.773grp.com/manufacturer/renesas-electronics-america-inc?pageNo=311", "Renesas Electronics")</f>
        <v>Renesas Electronics</v>
      </c>
      <c r="C24243" s="6">
        <v>20000</v>
      </c>
      <c r="D24243" s="7">
        <v>3.48</v>
      </c>
    </row>
    <row r="24244" spans="1:4" x14ac:dyDescent="0.25">
      <c r="A24244" t="str">
        <f>HYPERLINK("https://www.773grp.com/globalSearch/HAT2035R-EL-E/page-1", "HAT2035R-EL-E")</f>
        <v>HAT2035R-EL-E</v>
      </c>
      <c r="B24244" s="3" t="str">
        <f>HYPERLINK("https://www.773grp.com/manufacturer/renesas-electronics-america-inc?pageNo=312", "Renesas Electronics")</f>
        <v>Renesas Electronics</v>
      </c>
      <c r="C24244" s="6">
        <v>2500</v>
      </c>
      <c r="D24244" s="7">
        <v>3.48</v>
      </c>
    </row>
    <row r="24245" spans="1:4" x14ac:dyDescent="0.25">
      <c r="A24245" t="str">
        <f>HYPERLINK("https://www.773grp.com/globalSearch/2SB1098(6)-AZ/page-1", "2SB1098(6)-AZ")</f>
        <v>2SB1098(6)-AZ</v>
      </c>
      <c r="B24245" s="3" t="str">
        <f>HYPERLINK("https://www.773grp.com/manufacturer/renesas-electronics-america-inc?pageNo=313", "Renesas Electronics")</f>
        <v>Renesas Electronics</v>
      </c>
      <c r="C24245" s="6">
        <v>3160</v>
      </c>
      <c r="D24245" s="7">
        <v>3.15</v>
      </c>
    </row>
    <row r="24246" spans="1:4" x14ac:dyDescent="0.25">
      <c r="A24246" t="str">
        <f>HYPERLINK("https://www.773grp.com/globalSearch/RJP3063DPP-00#T2/page-1", "RJP3063DPP-00#T2")</f>
        <v>RJP3063DPP-00#T2</v>
      </c>
      <c r="B24246" s="3" t="str">
        <f>HYPERLINK("https://www.773grp.com/manufacturer/renesas-electronics-america-inc?pageNo=314", "Renesas Electronics")</f>
        <v>Renesas Electronics</v>
      </c>
      <c r="C24246" s="6">
        <v>112</v>
      </c>
      <c r="D24246" s="7">
        <v>3.15</v>
      </c>
    </row>
    <row r="24247" spans="1:4" x14ac:dyDescent="0.25">
      <c r="A24247" t="str">
        <f>HYPERLINK("https://www.773grp.com/globalSearch/2SK3354-Z-E1/page-1", "2SK3354-Z-E1")</f>
        <v>2SK3354-Z-E1</v>
      </c>
      <c r="B24247" s="3" t="str">
        <f>HYPERLINK("https://www.773grp.com/manufacturer/renesas-electronics-america-inc?pageNo=315", "Renesas Electronics")</f>
        <v>Renesas Electronics</v>
      </c>
      <c r="C24247" s="6">
        <v>7000</v>
      </c>
      <c r="D24247" s="7">
        <v>3.18</v>
      </c>
    </row>
    <row r="24248" spans="1:4" x14ac:dyDescent="0.25">
      <c r="A24248" t="str">
        <f>HYPERLINK("https://www.773grp.com/globalSearch/AC08FGM(YC)-AZ/page-1", "AC08FGM(YC)-AZ")</f>
        <v>AC08FGM(YC)-AZ</v>
      </c>
      <c r="B24248" s="3" t="str">
        <f>HYPERLINK("https://www.773grp.com/manufacturer/renesas-electronics-america-inc?pageNo=316", "Renesas Electronics")</f>
        <v>Renesas Electronics</v>
      </c>
      <c r="C24248" s="6">
        <v>571</v>
      </c>
      <c r="D24248" s="7">
        <v>3.18</v>
      </c>
    </row>
    <row r="24249" spans="1:4" x14ac:dyDescent="0.25">
      <c r="A24249" t="str">
        <f>HYPERLINK("https://www.773grp.com/globalSearch/74AC139FPEL-E/page-1", "74AC139FPEL-E")</f>
        <v>74AC139FPEL-E</v>
      </c>
      <c r="B24249" s="3" t="str">
        <f>HYPERLINK("https://www.773grp.com/manufacturer/renesas-electronics-america-inc?pageNo=317", "Renesas Electronics")</f>
        <v>Renesas Electronics</v>
      </c>
      <c r="C24249" s="6">
        <v>10000</v>
      </c>
      <c r="D24249" s="7">
        <v>3.53</v>
      </c>
    </row>
    <row r="24250" spans="1:4" x14ac:dyDescent="0.25">
      <c r="A24250" t="str">
        <f>HYPERLINK("https://www.773grp.com/globalSearch/74HC194P-E/page-1", "74HC194P-E")</f>
        <v>74HC194P-E</v>
      </c>
      <c r="B24250" s="3" t="str">
        <f>HYPERLINK("https://www.773grp.com/manufacturer/renesas-electronics-america-inc?pageNo=318", "Renesas Electronics")</f>
        <v>Renesas Electronics</v>
      </c>
      <c r="C24250" s="6">
        <v>2000</v>
      </c>
      <c r="D24250" s="7">
        <v>3.53</v>
      </c>
    </row>
    <row r="24251" spans="1:4" x14ac:dyDescent="0.25">
      <c r="A24251" t="str">
        <f>HYPERLINK("https://www.773grp.com/globalSearch/74LS148P-E/page-1", "74LS148P-E")</f>
        <v>74LS148P-E</v>
      </c>
      <c r="B24251" s="3" t="str">
        <f>HYPERLINK("https://www.773grp.com/manufacturer/renesas-electronics-america-inc?pageNo=319", "Renesas Electronics")</f>
        <v>Renesas Electronics</v>
      </c>
      <c r="C24251" s="6">
        <v>7000</v>
      </c>
      <c r="D24251" s="7">
        <v>3.53</v>
      </c>
    </row>
    <row r="24252" spans="1:4" x14ac:dyDescent="0.25">
      <c r="A24252" t="str">
        <f>HYPERLINK("https://www.773grp.com/globalSearch/74LS192P-E/page-1", "74LS192P-E")</f>
        <v>74LS192P-E</v>
      </c>
      <c r="B24252" s="3" t="str">
        <f>HYPERLINK("https://www.773grp.com/manufacturer/renesas-electronics-america-inc?pageNo=320", "Renesas Electronics")</f>
        <v>Renesas Electronics</v>
      </c>
      <c r="C24252" s="6">
        <v>1950</v>
      </c>
      <c r="D24252" s="7">
        <v>3.53</v>
      </c>
    </row>
    <row r="24253" spans="1:4" x14ac:dyDescent="0.25">
      <c r="A24253" t="str">
        <f>HYPERLINK("https://www.773grp.com/globalSearch/M51944BL#TF0J/page-1", "M51944BL#TF0J")</f>
        <v>M51944BL#TF0J</v>
      </c>
      <c r="B24253" s="3" t="str">
        <f>HYPERLINK("https://www.773grp.com/manufacturer/renesas-electronics-america-inc?pageNo=321", "Renesas Electronics")</f>
        <v>Renesas Electronics</v>
      </c>
      <c r="C24253" s="6">
        <v>8004</v>
      </c>
      <c r="D24253" s="7">
        <v>3.53</v>
      </c>
    </row>
    <row r="24254" spans="1:4" x14ac:dyDescent="0.25">
      <c r="A24254" t="str">
        <f>HYPERLINK("https://www.773grp.com/globalSearch/R1EX24016ASAS0I#S1/page-1", "R1EX24016ASAS0I#S1")</f>
        <v>R1EX24016ASAS0I#S1</v>
      </c>
      <c r="B24254" s="3" t="str">
        <f>HYPERLINK("https://www.773grp.com/manufacturer/renesas-electronics-america-inc?pageNo=322", "Renesas Electronics")</f>
        <v>Renesas Electronics</v>
      </c>
      <c r="C24254" s="6">
        <v>2250</v>
      </c>
      <c r="D24254" s="7">
        <v>3.53</v>
      </c>
    </row>
    <row r="24255" spans="1:4" x14ac:dyDescent="0.25">
      <c r="A24255" t="str">
        <f>HYPERLINK("https://www.773grp.com/globalSearch/2SK1313-01L-E/page-1", "2SK1313-01L-E")</f>
        <v>2SK1313-01L-E</v>
      </c>
      <c r="B24255" s="3" t="str">
        <f>HYPERLINK("https://www.773grp.com/manufacturer/renesas-electronics-america-inc?pageNo=323", "Renesas Electronics")</f>
        <v>Renesas Electronics</v>
      </c>
      <c r="C24255" s="6">
        <v>281</v>
      </c>
      <c r="D24255" s="7">
        <v>3.21</v>
      </c>
    </row>
    <row r="24256" spans="1:4" x14ac:dyDescent="0.25">
      <c r="A24256" t="str">
        <f>HYPERLINK("https://www.773grp.com/globalSearch/2SK1313S-E/page-1", "2SK1313S-E")</f>
        <v>2SK1313S-E</v>
      </c>
      <c r="B24256" s="3" t="str">
        <f>HYPERLINK("https://www.773grp.com/manufacturer/renesas-electronics-america-inc?pageNo=324", "Renesas Electronics")</f>
        <v>Renesas Electronics</v>
      </c>
      <c r="C24256" s="6">
        <v>1000</v>
      </c>
      <c r="D24256" s="7">
        <v>3.21</v>
      </c>
    </row>
    <row r="24257" spans="1:4" x14ac:dyDescent="0.25">
      <c r="A24257" t="str">
        <f>HYPERLINK("https://www.773grp.com/globalSearch/2SK1313STR-E/page-1", "2SK1313STR-E")</f>
        <v>2SK1313STR-E</v>
      </c>
      <c r="B24257" s="3" t="str">
        <f>HYPERLINK("https://www.773grp.com/manufacturer/renesas-electronics-america-inc?pageNo=325", "Renesas Electronics")</f>
        <v>Renesas Electronics</v>
      </c>
      <c r="C24257" s="6">
        <v>5000</v>
      </c>
      <c r="D24257" s="7">
        <v>3.21</v>
      </c>
    </row>
    <row r="24258" spans="1:4" x14ac:dyDescent="0.25">
      <c r="A24258" t="str">
        <f>HYPERLINK("https://www.773grp.com/globalSearch/2SK2059L-E/page-1", "2SK2059L-E")</f>
        <v>2SK2059L-E</v>
      </c>
      <c r="B24258" s="3" t="str">
        <f>HYPERLINK("https://www.773grp.com/manufacturer/renesas-electronics-america-inc?pageNo=326", "Renesas Electronics")</f>
        <v>Renesas Electronics</v>
      </c>
      <c r="C24258" s="6">
        <v>986</v>
      </c>
      <c r="D24258" s="7">
        <v>3.21</v>
      </c>
    </row>
    <row r="24259" spans="1:4" x14ac:dyDescent="0.25">
      <c r="A24259" t="str">
        <f>HYPERLINK("https://www.773grp.com/globalSearch/8P2SMA-AZ/page-1", "8P2SMA-AZ")</f>
        <v>8P2SMA-AZ</v>
      </c>
      <c r="B24259" s="3" t="str">
        <f>HYPERLINK("https://www.773grp.com/manufacturer/renesas-electronics-america-inc?pageNo=327", "Renesas Electronics")</f>
        <v>Renesas Electronics</v>
      </c>
      <c r="C24259" s="6">
        <v>6172</v>
      </c>
      <c r="D24259" s="7">
        <v>3.21</v>
      </c>
    </row>
    <row r="24260" spans="1:4" x14ac:dyDescent="0.25">
      <c r="A24260" t="str">
        <f>HYPERLINK("https://www.773grp.com/globalSearch/AC12FGM(YN)-AZ/page-1", "AC12FGM(YN)-AZ")</f>
        <v>AC12FGM(YN)-AZ</v>
      </c>
      <c r="B24260" s="3" t="str">
        <f>HYPERLINK("https://www.773grp.com/manufacturer/renesas-electronics-america-inc?pageNo=328", "Renesas Electronics")</f>
        <v>Renesas Electronics</v>
      </c>
      <c r="C24260" s="6">
        <v>3846</v>
      </c>
      <c r="D24260" s="7">
        <v>3.21</v>
      </c>
    </row>
    <row r="24261" spans="1:4" x14ac:dyDescent="0.25">
      <c r="A24261" t="str">
        <f>HYPERLINK("https://www.773grp.com/globalSearch/FS10KMJ-2#B01/page-1", "FS10KMJ-2#B01")</f>
        <v>FS10KMJ-2#B01</v>
      </c>
      <c r="B24261" s="3" t="str">
        <f>HYPERLINK("https://www.773grp.com/manufacturer/renesas-electronics-america-inc?pageNo=329", "Renesas Electronics")</f>
        <v>Renesas Electronics</v>
      </c>
      <c r="C24261" s="6">
        <v>15398</v>
      </c>
      <c r="D24261" s="7">
        <v>3.21</v>
      </c>
    </row>
    <row r="24262" spans="1:4" x14ac:dyDescent="0.25">
      <c r="A24262" t="str">
        <f>HYPERLINK("https://www.773grp.com/globalSearch/HN58X2432FPI#S4/page-1", "HN58X2432FPI#S4")</f>
        <v>HN58X2432FPI#S4</v>
      </c>
      <c r="B24262" s="3" t="str">
        <f>HYPERLINK("https://www.773grp.com/manufacturer/renesas-electronics-america-inc?pageNo=330", "Renesas Electronics")</f>
        <v>Renesas Electronics</v>
      </c>
      <c r="C24262" s="6">
        <v>50000</v>
      </c>
      <c r="D24262" s="7">
        <v>3.21</v>
      </c>
    </row>
    <row r="24263" spans="1:4" x14ac:dyDescent="0.25">
      <c r="A24263" t="str">
        <f>HYPERLINK("https://www.773grp.com/globalSearch/RJK0222DNS-WS#J5/page-1", "RJK0222DNS-WS#J5")</f>
        <v>RJK0222DNS-WS#J5</v>
      </c>
      <c r="B24263" s="3" t="str">
        <f>HYPERLINK("https://www.773grp.com/manufacturer/renesas-electronics-america-inc?pageNo=331", "Renesas Electronics")</f>
        <v>Renesas Electronics</v>
      </c>
      <c r="C24263" s="6">
        <v>4900</v>
      </c>
      <c r="D24263" s="7">
        <v>3.21</v>
      </c>
    </row>
    <row r="24264" spans="1:4" x14ac:dyDescent="0.25">
      <c r="A24264" t="str">
        <f>HYPERLINK("https://www.773grp.com/globalSearch/74HC682P-E/page-1", "74HC682P-E")</f>
        <v>74HC682P-E</v>
      </c>
      <c r="B24264" s="3" t="str">
        <f>HYPERLINK("https://www.773grp.com/manufacturer/renesas-electronics-america-inc?pageNo=332", "Renesas Electronics")</f>
        <v>Renesas Electronics</v>
      </c>
      <c r="C24264" s="6">
        <v>5000</v>
      </c>
      <c r="D24264" s="7">
        <v>3.24</v>
      </c>
    </row>
    <row r="24265" spans="1:4" x14ac:dyDescent="0.25">
      <c r="A24265" t="str">
        <f>HYPERLINK("https://www.773grp.com/globalSearch/2SD1527-E/page-1", "2SD1527-E")</f>
        <v>2SD1527-E</v>
      </c>
      <c r="B24265" s="3" t="str">
        <f>HYPERLINK("https://www.773grp.com/manufacturer/renesas-electronics-america-inc?pageNo=333", "Renesas Electronics")</f>
        <v>Renesas Electronics</v>
      </c>
      <c r="C24265" s="6">
        <v>5485</v>
      </c>
      <c r="D24265" s="7">
        <v>3.6</v>
      </c>
    </row>
    <row r="24266" spans="1:4" x14ac:dyDescent="0.25">
      <c r="A24266" t="str">
        <f>HYPERLINK("https://www.773grp.com/globalSearch/3P6MH(AE)-AZ/page-1", "3P6MH(AE)-AZ")</f>
        <v>3P6MH(AE)-AZ</v>
      </c>
      <c r="B24266" s="3" t="str">
        <f>HYPERLINK("https://www.773grp.com/manufacturer/renesas-electronics-america-inc?pageNo=334", "Renesas Electronics")</f>
        <v>Renesas Electronics</v>
      </c>
      <c r="C24266" s="6">
        <v>214</v>
      </c>
      <c r="D24266" s="7">
        <v>3.6</v>
      </c>
    </row>
    <row r="24267" spans="1:4" x14ac:dyDescent="0.25">
      <c r="A24267" t="str">
        <f>HYPERLINK("https://www.773grp.com/globalSearch/HAT2085T-EL-E/page-1", "HAT2085T-EL-E")</f>
        <v>HAT2085T-EL-E</v>
      </c>
      <c r="B24267" s="3" t="str">
        <f>HYPERLINK("https://www.773grp.com/manufacturer/renesas-electronics-america-inc?pageNo=335", "Renesas Electronics")</f>
        <v>Renesas Electronics</v>
      </c>
      <c r="C24267" s="6">
        <v>21000</v>
      </c>
      <c r="D24267" s="7">
        <v>3.6</v>
      </c>
    </row>
    <row r="24268" spans="1:4" x14ac:dyDescent="0.25">
      <c r="A24268" t="str">
        <f>HYPERLINK("https://www.773grp.com/globalSearch/M62001FP#CF0J/page-1", "M62001FP#CF0J")</f>
        <v>M62001FP#CF0J</v>
      </c>
      <c r="B24268" s="3" t="str">
        <f>HYPERLINK("https://www.773grp.com/manufacturer/renesas-electronics-america-inc?pageNo=336", "Renesas Electronics")</f>
        <v>Renesas Electronics</v>
      </c>
      <c r="C24268" s="6">
        <v>3000</v>
      </c>
      <c r="D24268" s="7">
        <v>3.6</v>
      </c>
    </row>
    <row r="24269" spans="1:4" x14ac:dyDescent="0.25">
      <c r="A24269" t="str">
        <f>HYPERLINK("https://www.773grp.com/globalSearch/R1EX24128ASA00A#S0/page-1", "R1EX24128ASA00A#S0")</f>
        <v>R1EX24128ASA00A#S0</v>
      </c>
      <c r="B24269" s="3" t="str">
        <f>HYPERLINK("https://www.773grp.com/manufacturer/renesas-electronics-america-inc?pageNo=337", "Renesas Electronics")</f>
        <v>Renesas Electronics</v>
      </c>
      <c r="C24269" s="6">
        <v>2500</v>
      </c>
      <c r="D24269" s="7">
        <v>3.6</v>
      </c>
    </row>
    <row r="24270" spans="1:4" x14ac:dyDescent="0.25">
      <c r="A24270" t="str">
        <f>HYPERLINK("https://www.773grp.com/globalSearch/RJK0380DPA-00#J53/page-1", "RJK0380DPA-00#J53")</f>
        <v>RJK0380DPA-00#J53</v>
      </c>
      <c r="B24270" s="3" t="str">
        <f>HYPERLINK("https://www.773grp.com/manufacturer/renesas-electronics-america-inc?pageNo=338", "Renesas Electronics")</f>
        <v>Renesas Electronics</v>
      </c>
      <c r="C24270" s="6">
        <v>33000</v>
      </c>
      <c r="D24270" s="7">
        <v>3.6</v>
      </c>
    </row>
    <row r="24271" spans="1:4" x14ac:dyDescent="0.25">
      <c r="A24271" t="str">
        <f>HYPERLINK("https://www.773grp.com/globalSearch/RJK0380DPA-02#J0/page-1", "RJK0380DPA-02#J0")</f>
        <v>RJK0380DPA-02#J0</v>
      </c>
      <c r="B24271" s="3" t="str">
        <f>HYPERLINK("https://www.773grp.com/manufacturer/renesas-electronics-america-inc?pageNo=339", "Renesas Electronics")</f>
        <v>Renesas Electronics</v>
      </c>
      <c r="C24271" s="6">
        <v>15000</v>
      </c>
      <c r="D24271" s="7">
        <v>3.6</v>
      </c>
    </row>
    <row r="24272" spans="1:4" x14ac:dyDescent="0.25">
      <c r="A24272" t="str">
        <f>HYPERLINK("https://www.773grp.com/globalSearch/RJK0380DPA-WS#J53/page-1", "RJK0380DPA-WS#J53")</f>
        <v>RJK0380DPA-WS#J53</v>
      </c>
      <c r="B24272" s="3" t="str">
        <f>HYPERLINK("https://www.773grp.com/manufacturer/renesas-electronics-america-inc?pageNo=340", "Renesas Electronics")</f>
        <v>Renesas Electronics</v>
      </c>
      <c r="C24272" s="6">
        <v>320</v>
      </c>
      <c r="D24272" s="7">
        <v>3.6</v>
      </c>
    </row>
    <row r="24273" spans="1:4" x14ac:dyDescent="0.25">
      <c r="A24273" t="str">
        <f>HYPERLINK("https://www.773grp.com/globalSearch/RJK6026DPP-00#T2/page-1", "RJK6026DPP-00#T2")</f>
        <v>RJK6026DPP-00#T2</v>
      </c>
      <c r="B24273" s="3" t="str">
        <f>HYPERLINK("https://www.773grp.com/manufacturer/renesas-electronics-america-inc?pageNo=341", "Renesas Electronics")</f>
        <v>Renesas Electronics</v>
      </c>
      <c r="C24273" s="6">
        <v>26155</v>
      </c>
      <c r="D24273" s="7">
        <v>3.6</v>
      </c>
    </row>
    <row r="24274" spans="1:4" x14ac:dyDescent="0.25">
      <c r="A24274" t="str">
        <f>HYPERLINK("https://www.773grp.com/globalSearch/AC10DSMA-AZ/page-1", "AC10DSMA-AZ")</f>
        <v>AC10DSMA-AZ</v>
      </c>
      <c r="B24274" s="3" t="str">
        <f>HYPERLINK("https://www.773grp.com/manufacturer/renesas-electronics-america-inc?pageNo=342", "Renesas Electronics")</f>
        <v>Renesas Electronics</v>
      </c>
      <c r="C24274" s="6">
        <v>471</v>
      </c>
      <c r="D24274" s="7">
        <v>3.26</v>
      </c>
    </row>
    <row r="24275" spans="1:4" x14ac:dyDescent="0.25">
      <c r="A24275" t="str">
        <f>HYPERLINK("https://www.773grp.com/globalSearch/AC12DSMA-AZ/page-1", "AC12DSMA-AZ")</f>
        <v>AC12DSMA-AZ</v>
      </c>
      <c r="B24275" s="3" t="str">
        <f>HYPERLINK("https://www.773grp.com/manufacturer/renesas-electronics-america-inc?pageNo=343", "Renesas Electronics")</f>
        <v>Renesas Electronics</v>
      </c>
      <c r="C24275" s="6">
        <v>1317</v>
      </c>
      <c r="D24275" s="7">
        <v>3.26</v>
      </c>
    </row>
    <row r="24276" spans="1:4" x14ac:dyDescent="0.25">
      <c r="A24276" t="str">
        <f>HYPERLINK("https://www.773grp.com/globalSearch/BCR20AM-12LB#B01/page-1", "BCR20AM-12LB#B01")</f>
        <v>BCR20AM-12LB#B01</v>
      </c>
      <c r="B24276" s="3" t="str">
        <f>HYPERLINK("https://www.773grp.com/manufacturer/renesas-electronics-america-inc?pageNo=344", "Renesas Electronics")</f>
        <v>Renesas Electronics</v>
      </c>
      <c r="C24276" s="6">
        <v>16559</v>
      </c>
      <c r="D24276" s="7">
        <v>3.26</v>
      </c>
    </row>
    <row r="24277" spans="1:4" x14ac:dyDescent="0.25">
      <c r="A24277" t="str">
        <f>HYPERLINK("https://www.773grp.com/globalSearch/CR5CS-8-A1#F00/page-1", "CR5CS-8-A1#F00")</f>
        <v>CR5CS-8-A1#F00</v>
      </c>
      <c r="B24277" s="3" t="str">
        <f>HYPERLINK("https://www.773grp.com/manufacturer/renesas-electronics-america-inc?pageNo=345", "Renesas Electronics")</f>
        <v>Renesas Electronics</v>
      </c>
      <c r="C24277" s="6">
        <v>140733</v>
      </c>
      <c r="D24277" s="7">
        <v>3.26</v>
      </c>
    </row>
    <row r="24278" spans="1:4" x14ac:dyDescent="0.25">
      <c r="A24278" t="str">
        <f>HYPERLINK("https://www.773grp.com/globalSearch/D74HV8T04T#H0/page-1", "D74HV8T04T#H0")</f>
        <v>D74HV8T04T#H0</v>
      </c>
      <c r="B24278" s="3" t="str">
        <f>HYPERLINK("https://www.773grp.com/manufacturer/renesas-electronics-america-inc?pageNo=346", "Renesas Electronics")</f>
        <v>Renesas Electronics</v>
      </c>
      <c r="C24278" s="6">
        <v>30000</v>
      </c>
      <c r="D24278" s="7">
        <v>3.26</v>
      </c>
    </row>
    <row r="24279" spans="1:4" x14ac:dyDescent="0.25">
      <c r="A24279" t="str">
        <f>HYPERLINK("https://www.773grp.com/globalSearch/HAT2279N-EL-E/page-1", "HAT2279N-EL-E")</f>
        <v>HAT2279N-EL-E</v>
      </c>
      <c r="B24279" s="3" t="str">
        <f>HYPERLINK("https://www.773grp.com/manufacturer/renesas-electronics-america-inc?pageNo=347", "Renesas Electronics")</f>
        <v>Renesas Electronics</v>
      </c>
      <c r="C24279" s="6">
        <v>2500</v>
      </c>
      <c r="D24279" s="7">
        <v>3.26</v>
      </c>
    </row>
    <row r="24280" spans="1:4" x14ac:dyDescent="0.25">
      <c r="A24280" t="str">
        <f>HYPERLINK("https://www.773grp.com/globalSearch/M51996P/page-1", "M51996P")</f>
        <v>M51996P</v>
      </c>
      <c r="B24280" s="3" t="str">
        <f>HYPERLINK("https://www.773grp.com/manufacturer/renesas-electronics-america-inc?pageNo=348", "Renesas Electronics")</f>
        <v>Renesas Electronics</v>
      </c>
      <c r="C24280" s="6">
        <v>2153</v>
      </c>
      <c r="D24280" s="7">
        <v>3.26</v>
      </c>
    </row>
    <row r="24281" spans="1:4" x14ac:dyDescent="0.25">
      <c r="A24281" t="str">
        <f>HYPERLINK("https://www.773grp.com/globalSearch/R5F21331CDFP#U0/page-1", "R5F21331CDFP#U0")</f>
        <v>R5F21331CDFP#U0</v>
      </c>
      <c r="B24281" s="3" t="str">
        <f>HYPERLINK("https://www.773grp.com/manufacturer/renesas-electronics-america-inc?pageNo=349", "Renesas Electronics")</f>
        <v>Renesas Electronics</v>
      </c>
      <c r="C24281" s="6">
        <v>880</v>
      </c>
      <c r="D24281" s="7">
        <v>3.26</v>
      </c>
    </row>
    <row r="24282" spans="1:4" x14ac:dyDescent="0.25">
      <c r="A24282" t="str">
        <f>HYPERLINK("https://www.773grp.com/globalSearch/RJH30E2DPP-00#T2/page-1", "RJH30E2DPP-00#T2")</f>
        <v>RJH30E2DPP-00#T2</v>
      </c>
      <c r="B24282" s="3" t="str">
        <f>HYPERLINK("https://www.773grp.com/manufacturer/renesas-electronics-america-inc?pageNo=350", "Renesas Electronics")</f>
        <v>Renesas Electronics</v>
      </c>
      <c r="C24282" s="6">
        <v>2995</v>
      </c>
      <c r="D24282" s="7">
        <v>3.26</v>
      </c>
    </row>
    <row r="24283" spans="1:4" x14ac:dyDescent="0.25">
      <c r="A24283" t="str">
        <f>HYPERLINK("https://www.773grp.com/globalSearch/RJH30E2DPP-Z0#T2/page-1", "RJH30E2DPP-Z0#T2")</f>
        <v>RJH30E2DPP-Z0#T2</v>
      </c>
      <c r="B24283" s="3" t="str">
        <f>HYPERLINK("https://www.773grp.com/manufacturer/renesas-electronics-america-inc?pageNo=351", "Renesas Electronics")</f>
        <v>Renesas Electronics</v>
      </c>
      <c r="C24283" s="6">
        <v>4839</v>
      </c>
      <c r="D24283" s="7">
        <v>3.26</v>
      </c>
    </row>
    <row r="24284" spans="1:4" x14ac:dyDescent="0.25">
      <c r="A24284" t="str">
        <f>HYPERLINK("https://www.773grp.com/globalSearch/26LS32AP-E/page-1", "26LS32AP-E")</f>
        <v>26LS32AP-E</v>
      </c>
      <c r="B24284" s="3" t="str">
        <f>HYPERLINK("https://www.773grp.com/manufacturer/renesas-electronics-america-inc?pageNo=352", "Renesas Electronics")</f>
        <v>Renesas Electronics</v>
      </c>
      <c r="C24284" s="6">
        <v>2000</v>
      </c>
      <c r="D24284" s="7">
        <v>3.29</v>
      </c>
    </row>
    <row r="24285" spans="1:4" x14ac:dyDescent="0.25">
      <c r="A24285" t="str">
        <f>HYPERLINK("https://www.773grp.com/globalSearch/26LS32FP-E/page-1", "26LS32FP-E")</f>
        <v>26LS32FP-E</v>
      </c>
      <c r="B24285" s="3" t="str">
        <f>HYPERLINK("https://www.773grp.com/manufacturer/renesas-electronics-america-inc?pageNo=353", "Renesas Electronics")</f>
        <v>Renesas Electronics</v>
      </c>
      <c r="C24285" s="6">
        <v>129</v>
      </c>
      <c r="D24285" s="7">
        <v>3.29</v>
      </c>
    </row>
    <row r="24286" spans="1:4" x14ac:dyDescent="0.25">
      <c r="A24286" t="str">
        <f>HYPERLINK("https://www.773grp.com/globalSearch/74BC541AFP-E/page-1", "74BC541AFP-E")</f>
        <v>74BC541AFP-E</v>
      </c>
      <c r="B24286" s="3" t="str">
        <f>HYPERLINK("https://www.773grp.com/manufacturer/renesas-electronics-america-inc?pageNo=354", "Renesas Electronics")</f>
        <v>Renesas Electronics</v>
      </c>
      <c r="C24286" s="6">
        <v>748</v>
      </c>
      <c r="D24286" s="7">
        <v>3.29</v>
      </c>
    </row>
    <row r="24287" spans="1:4" x14ac:dyDescent="0.25">
      <c r="A24287" t="str">
        <f>HYPERLINK("https://www.773grp.com/globalSearch/AC10FSMA-AZ/page-1", "AC10FSMA-AZ")</f>
        <v>AC10FSMA-AZ</v>
      </c>
      <c r="B24287" s="3" t="str">
        <f>HYPERLINK("https://www.773grp.com/manufacturer/renesas-electronics-america-inc?pageNo=355", "Renesas Electronics")</f>
        <v>Renesas Electronics</v>
      </c>
      <c r="C24287" s="6">
        <v>149</v>
      </c>
      <c r="D24287" s="7">
        <v>3.29</v>
      </c>
    </row>
    <row r="24288" spans="1:4" x14ac:dyDescent="0.25">
      <c r="A24288" t="str">
        <f>HYPERLINK("https://www.773grp.com/globalSearch/R2A15120FP#W00T/page-1", "R2A15120FP#W00T")</f>
        <v>R2A15120FP#W00T</v>
      </c>
      <c r="B24288" s="3" t="str">
        <f>HYPERLINK("https://www.773grp.com/manufacturer/renesas-electronics-america-inc?pageNo=356", "Renesas Electronics")</f>
        <v>Renesas Electronics</v>
      </c>
      <c r="C24288" s="6">
        <v>2500</v>
      </c>
      <c r="D24288" s="7">
        <v>3.29</v>
      </c>
    </row>
    <row r="24289" spans="1:4" x14ac:dyDescent="0.25">
      <c r="A24289" t="str">
        <f>HYPERLINK("https://www.773grp.com/globalSearch/74AC125TELL-E/page-1", "74AC125TELL-E")</f>
        <v>74AC125TELL-E</v>
      </c>
      <c r="B24289" s="3" t="str">
        <f>HYPERLINK("https://www.773grp.com/manufacturer/renesas-electronics-america-inc?pageNo=357", "Renesas Electronics")</f>
        <v>Renesas Electronics</v>
      </c>
      <c r="C24289" s="6">
        <v>2000</v>
      </c>
      <c r="D24289" s="7">
        <v>3.65</v>
      </c>
    </row>
    <row r="24290" spans="1:4" x14ac:dyDescent="0.25">
      <c r="A24290" t="str">
        <f>HYPERLINK("https://www.773grp.com/globalSearch/74HC670FP-E/page-1", "74HC670FP-E")</f>
        <v>74HC670FP-E</v>
      </c>
      <c r="B24290" s="3" t="str">
        <f>HYPERLINK("https://www.773grp.com/manufacturer/renesas-electronics-america-inc?pageNo=358", "Renesas Electronics")</f>
        <v>Renesas Electronics</v>
      </c>
      <c r="C24290" s="6">
        <v>14000</v>
      </c>
      <c r="D24290" s="7">
        <v>3.65</v>
      </c>
    </row>
    <row r="24291" spans="1:4" x14ac:dyDescent="0.25">
      <c r="A24291" t="str">
        <f>HYPERLINK("https://www.773grp.com/globalSearch/74HC670P-E/page-1", "74HC670P-E")</f>
        <v>74HC670P-E</v>
      </c>
      <c r="B24291" s="3" t="str">
        <f>HYPERLINK("https://www.773grp.com/manufacturer/renesas-electronics-america-inc?pageNo=359", "Renesas Electronics")</f>
        <v>Renesas Electronics</v>
      </c>
      <c r="C24291" s="6">
        <v>8000</v>
      </c>
      <c r="D24291" s="7">
        <v>3.65</v>
      </c>
    </row>
    <row r="24292" spans="1:4" x14ac:dyDescent="0.25">
      <c r="A24292" t="str">
        <f>HYPERLINK("https://www.773grp.com/globalSearch/BCR8PM-12LA-A8/page-1", "BCR8PM-12LA-A8")</f>
        <v>BCR8PM-12LA-A8</v>
      </c>
      <c r="B24292" s="3" t="str">
        <f>HYPERLINK("https://www.773grp.com/manufacturer/renesas-electronics-america-inc?pageNo=360", "Renesas Electronics")</f>
        <v>Renesas Electronics</v>
      </c>
      <c r="C24292" s="6">
        <v>82688</v>
      </c>
      <c r="D24292" s="7">
        <v>3.65</v>
      </c>
    </row>
    <row r="24293" spans="1:4" x14ac:dyDescent="0.25">
      <c r="A24293" t="str">
        <f>HYPERLINK("https://www.773grp.com/globalSearch/M52461GP#TF0J/page-1", "M52461GP#TF0J")</f>
        <v>M52461GP#TF0J</v>
      </c>
      <c r="B24293" s="3" t="str">
        <f>HYPERLINK("https://www.773grp.com/manufacturer/renesas-electronics-america-inc?pageNo=361", "Renesas Electronics")</f>
        <v>Renesas Electronics</v>
      </c>
      <c r="C24293" s="6">
        <v>2356</v>
      </c>
      <c r="D24293" s="7">
        <v>3.65</v>
      </c>
    </row>
    <row r="24294" spans="1:4" x14ac:dyDescent="0.25">
      <c r="A24294" t="str">
        <f>HYPERLINK("https://www.773grp.com/globalSearch/R2A10412SP#W00J/page-1", "R2A10412SP#W00J")</f>
        <v>R2A10412SP#W00J</v>
      </c>
      <c r="B24294" s="3" t="str">
        <f>HYPERLINK("https://www.773grp.com/manufacturer/renesas-electronics-america-inc?pageNo=362", "Renesas Electronics")</f>
        <v>Renesas Electronics</v>
      </c>
      <c r="C24294" s="6">
        <v>5000</v>
      </c>
      <c r="D24294" s="7">
        <v>3.65</v>
      </c>
    </row>
    <row r="24295" spans="1:4" x14ac:dyDescent="0.25">
      <c r="A24295" t="str">
        <f>HYPERLINK("https://www.773grp.com/globalSearch/2SA1441(2)-S6-AZ/page-1", "2SA1441(2)-S6-AZ")</f>
        <v>2SA1441(2)-S6-AZ</v>
      </c>
      <c r="B24295" s="3" t="str">
        <f>HYPERLINK("https://www.773grp.com/manufacturer/renesas-electronics-america-inc?pageNo=363", "Renesas Electronics")</f>
        <v>Renesas Electronics</v>
      </c>
      <c r="C24295" s="6">
        <v>6084</v>
      </c>
      <c r="D24295" s="7">
        <v>3.33</v>
      </c>
    </row>
    <row r="24296" spans="1:4" x14ac:dyDescent="0.25">
      <c r="A24296" t="str">
        <f>HYPERLINK("https://www.773grp.com/globalSearch/2SA1441(5)-S6-AZ/page-1", "2SA1441(5)-S6-AZ")</f>
        <v>2SA1441(5)-S6-AZ</v>
      </c>
      <c r="B24296" s="3" t="str">
        <f>HYPERLINK("https://www.773grp.com/manufacturer/renesas-electronics-america-inc?pageNo=364", "Renesas Electronics")</f>
        <v>Renesas Electronics</v>
      </c>
      <c r="C24296" s="6">
        <v>6805</v>
      </c>
      <c r="D24296" s="7">
        <v>3.33</v>
      </c>
    </row>
    <row r="24297" spans="1:4" x14ac:dyDescent="0.25">
      <c r="A24297" t="str">
        <f>HYPERLINK("https://www.773grp.com/globalSearch/2SB1400-E#0205/page-1", "2SB1400-E#0205")</f>
        <v>2SB1400-E#0205</v>
      </c>
      <c r="B24297" s="3" t="str">
        <f>HYPERLINK("https://www.773grp.com/manufacturer/renesas-electronics-america-inc?pageNo=365", "Renesas Electronics")</f>
        <v>Renesas Electronics</v>
      </c>
      <c r="C24297" s="6">
        <v>100</v>
      </c>
      <c r="D24297" s="7">
        <v>3.33</v>
      </c>
    </row>
    <row r="24298" spans="1:4" x14ac:dyDescent="0.25">
      <c r="A24298" t="str">
        <f>HYPERLINK("https://www.773grp.com/globalSearch/2SJ142-AZ/page-1", "2SJ142-AZ")</f>
        <v>2SJ142-AZ</v>
      </c>
      <c r="B24298" s="3" t="str">
        <f>HYPERLINK("https://www.773grp.com/manufacturer/renesas-electronics-america-inc?pageNo=366", "Renesas Electronics")</f>
        <v>Renesas Electronics</v>
      </c>
      <c r="C24298" s="6">
        <v>443</v>
      </c>
      <c r="D24298" s="7">
        <v>3.33</v>
      </c>
    </row>
    <row r="24299" spans="1:4" x14ac:dyDescent="0.25">
      <c r="A24299" t="str">
        <f>HYPERLINK("https://www.773grp.com/globalSearch/AC08DSMA-AZ/page-1", "AC08DSMA-AZ")</f>
        <v>AC08DSMA-AZ</v>
      </c>
      <c r="B24299" s="3" t="str">
        <f>HYPERLINK("https://www.773grp.com/manufacturer/renesas-electronics-america-inc?pageNo=367", "Renesas Electronics")</f>
        <v>Renesas Electronics</v>
      </c>
      <c r="C24299" s="6">
        <v>298</v>
      </c>
      <c r="D24299" s="7">
        <v>3.33</v>
      </c>
    </row>
    <row r="24300" spans="1:4" x14ac:dyDescent="0.25">
      <c r="A24300" t="str">
        <f>HYPERLINK("https://www.773grp.com/globalSearch/CR12CM-12A#C0G/page-1", "CR12CM-12A#C0G")</f>
        <v>CR12CM-12A#C0G</v>
      </c>
      <c r="B24300" s="3" t="str">
        <f>HYPERLINK("https://www.773grp.com/manufacturer/renesas-electronics-america-inc?pageNo=368", "Renesas Electronics")</f>
        <v>Renesas Electronics</v>
      </c>
      <c r="C24300" s="6">
        <v>560</v>
      </c>
      <c r="D24300" s="7">
        <v>3.33</v>
      </c>
    </row>
    <row r="24301" spans="1:4" x14ac:dyDescent="0.25">
      <c r="A24301" t="str">
        <f>HYPERLINK("https://www.773grp.com/globalSearch/CR12CM-12A#P01/page-1", "CR12CM-12A#P01")</f>
        <v>CR12CM-12A#P01</v>
      </c>
      <c r="B24301" s="3" t="str">
        <f>HYPERLINK("https://www.773grp.com/manufacturer/renesas-electronics-america-inc?pageNo=369", "Renesas Electronics")</f>
        <v>Renesas Electronics</v>
      </c>
      <c r="C24301" s="6">
        <v>8</v>
      </c>
      <c r="D24301" s="7">
        <v>3.33</v>
      </c>
    </row>
    <row r="24302" spans="1:4" x14ac:dyDescent="0.25">
      <c r="A24302" t="str">
        <f>HYPERLINK("https://www.773grp.com/globalSearch/M54134GP#CB0J/page-1", "M54134GP#CB0J")</f>
        <v>M54134GP#CB0J</v>
      </c>
      <c r="B24302" s="3" t="str">
        <f>HYPERLINK("https://www.773grp.com/manufacturer/renesas-electronics-america-inc?pageNo=370", "Renesas Electronics")</f>
        <v>Renesas Electronics</v>
      </c>
      <c r="C24302" s="6">
        <v>20000</v>
      </c>
      <c r="D24302" s="7">
        <v>3.33</v>
      </c>
    </row>
    <row r="24303" spans="1:4" x14ac:dyDescent="0.25">
      <c r="A24303" t="str">
        <f>HYPERLINK("https://www.773grp.com/globalSearch/2SA1845-T-AZ/page-1", "2SA1845-T-AZ")</f>
        <v>2SA1845-T-AZ</v>
      </c>
      <c r="B24303" s="3" t="str">
        <f>HYPERLINK("https://www.773grp.com/manufacturer/renesas-electronics-america-inc?pageNo=371", "Renesas Electronics")</f>
        <v>Renesas Electronics</v>
      </c>
      <c r="C24303" s="6">
        <v>5000</v>
      </c>
      <c r="D24303" s="7">
        <v>3.7</v>
      </c>
    </row>
    <row r="24304" spans="1:4" x14ac:dyDescent="0.25">
      <c r="A24304" t="str">
        <f>HYPERLINK("https://www.773grp.com/globalSearch/2SB1072STR-E/page-1", "2SB1072STR-E")</f>
        <v>2SB1072STR-E</v>
      </c>
      <c r="B24304" s="3" t="str">
        <f>HYPERLINK("https://www.773grp.com/manufacturer/renesas-electronics-america-inc?pageNo=372", "Renesas Electronics")</f>
        <v>Renesas Electronics</v>
      </c>
      <c r="C24304" s="6">
        <v>6000</v>
      </c>
      <c r="D24304" s="7">
        <v>3.7</v>
      </c>
    </row>
    <row r="24305" spans="1:4" x14ac:dyDescent="0.25">
      <c r="A24305" t="str">
        <f>HYPERLINK("https://www.773grp.com/globalSearch/M51943AL#TF0J/page-1", "M51943AL#TF0J")</f>
        <v>M51943AL#TF0J</v>
      </c>
      <c r="B24305" s="3" t="str">
        <f>HYPERLINK("https://www.773grp.com/manufacturer/renesas-electronics-america-inc?pageNo=373", "Renesas Electronics")</f>
        <v>Renesas Electronics</v>
      </c>
      <c r="C24305" s="6">
        <v>10614</v>
      </c>
      <c r="D24305" s="7">
        <v>3.7</v>
      </c>
    </row>
    <row r="24306" spans="1:4" x14ac:dyDescent="0.25">
      <c r="A24306" t="str">
        <f>HYPERLINK("https://www.773grp.com/globalSearch/M62009FP#TF0J/page-1", "M62009FP#TF0J")</f>
        <v>M62009FP#TF0J</v>
      </c>
      <c r="B24306" s="3" t="str">
        <f>HYPERLINK("https://www.773grp.com/manufacturer/renesas-electronics-america-inc?pageNo=374", "Renesas Electronics")</f>
        <v>Renesas Electronics</v>
      </c>
      <c r="C24306" s="6">
        <v>55</v>
      </c>
      <c r="D24306" s="7">
        <v>3.7</v>
      </c>
    </row>
    <row r="24307" spans="1:4" x14ac:dyDescent="0.25">
      <c r="A24307" t="str">
        <f>HYPERLINK("https://www.773grp.com/globalSearch/M62552FP#CF0J/page-1", "M62552FP#CF0J")</f>
        <v>M62552FP#CF0J</v>
      </c>
      <c r="B24307" s="3" t="str">
        <f>HYPERLINK("https://www.773grp.com/manufacturer/renesas-electronics-america-inc?pageNo=375", "Renesas Electronics")</f>
        <v>Renesas Electronics</v>
      </c>
      <c r="C24307" s="6">
        <v>9000</v>
      </c>
      <c r="D24307" s="7">
        <v>3.7</v>
      </c>
    </row>
    <row r="24308" spans="1:4" x14ac:dyDescent="0.25">
      <c r="A24308" t="str">
        <f>HYPERLINK("https://www.773grp.com/globalSearch/RJK0226DNS-WS#J5/page-1", "RJK0226DNS-WS#J5")</f>
        <v>RJK0226DNS-WS#J5</v>
      </c>
      <c r="B24308" s="3" t="str">
        <f>HYPERLINK("https://www.773grp.com/manufacturer/renesas-electronics-america-inc?pageNo=376", "Renesas Electronics")</f>
        <v>Renesas Electronics</v>
      </c>
      <c r="C24308" s="6">
        <v>2600</v>
      </c>
      <c r="D24308" s="7">
        <v>3.7</v>
      </c>
    </row>
    <row r="24309" spans="1:4" x14ac:dyDescent="0.25">
      <c r="A24309" t="str">
        <f>HYPERLINK("https://www.773grp.com/globalSearch/RJK03M0DPA-WS#J5A/page-1", "RJK03M0DPA-WS#J5A")</f>
        <v>RJK03M0DPA-WS#J5A</v>
      </c>
      <c r="B24309" s="3" t="str">
        <f>HYPERLINK("https://www.773grp.com/manufacturer/renesas-electronics-america-inc?pageNo=377", "Renesas Electronics")</f>
        <v>Renesas Electronics</v>
      </c>
      <c r="C24309" s="6">
        <v>1120</v>
      </c>
      <c r="D24309" s="7">
        <v>3.7</v>
      </c>
    </row>
    <row r="24310" spans="1:4" x14ac:dyDescent="0.25">
      <c r="A24310" t="str">
        <f>HYPERLINK("https://www.773grp.com/globalSearch/RJK03P6DPA-00#J5A/page-1", "RJK03P6DPA-00#J5A")</f>
        <v>RJK03P6DPA-00#J5A</v>
      </c>
      <c r="B24310" s="3" t="str">
        <f>HYPERLINK("https://www.773grp.com/manufacturer/renesas-electronics-america-inc?pageNo=378", "Renesas Electronics")</f>
        <v>Renesas Electronics</v>
      </c>
      <c r="C24310" s="6">
        <v>27000</v>
      </c>
      <c r="D24310" s="7">
        <v>3.7</v>
      </c>
    </row>
    <row r="24311" spans="1:4" x14ac:dyDescent="0.25">
      <c r="A24311" t="str">
        <f>HYPERLINK("https://www.773grp.com/globalSearch/RJK03P6DPA-WS#J5A/page-1", "RJK03P6DPA-WS#J5A")</f>
        <v>RJK03P6DPA-WS#J5A</v>
      </c>
      <c r="B24311" s="3" t="str">
        <f>HYPERLINK("https://www.773grp.com/manufacturer/renesas-electronics-america-inc?pageNo=379", "Renesas Electronics")</f>
        <v>Renesas Electronics</v>
      </c>
      <c r="C24311" s="6">
        <v>2750</v>
      </c>
      <c r="D24311" s="7">
        <v>3.7</v>
      </c>
    </row>
    <row r="24312" spans="1:4" x14ac:dyDescent="0.25">
      <c r="A24312" t="str">
        <f>HYPERLINK("https://www.773grp.com/globalSearch/RJP4002ANS-00#Q1/page-1", "RJP4002ANS-00#Q1")</f>
        <v>RJP4002ANS-00#Q1</v>
      </c>
      <c r="B24312" s="3" t="str">
        <f>HYPERLINK("https://www.773grp.com/manufacturer/renesas-electronics-america-inc?pageNo=380", "Renesas Electronics")</f>
        <v>Renesas Electronics</v>
      </c>
      <c r="C24312" s="6">
        <v>33000</v>
      </c>
      <c r="D24312" s="7">
        <v>3.7</v>
      </c>
    </row>
    <row r="24313" spans="1:4" x14ac:dyDescent="0.25">
      <c r="A24313" t="str">
        <f>HYPERLINK("https://www.773grp.com/globalSearch/RJP4003ANS-00#Q1/page-1", "RJP4003ANS-00#Q1")</f>
        <v>RJP4003ANS-00#Q1</v>
      </c>
      <c r="B24313" s="3" t="str">
        <f>HYPERLINK("https://www.773grp.com/manufacturer/renesas-electronics-america-inc?pageNo=381", "Renesas Electronics")</f>
        <v>Renesas Electronics</v>
      </c>
      <c r="C24313" s="6">
        <v>51000</v>
      </c>
      <c r="D24313" s="7">
        <v>3.7</v>
      </c>
    </row>
    <row r="24314" spans="1:4" x14ac:dyDescent="0.25">
      <c r="A24314" t="str">
        <f>HYPERLINK("https://www.773grp.com/globalSearch/8P4SMA(YK)-AZ/page-1", "8P4SMA(YK)-AZ")</f>
        <v>8P4SMA(YK)-AZ</v>
      </c>
      <c r="B24314" s="3" t="str">
        <f>HYPERLINK("https://www.773grp.com/manufacturer/renesas-electronics-america-inc?pageNo=382", "Renesas Electronics")</f>
        <v>Renesas Electronics</v>
      </c>
      <c r="C24314" s="6">
        <v>240</v>
      </c>
      <c r="D24314" s="7">
        <v>3.34</v>
      </c>
    </row>
    <row r="24315" spans="1:4" x14ac:dyDescent="0.25">
      <c r="A24315" t="str">
        <f>HYPERLINK("https://www.773grp.com/globalSearch/BCR8KM-12LA-AT#B00/page-1", "BCR8KM-12LA-AT#B00")</f>
        <v>BCR8KM-12LA-AT#B00</v>
      </c>
      <c r="B24315" s="3" t="str">
        <f>HYPERLINK("https://www.773grp.com/manufacturer/renesas-electronics-america-inc?pageNo=383", "Renesas Electronics")</f>
        <v>Renesas Electronics</v>
      </c>
      <c r="C24315" s="6">
        <v>4365</v>
      </c>
      <c r="D24315" s="7">
        <v>3.34</v>
      </c>
    </row>
    <row r="24316" spans="1:4" x14ac:dyDescent="0.25">
      <c r="A24316" t="str">
        <f>HYPERLINK("https://www.773grp.com/globalSearch/AC10FGM(YA)-AZ/page-1", "AC10FGM(YA)-AZ")</f>
        <v>AC10FGM(YA)-AZ</v>
      </c>
      <c r="B24316" s="3" t="str">
        <f>HYPERLINK("https://www.773grp.com/manufacturer/renesas-electronics-america-inc?pageNo=384", "Renesas Electronics")</f>
        <v>Renesas Electronics</v>
      </c>
      <c r="C24316" s="6">
        <v>830</v>
      </c>
      <c r="D24316" s="7">
        <v>3.38</v>
      </c>
    </row>
    <row r="24317" spans="1:4" x14ac:dyDescent="0.25">
      <c r="A24317" t="str">
        <f>HYPERLINK("https://www.773grp.com/globalSearch/BCR10CS-12LA#B00/page-1", "BCR10CS-12LA#B00")</f>
        <v>BCR10CS-12LA#B00</v>
      </c>
      <c r="B24317" s="3" t="str">
        <f>HYPERLINK("https://www.773grp.com/manufacturer/renesas-electronics-america-inc?pageNo=385", "Renesas Electronics")</f>
        <v>Renesas Electronics</v>
      </c>
      <c r="C24317" s="6">
        <v>1326</v>
      </c>
      <c r="D24317" s="7">
        <v>3.38</v>
      </c>
    </row>
    <row r="24318" spans="1:4" x14ac:dyDescent="0.25">
      <c r="A24318" t="str">
        <f>HYPERLINK("https://www.773grp.com/globalSearch/BCR10CS-12LA-T11X3/page-1", "BCR10CS-12LA-T11X3")</f>
        <v>BCR10CS-12LA-T11X3</v>
      </c>
      <c r="B24318" s="3" t="str">
        <f>HYPERLINK("https://www.773grp.com/manufacturer/renesas-electronics-america-inc?pageNo=386", "Renesas Electronics")</f>
        <v>Renesas Electronics</v>
      </c>
      <c r="C24318" s="6">
        <v>11000</v>
      </c>
      <c r="D24318" s="7">
        <v>3.38</v>
      </c>
    </row>
    <row r="24319" spans="1:4" x14ac:dyDescent="0.25">
      <c r="A24319" t="str">
        <f>HYPERLINK("https://www.773grp.com/globalSearch/BCR10KM-12LA#C03/page-1", "BCR10KM-12LA#C03")</f>
        <v>BCR10KM-12LA#C03</v>
      </c>
      <c r="B24319" s="3" t="str">
        <f>HYPERLINK("https://www.773grp.com/manufacturer/renesas-electronics-america-inc?pageNo=387", "Renesas Electronics")</f>
        <v>Renesas Electronics</v>
      </c>
      <c r="C24319" s="6">
        <v>4782</v>
      </c>
      <c r="D24319" s="7">
        <v>3.38</v>
      </c>
    </row>
    <row r="24320" spans="1:4" x14ac:dyDescent="0.25">
      <c r="A24320" t="str">
        <f>HYPERLINK("https://www.773grp.com/globalSearch/BCR16CM-12LHAP#C03/page-1", "BCR16CM-12LHAP#C03")</f>
        <v>BCR16CM-12LHAP#C03</v>
      </c>
      <c r="B24320" s="3" t="str">
        <f>HYPERLINK("https://www.773grp.com/manufacturer/renesas-electronics-america-inc?pageNo=388", "Renesas Electronics")</f>
        <v>Renesas Electronics</v>
      </c>
      <c r="C24320" s="6">
        <v>477</v>
      </c>
      <c r="D24320" s="7">
        <v>3.38</v>
      </c>
    </row>
    <row r="24321" spans="1:4" x14ac:dyDescent="0.25">
      <c r="A24321" t="str">
        <f>HYPERLINK("https://www.773grp.com/globalSearch/BCR16CM-12LHAR#C03/page-1", "BCR16CM-12LHAR#C03")</f>
        <v>BCR16CM-12LHAR#C03</v>
      </c>
      <c r="B24321" s="3" t="str">
        <f>HYPERLINK("https://www.773grp.com/manufacturer/renesas-electronics-america-inc?pageNo=389", "Renesas Electronics")</f>
        <v>Renesas Electronics</v>
      </c>
      <c r="C24321" s="6">
        <v>422</v>
      </c>
      <c r="D24321" s="7">
        <v>3.38</v>
      </c>
    </row>
    <row r="24322" spans="1:4" x14ac:dyDescent="0.25">
      <c r="A24322" t="str">
        <f>HYPERLINK("https://www.773grp.com/globalSearch/BCR16CM-12LHJ6#C03/page-1", "BCR16CM-12LHJ6#C03")</f>
        <v>BCR16CM-12LHJ6#C03</v>
      </c>
      <c r="B24322" s="3" t="str">
        <f>HYPERLINK("https://www.773grp.com/manufacturer/renesas-electronics-america-inc?pageNo=390", "Renesas Electronics")</f>
        <v>Renesas Electronics</v>
      </c>
      <c r="C24322" s="6">
        <v>430</v>
      </c>
      <c r="D24322" s="7">
        <v>3.38</v>
      </c>
    </row>
    <row r="24323" spans="1:4" x14ac:dyDescent="0.25">
      <c r="A24323" t="str">
        <f>HYPERLINK("https://www.773grp.com/globalSearch/BCR20AM12LB1AR#B01/page-1", "BCR20AM12LB1AR#B01")</f>
        <v>BCR20AM12LB1AR#B01</v>
      </c>
      <c r="B24323" s="3" t="str">
        <f>HYPERLINK("https://www.773grp.com/manufacturer/renesas-electronics-america-inc?pageNo=391", "Renesas Electronics")</f>
        <v>Renesas Electronics</v>
      </c>
      <c r="C24323" s="6">
        <v>26334</v>
      </c>
      <c r="D24323" s="7">
        <v>3.38</v>
      </c>
    </row>
    <row r="24324" spans="1:4" x14ac:dyDescent="0.25">
      <c r="A24324" t="str">
        <f>HYPERLINK("https://www.773grp.com/globalSearch/R2A15906SP#U2/page-1", "R2A15906SP#U2")</f>
        <v>R2A15906SP#U2</v>
      </c>
      <c r="B24324" s="3" t="str">
        <f>HYPERLINK("https://www.773grp.com/manufacturer/renesas-electronics-america-inc?pageNo=392", "Renesas Electronics")</f>
        <v>Renesas Electronics</v>
      </c>
      <c r="C24324" s="6">
        <v>65</v>
      </c>
      <c r="D24324" s="7">
        <v>3.38</v>
      </c>
    </row>
    <row r="24325" spans="1:4" x14ac:dyDescent="0.25">
      <c r="A24325" t="str">
        <f>HYPERLINK("https://www.773grp.com/globalSearch/RJP30K3DPP-M9#T2F/page-1", "RJP30K3DPP-M9#T2F")</f>
        <v>RJP30K3DPP-M9#T2F</v>
      </c>
      <c r="B24325" s="3" t="str">
        <f>HYPERLINK("https://www.773grp.com/manufacturer/renesas-electronics-america-inc?pageNo=393", "Renesas Electronics")</f>
        <v>Renesas Electronics</v>
      </c>
      <c r="C24325" s="6">
        <v>900</v>
      </c>
      <c r="D24325" s="7">
        <v>3.38</v>
      </c>
    </row>
    <row r="24326" spans="1:4" x14ac:dyDescent="0.25">
      <c r="A24326" t="str">
        <f>HYPERLINK("https://www.773grp.com/globalSearch/RJU36B1WDPK-M0#T0/page-1", "RJU36B1WDPK-M0#T0")</f>
        <v>RJU36B1WDPK-M0#T0</v>
      </c>
      <c r="B24326" s="3" t="str">
        <f>HYPERLINK("https://www.773grp.com/manufacturer/renesas-electronics-america-inc?pageNo=394", "Renesas Electronics")</f>
        <v>Renesas Electronics</v>
      </c>
      <c r="C24326" s="6">
        <v>737278</v>
      </c>
      <c r="D24326" s="7">
        <v>3.38</v>
      </c>
    </row>
    <row r="24327" spans="1:4" x14ac:dyDescent="0.25">
      <c r="A24327" t="str">
        <f>HYPERLINK("https://www.773grp.com/globalSearch/UPD5556G-A/page-1", "UPD5556G-A")</f>
        <v>UPD5556G-A</v>
      </c>
      <c r="B24327" s="3" t="str">
        <f>HYPERLINK("https://www.773grp.com/manufacturer/renesas-electronics-america-inc?pageNo=395", "Renesas Electronics")</f>
        <v>Renesas Electronics</v>
      </c>
      <c r="C24327" s="6">
        <v>80</v>
      </c>
      <c r="D24327" s="7">
        <v>3.75</v>
      </c>
    </row>
    <row r="24328" spans="1:4" x14ac:dyDescent="0.25">
      <c r="A24328" t="str">
        <f>HYPERLINK("https://www.773grp.com/globalSearch/HA16120FPJ/page-1", "HA16120FPJ")</f>
        <v>HA16120FPJ</v>
      </c>
      <c r="B24328" s="3" t="str">
        <f>HYPERLINK("https://www.773grp.com/manufacturer/renesas-electronics-america-inc?pageNo=396", "Renesas Electronics")</f>
        <v>Renesas Electronics</v>
      </c>
      <c r="C24328" s="6">
        <v>1369</v>
      </c>
      <c r="D24328" s="7">
        <v>3.41</v>
      </c>
    </row>
    <row r="24329" spans="1:4" x14ac:dyDescent="0.25">
      <c r="A24329" t="str">
        <f>HYPERLINK("https://www.773grp.com/globalSearch/LVCC3245AT-EWS/page-1", "LVCC3245AT-EWS")</f>
        <v>LVCC3245AT-EWS</v>
      </c>
      <c r="B24329" s="3" t="str">
        <f>HYPERLINK("https://www.773grp.com/manufacturer/renesas-electronics-america-inc?pageNo=397", "Renesas Electronics")</f>
        <v>Renesas Electronics</v>
      </c>
      <c r="C24329" s="6">
        <v>870</v>
      </c>
      <c r="D24329" s="7">
        <v>3.41</v>
      </c>
    </row>
    <row r="24330" spans="1:4" x14ac:dyDescent="0.25">
      <c r="A24330" t="str">
        <f>HYPERLINK("https://www.773grp.com/globalSearch/RJU6054SDPK-M0#T0/page-1", "RJU6054SDPK-M0#T0")</f>
        <v>RJU6054SDPK-M0#T0</v>
      </c>
      <c r="B24330" s="3" t="str">
        <f>HYPERLINK("https://www.773grp.com/manufacturer/renesas-electronics-america-inc?pageNo=398", "Renesas Electronics")</f>
        <v>Renesas Electronics</v>
      </c>
      <c r="C24330" s="6">
        <v>3330</v>
      </c>
      <c r="D24330" s="7">
        <v>3.41</v>
      </c>
    </row>
    <row r="24331" spans="1:4" x14ac:dyDescent="0.25">
      <c r="A24331" t="str">
        <f>HYPERLINK("https://www.773grp.com/globalSearch/2S4M-AZ/page-1", "2S4M-AZ")</f>
        <v>2S4M-AZ</v>
      </c>
      <c r="B24331" s="3" t="str">
        <f>HYPERLINK("https://www.773grp.com/manufacturer/renesas-electronics-america-inc?pageNo=399", "Renesas Electronics")</f>
        <v>Renesas Electronics</v>
      </c>
      <c r="C24331" s="6">
        <v>228</v>
      </c>
      <c r="D24331" s="7">
        <v>3.8</v>
      </c>
    </row>
    <row r="24332" spans="1:4" x14ac:dyDescent="0.25">
      <c r="A24332" t="str">
        <f>HYPERLINK("https://www.773grp.com/globalSearch/2SC2333(3)-AZ/page-1", "2SC2333(3)-AZ")</f>
        <v>2SC2333(3)-AZ</v>
      </c>
      <c r="B24332" s="3" t="str">
        <f>HYPERLINK("https://www.773grp.com/manufacturer/renesas-electronics-america-inc?pageNo=400", "Renesas Electronics")</f>
        <v>Renesas Electronics</v>
      </c>
      <c r="C24332" s="6">
        <v>2627</v>
      </c>
      <c r="D24332" s="7">
        <v>3.8</v>
      </c>
    </row>
    <row r="24333" spans="1:4" x14ac:dyDescent="0.25">
      <c r="A24333" t="str">
        <f>HYPERLINK("https://www.773grp.com/globalSearch/74HC01P-E/page-1", "74HC01P-E")</f>
        <v>74HC01P-E</v>
      </c>
      <c r="B24333" s="3" t="str">
        <f>HYPERLINK("https://www.773grp.com/manufacturer/renesas-electronics-america-inc?pageNo=401", "Renesas Electronics")</f>
        <v>Renesas Electronics</v>
      </c>
      <c r="C24333" s="6">
        <v>1000</v>
      </c>
      <c r="D24333" s="7">
        <v>3.8</v>
      </c>
    </row>
    <row r="24334" spans="1:4" x14ac:dyDescent="0.25">
      <c r="A24334" t="str">
        <f>HYPERLINK("https://www.773grp.com/globalSearch/BCR3KM-12LA-1#B00/page-1", "BCR3KM-12LA-1#B00")</f>
        <v>BCR3KM-12LA-1#B00</v>
      </c>
      <c r="B24334" s="3" t="str">
        <f>HYPERLINK("https://www.773grp.com/manufacturer/renesas-electronics-america-inc?pageNo=402", "Renesas Electronics")</f>
        <v>Renesas Electronics</v>
      </c>
      <c r="C24334" s="6">
        <v>45821</v>
      </c>
      <c r="D24334" s="7">
        <v>3.8</v>
      </c>
    </row>
    <row r="24335" spans="1:4" x14ac:dyDescent="0.25">
      <c r="A24335" t="str">
        <f>HYPERLINK("https://www.773grp.com/globalSearch/BCR3KM-12RA-1AS#X5/page-1", "BCR3KM-12RA-1AS#X5")</f>
        <v>BCR3KM-12RA-1AS#X5</v>
      </c>
      <c r="B24335" s="3" t="str">
        <f>HYPERLINK("https://www.773grp.com/manufacturer/renesas-electronics-america-inc?pageNo=403", "Renesas Electronics")</f>
        <v>Renesas Electronics</v>
      </c>
      <c r="C24335" s="6">
        <v>4060</v>
      </c>
      <c r="D24335" s="7">
        <v>3.8</v>
      </c>
    </row>
    <row r="24336" spans="1:4" x14ac:dyDescent="0.25">
      <c r="A24336" t="str">
        <f>HYPERLINK("https://www.773grp.com/globalSearch/HA17524FP/page-1", "HA17524FP")</f>
        <v>HA17524FP</v>
      </c>
      <c r="B24336" s="3" t="str">
        <f>HYPERLINK("https://www.773grp.com/manufacturer/renesas-electronics-america-inc?pageNo=404", "Renesas Electronics")</f>
        <v>Renesas Electronics</v>
      </c>
      <c r="C24336" s="6">
        <v>2608</v>
      </c>
      <c r="D24336" s="7">
        <v>3.8</v>
      </c>
    </row>
    <row r="24337" spans="1:4" x14ac:dyDescent="0.25">
      <c r="A24337" t="str">
        <f>HYPERLINK("https://www.773grp.com/globalSearch/M62333FP#TF5J/page-1", "M62333FP#TF5J")</f>
        <v>M62333FP#TF5J</v>
      </c>
      <c r="B24337" s="3" t="str">
        <f>HYPERLINK("https://www.773grp.com/manufacturer/renesas-electronics-america-inc?pageNo=405", "Renesas Electronics")</f>
        <v>Renesas Electronics</v>
      </c>
      <c r="C24337" s="6">
        <v>6188</v>
      </c>
      <c r="D24337" s="7">
        <v>3.8</v>
      </c>
    </row>
    <row r="24338" spans="1:4" x14ac:dyDescent="0.25">
      <c r="A24338" t="str">
        <f>HYPERLINK("https://www.773grp.com/globalSearch/RJK0204DPA-WS#J53/page-1", "RJK0204DPA-WS#J53")</f>
        <v>RJK0204DPA-WS#J53</v>
      </c>
      <c r="B24338" s="3" t="str">
        <f>HYPERLINK("https://www.773grp.com/manufacturer/renesas-electronics-america-inc?pageNo=406", "Renesas Electronics")</f>
        <v>Renesas Electronics</v>
      </c>
      <c r="C24338" s="6">
        <v>1950</v>
      </c>
      <c r="D24338" s="7">
        <v>3.8</v>
      </c>
    </row>
    <row r="24339" spans="1:4" x14ac:dyDescent="0.25">
      <c r="A24339" t="str">
        <f>HYPERLINK("https://www.773grp.com/globalSearch/RJK03T2DPA-00#J5A/page-1", "RJK03T2DPA-00#J5A")</f>
        <v>RJK03T2DPA-00#J5A</v>
      </c>
      <c r="B24339" s="3" t="str">
        <f>HYPERLINK("https://www.773grp.com/manufacturer/renesas-electronics-america-inc?pageNo=407", "Renesas Electronics")</f>
        <v>Renesas Electronics</v>
      </c>
      <c r="C24339" s="6">
        <v>12000</v>
      </c>
      <c r="D24339" s="7">
        <v>3.8</v>
      </c>
    </row>
    <row r="24340" spans="1:4" x14ac:dyDescent="0.25">
      <c r="A24340" t="str">
        <f>HYPERLINK("https://www.773grp.com/globalSearch/2SJ319S-E/page-1", "2SJ319S-E")</f>
        <v>2SJ319S-E</v>
      </c>
      <c r="B24340" s="3" t="str">
        <f>HYPERLINK("https://www.773grp.com/manufacturer/renesas-electronics-america-inc?pageNo=408", "Renesas Electronics")</f>
        <v>Renesas Electronics</v>
      </c>
      <c r="C24340" s="6">
        <v>1399</v>
      </c>
      <c r="D24340" s="7">
        <v>3.43</v>
      </c>
    </row>
    <row r="24341" spans="1:4" x14ac:dyDescent="0.25">
      <c r="A24341" t="str">
        <f>HYPERLINK("https://www.773grp.com/globalSearch/2SK2425-E/page-1", "2SK2425-E")</f>
        <v>2SK2425-E</v>
      </c>
      <c r="B24341" s="3" t="str">
        <f>HYPERLINK("https://www.773grp.com/manufacturer/renesas-electronics-america-inc?pageNo=409", "Renesas Electronics")</f>
        <v>Renesas Electronics</v>
      </c>
      <c r="C24341" s="6">
        <v>1780</v>
      </c>
      <c r="D24341" s="7">
        <v>3.43</v>
      </c>
    </row>
    <row r="24342" spans="1:4" x14ac:dyDescent="0.25">
      <c r="A24342" t="str">
        <f>HYPERLINK("https://www.773grp.com/globalSearch/HA17904FPJ-EL/page-1", "HA17904FPJ-EL")</f>
        <v>HA17904FPJ-EL</v>
      </c>
      <c r="B24342" s="3" t="str">
        <f>HYPERLINK("https://www.773grp.com/manufacturer/renesas-electronics-america-inc?pageNo=410", "Renesas Electronics")</f>
        <v>Renesas Electronics</v>
      </c>
      <c r="C24342" s="6">
        <v>7500</v>
      </c>
      <c r="D24342" s="7">
        <v>3.43</v>
      </c>
    </row>
    <row r="24343" spans="1:4" x14ac:dyDescent="0.25">
      <c r="A24343" t="str">
        <f>HYPERLINK("https://www.773grp.com/globalSearch/AC10FGM(YB)-AZ/page-1", "AC10FGM(YB)-AZ")</f>
        <v>AC10FGM(YB)-AZ</v>
      </c>
      <c r="B24343" s="3" t="str">
        <f>HYPERLINK("https://www.773grp.com/manufacturer/renesas-electronics-america-inc?pageNo=411", "Renesas Electronics")</f>
        <v>Renesas Electronics</v>
      </c>
      <c r="C24343" s="6">
        <v>20614</v>
      </c>
      <c r="D24343" s="7">
        <v>3.46</v>
      </c>
    </row>
    <row r="24344" spans="1:4" x14ac:dyDescent="0.25">
      <c r="A24344" t="str">
        <f>HYPERLINK("https://www.773grp.com/globalSearch/2P4M(32)-AZ/page-1", "2P4M(32)-AZ")</f>
        <v>2P4M(32)-AZ</v>
      </c>
      <c r="B24344" s="3" t="str">
        <f>HYPERLINK("https://www.773grp.com/manufacturer/renesas-electronics-america-inc?pageNo=412", "Renesas Electronics")</f>
        <v>Renesas Electronics</v>
      </c>
      <c r="C24344" s="6">
        <v>269</v>
      </c>
      <c r="D24344" s="7">
        <v>3.85</v>
      </c>
    </row>
    <row r="24345" spans="1:4" x14ac:dyDescent="0.25">
      <c r="A24345" t="str">
        <f>HYPERLINK("https://www.773grp.com/globalSearch/2SB1091/page-1", "2SB1091")</f>
        <v>2SB1091</v>
      </c>
      <c r="B24345" s="3" t="str">
        <f>HYPERLINK("https://www.773grp.com/manufacturer/renesas-electronics-america-inc?pageNo=413", "Renesas Electronics")</f>
        <v>Renesas Electronics</v>
      </c>
      <c r="C24345" s="6">
        <v>2143</v>
      </c>
      <c r="D24345" s="7">
        <v>3.85</v>
      </c>
    </row>
    <row r="24346" spans="1:4" x14ac:dyDescent="0.25">
      <c r="A24346" t="str">
        <f>HYPERLINK("https://www.773grp.com/globalSearch/74HC85FP-E/page-1", "74HC85FP-E")</f>
        <v>74HC85FP-E</v>
      </c>
      <c r="B24346" s="3" t="str">
        <f>HYPERLINK("https://www.773grp.com/manufacturer/renesas-electronics-america-inc?pageNo=414", "Renesas Electronics")</f>
        <v>Renesas Electronics</v>
      </c>
      <c r="C24346" s="6">
        <v>7000</v>
      </c>
      <c r="D24346" s="7">
        <v>3.85</v>
      </c>
    </row>
    <row r="24347" spans="1:4" x14ac:dyDescent="0.25">
      <c r="A24347" t="str">
        <f>HYPERLINK("https://www.773grp.com/globalSearch/AC05DGM-AZ/page-1", "AC05DGM-AZ")</f>
        <v>AC05DGM-AZ</v>
      </c>
      <c r="B24347" s="3" t="str">
        <f>HYPERLINK("https://www.773grp.com/manufacturer/renesas-electronics-america-inc?pageNo=415", "Renesas Electronics")</f>
        <v>Renesas Electronics</v>
      </c>
      <c r="C24347" s="6">
        <v>850</v>
      </c>
      <c r="D24347" s="7">
        <v>3.85</v>
      </c>
    </row>
    <row r="24348" spans="1:4" x14ac:dyDescent="0.25">
      <c r="A24348" t="str">
        <f>HYPERLINK("https://www.773grp.com/globalSearch/HA16114FPJ-E/page-1", "HA16114FPJ-E")</f>
        <v>HA16114FPJ-E</v>
      </c>
      <c r="B24348" s="3" t="str">
        <f>HYPERLINK("https://www.773grp.com/manufacturer/renesas-electronics-america-inc?pageNo=416", "Renesas Electronics")</f>
        <v>Renesas Electronics</v>
      </c>
      <c r="C24348" s="6">
        <v>98</v>
      </c>
      <c r="D24348" s="7">
        <v>3.85</v>
      </c>
    </row>
    <row r="24349" spans="1:4" x14ac:dyDescent="0.25">
      <c r="A24349" t="str">
        <f>HYPERLINK("https://www.773grp.com/globalSearch/M62002FP#TF0J/page-1", "M62002FP#TF0J")</f>
        <v>M62002FP#TF0J</v>
      </c>
      <c r="B24349" s="3" t="str">
        <f>HYPERLINK("https://www.773grp.com/manufacturer/renesas-electronics-america-inc?pageNo=417", "Renesas Electronics")</f>
        <v>Renesas Electronics</v>
      </c>
      <c r="C24349" s="6">
        <v>3613</v>
      </c>
      <c r="D24349" s="7">
        <v>3.85</v>
      </c>
    </row>
    <row r="24350" spans="1:4" x14ac:dyDescent="0.25">
      <c r="A24350" t="str">
        <f>HYPERLINK("https://www.773grp.com/globalSearch/BCR12KM-12LB-1#B00/page-1", "BCR12KM-12LB-1#B00")</f>
        <v>BCR12KM-12LB-1#B00</v>
      </c>
      <c r="B24350" s="3" t="str">
        <f>HYPERLINK("https://www.773grp.com/manufacturer/renesas-electronics-america-inc?pageNo=418", "Renesas Electronics")</f>
        <v>Renesas Electronics</v>
      </c>
      <c r="C24350" s="6">
        <v>572</v>
      </c>
      <c r="D24350" s="7">
        <v>3.49</v>
      </c>
    </row>
    <row r="24351" spans="1:4" x14ac:dyDescent="0.25">
      <c r="A24351" t="str">
        <f>HYPERLINK("https://www.773grp.com/globalSearch/BCR12KM-12LBA8#B00/page-1", "BCR12KM-12LBA8#B00")</f>
        <v>BCR12KM-12LBA8#B00</v>
      </c>
      <c r="B24351" s="3" t="str">
        <f>HYPERLINK("https://www.773grp.com/manufacturer/renesas-electronics-america-inc?pageNo=419", "Renesas Electronics")</f>
        <v>Renesas Electronics</v>
      </c>
      <c r="C24351" s="6">
        <v>7525</v>
      </c>
      <c r="D24351" s="7">
        <v>3.49</v>
      </c>
    </row>
    <row r="24352" spans="1:4" x14ac:dyDescent="0.25">
      <c r="A24352" t="str">
        <f>HYPERLINK("https://www.773grp.com/globalSearch/RJK1560DPP-M0#T2/page-1", "RJK1560DPP-M0#T2")</f>
        <v>RJK1560DPP-M0#T2</v>
      </c>
      <c r="B24352" s="3" t="str">
        <f>HYPERLINK("https://www.773grp.com/manufacturer/renesas-electronics-america-inc?pageNo=420", "Renesas Electronics")</f>
        <v>Renesas Electronics</v>
      </c>
      <c r="C24352" s="6">
        <v>1547</v>
      </c>
      <c r="D24352" s="7">
        <v>3.49</v>
      </c>
    </row>
    <row r="24353" spans="1:4" x14ac:dyDescent="0.25">
      <c r="A24353" t="str">
        <f>HYPERLINK("https://www.773grp.com/globalSearch/26LS32FPEL-E/page-1", "26LS32FPEL-E")</f>
        <v>26LS32FPEL-E</v>
      </c>
      <c r="B24353" s="3" t="str">
        <f>HYPERLINK("https://www.773grp.com/manufacturer/renesas-electronics-america-inc?pageNo=421", "Renesas Electronics")</f>
        <v>Renesas Electronics</v>
      </c>
      <c r="C24353" s="6">
        <v>6000</v>
      </c>
      <c r="D24353" s="7">
        <v>3.51</v>
      </c>
    </row>
    <row r="24354" spans="1:4" x14ac:dyDescent="0.25">
      <c r="A24354" t="str">
        <f>HYPERLINK("https://www.773grp.com/globalSearch/2SK2934-92-E/page-1", "2SK2934-92-E")</f>
        <v>2SK2934-92-E</v>
      </c>
      <c r="B24354" s="3" t="str">
        <f>HYPERLINK("https://www.773grp.com/manufacturer/renesas-electronics-america-inc?pageNo=422", "Renesas Electronics")</f>
        <v>Renesas Electronics</v>
      </c>
      <c r="C24354" s="6">
        <v>15784</v>
      </c>
      <c r="D24354" s="7">
        <v>3.51</v>
      </c>
    </row>
    <row r="24355" spans="1:4" x14ac:dyDescent="0.25">
      <c r="A24355" t="str">
        <f>HYPERLINK("https://www.773grp.com/globalSearch/RJK0348DPA-WS#J0/page-1", "RJK0348DPA-WS#J0")</f>
        <v>RJK0348DPA-WS#J0</v>
      </c>
      <c r="B24355" s="3" t="str">
        <f>HYPERLINK("https://www.773grp.com/manufacturer/renesas-electronics-america-inc?pageNo=423", "Renesas Electronics")</f>
        <v>Renesas Electronics</v>
      </c>
      <c r="C24355" s="6">
        <v>2000</v>
      </c>
      <c r="D24355" s="7">
        <v>3.51</v>
      </c>
    </row>
    <row r="24356" spans="1:4" x14ac:dyDescent="0.25">
      <c r="A24356" t="str">
        <f>HYPERLINK("https://www.773grp.com/globalSearch/2SD1138D-E/page-1", "2SD1138D-E")</f>
        <v>2SD1138D-E</v>
      </c>
      <c r="B24356" s="3" t="str">
        <f>HYPERLINK("https://www.773grp.com/manufacturer/renesas-electronics-america-inc?pageNo=424", "Renesas Electronics")</f>
        <v>Renesas Electronics</v>
      </c>
      <c r="C24356" s="6">
        <v>1952</v>
      </c>
      <c r="D24356" s="7">
        <v>3.9</v>
      </c>
    </row>
    <row r="24357" spans="1:4" x14ac:dyDescent="0.25">
      <c r="A24357" t="str">
        <f>HYPERLINK("https://www.773grp.com/globalSearch/2SK3454-AZ/page-1", "2SK3454-AZ")</f>
        <v>2SK3454-AZ</v>
      </c>
      <c r="B24357" s="3" t="str">
        <f>HYPERLINK("https://www.773grp.com/manufacturer/renesas-electronics-america-inc?pageNo=425", "Renesas Electronics")</f>
        <v>Renesas Electronics</v>
      </c>
      <c r="C24357" s="6">
        <v>4660</v>
      </c>
      <c r="D24357" s="7">
        <v>3.9</v>
      </c>
    </row>
    <row r="24358" spans="1:4" x14ac:dyDescent="0.25">
      <c r="A24358" t="str">
        <f>HYPERLINK("https://www.773grp.com/globalSearch/74ACT138FPEL-E/page-1", "74ACT138FPEL-E")</f>
        <v>74ACT138FPEL-E</v>
      </c>
      <c r="B24358" s="3" t="str">
        <f>HYPERLINK("https://www.773grp.com/manufacturer/renesas-electronics-america-inc?pageNo=426", "Renesas Electronics")</f>
        <v>Renesas Electronics</v>
      </c>
      <c r="C24358" s="6">
        <v>6000</v>
      </c>
      <c r="D24358" s="7">
        <v>3.9</v>
      </c>
    </row>
    <row r="24359" spans="1:4" x14ac:dyDescent="0.25">
      <c r="A24359" t="str">
        <f>HYPERLINK("https://www.773grp.com/globalSearch/74ACT164FPEL-E/page-1", "74ACT164FPEL-E")</f>
        <v>74ACT164FPEL-E</v>
      </c>
      <c r="B24359" s="3" t="str">
        <f>HYPERLINK("https://www.773grp.com/manufacturer/renesas-electronics-america-inc?pageNo=427", "Renesas Electronics")</f>
        <v>Renesas Electronics</v>
      </c>
      <c r="C24359" s="6">
        <v>6000</v>
      </c>
      <c r="D24359" s="7">
        <v>3.9</v>
      </c>
    </row>
    <row r="24360" spans="1:4" x14ac:dyDescent="0.25">
      <c r="A24360" t="str">
        <f>HYPERLINK("https://www.773grp.com/globalSearch/74HC563P-E/page-1", "74HC563P-E")</f>
        <v>74HC563P-E</v>
      </c>
      <c r="B24360" s="3" t="str">
        <f>HYPERLINK("https://www.773grp.com/manufacturer/renesas-electronics-america-inc?pageNo=428", "Renesas Electronics")</f>
        <v>Renesas Electronics</v>
      </c>
      <c r="C24360" s="6">
        <v>8000</v>
      </c>
      <c r="D24360" s="7">
        <v>3.9</v>
      </c>
    </row>
    <row r="24361" spans="1:4" x14ac:dyDescent="0.25">
      <c r="A24361" t="str">
        <f>HYPERLINK("https://www.773grp.com/globalSearch/74HCT688FPEL-E/page-1", "74HCT688FPEL-E")</f>
        <v>74HCT688FPEL-E</v>
      </c>
      <c r="B24361" s="3" t="str">
        <f>HYPERLINK("https://www.773grp.com/manufacturer/renesas-electronics-america-inc?pageNo=429", "Renesas Electronics")</f>
        <v>Renesas Electronics</v>
      </c>
      <c r="C24361" s="6">
        <v>6000</v>
      </c>
      <c r="D24361" s="7">
        <v>3.9</v>
      </c>
    </row>
    <row r="24362" spans="1:4" x14ac:dyDescent="0.25">
      <c r="A24362" t="str">
        <f>HYPERLINK("https://www.773grp.com/globalSearch/74HCT688P-E/page-1", "74HCT688P-E")</f>
        <v>74HCT688P-E</v>
      </c>
      <c r="B24362" s="3" t="str">
        <f>HYPERLINK("https://www.773grp.com/manufacturer/renesas-electronics-america-inc?pageNo=430", "Renesas Electronics")</f>
        <v>Renesas Electronics</v>
      </c>
      <c r="C24362" s="6">
        <v>1000</v>
      </c>
      <c r="D24362" s="7">
        <v>3.9</v>
      </c>
    </row>
    <row r="24363" spans="1:4" x14ac:dyDescent="0.25">
      <c r="A24363" t="str">
        <f>HYPERLINK("https://www.773grp.com/globalSearch/HA17904FPJ-E/page-1", "HA17904FPJ-E")</f>
        <v>HA17904FPJ-E</v>
      </c>
      <c r="B24363" s="3" t="str">
        <f>HYPERLINK("https://www.773grp.com/manufacturer/renesas-electronics-america-inc?pageNo=431", "Renesas Electronics")</f>
        <v>Renesas Electronics</v>
      </c>
      <c r="C24363" s="6">
        <v>4923</v>
      </c>
      <c r="D24363" s="7">
        <v>3.9</v>
      </c>
    </row>
    <row r="24364" spans="1:4" x14ac:dyDescent="0.25">
      <c r="A24364" t="str">
        <f>HYPERLINK("https://www.773grp.com/globalSearch/RJK0330DPB-00#J0/page-1", "RJK0330DPB-00#J0")</f>
        <v>RJK0330DPB-00#J0</v>
      </c>
      <c r="B24364" s="3" t="str">
        <f>HYPERLINK("https://www.773grp.com/manufacturer/renesas-electronics-america-inc?pageNo=432", "Renesas Electronics")</f>
        <v>Renesas Electronics</v>
      </c>
      <c r="C24364" s="6">
        <v>2500</v>
      </c>
      <c r="D24364" s="7">
        <v>3.9</v>
      </c>
    </row>
    <row r="24365" spans="1:4" x14ac:dyDescent="0.25">
      <c r="A24365" t="str">
        <f>HYPERLINK("https://www.773grp.com/globalSearch/RJK03L3DNS-WS#J5/page-1", "RJK03L3DNS-WS#J5")</f>
        <v>RJK03L3DNS-WS#J5</v>
      </c>
      <c r="B24365" s="3" t="str">
        <f>HYPERLINK("https://www.773grp.com/manufacturer/renesas-electronics-america-inc?pageNo=433", "Renesas Electronics")</f>
        <v>Renesas Electronics</v>
      </c>
      <c r="C24365" s="6">
        <v>4950</v>
      </c>
      <c r="D24365" s="7">
        <v>3.9</v>
      </c>
    </row>
    <row r="24366" spans="1:4" x14ac:dyDescent="0.25">
      <c r="A24366" t="str">
        <f>HYPERLINK("https://www.773grp.com/globalSearch/UPD78F9211GR-JJG-A/page-1", "UPD78F9211GR-JJG-A")</f>
        <v>UPD78F9211GR-JJG-A</v>
      </c>
      <c r="B24366" s="3" t="str">
        <f>HYPERLINK("https://www.773grp.com/manufacturer/renesas-electronics-america-inc?pageNo=434", "Renesas Electronics")</f>
        <v>Renesas Electronics</v>
      </c>
      <c r="C24366" s="6">
        <v>475</v>
      </c>
      <c r="D24366" s="7">
        <v>3.9</v>
      </c>
    </row>
    <row r="24367" spans="1:4" x14ac:dyDescent="0.25">
      <c r="A24367" t="str">
        <f>HYPERLINK("https://www.773grp.com/globalSearch/2SK2936-E/page-1", "2SK2936-E")</f>
        <v>2SK2936-E</v>
      </c>
      <c r="B24367" s="3" t="str">
        <f>HYPERLINK("https://www.773grp.com/manufacturer/renesas-electronics-america-inc?pageNo=435", "Renesas Electronics")</f>
        <v>Renesas Electronics</v>
      </c>
      <c r="C24367" s="6">
        <v>264</v>
      </c>
      <c r="D24367" s="7">
        <v>3.55</v>
      </c>
    </row>
    <row r="24368" spans="1:4" x14ac:dyDescent="0.25">
      <c r="A24368" t="str">
        <f>HYPERLINK("https://www.773grp.com/globalSearch/FS50KM-2-AX#204/page-1", "FS50KM-2-AX#204")</f>
        <v>FS50KM-2-AX#204</v>
      </c>
      <c r="B24368" s="3" t="str">
        <f>HYPERLINK("https://www.773grp.com/manufacturer/renesas-electronics-america-inc?pageNo=436", "Renesas Electronics")</f>
        <v>Renesas Electronics</v>
      </c>
      <c r="C24368" s="6">
        <v>3425</v>
      </c>
      <c r="D24368" s="7">
        <v>3.55</v>
      </c>
    </row>
    <row r="24369" spans="1:4" x14ac:dyDescent="0.25">
      <c r="A24369" t="str">
        <f>HYPERLINK("https://www.773grp.com/globalSearch/RJU36B2WDPK-M0#T0/page-1", "RJU36B2WDPK-M0#T0")</f>
        <v>RJU36B2WDPK-M0#T0</v>
      </c>
      <c r="B24369" s="3" t="str">
        <f>HYPERLINK("https://www.773grp.com/manufacturer/renesas-electronics-america-inc?pageNo=437", "Renesas Electronics")</f>
        <v>Renesas Electronics</v>
      </c>
      <c r="C24369" s="6">
        <v>218040</v>
      </c>
      <c r="D24369" s="7">
        <v>3.58</v>
      </c>
    </row>
    <row r="24370" spans="1:4" x14ac:dyDescent="0.25">
      <c r="A24370" t="str">
        <f>HYPERLINK("https://www.773grp.com/globalSearch/2SB1262-02-E/page-1", "2SB1262-02-E")</f>
        <v>2SB1262-02-E</v>
      </c>
      <c r="B24370" s="3" t="str">
        <f>HYPERLINK("https://www.773grp.com/manufacturer/renesas-electronics-america-inc?pageNo=438", "Renesas Electronics")</f>
        <v>Renesas Electronics</v>
      </c>
      <c r="C24370" s="6">
        <v>2572</v>
      </c>
      <c r="D24370" s="7">
        <v>3.95</v>
      </c>
    </row>
    <row r="24371" spans="1:4" x14ac:dyDescent="0.25">
      <c r="A24371" t="str">
        <f>HYPERLINK("https://www.773grp.com/globalSearch/5P4M(6)-AZ/page-1", "5P4M(6)-AZ")</f>
        <v>5P4M(6)-AZ</v>
      </c>
      <c r="B24371" s="3" t="str">
        <f>HYPERLINK("https://www.773grp.com/manufacturer/renesas-electronics-america-inc?pageNo=439", "Renesas Electronics")</f>
        <v>Renesas Electronics</v>
      </c>
      <c r="C24371" s="6">
        <v>1078</v>
      </c>
      <c r="D24371" s="7">
        <v>3.95</v>
      </c>
    </row>
    <row r="24372" spans="1:4" x14ac:dyDescent="0.25">
      <c r="A24372" t="str">
        <f>HYPERLINK("https://www.773grp.com/globalSearch/BCR12CS-12LA#B00/page-1", "BCR12CS-12LA#B00")</f>
        <v>BCR12CS-12LA#B00</v>
      </c>
      <c r="B24372" s="3" t="str">
        <f>HYPERLINK("https://www.773grp.com/manufacturer/renesas-electronics-america-inc?pageNo=440", "Renesas Electronics")</f>
        <v>Renesas Electronics</v>
      </c>
      <c r="C24372" s="6">
        <v>7449</v>
      </c>
      <c r="D24372" s="7">
        <v>3.95</v>
      </c>
    </row>
    <row r="24373" spans="1:4" x14ac:dyDescent="0.25">
      <c r="A24373" t="str">
        <f>HYPERLINK("https://www.773grp.com/globalSearch/BCR12CS-12LA-T21X5/page-1", "BCR12CS-12LA-T21X5")</f>
        <v>BCR12CS-12LA-T21X5</v>
      </c>
      <c r="B24373" s="3" t="str">
        <f>HYPERLINK("https://www.773grp.com/manufacturer/renesas-electronics-america-inc?pageNo=441", "Renesas Electronics")</f>
        <v>Renesas Electronics</v>
      </c>
      <c r="C24373" s="6">
        <v>12000</v>
      </c>
      <c r="D24373" s="7">
        <v>3.95</v>
      </c>
    </row>
    <row r="24374" spans="1:4" x14ac:dyDescent="0.25">
      <c r="A24374" t="str">
        <f>HYPERLINK("https://www.773grp.com/globalSearch/BCR8KM-12LB#B00/page-1", "BCR8KM-12LB#B00")</f>
        <v>BCR8KM-12LB#B00</v>
      </c>
      <c r="B24374" s="3" t="str">
        <f>HYPERLINK("https://www.773grp.com/manufacturer/renesas-electronics-america-inc?pageNo=442", "Renesas Electronics")</f>
        <v>Renesas Electronics</v>
      </c>
      <c r="C24374" s="6">
        <v>288927</v>
      </c>
      <c r="D24374" s="7">
        <v>3.95</v>
      </c>
    </row>
    <row r="24375" spans="1:4" x14ac:dyDescent="0.25">
      <c r="A24375" t="str">
        <f>HYPERLINK("https://www.773grp.com/globalSearch/M51996AFP#TF0J/page-1", "M51996AFP#TF0J")</f>
        <v>M51996AFP#TF0J</v>
      </c>
      <c r="B24375" s="3" t="str">
        <f>HYPERLINK("https://www.773grp.com/manufacturer/renesas-electronics-america-inc?pageNo=443", "Renesas Electronics")</f>
        <v>Renesas Electronics</v>
      </c>
      <c r="C24375" s="6">
        <v>2567</v>
      </c>
      <c r="D24375" s="7">
        <v>3.95</v>
      </c>
    </row>
    <row r="24376" spans="1:4" x14ac:dyDescent="0.25">
      <c r="A24376" t="str">
        <f>HYPERLINK("https://www.773grp.com/globalSearch/RJK0348DPA-01#J0/page-1", "RJK0348DPA-01#J0")</f>
        <v>RJK0348DPA-01#J0</v>
      </c>
      <c r="B24376" s="3" t="str">
        <f>HYPERLINK("https://www.773grp.com/manufacturer/renesas-electronics-america-inc?pageNo=444", "Renesas Electronics")</f>
        <v>Renesas Electronics</v>
      </c>
      <c r="C24376" s="6">
        <v>165000</v>
      </c>
      <c r="D24376" s="7">
        <v>3.95</v>
      </c>
    </row>
    <row r="24377" spans="1:4" x14ac:dyDescent="0.25">
      <c r="A24377" t="str">
        <f>HYPERLINK("https://www.773grp.com/globalSearch/RJK0392DPA-WS#J53/page-1", "RJK0392DPA-WS#J53")</f>
        <v>RJK0392DPA-WS#J53</v>
      </c>
      <c r="B24377" s="3" t="str">
        <f>HYPERLINK("https://www.773grp.com/manufacturer/renesas-electronics-america-inc?pageNo=445", "Renesas Electronics")</f>
        <v>Renesas Electronics</v>
      </c>
      <c r="C24377" s="6">
        <v>2150</v>
      </c>
      <c r="D24377" s="7">
        <v>3.95</v>
      </c>
    </row>
    <row r="24378" spans="1:4" x14ac:dyDescent="0.25">
      <c r="A24378" t="str">
        <f>HYPERLINK("https://www.773grp.com/globalSearch/AC08FSMA-AZ/page-1", "AC08FSMA-AZ")</f>
        <v>AC08FSMA-AZ</v>
      </c>
      <c r="B24378" s="3" t="str">
        <f>HYPERLINK("https://www.773grp.com/manufacturer/renesas-electronics-america-inc?pageNo=446", "Renesas Electronics")</f>
        <v>Renesas Electronics</v>
      </c>
      <c r="C24378" s="6">
        <v>518</v>
      </c>
      <c r="D24378" s="7">
        <v>3.6</v>
      </c>
    </row>
    <row r="24379" spans="1:4" x14ac:dyDescent="0.25">
      <c r="A24379" t="str">
        <f>HYPERLINK("https://www.773grp.com/globalSearch/HA16120FP-EL/page-1", "HA16120FP-EL")</f>
        <v>HA16120FP-EL</v>
      </c>
      <c r="B24379" s="3" t="str">
        <f>HYPERLINK("https://www.773grp.com/manufacturer/renesas-electronics-america-inc?pageNo=447", "Renesas Electronics")</f>
        <v>Renesas Electronics</v>
      </c>
      <c r="C24379" s="6">
        <v>16000</v>
      </c>
      <c r="D24379" s="7">
        <v>3.6</v>
      </c>
    </row>
    <row r="24380" spans="1:4" x14ac:dyDescent="0.25">
      <c r="A24380" t="str">
        <f>HYPERLINK("https://www.773grp.com/globalSearch/HN58X2508FPIAG#S0/page-1", "HN58X2508FPIAG#S0")</f>
        <v>HN58X2508FPIAG#S0</v>
      </c>
      <c r="B24380" s="3" t="str">
        <f>HYPERLINK("https://www.773grp.com/manufacturer/renesas-electronics-america-inc?pageNo=448", "Renesas Electronics")</f>
        <v>Renesas Electronics</v>
      </c>
      <c r="C24380" s="6">
        <v>17500</v>
      </c>
      <c r="D24380" s="7">
        <v>3.6</v>
      </c>
    </row>
    <row r="24381" spans="1:4" x14ac:dyDescent="0.25">
      <c r="A24381" t="str">
        <f>HYPERLINK("https://www.773grp.com/globalSearch/RJK5026DPP-V0#T2/page-1", "RJK5026DPP-V0#T2")</f>
        <v>RJK5026DPP-V0#T2</v>
      </c>
      <c r="B24381" s="3" t="str">
        <f>HYPERLINK("https://www.773grp.com/manufacturer/renesas-electronics-america-inc?pageNo=449", "Renesas Electronics")</f>
        <v>Renesas Electronics</v>
      </c>
      <c r="C24381" s="6">
        <v>53</v>
      </c>
      <c r="D24381" s="7">
        <v>3.6</v>
      </c>
    </row>
    <row r="24382" spans="1:4" x14ac:dyDescent="0.25">
      <c r="A24382" t="str">
        <f>HYPERLINK("https://www.773grp.com/globalSearch/2SD1590(2)-S6/page-1", "2SD1590(2)-S6")</f>
        <v>2SD1590(2)-S6</v>
      </c>
      <c r="B24382" s="3" t="str">
        <f>HYPERLINK("https://www.773grp.com/manufacturer/renesas-electronics-america-inc?pageNo=450", "Renesas Electronics")</f>
        <v>Renesas Electronics</v>
      </c>
      <c r="C24382" s="6">
        <v>1634</v>
      </c>
      <c r="D24382" s="7">
        <v>3.63</v>
      </c>
    </row>
    <row r="24383" spans="1:4" x14ac:dyDescent="0.25">
      <c r="A24383" t="str">
        <f>HYPERLINK("https://www.773grp.com/globalSearch/M61530FP#TF0G/page-1", "M61530FP#TF0G")</f>
        <v>M61530FP#TF0G</v>
      </c>
      <c r="B24383" s="3" t="str">
        <f>HYPERLINK("https://www.773grp.com/manufacturer/renesas-electronics-america-inc?pageNo=451", "Renesas Electronics")</f>
        <v>Renesas Electronics</v>
      </c>
      <c r="C24383" s="6">
        <v>31</v>
      </c>
      <c r="D24383" s="7">
        <v>3.63</v>
      </c>
    </row>
    <row r="24384" spans="1:4" x14ac:dyDescent="0.25">
      <c r="A24384" t="str">
        <f>HYPERLINK("https://www.773grp.com/globalSearch/2SJ133-Z-E1-AZ/page-1", "2SJ133-Z-E1-AZ")</f>
        <v>2SJ133-Z-E1-AZ</v>
      </c>
      <c r="B24384" s="3" t="str">
        <f>HYPERLINK("https://www.773grp.com/manufacturer/renesas-electronics-america-inc?pageNo=452", "Renesas Electronics")</f>
        <v>Renesas Electronics</v>
      </c>
      <c r="C24384" s="6">
        <v>6000</v>
      </c>
      <c r="D24384" s="7">
        <v>4.01</v>
      </c>
    </row>
    <row r="24385" spans="1:4" x14ac:dyDescent="0.25">
      <c r="A24385" t="str">
        <f>HYPERLINK("https://www.773grp.com/globalSearch/74HC192P-E/page-1", "74HC192P-E")</f>
        <v>74HC192P-E</v>
      </c>
      <c r="B24385" s="3" t="str">
        <f>HYPERLINK("https://www.773grp.com/manufacturer/renesas-electronics-america-inc?pageNo=453", "Renesas Electronics")</f>
        <v>Renesas Electronics</v>
      </c>
      <c r="C24385" s="6">
        <v>4000</v>
      </c>
      <c r="D24385" s="7">
        <v>4.01</v>
      </c>
    </row>
    <row r="24386" spans="1:4" x14ac:dyDescent="0.25">
      <c r="A24386" t="str">
        <f>HYPERLINK("https://www.773grp.com/globalSearch/AC05DGM(YC)-AZ/page-1", "AC05DGM(YC)-AZ")</f>
        <v>AC05DGM(YC)-AZ</v>
      </c>
      <c r="B24386" s="3" t="str">
        <f>HYPERLINK("https://www.773grp.com/manufacturer/renesas-electronics-america-inc?pageNo=454", "Renesas Electronics")</f>
        <v>Renesas Electronics</v>
      </c>
      <c r="C24386" s="6">
        <v>6993</v>
      </c>
      <c r="D24386" s="7">
        <v>4.01</v>
      </c>
    </row>
    <row r="24387" spans="1:4" x14ac:dyDescent="0.25">
      <c r="A24387" t="str">
        <f>HYPERLINK("https://www.773grp.com/globalSearch/HN58X2404STI#S0/page-1", "HN58X2404STI#S0")</f>
        <v>HN58X2404STI#S0</v>
      </c>
      <c r="B24387" s="3" t="str">
        <f>HYPERLINK("https://www.773grp.com/manufacturer/renesas-electronics-america-inc?pageNo=455", "Renesas Electronics")</f>
        <v>Renesas Electronics</v>
      </c>
      <c r="C24387" s="6">
        <v>6000</v>
      </c>
      <c r="D24387" s="7">
        <v>4.01</v>
      </c>
    </row>
    <row r="24388" spans="1:4" x14ac:dyDescent="0.25">
      <c r="A24388" t="str">
        <f>HYPERLINK("https://www.773grp.com/globalSearch/HN58X2508TIAG#S0/page-1", "HN58X2508TIAG#S0")</f>
        <v>HN58X2508TIAG#S0</v>
      </c>
      <c r="B24388" s="3" t="str">
        <f>HYPERLINK("https://www.773grp.com/manufacturer/renesas-electronics-america-inc?pageNo=456", "Renesas Electronics")</f>
        <v>Renesas Electronics</v>
      </c>
      <c r="C24388" s="6">
        <v>6000</v>
      </c>
      <c r="D24388" s="7">
        <v>4.01</v>
      </c>
    </row>
    <row r="24389" spans="1:4" x14ac:dyDescent="0.25">
      <c r="A24389" t="str">
        <f>HYPERLINK("https://www.773grp.com/globalSearch/R1EX24032ATAS0I#S1/page-1", "R1EX24032ATAS0I#S1")</f>
        <v>R1EX24032ATAS0I#S1</v>
      </c>
      <c r="B24389" s="3" t="str">
        <f>HYPERLINK("https://www.773grp.com/manufacturer/renesas-electronics-america-inc?pageNo=457", "Renesas Electronics")</f>
        <v>Renesas Electronics</v>
      </c>
      <c r="C24389" s="6">
        <v>1500</v>
      </c>
      <c r="D24389" s="7">
        <v>4.01</v>
      </c>
    </row>
    <row r="24390" spans="1:4" x14ac:dyDescent="0.25">
      <c r="A24390" t="str">
        <f>HYPERLINK("https://www.773grp.com/globalSearch/2SC3568(1)-S6-AZ/page-1", "2SC3568(1)-S6-AZ")</f>
        <v>2SC3568(1)-S6-AZ</v>
      </c>
      <c r="B24390" s="3" t="str">
        <f>HYPERLINK("https://www.773grp.com/manufacturer/renesas-electronics-america-inc?pageNo=458", "Renesas Electronics")</f>
        <v>Renesas Electronics</v>
      </c>
      <c r="C24390" s="6">
        <v>771</v>
      </c>
      <c r="D24390" s="7">
        <v>3.66</v>
      </c>
    </row>
    <row r="24391" spans="1:4" x14ac:dyDescent="0.25">
      <c r="A24391" t="str">
        <f>HYPERLINK("https://www.773grp.com/globalSearch/2SC3568(2)-S6-AZ/page-1", "2SC3568(2)-S6-AZ")</f>
        <v>2SC3568(2)-S6-AZ</v>
      </c>
      <c r="B24391" s="3" t="str">
        <f>HYPERLINK("https://www.773grp.com/manufacturer/renesas-electronics-america-inc?pageNo=459", "Renesas Electronics")</f>
        <v>Renesas Electronics</v>
      </c>
      <c r="C24391" s="6">
        <v>652</v>
      </c>
      <c r="D24391" s="7">
        <v>3.66</v>
      </c>
    </row>
    <row r="24392" spans="1:4" x14ac:dyDescent="0.25">
      <c r="A24392" t="str">
        <f>HYPERLINK("https://www.773grp.com/globalSearch/AC10DSMA(1)-AZ/page-1", "AC10DSMA(1)-AZ")</f>
        <v>AC10DSMA(1)-AZ</v>
      </c>
      <c r="B24392" s="3" t="str">
        <f>HYPERLINK("https://www.773grp.com/manufacturer/renesas-electronics-america-inc?pageNo=460", "Renesas Electronics")</f>
        <v>Renesas Electronics</v>
      </c>
      <c r="C24392" s="6">
        <v>684</v>
      </c>
      <c r="D24392" s="7">
        <v>3.66</v>
      </c>
    </row>
    <row r="24393" spans="1:4" x14ac:dyDescent="0.25">
      <c r="A24393" t="str">
        <f>HYPERLINK("https://www.773grp.com/globalSearch/AC10DSMA(3)-AZ/page-1", "AC10DSMA(3)-AZ")</f>
        <v>AC10DSMA(3)-AZ</v>
      </c>
      <c r="B24393" s="3" t="str">
        <f>HYPERLINK("https://www.773grp.com/manufacturer/renesas-electronics-america-inc?pageNo=461", "Renesas Electronics")</f>
        <v>Renesas Electronics</v>
      </c>
      <c r="C24393" s="6">
        <v>1033</v>
      </c>
      <c r="D24393" s="7">
        <v>3.66</v>
      </c>
    </row>
    <row r="24394" spans="1:4" x14ac:dyDescent="0.25">
      <c r="A24394" t="str">
        <f>HYPERLINK("https://www.773grp.com/globalSearch/BCR16CM-16LHJ6#B00/page-1", "BCR16CM-16LHJ6#B00")</f>
        <v>BCR16CM-16LHJ6#B00</v>
      </c>
      <c r="B24394" s="3" t="str">
        <f>HYPERLINK("https://www.773grp.com/manufacturer/renesas-electronics-america-inc?pageNo=462", "Renesas Electronics")</f>
        <v>Renesas Electronics</v>
      </c>
      <c r="C24394" s="6">
        <v>69929</v>
      </c>
      <c r="D24394" s="7">
        <v>3.66</v>
      </c>
    </row>
    <row r="24395" spans="1:4" x14ac:dyDescent="0.25">
      <c r="A24395" t="str">
        <f>HYPERLINK("https://www.773grp.com/globalSearch/M51392P/page-1", "M51392P")</f>
        <v>M51392P</v>
      </c>
      <c r="B24395" s="3" t="str">
        <f>HYPERLINK("https://www.773grp.com/manufacturer/renesas-electronics-america-inc?pageNo=463", "Renesas Electronics")</f>
        <v>Renesas Electronics</v>
      </c>
      <c r="C24395" s="6">
        <v>3654</v>
      </c>
      <c r="D24395" s="7">
        <v>3.66</v>
      </c>
    </row>
    <row r="24396" spans="1:4" x14ac:dyDescent="0.25">
      <c r="A24396" t="str">
        <f>HYPERLINK("https://www.773grp.com/globalSearch/M62301FP#CF0J/page-1", "M62301FP#CF0J")</f>
        <v>M62301FP#CF0J</v>
      </c>
      <c r="B24396" s="3" t="str">
        <f>HYPERLINK("https://www.773grp.com/manufacturer/renesas-electronics-america-inc?pageNo=464", "Renesas Electronics")</f>
        <v>Renesas Electronics</v>
      </c>
      <c r="C24396" s="6">
        <v>6000</v>
      </c>
      <c r="D24396" s="7">
        <v>3.66</v>
      </c>
    </row>
    <row r="24397" spans="1:4" x14ac:dyDescent="0.25">
      <c r="A24397" t="str">
        <f>HYPERLINK("https://www.773grp.com/globalSearch/M62301FP#TF0J/page-1", "M62301FP#TF0J")</f>
        <v>M62301FP#TF0J</v>
      </c>
      <c r="B24397" s="3" t="str">
        <f>HYPERLINK("https://www.773grp.com/manufacturer/renesas-electronics-america-inc?pageNo=465", "Renesas Electronics")</f>
        <v>Renesas Electronics</v>
      </c>
      <c r="C24397" s="6">
        <v>10834</v>
      </c>
      <c r="D24397" s="7">
        <v>3.66</v>
      </c>
    </row>
    <row r="24398" spans="1:4" x14ac:dyDescent="0.25">
      <c r="A24398" t="str">
        <f>HYPERLINK("https://www.773grp.com/globalSearch/R2S15903SP#T1/page-1", "R2S15903SP#T1")</f>
        <v>R2S15903SP#T1</v>
      </c>
      <c r="B24398" s="3" t="str">
        <f>HYPERLINK("https://www.773grp.com/manufacturer/renesas-electronics-america-inc?pageNo=466", "Renesas Electronics")</f>
        <v>Renesas Electronics</v>
      </c>
      <c r="C24398" s="6">
        <v>760</v>
      </c>
      <c r="D24398" s="7">
        <v>3.66</v>
      </c>
    </row>
    <row r="24399" spans="1:4" x14ac:dyDescent="0.25">
      <c r="A24399" t="str">
        <f>HYPERLINK("https://www.773grp.com/globalSearch/RJK2017DPE-WS#J3/page-1", "RJK2017DPE-WS#J3")</f>
        <v>RJK2017DPE-WS#J3</v>
      </c>
      <c r="B24399" s="3" t="str">
        <f>HYPERLINK("https://www.773grp.com/manufacturer/renesas-electronics-america-inc?pageNo=467", "Renesas Electronics")</f>
        <v>Renesas Electronics</v>
      </c>
      <c r="C24399" s="6">
        <v>680</v>
      </c>
      <c r="D24399" s="7">
        <v>3.66</v>
      </c>
    </row>
    <row r="24400" spans="1:4" x14ac:dyDescent="0.25">
      <c r="A24400" t="str">
        <f>HYPERLINK("https://www.773grp.com/globalSearch/RJK2017DPP-00#T2/page-1", "RJK2017DPP-00#T2")</f>
        <v>RJK2017DPP-00#T2</v>
      </c>
      <c r="B24400" s="3" t="str">
        <f>HYPERLINK("https://www.773grp.com/manufacturer/renesas-electronics-america-inc?pageNo=468", "Renesas Electronics")</f>
        <v>Renesas Electronics</v>
      </c>
      <c r="C24400" s="6">
        <v>629</v>
      </c>
      <c r="D24400" s="7">
        <v>3.66</v>
      </c>
    </row>
    <row r="24401" spans="1:4" x14ac:dyDescent="0.25">
      <c r="A24401" t="str">
        <f>HYPERLINK("https://www.773grp.com/globalSearch/RJK2017DPP-90#T2/page-1", "RJK2017DPP-90#T2")</f>
        <v>RJK2017DPP-90#T2</v>
      </c>
      <c r="B24401" s="3" t="str">
        <f>HYPERLINK("https://www.773grp.com/manufacturer/renesas-electronics-america-inc?pageNo=469", "Renesas Electronics")</f>
        <v>Renesas Electronics</v>
      </c>
      <c r="C24401" s="6">
        <v>1367</v>
      </c>
      <c r="D24401" s="7">
        <v>3.66</v>
      </c>
    </row>
    <row r="24402" spans="1:4" x14ac:dyDescent="0.25">
      <c r="A24402" t="str">
        <f>HYPERLINK("https://www.773grp.com/globalSearch/RJK2017DPP-B1#T2F/page-1", "RJK2017DPP-B1#T2F")</f>
        <v>RJK2017DPP-B1#T2F</v>
      </c>
      <c r="B24402" s="3" t="str">
        <f>HYPERLINK("https://www.773grp.com/manufacturer/renesas-electronics-america-inc?pageNo=470", "Renesas Electronics")</f>
        <v>Renesas Electronics</v>
      </c>
      <c r="C24402" s="6">
        <v>8000</v>
      </c>
      <c r="D24402" s="7">
        <v>3.66</v>
      </c>
    </row>
    <row r="24403" spans="1:4" x14ac:dyDescent="0.25">
      <c r="A24403" t="str">
        <f>HYPERLINK("https://www.773grp.com/globalSearch/RJP43F4ADPP-00#T2/page-1", "RJP43F4ADPP-00#T2")</f>
        <v>RJP43F4ADPP-00#T2</v>
      </c>
      <c r="B24403" s="3" t="str">
        <f>HYPERLINK("https://www.773grp.com/manufacturer/renesas-electronics-america-inc?pageNo=471", "Renesas Electronics")</f>
        <v>Renesas Electronics</v>
      </c>
      <c r="C24403" s="6">
        <v>19466</v>
      </c>
      <c r="D24403" s="7">
        <v>3.66</v>
      </c>
    </row>
    <row r="24404" spans="1:4" x14ac:dyDescent="0.25">
      <c r="A24404" t="str">
        <f>HYPERLINK("https://www.773grp.com/globalSearch/RJP56F4ADPP-00#T2/page-1", "RJP56F4ADPP-00#T2")</f>
        <v>RJP56F4ADPP-00#T2</v>
      </c>
      <c r="B24404" s="3" t="str">
        <f>HYPERLINK("https://www.773grp.com/manufacturer/renesas-electronics-america-inc?pageNo=472", "Renesas Electronics")</f>
        <v>Renesas Electronics</v>
      </c>
      <c r="C24404" s="6">
        <v>44959</v>
      </c>
      <c r="D24404" s="7">
        <v>3.66</v>
      </c>
    </row>
    <row r="24405" spans="1:4" x14ac:dyDescent="0.25">
      <c r="A24405" t="str">
        <f>HYPERLINK("https://www.773grp.com/globalSearch/RJP63K2DPP-MZ#T2/page-1", "RJP63K2DPP-MZ#T2")</f>
        <v>RJP63K2DPP-MZ#T2</v>
      </c>
      <c r="B24405" s="3" t="str">
        <f>HYPERLINK("https://www.773grp.com/manufacturer/renesas-electronics-america-inc?pageNo=473", "Renesas Electronics")</f>
        <v>Renesas Electronics</v>
      </c>
      <c r="C24405" s="6">
        <v>629</v>
      </c>
      <c r="D24405" s="7">
        <v>3.66</v>
      </c>
    </row>
    <row r="24406" spans="1:4" x14ac:dyDescent="0.25">
      <c r="A24406" t="str">
        <f>HYPERLINK("https://www.773grp.com/globalSearch/74LS07FPDEL-E/page-1", "74LS07FPDEL-E")</f>
        <v>74LS07FPDEL-E</v>
      </c>
      <c r="B24406" s="3" t="str">
        <f>HYPERLINK("https://www.773grp.com/manufacturer/renesas-electronics-america-inc?pageNo=474", "Renesas Electronics")</f>
        <v>Renesas Electronics</v>
      </c>
      <c r="C24406" s="6">
        <v>8000</v>
      </c>
      <c r="D24406" s="7">
        <v>4.0599999999999996</v>
      </c>
    </row>
    <row r="24407" spans="1:4" x14ac:dyDescent="0.25">
      <c r="A24407" t="str">
        <f>HYPERLINK("https://www.773grp.com/globalSearch/HA16121FP/page-1", "HA16121FP")</f>
        <v>HA16121FP</v>
      </c>
      <c r="B24407" s="3" t="str">
        <f>HYPERLINK("https://www.773grp.com/manufacturer/renesas-electronics-america-inc?pageNo=475", "Renesas Electronics")</f>
        <v>Renesas Electronics</v>
      </c>
      <c r="C24407" s="6">
        <v>2519</v>
      </c>
      <c r="D24407" s="7">
        <v>4.0599999999999996</v>
      </c>
    </row>
    <row r="24408" spans="1:4" x14ac:dyDescent="0.25">
      <c r="A24408" t="str">
        <f>HYPERLINK("https://www.773grp.com/globalSearch/M62343GP#DF5J/page-1", "M62343GP#DF5J")</f>
        <v>M62343GP#DF5J</v>
      </c>
      <c r="B24408" s="3" t="str">
        <f>HYPERLINK("https://www.773grp.com/manufacturer/renesas-electronics-america-inc?pageNo=476", "Renesas Electronics")</f>
        <v>Renesas Electronics</v>
      </c>
      <c r="C24408" s="6">
        <v>408000</v>
      </c>
      <c r="D24408" s="7">
        <v>4.0599999999999996</v>
      </c>
    </row>
    <row r="24409" spans="1:4" x14ac:dyDescent="0.25">
      <c r="A24409" t="str">
        <f>HYPERLINK("https://www.773grp.com/globalSearch/AC08DSMA(2)-AZ/page-1", "AC08DSMA(2)-AZ")</f>
        <v>AC08DSMA(2)-AZ</v>
      </c>
      <c r="B24409" s="3" t="str">
        <f>HYPERLINK("https://www.773grp.com/manufacturer/renesas-electronics-america-inc?pageNo=477", "Renesas Electronics")</f>
        <v>Renesas Electronics</v>
      </c>
      <c r="C24409" s="6">
        <v>381</v>
      </c>
      <c r="D24409" s="7">
        <v>3.68</v>
      </c>
    </row>
    <row r="24410" spans="1:4" x14ac:dyDescent="0.25">
      <c r="A24410" t="str">
        <f>HYPERLINK("https://www.773grp.com/globalSearch/AC10DSMA(2)-AZ/page-1", "AC10DSMA(2)-AZ")</f>
        <v>AC10DSMA(2)-AZ</v>
      </c>
      <c r="B24410" s="3" t="str">
        <f>HYPERLINK("https://www.773grp.com/manufacturer/renesas-electronics-america-inc?pageNo=478", "Renesas Electronics")</f>
        <v>Renesas Electronics</v>
      </c>
      <c r="C24410" s="6">
        <v>931</v>
      </c>
      <c r="D24410" s="7">
        <v>3.68</v>
      </c>
    </row>
    <row r="24411" spans="1:4" x14ac:dyDescent="0.25">
      <c r="A24411" t="str">
        <f>HYPERLINK("https://www.773grp.com/globalSearch/AC08FSMA(1)-AZ/page-1", "AC08FSMA(1)-AZ")</f>
        <v>AC08FSMA(1)-AZ</v>
      </c>
      <c r="B24411" s="3" t="str">
        <f>HYPERLINK("https://www.773grp.com/manufacturer/renesas-electronics-america-inc?pageNo=479", "Renesas Electronics")</f>
        <v>Renesas Electronics</v>
      </c>
      <c r="C24411" s="6">
        <v>3905</v>
      </c>
      <c r="D24411" s="7">
        <v>3.71</v>
      </c>
    </row>
    <row r="24412" spans="1:4" x14ac:dyDescent="0.25">
      <c r="A24412" t="str">
        <f>HYPERLINK("https://www.773grp.com/globalSearch/BCR10KM-12LA-AS#X2/page-1", "BCR10KM-12LA-AS#X2")</f>
        <v>BCR10KM-12LA-AS#X2</v>
      </c>
      <c r="B24412" s="3" t="str">
        <f>HYPERLINK("https://www.773grp.com/manufacturer/renesas-electronics-america-inc?pageNo=480", "Renesas Electronics")</f>
        <v>Renesas Electronics</v>
      </c>
      <c r="C24412" s="6">
        <v>199</v>
      </c>
      <c r="D24412" s="7">
        <v>3.71</v>
      </c>
    </row>
    <row r="24413" spans="1:4" x14ac:dyDescent="0.25">
      <c r="A24413" t="str">
        <f>HYPERLINK("https://www.773grp.com/globalSearch/5P4SMA(YC)-AZ/page-1", "5P4SMA(YC)-AZ")</f>
        <v>5P4SMA(YC)-AZ</v>
      </c>
      <c r="B24413" s="3" t="str">
        <f>HYPERLINK("https://www.773grp.com/manufacturer/renesas-electronics-america-inc?pageNo=481", "Renesas Electronics")</f>
        <v>Renesas Electronics</v>
      </c>
      <c r="C24413" s="6">
        <v>883</v>
      </c>
      <c r="D24413" s="7">
        <v>4.1100000000000003</v>
      </c>
    </row>
    <row r="24414" spans="1:4" x14ac:dyDescent="0.25">
      <c r="A24414" t="str">
        <f>HYPERLINK("https://www.773grp.com/globalSearch/M52461GP#DF0J/page-1", "M52461GP#DF0J")</f>
        <v>M52461GP#DF0J</v>
      </c>
      <c r="B24414" s="3" t="str">
        <f>HYPERLINK("https://www.773grp.com/manufacturer/renesas-electronics-america-inc?pageNo=482", "Renesas Electronics")</f>
        <v>Renesas Electronics</v>
      </c>
      <c r="C24414" s="6">
        <v>3000</v>
      </c>
      <c r="D24414" s="7">
        <v>4.1100000000000003</v>
      </c>
    </row>
    <row r="24415" spans="1:4" x14ac:dyDescent="0.25">
      <c r="A24415" t="str">
        <f>HYPERLINK("https://www.773grp.com/globalSearch/RJJ0621DPP-0P#T2/page-1", "RJJ0621DPP-0P#T2")</f>
        <v>RJJ0621DPP-0P#T2</v>
      </c>
      <c r="B24415" s="3" t="str">
        <f>HYPERLINK("https://www.773grp.com/manufacturer/renesas-electronics-america-inc?pageNo=483", "Renesas Electronics")</f>
        <v>Renesas Electronics</v>
      </c>
      <c r="C24415" s="6">
        <v>18474</v>
      </c>
      <c r="D24415" s="7">
        <v>4.1100000000000003</v>
      </c>
    </row>
    <row r="24416" spans="1:4" x14ac:dyDescent="0.25">
      <c r="A24416" t="str">
        <f>HYPERLINK("https://www.773grp.com/globalSearch/UPA2710GR-E2-A/page-1", "UPA2710GR-E2-A")</f>
        <v>UPA2710GR-E2-A</v>
      </c>
      <c r="B24416" s="3" t="str">
        <f>HYPERLINK("https://www.773grp.com/manufacturer/renesas-electronics-america-inc?pageNo=484", "Renesas Electronics")</f>
        <v>Renesas Electronics</v>
      </c>
      <c r="C24416" s="6">
        <v>27500</v>
      </c>
      <c r="D24416" s="7">
        <v>4.1100000000000003</v>
      </c>
    </row>
    <row r="24417" spans="1:4" x14ac:dyDescent="0.25">
      <c r="A24417" t="str">
        <f>HYPERLINK("https://www.773grp.com/globalSearch/FX30KMJ-06#B00/page-1", "FX30KMJ-06#B00")</f>
        <v>FX30KMJ-06#B00</v>
      </c>
      <c r="B24417" s="3" t="str">
        <f>HYPERLINK("https://www.773grp.com/manufacturer/renesas-electronics-america-inc?pageNo=485", "Renesas Electronics")</f>
        <v>Renesas Electronics</v>
      </c>
      <c r="C24417" s="6">
        <v>5083</v>
      </c>
      <c r="D24417" s="7">
        <v>3.75</v>
      </c>
    </row>
    <row r="24418" spans="1:4" x14ac:dyDescent="0.25">
      <c r="A24418" t="str">
        <f>HYPERLINK("https://www.773grp.com/globalSearch/2SA1396(1)-AZ/page-1", "2SA1396(1)-AZ")</f>
        <v>2SA1396(1)-AZ</v>
      </c>
      <c r="B24418" s="3" t="str">
        <f>HYPERLINK("https://www.773grp.com/manufacturer/renesas-electronics-america-inc?pageNo=486", "Renesas Electronics")</f>
        <v>Renesas Electronics</v>
      </c>
      <c r="C24418" s="6">
        <v>296</v>
      </c>
      <c r="D24418" s="7">
        <v>4.16</v>
      </c>
    </row>
    <row r="24419" spans="1:4" x14ac:dyDescent="0.25">
      <c r="A24419" t="str">
        <f>HYPERLINK("https://www.773grp.com/globalSearch/2SB765K-E/page-1", "2SB765K-E")</f>
        <v>2SB765K-E</v>
      </c>
      <c r="B24419" s="3" t="str">
        <f>HYPERLINK("https://www.773grp.com/manufacturer/renesas-electronics-america-inc?pageNo=487", "Renesas Electronics")</f>
        <v>Renesas Electronics</v>
      </c>
      <c r="C24419" s="6">
        <v>3346</v>
      </c>
      <c r="D24419" s="7">
        <v>4.16</v>
      </c>
    </row>
    <row r="24420" spans="1:4" x14ac:dyDescent="0.25">
      <c r="A24420" t="str">
        <f>HYPERLINK("https://www.773grp.com/globalSearch/74HC148P-E/page-1", "74HC148P-E")</f>
        <v>74HC148P-E</v>
      </c>
      <c r="B24420" s="3" t="str">
        <f>HYPERLINK("https://www.773grp.com/manufacturer/renesas-electronics-america-inc?pageNo=488", "Renesas Electronics")</f>
        <v>Renesas Electronics</v>
      </c>
      <c r="C24420" s="6">
        <v>9000</v>
      </c>
      <c r="D24420" s="7">
        <v>4.16</v>
      </c>
    </row>
    <row r="24421" spans="1:4" x14ac:dyDescent="0.25">
      <c r="A24421" t="str">
        <f>HYPERLINK("https://www.773grp.com/globalSearch/AC03DGM(CK)-AZ/page-1", "AC03DGM(CK)-AZ")</f>
        <v>AC03DGM(CK)-AZ</v>
      </c>
      <c r="B24421" s="3" t="str">
        <f>HYPERLINK("https://www.773grp.com/manufacturer/renesas-electronics-america-inc?pageNo=489", "Renesas Electronics")</f>
        <v>Renesas Electronics</v>
      </c>
      <c r="C24421" s="6">
        <v>216</v>
      </c>
      <c r="D24421" s="7">
        <v>4.16</v>
      </c>
    </row>
    <row r="24422" spans="1:4" x14ac:dyDescent="0.25">
      <c r="A24422" t="str">
        <f>HYPERLINK("https://www.773grp.com/globalSearch/RJK03R1DPA-00#J5A/page-1", "RJK03R1DPA-00#J5A")</f>
        <v>RJK03R1DPA-00#J5A</v>
      </c>
      <c r="B24422" s="3" t="str">
        <f>HYPERLINK("https://www.773grp.com/manufacturer/renesas-electronics-america-inc?pageNo=490", "Renesas Electronics")</f>
        <v>Renesas Electronics</v>
      </c>
      <c r="C24422" s="6">
        <v>1023000</v>
      </c>
      <c r="D24422" s="7">
        <v>4.16</v>
      </c>
    </row>
    <row r="24423" spans="1:4" x14ac:dyDescent="0.25">
      <c r="A24423" t="str">
        <f>HYPERLINK("https://www.773grp.com/globalSearch/2SA1441(016)-S6-AZ/page-1", "2SA1441(016)-S6-AZ")</f>
        <v>2SA1441(016)-S6-AZ</v>
      </c>
      <c r="B24423" s="3" t="str">
        <f>HYPERLINK("https://www.773grp.com/manufacturer/renesas-electronics-america-inc?pageNo=491", "Renesas Electronics")</f>
        <v>Renesas Electronics</v>
      </c>
      <c r="C24423" s="6">
        <v>1500</v>
      </c>
      <c r="D24423" s="7">
        <v>3.76</v>
      </c>
    </row>
    <row r="24424" spans="1:4" x14ac:dyDescent="0.25">
      <c r="A24424" t="str">
        <f>HYPERLINK("https://www.773grp.com/globalSearch/2SK214-E/page-1", "2SK214-E")</f>
        <v>2SK214-E</v>
      </c>
      <c r="B24424" s="3" t="str">
        <f>HYPERLINK("https://www.773grp.com/manufacturer/renesas-electronics-america-inc?pageNo=492", "Renesas Electronics")</f>
        <v>Renesas Electronics</v>
      </c>
      <c r="C24424" s="6">
        <v>2081</v>
      </c>
      <c r="D24424" s="7">
        <v>3.76</v>
      </c>
    </row>
    <row r="24425" spans="1:4" x14ac:dyDescent="0.25">
      <c r="A24425" t="str">
        <f>HYPERLINK("https://www.773grp.com/globalSearch/AC16DGM-AZ/page-1", "AC16DGM-AZ")</f>
        <v>AC16DGM-AZ</v>
      </c>
      <c r="B24425" s="3" t="str">
        <f>HYPERLINK("https://www.773grp.com/manufacturer/renesas-electronics-america-inc?pageNo=493", "Renesas Electronics")</f>
        <v>Renesas Electronics</v>
      </c>
      <c r="C24425" s="6">
        <v>519</v>
      </c>
      <c r="D24425" s="7">
        <v>3.76</v>
      </c>
    </row>
    <row r="24426" spans="1:4" x14ac:dyDescent="0.25">
      <c r="A24426" t="str">
        <f>HYPERLINK("https://www.773grp.com/globalSearch/HAF1002-90STL/page-1", "HAF1002-90STL")</f>
        <v>HAF1002-90STL</v>
      </c>
      <c r="B24426" s="3" t="str">
        <f>HYPERLINK("https://www.773grp.com/manufacturer/renesas-electronics-america-inc?pageNo=494", "Renesas Electronics")</f>
        <v>Renesas Electronics</v>
      </c>
      <c r="C24426" s="6">
        <v>1000</v>
      </c>
      <c r="D24426" s="7">
        <v>3.76</v>
      </c>
    </row>
    <row r="24427" spans="1:4" x14ac:dyDescent="0.25">
      <c r="A24427" t="str">
        <f>HYPERLINK("https://www.773grp.com/globalSearch/M62253BGP#D71J/page-1", "M62253BGP#D71J")</f>
        <v>M62253BGP#D71J</v>
      </c>
      <c r="B24427" s="3" t="str">
        <f>HYPERLINK("https://www.773grp.com/manufacturer/renesas-electronics-america-inc?pageNo=495", "Renesas Electronics")</f>
        <v>Renesas Electronics</v>
      </c>
      <c r="C24427" s="6">
        <v>12000</v>
      </c>
      <c r="D24427" s="7">
        <v>3.76</v>
      </c>
    </row>
    <row r="24428" spans="1:4" x14ac:dyDescent="0.25">
      <c r="A24428" t="str">
        <f>HYPERLINK("https://www.773grp.com/globalSearch/AC12FSMA-AZ/page-1", "AC12FSMA-AZ")</f>
        <v>AC12FSMA-AZ</v>
      </c>
      <c r="B24428" s="3" t="str">
        <f>HYPERLINK("https://www.773grp.com/manufacturer/renesas-electronics-america-inc?pageNo=496", "Renesas Electronics")</f>
        <v>Renesas Electronics</v>
      </c>
      <c r="C24428" s="6">
        <v>102</v>
      </c>
      <c r="D24428" s="7">
        <v>3.8</v>
      </c>
    </row>
    <row r="24429" spans="1:4" x14ac:dyDescent="0.25">
      <c r="A24429" t="str">
        <f>HYPERLINK("https://www.773grp.com/globalSearch/BCR5KM-12LA#C04/page-1", "BCR5KM-12LA#C04")</f>
        <v>BCR5KM-12LA#C04</v>
      </c>
      <c r="B24429" s="3" t="str">
        <f>HYPERLINK("https://www.773grp.com/manufacturer/renesas-electronics-america-inc?pageNo=497", "Renesas Electronics")</f>
        <v>Renesas Electronics</v>
      </c>
      <c r="C24429" s="6">
        <v>1774</v>
      </c>
      <c r="D24429" s="7">
        <v>3.8</v>
      </c>
    </row>
    <row r="24430" spans="1:4" x14ac:dyDescent="0.25">
      <c r="A24430" t="str">
        <f>HYPERLINK("https://www.773grp.com/globalSearch/R2S20030NP#DF0T/page-1", "R2S20030NP#DF0T")</f>
        <v>R2S20030NP#DF0T</v>
      </c>
      <c r="B24430" s="3" t="str">
        <f>HYPERLINK("https://www.773grp.com/manufacturer/renesas-electronics-america-inc?pageNo=498", "Renesas Electronics")</f>
        <v>Renesas Electronics</v>
      </c>
      <c r="C24430" s="6">
        <v>10000</v>
      </c>
      <c r="D24430" s="7">
        <v>3.8</v>
      </c>
    </row>
    <row r="24431" spans="1:4" x14ac:dyDescent="0.25">
      <c r="A24431" t="str">
        <f>HYPERLINK("https://www.773grp.com/globalSearch/2SB859C-E/page-1", "2SB859C-E")</f>
        <v>2SB859C-E</v>
      </c>
      <c r="B24431" s="3" t="str">
        <f>HYPERLINK("https://www.773grp.com/manufacturer/renesas-electronics-america-inc?pageNo=499", "Renesas Electronics")</f>
        <v>Renesas Electronics</v>
      </c>
      <c r="C24431" s="6">
        <v>599</v>
      </c>
      <c r="D24431" s="7">
        <v>4.2300000000000004</v>
      </c>
    </row>
    <row r="24432" spans="1:4" x14ac:dyDescent="0.25">
      <c r="A24432" t="str">
        <f>HYPERLINK("https://www.773grp.com/globalSearch/2SK3114-S17-AZ/page-1", "2SK3114-S17-AZ")</f>
        <v>2SK3114-S17-AZ</v>
      </c>
      <c r="B24432" s="3" t="str">
        <f>HYPERLINK("https://www.773grp.com/manufacturer/renesas-electronics-america-inc?pageNo=500", "Renesas Electronics")</f>
        <v>Renesas Electronics</v>
      </c>
      <c r="C24432" s="6">
        <v>1000</v>
      </c>
      <c r="D24432" s="7">
        <v>4.2300000000000004</v>
      </c>
    </row>
    <row r="24433" spans="1:4" x14ac:dyDescent="0.25">
      <c r="A24433" t="str">
        <f>HYPERLINK("https://www.773grp.com/globalSearch/74HC279FP-E/page-1", "74HC279FP-E")</f>
        <v>74HC279FP-E</v>
      </c>
      <c r="B24433" s="3" t="str">
        <f>HYPERLINK("https://www.773grp.com/manufacturer/renesas-electronics-america-inc?pageNo=501", "Renesas Electronics")</f>
        <v>Renesas Electronics</v>
      </c>
      <c r="C24433" s="6">
        <v>6000</v>
      </c>
      <c r="D24433" s="7">
        <v>4.2300000000000004</v>
      </c>
    </row>
    <row r="24434" spans="1:4" x14ac:dyDescent="0.25">
      <c r="A24434" t="str">
        <f>HYPERLINK("https://www.773grp.com/globalSearch/BCR4CM-16LH#B00/page-1", "BCR4CM-16LH#B00")</f>
        <v>BCR4CM-16LH#B00</v>
      </c>
      <c r="B24434" s="3" t="str">
        <f>HYPERLINK("https://www.773grp.com/manufacturer/renesas-electronics-america-inc?pageNo=502", "Renesas Electronics")</f>
        <v>Renesas Electronics</v>
      </c>
      <c r="C24434" s="6">
        <v>5264</v>
      </c>
      <c r="D24434" s="7">
        <v>4.2300000000000004</v>
      </c>
    </row>
    <row r="24435" spans="1:4" x14ac:dyDescent="0.25">
      <c r="A24435" t="str">
        <f>HYPERLINK("https://www.773grp.com/globalSearch/BCR4CM-16LH-1#B00/page-1", "BCR4CM-16LH-1#B00")</f>
        <v>BCR4CM-16LH-1#B00</v>
      </c>
      <c r="B24435" s="3" t="str">
        <f>HYPERLINK("https://www.773grp.com/manufacturer/renesas-electronics-america-inc?pageNo=503", "Renesas Electronics")</f>
        <v>Renesas Electronics</v>
      </c>
      <c r="C24435" s="6">
        <v>1123</v>
      </c>
      <c r="D24435" s="7">
        <v>4.2300000000000004</v>
      </c>
    </row>
    <row r="24436" spans="1:4" x14ac:dyDescent="0.25">
      <c r="A24436" t="str">
        <f>HYPERLINK("https://www.773grp.com/globalSearch/CR8CM-12A#B00/page-1", "CR8CM-12A#B00")</f>
        <v>CR8CM-12A#B00</v>
      </c>
      <c r="B24436" s="3" t="str">
        <f>HYPERLINK("https://www.773grp.com/manufacturer/renesas-electronics-america-inc?pageNo=504", "Renesas Electronics")</f>
        <v>Renesas Electronics</v>
      </c>
      <c r="C24436" s="6">
        <v>17757</v>
      </c>
      <c r="D24436" s="7">
        <v>4.2300000000000004</v>
      </c>
    </row>
    <row r="24437" spans="1:4" x14ac:dyDescent="0.25">
      <c r="A24437" t="str">
        <f>HYPERLINK("https://www.773grp.com/globalSearch/CR8CM-12A#C0G/page-1", "CR8CM-12A#C0G")</f>
        <v>CR8CM-12A#C0G</v>
      </c>
      <c r="B24437" s="3" t="str">
        <f>HYPERLINK("https://www.773grp.com/manufacturer/renesas-electronics-america-inc?pageNo=505", "Renesas Electronics")</f>
        <v>Renesas Electronics</v>
      </c>
      <c r="C24437" s="6">
        <v>845</v>
      </c>
      <c r="D24437" s="7">
        <v>4.2300000000000004</v>
      </c>
    </row>
    <row r="24438" spans="1:4" x14ac:dyDescent="0.25">
      <c r="A24438" t="str">
        <f>HYPERLINK("https://www.773grp.com/globalSearch/CR8CM-12A-A8#P01/page-1", "CR8CM-12A-A8#P01")</f>
        <v>CR8CM-12A-A8#P01</v>
      </c>
      <c r="B24438" s="3" t="str">
        <f>HYPERLINK("https://www.773grp.com/manufacturer/renesas-electronics-america-inc?pageNo=506", "Renesas Electronics")</f>
        <v>Renesas Electronics</v>
      </c>
      <c r="C24438" s="6">
        <v>75767</v>
      </c>
      <c r="D24438" s="7">
        <v>4.2300000000000004</v>
      </c>
    </row>
    <row r="24439" spans="1:4" x14ac:dyDescent="0.25">
      <c r="A24439" t="str">
        <f>HYPERLINK("https://www.773grp.com/globalSearch/RJK0379DPA-00#J53/page-1", "RJK0379DPA-00#J53")</f>
        <v>RJK0379DPA-00#J53</v>
      </c>
      <c r="B24439" s="3" t="str">
        <f>HYPERLINK("https://www.773grp.com/manufacturer/renesas-electronics-america-inc?pageNo=507", "Renesas Electronics")</f>
        <v>Renesas Electronics</v>
      </c>
      <c r="C24439" s="6">
        <v>9000</v>
      </c>
      <c r="D24439" s="7">
        <v>4.2300000000000004</v>
      </c>
    </row>
    <row r="24440" spans="1:4" x14ac:dyDescent="0.25">
      <c r="A24440" t="str">
        <f>HYPERLINK("https://www.773grp.com/globalSearch/RJK0379DPA-WS#J53/page-1", "RJK0379DPA-WS#J53")</f>
        <v>RJK0379DPA-WS#J53</v>
      </c>
      <c r="B24440" s="3" t="str">
        <f>HYPERLINK("https://www.773grp.com/manufacturer/renesas-electronics-america-inc?pageNo=508", "Renesas Electronics")</f>
        <v>Renesas Electronics</v>
      </c>
      <c r="C24440" s="6">
        <v>2700</v>
      </c>
      <c r="D24440" s="7">
        <v>4.2300000000000004</v>
      </c>
    </row>
    <row r="24441" spans="1:4" x14ac:dyDescent="0.25">
      <c r="A24441" t="str">
        <f>HYPERLINK("https://www.773grp.com/globalSearch/RJK0390DPA-00#J53/page-1", "RJK0390DPA-00#J53")</f>
        <v>RJK0390DPA-00#J53</v>
      </c>
      <c r="B24441" s="3" t="str">
        <f>HYPERLINK("https://www.773grp.com/manufacturer/renesas-electronics-america-inc?pageNo=509", "Renesas Electronics")</f>
        <v>Renesas Electronics</v>
      </c>
      <c r="C24441" s="6">
        <v>60000</v>
      </c>
      <c r="D24441" s="7">
        <v>4.2300000000000004</v>
      </c>
    </row>
    <row r="24442" spans="1:4" x14ac:dyDescent="0.25">
      <c r="A24442" t="str">
        <f>HYPERLINK("https://www.773grp.com/globalSearch/RJK0390DPA-00#J5A/page-1", "RJK0390DPA-00#J5A")</f>
        <v>RJK0390DPA-00#J5A</v>
      </c>
      <c r="B24442" s="3" t="str">
        <f>HYPERLINK("https://www.773grp.com/manufacturer/renesas-electronics-america-inc?pageNo=510", "Renesas Electronics")</f>
        <v>Renesas Electronics</v>
      </c>
      <c r="C24442" s="6">
        <v>6000</v>
      </c>
      <c r="D24442" s="7">
        <v>4.2300000000000004</v>
      </c>
    </row>
    <row r="24443" spans="1:4" x14ac:dyDescent="0.25">
      <c r="A24443" t="str">
        <f>HYPERLINK("https://www.773grp.com/globalSearch/RJK0390DPA-02#J5A/page-1", "RJK0390DPA-02#J5A")</f>
        <v>RJK0390DPA-02#J5A</v>
      </c>
      <c r="B24443" s="3" t="str">
        <f>HYPERLINK("https://www.773grp.com/manufacturer/renesas-electronics-america-inc?pageNo=511", "Renesas Electronics")</f>
        <v>Renesas Electronics</v>
      </c>
      <c r="C24443" s="6">
        <v>351000</v>
      </c>
      <c r="D24443" s="7">
        <v>4.2300000000000004</v>
      </c>
    </row>
    <row r="24444" spans="1:4" x14ac:dyDescent="0.25">
      <c r="A24444" t="str">
        <f>HYPERLINK("https://www.773grp.com/globalSearch/RJK0390DPA-WS#J53/page-1", "RJK0390DPA-WS#J53")</f>
        <v>RJK0390DPA-WS#J53</v>
      </c>
      <c r="B24444" s="3" t="str">
        <f>HYPERLINK("https://www.773grp.com/manufacturer/renesas-electronics-america-inc?pageNo=512", "Renesas Electronics")</f>
        <v>Renesas Electronics</v>
      </c>
      <c r="C24444" s="6">
        <v>5858</v>
      </c>
      <c r="D24444" s="7">
        <v>4.2300000000000004</v>
      </c>
    </row>
    <row r="24445" spans="1:4" x14ac:dyDescent="0.25">
      <c r="A24445" t="str">
        <f>HYPERLINK("https://www.773grp.com/globalSearch/RJK0391DPA-WS#J53/page-1", "RJK0391DPA-WS#J53")</f>
        <v>RJK0391DPA-WS#J53</v>
      </c>
      <c r="B24445" s="3" t="str">
        <f>HYPERLINK("https://www.773grp.com/manufacturer/renesas-electronics-america-inc?pageNo=513", "Renesas Electronics")</f>
        <v>Renesas Electronics</v>
      </c>
      <c r="C24445" s="6">
        <v>1510</v>
      </c>
      <c r="D24445" s="7">
        <v>4.2300000000000004</v>
      </c>
    </row>
    <row r="24446" spans="1:4" x14ac:dyDescent="0.25">
      <c r="A24446" t="str">
        <f>HYPERLINK("https://www.773grp.com/globalSearch/RJK03P7DPA-00#J5A/page-1", "RJK03P7DPA-00#J5A")</f>
        <v>RJK03P7DPA-00#J5A</v>
      </c>
      <c r="B24446" s="3" t="str">
        <f>HYPERLINK("https://www.773grp.com/manufacturer/renesas-electronics-america-inc?pageNo=514", "Renesas Electronics")</f>
        <v>Renesas Electronics</v>
      </c>
      <c r="C24446" s="6">
        <v>27000</v>
      </c>
      <c r="D24446" s="7">
        <v>4.2300000000000004</v>
      </c>
    </row>
    <row r="24447" spans="1:4" x14ac:dyDescent="0.25">
      <c r="A24447" t="str">
        <f>HYPERLINK("https://www.773grp.com/globalSearch/RJK03P7DPA-WS#J5A/page-1", "RJK03P7DPA-WS#J5A")</f>
        <v>RJK03P7DPA-WS#J5A</v>
      </c>
      <c r="B24447" s="3" t="str">
        <f>HYPERLINK("https://www.773grp.com/manufacturer/renesas-electronics-america-inc?pageNo=515", "Renesas Electronics")</f>
        <v>Renesas Electronics</v>
      </c>
      <c r="C24447" s="6">
        <v>2950</v>
      </c>
      <c r="D24447" s="7">
        <v>4.2300000000000004</v>
      </c>
    </row>
    <row r="24448" spans="1:4" x14ac:dyDescent="0.25">
      <c r="A24448" t="str">
        <f>HYPERLINK("https://www.773grp.com/globalSearch/RJK03P8DPA-00#J5A/page-1", "RJK03P8DPA-00#J5A")</f>
        <v>RJK03P8DPA-00#J5A</v>
      </c>
      <c r="B24448" s="3" t="str">
        <f>HYPERLINK("https://www.773grp.com/manufacturer/renesas-electronics-america-inc?pageNo=516", "Renesas Electronics")</f>
        <v>Renesas Electronics</v>
      </c>
      <c r="C24448" s="6">
        <v>792000</v>
      </c>
      <c r="D24448" s="7">
        <v>4.2300000000000004</v>
      </c>
    </row>
    <row r="24449" spans="1:4" x14ac:dyDescent="0.25">
      <c r="A24449" t="str">
        <f>HYPERLINK("https://www.773grp.com/globalSearch/RJK03P9DPA-00#J5A/page-1", "RJK03P9DPA-00#J5A")</f>
        <v>RJK03P9DPA-00#J5A</v>
      </c>
      <c r="B24449" s="3" t="str">
        <f>HYPERLINK("https://www.773grp.com/manufacturer/renesas-electronics-america-inc?pageNo=517", "Renesas Electronics")</f>
        <v>Renesas Electronics</v>
      </c>
      <c r="C24449" s="6">
        <v>24000</v>
      </c>
      <c r="D24449" s="7">
        <v>4.2300000000000004</v>
      </c>
    </row>
    <row r="24450" spans="1:4" x14ac:dyDescent="0.25">
      <c r="A24450" t="str">
        <f>HYPERLINK("https://www.773grp.com/globalSearch/RJK03P9DPA-WS#J5A/page-1", "RJK03P9DPA-WS#J5A")</f>
        <v>RJK03P9DPA-WS#J5A</v>
      </c>
      <c r="B24450" s="3" t="str">
        <f>HYPERLINK("https://www.773grp.com/manufacturer/renesas-electronics-america-inc?pageNo=518", "Renesas Electronics")</f>
        <v>Renesas Electronics</v>
      </c>
      <c r="C24450" s="6">
        <v>2900</v>
      </c>
      <c r="D24450" s="7">
        <v>4.2300000000000004</v>
      </c>
    </row>
    <row r="24451" spans="1:4" x14ac:dyDescent="0.25">
      <c r="A24451" t="str">
        <f>HYPERLINK("https://www.773grp.com/globalSearch/RJP30H1DPD-A0#Q2/page-1", "RJP30H1DPD-A0#Q2")</f>
        <v>RJP30H1DPD-A0#Q2</v>
      </c>
      <c r="B24451" s="3" t="str">
        <f>HYPERLINK("https://www.773grp.com/manufacturer/renesas-electronics-america-inc?pageNo=519", "Renesas Electronics")</f>
        <v>Renesas Electronics</v>
      </c>
      <c r="C24451" s="6">
        <v>15000</v>
      </c>
      <c r="D24451" s="7">
        <v>4.2300000000000004</v>
      </c>
    </row>
    <row r="24452" spans="1:4" x14ac:dyDescent="0.25">
      <c r="A24452" t="str">
        <f>HYPERLINK("https://www.773grp.com/globalSearch/RJP4002ASA-00#Q0/page-1", "RJP4002ASA-00#Q0")</f>
        <v>RJP4002ASA-00#Q0</v>
      </c>
      <c r="B24452" s="3" t="str">
        <f>HYPERLINK("https://www.773grp.com/manufacturer/renesas-electronics-america-inc?pageNo=520", "Renesas Electronics")</f>
        <v>Renesas Electronics</v>
      </c>
      <c r="C24452" s="6">
        <v>6000</v>
      </c>
      <c r="D24452" s="7">
        <v>4.2300000000000004</v>
      </c>
    </row>
    <row r="24453" spans="1:4" x14ac:dyDescent="0.25">
      <c r="A24453" t="str">
        <f>HYPERLINK("https://www.773grp.com/globalSearch/2SK1400A-E/page-1", "2SK1400A-E")</f>
        <v>2SK1400A-E</v>
      </c>
      <c r="B24453" s="3" t="str">
        <f>HYPERLINK("https://www.773grp.com/manufacturer/renesas-electronics-america-inc?pageNo=521", "Renesas Electronics")</f>
        <v>Renesas Electronics</v>
      </c>
      <c r="C24453" s="6">
        <v>240</v>
      </c>
      <c r="D24453" s="7">
        <v>3.83</v>
      </c>
    </row>
    <row r="24454" spans="1:4" x14ac:dyDescent="0.25">
      <c r="A24454" t="str">
        <f>HYPERLINK("https://www.773grp.com/globalSearch/2SK1637-E/page-1", "2SK1637-E")</f>
        <v>2SK1637-E</v>
      </c>
      <c r="B24454" s="3" t="str">
        <f>HYPERLINK("https://www.773grp.com/manufacturer/renesas-electronics-america-inc?pageNo=522", "Renesas Electronics")</f>
        <v>Renesas Electronics</v>
      </c>
      <c r="C24454" s="6">
        <v>1444</v>
      </c>
      <c r="D24454" s="7">
        <v>3.83</v>
      </c>
    </row>
    <row r="24455" spans="1:4" x14ac:dyDescent="0.25">
      <c r="A24455" t="str">
        <f>HYPERLINK("https://www.773grp.com/globalSearch/2SK551/page-1", "2SK551")</f>
        <v>2SK551</v>
      </c>
      <c r="B24455" s="3" t="str">
        <f>HYPERLINK("https://www.773grp.com/manufacturer/renesas-electronics-america-inc?pageNo=523", "Renesas Electronics")</f>
        <v>Renesas Electronics</v>
      </c>
      <c r="C24455" s="6">
        <v>624</v>
      </c>
      <c r="D24455" s="7">
        <v>3.83</v>
      </c>
    </row>
    <row r="24456" spans="1:4" x14ac:dyDescent="0.25">
      <c r="A24456" t="str">
        <f>HYPERLINK("https://www.773grp.com/globalSearch/FK10KM-12-A8#B00/page-1", "FK10KM-12-A8#B00")</f>
        <v>FK10KM-12-A8#B00</v>
      </c>
      <c r="B24456" s="3" t="str">
        <f>HYPERLINK("https://www.773grp.com/manufacturer/renesas-electronics-america-inc?pageNo=524", "Renesas Electronics")</f>
        <v>Renesas Electronics</v>
      </c>
      <c r="C24456" s="6">
        <v>464</v>
      </c>
      <c r="D24456" s="7">
        <v>3.83</v>
      </c>
    </row>
    <row r="24457" spans="1:4" x14ac:dyDescent="0.25">
      <c r="A24457" t="str">
        <f>HYPERLINK("https://www.773grp.com/globalSearch/UPD78F9512GR(R)-JJG-A/page-1", "UPD78F9512GR(R)-JJG-A")</f>
        <v>UPD78F9512GR(R)-JJG-A</v>
      </c>
      <c r="B24457" s="3" t="str">
        <f>HYPERLINK("https://www.773grp.com/manufacturer/renesas-electronics-america-inc?pageNo=525", "Renesas Electronics")</f>
        <v>Renesas Electronics</v>
      </c>
      <c r="C24457" s="6">
        <v>100</v>
      </c>
      <c r="D24457" s="7">
        <v>3.83</v>
      </c>
    </row>
    <row r="24458" spans="1:4" x14ac:dyDescent="0.25">
      <c r="A24458" t="str">
        <f>HYPERLINK("https://www.773grp.com/globalSearch/1SZ50/page-1", "1SZ50")</f>
        <v>1SZ50</v>
      </c>
      <c r="B24458" s="3" t="str">
        <f>HYPERLINK("https://www.773grp.com/manufacturer/renesas-electronics-america-inc?pageNo=526", "Renesas Electronics")</f>
        <v>Renesas Electronics</v>
      </c>
      <c r="C24458" s="6">
        <v>77</v>
      </c>
      <c r="D24458" s="7">
        <v>3.85</v>
      </c>
    </row>
    <row r="24459" spans="1:4" x14ac:dyDescent="0.25">
      <c r="A24459" t="str">
        <f>HYPERLINK("https://www.773grp.com/globalSearch/1SZ50-AZ/page-1", "1SZ50-AZ")</f>
        <v>1SZ50-AZ</v>
      </c>
      <c r="B24459" s="3" t="str">
        <f>HYPERLINK("https://www.773grp.com/manufacturer/renesas-electronics-america-inc?pageNo=527", "Renesas Electronics")</f>
        <v>Renesas Electronics</v>
      </c>
      <c r="C24459" s="6">
        <v>3150</v>
      </c>
      <c r="D24459" s="7">
        <v>3.85</v>
      </c>
    </row>
    <row r="24460" spans="1:4" x14ac:dyDescent="0.25">
      <c r="A24460" t="str">
        <f>HYPERLINK("https://www.773grp.com/globalSearch/2SB566AKC-E/page-1", "2SB566AKC-E")</f>
        <v>2SB566AKC-E</v>
      </c>
      <c r="B24460" s="3" t="str">
        <f>HYPERLINK("https://www.773grp.com/manufacturer/renesas-electronics-america-inc?pageNo=528", "Renesas Electronics")</f>
        <v>Renesas Electronics</v>
      </c>
      <c r="C24460" s="6">
        <v>585</v>
      </c>
      <c r="D24460" s="7">
        <v>3.85</v>
      </c>
    </row>
    <row r="24461" spans="1:4" x14ac:dyDescent="0.25">
      <c r="A24461" t="str">
        <f>HYPERLINK("https://www.773grp.com/globalSearch/AC10FSMA(3)-AZ/page-1", "AC10FSMA(3)-AZ")</f>
        <v>AC10FSMA(3)-AZ</v>
      </c>
      <c r="B24461" s="3" t="str">
        <f>HYPERLINK("https://www.773grp.com/manufacturer/renesas-electronics-america-inc?pageNo=529", "Renesas Electronics")</f>
        <v>Renesas Electronics</v>
      </c>
      <c r="C24461" s="6">
        <v>787</v>
      </c>
      <c r="D24461" s="7">
        <v>3.85</v>
      </c>
    </row>
    <row r="24462" spans="1:4" x14ac:dyDescent="0.25">
      <c r="A24462" t="str">
        <f>HYPERLINK("https://www.773grp.com/globalSearch/HAT1125HWS-E/page-1", "HAT1125HWS-E")</f>
        <v>HAT1125HWS-E</v>
      </c>
      <c r="B24462" s="3" t="str">
        <f>HYPERLINK("https://www.773grp.com/manufacturer/renesas-electronics-america-inc?pageNo=530", "Renesas Electronics")</f>
        <v>Renesas Electronics</v>
      </c>
      <c r="C24462" s="6">
        <v>2020</v>
      </c>
      <c r="D24462" s="7">
        <v>3.85</v>
      </c>
    </row>
    <row r="24463" spans="1:4" x14ac:dyDescent="0.25">
      <c r="A24463" t="str">
        <f>HYPERLINK("https://www.773grp.com/globalSearch/R2A30409NP#W00R/page-1", "R2A30409NP#W00R")</f>
        <v>R2A30409NP#W00R</v>
      </c>
      <c r="B24463" s="3" t="str">
        <f>HYPERLINK("https://www.773grp.com/manufacturer/renesas-electronics-america-inc?pageNo=531", "Renesas Electronics")</f>
        <v>Renesas Electronics</v>
      </c>
      <c r="C24463" s="6">
        <v>170000</v>
      </c>
      <c r="D24463" s="7">
        <v>3.85</v>
      </c>
    </row>
    <row r="24464" spans="1:4" x14ac:dyDescent="0.25">
      <c r="A24464" t="str">
        <f>HYPERLINK("https://www.773grp.com/globalSearch/RJP63F3DPP-Z0#T2/page-1", "RJP63F3DPP-Z0#T2")</f>
        <v>RJP63F3DPP-Z0#T2</v>
      </c>
      <c r="B24464" s="3" t="str">
        <f>HYPERLINK("https://www.773grp.com/manufacturer/renesas-electronics-america-inc?pageNo=532", "Renesas Electronics")</f>
        <v>Renesas Electronics</v>
      </c>
      <c r="C24464" s="6">
        <v>1519</v>
      </c>
      <c r="D24464" s="7">
        <v>3.85</v>
      </c>
    </row>
    <row r="24465" spans="1:4" x14ac:dyDescent="0.25">
      <c r="A24465" t="str">
        <f>HYPERLINK("https://www.773grp.com/globalSearch/UPA1601GS-A/page-1", "UPA1601GS-A")</f>
        <v>UPA1601GS-A</v>
      </c>
      <c r="B24465" s="3" t="str">
        <f>HYPERLINK("https://www.773grp.com/manufacturer/renesas-electronics-america-inc?pageNo=533", "Renesas Electronics")</f>
        <v>Renesas Electronics</v>
      </c>
      <c r="C24465" s="6">
        <v>168</v>
      </c>
      <c r="D24465" s="7">
        <v>3.85</v>
      </c>
    </row>
    <row r="24466" spans="1:4" x14ac:dyDescent="0.25">
      <c r="A24466" t="str">
        <f>HYPERLINK("https://www.773grp.com/globalSearch/2SK1949L-E/page-1", "2SK1949L-E")</f>
        <v>2SK1949L-E</v>
      </c>
      <c r="B24466" s="3" t="str">
        <f>HYPERLINK("https://www.773grp.com/manufacturer/renesas-electronics-america-inc?pageNo=534", "Renesas Electronics")</f>
        <v>Renesas Electronics</v>
      </c>
      <c r="C24466" s="6">
        <v>4886</v>
      </c>
      <c r="D24466" s="7">
        <v>4.28</v>
      </c>
    </row>
    <row r="24467" spans="1:4" x14ac:dyDescent="0.25">
      <c r="A24467" t="str">
        <f>HYPERLINK("https://www.773grp.com/globalSearch/5P4SMA(YK)-AZ/page-1", "5P4SMA(YK)-AZ")</f>
        <v>5P4SMA(YK)-AZ</v>
      </c>
      <c r="B24467" s="3" t="str">
        <f>HYPERLINK("https://www.773grp.com/manufacturer/renesas-electronics-america-inc?pageNo=535", "Renesas Electronics")</f>
        <v>Renesas Electronics</v>
      </c>
      <c r="C24467" s="6">
        <v>1022</v>
      </c>
      <c r="D24467" s="7">
        <v>4.28</v>
      </c>
    </row>
    <row r="24468" spans="1:4" x14ac:dyDescent="0.25">
      <c r="A24468" t="str">
        <f>HYPERLINK("https://www.773grp.com/globalSearch/AC03FGM(9)-AZ/page-1", "AC03FGM(9)-AZ")</f>
        <v>AC03FGM(9)-AZ</v>
      </c>
      <c r="B24468" s="3" t="str">
        <f>HYPERLINK("https://www.773grp.com/manufacturer/renesas-electronics-america-inc?pageNo=536", "Renesas Electronics")</f>
        <v>Renesas Electronics</v>
      </c>
      <c r="C24468" s="6">
        <v>37163</v>
      </c>
      <c r="D24468" s="7">
        <v>4.28</v>
      </c>
    </row>
    <row r="24469" spans="1:4" x14ac:dyDescent="0.25">
      <c r="A24469" t="str">
        <f>HYPERLINK("https://www.773grp.com/globalSearch/BCR10CM-12LB#B01/page-1", "BCR10CM-12LB#B01")</f>
        <v>BCR10CM-12LB#B01</v>
      </c>
      <c r="B24469" s="3" t="str">
        <f>HYPERLINK("https://www.773grp.com/manufacturer/renesas-electronics-america-inc?pageNo=537", "Renesas Electronics")</f>
        <v>Renesas Electronics</v>
      </c>
      <c r="C24469" s="6">
        <v>27522</v>
      </c>
      <c r="D24469" s="7">
        <v>4.28</v>
      </c>
    </row>
    <row r="24470" spans="1:4" x14ac:dyDescent="0.25">
      <c r="A24470" t="str">
        <f>HYPERLINK("https://www.773grp.com/globalSearch/HA17451AP/page-1", "HA17451AP")</f>
        <v>HA17451AP</v>
      </c>
      <c r="B24470" s="3" t="str">
        <f>HYPERLINK("https://www.773grp.com/manufacturer/renesas-electronics-america-inc?pageNo=538", "Renesas Electronics")</f>
        <v>Renesas Electronics</v>
      </c>
      <c r="C24470" s="6">
        <v>2724</v>
      </c>
      <c r="D24470" s="7">
        <v>4.28</v>
      </c>
    </row>
    <row r="24471" spans="1:4" x14ac:dyDescent="0.25">
      <c r="A24471" t="str">
        <f>HYPERLINK("https://www.773grp.com/globalSearch/HA178L09UA-TL-E/page-1", "HA178L09UA-TL-E")</f>
        <v>HA178L09UA-TL-E</v>
      </c>
      <c r="B24471" s="3" t="str">
        <f>HYPERLINK("https://www.773grp.com/manufacturer/renesas-electronics-america-inc?pageNo=539", "Renesas Electronics")</f>
        <v>Renesas Electronics</v>
      </c>
      <c r="C24471" s="6">
        <v>21000</v>
      </c>
      <c r="D24471" s="7">
        <v>4.28</v>
      </c>
    </row>
    <row r="24472" spans="1:4" x14ac:dyDescent="0.25">
      <c r="A24472" t="str">
        <f>HYPERLINK("https://www.773grp.com/globalSearch/UPA2760T1A-E2-AT/page-1", "UPA2760T1A-E2-AT")</f>
        <v>UPA2760T1A-E2-AT</v>
      </c>
      <c r="B24472" s="3" t="str">
        <f>HYPERLINK("https://www.773grp.com/manufacturer/renesas-electronics-america-inc?pageNo=540", "Renesas Electronics")</f>
        <v>Renesas Electronics</v>
      </c>
      <c r="C24472" s="6">
        <v>351000</v>
      </c>
      <c r="D24472" s="7">
        <v>4.28</v>
      </c>
    </row>
    <row r="24473" spans="1:4" x14ac:dyDescent="0.25">
      <c r="A24473" t="str">
        <f>HYPERLINK("https://www.773grp.com/globalSearch/2SK3326-AZ/page-1", "2SK3326-AZ")</f>
        <v>2SK3326-AZ</v>
      </c>
      <c r="B24473" s="3" t="str">
        <f>HYPERLINK("https://www.773grp.com/manufacturer/renesas-electronics-america-inc?pageNo=541", "Renesas Electronics")</f>
        <v>Renesas Electronics</v>
      </c>
      <c r="C24473" s="6">
        <v>11452</v>
      </c>
      <c r="D24473" s="7">
        <v>3.89</v>
      </c>
    </row>
    <row r="24474" spans="1:4" x14ac:dyDescent="0.25">
      <c r="A24474" t="str">
        <f>HYPERLINK("https://www.773grp.com/globalSearch/M62320P#TF5J/page-1", "M62320P#TF5J")</f>
        <v>M62320P#TF5J</v>
      </c>
      <c r="B24474" s="3" t="str">
        <f>HYPERLINK("https://www.773grp.com/manufacturer/renesas-electronics-america-inc?pageNo=542", "Renesas Electronics")</f>
        <v>Renesas Electronics</v>
      </c>
      <c r="C24474" s="6">
        <v>484</v>
      </c>
      <c r="D24474" s="7">
        <v>3.89</v>
      </c>
    </row>
    <row r="24475" spans="1:4" x14ac:dyDescent="0.25">
      <c r="A24475" t="str">
        <f>HYPERLINK("https://www.773grp.com/globalSearch/2P4M(34)-AZ/page-1", "2P4M(34)-AZ")</f>
        <v>2P4M(34)-AZ</v>
      </c>
      <c r="B24475" s="3" t="str">
        <f>HYPERLINK("https://www.773grp.com/manufacturer/renesas-electronics-america-inc?pageNo=543", "Renesas Electronics")</f>
        <v>Renesas Electronics</v>
      </c>
      <c r="C24475" s="6">
        <v>796</v>
      </c>
      <c r="D24475" s="7">
        <v>4.33</v>
      </c>
    </row>
    <row r="24476" spans="1:4" x14ac:dyDescent="0.25">
      <c r="A24476" t="str">
        <f>HYPERLINK("https://www.773grp.com/globalSearch/2V5P4M-AZ/page-1", "2V5P4M-AZ")</f>
        <v>2V5P4M-AZ</v>
      </c>
      <c r="B24476" s="3" t="str">
        <f>HYPERLINK("https://www.773grp.com/manufacturer/renesas-electronics-america-inc?pageNo=544", "Renesas Electronics")</f>
        <v>Renesas Electronics</v>
      </c>
      <c r="C24476" s="6">
        <v>12728</v>
      </c>
      <c r="D24476" s="7">
        <v>4.33</v>
      </c>
    </row>
    <row r="24477" spans="1:4" x14ac:dyDescent="0.25">
      <c r="A24477" t="str">
        <f>HYPERLINK("https://www.773grp.com/globalSearch/74HC279FPEL-E/page-1", "74HC279FPEL-E")</f>
        <v>74HC279FPEL-E</v>
      </c>
      <c r="B24477" s="3" t="str">
        <f>HYPERLINK("https://www.773grp.com/manufacturer/renesas-electronics-america-inc?pageNo=545", "Renesas Electronics")</f>
        <v>Renesas Electronics</v>
      </c>
      <c r="C24477" s="6">
        <v>6000</v>
      </c>
      <c r="D24477" s="7">
        <v>4.33</v>
      </c>
    </row>
    <row r="24478" spans="1:4" x14ac:dyDescent="0.25">
      <c r="A24478" t="str">
        <f>HYPERLINK("https://www.773grp.com/globalSearch/HAT2198WP-EL-E/page-1", "HAT2198WP-EL-E")</f>
        <v>HAT2198WP-EL-E</v>
      </c>
      <c r="B24478" s="3" t="str">
        <f>HYPERLINK("https://www.773grp.com/manufacturer/renesas-electronics-america-inc?pageNo=546", "Renesas Electronics")</f>
        <v>Renesas Electronics</v>
      </c>
      <c r="C24478" s="6">
        <v>17500</v>
      </c>
      <c r="D24478" s="7">
        <v>4.33</v>
      </c>
    </row>
    <row r="24479" spans="1:4" x14ac:dyDescent="0.25">
      <c r="A24479" t="str">
        <f>HYPERLINK("https://www.773grp.com/globalSearch/2SK1153-E/page-1", "2SK1153-E")</f>
        <v>2SK1153-E</v>
      </c>
      <c r="B24479" s="3" t="str">
        <f>HYPERLINK("https://www.773grp.com/manufacturer/renesas-electronics-america-inc?pageNo=547", "Renesas Electronics")</f>
        <v>Renesas Electronics</v>
      </c>
      <c r="C24479" s="6">
        <v>2738</v>
      </c>
      <c r="D24479" s="7">
        <v>3.91</v>
      </c>
    </row>
    <row r="24480" spans="1:4" x14ac:dyDescent="0.25">
      <c r="A24480" t="str">
        <f>HYPERLINK("https://www.773grp.com/globalSearch/BCR12KM-12LA-1A6X2/page-1", "BCR12KM-12LA-1A6X2")</f>
        <v>BCR12KM-12LA-1A6X2</v>
      </c>
      <c r="B24480" s="3" t="str">
        <f>HYPERLINK("https://www.773grp.com/manufacturer/renesas-electronics-america-inc?pageNo=548", "Renesas Electronics")</f>
        <v>Renesas Electronics</v>
      </c>
      <c r="C24480" s="6">
        <v>901</v>
      </c>
      <c r="D24480" s="7">
        <v>3.91</v>
      </c>
    </row>
    <row r="24481" spans="1:4" x14ac:dyDescent="0.25">
      <c r="A24481" t="str">
        <f>HYPERLINK("https://www.773grp.com/globalSearch/BCR12KM-12LA-A5#X2/page-1", "BCR12KM-12LA-A5#X2")</f>
        <v>BCR12KM-12LA-A5#X2</v>
      </c>
      <c r="B24481" s="3" t="str">
        <f>HYPERLINK("https://www.773grp.com/manufacturer/renesas-electronics-america-inc?pageNo=549", "Renesas Electronics")</f>
        <v>Renesas Electronics</v>
      </c>
      <c r="C24481" s="6">
        <v>810</v>
      </c>
      <c r="D24481" s="7">
        <v>3.91</v>
      </c>
    </row>
    <row r="24482" spans="1:4" x14ac:dyDescent="0.25">
      <c r="A24482" t="str">
        <f>HYPERLINK("https://www.773grp.com/globalSearch/M51791AL#TF0J/page-1", "M51791AL#TF0J")</f>
        <v>M51791AL#TF0J</v>
      </c>
      <c r="B24482" s="3" t="str">
        <f>HYPERLINK("https://www.773grp.com/manufacturer/renesas-electronics-america-inc?pageNo=550", "Renesas Electronics")</f>
        <v>Renesas Electronics</v>
      </c>
      <c r="C24482" s="6">
        <v>120</v>
      </c>
      <c r="D24482" s="7">
        <v>3.91</v>
      </c>
    </row>
    <row r="24483" spans="1:4" x14ac:dyDescent="0.25">
      <c r="A24483" t="str">
        <f>HYPERLINK("https://www.773grp.com/globalSearch/RJL6013DPP-00#T2/page-1", "RJL6013DPP-00#T2")</f>
        <v>RJL6013DPP-00#T2</v>
      </c>
      <c r="B24483" s="3" t="str">
        <f>HYPERLINK("https://www.773grp.com/manufacturer/renesas-electronics-america-inc?pageNo=551", "Renesas Electronics")</f>
        <v>Renesas Electronics</v>
      </c>
      <c r="C24483" s="6">
        <v>1280</v>
      </c>
      <c r="D24483" s="7">
        <v>3.91</v>
      </c>
    </row>
    <row r="24484" spans="1:4" x14ac:dyDescent="0.25">
      <c r="A24484" t="str">
        <f>HYPERLINK("https://www.773grp.com/globalSearch/2SK1566-E/page-1", "2SK1566-E")</f>
        <v>2SK1566-E</v>
      </c>
      <c r="B24484" s="3" t="str">
        <f>HYPERLINK("https://www.773grp.com/manufacturer/renesas-electronics-america-inc?pageNo=552", "Renesas Electronics")</f>
        <v>Renesas Electronics</v>
      </c>
      <c r="C24484" s="6">
        <v>2603</v>
      </c>
      <c r="D24484" s="7">
        <v>3.94</v>
      </c>
    </row>
    <row r="24485" spans="1:4" x14ac:dyDescent="0.25">
      <c r="A24485" t="str">
        <f>HYPERLINK("https://www.773grp.com/globalSearch/BCR5KM-12RA-A8#B00/page-1", "BCR5KM-12RA-A8#B00")</f>
        <v>BCR5KM-12RA-A8#B00</v>
      </c>
      <c r="B24485" s="3" t="str">
        <f>HYPERLINK("https://www.773grp.com/manufacturer/renesas-electronics-america-inc?pageNo=553", "Renesas Electronics")</f>
        <v>Renesas Electronics</v>
      </c>
      <c r="C24485" s="6">
        <v>301</v>
      </c>
      <c r="D24485" s="7">
        <v>3.94</v>
      </c>
    </row>
    <row r="24486" spans="1:4" x14ac:dyDescent="0.25">
      <c r="A24486" t="str">
        <f>HYPERLINK("https://www.773grp.com/globalSearch/M61541FP#RF0R/page-1", "M61541FP#RF0R")</f>
        <v>M61541FP#RF0R</v>
      </c>
      <c r="B24486" s="3" t="str">
        <f>HYPERLINK("https://www.773grp.com/manufacturer/renesas-electronics-america-inc?pageNo=554", "Renesas Electronics")</f>
        <v>Renesas Electronics</v>
      </c>
      <c r="C24486" s="6">
        <v>3801</v>
      </c>
      <c r="D24486" s="7">
        <v>3.94</v>
      </c>
    </row>
    <row r="24487" spans="1:4" x14ac:dyDescent="0.25">
      <c r="A24487" t="str">
        <f>HYPERLINK("https://www.773grp.com/globalSearch/2SJ135-AZ/page-1", "2SJ135-AZ")</f>
        <v>2SJ135-AZ</v>
      </c>
      <c r="B24487" s="3" t="str">
        <f>HYPERLINK("https://www.773grp.com/manufacturer/renesas-electronics-america-inc?pageNo=555", "Renesas Electronics")</f>
        <v>Renesas Electronics</v>
      </c>
      <c r="C24487" s="6">
        <v>1026</v>
      </c>
      <c r="D24487" s="7">
        <v>3.96</v>
      </c>
    </row>
    <row r="24488" spans="1:4" x14ac:dyDescent="0.25">
      <c r="A24488" t="str">
        <f>HYPERLINK("https://www.773grp.com/globalSearch/HAT3005R-EL-E/page-1", "HAT3005R-EL-E")</f>
        <v>HAT3005R-EL-E</v>
      </c>
      <c r="B24488" s="3" t="str">
        <f>HYPERLINK("https://www.773grp.com/manufacturer/renesas-electronics-america-inc?pageNo=556", "Renesas Electronics")</f>
        <v>Renesas Electronics</v>
      </c>
      <c r="C24488" s="6">
        <v>2500</v>
      </c>
      <c r="D24488" s="7">
        <v>3.96</v>
      </c>
    </row>
    <row r="24489" spans="1:4" x14ac:dyDescent="0.25">
      <c r="A24489" t="str">
        <f>HYPERLINK("https://www.773grp.com/globalSearch/M51995AFP#A20/page-1", "M51995AFP#A20")</f>
        <v>M51995AFP#A20</v>
      </c>
      <c r="B24489" s="3" t="str">
        <f>HYPERLINK("https://www.773grp.com/manufacturer/renesas-electronics-america-inc?pageNo=557", "Renesas Electronics")</f>
        <v>Renesas Electronics</v>
      </c>
      <c r="C24489" s="6">
        <v>257</v>
      </c>
      <c r="D24489" s="7">
        <v>3.96</v>
      </c>
    </row>
    <row r="24490" spans="1:4" x14ac:dyDescent="0.25">
      <c r="A24490" t="str">
        <f>HYPERLINK("https://www.773grp.com/globalSearch/2P4M(26)-AZ/page-1", "2P4M(26)-AZ")</f>
        <v>2P4M(26)-AZ</v>
      </c>
      <c r="B24490" s="3" t="str">
        <f>HYPERLINK("https://www.773grp.com/manufacturer/renesas-electronics-america-inc?pageNo=558", "Renesas Electronics")</f>
        <v>Renesas Electronics</v>
      </c>
      <c r="C24490" s="6">
        <v>5125</v>
      </c>
      <c r="D24490" s="7">
        <v>4.38</v>
      </c>
    </row>
    <row r="24491" spans="1:4" x14ac:dyDescent="0.25">
      <c r="A24491" t="str">
        <f>HYPERLINK("https://www.773grp.com/globalSearch/2P4M(27)-AZ/page-1", "2P4M(27)-AZ")</f>
        <v>2P4M(27)-AZ</v>
      </c>
      <c r="B24491" s="3" t="str">
        <f>HYPERLINK("https://www.773grp.com/manufacturer/renesas-electronics-america-inc?pageNo=559", "Renesas Electronics")</f>
        <v>Renesas Electronics</v>
      </c>
      <c r="C24491" s="6">
        <v>5633</v>
      </c>
      <c r="D24491" s="7">
        <v>4.38</v>
      </c>
    </row>
    <row r="24492" spans="1:4" x14ac:dyDescent="0.25">
      <c r="A24492" t="str">
        <f>HYPERLINK("https://www.773grp.com/globalSearch/2P4M(31)-AZ/page-1", "2P4M(31)-AZ")</f>
        <v>2P4M(31)-AZ</v>
      </c>
      <c r="B24492" s="3" t="str">
        <f>HYPERLINK("https://www.773grp.com/manufacturer/renesas-electronics-america-inc?pageNo=560", "Renesas Electronics")</f>
        <v>Renesas Electronics</v>
      </c>
      <c r="C24492" s="6">
        <v>4200</v>
      </c>
      <c r="D24492" s="7">
        <v>4.38</v>
      </c>
    </row>
    <row r="24493" spans="1:4" x14ac:dyDescent="0.25">
      <c r="A24493" t="str">
        <f>HYPERLINK("https://www.773grp.com/globalSearch/5P4M(3)-AZ/page-1", "5P4M(3)-AZ")</f>
        <v>5P4M(3)-AZ</v>
      </c>
      <c r="B24493" s="3" t="str">
        <f>HYPERLINK("https://www.773grp.com/manufacturer/renesas-electronics-america-inc?pageNo=561", "Renesas Electronics")</f>
        <v>Renesas Electronics</v>
      </c>
      <c r="C24493" s="6">
        <v>2469</v>
      </c>
      <c r="D24493" s="7">
        <v>4.38</v>
      </c>
    </row>
    <row r="24494" spans="1:4" x14ac:dyDescent="0.25">
      <c r="A24494" t="str">
        <f>HYPERLINK("https://www.773grp.com/globalSearch/74HC192FPEL-E/page-1", "74HC192FPEL-E")</f>
        <v>74HC192FPEL-E</v>
      </c>
      <c r="B24494" s="3" t="str">
        <f>HYPERLINK("https://www.773grp.com/manufacturer/renesas-electronics-america-inc?pageNo=562", "Renesas Electronics")</f>
        <v>Renesas Electronics</v>
      </c>
      <c r="C24494" s="6">
        <v>2000</v>
      </c>
      <c r="D24494" s="7">
        <v>4.38</v>
      </c>
    </row>
    <row r="24495" spans="1:4" x14ac:dyDescent="0.25">
      <c r="A24495" t="str">
        <f>HYPERLINK("https://www.773grp.com/globalSearch/AC05DGM(2)-S6-AZ/page-1", "AC05DGM(2)-S6-AZ")</f>
        <v>AC05DGM(2)-S6-AZ</v>
      </c>
      <c r="B24495" s="3" t="str">
        <f>HYPERLINK("https://www.773grp.com/manufacturer/renesas-electronics-america-inc?pageNo=563", "Renesas Electronics")</f>
        <v>Renesas Electronics</v>
      </c>
      <c r="C24495" s="6">
        <v>79</v>
      </c>
      <c r="D24495" s="7">
        <v>4.38</v>
      </c>
    </row>
    <row r="24496" spans="1:4" x14ac:dyDescent="0.25">
      <c r="A24496" t="str">
        <f>HYPERLINK("https://www.773grp.com/globalSearch/FS10KM-06-AV#B01/page-1", "FS10KM-06-AV#B01")</f>
        <v>FS10KM-06-AV#B01</v>
      </c>
      <c r="B24496" s="3" t="str">
        <f>HYPERLINK("https://www.773grp.com/manufacturer/renesas-electronics-america-inc?pageNo=564", "Renesas Electronics")</f>
        <v>Renesas Electronics</v>
      </c>
      <c r="C24496" s="6">
        <v>48989</v>
      </c>
      <c r="D24496" s="7">
        <v>4.38</v>
      </c>
    </row>
    <row r="24497" spans="1:4" x14ac:dyDescent="0.25">
      <c r="A24497" t="str">
        <f>HYPERLINK("https://www.773grp.com/globalSearch/HA17385FP-EL/page-1", "HA17385FP-EL")</f>
        <v>HA17385FP-EL</v>
      </c>
      <c r="B24497" s="3" t="str">
        <f>HYPERLINK("https://www.773grp.com/manufacturer/renesas-electronics-america-inc?pageNo=565", "Renesas Electronics")</f>
        <v>Renesas Electronics</v>
      </c>
      <c r="C24497" s="6">
        <v>14000</v>
      </c>
      <c r="D24497" s="7">
        <v>4.38</v>
      </c>
    </row>
    <row r="24498" spans="1:4" x14ac:dyDescent="0.25">
      <c r="A24498" t="str">
        <f>HYPERLINK("https://www.773grp.com/globalSearch/2SJ214STL-E/page-1", "2SJ214STL-E")</f>
        <v>2SJ214STL-E</v>
      </c>
      <c r="B24498" s="3" t="str">
        <f>HYPERLINK("https://www.773grp.com/manufacturer/renesas-electronics-america-inc?pageNo=566", "Renesas Electronics")</f>
        <v>Renesas Electronics</v>
      </c>
      <c r="C24498" s="6">
        <v>1000</v>
      </c>
      <c r="D24498" s="7">
        <v>4</v>
      </c>
    </row>
    <row r="24499" spans="1:4" x14ac:dyDescent="0.25">
      <c r="A24499" t="str">
        <f>HYPERLINK("https://www.773grp.com/globalSearch/M61510AFP#DF0G/page-1", "M61510AFP#DF0G")</f>
        <v>M61510AFP#DF0G</v>
      </c>
      <c r="B24499" s="3" t="str">
        <f>HYPERLINK("https://www.773grp.com/manufacturer/renesas-electronics-america-inc?pageNo=567", "Renesas Electronics")</f>
        <v>Renesas Electronics</v>
      </c>
      <c r="C24499" s="6">
        <v>6000</v>
      </c>
      <c r="D24499" s="7">
        <v>4</v>
      </c>
    </row>
    <row r="24500" spans="1:4" x14ac:dyDescent="0.25">
      <c r="A24500" t="str">
        <f>HYPERLINK("https://www.773grp.com/globalSearch/R2A15905FP#U2/page-1", "R2A15905FP#U2")</f>
        <v>R2A15905FP#U2</v>
      </c>
      <c r="B24500" s="3" t="str">
        <f>HYPERLINK("https://www.773grp.com/manufacturer/renesas-electronics-america-inc?pageNo=568", "Renesas Electronics")</f>
        <v>Renesas Electronics</v>
      </c>
      <c r="C24500" s="6">
        <v>61528</v>
      </c>
      <c r="D24500" s="7">
        <v>4</v>
      </c>
    </row>
    <row r="24501" spans="1:4" x14ac:dyDescent="0.25">
      <c r="A24501" t="str">
        <f>HYPERLINK("https://www.773grp.com/globalSearch/RJK0389DPA-WS#J53/page-1", "RJK0389DPA-WS#J53")</f>
        <v>RJK0389DPA-WS#J53</v>
      </c>
      <c r="B24501" s="3" t="str">
        <f>HYPERLINK("https://www.773grp.com/manufacturer/renesas-electronics-america-inc?pageNo=569", "Renesas Electronics")</f>
        <v>Renesas Electronics</v>
      </c>
      <c r="C24501" s="6">
        <v>2191</v>
      </c>
      <c r="D24501" s="7">
        <v>4</v>
      </c>
    </row>
    <row r="24502" spans="1:4" x14ac:dyDescent="0.25">
      <c r="A24502" t="str">
        <f>HYPERLINK("https://www.773grp.com/globalSearch/2SA1720-AZ/page-1", "2SA1720-AZ")</f>
        <v>2SA1720-AZ</v>
      </c>
      <c r="B24502" s="3" t="str">
        <f>HYPERLINK("https://www.773grp.com/manufacturer/renesas-electronics-america-inc?pageNo=570", "Renesas Electronics")</f>
        <v>Renesas Electronics</v>
      </c>
      <c r="C24502" s="6">
        <v>1057</v>
      </c>
      <c r="D24502" s="7">
        <v>4.4400000000000004</v>
      </c>
    </row>
    <row r="24503" spans="1:4" x14ac:dyDescent="0.25">
      <c r="A24503" t="str">
        <f>HYPERLINK("https://www.773grp.com/globalSearch/2SK1059-AZ/page-1", "2SK1059-AZ")</f>
        <v>2SK1059-AZ</v>
      </c>
      <c r="B24503" s="3" t="str">
        <f>HYPERLINK("https://www.773grp.com/manufacturer/renesas-electronics-america-inc?pageNo=571", "Renesas Electronics")</f>
        <v>Renesas Electronics</v>
      </c>
      <c r="C24503" s="6">
        <v>488</v>
      </c>
      <c r="D24503" s="7">
        <v>4.4400000000000004</v>
      </c>
    </row>
    <row r="24504" spans="1:4" x14ac:dyDescent="0.25">
      <c r="A24504" t="str">
        <f>HYPERLINK("https://www.773grp.com/globalSearch/74ACT374FP-E/page-1", "74ACT374FP-E")</f>
        <v>74ACT374FP-E</v>
      </c>
      <c r="B24504" s="3" t="str">
        <f>HYPERLINK("https://www.773grp.com/manufacturer/renesas-electronics-america-inc?pageNo=572", "Renesas Electronics")</f>
        <v>Renesas Electronics</v>
      </c>
      <c r="C24504" s="6">
        <v>6000</v>
      </c>
      <c r="D24504" s="7">
        <v>4.4400000000000004</v>
      </c>
    </row>
    <row r="24505" spans="1:4" x14ac:dyDescent="0.25">
      <c r="A24505" t="str">
        <f>HYPERLINK("https://www.773grp.com/globalSearch/74HC191P-E/page-1", "74HC191P-E")</f>
        <v>74HC191P-E</v>
      </c>
      <c r="B24505" s="3" t="str">
        <f>HYPERLINK("https://www.773grp.com/manufacturer/renesas-electronics-america-inc?pageNo=573", "Renesas Electronics")</f>
        <v>Renesas Electronics</v>
      </c>
      <c r="C24505" s="6">
        <v>5000</v>
      </c>
      <c r="D24505" s="7">
        <v>4.4400000000000004</v>
      </c>
    </row>
    <row r="24506" spans="1:4" x14ac:dyDescent="0.25">
      <c r="A24506" t="str">
        <f>HYPERLINK("https://www.773grp.com/globalSearch/74LS390FP-E/page-1", "74LS390FP-E")</f>
        <v>74LS390FP-E</v>
      </c>
      <c r="B24506" s="3" t="str">
        <f>HYPERLINK("https://www.773grp.com/manufacturer/renesas-electronics-america-inc?pageNo=574", "Renesas Electronics")</f>
        <v>Renesas Electronics</v>
      </c>
      <c r="C24506" s="6">
        <v>2000</v>
      </c>
      <c r="D24506" s="7">
        <v>4.4400000000000004</v>
      </c>
    </row>
    <row r="24507" spans="1:4" x14ac:dyDescent="0.25">
      <c r="A24507" t="str">
        <f>HYPERLINK("https://www.773grp.com/globalSearch/AC03FGM(8)-S13-AZ/page-1", "AC03FGM(8)-S13-AZ")</f>
        <v>AC03FGM(8)-S13-AZ</v>
      </c>
      <c r="B24507" s="3" t="str">
        <f>HYPERLINK("https://www.773grp.com/manufacturer/renesas-electronics-america-inc?pageNo=575", "Renesas Electronics")</f>
        <v>Renesas Electronics</v>
      </c>
      <c r="C24507" s="6">
        <v>18587</v>
      </c>
      <c r="D24507" s="7">
        <v>4.4400000000000004</v>
      </c>
    </row>
    <row r="24508" spans="1:4" x14ac:dyDescent="0.25">
      <c r="A24508" t="str">
        <f>HYPERLINK("https://www.773grp.com/globalSearch/FS10ASJ-3-T13#C01/page-1", "FS10ASJ-3-T13#C01")</f>
        <v>FS10ASJ-3-T13#C01</v>
      </c>
      <c r="B24508" s="3" t="str">
        <f>HYPERLINK("https://www.773grp.com/manufacturer/renesas-electronics-america-inc?pageNo=576", "Renesas Electronics")</f>
        <v>Renesas Electronics</v>
      </c>
      <c r="C24508" s="6">
        <v>99000</v>
      </c>
      <c r="D24508" s="7">
        <v>4.4400000000000004</v>
      </c>
    </row>
    <row r="24509" spans="1:4" x14ac:dyDescent="0.25">
      <c r="A24509" t="str">
        <f>HYPERLINK("https://www.773grp.com/globalSearch/FS10ASJ-3-T13#C02/page-1", "FS10ASJ-3-T13#C02")</f>
        <v>FS10ASJ-3-T13#C02</v>
      </c>
      <c r="B24509" s="3" t="str">
        <f>HYPERLINK("https://www.773grp.com/manufacturer/renesas-electronics-america-inc?pageNo=577", "Renesas Electronics")</f>
        <v>Renesas Electronics</v>
      </c>
      <c r="C24509" s="6">
        <v>54000</v>
      </c>
      <c r="D24509" s="7">
        <v>4.4400000000000004</v>
      </c>
    </row>
    <row r="24510" spans="1:4" x14ac:dyDescent="0.25">
      <c r="A24510" t="str">
        <f>HYPERLINK("https://www.773grp.com/globalSearch/FS30ASJ-2-T13#B00/page-1", "FS30ASJ-2-T13#B00")</f>
        <v>FS30ASJ-2-T13#B00</v>
      </c>
      <c r="B24510" s="3" t="str">
        <f>HYPERLINK("https://www.773grp.com/manufacturer/renesas-electronics-america-inc?pageNo=578", "Renesas Electronics")</f>
        <v>Renesas Electronics</v>
      </c>
      <c r="C24510" s="6">
        <v>21000</v>
      </c>
      <c r="D24510" s="7">
        <v>4.4400000000000004</v>
      </c>
    </row>
    <row r="24511" spans="1:4" x14ac:dyDescent="0.25">
      <c r="A24511" t="str">
        <f>HYPERLINK("https://www.773grp.com/globalSearch/RJK0383DPA-09#J53/page-1", "RJK0383DPA-09#J53")</f>
        <v>RJK0383DPA-09#J53</v>
      </c>
      <c r="B24511" s="3" t="str">
        <f>HYPERLINK("https://www.773grp.com/manufacturer/renesas-electronics-america-inc?pageNo=579", "Renesas Electronics")</f>
        <v>Renesas Electronics</v>
      </c>
      <c r="C24511" s="6">
        <v>12000</v>
      </c>
      <c r="D24511" s="7">
        <v>4.4400000000000004</v>
      </c>
    </row>
    <row r="24512" spans="1:4" x14ac:dyDescent="0.25">
      <c r="A24512" t="str">
        <f>HYPERLINK("https://www.773grp.com/globalSearch/PS9117A-F3-AX/page-1", "PS9117A-F3-AX")</f>
        <v>PS9117A-F3-AX</v>
      </c>
      <c r="B24512" s="3" t="str">
        <f>HYPERLINK("https://www.773grp.com/manufacturer/renesas-electronics-america-inc?pageNo=580", "Renesas Electronics")</f>
        <v>Renesas Electronics</v>
      </c>
      <c r="C24512" s="6">
        <v>2242</v>
      </c>
      <c r="D24512" s="7">
        <v>4.4400000000000004</v>
      </c>
    </row>
    <row r="24513" spans="1:4" x14ac:dyDescent="0.25">
      <c r="A24513" t="str">
        <f>HYPERLINK("https://www.773grp.com/globalSearch/HN58X2464TI#S4/page-1", "HN58X2464TI#S4")</f>
        <v>HN58X2464TI#S4</v>
      </c>
      <c r="B24513" s="3" t="str">
        <f>HYPERLINK("https://www.773grp.com/manufacturer/renesas-electronics-america-inc?pageNo=581", "Renesas Electronics")</f>
        <v>Renesas Electronics</v>
      </c>
      <c r="C24513" s="6">
        <v>24000</v>
      </c>
      <c r="D24513" s="7">
        <v>4.01</v>
      </c>
    </row>
    <row r="24514" spans="1:4" x14ac:dyDescent="0.25">
      <c r="A24514" t="str">
        <f>HYPERLINK("https://www.773grp.com/globalSearch/RJP3045DPP-90#T2F/page-1", "RJP3045DPP-90#T2F")</f>
        <v>RJP3045DPP-90#T2F</v>
      </c>
      <c r="B24514" s="3" t="str">
        <f>HYPERLINK("https://www.773grp.com/manufacturer/renesas-electronics-america-inc?pageNo=582", "Renesas Electronics")</f>
        <v>Renesas Electronics</v>
      </c>
      <c r="C24514" s="6">
        <v>2000</v>
      </c>
      <c r="D24514" s="7">
        <v>4.05</v>
      </c>
    </row>
    <row r="24515" spans="1:4" x14ac:dyDescent="0.25">
      <c r="A24515" t="str">
        <f>HYPERLINK("https://www.773grp.com/globalSearch/2P4M(01)-AZ/page-1", "2P4M(01)-AZ")</f>
        <v>2P4M(01)-AZ</v>
      </c>
      <c r="B24515" s="3" t="str">
        <f>HYPERLINK("https://www.773grp.com/manufacturer/renesas-electronics-america-inc?pageNo=583", "Renesas Electronics")</f>
        <v>Renesas Electronics</v>
      </c>
      <c r="C24515" s="6">
        <v>194</v>
      </c>
      <c r="D24515" s="7">
        <v>4.49</v>
      </c>
    </row>
    <row r="24516" spans="1:4" x14ac:dyDescent="0.25">
      <c r="A24516" t="str">
        <f>HYPERLINK("https://www.773grp.com/globalSearch/2P4M(CB)-AZ/page-1", "2P4M(CB)-AZ")</f>
        <v>2P4M(CB)-AZ</v>
      </c>
      <c r="B24516" s="3" t="str">
        <f>HYPERLINK("https://www.773grp.com/manufacturer/renesas-electronics-america-inc?pageNo=584", "Renesas Electronics")</f>
        <v>Renesas Electronics</v>
      </c>
      <c r="C24516" s="6">
        <v>323</v>
      </c>
      <c r="D24516" s="7">
        <v>4.49</v>
      </c>
    </row>
    <row r="24517" spans="1:4" x14ac:dyDescent="0.25">
      <c r="A24517" t="str">
        <f>HYPERLINK("https://www.773grp.com/globalSearch/2P4M(CE)-AZ/page-1", "2P4M(CE)-AZ")</f>
        <v>2P4M(CE)-AZ</v>
      </c>
      <c r="B24517" s="3" t="str">
        <f>HYPERLINK("https://www.773grp.com/manufacturer/renesas-electronics-america-inc?pageNo=585", "Renesas Electronics")</f>
        <v>Renesas Electronics</v>
      </c>
      <c r="C24517" s="6">
        <v>2425</v>
      </c>
      <c r="D24517" s="7">
        <v>4.49</v>
      </c>
    </row>
    <row r="24518" spans="1:4" x14ac:dyDescent="0.25">
      <c r="A24518" t="str">
        <f>HYPERLINK("https://www.773grp.com/globalSearch/2P6M(DY)-AZ/page-1", "2P6M(DY)-AZ")</f>
        <v>2P6M(DY)-AZ</v>
      </c>
      <c r="B24518" s="3" t="str">
        <f>HYPERLINK("https://www.773grp.com/manufacturer/renesas-electronics-america-inc?pageNo=586", "Renesas Electronics")</f>
        <v>Renesas Electronics</v>
      </c>
      <c r="C24518" s="6">
        <v>765</v>
      </c>
      <c r="D24518" s="7">
        <v>4.49</v>
      </c>
    </row>
    <row r="24519" spans="1:4" x14ac:dyDescent="0.25">
      <c r="A24519" t="str">
        <f>HYPERLINK("https://www.773grp.com/globalSearch/AC03DGM(CM)-AZ/page-1", "AC03DGM(CM)-AZ")</f>
        <v>AC03DGM(CM)-AZ</v>
      </c>
      <c r="B24519" s="3" t="str">
        <f>HYPERLINK("https://www.773grp.com/manufacturer/renesas-electronics-america-inc?pageNo=587", "Renesas Electronics")</f>
        <v>Renesas Electronics</v>
      </c>
      <c r="C24519" s="6">
        <v>184</v>
      </c>
      <c r="D24519" s="7">
        <v>4.49</v>
      </c>
    </row>
    <row r="24520" spans="1:4" x14ac:dyDescent="0.25">
      <c r="A24520" t="str">
        <f>HYPERLINK("https://www.773grp.com/globalSearch/AC03DGM(CY)-AZ/page-1", "AC03DGM(CY)-AZ")</f>
        <v>AC03DGM(CY)-AZ</v>
      </c>
      <c r="B24520" s="3" t="str">
        <f>HYPERLINK("https://www.773grp.com/manufacturer/renesas-electronics-america-inc?pageNo=588", "Renesas Electronics")</f>
        <v>Renesas Electronics</v>
      </c>
      <c r="C24520" s="6">
        <v>792</v>
      </c>
      <c r="D24520" s="7">
        <v>4.49</v>
      </c>
    </row>
    <row r="24521" spans="1:4" x14ac:dyDescent="0.25">
      <c r="A24521" t="str">
        <f>HYPERLINK("https://www.773grp.com/globalSearch/AC03DGM(YE)-AZ/page-1", "AC03DGM(YE)-AZ")</f>
        <v>AC03DGM(YE)-AZ</v>
      </c>
      <c r="B24521" s="3" t="str">
        <f>HYPERLINK("https://www.773grp.com/manufacturer/renesas-electronics-america-inc?pageNo=589", "Renesas Electronics")</f>
        <v>Renesas Electronics</v>
      </c>
      <c r="C24521" s="6">
        <v>2682</v>
      </c>
      <c r="D24521" s="7">
        <v>4.49</v>
      </c>
    </row>
    <row r="24522" spans="1:4" x14ac:dyDescent="0.25">
      <c r="A24522" t="str">
        <f>HYPERLINK("https://www.773grp.com/globalSearch/AC03DSMA-AZ/page-1", "AC03DSMA-AZ")</f>
        <v>AC03DSMA-AZ</v>
      </c>
      <c r="B24522" s="3" t="str">
        <f>HYPERLINK("https://www.773grp.com/manufacturer/renesas-electronics-america-inc?pageNo=590", "Renesas Electronics")</f>
        <v>Renesas Electronics</v>
      </c>
      <c r="C24522" s="6">
        <v>756</v>
      </c>
      <c r="D24522" s="7">
        <v>4.49</v>
      </c>
    </row>
    <row r="24523" spans="1:4" x14ac:dyDescent="0.25">
      <c r="A24523" t="str">
        <f>HYPERLINK("https://www.773grp.com/globalSearch/CR6CM-12B#B00/page-1", "CR6CM-12B#B00")</f>
        <v>CR6CM-12B#B00</v>
      </c>
      <c r="B24523" s="3" t="str">
        <f>HYPERLINK("https://www.773grp.com/manufacturer/renesas-electronics-america-inc?pageNo=591", "Renesas Electronics")</f>
        <v>Renesas Electronics</v>
      </c>
      <c r="C24523" s="6">
        <v>3156</v>
      </c>
      <c r="D24523" s="7">
        <v>4.49</v>
      </c>
    </row>
    <row r="24524" spans="1:4" x14ac:dyDescent="0.25">
      <c r="A24524" t="str">
        <f>HYPERLINK("https://www.773grp.com/globalSearch/CY25CAH-8F-T13#F10/page-1", "CY25CAH-8F-T13#F10")</f>
        <v>CY25CAH-8F-T13#F10</v>
      </c>
      <c r="B24524" s="3" t="str">
        <f>HYPERLINK("https://www.773grp.com/manufacturer/renesas-electronics-america-inc?pageNo=592", "Renesas Electronics")</f>
        <v>Renesas Electronics</v>
      </c>
      <c r="C24524" s="6">
        <v>9000</v>
      </c>
      <c r="D24524" s="7">
        <v>4.49</v>
      </c>
    </row>
    <row r="24525" spans="1:4" x14ac:dyDescent="0.25">
      <c r="A24525" t="str">
        <f>HYPERLINK("https://www.773grp.com/globalSearch/R1EX25032ASA00I#S1/page-1", "R1EX25032ASA00I#S1")</f>
        <v>R1EX25032ASA00I#S1</v>
      </c>
      <c r="B24525" s="3" t="str">
        <f>HYPERLINK("https://www.773grp.com/manufacturer/renesas-electronics-america-inc?pageNo=593", "Renesas Electronics")</f>
        <v>Renesas Electronics</v>
      </c>
      <c r="C24525" s="6">
        <v>250</v>
      </c>
      <c r="D24525" s="7">
        <v>4.49</v>
      </c>
    </row>
    <row r="24526" spans="1:4" x14ac:dyDescent="0.25">
      <c r="A24526" t="str">
        <f>HYPERLINK("https://www.773grp.com/globalSearch/R2S15903SP#D1/page-1", "R2S15903SP#D1")</f>
        <v>R2S15903SP#D1</v>
      </c>
      <c r="B24526" s="3" t="str">
        <f>HYPERLINK("https://www.773grp.com/manufacturer/renesas-electronics-america-inc?pageNo=594", "Renesas Electronics")</f>
        <v>Renesas Electronics</v>
      </c>
      <c r="C24526" s="6">
        <v>52000</v>
      </c>
      <c r="D24526" s="7">
        <v>4.49</v>
      </c>
    </row>
    <row r="24527" spans="1:4" x14ac:dyDescent="0.25">
      <c r="A24527" t="str">
        <f>HYPERLINK("https://www.773grp.com/globalSearch/2SK2114-E/page-1", "2SK2114-E")</f>
        <v>2SK2114-E</v>
      </c>
      <c r="B24527" s="3" t="str">
        <f>HYPERLINK("https://www.773grp.com/manufacturer/renesas-electronics-america-inc?pageNo=595", "Renesas Electronics")</f>
        <v>Renesas Electronics</v>
      </c>
      <c r="C24527" s="6">
        <v>15737</v>
      </c>
      <c r="D24527" s="7">
        <v>4.09</v>
      </c>
    </row>
    <row r="24528" spans="1:4" x14ac:dyDescent="0.25">
      <c r="A24528" t="str">
        <f>HYPERLINK("https://www.773grp.com/globalSearch/RJP3034DPP-B1#T2F/page-1", "RJP3034DPP-B1#T2F")</f>
        <v>RJP3034DPP-B1#T2F</v>
      </c>
      <c r="B24528" s="3" t="str">
        <f>HYPERLINK("https://www.773grp.com/manufacturer/renesas-electronics-america-inc?pageNo=596", "Renesas Electronics")</f>
        <v>Renesas Electronics</v>
      </c>
      <c r="C24528" s="6">
        <v>128500</v>
      </c>
      <c r="D24528" s="7">
        <v>4.09</v>
      </c>
    </row>
    <row r="24529" spans="1:4" x14ac:dyDescent="0.25">
      <c r="A24529" t="str">
        <f>HYPERLINK("https://www.773grp.com/globalSearch/2SK2869-92STR/page-1", "2SK2869-92STR")</f>
        <v>2SK2869-92STR</v>
      </c>
      <c r="B24529" s="3" t="str">
        <f>HYPERLINK("https://www.773grp.com/manufacturer/renesas-electronics-america-inc?pageNo=597", "Renesas Electronics")</f>
        <v>Renesas Electronics</v>
      </c>
      <c r="C24529" s="6">
        <v>6000</v>
      </c>
      <c r="D24529" s="7">
        <v>4.54</v>
      </c>
    </row>
    <row r="24530" spans="1:4" x14ac:dyDescent="0.25">
      <c r="A24530" t="str">
        <f>HYPERLINK("https://www.773grp.com/globalSearch/CY25CAJ-8F-T13#G11/page-1", "CY25CAJ-8F-T13#G11")</f>
        <v>CY25CAJ-8F-T13#G11</v>
      </c>
      <c r="B24530" s="3" t="str">
        <f>HYPERLINK("https://www.773grp.com/manufacturer/renesas-electronics-america-inc?pageNo=598", "Renesas Electronics")</f>
        <v>Renesas Electronics</v>
      </c>
      <c r="C24530" s="6">
        <v>18000</v>
      </c>
      <c r="D24530" s="7">
        <v>4.54</v>
      </c>
    </row>
    <row r="24531" spans="1:4" x14ac:dyDescent="0.25">
      <c r="A24531" t="str">
        <f>HYPERLINK("https://www.773grp.com/globalSearch/HA17902PJ-E/page-1", "HA17902PJ-E")</f>
        <v>HA17902PJ-E</v>
      </c>
      <c r="B24531" s="3" t="str">
        <f>HYPERLINK("https://www.773grp.com/manufacturer/renesas-electronics-america-inc?pageNo=599", "Renesas Electronics")</f>
        <v>Renesas Electronics</v>
      </c>
      <c r="C24531" s="6">
        <v>3969</v>
      </c>
      <c r="D24531" s="7">
        <v>4.54</v>
      </c>
    </row>
    <row r="24532" spans="1:4" x14ac:dyDescent="0.25">
      <c r="A24532" t="str">
        <f>HYPERLINK("https://www.773grp.com/globalSearch/R1EX24064ASAS0I#S1/page-1", "R1EX24064ASAS0I#S1")</f>
        <v>R1EX24064ASAS0I#S1</v>
      </c>
      <c r="B24532" s="3" t="str">
        <f>HYPERLINK("https://www.773grp.com/manufacturer/renesas-electronics-america-inc?pageNo=600", "Renesas Electronics")</f>
        <v>Renesas Electronics</v>
      </c>
      <c r="C24532" s="6">
        <v>3500</v>
      </c>
      <c r="D24532" s="7">
        <v>4.54</v>
      </c>
    </row>
    <row r="24533" spans="1:4" x14ac:dyDescent="0.25">
      <c r="A24533" t="str">
        <f>HYPERLINK("https://www.773grp.com/globalSearch/2SA1443(1)-S6-AZ/page-1", "2SA1443(1)-S6-AZ")</f>
        <v>2SA1443(1)-S6-AZ</v>
      </c>
      <c r="B24533" s="3" t="str">
        <f>HYPERLINK("https://www.773grp.com/manufacturer/renesas-electronics-america-inc?pageNo=601", "Renesas Electronics")</f>
        <v>Renesas Electronics</v>
      </c>
      <c r="C24533" s="6">
        <v>1968</v>
      </c>
      <c r="D24533" s="7">
        <v>4.1399999999999997</v>
      </c>
    </row>
    <row r="24534" spans="1:4" x14ac:dyDescent="0.25">
      <c r="A24534" t="str">
        <f>HYPERLINK("https://www.773grp.com/globalSearch/2P6M(CY)-AZ/page-1", "2P6M(CY)-AZ")</f>
        <v>2P6M(CY)-AZ</v>
      </c>
      <c r="B24534" s="3" t="str">
        <f>HYPERLINK("https://www.773grp.com/manufacturer/renesas-electronics-america-inc?pageNo=602", "Renesas Electronics")</f>
        <v>Renesas Electronics</v>
      </c>
      <c r="C24534" s="6">
        <v>766</v>
      </c>
      <c r="D24534" s="7">
        <v>4.59</v>
      </c>
    </row>
    <row r="24535" spans="1:4" x14ac:dyDescent="0.25">
      <c r="A24535" t="str">
        <f>HYPERLINK("https://www.773grp.com/globalSearch/2SD2337C-E/page-1", "2SD2337C-E")</f>
        <v>2SD2337C-E</v>
      </c>
      <c r="B24535" s="3" t="str">
        <f>HYPERLINK("https://www.773grp.com/manufacturer/renesas-electronics-america-inc?pageNo=603", "Renesas Electronics")</f>
        <v>Renesas Electronics</v>
      </c>
      <c r="C24535" s="6">
        <v>571</v>
      </c>
      <c r="D24535" s="7">
        <v>4.59</v>
      </c>
    </row>
    <row r="24536" spans="1:4" x14ac:dyDescent="0.25">
      <c r="A24536" t="str">
        <f>HYPERLINK("https://www.773grp.com/globalSearch/2SD864K/page-1", "2SD864K")</f>
        <v>2SD864K</v>
      </c>
      <c r="B24536" s="3" t="str">
        <f>HYPERLINK("https://www.773grp.com/manufacturer/renesas-electronics-america-inc?pageNo=604", "Renesas Electronics")</f>
        <v>Renesas Electronics</v>
      </c>
      <c r="C24536" s="6">
        <v>2068</v>
      </c>
      <c r="D24536" s="7">
        <v>4.59</v>
      </c>
    </row>
    <row r="24537" spans="1:4" x14ac:dyDescent="0.25">
      <c r="A24537" t="str">
        <f>HYPERLINK("https://www.773grp.com/globalSearch/74HC193P-E/page-1", "74HC193P-E")</f>
        <v>74HC193P-E</v>
      </c>
      <c r="B24537" s="3" t="str">
        <f>HYPERLINK("https://www.773grp.com/manufacturer/renesas-electronics-america-inc?pageNo=605", "Renesas Electronics")</f>
        <v>Renesas Electronics</v>
      </c>
      <c r="C24537" s="6">
        <v>1000</v>
      </c>
      <c r="D24537" s="7">
        <v>4.59</v>
      </c>
    </row>
    <row r="24538" spans="1:4" x14ac:dyDescent="0.25">
      <c r="A24538" t="str">
        <f>HYPERLINK("https://www.773grp.com/globalSearch/AC05FGM(YC)-AZ/page-1", "AC05FGM(YC)-AZ")</f>
        <v>AC05FGM(YC)-AZ</v>
      </c>
      <c r="B24538" s="3" t="str">
        <f>HYPERLINK("https://www.773grp.com/manufacturer/renesas-electronics-america-inc?pageNo=606", "Renesas Electronics")</f>
        <v>Renesas Electronics</v>
      </c>
      <c r="C24538" s="6">
        <v>271</v>
      </c>
      <c r="D24538" s="7">
        <v>4.59</v>
      </c>
    </row>
    <row r="24539" spans="1:4" x14ac:dyDescent="0.25">
      <c r="A24539" t="str">
        <f>HYPERLINK("https://www.773grp.com/globalSearch/BCR16KM-12LA#C03/page-1", "BCR16KM-12LA#C03")</f>
        <v>BCR16KM-12LA#C03</v>
      </c>
      <c r="B24539" s="3" t="str">
        <f>HYPERLINK("https://www.773grp.com/manufacturer/renesas-electronics-america-inc?pageNo=607", "Renesas Electronics")</f>
        <v>Renesas Electronics</v>
      </c>
      <c r="C24539" s="6">
        <v>5278</v>
      </c>
      <c r="D24539" s="7">
        <v>4.16</v>
      </c>
    </row>
    <row r="24540" spans="1:4" x14ac:dyDescent="0.25">
      <c r="A24540" t="str">
        <f>HYPERLINK("https://www.773grp.com/globalSearch/2SK1567-04-E/page-1", "2SK1567-04-E")</f>
        <v>2SK1567-04-E</v>
      </c>
      <c r="B24540" s="3" t="str">
        <f>HYPERLINK("https://www.773grp.com/manufacturer/renesas-electronics-america-inc?pageNo=608", "Renesas Electronics")</f>
        <v>Renesas Electronics</v>
      </c>
      <c r="C24540" s="6">
        <v>16233</v>
      </c>
      <c r="D24540" s="7">
        <v>4.1900000000000004</v>
      </c>
    </row>
    <row r="24541" spans="1:4" x14ac:dyDescent="0.25">
      <c r="A24541" t="str">
        <f>HYPERLINK("https://www.773grp.com/globalSearch/AC16FGM(YC)-AZ/page-1", "AC16FGM(YC)-AZ")</f>
        <v>AC16FGM(YC)-AZ</v>
      </c>
      <c r="B24541" s="3" t="str">
        <f>HYPERLINK("https://www.773grp.com/manufacturer/renesas-electronics-america-inc?pageNo=609", "Renesas Electronics")</f>
        <v>Renesas Electronics</v>
      </c>
      <c r="C24541" s="6">
        <v>336</v>
      </c>
      <c r="D24541" s="7">
        <v>4.1900000000000004</v>
      </c>
    </row>
    <row r="24542" spans="1:4" x14ac:dyDescent="0.25">
      <c r="A24542" t="str">
        <f>HYPERLINK("https://www.773grp.com/globalSearch/AC16FGM(YN)-AZ/page-1", "AC16FGM(YN)-AZ")</f>
        <v>AC16FGM(YN)-AZ</v>
      </c>
      <c r="B24542" s="3" t="str">
        <f>HYPERLINK("https://www.773grp.com/manufacturer/renesas-electronics-america-inc?pageNo=610", "Renesas Electronics")</f>
        <v>Renesas Electronics</v>
      </c>
      <c r="C24542" s="6">
        <v>3403</v>
      </c>
      <c r="D24542" s="7">
        <v>4.1900000000000004</v>
      </c>
    </row>
    <row r="24543" spans="1:4" x14ac:dyDescent="0.25">
      <c r="A24543" t="str">
        <f>HYPERLINK("https://www.773grp.com/globalSearch/RJK4007DPP-L1#T2/page-1", "RJK4007DPP-L1#T2")</f>
        <v>RJK4007DPP-L1#T2</v>
      </c>
      <c r="B24543" s="3" t="str">
        <f>HYPERLINK("https://www.773grp.com/manufacturer/renesas-electronics-america-inc?pageNo=611", "Renesas Electronics")</f>
        <v>Renesas Electronics</v>
      </c>
      <c r="C24543" s="6">
        <v>4643</v>
      </c>
      <c r="D24543" s="7">
        <v>4.1900000000000004</v>
      </c>
    </row>
    <row r="24544" spans="1:4" x14ac:dyDescent="0.25">
      <c r="A24544" t="str">
        <f>HYPERLINK("https://www.773grp.com/globalSearch/M51996AFP#DF0J/page-1", "M51996AFP#DF0J")</f>
        <v>M51996AFP#DF0J</v>
      </c>
      <c r="B24544" s="3" t="str">
        <f>HYPERLINK("https://www.773grp.com/manufacturer/renesas-electronics-america-inc?pageNo=612", "Renesas Electronics")</f>
        <v>Renesas Electronics</v>
      </c>
      <c r="C24544" s="6">
        <v>3900</v>
      </c>
      <c r="D24544" s="7">
        <v>4.6399999999999997</v>
      </c>
    </row>
    <row r="24545" spans="1:4" x14ac:dyDescent="0.25">
      <c r="A24545" t="str">
        <f>HYPERLINK("https://www.773grp.com/globalSearch/M5243AFP09#DF0J/page-1", "M5243AFP09#DF0J")</f>
        <v>M5243AFP09#DF0J</v>
      </c>
      <c r="B24545" s="3" t="str">
        <f>HYPERLINK("https://www.773grp.com/manufacturer/renesas-electronics-america-inc?pageNo=613", "Renesas Electronics")</f>
        <v>Renesas Electronics</v>
      </c>
      <c r="C24545" s="6">
        <v>6000</v>
      </c>
      <c r="D24545" s="7">
        <v>4.6399999999999997</v>
      </c>
    </row>
    <row r="24546" spans="1:4" x14ac:dyDescent="0.25">
      <c r="A24546" t="str">
        <f>HYPERLINK("https://www.773grp.com/globalSearch/M54134FP#TB0G/page-1", "M54134FP#TB0G")</f>
        <v>M54134FP#TB0G</v>
      </c>
      <c r="B24546" s="3" t="str">
        <f>HYPERLINK("https://www.773grp.com/manufacturer/renesas-electronics-america-inc?pageNo=614", "Renesas Electronics")</f>
        <v>Renesas Electronics</v>
      </c>
      <c r="C24546" s="6">
        <v>812</v>
      </c>
      <c r="D24546" s="7">
        <v>4.6399999999999997</v>
      </c>
    </row>
    <row r="24547" spans="1:4" x14ac:dyDescent="0.25">
      <c r="A24547" t="str">
        <f>HYPERLINK("https://www.773grp.com/globalSearch/M62016L#TF0J/page-1", "M62016L#TF0J")</f>
        <v>M62016L#TF0J</v>
      </c>
      <c r="B24547" s="3" t="str">
        <f>HYPERLINK("https://www.773grp.com/manufacturer/renesas-electronics-america-inc?pageNo=615", "Renesas Electronics")</f>
        <v>Renesas Electronics</v>
      </c>
      <c r="C24547" s="6">
        <v>2996</v>
      </c>
      <c r="D24547" s="7">
        <v>4.6399999999999997</v>
      </c>
    </row>
    <row r="24548" spans="1:4" x14ac:dyDescent="0.25">
      <c r="A24548" t="str">
        <f>HYPERLINK("https://www.773grp.com/globalSearch/2SK3457-AZ/page-1", "2SK3457-AZ")</f>
        <v>2SK3457-AZ</v>
      </c>
      <c r="B24548" s="3" t="str">
        <f>HYPERLINK("https://www.773grp.com/manufacturer/renesas-electronics-america-inc?pageNo=616", "Renesas Electronics")</f>
        <v>Renesas Electronics</v>
      </c>
      <c r="C24548" s="6">
        <v>2189</v>
      </c>
      <c r="D24548" s="7">
        <v>4.2300000000000004</v>
      </c>
    </row>
    <row r="24549" spans="1:4" x14ac:dyDescent="0.25">
      <c r="A24549" t="str">
        <f>HYPERLINK("https://www.773grp.com/globalSearch/BCR16CS-12LA#B00/page-1", "BCR16CS-12LA#B00")</f>
        <v>BCR16CS-12LA#B00</v>
      </c>
      <c r="B24549" s="3" t="str">
        <f>HYPERLINK("https://www.773grp.com/manufacturer/renesas-electronics-america-inc?pageNo=617", "Renesas Electronics")</f>
        <v>Renesas Electronics</v>
      </c>
      <c r="C24549" s="6">
        <v>560</v>
      </c>
      <c r="D24549" s="7">
        <v>4.2300000000000004</v>
      </c>
    </row>
    <row r="24550" spans="1:4" x14ac:dyDescent="0.25">
      <c r="A24550" t="str">
        <f>HYPERLINK("https://www.773grp.com/globalSearch/BCR16KM-12LA#C0P/page-1", "BCR16KM-12LA#C0P")</f>
        <v>BCR16KM-12LA#C0P</v>
      </c>
      <c r="B24550" s="3" t="str">
        <f>HYPERLINK("https://www.773grp.com/manufacturer/renesas-electronics-america-inc?pageNo=618", "Renesas Electronics")</f>
        <v>Renesas Electronics</v>
      </c>
      <c r="C24550" s="6">
        <v>31464</v>
      </c>
      <c r="D24550" s="7">
        <v>4.2300000000000004</v>
      </c>
    </row>
    <row r="24551" spans="1:4" x14ac:dyDescent="0.25">
      <c r="A24551" t="str">
        <f>HYPERLINK("https://www.773grp.com/globalSearch/BCR3KM-12LB#B00/page-1", "BCR3KM-12LB#B00")</f>
        <v>BCR3KM-12LB#B00</v>
      </c>
      <c r="B24551" s="3" t="str">
        <f>HYPERLINK("https://www.773grp.com/manufacturer/renesas-electronics-america-inc?pageNo=619", "Renesas Electronics")</f>
        <v>Renesas Electronics</v>
      </c>
      <c r="C24551" s="6">
        <v>10008</v>
      </c>
      <c r="D24551" s="7">
        <v>4.2300000000000004</v>
      </c>
    </row>
    <row r="24552" spans="1:4" x14ac:dyDescent="0.25">
      <c r="A24552" t="str">
        <f>HYPERLINK("https://www.773grp.com/globalSearch/2P6M(9)-AZ/page-1", "2P6M(9)-AZ")</f>
        <v>2P6M(9)-AZ</v>
      </c>
      <c r="B24552" s="3" t="str">
        <f>HYPERLINK("https://www.773grp.com/manufacturer/renesas-electronics-america-inc?pageNo=620", "Renesas Electronics")</f>
        <v>Renesas Electronics</v>
      </c>
      <c r="C24552" s="6">
        <v>788</v>
      </c>
      <c r="D24552" s="7">
        <v>4.6900000000000004</v>
      </c>
    </row>
    <row r="24553" spans="1:4" x14ac:dyDescent="0.25">
      <c r="A24553" t="str">
        <f>HYPERLINK("https://www.773grp.com/globalSearch/2SD476KC-E/page-1", "2SD476KC-E")</f>
        <v>2SD476KC-E</v>
      </c>
      <c r="B24553" s="3" t="str">
        <f>HYPERLINK("https://www.773grp.com/manufacturer/renesas-electronics-america-inc?pageNo=621", "Renesas Electronics")</f>
        <v>Renesas Electronics</v>
      </c>
      <c r="C24553" s="6">
        <v>1669</v>
      </c>
      <c r="D24553" s="7">
        <v>4.6900000000000004</v>
      </c>
    </row>
    <row r="24554" spans="1:4" x14ac:dyDescent="0.25">
      <c r="A24554" t="str">
        <f>HYPERLINK("https://www.773grp.com/globalSearch/3P4MH(YE)-AZ/page-1", "3P4MH(YE)-AZ")</f>
        <v>3P4MH(YE)-AZ</v>
      </c>
      <c r="B24554" s="3" t="str">
        <f>HYPERLINK("https://www.773grp.com/manufacturer/renesas-electronics-america-inc?pageNo=622", "Renesas Electronics")</f>
        <v>Renesas Electronics</v>
      </c>
      <c r="C24554" s="6">
        <v>636</v>
      </c>
      <c r="D24554" s="7">
        <v>4.6900000000000004</v>
      </c>
    </row>
    <row r="24555" spans="1:4" x14ac:dyDescent="0.25">
      <c r="A24555" t="str">
        <f>HYPERLINK("https://www.773grp.com/globalSearch/AC03FSMA(3)-AZ/page-1", "AC03FSMA(3)-AZ")</f>
        <v>AC03FSMA(3)-AZ</v>
      </c>
      <c r="B24555" s="3" t="str">
        <f>HYPERLINK("https://www.773grp.com/manufacturer/renesas-electronics-america-inc?pageNo=623", "Renesas Electronics")</f>
        <v>Renesas Electronics</v>
      </c>
      <c r="C24555" s="6">
        <v>46541</v>
      </c>
      <c r="D24555" s="7">
        <v>4.6900000000000004</v>
      </c>
    </row>
    <row r="24556" spans="1:4" x14ac:dyDescent="0.25">
      <c r="A24556" t="str">
        <f>HYPERLINK("https://www.773grp.com/globalSearch/BCR12CM-12LB#B01/page-1", "BCR12CM-12LB#B01")</f>
        <v>BCR12CM-12LB#B01</v>
      </c>
      <c r="B24556" s="3" t="str">
        <f>HYPERLINK("https://www.773grp.com/manufacturer/renesas-electronics-america-inc?pageNo=624", "Renesas Electronics")</f>
        <v>Renesas Electronics</v>
      </c>
      <c r="C24556" s="6">
        <v>183</v>
      </c>
      <c r="D24556" s="7">
        <v>4.6900000000000004</v>
      </c>
    </row>
    <row r="24557" spans="1:4" x14ac:dyDescent="0.25">
      <c r="A24557" t="str">
        <f>HYPERLINK("https://www.773grp.com/globalSearch/HAT2167HWS-E/page-1", "HAT2167HWS-E")</f>
        <v>HAT2167HWS-E</v>
      </c>
      <c r="B24557" s="3" t="str">
        <f>HYPERLINK("https://www.773grp.com/manufacturer/renesas-electronics-america-inc?pageNo=625", "Renesas Electronics")</f>
        <v>Renesas Electronics</v>
      </c>
      <c r="C24557" s="6">
        <v>2440</v>
      </c>
      <c r="D24557" s="7">
        <v>4.6900000000000004</v>
      </c>
    </row>
    <row r="24558" spans="1:4" x14ac:dyDescent="0.25">
      <c r="A24558" t="str">
        <f>HYPERLINK("https://www.773grp.com/globalSearch/HAT2173NWS-E/page-1", "HAT2173NWS-E")</f>
        <v>HAT2173NWS-E</v>
      </c>
      <c r="B24558" s="3" t="str">
        <f>HYPERLINK("https://www.773grp.com/manufacturer/renesas-electronics-america-inc?pageNo=626", "Renesas Electronics")</f>
        <v>Renesas Electronics</v>
      </c>
      <c r="C24558" s="6">
        <v>2270</v>
      </c>
      <c r="D24558" s="7">
        <v>4.25</v>
      </c>
    </row>
    <row r="24559" spans="1:4" x14ac:dyDescent="0.25">
      <c r="A24559" t="str">
        <f>HYPERLINK("https://www.773grp.com/globalSearch/2SK1094-E/page-1", "2SK1094-E")</f>
        <v>2SK1094-E</v>
      </c>
      <c r="B24559" s="3" t="str">
        <f>HYPERLINK("https://www.773grp.com/manufacturer/renesas-electronics-america-inc?pageNo=627", "Renesas Electronics")</f>
        <v>Renesas Electronics</v>
      </c>
      <c r="C24559" s="6">
        <v>663</v>
      </c>
      <c r="D24559" s="7">
        <v>4.28</v>
      </c>
    </row>
    <row r="24560" spans="1:4" x14ac:dyDescent="0.25">
      <c r="A24560" t="str">
        <f>HYPERLINK("https://www.773grp.com/globalSearch/2SK3305-S-AZ/page-1", "2SK3305-S-AZ")</f>
        <v>2SK3305-S-AZ</v>
      </c>
      <c r="B24560" s="3" t="str">
        <f>HYPERLINK("https://www.773grp.com/manufacturer/renesas-electronics-america-inc?pageNo=628", "Renesas Electronics")</f>
        <v>Renesas Electronics</v>
      </c>
      <c r="C24560" s="6">
        <v>884</v>
      </c>
      <c r="D24560" s="7">
        <v>4.28</v>
      </c>
    </row>
    <row r="24561" spans="1:4" x14ac:dyDescent="0.25">
      <c r="A24561" t="str">
        <f>HYPERLINK("https://www.773grp.com/globalSearch/AC16DSMA-AZ/page-1", "AC16DSMA-AZ")</f>
        <v>AC16DSMA-AZ</v>
      </c>
      <c r="B24561" s="3" t="str">
        <f>HYPERLINK("https://www.773grp.com/manufacturer/renesas-electronics-america-inc?pageNo=629", "Renesas Electronics")</f>
        <v>Renesas Electronics</v>
      </c>
      <c r="C24561" s="6">
        <v>1150</v>
      </c>
      <c r="D24561" s="7">
        <v>4.28</v>
      </c>
    </row>
    <row r="24562" spans="1:4" x14ac:dyDescent="0.25">
      <c r="A24562" t="str">
        <f>HYPERLINK("https://www.773grp.com/globalSearch/BCR16KM-12LA-A8#X3/page-1", "BCR16KM-12LA-A8#X3")</f>
        <v>BCR16KM-12LA-A8#X3</v>
      </c>
      <c r="B24562" s="3" t="str">
        <f>HYPERLINK("https://www.773grp.com/manufacturer/renesas-electronics-america-inc?pageNo=630", "Renesas Electronics")</f>
        <v>Renesas Electronics</v>
      </c>
      <c r="C24562" s="6">
        <v>13450</v>
      </c>
      <c r="D24562" s="7">
        <v>4.28</v>
      </c>
    </row>
    <row r="24563" spans="1:4" x14ac:dyDescent="0.25">
      <c r="A24563" t="str">
        <f>HYPERLINK("https://www.773grp.com/globalSearch/R2A30423NP#W1/page-1", "R2A30423NP#W1")</f>
        <v>R2A30423NP#W1</v>
      </c>
      <c r="B24563" s="3" t="str">
        <f>HYPERLINK("https://www.773grp.com/manufacturer/renesas-electronics-america-inc?pageNo=631", "Renesas Electronics")</f>
        <v>Renesas Electronics</v>
      </c>
      <c r="C24563" s="6">
        <v>80000</v>
      </c>
      <c r="D24563" s="7">
        <v>4.28</v>
      </c>
    </row>
    <row r="24564" spans="1:4" x14ac:dyDescent="0.25">
      <c r="A24564" t="str">
        <f>HYPERLINK("https://www.773grp.com/globalSearch/RJP3047ADPK-80#T2/page-1", "RJP3047ADPK-80#T2")</f>
        <v>RJP3047ADPK-80#T2</v>
      </c>
      <c r="B24564" s="3" t="str">
        <f>HYPERLINK("https://www.773grp.com/manufacturer/renesas-electronics-america-inc?pageNo=632", "Renesas Electronics")</f>
        <v>Renesas Electronics</v>
      </c>
      <c r="C24564" s="6">
        <v>12830</v>
      </c>
      <c r="D24564" s="7">
        <v>4.28</v>
      </c>
    </row>
    <row r="24565" spans="1:4" x14ac:dyDescent="0.25">
      <c r="A24565" t="str">
        <f>HYPERLINK("https://www.773grp.com/globalSearch/2SD1900-02-E/page-1", "2SD1900-02-E")</f>
        <v>2SD1900-02-E</v>
      </c>
      <c r="B24565" s="3" t="str">
        <f>HYPERLINK("https://www.773grp.com/manufacturer/renesas-electronics-america-inc?pageNo=633", "Renesas Electronics")</f>
        <v>Renesas Electronics</v>
      </c>
      <c r="C24565" s="6">
        <v>3943</v>
      </c>
      <c r="D24565" s="7">
        <v>4.74</v>
      </c>
    </row>
    <row r="24566" spans="1:4" x14ac:dyDescent="0.25">
      <c r="A24566" t="str">
        <f>HYPERLINK("https://www.773grp.com/globalSearch/3P4MH(13)-S13-AZ/page-1", "3P4MH(13)-S13-AZ")</f>
        <v>3P4MH(13)-S13-AZ</v>
      </c>
      <c r="B24566" s="3" t="str">
        <f>HYPERLINK("https://www.773grp.com/manufacturer/renesas-electronics-america-inc?pageNo=634", "Renesas Electronics")</f>
        <v>Renesas Electronics</v>
      </c>
      <c r="C24566" s="6">
        <v>4981</v>
      </c>
      <c r="D24566" s="7">
        <v>4.74</v>
      </c>
    </row>
    <row r="24567" spans="1:4" x14ac:dyDescent="0.25">
      <c r="A24567" t="str">
        <f>HYPERLINK("https://www.773grp.com/globalSearch/3P4MH(DM)-AZ/page-1", "3P4MH(DM)-AZ")</f>
        <v>3P4MH(DM)-AZ</v>
      </c>
      <c r="B24567" s="3" t="str">
        <f>HYPERLINK("https://www.773grp.com/manufacturer/renesas-electronics-america-inc?pageNo=635", "Renesas Electronics")</f>
        <v>Renesas Electronics</v>
      </c>
      <c r="C24567" s="6">
        <v>8557</v>
      </c>
      <c r="D24567" s="7">
        <v>4.74</v>
      </c>
    </row>
    <row r="24568" spans="1:4" x14ac:dyDescent="0.25">
      <c r="A24568" t="str">
        <f>HYPERLINK("https://www.773grp.com/globalSearch/3P4MH(YM)-AZ/page-1", "3P4MH(YM)-AZ")</f>
        <v>3P4MH(YM)-AZ</v>
      </c>
      <c r="B24568" s="3" t="str">
        <f>HYPERLINK("https://www.773grp.com/manufacturer/renesas-electronics-america-inc?pageNo=636", "Renesas Electronics")</f>
        <v>Renesas Electronics</v>
      </c>
      <c r="C24568" s="6">
        <v>3957</v>
      </c>
      <c r="D24568" s="7">
        <v>4.74</v>
      </c>
    </row>
    <row r="24569" spans="1:4" x14ac:dyDescent="0.25">
      <c r="A24569" t="str">
        <f>HYPERLINK("https://www.773grp.com/globalSearch/74AC240P-E/page-1", "74AC240P-E")</f>
        <v>74AC240P-E</v>
      </c>
      <c r="B24569" s="3" t="str">
        <f>HYPERLINK("https://www.773grp.com/manufacturer/renesas-electronics-america-inc?pageNo=637", "Renesas Electronics")</f>
        <v>Renesas Electronics</v>
      </c>
      <c r="C24569" s="6">
        <v>3000</v>
      </c>
      <c r="D24569" s="7">
        <v>4.74</v>
      </c>
    </row>
    <row r="24570" spans="1:4" x14ac:dyDescent="0.25">
      <c r="A24570" t="str">
        <f>HYPERLINK("https://www.773grp.com/globalSearch/74HC193FPEL-E/page-1", "74HC193FPEL-E")</f>
        <v>74HC193FPEL-E</v>
      </c>
      <c r="B24570" s="3" t="str">
        <f>HYPERLINK("https://www.773grp.com/manufacturer/renesas-electronics-america-inc?pageNo=638", "Renesas Electronics")</f>
        <v>Renesas Electronics</v>
      </c>
      <c r="C24570" s="6">
        <v>4000</v>
      </c>
      <c r="D24570" s="7">
        <v>4.74</v>
      </c>
    </row>
    <row r="24571" spans="1:4" x14ac:dyDescent="0.25">
      <c r="A24571" t="str">
        <f>HYPERLINK("https://www.773grp.com/globalSearch/AC03DGM(BY)-AZ/page-1", "AC03DGM(BY)-AZ")</f>
        <v>AC03DGM(BY)-AZ</v>
      </c>
      <c r="B24571" s="3" t="str">
        <f>HYPERLINK("https://www.773grp.com/manufacturer/renesas-electronics-america-inc?pageNo=639", "Renesas Electronics")</f>
        <v>Renesas Electronics</v>
      </c>
      <c r="C24571" s="6">
        <v>99</v>
      </c>
      <c r="D24571" s="7">
        <v>4.74</v>
      </c>
    </row>
    <row r="24572" spans="1:4" x14ac:dyDescent="0.25">
      <c r="A24572" t="str">
        <f>HYPERLINK("https://www.773grp.com/globalSearch/AC03FSMA-AZ/page-1", "AC03FSMA-AZ")</f>
        <v>AC03FSMA-AZ</v>
      </c>
      <c r="B24572" s="3" t="str">
        <f>HYPERLINK("https://www.773grp.com/manufacturer/renesas-electronics-america-inc?pageNo=640", "Renesas Electronics")</f>
        <v>Renesas Electronics</v>
      </c>
      <c r="C24572" s="6">
        <v>1953</v>
      </c>
      <c r="D24572" s="7">
        <v>4.74</v>
      </c>
    </row>
    <row r="24573" spans="1:4" x14ac:dyDescent="0.25">
      <c r="A24573" t="str">
        <f>HYPERLINK("https://www.773grp.com/globalSearch/BCR16CM-12LC#B00/page-1", "BCR16CM-12LC#B00")</f>
        <v>BCR16CM-12LC#B00</v>
      </c>
      <c r="B24573" s="3" t="str">
        <f>HYPERLINK("https://www.773grp.com/manufacturer/renesas-electronics-america-inc?pageNo=641", "Renesas Electronics")</f>
        <v>Renesas Electronics</v>
      </c>
      <c r="C24573" s="6">
        <v>18701</v>
      </c>
      <c r="D24573" s="7">
        <v>4.74</v>
      </c>
    </row>
    <row r="24574" spans="1:4" x14ac:dyDescent="0.25">
      <c r="A24574" t="str">
        <f>HYPERLINK("https://www.773grp.com/globalSearch/BCR5KM-12RA#B00/page-1", "BCR5KM-12RA#B00")</f>
        <v>BCR5KM-12RA#B00</v>
      </c>
      <c r="B24574" s="3" t="str">
        <f>HYPERLINK("https://www.773grp.com/manufacturer/renesas-electronics-america-inc?pageNo=642", "Renesas Electronics")</f>
        <v>Renesas Electronics</v>
      </c>
      <c r="C24574" s="6">
        <v>2500</v>
      </c>
      <c r="D24574" s="7">
        <v>4.74</v>
      </c>
    </row>
    <row r="24575" spans="1:4" x14ac:dyDescent="0.25">
      <c r="A24575" t="str">
        <f>HYPERLINK("https://www.773grp.com/globalSearch/RJK0230DPA-WS#J5A/page-1", "RJK0230DPA-WS#J5A")</f>
        <v>RJK0230DPA-WS#J5A</v>
      </c>
      <c r="B24575" s="3" t="str">
        <f>HYPERLINK("https://www.773grp.com/manufacturer/renesas-electronics-america-inc?pageNo=643", "Renesas Electronics")</f>
        <v>Renesas Electronics</v>
      </c>
      <c r="C24575" s="6">
        <v>2920</v>
      </c>
      <c r="D24575" s="7">
        <v>4.74</v>
      </c>
    </row>
    <row r="24576" spans="1:4" x14ac:dyDescent="0.25">
      <c r="A24576" t="str">
        <f>HYPERLINK("https://www.773grp.com/globalSearch/UPD16808GS-A/page-1", "UPD16808GS-A")</f>
        <v>UPD16808GS-A</v>
      </c>
      <c r="B24576" s="3" t="str">
        <f>HYPERLINK("https://www.773grp.com/manufacturer/renesas-electronics-america-inc?pageNo=644", "Renesas Electronics")</f>
        <v>Renesas Electronics</v>
      </c>
      <c r="C24576" s="6">
        <v>44</v>
      </c>
      <c r="D24576" s="7">
        <v>4.3</v>
      </c>
    </row>
    <row r="24577" spans="1:4" x14ac:dyDescent="0.25">
      <c r="A24577" t="str">
        <f>HYPERLINK("https://www.773grp.com/globalSearch/BCR16KR-12LB#B00/page-1", "BCR16KR-12LB#B00")</f>
        <v>BCR16KR-12LB#B00</v>
      </c>
      <c r="B24577" s="3" t="str">
        <f>HYPERLINK("https://www.773grp.com/manufacturer/renesas-electronics-america-inc?pageNo=645", "Renesas Electronics")</f>
        <v>Renesas Electronics</v>
      </c>
      <c r="C24577" s="6">
        <v>1326</v>
      </c>
      <c r="D24577" s="7">
        <v>4.34</v>
      </c>
    </row>
    <row r="24578" spans="1:4" x14ac:dyDescent="0.25">
      <c r="A24578" t="str">
        <f>HYPERLINK("https://www.773grp.com/globalSearch/2SK1093-E/page-1", "2SK1093-E")</f>
        <v>2SK1093-E</v>
      </c>
      <c r="B24578" s="3" t="str">
        <f>HYPERLINK("https://www.773grp.com/manufacturer/renesas-electronics-america-inc?pageNo=646", "Renesas Electronics")</f>
        <v>Renesas Electronics</v>
      </c>
      <c r="C24578" s="6">
        <v>1158</v>
      </c>
      <c r="D24578" s="7">
        <v>4.79</v>
      </c>
    </row>
    <row r="24579" spans="1:4" x14ac:dyDescent="0.25">
      <c r="A24579" t="str">
        <f>HYPERLINK("https://www.773grp.com/globalSearch/FS30AS-2-T13#B00/page-1", "FS30AS-2-T13#B00")</f>
        <v>FS30AS-2-T13#B00</v>
      </c>
      <c r="B24579" s="3" t="str">
        <f>HYPERLINK("https://www.773grp.com/manufacturer/renesas-electronics-america-inc?pageNo=647", "Renesas Electronics")</f>
        <v>Renesas Electronics</v>
      </c>
      <c r="C24579" s="6">
        <v>9000</v>
      </c>
      <c r="D24579" s="7">
        <v>4.79</v>
      </c>
    </row>
    <row r="24580" spans="1:4" x14ac:dyDescent="0.25">
      <c r="A24580" t="str">
        <f>HYPERLINK("https://www.773grp.com/globalSearch/2SJ492-AZ/page-1", "2SJ492-AZ")</f>
        <v>2SJ492-AZ</v>
      </c>
      <c r="B24580" s="3" t="str">
        <f>HYPERLINK("https://www.773grp.com/manufacturer/renesas-electronics-america-inc?pageNo=648", "Renesas Electronics")</f>
        <v>Renesas Electronics</v>
      </c>
      <c r="C24580" s="6">
        <v>967</v>
      </c>
      <c r="D24580" s="7">
        <v>4.3499999999999996</v>
      </c>
    </row>
    <row r="24581" spans="1:4" x14ac:dyDescent="0.25">
      <c r="A24581" t="str">
        <f>HYPERLINK("https://www.773grp.com/globalSearch/D74HV8T34T#H0/page-1", "D74HV8T34T#H0")</f>
        <v>D74HV8T34T#H0</v>
      </c>
      <c r="B24581" s="3" t="str">
        <f>HYPERLINK("https://www.773grp.com/manufacturer/renesas-electronics-america-inc?pageNo=649", "Renesas Electronics")</f>
        <v>Renesas Electronics</v>
      </c>
      <c r="C24581" s="6">
        <v>2000</v>
      </c>
      <c r="D24581" s="7">
        <v>4.3499999999999996</v>
      </c>
    </row>
    <row r="24582" spans="1:4" x14ac:dyDescent="0.25">
      <c r="A24582" t="str">
        <f>HYPERLINK("https://www.773grp.com/globalSearch/UPA1436H-AZ/page-1", "UPA1436H-AZ")</f>
        <v>UPA1436H-AZ</v>
      </c>
      <c r="B24582" s="3" t="str">
        <f>HYPERLINK("https://www.773grp.com/manufacturer/renesas-electronics-america-inc?pageNo=650", "Renesas Electronics")</f>
        <v>Renesas Electronics</v>
      </c>
      <c r="C24582" s="6">
        <v>513</v>
      </c>
      <c r="D24582" s="7">
        <v>4.3499999999999996</v>
      </c>
    </row>
    <row r="24583" spans="1:4" x14ac:dyDescent="0.25">
      <c r="A24583" t="str">
        <f>HYPERLINK("https://www.773grp.com/globalSearch/2SK3116-S-AZ/page-1", "2SK3116-S-AZ")</f>
        <v>2SK3116-S-AZ</v>
      </c>
      <c r="B24583" s="3" t="str">
        <f>HYPERLINK("https://www.773grp.com/manufacturer/renesas-electronics-america-inc?pageNo=651", "Renesas Electronics")</f>
        <v>Renesas Electronics</v>
      </c>
      <c r="C24583" s="6">
        <v>465</v>
      </c>
      <c r="D24583" s="7">
        <v>4.3899999999999997</v>
      </c>
    </row>
    <row r="24584" spans="1:4" x14ac:dyDescent="0.25">
      <c r="A24584" t="str">
        <f>HYPERLINK("https://www.773grp.com/globalSearch/M51660L#TF0J/page-1", "M51660L#TF0J")</f>
        <v>M51660L#TF0J</v>
      </c>
      <c r="B24584" s="3" t="str">
        <f>HYPERLINK("https://www.773grp.com/manufacturer/renesas-electronics-america-inc?pageNo=652", "Renesas Electronics")</f>
        <v>Renesas Electronics</v>
      </c>
      <c r="C24584" s="6">
        <v>1481</v>
      </c>
      <c r="D24584" s="7">
        <v>4.3899999999999997</v>
      </c>
    </row>
    <row r="24585" spans="1:4" x14ac:dyDescent="0.25">
      <c r="A24585" t="str">
        <f>HYPERLINK("https://www.773grp.com/globalSearch/RJK6012DPP-K0#T2/page-1", "RJK6012DPP-K0#T2")</f>
        <v>RJK6012DPP-K0#T2</v>
      </c>
      <c r="B24585" s="3" t="str">
        <f>HYPERLINK("https://www.773grp.com/manufacturer/renesas-electronics-america-inc?pageNo=653", "Renesas Electronics")</f>
        <v>Renesas Electronics</v>
      </c>
      <c r="C24585" s="6">
        <v>293</v>
      </c>
      <c r="D24585" s="7">
        <v>4.3899999999999997</v>
      </c>
    </row>
    <row r="24586" spans="1:4" x14ac:dyDescent="0.25">
      <c r="A24586" t="str">
        <f>HYPERLINK("https://www.773grp.com/globalSearch/74AC373FP-E/page-1", "74AC373FP-E")</f>
        <v>74AC373FP-E</v>
      </c>
      <c r="B24586" s="3" t="str">
        <f>HYPERLINK("https://www.773grp.com/manufacturer/renesas-electronics-america-inc?pageNo=654", "Renesas Electronics")</f>
        <v>Renesas Electronics</v>
      </c>
      <c r="C24586" s="6">
        <v>1000</v>
      </c>
      <c r="D24586" s="7">
        <v>4.8600000000000003</v>
      </c>
    </row>
    <row r="24587" spans="1:4" x14ac:dyDescent="0.25">
      <c r="A24587" t="str">
        <f>HYPERLINK("https://www.773grp.com/globalSearch/74AC374FP-E/page-1", "74AC374FP-E")</f>
        <v>74AC374FP-E</v>
      </c>
      <c r="B24587" s="3" t="str">
        <f>HYPERLINK("https://www.773grp.com/manufacturer/renesas-electronics-america-inc?pageNo=655", "Renesas Electronics")</f>
        <v>Renesas Electronics</v>
      </c>
      <c r="C24587" s="6">
        <v>1000</v>
      </c>
      <c r="D24587" s="7">
        <v>4.8600000000000003</v>
      </c>
    </row>
    <row r="24588" spans="1:4" x14ac:dyDescent="0.25">
      <c r="A24588" t="str">
        <f>HYPERLINK("https://www.773grp.com/globalSearch/2SK1402A-E/page-1", "2SK1402A-E")</f>
        <v>2SK1402A-E</v>
      </c>
      <c r="B24588" s="3" t="str">
        <f>HYPERLINK("https://www.773grp.com/manufacturer/renesas-electronics-america-inc?pageNo=656", "Renesas Electronics")</f>
        <v>Renesas Electronics</v>
      </c>
      <c r="C24588" s="6">
        <v>3262</v>
      </c>
      <c r="D24588" s="7">
        <v>4.43</v>
      </c>
    </row>
    <row r="24589" spans="1:4" x14ac:dyDescent="0.25">
      <c r="A24589" t="str">
        <f>HYPERLINK("https://www.773grp.com/globalSearch/AC05FGM(YB)-AZ/page-1", "AC05FGM(YB)-AZ")</f>
        <v>AC05FGM(YB)-AZ</v>
      </c>
      <c r="B24589" s="3" t="str">
        <f>HYPERLINK("https://www.773grp.com/manufacturer/renesas-electronics-america-inc?pageNo=657", "Renesas Electronics")</f>
        <v>Renesas Electronics</v>
      </c>
      <c r="C24589" s="6">
        <v>385</v>
      </c>
      <c r="D24589" s="7">
        <v>4.91</v>
      </c>
    </row>
    <row r="24590" spans="1:4" x14ac:dyDescent="0.25">
      <c r="A24590" t="str">
        <f>HYPERLINK("https://www.773grp.com/globalSearch/FS3KM-9A#B00/page-1", "FS3KM-9A#B00")</f>
        <v>FS3KM-9A#B00</v>
      </c>
      <c r="B24590" s="3" t="str">
        <f>HYPERLINK("https://www.773grp.com/manufacturer/renesas-electronics-america-inc?pageNo=658", "Renesas Electronics")</f>
        <v>Renesas Electronics</v>
      </c>
      <c r="C24590" s="6">
        <v>3399</v>
      </c>
      <c r="D24590" s="7">
        <v>4.91</v>
      </c>
    </row>
    <row r="24591" spans="1:4" x14ac:dyDescent="0.25">
      <c r="A24591" t="str">
        <f>HYPERLINK("https://www.773grp.com/globalSearch/M51995FP#TF0J/page-1", "M51995FP#TF0J")</f>
        <v>M51995FP#TF0J</v>
      </c>
      <c r="B24591" s="3" t="str">
        <f>HYPERLINK("https://www.773grp.com/manufacturer/renesas-electronics-america-inc?pageNo=659", "Renesas Electronics")</f>
        <v>Renesas Electronics</v>
      </c>
      <c r="C24591" s="6">
        <v>52</v>
      </c>
      <c r="D24591" s="7">
        <v>4.91</v>
      </c>
    </row>
    <row r="24592" spans="1:4" x14ac:dyDescent="0.25">
      <c r="A24592" t="str">
        <f>HYPERLINK("https://www.773grp.com/globalSearch/RJK6012DPP-00#T2/page-1", "RJK6012DPP-00#T2")</f>
        <v>RJK6012DPP-00#T2</v>
      </c>
      <c r="B24592" s="3" t="str">
        <f>HYPERLINK("https://www.773grp.com/manufacturer/renesas-electronics-america-inc?pageNo=660", "Renesas Electronics")</f>
        <v>Renesas Electronics</v>
      </c>
      <c r="C24592" s="6">
        <v>335</v>
      </c>
      <c r="D24592" s="7">
        <v>4.4400000000000004</v>
      </c>
    </row>
    <row r="24593" spans="1:4" x14ac:dyDescent="0.25">
      <c r="A24593" t="str">
        <f>HYPERLINK("https://www.773grp.com/globalSearch/1SZ51/page-1", "1SZ51")</f>
        <v>1SZ51</v>
      </c>
      <c r="B24593" s="3" t="str">
        <f>HYPERLINK("https://www.773grp.com/manufacturer/renesas-electronics-america-inc?pageNo=661", "Renesas Electronics")</f>
        <v>Renesas Electronics</v>
      </c>
      <c r="C24593" s="6">
        <v>673</v>
      </c>
      <c r="D24593" s="7">
        <v>4.4800000000000004</v>
      </c>
    </row>
    <row r="24594" spans="1:4" x14ac:dyDescent="0.25">
      <c r="A24594" t="str">
        <f>HYPERLINK("https://www.773grp.com/globalSearch/1SZ51-AZ/page-1", "1SZ51-AZ")</f>
        <v>1SZ51-AZ</v>
      </c>
      <c r="B24594" s="3" t="str">
        <f>HYPERLINK("https://www.773grp.com/manufacturer/renesas-electronics-america-inc?pageNo=662", "Renesas Electronics")</f>
        <v>Renesas Electronics</v>
      </c>
      <c r="C24594" s="6">
        <v>1290</v>
      </c>
      <c r="D24594" s="7">
        <v>4.4800000000000004</v>
      </c>
    </row>
    <row r="24595" spans="1:4" x14ac:dyDescent="0.25">
      <c r="A24595" t="str">
        <f>HYPERLINK("https://www.773grp.com/globalSearch/BCR16KM-12LA-AS#X3/page-1", "BCR16KM-12LA-AS#X3")</f>
        <v>BCR16KM-12LA-AS#X3</v>
      </c>
      <c r="B24595" s="3" t="str">
        <f>HYPERLINK("https://www.773grp.com/manufacturer/renesas-electronics-america-inc?pageNo=663", "Renesas Electronics")</f>
        <v>Renesas Electronics</v>
      </c>
      <c r="C24595" s="6">
        <v>10</v>
      </c>
      <c r="D24595" s="7">
        <v>4.4800000000000004</v>
      </c>
    </row>
    <row r="24596" spans="1:4" x14ac:dyDescent="0.25">
      <c r="A24596" t="str">
        <f>HYPERLINK("https://www.773grp.com/globalSearch/BCR16KM-12LA-AT#X2/page-1", "BCR16KM-12LA-AT#X2")</f>
        <v>BCR16KM-12LA-AT#X2</v>
      </c>
      <c r="B24596" s="3" t="str">
        <f>HYPERLINK("https://www.773grp.com/manufacturer/renesas-electronics-america-inc?pageNo=664", "Renesas Electronics")</f>
        <v>Renesas Electronics</v>
      </c>
      <c r="C24596" s="6">
        <v>80</v>
      </c>
      <c r="D24596" s="7">
        <v>4.4800000000000004</v>
      </c>
    </row>
    <row r="24597" spans="1:4" x14ac:dyDescent="0.25">
      <c r="A24597" t="str">
        <f>HYPERLINK("https://www.773grp.com/globalSearch/RJK5009DPP-00#T2/page-1", "RJK5009DPP-00#T2")</f>
        <v>RJK5009DPP-00#T2</v>
      </c>
      <c r="B24597" s="3" t="str">
        <f>HYPERLINK("https://www.773grp.com/manufacturer/renesas-electronics-america-inc?pageNo=665", "Renesas Electronics")</f>
        <v>Renesas Electronics</v>
      </c>
      <c r="C24597" s="6">
        <v>7936</v>
      </c>
      <c r="D24597" s="7">
        <v>4.4800000000000004</v>
      </c>
    </row>
    <row r="24598" spans="1:4" x14ac:dyDescent="0.25">
      <c r="A24598" t="str">
        <f>HYPERLINK("https://www.773grp.com/globalSearch/RJP6065DPN-P1#T2/page-1", "RJP6065DPN-P1#T2")</f>
        <v>RJP6065DPN-P1#T2</v>
      </c>
      <c r="B24598" s="3" t="str">
        <f>HYPERLINK("https://www.773grp.com/manufacturer/renesas-electronics-america-inc?pageNo=666", "Renesas Electronics")</f>
        <v>Renesas Electronics</v>
      </c>
      <c r="C24598" s="6">
        <v>1365</v>
      </c>
      <c r="D24598" s="7">
        <v>4.4800000000000004</v>
      </c>
    </row>
    <row r="24599" spans="1:4" x14ac:dyDescent="0.25">
      <c r="A24599" t="str">
        <f>HYPERLINK("https://www.773grp.com/globalSearch/2SC5022-E/page-1", "2SC5022-E")</f>
        <v>2SC5022-E</v>
      </c>
      <c r="B24599" s="3" t="str">
        <f>HYPERLINK("https://www.773grp.com/manufacturer/renesas-electronics-america-inc?pageNo=667", "Renesas Electronics")</f>
        <v>Renesas Electronics</v>
      </c>
      <c r="C24599" s="6">
        <v>2308</v>
      </c>
      <c r="D24599" s="7">
        <v>4.96</v>
      </c>
    </row>
    <row r="24600" spans="1:4" x14ac:dyDescent="0.25">
      <c r="A24600" t="str">
        <f>HYPERLINK("https://www.773grp.com/globalSearch/HA16116FPJ/page-1", "HA16116FPJ")</f>
        <v>HA16116FPJ</v>
      </c>
      <c r="B24600" s="3" t="str">
        <f>HYPERLINK("https://www.773grp.com/manufacturer/renesas-electronics-america-inc?pageNo=668", "Renesas Electronics")</f>
        <v>Renesas Electronics</v>
      </c>
      <c r="C24600" s="6">
        <v>2322</v>
      </c>
      <c r="D24600" s="7">
        <v>4.96</v>
      </c>
    </row>
    <row r="24601" spans="1:4" x14ac:dyDescent="0.25">
      <c r="A24601" t="str">
        <f>HYPERLINK("https://www.773grp.com/globalSearch/HA16116FPJ-EL/page-1", "HA16116FPJ-EL")</f>
        <v>HA16116FPJ-EL</v>
      </c>
      <c r="B24601" s="3" t="str">
        <f>HYPERLINK("https://www.773grp.com/manufacturer/renesas-electronics-america-inc?pageNo=669", "Renesas Electronics")</f>
        <v>Renesas Electronics</v>
      </c>
      <c r="C24601" s="6">
        <v>10000</v>
      </c>
      <c r="D24601" s="7">
        <v>4.96</v>
      </c>
    </row>
    <row r="24602" spans="1:4" x14ac:dyDescent="0.25">
      <c r="A24602" t="str">
        <f>HYPERLINK("https://www.773grp.com/globalSearch/HAT3008RJ-EL/page-1", "HAT3008RJ-EL")</f>
        <v>HAT3008RJ-EL</v>
      </c>
      <c r="B24602" s="3" t="str">
        <f>HYPERLINK("https://www.773grp.com/manufacturer/renesas-electronics-america-inc?pageNo=670", "Renesas Electronics")</f>
        <v>Renesas Electronics</v>
      </c>
      <c r="C24602" s="6">
        <v>2500</v>
      </c>
      <c r="D24602" s="7">
        <v>4.96</v>
      </c>
    </row>
    <row r="24603" spans="1:4" x14ac:dyDescent="0.25">
      <c r="A24603" t="str">
        <f>HYPERLINK("https://www.773grp.com/globalSearch/M5248P/page-1", "M5248P")</f>
        <v>M5248P</v>
      </c>
      <c r="B24603" s="3" t="str">
        <f>HYPERLINK("https://www.773grp.com/manufacturer/renesas-electronics-america-inc?pageNo=671", "Renesas Electronics")</f>
        <v>Renesas Electronics</v>
      </c>
      <c r="C24603" s="6">
        <v>1170</v>
      </c>
      <c r="D24603" s="7">
        <v>4.96</v>
      </c>
    </row>
    <row r="24604" spans="1:4" x14ac:dyDescent="0.25">
      <c r="A24604" t="str">
        <f>HYPERLINK("https://www.773grp.com/globalSearch/M62580P#TF2J/page-1", "M62580P#TF2J")</f>
        <v>M62580P#TF2J</v>
      </c>
      <c r="B24604" s="3" t="str">
        <f>HYPERLINK("https://www.773grp.com/manufacturer/renesas-electronics-america-inc?pageNo=672", "Renesas Electronics")</f>
        <v>Renesas Electronics</v>
      </c>
      <c r="C24604" s="6">
        <v>6787</v>
      </c>
      <c r="D24604" s="7">
        <v>4.96</v>
      </c>
    </row>
    <row r="24605" spans="1:4" x14ac:dyDescent="0.25">
      <c r="A24605" t="str">
        <f>HYPERLINK("https://www.773grp.com/globalSearch/2SC3568(8)-AZ/page-1", "2SC3568(8)-AZ")</f>
        <v>2SC3568(8)-AZ</v>
      </c>
      <c r="B24605" s="3" t="str">
        <f>HYPERLINK("https://www.773grp.com/manufacturer/renesas-electronics-america-inc?pageNo=673", "Renesas Electronics")</f>
        <v>Renesas Electronics</v>
      </c>
      <c r="C24605" s="6">
        <v>10107</v>
      </c>
      <c r="D24605" s="7">
        <v>4.5</v>
      </c>
    </row>
    <row r="24606" spans="1:4" x14ac:dyDescent="0.25">
      <c r="A24606" t="str">
        <f>HYPERLINK("https://www.773grp.com/globalSearch/M5248P#TF0J/page-1", "M5248P#TF0J")</f>
        <v>M5248P#TF0J</v>
      </c>
      <c r="B24606" s="3" t="str">
        <f>HYPERLINK("https://www.773grp.com/manufacturer/renesas-electronics-america-inc?pageNo=674", "Renesas Electronics")</f>
        <v>Renesas Electronics</v>
      </c>
      <c r="C24606" s="6">
        <v>2654</v>
      </c>
      <c r="D24606" s="7">
        <v>4.5</v>
      </c>
    </row>
    <row r="24607" spans="1:4" x14ac:dyDescent="0.25">
      <c r="A24607" t="str">
        <f>HYPERLINK("https://www.773grp.com/globalSearch/M62364GP#TF/page-1", "M62364GP#TF")</f>
        <v>M62364GP#TF</v>
      </c>
      <c r="B24607" s="3" t="str">
        <f>HYPERLINK("https://www.773grp.com/manufacturer/renesas-electronics-america-inc?pageNo=675", "Renesas Electronics")</f>
        <v>Renesas Electronics</v>
      </c>
      <c r="C24607" s="6">
        <v>1382</v>
      </c>
      <c r="D24607" s="7">
        <v>4.5</v>
      </c>
    </row>
    <row r="24608" spans="1:4" x14ac:dyDescent="0.25">
      <c r="A24608" t="str">
        <f>HYPERLINK("https://www.773grp.com/globalSearch/RJK0346DPA-WS#J0/page-1", "RJK0346DPA-WS#J0")</f>
        <v>RJK0346DPA-WS#J0</v>
      </c>
      <c r="B24608" s="3" t="str">
        <f>HYPERLINK("https://www.773grp.com/manufacturer/renesas-electronics-america-inc?pageNo=676", "Renesas Electronics")</f>
        <v>Renesas Electronics</v>
      </c>
      <c r="C24608" s="6">
        <v>1930</v>
      </c>
      <c r="D24608" s="7">
        <v>4.5</v>
      </c>
    </row>
    <row r="24609" spans="1:4" x14ac:dyDescent="0.25">
      <c r="A24609" t="str">
        <f>HYPERLINK("https://www.773grp.com/globalSearch/RJP3043DPK-80#T2/page-1", "RJP3043DPK-80#T2")</f>
        <v>RJP3043DPK-80#T2</v>
      </c>
      <c r="B24609" s="3" t="str">
        <f>HYPERLINK("https://www.773grp.com/manufacturer/renesas-electronics-america-inc?pageNo=677", "Renesas Electronics")</f>
        <v>Renesas Electronics</v>
      </c>
      <c r="C24609" s="6">
        <v>87573</v>
      </c>
      <c r="D24609" s="7">
        <v>4.5</v>
      </c>
    </row>
    <row r="24610" spans="1:4" x14ac:dyDescent="0.25">
      <c r="A24610" t="str">
        <f>HYPERLINK("https://www.773grp.com/globalSearch/RJK4512DPP-K0#T2/page-1", "RJK4512DPP-K0#T2")</f>
        <v>RJK4512DPP-K0#T2</v>
      </c>
      <c r="B24610" s="3" t="str">
        <f>HYPERLINK("https://www.773grp.com/manufacturer/renesas-electronics-america-inc?pageNo=678", "Renesas Electronics")</f>
        <v>Renesas Electronics</v>
      </c>
      <c r="C24610" s="6">
        <v>730</v>
      </c>
      <c r="D24610" s="7">
        <v>4.53</v>
      </c>
    </row>
    <row r="24611" spans="1:4" x14ac:dyDescent="0.25">
      <c r="A24611" t="str">
        <f>HYPERLINK("https://www.773grp.com/globalSearch/74HC597P-E/page-1", "74HC597P-E")</f>
        <v>74HC597P-E</v>
      </c>
      <c r="B24611" s="3" t="str">
        <f>HYPERLINK("https://www.773grp.com/manufacturer/renesas-electronics-america-inc?pageNo=679", "Renesas Electronics")</f>
        <v>Renesas Electronics</v>
      </c>
      <c r="C24611" s="6">
        <v>2000</v>
      </c>
      <c r="D24611" s="7">
        <v>5.01</v>
      </c>
    </row>
    <row r="24612" spans="1:4" x14ac:dyDescent="0.25">
      <c r="A24612" t="str">
        <f>HYPERLINK("https://www.773grp.com/globalSearch/AC05DSMA-AZ/page-1", "AC05DSMA-AZ")</f>
        <v>AC05DSMA-AZ</v>
      </c>
      <c r="B24612" s="3" t="str">
        <f>HYPERLINK("https://www.773grp.com/manufacturer/renesas-electronics-america-inc?pageNo=680", "Renesas Electronics")</f>
        <v>Renesas Electronics</v>
      </c>
      <c r="C24612" s="6">
        <v>1835</v>
      </c>
      <c r="D24612" s="7">
        <v>5.01</v>
      </c>
    </row>
    <row r="24613" spans="1:4" x14ac:dyDescent="0.25">
      <c r="A24613" t="str">
        <f>HYPERLINK("https://www.773grp.com/globalSearch/AC08DGM(YA)-AZ/page-1", "AC08DGM(YA)-AZ")</f>
        <v>AC08DGM(YA)-AZ</v>
      </c>
      <c r="B24613" s="3" t="str">
        <f>HYPERLINK("https://www.773grp.com/manufacturer/renesas-electronics-america-inc?pageNo=681", "Renesas Electronics")</f>
        <v>Renesas Electronics</v>
      </c>
      <c r="C24613" s="6">
        <v>38</v>
      </c>
      <c r="D24613" s="7">
        <v>5.01</v>
      </c>
    </row>
    <row r="24614" spans="1:4" x14ac:dyDescent="0.25">
      <c r="A24614" t="str">
        <f>HYPERLINK("https://www.773grp.com/globalSearch/AC08DGM(YC)-AZ/page-1", "AC08DGM(YC)-AZ")</f>
        <v>AC08DGM(YC)-AZ</v>
      </c>
      <c r="B24614" s="3" t="str">
        <f>HYPERLINK("https://www.773grp.com/manufacturer/renesas-electronics-america-inc?pageNo=682", "Renesas Electronics")</f>
        <v>Renesas Electronics</v>
      </c>
      <c r="C24614" s="6">
        <v>616</v>
      </c>
      <c r="D24614" s="7">
        <v>5.01</v>
      </c>
    </row>
    <row r="24615" spans="1:4" x14ac:dyDescent="0.25">
      <c r="A24615" t="str">
        <f>HYPERLINK("https://www.773grp.com/globalSearch/AC12DGM(YC)-AZ/page-1", "AC12DGM(YC)-AZ")</f>
        <v>AC12DGM(YC)-AZ</v>
      </c>
      <c r="B24615" s="3" t="str">
        <f>HYPERLINK("https://www.773grp.com/manufacturer/renesas-electronics-america-inc?pageNo=683", "Renesas Electronics")</f>
        <v>Renesas Electronics</v>
      </c>
      <c r="C24615" s="6">
        <v>204</v>
      </c>
      <c r="D24615" s="7">
        <v>5.01</v>
      </c>
    </row>
    <row r="24616" spans="1:4" x14ac:dyDescent="0.25">
      <c r="A24616" t="str">
        <f>HYPERLINK("https://www.773grp.com/globalSearch/BCR5KM-12LB#B00/page-1", "BCR5KM-12LB#B00")</f>
        <v>BCR5KM-12LB#B00</v>
      </c>
      <c r="B24616" s="3" t="str">
        <f>HYPERLINK("https://www.773grp.com/manufacturer/renesas-electronics-america-inc?pageNo=684", "Renesas Electronics")</f>
        <v>Renesas Electronics</v>
      </c>
      <c r="C24616" s="6">
        <v>31</v>
      </c>
      <c r="D24616" s="7">
        <v>5.01</v>
      </c>
    </row>
    <row r="24617" spans="1:4" x14ac:dyDescent="0.25">
      <c r="A24617" t="str">
        <f>HYPERLINK("https://www.773grp.com/globalSearch/FS14KM-10A#B00/page-1", "FS14KM-10A#B00")</f>
        <v>FS14KM-10A#B00</v>
      </c>
      <c r="B24617" s="3" t="str">
        <f>HYPERLINK("https://www.773grp.com/manufacturer/renesas-electronics-america-inc?pageNo=685", "Renesas Electronics")</f>
        <v>Renesas Electronics</v>
      </c>
      <c r="C24617" s="6">
        <v>1962</v>
      </c>
      <c r="D24617" s="7">
        <v>5.01</v>
      </c>
    </row>
    <row r="24618" spans="1:4" x14ac:dyDescent="0.25">
      <c r="A24618" t="str">
        <f>HYPERLINK("https://www.773grp.com/globalSearch/M62354FP#TF0J/page-1", "M62354FP#TF0J")</f>
        <v>M62354FP#TF0J</v>
      </c>
      <c r="B24618" s="3" t="str">
        <f>HYPERLINK("https://www.773grp.com/manufacturer/renesas-electronics-america-inc?pageNo=686", "Renesas Electronics")</f>
        <v>Renesas Electronics</v>
      </c>
      <c r="C24618" s="6">
        <v>1701</v>
      </c>
      <c r="D24618" s="7">
        <v>5.01</v>
      </c>
    </row>
    <row r="24619" spans="1:4" x14ac:dyDescent="0.25">
      <c r="A24619" t="str">
        <f>HYPERLINK("https://www.773grp.com/globalSearch/R1EX25064ASA00I#S1/page-1", "R1EX25064ASA00I#S1")</f>
        <v>R1EX25064ASA00I#S1</v>
      </c>
      <c r="B24619" s="3" t="str">
        <f>HYPERLINK("https://www.773grp.com/manufacturer/renesas-electronics-america-inc?pageNo=687", "Renesas Electronics")</f>
        <v>Renesas Electronics</v>
      </c>
      <c r="C24619" s="6">
        <v>2000</v>
      </c>
      <c r="D24619" s="7">
        <v>5.01</v>
      </c>
    </row>
    <row r="24620" spans="1:4" x14ac:dyDescent="0.25">
      <c r="A24620" t="str">
        <f>HYPERLINK("https://www.773grp.com/globalSearch/M52723ASP#T60G/page-1", "M52723ASP#T60G")</f>
        <v>M52723ASP#T60G</v>
      </c>
      <c r="B24620" s="3" t="str">
        <f>HYPERLINK("https://www.773grp.com/manufacturer/renesas-electronics-america-inc?pageNo=688", "Renesas Electronics")</f>
        <v>Renesas Electronics</v>
      </c>
      <c r="C24620" s="6">
        <v>189</v>
      </c>
      <c r="D24620" s="7">
        <v>4.5599999999999996</v>
      </c>
    </row>
    <row r="24621" spans="1:4" x14ac:dyDescent="0.25">
      <c r="A24621" t="str">
        <f>HYPERLINK("https://www.773grp.com/globalSearch/2S4M(6)-AZ/page-1", "2S4M(6)-AZ")</f>
        <v>2S4M(6)-AZ</v>
      </c>
      <c r="B24621" s="3" t="str">
        <f>HYPERLINK("https://www.773grp.com/manufacturer/renesas-electronics-america-inc?pageNo=689", "Renesas Electronics")</f>
        <v>Renesas Electronics</v>
      </c>
      <c r="C24621" s="6">
        <v>3997</v>
      </c>
      <c r="D24621" s="7">
        <v>5.0599999999999996</v>
      </c>
    </row>
    <row r="24622" spans="1:4" x14ac:dyDescent="0.25">
      <c r="A24622" t="str">
        <f>HYPERLINK("https://www.773grp.com/globalSearch/AC12DGM-AZ/page-1", "AC12DGM-AZ")</f>
        <v>AC12DGM-AZ</v>
      </c>
      <c r="B24622" s="3" t="str">
        <f>HYPERLINK("https://www.773grp.com/manufacturer/renesas-electronics-america-inc?pageNo=690", "Renesas Electronics")</f>
        <v>Renesas Electronics</v>
      </c>
      <c r="C24622" s="6">
        <v>129</v>
      </c>
      <c r="D24622" s="7">
        <v>5.0599999999999996</v>
      </c>
    </row>
    <row r="24623" spans="1:4" x14ac:dyDescent="0.25">
      <c r="A24623" t="str">
        <f>HYPERLINK("https://www.773grp.com/globalSearch/BCR16KM-12LC#B00/page-1", "BCR16KM-12LC#B00")</f>
        <v>BCR16KM-12LC#B00</v>
      </c>
      <c r="B24623" s="3" t="str">
        <f>HYPERLINK("https://www.773grp.com/manufacturer/renesas-electronics-america-inc?pageNo=691", "Renesas Electronics")</f>
        <v>Renesas Electronics</v>
      </c>
      <c r="C24623" s="6">
        <v>3402</v>
      </c>
      <c r="D24623" s="7">
        <v>5.0599999999999996</v>
      </c>
    </row>
    <row r="24624" spans="1:4" x14ac:dyDescent="0.25">
      <c r="A24624" t="str">
        <f>HYPERLINK("https://www.773grp.com/globalSearch/CR8CM-12B#B00/page-1", "CR8CM-12B#B00")</f>
        <v>CR8CM-12B#B00</v>
      </c>
      <c r="B24624" s="3" t="str">
        <f>HYPERLINK("https://www.773grp.com/manufacturer/renesas-electronics-america-inc?pageNo=692", "Renesas Electronics")</f>
        <v>Renesas Electronics</v>
      </c>
      <c r="C24624" s="6">
        <v>106</v>
      </c>
      <c r="D24624" s="7">
        <v>5.0599999999999996</v>
      </c>
    </row>
    <row r="24625" spans="1:4" x14ac:dyDescent="0.25">
      <c r="A24625" t="str">
        <f>HYPERLINK("https://www.773grp.com/globalSearch/UPD78F9222CS-CAC-A/page-1", "UPD78F9222CS-CAC-A")</f>
        <v>UPD78F9222CS-CAC-A</v>
      </c>
      <c r="B24625" s="3" t="str">
        <f>HYPERLINK("https://www.773grp.com/manufacturer/renesas-electronics-america-inc?pageNo=693", "Renesas Electronics")</f>
        <v>Renesas Electronics</v>
      </c>
      <c r="C24625" s="6">
        <v>146908</v>
      </c>
      <c r="D24625" s="7">
        <v>4.59</v>
      </c>
    </row>
    <row r="24626" spans="1:4" x14ac:dyDescent="0.25">
      <c r="A24626" t="str">
        <f>HYPERLINK("https://www.773grp.com/globalSearch/UPA1453H-AZ/page-1", "UPA1453H-AZ")</f>
        <v>UPA1453H-AZ</v>
      </c>
      <c r="B24626" s="3" t="str">
        <f>HYPERLINK("https://www.773grp.com/manufacturer/renesas-electronics-america-inc?pageNo=694", "Renesas Electronics")</f>
        <v>Renesas Electronics</v>
      </c>
      <c r="C24626" s="6">
        <v>827</v>
      </c>
      <c r="D24626" s="7">
        <v>4.6100000000000003</v>
      </c>
    </row>
    <row r="24627" spans="1:4" x14ac:dyDescent="0.25">
      <c r="A24627" t="str">
        <f>HYPERLINK("https://www.773grp.com/globalSearch/2SD1134C-E/page-1", "2SD1134C-E")</f>
        <v>2SD1134C-E</v>
      </c>
      <c r="B24627" s="3" t="str">
        <f>HYPERLINK("https://www.773grp.com/manufacturer/renesas-electronics-america-inc?pageNo=695", "Renesas Electronics")</f>
        <v>Renesas Electronics</v>
      </c>
      <c r="C24627" s="6">
        <v>1514</v>
      </c>
      <c r="D24627" s="7">
        <v>5.1100000000000003</v>
      </c>
    </row>
    <row r="24628" spans="1:4" x14ac:dyDescent="0.25">
      <c r="A24628" t="str">
        <f>HYPERLINK("https://www.773grp.com/globalSearch/3P4MH(AY)-AZ/page-1", "3P4MH(AY)-AZ")</f>
        <v>3P4MH(AY)-AZ</v>
      </c>
      <c r="B24628" s="3" t="str">
        <f>HYPERLINK("https://www.773grp.com/manufacturer/renesas-electronics-america-inc?pageNo=696", "Renesas Electronics")</f>
        <v>Renesas Electronics</v>
      </c>
      <c r="C24628" s="6">
        <v>1174</v>
      </c>
      <c r="D24628" s="7">
        <v>5.1100000000000003</v>
      </c>
    </row>
    <row r="24629" spans="1:4" x14ac:dyDescent="0.25">
      <c r="A24629" t="str">
        <f>HYPERLINK("https://www.773grp.com/globalSearch/3P4MH(DY)-AZ/page-1", "3P4MH(DY)-AZ")</f>
        <v>3P4MH(DY)-AZ</v>
      </c>
      <c r="B24629" s="3" t="str">
        <f>HYPERLINK("https://www.773grp.com/manufacturer/renesas-electronics-america-inc?pageNo=697", "Renesas Electronics")</f>
        <v>Renesas Electronics</v>
      </c>
      <c r="C24629" s="6">
        <v>1368</v>
      </c>
      <c r="D24629" s="7">
        <v>5.1100000000000003</v>
      </c>
    </row>
    <row r="24630" spans="1:4" x14ac:dyDescent="0.25">
      <c r="A24630" t="str">
        <f>HYPERLINK("https://www.773grp.com/globalSearch/5P4SMA-AZ/page-1", "5P4SMA-AZ")</f>
        <v>5P4SMA-AZ</v>
      </c>
      <c r="B24630" s="3" t="str">
        <f>HYPERLINK("https://www.773grp.com/manufacturer/renesas-electronics-america-inc?pageNo=698", "Renesas Electronics")</f>
        <v>Renesas Electronics</v>
      </c>
      <c r="C24630" s="6">
        <v>790</v>
      </c>
      <c r="D24630" s="7">
        <v>5.1100000000000003</v>
      </c>
    </row>
    <row r="24631" spans="1:4" x14ac:dyDescent="0.25">
      <c r="A24631" t="str">
        <f>HYPERLINK("https://www.773grp.com/globalSearch/8P4M-AZ/page-1", "8P4M-AZ")</f>
        <v>8P4M-AZ</v>
      </c>
      <c r="B24631" s="3" t="str">
        <f>HYPERLINK("https://www.773grp.com/manufacturer/renesas-electronics-america-inc?pageNo=699", "Renesas Electronics")</f>
        <v>Renesas Electronics</v>
      </c>
      <c r="C24631" s="6">
        <v>302</v>
      </c>
      <c r="D24631" s="7">
        <v>5.1100000000000003</v>
      </c>
    </row>
    <row r="24632" spans="1:4" x14ac:dyDescent="0.25">
      <c r="A24632" t="str">
        <f>HYPERLINK("https://www.773grp.com/globalSearch/FX20KMJ-06#B00/page-1", "FX20KMJ-06#B00")</f>
        <v>FX20KMJ-06#B00</v>
      </c>
      <c r="B24632" s="3" t="str">
        <f>HYPERLINK("https://www.773grp.com/manufacturer/renesas-electronics-america-inc?pageNo=700", "Renesas Electronics")</f>
        <v>Renesas Electronics</v>
      </c>
      <c r="C24632" s="6">
        <v>22502</v>
      </c>
      <c r="D24632" s="7">
        <v>5.1100000000000003</v>
      </c>
    </row>
    <row r="24633" spans="1:4" x14ac:dyDescent="0.25">
      <c r="A24633" t="str">
        <f>HYPERLINK("https://www.773grp.com/globalSearch/RJK03E0DNS-WS#J5/page-1", "RJK03E0DNS-WS#J5")</f>
        <v>RJK03E0DNS-WS#J5</v>
      </c>
      <c r="B24633" s="3" t="str">
        <f>HYPERLINK("https://www.773grp.com/manufacturer/renesas-electronics-america-inc?pageNo=701", "Renesas Electronics")</f>
        <v>Renesas Electronics</v>
      </c>
      <c r="C24633" s="6">
        <v>4870</v>
      </c>
      <c r="D24633" s="7">
        <v>5.1100000000000003</v>
      </c>
    </row>
    <row r="24634" spans="1:4" x14ac:dyDescent="0.25">
      <c r="A24634" t="str">
        <f>HYPERLINK("https://www.773grp.com/globalSearch/2SB1530C-E/page-1", "2SB1530C-E")</f>
        <v>2SB1530C-E</v>
      </c>
      <c r="B24634" s="3" t="str">
        <f>HYPERLINK("https://www.773grp.com/manufacturer/renesas-electronics-america-inc?pageNo=702", "Renesas Electronics")</f>
        <v>Renesas Electronics</v>
      </c>
      <c r="C24634" s="6">
        <v>2274</v>
      </c>
      <c r="D24634" s="7">
        <v>4.6399999999999997</v>
      </c>
    </row>
    <row r="24635" spans="1:4" x14ac:dyDescent="0.25">
      <c r="A24635" t="str">
        <f>HYPERLINK("https://www.773grp.com/globalSearch/R2S15201DD#TF0R/page-1", "R2S15201DD#TF0R")</f>
        <v>R2S15201DD#TF0R</v>
      </c>
      <c r="B24635" s="3" t="str">
        <f>HYPERLINK("https://www.773grp.com/manufacturer/renesas-electronics-america-inc?pageNo=703", "Renesas Electronics")</f>
        <v>Renesas Electronics</v>
      </c>
      <c r="C24635" s="6">
        <v>9</v>
      </c>
      <c r="D24635" s="7">
        <v>4.6399999999999997</v>
      </c>
    </row>
    <row r="24636" spans="1:4" x14ac:dyDescent="0.25">
      <c r="A24636" t="str">
        <f>HYPERLINK("https://www.773grp.com/globalSearch/1SZ50(0)/page-1", "1SZ50(0)")</f>
        <v>1SZ50(0)</v>
      </c>
      <c r="B24636" s="3" t="str">
        <f>HYPERLINK("https://www.773grp.com/manufacturer/renesas-electronics-america-inc?pageNo=704", "Renesas Electronics")</f>
        <v>Renesas Electronics</v>
      </c>
      <c r="C24636" s="6">
        <v>100</v>
      </c>
      <c r="D24636" s="7">
        <v>4.68</v>
      </c>
    </row>
    <row r="24637" spans="1:4" x14ac:dyDescent="0.25">
      <c r="A24637" t="str">
        <f>HYPERLINK("https://www.773grp.com/globalSearch/2SJ76-E/page-1", "2SJ76-E")</f>
        <v>2SJ76-E</v>
      </c>
      <c r="B24637" s="3" t="str">
        <f>HYPERLINK("https://www.773grp.com/manufacturer/renesas-electronics-america-inc?pageNo=705", "Renesas Electronics")</f>
        <v>Renesas Electronics</v>
      </c>
      <c r="C24637" s="6">
        <v>1042</v>
      </c>
      <c r="D24637" s="7">
        <v>4.68</v>
      </c>
    </row>
    <row r="24638" spans="1:4" x14ac:dyDescent="0.25">
      <c r="A24638" t="str">
        <f>HYPERLINK("https://www.773grp.com/globalSearch/RJP30E3DPP-M0#T2/page-1", "RJP30E3DPP-M0#T2")</f>
        <v>RJP30E3DPP-M0#T2</v>
      </c>
      <c r="B24638" s="3" t="str">
        <f>HYPERLINK("https://www.773grp.com/manufacturer/renesas-electronics-america-inc?pageNo=706", "Renesas Electronics")</f>
        <v>Renesas Electronics</v>
      </c>
      <c r="C24638" s="6">
        <v>12309</v>
      </c>
      <c r="D24638" s="7">
        <v>4.68</v>
      </c>
    </row>
    <row r="24639" spans="1:4" x14ac:dyDescent="0.25">
      <c r="A24639" t="str">
        <f>HYPERLINK("https://www.773grp.com/globalSearch/2SK3116(0)-Z-E1-AZ/page-1", "2SK3116(0)-Z-E1-AZ")</f>
        <v>2SK3116(0)-Z-E1-AZ</v>
      </c>
      <c r="B24639" s="3" t="str">
        <f>HYPERLINK("https://www.773grp.com/manufacturer/renesas-electronics-america-inc?pageNo=707", "Renesas Electronics")</f>
        <v>Renesas Electronics</v>
      </c>
      <c r="C24639" s="6">
        <v>4000</v>
      </c>
      <c r="D24639" s="7">
        <v>5.16</v>
      </c>
    </row>
    <row r="24640" spans="1:4" x14ac:dyDescent="0.25">
      <c r="A24640" t="str">
        <f>HYPERLINK("https://www.773grp.com/globalSearch/2SK3116(1)-ZK-E2-AZ/page-1", "2SK3116(1)-ZK-E2-AZ")</f>
        <v>2SK3116(1)-ZK-E2-AZ</v>
      </c>
      <c r="B24640" s="3" t="str">
        <f>HYPERLINK("https://www.773grp.com/manufacturer/renesas-electronics-america-inc?pageNo=708", "Renesas Electronics")</f>
        <v>Renesas Electronics</v>
      </c>
      <c r="C24640" s="6">
        <v>18400</v>
      </c>
      <c r="D24640" s="7">
        <v>5.16</v>
      </c>
    </row>
    <row r="24641" spans="1:4" x14ac:dyDescent="0.25">
      <c r="A24641" t="str">
        <f>HYPERLINK("https://www.773grp.com/globalSearch/3P6MH(5)-AZ/page-1", "3P6MH(5)-AZ")</f>
        <v>3P6MH(5)-AZ</v>
      </c>
      <c r="B24641" s="3" t="str">
        <f>HYPERLINK("https://www.773grp.com/manufacturer/renesas-electronics-america-inc?pageNo=709", "Renesas Electronics")</f>
        <v>Renesas Electronics</v>
      </c>
      <c r="C24641" s="6">
        <v>335</v>
      </c>
      <c r="D24641" s="7">
        <v>5.16</v>
      </c>
    </row>
    <row r="24642" spans="1:4" x14ac:dyDescent="0.25">
      <c r="A24642" t="str">
        <f>HYPERLINK("https://www.773grp.com/globalSearch/AC08DGM(YB)-AZ/page-1", "AC08DGM(YB)-AZ")</f>
        <v>AC08DGM(YB)-AZ</v>
      </c>
      <c r="B24642" s="3" t="str">
        <f>HYPERLINK("https://www.773grp.com/manufacturer/renesas-electronics-america-inc?pageNo=710", "Renesas Electronics")</f>
        <v>Renesas Electronics</v>
      </c>
      <c r="C24642" s="6">
        <v>40</v>
      </c>
      <c r="D24642" s="7">
        <v>5.16</v>
      </c>
    </row>
    <row r="24643" spans="1:4" x14ac:dyDescent="0.25">
      <c r="A24643" t="str">
        <f>HYPERLINK("https://www.773grp.com/globalSearch/RJP3082DPP-00#T2/page-1", "RJP3082DPP-00#T2")</f>
        <v>RJP3082DPP-00#T2</v>
      </c>
      <c r="B24643" s="3" t="str">
        <f>HYPERLINK("https://www.773grp.com/manufacturer/renesas-electronics-america-inc?pageNo=711", "Renesas Electronics")</f>
        <v>Renesas Electronics</v>
      </c>
      <c r="C24643" s="6">
        <v>1172</v>
      </c>
      <c r="D24643" s="7">
        <v>5.16</v>
      </c>
    </row>
    <row r="24644" spans="1:4" x14ac:dyDescent="0.25">
      <c r="A24644" t="str">
        <f>HYPERLINK("https://www.773grp.com/globalSearch/AC16FSMA-AZ/page-1", "AC16FSMA-AZ")</f>
        <v>AC16FSMA-AZ</v>
      </c>
      <c r="B24644" s="3" t="str">
        <f>HYPERLINK("https://www.773grp.com/manufacturer/renesas-electronics-america-inc?pageNo=712", "Renesas Electronics")</f>
        <v>Renesas Electronics</v>
      </c>
      <c r="C24644" s="6">
        <v>2632</v>
      </c>
      <c r="D24644" s="7">
        <v>4.7300000000000004</v>
      </c>
    </row>
    <row r="24645" spans="1:4" x14ac:dyDescent="0.25">
      <c r="A24645" t="str">
        <f>HYPERLINK("https://www.773grp.com/globalSearch/M62352FP#TG1J/page-1", "M62352FP#TG1J")</f>
        <v>M62352FP#TG1J</v>
      </c>
      <c r="B24645" s="3" t="str">
        <f>HYPERLINK("https://www.773grp.com/manufacturer/renesas-electronics-america-inc?pageNo=713", "Renesas Electronics")</f>
        <v>Renesas Electronics</v>
      </c>
      <c r="C24645" s="6">
        <v>10</v>
      </c>
      <c r="D24645" s="7">
        <v>5.21</v>
      </c>
    </row>
    <row r="24646" spans="1:4" x14ac:dyDescent="0.25">
      <c r="A24646" t="str">
        <f>HYPERLINK("https://www.773grp.com/globalSearch/RJP3042DPP-00#T2/page-1", "RJP3042DPP-00#T2")</f>
        <v>RJP3042DPP-00#T2</v>
      </c>
      <c r="B24646" s="3" t="str">
        <f>HYPERLINK("https://www.773grp.com/manufacturer/renesas-electronics-america-inc?pageNo=714", "Renesas Electronics")</f>
        <v>Renesas Electronics</v>
      </c>
      <c r="C24646" s="6">
        <v>1043</v>
      </c>
      <c r="D24646" s="7">
        <v>5.21</v>
      </c>
    </row>
    <row r="24647" spans="1:4" x14ac:dyDescent="0.25">
      <c r="A24647" t="str">
        <f>HYPERLINK("https://www.773grp.com/globalSearch/R2A20047SP#U00G/page-1", "R2A20047SP#U00G")</f>
        <v>R2A20047SP#U00G</v>
      </c>
      <c r="B24647" s="3" t="str">
        <f>HYPERLINK("https://www.773grp.com/manufacturer/renesas-electronics-america-inc?pageNo=715", "Renesas Electronics")</f>
        <v>Renesas Electronics</v>
      </c>
      <c r="C24647" s="6">
        <v>11883</v>
      </c>
      <c r="D24647" s="7">
        <v>4.76</v>
      </c>
    </row>
    <row r="24648" spans="1:4" x14ac:dyDescent="0.25">
      <c r="A24648" t="str">
        <f>HYPERLINK("https://www.773grp.com/globalSearch/UPD22100C-A/page-1", "UPD22100C-A")</f>
        <v>UPD22100C-A</v>
      </c>
      <c r="B24648" s="3" t="str">
        <f>HYPERLINK("https://www.773grp.com/manufacturer/renesas-electronics-america-inc?pageNo=716", "Renesas Electronics")</f>
        <v>Renesas Electronics</v>
      </c>
      <c r="C24648" s="6">
        <v>69</v>
      </c>
      <c r="D24648" s="7">
        <v>4.76</v>
      </c>
    </row>
    <row r="24649" spans="1:4" x14ac:dyDescent="0.25">
      <c r="A24649" t="str">
        <f>HYPERLINK("https://www.773grp.com/globalSearch/74BC540AFP-E/page-1", "74BC540AFP-E")</f>
        <v>74BC540AFP-E</v>
      </c>
      <c r="B24649" s="3" t="str">
        <f>HYPERLINK("https://www.773grp.com/manufacturer/renesas-electronics-america-inc?pageNo=717", "Renesas Electronics")</f>
        <v>Renesas Electronics</v>
      </c>
      <c r="C24649" s="6">
        <v>2182</v>
      </c>
      <c r="D24649" s="7">
        <v>4.78</v>
      </c>
    </row>
    <row r="24650" spans="1:4" x14ac:dyDescent="0.25">
      <c r="A24650" t="str">
        <f>HYPERLINK("https://www.773grp.com/globalSearch/UPD78F9116AC-A/page-1", "UPD78F9116AC-A")</f>
        <v>UPD78F9116AC-A</v>
      </c>
      <c r="B24650" s="3" t="str">
        <f>HYPERLINK("https://www.773grp.com/manufacturer/renesas-electronics-america-inc?pageNo=718", "Renesas Electronics")</f>
        <v>Renesas Electronics</v>
      </c>
      <c r="C24650" s="6">
        <v>6993</v>
      </c>
      <c r="D24650" s="7">
        <v>4.78</v>
      </c>
    </row>
    <row r="24651" spans="1:4" x14ac:dyDescent="0.25">
      <c r="A24651" t="str">
        <f>HYPERLINK("https://www.773grp.com/globalSearch/151TS311TE-E/page-1", "151TS311TE-E")</f>
        <v>151TS311TE-E</v>
      </c>
      <c r="B24651" s="3" t="str">
        <f>HYPERLINK("https://www.773grp.com/manufacturer/renesas-electronics-america-inc?pageNo=719", "Renesas Electronics")</f>
        <v>Renesas Electronics</v>
      </c>
      <c r="C24651" s="6">
        <v>3000</v>
      </c>
      <c r="D24651" s="7">
        <v>4.8600000000000003</v>
      </c>
    </row>
    <row r="24652" spans="1:4" x14ac:dyDescent="0.25">
      <c r="A24652" t="str">
        <f>HYPERLINK("https://www.773grp.com/globalSearch/1SZ45A/page-1", "1SZ45A")</f>
        <v>1SZ45A</v>
      </c>
      <c r="B24652" s="3" t="str">
        <f>HYPERLINK("https://www.773grp.com/manufacturer/renesas-electronics-america-inc?pageNo=720", "Renesas Electronics")</f>
        <v>Renesas Electronics</v>
      </c>
      <c r="C24652" s="6">
        <v>32600</v>
      </c>
      <c r="D24652" s="7">
        <v>4.8600000000000003</v>
      </c>
    </row>
    <row r="24653" spans="1:4" x14ac:dyDescent="0.25">
      <c r="A24653" t="str">
        <f>HYPERLINK("https://www.773grp.com/globalSearch/1SZ45A-AZ/page-1", "1SZ45A-AZ")</f>
        <v>1SZ45A-AZ</v>
      </c>
      <c r="B24653" s="3" t="str">
        <f>HYPERLINK("https://www.773grp.com/manufacturer/renesas-electronics-america-inc?pageNo=721", "Renesas Electronics")</f>
        <v>Renesas Electronics</v>
      </c>
      <c r="C24653" s="6">
        <v>1700</v>
      </c>
      <c r="D24653" s="7">
        <v>4.8600000000000003</v>
      </c>
    </row>
    <row r="24654" spans="1:4" x14ac:dyDescent="0.25">
      <c r="A24654" t="str">
        <f>HYPERLINK("https://www.773grp.com/globalSearch/2SJ143(04)-S6-AZ/page-1", "2SJ143(04)-S6-AZ")</f>
        <v>2SJ143(04)-S6-AZ</v>
      </c>
      <c r="B24654" s="3" t="str">
        <f>HYPERLINK("https://www.773grp.com/manufacturer/renesas-electronics-america-inc?pageNo=722", "Renesas Electronics")</f>
        <v>Renesas Electronics</v>
      </c>
      <c r="C24654" s="6">
        <v>5024</v>
      </c>
      <c r="D24654" s="7">
        <v>4.8600000000000003</v>
      </c>
    </row>
    <row r="24655" spans="1:4" x14ac:dyDescent="0.25">
      <c r="A24655" t="str">
        <f>HYPERLINK("https://www.773grp.com/globalSearch/2SJ143(1)-S6-AZ/page-1", "2SJ143(1)-S6-AZ")</f>
        <v>2SJ143(1)-S6-AZ</v>
      </c>
      <c r="B24655" s="3" t="str">
        <f>HYPERLINK("https://www.773grp.com/manufacturer/renesas-electronics-america-inc?pageNo=723", "Renesas Electronics")</f>
        <v>Renesas Electronics</v>
      </c>
      <c r="C24655" s="6">
        <v>1048</v>
      </c>
      <c r="D24655" s="7">
        <v>4.8600000000000003</v>
      </c>
    </row>
    <row r="24656" spans="1:4" x14ac:dyDescent="0.25">
      <c r="A24656" t="str">
        <f>HYPERLINK("https://www.773grp.com/globalSearch/2SJ143(6)-S6-AZ/page-1", "2SJ143(6)-S6-AZ")</f>
        <v>2SJ143(6)-S6-AZ</v>
      </c>
      <c r="B24656" s="3" t="str">
        <f>HYPERLINK("https://www.773grp.com/manufacturer/renesas-electronics-america-inc?pageNo=724", "Renesas Electronics")</f>
        <v>Renesas Electronics</v>
      </c>
      <c r="C24656" s="6">
        <v>1077</v>
      </c>
      <c r="D24656" s="7">
        <v>4.8600000000000003</v>
      </c>
    </row>
    <row r="24657" spans="1:4" x14ac:dyDescent="0.25">
      <c r="A24657" t="str">
        <f>HYPERLINK("https://www.773grp.com/globalSearch/M62501P#TF0J/page-1", "M62501P#TF0J")</f>
        <v>M62501P#TF0J</v>
      </c>
      <c r="B24657" s="3" t="str">
        <f>HYPERLINK("https://www.773grp.com/manufacturer/renesas-electronics-america-inc?pageNo=725", "Renesas Electronics")</f>
        <v>Renesas Electronics</v>
      </c>
      <c r="C24657" s="6">
        <v>2860</v>
      </c>
      <c r="D24657" s="7">
        <v>4.8600000000000003</v>
      </c>
    </row>
    <row r="24658" spans="1:4" x14ac:dyDescent="0.25">
      <c r="A24658" t="str">
        <f>HYPERLINK("https://www.773grp.com/globalSearch/2SK2956-E/page-1", "2SK2956-E")</f>
        <v>2SK2956-E</v>
      </c>
      <c r="B24658" s="3" t="str">
        <f>HYPERLINK("https://www.773grp.com/manufacturer/renesas-electronics-america-inc?pageNo=726", "Renesas Electronics")</f>
        <v>Renesas Electronics</v>
      </c>
      <c r="C24658" s="6">
        <v>1459</v>
      </c>
      <c r="D24658" s="7">
        <v>4.9000000000000004</v>
      </c>
    </row>
    <row r="24659" spans="1:4" x14ac:dyDescent="0.25">
      <c r="A24659" t="str">
        <f>HYPERLINK("https://www.773grp.com/globalSearch/R5F212ACSNFP#W4/page-1", "R5F212ACSNFP#W4")</f>
        <v>R5F212ACSNFP#W4</v>
      </c>
      <c r="B24659" s="3" t="str">
        <f>HYPERLINK("https://www.773grp.com/manufacturer/renesas-electronics-america-inc?pageNo=727", "Renesas Electronics")</f>
        <v>Renesas Electronics</v>
      </c>
      <c r="C24659" s="6">
        <v>3000</v>
      </c>
      <c r="D24659" s="7">
        <v>4.9000000000000004</v>
      </c>
    </row>
    <row r="24660" spans="1:4" x14ac:dyDescent="0.25">
      <c r="A24660" t="str">
        <f>HYPERLINK("https://www.773grp.com/globalSearch/2SD2101-E/page-1", "2SD2101-E")</f>
        <v>2SD2101-E</v>
      </c>
      <c r="B24660" s="3" t="str">
        <f>HYPERLINK("https://www.773grp.com/manufacturer/renesas-electronics-america-inc?pageNo=728", "Renesas Electronics")</f>
        <v>Renesas Electronics</v>
      </c>
      <c r="C24660" s="6">
        <v>216</v>
      </c>
      <c r="D24660" s="7">
        <v>4.93</v>
      </c>
    </row>
    <row r="24661" spans="1:4" x14ac:dyDescent="0.25">
      <c r="A24661" t="str">
        <f>HYPERLINK("https://www.773grp.com/globalSearch/2SK1316S-E/page-1", "2SK1316S-E")</f>
        <v>2SK1316S-E</v>
      </c>
      <c r="B24661" s="3" t="str">
        <f>HYPERLINK("https://www.773grp.com/manufacturer/renesas-electronics-america-inc?pageNo=729", "Renesas Electronics")</f>
        <v>Renesas Electronics</v>
      </c>
      <c r="C24661" s="6">
        <v>880</v>
      </c>
      <c r="D24661" s="7">
        <v>4.93</v>
      </c>
    </row>
    <row r="24662" spans="1:4" x14ac:dyDescent="0.25">
      <c r="A24662" t="str">
        <f>HYPERLINK("https://www.773grp.com/globalSearch/BCR20KM-12LBAZ#B01/page-1", "BCR20KM-12LBAZ#B01")</f>
        <v>BCR20KM-12LBAZ#B01</v>
      </c>
      <c r="B24662" s="3" t="str">
        <f>HYPERLINK("https://www.773grp.com/manufacturer/renesas-electronics-america-inc?pageNo=730", "Renesas Electronics")</f>
        <v>Renesas Electronics</v>
      </c>
      <c r="C24662" s="6">
        <v>58</v>
      </c>
      <c r="D24662" s="7">
        <v>4.9800000000000004</v>
      </c>
    </row>
    <row r="24663" spans="1:4" x14ac:dyDescent="0.25">
      <c r="A24663" t="str">
        <f>HYPERLINK("https://www.773grp.com/globalSearch/UPD78F9177GB-8ES-A/page-1", "UPD78F9177GB-8ES-A")</f>
        <v>UPD78F9177GB-8ES-A</v>
      </c>
      <c r="B24663" s="3" t="str">
        <f>HYPERLINK("https://www.773grp.com/manufacturer/renesas-electronics-america-inc?pageNo=731", "Renesas Electronics")</f>
        <v>Renesas Electronics</v>
      </c>
      <c r="C24663" s="6">
        <v>24</v>
      </c>
      <c r="D24663" s="7">
        <v>4.9800000000000004</v>
      </c>
    </row>
    <row r="24664" spans="1:4" x14ac:dyDescent="0.25">
      <c r="A24664" t="str">
        <f>HYPERLINK("https://www.773grp.com/globalSearch/UPD16502GS-A/page-1", "UPD16502GS-A")</f>
        <v>UPD16502GS-A</v>
      </c>
      <c r="B24664" s="3" t="str">
        <f>HYPERLINK("https://www.773grp.com/manufacturer/renesas-electronics-america-inc?pageNo=732", "Renesas Electronics")</f>
        <v>Renesas Electronics</v>
      </c>
      <c r="C24664" s="6">
        <v>462</v>
      </c>
      <c r="D24664" s="7">
        <v>5.01</v>
      </c>
    </row>
    <row r="24665" spans="1:4" x14ac:dyDescent="0.25">
      <c r="A24665" t="str">
        <f>HYPERLINK("https://www.773grp.com/globalSearch/2SK3140-02-E/page-1", "2SK3140-02-E")</f>
        <v>2SK3140-02-E</v>
      </c>
      <c r="B24665" s="3" t="str">
        <f>HYPERLINK("https://www.773grp.com/manufacturer/renesas-electronics-america-inc?pageNo=733", "Renesas Electronics")</f>
        <v>Renesas Electronics</v>
      </c>
      <c r="C24665" s="6">
        <v>2033</v>
      </c>
      <c r="D24665" s="7">
        <v>5.0599999999999996</v>
      </c>
    </row>
    <row r="24666" spans="1:4" x14ac:dyDescent="0.25">
      <c r="A24666" t="str">
        <f>HYPERLINK("https://www.773grp.com/globalSearch/AC10FSMA(2)-AZ/page-1", "AC10FSMA(2)-AZ")</f>
        <v>AC10FSMA(2)-AZ</v>
      </c>
      <c r="B24666" s="3" t="str">
        <f>HYPERLINK("https://www.773grp.com/manufacturer/renesas-electronics-america-inc?pageNo=734", "Renesas Electronics")</f>
        <v>Renesas Electronics</v>
      </c>
      <c r="C24666" s="6">
        <v>293</v>
      </c>
      <c r="D24666" s="7">
        <v>5.0599999999999996</v>
      </c>
    </row>
    <row r="24667" spans="1:4" x14ac:dyDescent="0.25">
      <c r="A24667" t="str">
        <f>HYPERLINK("https://www.773grp.com/globalSearch/2SA1444(3)-S6/page-1", "2SA1444(3)-S6")</f>
        <v>2SA1444(3)-S6</v>
      </c>
      <c r="B24667" s="3" t="str">
        <f>HYPERLINK("https://www.773grp.com/manufacturer/renesas-electronics-america-inc?pageNo=735", "Renesas Electronics")</f>
        <v>Renesas Electronics</v>
      </c>
      <c r="C24667" s="6">
        <v>1198</v>
      </c>
      <c r="D24667" s="7">
        <v>5.0999999999999996</v>
      </c>
    </row>
    <row r="24668" spans="1:4" x14ac:dyDescent="0.25">
      <c r="A24668" t="str">
        <f>HYPERLINK("https://www.773grp.com/globalSearch/M62281P#TF0J/page-1", "M62281P#TF0J")</f>
        <v>M62281P#TF0J</v>
      </c>
      <c r="B24668" s="3" t="str">
        <f>HYPERLINK("https://www.773grp.com/manufacturer/renesas-electronics-america-inc?pageNo=736", "Renesas Electronics")</f>
        <v>Renesas Electronics</v>
      </c>
      <c r="C24668" s="6">
        <v>778</v>
      </c>
      <c r="D24668" s="7">
        <v>5.0999999999999996</v>
      </c>
    </row>
    <row r="24669" spans="1:4" x14ac:dyDescent="0.25">
      <c r="A24669" t="str">
        <f>HYPERLINK("https://www.773grp.com/globalSearch/R8A66155SP#T1/page-1", "R8A66155SP#T1")</f>
        <v>R8A66155SP#T1</v>
      </c>
      <c r="B24669" s="3" t="str">
        <f>HYPERLINK("https://www.773grp.com/manufacturer/renesas-electronics-america-inc?pageNo=737", "Renesas Electronics")</f>
        <v>Renesas Electronics</v>
      </c>
      <c r="C24669" s="6">
        <v>2275</v>
      </c>
      <c r="D24669" s="7">
        <v>5.1100000000000003</v>
      </c>
    </row>
    <row r="24670" spans="1:4" x14ac:dyDescent="0.25">
      <c r="A24670" t="str">
        <f>HYPERLINK("https://www.773grp.com/globalSearch/2SK1403A-E/page-1", "2SK1403A-E")</f>
        <v>2SK1403A-E</v>
      </c>
      <c r="B24670" s="3" t="str">
        <f>HYPERLINK("https://www.773grp.com/manufacturer/renesas-electronics-america-inc?pageNo=738", "Renesas Electronics")</f>
        <v>Renesas Electronics</v>
      </c>
      <c r="C24670" s="6">
        <v>696</v>
      </c>
      <c r="D24670" s="7">
        <v>5.15</v>
      </c>
    </row>
    <row r="24671" spans="1:4" x14ac:dyDescent="0.25">
      <c r="A24671" t="str">
        <f>HYPERLINK("https://www.773grp.com/globalSearch/M54123L#A10/page-1", "M54123L#A10")</f>
        <v>M54123L#A10</v>
      </c>
      <c r="B24671" s="3" t="str">
        <f>HYPERLINK("https://www.773grp.com/manufacturer/renesas-electronics-america-inc?pageNo=739", "Renesas Electronics")</f>
        <v>Renesas Electronics</v>
      </c>
      <c r="C24671" s="6">
        <v>172</v>
      </c>
      <c r="D24671" s="7">
        <v>5.18</v>
      </c>
    </row>
    <row r="24672" spans="1:4" x14ac:dyDescent="0.25">
      <c r="A24672" t="str">
        <f>HYPERLINK("https://www.773grp.com/globalSearch/H5N3301LSTL-E/page-1", "H5N3301LSTL-E")</f>
        <v>H5N3301LSTL-E</v>
      </c>
      <c r="B24672" s="3" t="str">
        <f>HYPERLINK("https://www.773grp.com/manufacturer/renesas-electronics-america-inc?pageNo=740", "Renesas Electronics")</f>
        <v>Renesas Electronics</v>
      </c>
      <c r="C24672" s="6">
        <v>2000</v>
      </c>
      <c r="D24672" s="7">
        <v>5.24</v>
      </c>
    </row>
    <row r="24673" spans="1:4" x14ac:dyDescent="0.25">
      <c r="A24673" t="str">
        <f>HYPERLINK("https://www.773grp.com/globalSearch/BCR25KM-12LB#B00/page-1", "BCR25KM-12LB#B00")</f>
        <v>BCR25KM-12LB#B00</v>
      </c>
      <c r="B24673" s="3" t="str">
        <f>HYPERLINK("https://www.773grp.com/manufacturer/renesas-electronics-america-inc?pageNo=741", "Renesas Electronics")</f>
        <v>Renesas Electronics</v>
      </c>
      <c r="C24673" s="6">
        <v>305</v>
      </c>
      <c r="D24673" s="7">
        <v>5.29</v>
      </c>
    </row>
    <row r="24674" spans="1:4" x14ac:dyDescent="0.25">
      <c r="A24674" t="str">
        <f>HYPERLINK("https://www.773grp.com/globalSearch/BCR25KM-12LBA8#B00/page-1", "BCR25KM-12LBA8#B00")</f>
        <v>BCR25KM-12LBA8#B00</v>
      </c>
      <c r="B24674" s="3" t="str">
        <f>HYPERLINK("https://www.773grp.com/manufacturer/renesas-electronics-america-inc?pageNo=742", "Renesas Electronics")</f>
        <v>Renesas Electronics</v>
      </c>
      <c r="C24674" s="6">
        <v>499</v>
      </c>
      <c r="D24674" s="7">
        <v>5.29</v>
      </c>
    </row>
    <row r="24675" spans="1:4" x14ac:dyDescent="0.25">
      <c r="A24675" t="str">
        <f>HYPERLINK("https://www.773grp.com/globalSearch/M54995P#TB0J/page-1", "M54995P#TB0J")</f>
        <v>M54995P#TB0J</v>
      </c>
      <c r="B24675" s="3" t="str">
        <f>HYPERLINK("https://www.773grp.com/manufacturer/renesas-electronics-america-inc?pageNo=743", "Renesas Electronics")</f>
        <v>Renesas Electronics</v>
      </c>
      <c r="C24675" s="6">
        <v>1980</v>
      </c>
      <c r="D24675" s="7">
        <v>5.31</v>
      </c>
    </row>
    <row r="24676" spans="1:4" x14ac:dyDescent="0.25">
      <c r="A24676" t="str">
        <f>HYPERLINK("https://www.773grp.com/globalSearch/BCR12KM-14LA#C05/page-1", "BCR12KM-14LA#C05")</f>
        <v>BCR12KM-14LA#C05</v>
      </c>
      <c r="B24676" s="3" t="str">
        <f>HYPERLINK("https://www.773grp.com/manufacturer/renesas-electronics-america-inc?pageNo=744", "Renesas Electronics")</f>
        <v>Renesas Electronics</v>
      </c>
      <c r="C24676" s="6">
        <v>28556</v>
      </c>
      <c r="D24676" s="7">
        <v>5.35</v>
      </c>
    </row>
    <row r="24677" spans="1:4" x14ac:dyDescent="0.25">
      <c r="A24677" t="str">
        <f>HYPERLINK("https://www.773grp.com/globalSearch/D74HV8T34T-WS#H0/page-1", "D74HV8T34T-WS#H0")</f>
        <v>D74HV8T34T-WS#H0</v>
      </c>
      <c r="B24677" s="3" t="str">
        <f>HYPERLINK("https://www.773grp.com/manufacturer/renesas-electronics-america-inc?pageNo=745", "Renesas Electronics")</f>
        <v>Renesas Electronics</v>
      </c>
      <c r="C24677" s="6">
        <v>1178</v>
      </c>
      <c r="D24677" s="7">
        <v>5.35</v>
      </c>
    </row>
    <row r="24678" spans="1:4" x14ac:dyDescent="0.25">
      <c r="A24678" t="str">
        <f>HYPERLINK("https://www.773grp.com/globalSearch/2SC2816-E/page-1", "2SC2816-E")</f>
        <v>2SC2816-E</v>
      </c>
      <c r="B24678" s="3" t="str">
        <f>HYPERLINK("https://www.773grp.com/manufacturer/renesas-electronics-america-inc?pageNo=746", "Renesas Electronics")</f>
        <v>Renesas Electronics</v>
      </c>
      <c r="C24678" s="6">
        <v>323</v>
      </c>
      <c r="D24678" s="7">
        <v>5.36</v>
      </c>
    </row>
    <row r="24679" spans="1:4" x14ac:dyDescent="0.25">
      <c r="A24679" t="str">
        <f>HYPERLINK("https://www.773grp.com/globalSearch/RJL5013DPP-00#T2/page-1", "RJL5013DPP-00#T2")</f>
        <v>RJL5013DPP-00#T2</v>
      </c>
      <c r="B24679" s="3" t="str">
        <f>HYPERLINK("https://www.773grp.com/manufacturer/renesas-electronics-america-inc?pageNo=747", "Renesas Electronics")</f>
        <v>Renesas Electronics</v>
      </c>
      <c r="C24679" s="6">
        <v>2631</v>
      </c>
      <c r="D24679" s="7">
        <v>5.36</v>
      </c>
    </row>
    <row r="24680" spans="1:4" x14ac:dyDescent="0.25">
      <c r="A24680" t="str">
        <f>HYPERLINK("https://www.773grp.com/globalSearch/2SC2979-03-E/page-1", "2SC2979-03-E")</f>
        <v>2SC2979-03-E</v>
      </c>
      <c r="B24680" s="3" t="str">
        <f>HYPERLINK("https://www.773grp.com/manufacturer/renesas-electronics-america-inc?pageNo=748", "Renesas Electronics")</f>
        <v>Renesas Electronics</v>
      </c>
      <c r="C24680" s="6">
        <v>665</v>
      </c>
      <c r="D24680" s="7">
        <v>5.4</v>
      </c>
    </row>
    <row r="24681" spans="1:4" x14ac:dyDescent="0.25">
      <c r="A24681" t="str">
        <f>HYPERLINK("https://www.773grp.com/globalSearch/UPD4992GS-E2-A/page-1", "UPD4992GS-E2-A")</f>
        <v>UPD4992GS-E2-A</v>
      </c>
      <c r="B24681" s="3" t="str">
        <f>HYPERLINK("https://www.773grp.com/manufacturer/renesas-electronics-america-inc?pageNo=749", "Renesas Electronics")</f>
        <v>Renesas Electronics</v>
      </c>
      <c r="C24681" s="6">
        <v>2500</v>
      </c>
      <c r="D24681" s="7">
        <v>5.4</v>
      </c>
    </row>
    <row r="24682" spans="1:4" x14ac:dyDescent="0.25">
      <c r="A24682" t="str">
        <f>HYPERLINK("https://www.773grp.com/globalSearch/2SJ77-E/page-1", "2SJ77-E")</f>
        <v>2SJ77-E</v>
      </c>
      <c r="B24682" s="3" t="str">
        <f>HYPERLINK("https://www.773grp.com/manufacturer/renesas-electronics-america-inc?pageNo=750", "Renesas Electronics")</f>
        <v>Renesas Electronics</v>
      </c>
      <c r="C24682" s="6">
        <v>112</v>
      </c>
      <c r="D24682" s="7">
        <v>5.44</v>
      </c>
    </row>
    <row r="24683" spans="1:4" x14ac:dyDescent="0.25">
      <c r="A24683" t="str">
        <f>HYPERLINK("https://www.773grp.com/globalSearch/M52795FP#CF0J/page-1", "M52795FP#CF0J")</f>
        <v>M52795FP#CF0J</v>
      </c>
      <c r="B24683" s="3" t="str">
        <f>HYPERLINK("https://www.773grp.com/manufacturer/renesas-electronics-america-inc?pageNo=751", "Renesas Electronics")</f>
        <v>Renesas Electronics</v>
      </c>
      <c r="C24683" s="6">
        <v>2000</v>
      </c>
      <c r="D24683" s="7">
        <v>5.44</v>
      </c>
    </row>
    <row r="24684" spans="1:4" x14ac:dyDescent="0.25">
      <c r="A24684" t="str">
        <f>HYPERLINK("https://www.773grp.com/globalSearch/2SK1290-AZ/page-1", "2SK1290-AZ")</f>
        <v>2SK1290-AZ</v>
      </c>
      <c r="B24684" s="3" t="str">
        <f>HYPERLINK("https://www.773grp.com/manufacturer/renesas-electronics-america-inc?pageNo=752", "Renesas Electronics")</f>
        <v>Renesas Electronics</v>
      </c>
      <c r="C24684" s="6">
        <v>266</v>
      </c>
      <c r="D24684" s="7">
        <v>5.45</v>
      </c>
    </row>
    <row r="24685" spans="1:4" x14ac:dyDescent="0.25">
      <c r="A24685" t="str">
        <f>HYPERLINK("https://www.773grp.com/globalSearch/M61524FP#DF0G/page-1", "M61524FP#DF0G")</f>
        <v>M61524FP#DF0G</v>
      </c>
      <c r="B24685" s="3" t="str">
        <f>HYPERLINK("https://www.773grp.com/manufacturer/renesas-electronics-america-inc?pageNo=753", "Renesas Electronics")</f>
        <v>Renesas Electronics</v>
      </c>
      <c r="C24685" s="6">
        <v>2000</v>
      </c>
      <c r="D24685" s="7">
        <v>5.45</v>
      </c>
    </row>
    <row r="24686" spans="1:4" x14ac:dyDescent="0.25">
      <c r="A24686" t="str">
        <f>HYPERLINK("https://www.773grp.com/globalSearch/M54679FP#DB0J/page-1", "M54679FP#DB0J")</f>
        <v>M54679FP#DB0J</v>
      </c>
      <c r="B24686" s="3" t="str">
        <f>HYPERLINK("https://www.773grp.com/manufacturer/renesas-electronics-america-inc?pageNo=754", "Renesas Electronics")</f>
        <v>Renesas Electronics</v>
      </c>
      <c r="C24686" s="6">
        <v>21000</v>
      </c>
      <c r="D24686" s="7">
        <v>5.49</v>
      </c>
    </row>
    <row r="24687" spans="1:4" x14ac:dyDescent="0.25">
      <c r="A24687" t="str">
        <f>HYPERLINK("https://www.773grp.com/globalSearch/HA16142FPEL-E/page-1", "HA16142FPEL-E")</f>
        <v>HA16142FPEL-E</v>
      </c>
      <c r="B24687" s="3" t="str">
        <f>HYPERLINK("https://www.773grp.com/manufacturer/renesas-electronics-america-inc?pageNo=755", "Renesas Electronics")</f>
        <v>Renesas Electronics</v>
      </c>
      <c r="C24687" s="6">
        <v>14000</v>
      </c>
      <c r="D24687" s="7">
        <v>5.51</v>
      </c>
    </row>
    <row r="24688" spans="1:4" x14ac:dyDescent="0.25">
      <c r="A24688" t="str">
        <f>HYPERLINK("https://www.773grp.com/globalSearch/M65850P#TF0T/page-1", "M65850P#TF0T")</f>
        <v>M65850P#TF0T</v>
      </c>
      <c r="B24688" s="3" t="str">
        <f>HYPERLINK("https://www.773grp.com/manufacturer/renesas-electronics-america-inc?pageNo=756", "Renesas Electronics")</f>
        <v>Renesas Electronics</v>
      </c>
      <c r="C24688" s="6">
        <v>3929</v>
      </c>
      <c r="D24688" s="7">
        <v>5.51</v>
      </c>
    </row>
    <row r="24689" spans="1:4" x14ac:dyDescent="0.25">
      <c r="A24689" t="str">
        <f>HYPERLINK("https://www.773grp.com/globalSearch/FX30KMJ-2#B00/page-1", "FX30KMJ-2#B00")</f>
        <v>FX30KMJ-2#B00</v>
      </c>
      <c r="B24689" s="3" t="str">
        <f>HYPERLINK("https://www.773grp.com/manufacturer/renesas-electronics-america-inc?pageNo=757", "Renesas Electronics")</f>
        <v>Renesas Electronics</v>
      </c>
      <c r="C24689" s="6">
        <v>1122</v>
      </c>
      <c r="D24689" s="7">
        <v>5.58</v>
      </c>
    </row>
    <row r="24690" spans="1:4" x14ac:dyDescent="0.25">
      <c r="A24690" t="str">
        <f>HYPERLINK("https://www.773grp.com/globalSearch/HAT1035R-EL-E/page-1", "HAT1035R-EL-E")</f>
        <v>HAT1035R-EL-E</v>
      </c>
      <c r="B24690" s="3" t="str">
        <f>HYPERLINK("https://www.773grp.com/manufacturer/renesas-electronics-america-inc?pageNo=758", "Renesas Electronics")</f>
        <v>Renesas Electronics</v>
      </c>
      <c r="C24690" s="6">
        <v>5000</v>
      </c>
      <c r="D24690" s="7">
        <v>5.58</v>
      </c>
    </row>
    <row r="24691" spans="1:4" x14ac:dyDescent="0.25">
      <c r="A24691" t="str">
        <f>HYPERLINK("https://www.773grp.com/globalSearch/M52342SP#TF0G/page-1", "M52342SP#TF0G")</f>
        <v>M52342SP#TF0G</v>
      </c>
      <c r="B24691" s="3" t="str">
        <f>HYPERLINK("https://www.773grp.com/manufacturer/renesas-electronics-america-inc?pageNo=759", "Renesas Electronics")</f>
        <v>Renesas Electronics</v>
      </c>
      <c r="C24691" s="6">
        <v>2160</v>
      </c>
      <c r="D24691" s="7">
        <v>5.58</v>
      </c>
    </row>
    <row r="24692" spans="1:4" x14ac:dyDescent="0.25">
      <c r="A24692" t="str">
        <f>HYPERLINK("https://www.773grp.com/globalSearch/M52795FP/page-1", "M52795FP")</f>
        <v>M52795FP</v>
      </c>
      <c r="B24692" s="3" t="str">
        <f>HYPERLINK("https://www.773grp.com/manufacturer/renesas-electronics-america-inc?pageNo=760", "Renesas Electronics")</f>
        <v>Renesas Electronics</v>
      </c>
      <c r="C24692" s="6">
        <v>899</v>
      </c>
      <c r="D24692" s="7">
        <v>5.58</v>
      </c>
    </row>
    <row r="24693" spans="1:4" x14ac:dyDescent="0.25">
      <c r="A24693" t="str">
        <f>HYPERLINK("https://www.773grp.com/globalSearch/M61529FP#DF0G/page-1", "M61529FP#DF0G")</f>
        <v>M61529FP#DF0G</v>
      </c>
      <c r="B24693" s="3" t="str">
        <f>HYPERLINK("https://www.773grp.com/manufacturer/renesas-electronics-america-inc?pageNo=761", "Renesas Electronics")</f>
        <v>Renesas Electronics</v>
      </c>
      <c r="C24693" s="6">
        <v>4000</v>
      </c>
      <c r="D24693" s="7">
        <v>5.58</v>
      </c>
    </row>
    <row r="24694" spans="1:4" x14ac:dyDescent="0.25">
      <c r="A24694" t="str">
        <f>HYPERLINK("https://www.773grp.com/globalSearch/R8A66167SP#T0/page-1", "R8A66167SP#T0")</f>
        <v>R8A66167SP#T0</v>
      </c>
      <c r="B24694" s="3" t="str">
        <f>HYPERLINK("https://www.773grp.com/manufacturer/renesas-electronics-america-inc?pageNo=762", "Renesas Electronics")</f>
        <v>Renesas Electronics</v>
      </c>
      <c r="C24694" s="6">
        <v>1053</v>
      </c>
      <c r="D24694" s="7">
        <v>5.58</v>
      </c>
    </row>
    <row r="24695" spans="1:4" x14ac:dyDescent="0.25">
      <c r="A24695" t="str">
        <f>HYPERLINK("https://www.773grp.com/globalSearch/H5N2512FN-E/page-1", "H5N2512FN-E")</f>
        <v>H5N2512FN-E</v>
      </c>
      <c r="B24695" s="3" t="str">
        <f>HYPERLINK("https://www.773grp.com/manufacturer/renesas-electronics-america-inc?pageNo=763", "Renesas Electronics")</f>
        <v>Renesas Electronics</v>
      </c>
      <c r="C24695" s="6">
        <v>2637</v>
      </c>
      <c r="D24695" s="7">
        <v>5.6</v>
      </c>
    </row>
    <row r="24696" spans="1:4" x14ac:dyDescent="0.25">
      <c r="A24696" t="str">
        <f>HYPERLINK("https://www.773grp.com/globalSearch/RJH30H2DPK-M2#T2/page-1", "RJH30H2DPK-M2#T2")</f>
        <v>RJH30H2DPK-M2#T2</v>
      </c>
      <c r="B24696" s="3" t="str">
        <f>HYPERLINK("https://www.773grp.com/manufacturer/renesas-electronics-america-inc?pageNo=764", "Renesas Electronics")</f>
        <v>Renesas Electronics</v>
      </c>
      <c r="C24696" s="6">
        <v>1140</v>
      </c>
      <c r="D24696" s="7">
        <v>5.6</v>
      </c>
    </row>
    <row r="24697" spans="1:4" x14ac:dyDescent="0.25">
      <c r="A24697" t="str">
        <f>HYPERLINK("https://www.773grp.com/globalSearch/RJP4009ANS-WS#Q6/page-1", "RJP4009ANS-WS#Q6")</f>
        <v>RJP4009ANS-WS#Q6</v>
      </c>
      <c r="B24697" s="3" t="str">
        <f>HYPERLINK("https://www.773grp.com/manufacturer/renesas-electronics-america-inc?pageNo=765", "Renesas Electronics")</f>
        <v>Renesas Electronics</v>
      </c>
      <c r="C24697" s="6">
        <v>2155</v>
      </c>
      <c r="D24697" s="7">
        <v>5.6</v>
      </c>
    </row>
    <row r="24698" spans="1:4" x14ac:dyDescent="0.25">
      <c r="A24698" t="str">
        <f>HYPERLINK("https://www.773grp.com/globalSearch/2SK1307-E/page-1", "2SK1307-E")</f>
        <v>2SK1307-E</v>
      </c>
      <c r="B24698" s="3" t="str">
        <f>HYPERLINK("https://www.773grp.com/manufacturer/renesas-electronics-america-inc?pageNo=766", "Renesas Electronics")</f>
        <v>Renesas Electronics</v>
      </c>
      <c r="C24698" s="6">
        <v>398</v>
      </c>
      <c r="D24698" s="7">
        <v>5.63</v>
      </c>
    </row>
    <row r="24699" spans="1:4" x14ac:dyDescent="0.25">
      <c r="A24699" t="str">
        <f>HYPERLINK("https://www.773grp.com/globalSearch/H5N2517FN-E/page-1", "H5N2517FN-E")</f>
        <v>H5N2517FN-E</v>
      </c>
      <c r="B24699" s="3" t="str">
        <f>HYPERLINK("https://www.773grp.com/manufacturer/renesas-electronics-america-inc?pageNo=767", "Renesas Electronics")</f>
        <v>Renesas Electronics</v>
      </c>
      <c r="C24699" s="6">
        <v>7173</v>
      </c>
      <c r="D24699" s="7">
        <v>5.63</v>
      </c>
    </row>
    <row r="24700" spans="1:4" x14ac:dyDescent="0.25">
      <c r="A24700" t="str">
        <f>HYPERLINK("https://www.773grp.com/globalSearch/M65845AFP#TF0G/page-1", "M65845AFP#TF0G")</f>
        <v>M65845AFP#TF0G</v>
      </c>
      <c r="B24700" s="3" t="str">
        <f>HYPERLINK("https://www.773grp.com/manufacturer/renesas-electronics-america-inc?pageNo=768", "Renesas Electronics")</f>
        <v>Renesas Electronics</v>
      </c>
      <c r="C24700" s="6">
        <v>60</v>
      </c>
      <c r="D24700" s="7">
        <v>5.63</v>
      </c>
    </row>
    <row r="24701" spans="1:4" x14ac:dyDescent="0.25">
      <c r="A24701" t="str">
        <f>HYPERLINK("https://www.773grp.com/globalSearch/M66503AGP#CC0G/page-1", "M66503AGP#CC0G")</f>
        <v>M66503AGP#CC0G</v>
      </c>
      <c r="B24701" s="3" t="str">
        <f>HYPERLINK("https://www.773grp.com/manufacturer/renesas-electronics-america-inc?pageNo=769", "Renesas Electronics")</f>
        <v>Renesas Electronics</v>
      </c>
      <c r="C24701" s="6">
        <v>3700</v>
      </c>
      <c r="D24701" s="7">
        <v>5.7</v>
      </c>
    </row>
    <row r="24702" spans="1:4" x14ac:dyDescent="0.25">
      <c r="A24702" t="str">
        <f>HYPERLINK("https://www.773grp.com/globalSearch/M52790FP#DG0G/page-1", "M52790FP#DG0G")</f>
        <v>M52790FP#DG0G</v>
      </c>
      <c r="B24702" s="3" t="str">
        <f>HYPERLINK("https://www.773grp.com/manufacturer/renesas-electronics-america-inc?pageNo=770", "Renesas Electronics")</f>
        <v>Renesas Electronics</v>
      </c>
      <c r="C24702" s="6">
        <v>1000</v>
      </c>
      <c r="D24702" s="7">
        <v>5.74</v>
      </c>
    </row>
    <row r="24703" spans="1:4" x14ac:dyDescent="0.25">
      <c r="A24703" t="str">
        <f>HYPERLINK("https://www.773grp.com/globalSearch/UPD78F0114HGB(A)-8ES/page-1", "UPD78F0114HGB(A)-8ES")</f>
        <v>UPD78F0114HGB(A)-8ES</v>
      </c>
      <c r="B24703" s="3" t="str">
        <f>HYPERLINK("https://www.773grp.com/manufacturer/renesas-electronics-america-inc?pageNo=771", "Renesas Electronics")</f>
        <v>Renesas Electronics</v>
      </c>
      <c r="C24703" s="6">
        <v>3463</v>
      </c>
      <c r="D24703" s="7">
        <v>5.78</v>
      </c>
    </row>
    <row r="24704" spans="1:4" x14ac:dyDescent="0.25">
      <c r="A24704" t="str">
        <f>HYPERLINK("https://www.773grp.com/globalSearch/R2A30236SP#W00Z/page-1", "R2A30236SP#W00Z")</f>
        <v>R2A30236SP#W00Z</v>
      </c>
      <c r="B24704" s="3" t="str">
        <f>HYPERLINK("https://www.773grp.com/manufacturer/renesas-electronics-america-inc?pageNo=772", "Renesas Electronics")</f>
        <v>Renesas Electronics</v>
      </c>
      <c r="C24704" s="6">
        <v>5000</v>
      </c>
      <c r="D24704" s="7">
        <v>5.79</v>
      </c>
    </row>
    <row r="24705" spans="1:4" x14ac:dyDescent="0.25">
      <c r="A24705" t="str">
        <f>HYPERLINK("https://www.773grp.com/globalSearch/2SK3457(2)-AZ/page-1", "2SK3457(2)-AZ")</f>
        <v>2SK3457(2)-AZ</v>
      </c>
      <c r="B24705" s="3" t="str">
        <f>HYPERLINK("https://www.773grp.com/manufacturer/renesas-electronics-america-inc?pageNo=773", "Renesas Electronics")</f>
        <v>Renesas Electronics</v>
      </c>
      <c r="C24705" s="6">
        <v>1608</v>
      </c>
      <c r="D24705" s="7">
        <v>5.83</v>
      </c>
    </row>
    <row r="24706" spans="1:4" x14ac:dyDescent="0.25">
      <c r="A24706" t="str">
        <f>HYPERLINK("https://www.773grp.com/globalSearch/2SK3294-AZ/page-1", "2SK3294-AZ")</f>
        <v>2SK3294-AZ</v>
      </c>
      <c r="B24706" s="3" t="str">
        <f>HYPERLINK("https://www.773grp.com/manufacturer/renesas-electronics-america-inc?pageNo=774", "Renesas Electronics")</f>
        <v>Renesas Electronics</v>
      </c>
      <c r="C24706" s="6">
        <v>119</v>
      </c>
      <c r="D24706" s="7">
        <v>5.85</v>
      </c>
    </row>
    <row r="24707" spans="1:4" x14ac:dyDescent="0.25">
      <c r="A24707" t="str">
        <f>HYPERLINK("https://www.773grp.com/globalSearch/M66242FP/page-1", "M66242FP")</f>
        <v>M66242FP</v>
      </c>
      <c r="B24707" s="3" t="str">
        <f>HYPERLINK("https://www.773grp.com/manufacturer/renesas-electronics-america-inc?pageNo=775", "Renesas Electronics")</f>
        <v>Renesas Electronics</v>
      </c>
      <c r="C24707" s="6">
        <v>877</v>
      </c>
      <c r="D24707" s="7">
        <v>5.85</v>
      </c>
    </row>
    <row r="24708" spans="1:4" x14ac:dyDescent="0.25">
      <c r="A24708" t="str">
        <f>HYPERLINK("https://www.773grp.com/globalSearch/RJK4512DPP-00#T2/page-1", "RJK4512DPP-00#T2")</f>
        <v>RJK4512DPP-00#T2</v>
      </c>
      <c r="B24708" s="3" t="str">
        <f>HYPERLINK("https://www.773grp.com/manufacturer/renesas-electronics-america-inc?pageNo=776", "Renesas Electronics")</f>
        <v>Renesas Electronics</v>
      </c>
      <c r="C24708" s="6">
        <v>107</v>
      </c>
      <c r="D24708" s="7">
        <v>5.91</v>
      </c>
    </row>
    <row r="24709" spans="1:4" x14ac:dyDescent="0.25">
      <c r="A24709" t="str">
        <f>HYPERLINK("https://www.773grp.com/globalSearch/RJK5012DPP-K0#T2/page-1", "RJK5012DPP-K0#T2")</f>
        <v>RJK5012DPP-K0#T2</v>
      </c>
      <c r="B24709" s="3" t="str">
        <f>HYPERLINK("https://www.773grp.com/manufacturer/renesas-electronics-america-inc?pageNo=777", "Renesas Electronics")</f>
        <v>Renesas Electronics</v>
      </c>
      <c r="C24709" s="6">
        <v>92</v>
      </c>
      <c r="D24709" s="7">
        <v>5.91</v>
      </c>
    </row>
    <row r="24710" spans="1:4" x14ac:dyDescent="0.25">
      <c r="A24710" t="str">
        <f>HYPERLINK("https://www.773grp.com/globalSearch/RJP3047DPK-80#T2/page-1", "RJP3047DPK-80#T2")</f>
        <v>RJP3047DPK-80#T2</v>
      </c>
      <c r="B24710" s="3" t="str">
        <f>HYPERLINK("https://www.773grp.com/manufacturer/renesas-electronics-america-inc?pageNo=778", "Renesas Electronics")</f>
        <v>Renesas Electronics</v>
      </c>
      <c r="C24710" s="6">
        <v>3045</v>
      </c>
      <c r="D24710" s="7">
        <v>5.94</v>
      </c>
    </row>
    <row r="24711" spans="1:4" x14ac:dyDescent="0.25">
      <c r="A24711" t="str">
        <f>HYPERLINK("https://www.773grp.com/globalSearch/R8A66152SP#T1/page-1", "R8A66152SP#T1")</f>
        <v>R8A66152SP#T1</v>
      </c>
      <c r="B24711" s="3" t="str">
        <f>HYPERLINK("https://www.773grp.com/manufacturer/renesas-electronics-america-inc?pageNo=779", "Renesas Electronics")</f>
        <v>Renesas Electronics</v>
      </c>
      <c r="C24711" s="6">
        <v>13291</v>
      </c>
      <c r="D24711" s="7">
        <v>5.96</v>
      </c>
    </row>
    <row r="24712" spans="1:4" x14ac:dyDescent="0.25">
      <c r="A24712" t="str">
        <f>HYPERLINK("https://www.773grp.com/globalSearch/2SJ79-E/page-1", "2SJ79-E")</f>
        <v>2SJ79-E</v>
      </c>
      <c r="B24712" s="3" t="str">
        <f>HYPERLINK("https://www.773grp.com/manufacturer/renesas-electronics-america-inc?pageNo=780", "Renesas Electronics")</f>
        <v>Renesas Electronics</v>
      </c>
      <c r="C24712" s="6">
        <v>4191</v>
      </c>
      <c r="D24712" s="7">
        <v>6.03</v>
      </c>
    </row>
    <row r="24713" spans="1:4" x14ac:dyDescent="0.25">
      <c r="A24713" t="str">
        <f>HYPERLINK("https://www.773grp.com/globalSearch/H5N2007FN-E/page-1", "H5N2007FN-E")</f>
        <v>H5N2007FN-E</v>
      </c>
      <c r="B24713" s="3" t="str">
        <f>HYPERLINK("https://www.773grp.com/manufacturer/renesas-electronics-america-inc?pageNo=781", "Renesas Electronics")</f>
        <v>Renesas Electronics</v>
      </c>
      <c r="C24713" s="6">
        <v>466</v>
      </c>
      <c r="D24713" s="7">
        <v>6.04</v>
      </c>
    </row>
    <row r="24714" spans="1:4" x14ac:dyDescent="0.25">
      <c r="A24714" t="str">
        <f>HYPERLINK("https://www.773grp.com/globalSearch/H7N0608LS90TL/page-1", "H7N0608LS90TL")</f>
        <v>H7N0608LS90TL</v>
      </c>
      <c r="B24714" s="3" t="str">
        <f>HYPERLINK("https://www.773grp.com/manufacturer/renesas-electronics-america-inc?pageNo=782", "Renesas Electronics")</f>
        <v>Renesas Electronics</v>
      </c>
      <c r="C24714" s="6">
        <v>12000</v>
      </c>
      <c r="D24714" s="7">
        <v>6.11</v>
      </c>
    </row>
    <row r="24715" spans="1:4" x14ac:dyDescent="0.25">
      <c r="A24715" t="str">
        <f>HYPERLINK("https://www.773grp.com/globalSearch/UPD16502GS-CXD-A/page-1", "UPD16502GS-CXD-A")</f>
        <v>UPD16502GS-CXD-A</v>
      </c>
      <c r="B24715" s="3" t="str">
        <f>HYPERLINK("https://www.773grp.com/manufacturer/renesas-electronics-america-inc?pageNo=783", "Renesas Electronics")</f>
        <v>Renesas Electronics</v>
      </c>
      <c r="C24715" s="6">
        <v>173</v>
      </c>
      <c r="D24715" s="7">
        <v>6.13</v>
      </c>
    </row>
    <row r="24716" spans="1:4" x14ac:dyDescent="0.25">
      <c r="A24716" t="str">
        <f>HYPERLINK("https://www.773grp.com/globalSearch/RJH30E3DPK-M0#T2/page-1", "RJH30E3DPK-M0#T2")</f>
        <v>RJH30E3DPK-M0#T2</v>
      </c>
      <c r="B24716" s="3" t="str">
        <f>HYPERLINK("https://www.773grp.com/manufacturer/renesas-electronics-america-inc?pageNo=784", "Renesas Electronics")</f>
        <v>Renesas Electronics</v>
      </c>
      <c r="C24716" s="6">
        <v>6462</v>
      </c>
      <c r="D24716" s="7">
        <v>6.16</v>
      </c>
    </row>
    <row r="24717" spans="1:4" x14ac:dyDescent="0.25">
      <c r="A24717" t="str">
        <f>HYPERLINK("https://www.773grp.com/globalSearch/RJL5012DPP-00#T2/page-1", "RJL5012DPP-00#T2")</f>
        <v>RJL5012DPP-00#T2</v>
      </c>
      <c r="B24717" s="3" t="str">
        <f>HYPERLINK("https://www.773grp.com/manufacturer/renesas-electronics-america-inc?pageNo=785", "Renesas Electronics")</f>
        <v>Renesas Electronics</v>
      </c>
      <c r="C24717" s="6">
        <v>28764</v>
      </c>
      <c r="D24717" s="7">
        <v>6.16</v>
      </c>
    </row>
    <row r="24718" spans="1:4" x14ac:dyDescent="0.25">
      <c r="A24718" t="str">
        <f>HYPERLINK("https://www.773grp.com/globalSearch/FS30KMJ-3#B00/page-1", "FS30KMJ-3#B00")</f>
        <v>FS30KMJ-3#B00</v>
      </c>
      <c r="B24718" s="3" t="str">
        <f>HYPERLINK("https://www.773grp.com/manufacturer/renesas-electronics-america-inc?pageNo=786", "Renesas Electronics")</f>
        <v>Renesas Electronics</v>
      </c>
      <c r="C24718" s="6">
        <v>24459</v>
      </c>
      <c r="D24718" s="7">
        <v>6.19</v>
      </c>
    </row>
    <row r="24719" spans="1:4" x14ac:dyDescent="0.25">
      <c r="A24719" t="str">
        <f>HYPERLINK("https://www.773grp.com/globalSearch/M62419FP#T71G/page-1", "M62419FP#T71G")</f>
        <v>M62419FP#T71G</v>
      </c>
      <c r="B24719" s="3" t="str">
        <f>HYPERLINK("https://www.773grp.com/manufacturer/renesas-electronics-america-inc?pageNo=787", "Renesas Electronics")</f>
        <v>Renesas Electronics</v>
      </c>
      <c r="C24719" s="6">
        <v>592</v>
      </c>
      <c r="D24719" s="7">
        <v>6.19</v>
      </c>
    </row>
    <row r="24720" spans="1:4" x14ac:dyDescent="0.25">
      <c r="A24720" t="str">
        <f>HYPERLINK("https://www.773grp.com/globalSearch/R5F2L35CCNFP#U0/page-1", "R5F2L35CCNFP#U0")</f>
        <v>R5F2L35CCNFP#U0</v>
      </c>
      <c r="B24720" s="3" t="str">
        <f>HYPERLINK("https://www.773grp.com/manufacturer/renesas-electronics-america-inc?pageNo=788", "Renesas Electronics")</f>
        <v>Renesas Electronics</v>
      </c>
      <c r="C24720" s="6">
        <v>4</v>
      </c>
      <c r="D24720" s="7">
        <v>6.21</v>
      </c>
    </row>
    <row r="24721" spans="1:4" x14ac:dyDescent="0.25">
      <c r="A24721" t="str">
        <f>HYPERLINK("https://www.773grp.com/globalSearch/M54995FP#DB0G/page-1", "M54995FP#DB0G")</f>
        <v>M54995FP#DB0G</v>
      </c>
      <c r="B24721" s="3" t="str">
        <f>HYPERLINK("https://www.773grp.com/manufacturer/renesas-electronics-america-inc?pageNo=789", "Renesas Electronics")</f>
        <v>Renesas Electronics</v>
      </c>
      <c r="C24721" s="6">
        <v>2000</v>
      </c>
      <c r="D24721" s="7">
        <v>6.25</v>
      </c>
    </row>
    <row r="24722" spans="1:4" x14ac:dyDescent="0.25">
      <c r="A24722" t="str">
        <f>HYPERLINK("https://www.773grp.com/globalSearch/UPD78F9510GR(R)-JJG-A/page-1", "UPD78F9510GR(R)-JJG-A")</f>
        <v>UPD78F9510GR(R)-JJG-A</v>
      </c>
      <c r="B24722" s="3" t="str">
        <f>HYPERLINK("https://www.773grp.com/manufacturer/renesas-electronics-america-inc?pageNo=790", "Renesas Electronics")</f>
        <v>Renesas Electronics</v>
      </c>
      <c r="C24722" s="6">
        <v>2441</v>
      </c>
      <c r="D24722" s="7">
        <v>6.25</v>
      </c>
    </row>
    <row r="24723" spans="1:4" x14ac:dyDescent="0.25">
      <c r="A24723" t="str">
        <f>HYPERLINK("https://www.773grp.com/globalSearch/R5F212L2SNFP#U0/page-1", "R5F212L2SNFP#U0")</f>
        <v>R5F212L2SNFP#U0</v>
      </c>
      <c r="B24723" s="3" t="str">
        <f>HYPERLINK("https://www.773grp.com/manufacturer/renesas-electronics-america-inc?pageNo=791", "Renesas Electronics")</f>
        <v>Renesas Electronics</v>
      </c>
      <c r="C24723" s="6">
        <v>428</v>
      </c>
      <c r="D24723" s="7">
        <v>6.28</v>
      </c>
    </row>
    <row r="24724" spans="1:4" x14ac:dyDescent="0.25">
      <c r="A24724" t="str">
        <f>HYPERLINK("https://www.773grp.com/globalSearch/UPD4721GS-GJG-E2/page-1", "UPD4721GS-GJG-E2")</f>
        <v>UPD4721GS-GJG-E2</v>
      </c>
      <c r="B24724" s="3" t="str">
        <f>HYPERLINK("https://www.773grp.com/manufacturer/renesas-electronics-america-inc?pageNo=792", "Renesas Electronics")</f>
        <v>Renesas Electronics</v>
      </c>
      <c r="C24724" s="6">
        <v>2500</v>
      </c>
      <c r="D24724" s="7">
        <v>6.33</v>
      </c>
    </row>
    <row r="24725" spans="1:4" x14ac:dyDescent="0.25">
      <c r="A24725" t="str">
        <f>HYPERLINK("https://www.773grp.com/globalSearch/M51791AL#A10/page-1", "M51791AL#A10")</f>
        <v>M51791AL#A10</v>
      </c>
      <c r="B24725" s="3" t="str">
        <f>HYPERLINK("https://www.773grp.com/manufacturer/renesas-electronics-america-inc?pageNo=793", "Renesas Electronics")</f>
        <v>Renesas Electronics</v>
      </c>
      <c r="C24725" s="6">
        <v>464</v>
      </c>
      <c r="D24725" s="7">
        <v>6.36</v>
      </c>
    </row>
    <row r="24726" spans="1:4" x14ac:dyDescent="0.25">
      <c r="A24726" t="str">
        <f>HYPERLINK("https://www.773grp.com/globalSearch/M54124L#A10/page-1", "M54124L#A10")</f>
        <v>M54124L#A10</v>
      </c>
      <c r="B24726" s="3" t="str">
        <f>HYPERLINK("https://www.773grp.com/manufacturer/renesas-electronics-america-inc?pageNo=794", "Renesas Electronics")</f>
        <v>Renesas Electronics</v>
      </c>
      <c r="C24726" s="6">
        <v>239</v>
      </c>
      <c r="D24726" s="7">
        <v>6.36</v>
      </c>
    </row>
    <row r="24727" spans="1:4" x14ac:dyDescent="0.25">
      <c r="A24727" t="str">
        <f>HYPERLINK("https://www.773grp.com/globalSearch/M3455AGCHFP#U0/page-1", "M3455AGCHFP#U0")</f>
        <v>M3455AGCHFP#U0</v>
      </c>
      <c r="B24727" s="3" t="str">
        <f>HYPERLINK("https://www.773grp.com/manufacturer/renesas-electronics-america-inc?pageNo=795", "Renesas Electronics")</f>
        <v>Renesas Electronics</v>
      </c>
      <c r="C24727" s="6">
        <v>53194</v>
      </c>
      <c r="D24727" s="7">
        <v>6.41</v>
      </c>
    </row>
    <row r="24728" spans="1:4" x14ac:dyDescent="0.25">
      <c r="A24728" t="str">
        <f>HYPERLINK("https://www.773grp.com/globalSearch/BCR16CS12LAT11#B00/page-1", "BCR16CS12LAT11#B00")</f>
        <v>BCR16CS12LAT11#B00</v>
      </c>
      <c r="B24728" s="3" t="str">
        <f>HYPERLINK("https://www.773grp.com/manufacturer/renesas-electronics-america-inc?pageNo=796", "Renesas Electronics")</f>
        <v>Renesas Electronics</v>
      </c>
      <c r="C24728" s="6">
        <v>1000</v>
      </c>
      <c r="D24728" s="7">
        <v>6.45</v>
      </c>
    </row>
    <row r="24729" spans="1:4" x14ac:dyDescent="0.25">
      <c r="A24729" t="str">
        <f>HYPERLINK("https://www.773grp.com/globalSearch/UPD43256BGU-70LL-E1-A/page-1", "UPD43256BGU-70LL-E1-A")</f>
        <v>UPD43256BGU-70LL-E1-A</v>
      </c>
      <c r="B24729" s="3" t="str">
        <f>HYPERLINK("https://www.773grp.com/manufacturer/renesas-electronics-america-inc?pageNo=797", "Renesas Electronics")</f>
        <v>Renesas Electronics</v>
      </c>
      <c r="C24729" s="6">
        <v>147900</v>
      </c>
      <c r="D24729" s="7">
        <v>6.46</v>
      </c>
    </row>
    <row r="24730" spans="1:4" x14ac:dyDescent="0.25">
      <c r="A24730" t="str">
        <f>HYPERLINK("https://www.773grp.com/globalSearch/UPD43256BGU-70LL-E2-A/page-1", "UPD43256BGU-70LL-E2-A")</f>
        <v>UPD43256BGU-70LL-E2-A</v>
      </c>
      <c r="B24730" s="3" t="str">
        <f>HYPERLINK("https://www.773grp.com/manufacturer/renesas-electronics-america-inc?pageNo=798", "Renesas Electronics")</f>
        <v>Renesas Electronics</v>
      </c>
      <c r="C24730" s="6">
        <v>35000</v>
      </c>
      <c r="D24730" s="7">
        <v>6.46</v>
      </c>
    </row>
    <row r="24731" spans="1:4" x14ac:dyDescent="0.25">
      <c r="A24731" t="str">
        <f>HYPERLINK("https://www.773grp.com/globalSearch/2SC2979-E/page-1", "2SC2979-E")</f>
        <v>2SC2979-E</v>
      </c>
      <c r="B24731" s="3" t="str">
        <f>HYPERLINK("https://www.773grp.com/manufacturer/renesas-electronics-america-inc?pageNo=799", "Renesas Electronics")</f>
        <v>Renesas Electronics</v>
      </c>
      <c r="C24731" s="6">
        <v>68</v>
      </c>
      <c r="D24731" s="7">
        <v>6.53</v>
      </c>
    </row>
    <row r="24732" spans="1:4" x14ac:dyDescent="0.25">
      <c r="A24732" t="str">
        <f>HYPERLINK("https://www.773grp.com/globalSearch/UPD16502GS-E2-A/page-1", "UPD16502GS-E2-A")</f>
        <v>UPD16502GS-E2-A</v>
      </c>
      <c r="B24732" s="3" t="str">
        <f>HYPERLINK("https://www.773grp.com/manufacturer/renesas-electronics-america-inc?pageNo=800", "Renesas Electronics")</f>
        <v>Renesas Electronics</v>
      </c>
      <c r="C24732" s="6">
        <v>15000</v>
      </c>
      <c r="D24732" s="7">
        <v>6.55</v>
      </c>
    </row>
    <row r="24733" spans="1:4" x14ac:dyDescent="0.25">
      <c r="A24733" t="str">
        <f>HYPERLINK("https://www.773grp.com/globalSearch/R5F212L2SDFP#U0/page-1", "R5F212L2SDFP#U0")</f>
        <v>R5F212L2SDFP#U0</v>
      </c>
      <c r="B24733" s="3" t="str">
        <f>HYPERLINK("https://www.773grp.com/manufacturer/renesas-electronics-america-inc?pageNo=801", "Renesas Electronics")</f>
        <v>Renesas Electronics</v>
      </c>
      <c r="C24733" s="6">
        <v>51</v>
      </c>
      <c r="D24733" s="7">
        <v>6.61</v>
      </c>
    </row>
    <row r="24734" spans="1:4" x14ac:dyDescent="0.25">
      <c r="A24734" t="str">
        <f>HYPERLINK("https://www.773grp.com/globalSearch/RJK6014DPP-00#T2/page-1", "RJK6014DPP-00#T2")</f>
        <v>RJK6014DPP-00#T2</v>
      </c>
      <c r="B24734" s="3" t="str">
        <f>HYPERLINK("https://www.773grp.com/manufacturer/renesas-electronics-america-inc?pageNo=802", "Renesas Electronics")</f>
        <v>Renesas Electronics</v>
      </c>
      <c r="C24734" s="6">
        <v>420</v>
      </c>
      <c r="D24734" s="7">
        <v>6.61</v>
      </c>
    </row>
    <row r="24735" spans="1:4" x14ac:dyDescent="0.25">
      <c r="A24735" t="str">
        <f>HYPERLINK("https://www.773grp.com/globalSearch/HA12237F-E/page-1", "HA12237F-E")</f>
        <v>HA12237F-E</v>
      </c>
      <c r="B24735" s="3" t="str">
        <f>HYPERLINK("https://www.773grp.com/manufacturer/renesas-electronics-america-inc?pageNo=803", "Renesas Electronics")</f>
        <v>Renesas Electronics</v>
      </c>
      <c r="C24735" s="6">
        <v>6950</v>
      </c>
      <c r="D24735" s="7">
        <v>6.64</v>
      </c>
    </row>
    <row r="24736" spans="1:4" x14ac:dyDescent="0.25">
      <c r="A24736" t="str">
        <f>HYPERLINK("https://www.773grp.com/globalSearch/HA12237FEB-E/page-1", "HA12237FEB-E")</f>
        <v>HA12237FEB-E</v>
      </c>
      <c r="B24736" s="3" t="str">
        <f>HYPERLINK("https://www.773grp.com/manufacturer/renesas-electronics-america-inc?pageNo=804", "Renesas Electronics")</f>
        <v>Renesas Electronics</v>
      </c>
      <c r="C24736" s="6">
        <v>28000</v>
      </c>
      <c r="D24736" s="7">
        <v>6.64</v>
      </c>
    </row>
    <row r="24737" spans="1:4" x14ac:dyDescent="0.25">
      <c r="A24737" t="str">
        <f>HYPERLINK("https://www.773grp.com/globalSearch/M59330P#A10/page-1", "M59330P#A10")</f>
        <v>M59330P#A10</v>
      </c>
      <c r="B24737" s="3" t="str">
        <f>HYPERLINK("https://www.773grp.com/manufacturer/renesas-electronics-america-inc?pageNo=805", "Renesas Electronics")</f>
        <v>Renesas Electronics</v>
      </c>
      <c r="C24737" s="6">
        <v>53</v>
      </c>
      <c r="D24737" s="7">
        <v>6.64</v>
      </c>
    </row>
    <row r="24738" spans="1:4" x14ac:dyDescent="0.25">
      <c r="A24738" t="str">
        <f>HYPERLINK("https://www.773grp.com/globalSearch/2SJ296STL-E/page-1", "2SJ296STL-E")</f>
        <v>2SJ296STL-E</v>
      </c>
      <c r="B24738" s="3" t="str">
        <f>HYPERLINK("https://www.773grp.com/manufacturer/renesas-electronics-america-inc?pageNo=806", "Renesas Electronics")</f>
        <v>Renesas Electronics</v>
      </c>
      <c r="C24738" s="6">
        <v>1000</v>
      </c>
      <c r="D24738" s="7">
        <v>6.7</v>
      </c>
    </row>
    <row r="24739" spans="1:4" x14ac:dyDescent="0.25">
      <c r="A24739" t="str">
        <f>HYPERLINK("https://www.773grp.com/globalSearch/R8A66168SP#T0/page-1", "R8A66168SP#T0")</f>
        <v>R8A66168SP#T0</v>
      </c>
      <c r="B24739" s="3" t="str">
        <f>HYPERLINK("https://www.773grp.com/manufacturer/renesas-electronics-america-inc?pageNo=807", "Renesas Electronics")</f>
        <v>Renesas Electronics</v>
      </c>
      <c r="C24739" s="6">
        <v>1929</v>
      </c>
      <c r="D24739" s="7">
        <v>6.7</v>
      </c>
    </row>
    <row r="24740" spans="1:4" x14ac:dyDescent="0.25">
      <c r="A24740" t="str">
        <f>HYPERLINK("https://www.773grp.com/globalSearch/HN58X24256FPI#S0/page-1", "HN58X24256FPI#S0")</f>
        <v>HN58X24256FPI#S0</v>
      </c>
      <c r="B24740" s="3" t="str">
        <f>HYPERLINK("https://www.773grp.com/manufacturer/renesas-electronics-america-inc?pageNo=808", "Renesas Electronics")</f>
        <v>Renesas Electronics</v>
      </c>
      <c r="C24740" s="6">
        <v>12500</v>
      </c>
      <c r="D24740" s="7">
        <v>6.71</v>
      </c>
    </row>
    <row r="24741" spans="1:4" x14ac:dyDescent="0.25">
      <c r="A24741" t="str">
        <f>HYPERLINK("https://www.773grp.com/globalSearch/M52042FP#CF1J/page-1", "M52042FP#CF1J")</f>
        <v>M52042FP#CF1J</v>
      </c>
      <c r="B24741" s="3" t="str">
        <f>HYPERLINK("https://www.773grp.com/manufacturer/renesas-electronics-america-inc?pageNo=809", "Renesas Electronics")</f>
        <v>Renesas Electronics</v>
      </c>
      <c r="C24741" s="6">
        <v>2000</v>
      </c>
      <c r="D24741" s="7">
        <v>6.75</v>
      </c>
    </row>
    <row r="24742" spans="1:4" x14ac:dyDescent="0.25">
      <c r="A24742" t="str">
        <f>HYPERLINK("https://www.773grp.com/globalSearch/M52045FP#CF1J/page-1", "M52045FP#CF1J")</f>
        <v>M52045FP#CF1J</v>
      </c>
      <c r="B24742" s="3" t="str">
        <f>HYPERLINK("https://www.773grp.com/manufacturer/renesas-electronics-america-inc?pageNo=810", "Renesas Electronics")</f>
        <v>Renesas Electronics</v>
      </c>
      <c r="C24742" s="6">
        <v>6000</v>
      </c>
      <c r="D24742" s="7">
        <v>6.75</v>
      </c>
    </row>
    <row r="24743" spans="1:4" x14ac:dyDescent="0.25">
      <c r="A24743" t="str">
        <f>HYPERLINK("https://www.773grp.com/globalSearch/M54646AP#TF0G/page-1", "M54646AP#TF0G")</f>
        <v>M54646AP#TF0G</v>
      </c>
      <c r="B24743" s="3" t="str">
        <f>HYPERLINK("https://www.773grp.com/manufacturer/renesas-electronics-america-inc?pageNo=811", "Renesas Electronics")</f>
        <v>Renesas Electronics</v>
      </c>
      <c r="C24743" s="6">
        <v>8409</v>
      </c>
      <c r="D24743" s="7">
        <v>6.75</v>
      </c>
    </row>
    <row r="24744" spans="1:4" x14ac:dyDescent="0.25">
      <c r="A24744" t="str">
        <f>HYPERLINK("https://www.773grp.com/globalSearch/M54679SP#TB0G/page-1", "M54679SP#TB0G")</f>
        <v>M54679SP#TB0G</v>
      </c>
      <c r="B24744" s="3" t="str">
        <f>HYPERLINK("https://www.773grp.com/manufacturer/renesas-electronics-america-inc?pageNo=812", "Renesas Electronics")</f>
        <v>Renesas Electronics</v>
      </c>
      <c r="C24744" s="6">
        <v>288</v>
      </c>
      <c r="D24744" s="7">
        <v>6.75</v>
      </c>
    </row>
    <row r="24745" spans="1:4" x14ac:dyDescent="0.25">
      <c r="A24745" t="str">
        <f>HYPERLINK("https://www.773grp.com/globalSearch/M65849CFP#TF0G/page-1", "M65849CFP#TF0G")</f>
        <v>M65849CFP#TF0G</v>
      </c>
      <c r="B24745" s="3" t="str">
        <f>HYPERLINK("https://www.773grp.com/manufacturer/renesas-electronics-america-inc?pageNo=813", "Renesas Electronics")</f>
        <v>Renesas Electronics</v>
      </c>
      <c r="C24745" s="6">
        <v>887</v>
      </c>
      <c r="D24745" s="7">
        <v>6.75</v>
      </c>
    </row>
    <row r="24746" spans="1:4" x14ac:dyDescent="0.25">
      <c r="A24746" t="str">
        <f>HYPERLINK("https://www.773grp.com/globalSearch/M38079SFP#U0/page-1", "M38079SFP#U0")</f>
        <v>M38079SFP#U0</v>
      </c>
      <c r="B24746" s="3" t="str">
        <f>HYPERLINK("https://www.773grp.com/manufacturer/renesas-electronics-america-inc?pageNo=814", "Renesas Electronics")</f>
        <v>Renesas Electronics</v>
      </c>
      <c r="C24746" s="6">
        <v>538</v>
      </c>
      <c r="D24746" s="7">
        <v>6.79</v>
      </c>
    </row>
    <row r="24747" spans="1:4" x14ac:dyDescent="0.25">
      <c r="A24747" t="str">
        <f>HYPERLINK("https://www.773grp.com/globalSearch/M62370GP#R60J/page-1", "M62370GP#R60J")</f>
        <v>M62370GP#R60J</v>
      </c>
      <c r="B24747" s="3" t="str">
        <f>HYPERLINK("https://www.773grp.com/manufacturer/renesas-electronics-america-inc?pageNo=815", "Renesas Electronics")</f>
        <v>Renesas Electronics</v>
      </c>
      <c r="C24747" s="6">
        <v>292</v>
      </c>
      <c r="D24747" s="7">
        <v>6.8</v>
      </c>
    </row>
    <row r="24748" spans="1:4" x14ac:dyDescent="0.25">
      <c r="A24748" t="str">
        <f>HYPERLINK("https://www.773grp.com/globalSearch/UPD78F9136AMC-5A4-A/page-1", "UPD78F9136AMC-5A4-A")</f>
        <v>UPD78F9136AMC-5A4-A</v>
      </c>
      <c r="B24748" s="3" t="str">
        <f>HYPERLINK("https://www.773grp.com/manufacturer/renesas-electronics-america-inc?pageNo=816", "Renesas Electronics")</f>
        <v>Renesas Electronics</v>
      </c>
      <c r="C24748" s="6">
        <v>704</v>
      </c>
      <c r="D24748" s="7">
        <v>6.8</v>
      </c>
    </row>
    <row r="24749" spans="1:4" x14ac:dyDescent="0.25">
      <c r="A24749" t="str">
        <f>HYPERLINK("https://www.773grp.com/globalSearch/R5F21355ANFP#U1/page-1", "R5F21355ANFP#U1")</f>
        <v>R5F21355ANFP#U1</v>
      </c>
      <c r="B24749" s="3" t="str">
        <f>HYPERLINK("https://www.773grp.com/manufacturer/renesas-electronics-america-inc?pageNo=817", "Renesas Electronics")</f>
        <v>Renesas Electronics</v>
      </c>
      <c r="C24749" s="6">
        <v>28137</v>
      </c>
      <c r="D24749" s="7">
        <v>6.84</v>
      </c>
    </row>
    <row r="24750" spans="1:4" x14ac:dyDescent="0.25">
      <c r="A24750" t="str">
        <f>HYPERLINK("https://www.773grp.com/globalSearch/R5F21356CNFP#W4/page-1", "R5F21356CNFP#W4")</f>
        <v>R5F21356CNFP#W4</v>
      </c>
      <c r="B24750" s="3" t="str">
        <f>HYPERLINK("https://www.773grp.com/manufacturer/renesas-electronics-america-inc?pageNo=818", "Renesas Electronics")</f>
        <v>Renesas Electronics</v>
      </c>
      <c r="C24750" s="6">
        <v>1500</v>
      </c>
      <c r="D24750" s="7">
        <v>6.86</v>
      </c>
    </row>
    <row r="24751" spans="1:4" x14ac:dyDescent="0.25">
      <c r="A24751" t="str">
        <f>HYPERLINK("https://www.773grp.com/globalSearch/2SK2725-E/page-1", "2SK2725-E")</f>
        <v>2SK2725-E</v>
      </c>
      <c r="B24751" s="3" t="str">
        <f>HYPERLINK("https://www.773grp.com/manufacturer/renesas-electronics-america-inc?pageNo=819", "Renesas Electronics")</f>
        <v>Renesas Electronics</v>
      </c>
      <c r="C24751" s="6">
        <v>178</v>
      </c>
      <c r="D24751" s="7">
        <v>6.95</v>
      </c>
    </row>
    <row r="24752" spans="1:4" x14ac:dyDescent="0.25">
      <c r="A24752" t="str">
        <f>HYPERLINK("https://www.773grp.com/globalSearch/UPD4711BGS-E1-A/page-1", "UPD4711BGS-E1-A")</f>
        <v>UPD4711BGS-E1-A</v>
      </c>
      <c r="B24752" s="3" t="str">
        <f>HYPERLINK("https://www.773grp.com/manufacturer/renesas-electronics-america-inc?pageNo=820", "Renesas Electronics")</f>
        <v>Renesas Electronics</v>
      </c>
      <c r="C24752" s="6">
        <v>10000</v>
      </c>
      <c r="D24752" s="7">
        <v>6.95</v>
      </c>
    </row>
    <row r="24753" spans="1:4" x14ac:dyDescent="0.25">
      <c r="A24753" t="str">
        <f>HYPERLINK("https://www.773grp.com/globalSearch/M5M5256DFP-55LL#BM/page-1", "M5M5256DFP-55LL#BM")</f>
        <v>M5M5256DFP-55LL#BM</v>
      </c>
      <c r="B24753" s="3" t="str">
        <f>HYPERLINK("https://www.773grp.com/manufacturer/renesas-electronics-america-inc?pageNo=821", "Renesas Electronics")</f>
        <v>Renesas Electronics</v>
      </c>
      <c r="C24753" s="6">
        <v>4080</v>
      </c>
      <c r="D24753" s="7">
        <v>6.98</v>
      </c>
    </row>
    <row r="24754" spans="1:4" x14ac:dyDescent="0.25">
      <c r="A24754" t="str">
        <f>HYPERLINK("https://www.773grp.com/globalSearch/M5M5256DFP-70GI#SM/page-1", "M5M5256DFP-70GI#SM")</f>
        <v>M5M5256DFP-70GI#SM</v>
      </c>
      <c r="B24754" s="3" t="str">
        <f>HYPERLINK("https://www.773grp.com/manufacturer/renesas-electronics-america-inc?pageNo=822", "Renesas Electronics")</f>
        <v>Renesas Electronics</v>
      </c>
      <c r="C24754" s="6">
        <v>8000</v>
      </c>
      <c r="D24754" s="7">
        <v>6.98</v>
      </c>
    </row>
    <row r="24755" spans="1:4" x14ac:dyDescent="0.25">
      <c r="A24755" t="str">
        <f>HYPERLINK("https://www.773grp.com/globalSearch/M5M5256DFP-70XG#BM/page-1", "M5M5256DFP-70XG#BM")</f>
        <v>M5M5256DFP-70XG#BM</v>
      </c>
      <c r="B24755" s="3" t="str">
        <f>HYPERLINK("https://www.773grp.com/manufacturer/renesas-electronics-america-inc?pageNo=823", "Renesas Electronics")</f>
        <v>Renesas Electronics</v>
      </c>
      <c r="C24755" s="6">
        <v>5715</v>
      </c>
      <c r="D24755" s="7">
        <v>6.98</v>
      </c>
    </row>
    <row r="24756" spans="1:4" x14ac:dyDescent="0.25">
      <c r="A24756" t="str">
        <f>HYPERLINK("https://www.773grp.com/globalSearch/M5M5256DVP-55LL#BE/page-1", "M5M5256DVP-55LL#BE")</f>
        <v>M5M5256DVP-55LL#BE</v>
      </c>
      <c r="B24756" s="3" t="str">
        <f>HYPERLINK("https://www.773grp.com/manufacturer/renesas-electronics-america-inc?pageNo=824", "Renesas Electronics")</f>
        <v>Renesas Electronics</v>
      </c>
      <c r="C24756" s="6">
        <v>18410</v>
      </c>
      <c r="D24756" s="7">
        <v>6.98</v>
      </c>
    </row>
    <row r="24757" spans="1:4" x14ac:dyDescent="0.25">
      <c r="A24757" t="str">
        <f>HYPERLINK("https://www.773grp.com/globalSearch/M5M5256DVP-70G#BE/page-1", "M5M5256DVP-70G#BE")</f>
        <v>M5M5256DVP-70G#BE</v>
      </c>
      <c r="B24757" s="3" t="str">
        <f>HYPERLINK("https://www.773grp.com/manufacturer/renesas-electronics-america-inc?pageNo=825", "Renesas Electronics")</f>
        <v>Renesas Electronics</v>
      </c>
      <c r="C24757" s="6">
        <v>10707</v>
      </c>
      <c r="D24757" s="7">
        <v>6.98</v>
      </c>
    </row>
    <row r="24758" spans="1:4" x14ac:dyDescent="0.25">
      <c r="A24758" t="str">
        <f>HYPERLINK("https://www.773grp.com/globalSearch/M5M5256DVP-70GI#SE/page-1", "M5M5256DVP-70GI#SE")</f>
        <v>M5M5256DVP-70GI#SE</v>
      </c>
      <c r="B24758" s="3" t="str">
        <f>HYPERLINK("https://www.773grp.com/manufacturer/renesas-electronics-america-inc?pageNo=826", "Renesas Electronics")</f>
        <v>Renesas Electronics</v>
      </c>
      <c r="C24758" s="6">
        <v>2000</v>
      </c>
      <c r="D24758" s="7">
        <v>6.98</v>
      </c>
    </row>
    <row r="24759" spans="1:4" x14ac:dyDescent="0.25">
      <c r="A24759" t="str">
        <f>HYPERLINK("https://www.773grp.com/globalSearch/M5M5256DVP-70LLIBE/page-1", "M5M5256DVP-70LLIBE")</f>
        <v>M5M5256DVP-70LLIBE</v>
      </c>
      <c r="B24759" s="3" t="str">
        <f>HYPERLINK("https://www.773grp.com/manufacturer/renesas-electronics-america-inc?pageNo=827", "Renesas Electronics")</f>
        <v>Renesas Electronics</v>
      </c>
      <c r="C24759" s="6">
        <v>6612</v>
      </c>
      <c r="D24759" s="7">
        <v>6.98</v>
      </c>
    </row>
    <row r="24760" spans="1:4" x14ac:dyDescent="0.25">
      <c r="A24760" t="str">
        <f>HYPERLINK("https://www.773grp.com/globalSearch/M5M5256DVP-70XL#SE/page-1", "M5M5256DVP-70XL#SE")</f>
        <v>M5M5256DVP-70XL#SE</v>
      </c>
      <c r="B24760" s="3" t="str">
        <f>HYPERLINK("https://www.773grp.com/manufacturer/renesas-electronics-america-inc?pageNo=828", "Renesas Electronics")</f>
        <v>Renesas Electronics</v>
      </c>
      <c r="C24760" s="6">
        <v>3000</v>
      </c>
      <c r="D24760" s="7">
        <v>6.98</v>
      </c>
    </row>
    <row r="24761" spans="1:4" x14ac:dyDescent="0.25">
      <c r="A24761" t="str">
        <f>HYPERLINK("https://www.773grp.com/globalSearch/R5F212L2SYFP#U0/page-1", "R5F212L2SYFP#U0")</f>
        <v>R5F212L2SYFP#U0</v>
      </c>
      <c r="B24761" s="3" t="str">
        <f>HYPERLINK("https://www.773grp.com/manufacturer/renesas-electronics-america-inc?pageNo=829", "Renesas Electronics")</f>
        <v>Renesas Electronics</v>
      </c>
      <c r="C24761" s="6">
        <v>37</v>
      </c>
      <c r="D24761" s="7">
        <v>6.98</v>
      </c>
    </row>
    <row r="24762" spans="1:4" x14ac:dyDescent="0.25">
      <c r="A24762" t="str">
        <f>HYPERLINK("https://www.773grp.com/globalSearch/M61809FP#DB1G/page-1", "M61809FP#DB1G")</f>
        <v>M61809FP#DB1G</v>
      </c>
      <c r="B24762" s="3" t="str">
        <f>HYPERLINK("https://www.773grp.com/manufacturer/renesas-electronics-america-inc?pageNo=830", "Renesas Electronics")</f>
        <v>Renesas Electronics</v>
      </c>
      <c r="C24762" s="6">
        <v>19000</v>
      </c>
      <c r="D24762" s="7">
        <v>7.04</v>
      </c>
    </row>
    <row r="24763" spans="1:4" x14ac:dyDescent="0.25">
      <c r="A24763" t="str">
        <f>HYPERLINK("https://www.773grp.com/globalSearch/RJK60S4DPP-E0#T2/page-1", "RJK60S4DPP-E0#T2")</f>
        <v>RJK60S4DPP-E0#T2</v>
      </c>
      <c r="B24763" s="3" t="str">
        <f>HYPERLINK("https://www.773grp.com/manufacturer/renesas-electronics-america-inc?pageNo=831", "Renesas Electronics")</f>
        <v>Renesas Electronics</v>
      </c>
      <c r="C24763" s="6">
        <v>114548</v>
      </c>
      <c r="D24763" s="7">
        <v>7.04</v>
      </c>
    </row>
    <row r="24764" spans="1:4" x14ac:dyDescent="0.25">
      <c r="A24764" t="str">
        <f>HYPERLINK("https://www.773grp.com/globalSearch/M66235FP/page-1", "M66235FP")</f>
        <v>M66235FP</v>
      </c>
      <c r="B24764" s="3" t="str">
        <f>HYPERLINK("https://www.773grp.com/manufacturer/renesas-electronics-america-inc?pageNo=832", "Renesas Electronics")</f>
        <v>Renesas Electronics</v>
      </c>
      <c r="C24764" s="6">
        <v>108</v>
      </c>
      <c r="D24764" s="7">
        <v>7.05</v>
      </c>
    </row>
    <row r="24765" spans="1:4" x14ac:dyDescent="0.25">
      <c r="A24765" t="str">
        <f>HYPERLINK("https://www.773grp.com/globalSearch/R5F2L387ANFP#U1/page-1", "R5F2L387ANFP#U1")</f>
        <v>R5F2L387ANFP#U1</v>
      </c>
      <c r="B24765" s="3" t="str">
        <f>HYPERLINK("https://www.773grp.com/manufacturer/renesas-electronics-america-inc?pageNo=833", "Renesas Electronics")</f>
        <v>Renesas Electronics</v>
      </c>
      <c r="C24765" s="6">
        <v>1191</v>
      </c>
      <c r="D24765" s="7">
        <v>7.05</v>
      </c>
    </row>
    <row r="24766" spans="1:4" x14ac:dyDescent="0.25">
      <c r="A24766" t="str">
        <f>HYPERLINK("https://www.773grp.com/globalSearch/2SK1567-E/page-1", "2SK1567-E")</f>
        <v>2SK1567-E</v>
      </c>
      <c r="B24766" s="3" t="str">
        <f>HYPERLINK("https://www.773grp.com/manufacturer/renesas-electronics-america-inc?pageNo=834", "Renesas Electronics")</f>
        <v>Renesas Electronics</v>
      </c>
      <c r="C24766" s="6">
        <v>328</v>
      </c>
      <c r="D24766" s="7">
        <v>7.13</v>
      </c>
    </row>
    <row r="24767" spans="1:4" x14ac:dyDescent="0.25">
      <c r="A24767" t="str">
        <f>HYPERLINK("https://www.773grp.com/globalSearch/R5F363CANFE#U0/page-1", "R5F363CANFE#U0")</f>
        <v>R5F363CANFE#U0</v>
      </c>
      <c r="B24767" s="3" t="str">
        <f>HYPERLINK("https://www.773grp.com/manufacturer/renesas-electronics-america-inc?pageNo=835", "Renesas Electronics")</f>
        <v>Renesas Electronics</v>
      </c>
      <c r="C24767" s="6">
        <v>5134</v>
      </c>
      <c r="D24767" s="7">
        <v>7.13</v>
      </c>
    </row>
    <row r="24768" spans="1:4" x14ac:dyDescent="0.25">
      <c r="A24768" t="str">
        <f>HYPERLINK("https://www.773grp.com/globalSearch/M54125L#A10/page-1", "M54125L#A10")</f>
        <v>M54125L#A10</v>
      </c>
      <c r="B24768" s="3" t="str">
        <f>HYPERLINK("https://www.773grp.com/manufacturer/renesas-electronics-america-inc?pageNo=836", "Renesas Electronics")</f>
        <v>Renesas Electronics</v>
      </c>
      <c r="C24768" s="6">
        <v>127</v>
      </c>
      <c r="D24768" s="7">
        <v>7.14</v>
      </c>
    </row>
    <row r="24769" spans="1:4" x14ac:dyDescent="0.25">
      <c r="A24769" t="str">
        <f>HYPERLINK("https://www.773grp.com/globalSearch/M34280E1GP/page-1", "M34280E1GP")</f>
        <v>M34280E1GP</v>
      </c>
      <c r="B24769" s="3" t="str">
        <f>HYPERLINK("https://www.773grp.com/manufacturer/renesas-electronics-america-inc?pageNo=837", "Renesas Electronics")</f>
        <v>Renesas Electronics</v>
      </c>
      <c r="C24769" s="6">
        <v>14633</v>
      </c>
      <c r="D24769" s="7">
        <v>7.2</v>
      </c>
    </row>
    <row r="24770" spans="1:4" x14ac:dyDescent="0.25">
      <c r="A24770" t="str">
        <f>HYPERLINK("https://www.773grp.com/globalSearch/R5F21356CYFP#W4/page-1", "R5F21356CYFP#W4")</f>
        <v>R5F21356CYFP#W4</v>
      </c>
      <c r="B24770" s="3" t="str">
        <f>HYPERLINK("https://www.773grp.com/manufacturer/renesas-electronics-america-inc?pageNo=838", "Renesas Electronics")</f>
        <v>Renesas Electronics</v>
      </c>
      <c r="C24770" s="6">
        <v>10500</v>
      </c>
      <c r="D24770" s="7">
        <v>7.2</v>
      </c>
    </row>
    <row r="24771" spans="1:4" x14ac:dyDescent="0.25">
      <c r="A24771" t="str">
        <f>HYPERLINK("https://www.773grp.com/globalSearch/2SJ143-AZ/page-1", "2SJ143-AZ")</f>
        <v>2SJ143-AZ</v>
      </c>
      <c r="B24771" s="3" t="str">
        <f>HYPERLINK("https://www.773grp.com/manufacturer/renesas-electronics-america-inc?pageNo=839", "Renesas Electronics")</f>
        <v>Renesas Electronics</v>
      </c>
      <c r="C24771" s="6">
        <v>2540</v>
      </c>
      <c r="D24771" s="7">
        <v>7.26</v>
      </c>
    </row>
    <row r="24772" spans="1:4" x14ac:dyDescent="0.25">
      <c r="A24772" t="str">
        <f>HYPERLINK("https://www.773grp.com/globalSearch/UPD4711BCX-A/page-1", "UPD4711BCX-A")</f>
        <v>UPD4711BCX-A</v>
      </c>
      <c r="B24772" s="3" t="str">
        <f>HYPERLINK("https://www.773grp.com/manufacturer/renesas-electronics-america-inc?pageNo=840", "Renesas Electronics")</f>
        <v>Renesas Electronics</v>
      </c>
      <c r="C24772" s="6">
        <v>34</v>
      </c>
      <c r="D24772" s="7">
        <v>7.29</v>
      </c>
    </row>
    <row r="24773" spans="1:4" x14ac:dyDescent="0.25">
      <c r="A24773" t="str">
        <f>HYPERLINK("https://www.773grp.com/globalSearch/2SK1620L-E/page-1", "2SK1620L-E")</f>
        <v>2SK1620L-E</v>
      </c>
      <c r="B24773" s="3" t="str">
        <f>HYPERLINK("https://www.773grp.com/manufacturer/renesas-electronics-america-inc?pageNo=841", "Renesas Electronics")</f>
        <v>Renesas Electronics</v>
      </c>
      <c r="C24773" s="6">
        <v>1317</v>
      </c>
      <c r="D24773" s="7">
        <v>7.38</v>
      </c>
    </row>
    <row r="24774" spans="1:4" x14ac:dyDescent="0.25">
      <c r="A24774" t="str">
        <f>HYPERLINK("https://www.773grp.com/globalSearch/R5F2L388BNFP#U1/page-1", "R5F2L388BNFP#U1")</f>
        <v>R5F2L388BNFP#U1</v>
      </c>
      <c r="B24774" s="3" t="str">
        <f>HYPERLINK("https://www.773grp.com/manufacturer/renesas-electronics-america-inc?pageNo=842", "Renesas Electronics")</f>
        <v>Renesas Electronics</v>
      </c>
      <c r="C24774" s="6">
        <v>18656</v>
      </c>
      <c r="D24774" s="7">
        <v>7.38</v>
      </c>
    </row>
    <row r="24775" spans="1:4" x14ac:dyDescent="0.25">
      <c r="A24775" t="str">
        <f>HYPERLINK("https://www.773grp.com/globalSearch/2SJ215-E/page-1", "2SJ215-E")</f>
        <v>2SJ215-E</v>
      </c>
      <c r="B24775" s="3" t="str">
        <f>HYPERLINK("https://www.773grp.com/manufacturer/renesas-electronics-america-inc?pageNo=843", "Renesas Electronics")</f>
        <v>Renesas Electronics</v>
      </c>
      <c r="C24775" s="6">
        <v>2626</v>
      </c>
      <c r="D24775" s="7">
        <v>7.43</v>
      </c>
    </row>
    <row r="24776" spans="1:4" x14ac:dyDescent="0.25">
      <c r="A24776" t="str">
        <f>HYPERLINK("https://www.773grp.com/globalSearch/FS70KMJ-2/page-1", "FS70KMJ-2")</f>
        <v>FS70KMJ-2</v>
      </c>
      <c r="B24776" s="3" t="str">
        <f>HYPERLINK("https://www.773grp.com/manufacturer/renesas-electronics-america-inc?pageNo=844", "Renesas Electronics")</f>
        <v>Renesas Electronics</v>
      </c>
      <c r="C24776" s="6">
        <v>4716</v>
      </c>
      <c r="D24776" s="7">
        <v>7.43</v>
      </c>
    </row>
    <row r="24777" spans="1:4" x14ac:dyDescent="0.25">
      <c r="A24777" t="str">
        <f>HYPERLINK("https://www.773grp.com/globalSearch/2SK1620STR-E/page-1", "2SK1620STR-E")</f>
        <v>2SK1620STR-E</v>
      </c>
      <c r="B24777" s="3" t="str">
        <f>HYPERLINK("https://www.773grp.com/manufacturer/renesas-electronics-america-inc?pageNo=845", "Renesas Electronics")</f>
        <v>Renesas Electronics</v>
      </c>
      <c r="C24777" s="6">
        <v>3000</v>
      </c>
      <c r="D24777" s="7">
        <v>7.48</v>
      </c>
    </row>
    <row r="24778" spans="1:4" x14ac:dyDescent="0.25">
      <c r="A24778" t="str">
        <f>HYPERLINK("https://www.773grp.com/globalSearch/RJK60S4DPE-WS#J3/page-1", "RJK60S4DPE-WS#J3")</f>
        <v>RJK60S4DPE-WS#J3</v>
      </c>
      <c r="B24778" s="3" t="str">
        <f>HYPERLINK("https://www.773grp.com/manufacturer/renesas-electronics-america-inc?pageNo=846", "Renesas Electronics")</f>
        <v>Renesas Electronics</v>
      </c>
      <c r="C24778" s="6">
        <v>350</v>
      </c>
      <c r="D24778" s="7">
        <v>7.51</v>
      </c>
    </row>
    <row r="24779" spans="1:4" x14ac:dyDescent="0.25">
      <c r="A24779" t="str">
        <f>HYPERLINK("https://www.773grp.com/globalSearch/HA17431FPAJ-E/page-1", "HA17431FPAJ-E")</f>
        <v>HA17431FPAJ-E</v>
      </c>
      <c r="B24779" s="3" t="str">
        <f>HYPERLINK("https://www.773grp.com/manufacturer/renesas-electronics-america-inc?pageNo=847", "Renesas Electronics")</f>
        <v>Renesas Electronics</v>
      </c>
      <c r="C24779" s="6">
        <v>1076</v>
      </c>
      <c r="D24779" s="7">
        <v>7.56</v>
      </c>
    </row>
    <row r="24780" spans="1:4" x14ac:dyDescent="0.25">
      <c r="A24780" t="str">
        <f>HYPERLINK("https://www.773grp.com/globalSearch/RJH3047DPK-80#T2/page-1", "RJH3047DPK-80#T2")</f>
        <v>RJH3047DPK-80#T2</v>
      </c>
      <c r="B24780" s="3" t="str">
        <f>HYPERLINK("https://www.773grp.com/manufacturer/renesas-electronics-america-inc?pageNo=848", "Renesas Electronics")</f>
        <v>Renesas Electronics</v>
      </c>
      <c r="C24780" s="6">
        <v>4981</v>
      </c>
      <c r="D24780" s="7">
        <v>7.6</v>
      </c>
    </row>
    <row r="24781" spans="1:4" x14ac:dyDescent="0.25">
      <c r="A24781" t="str">
        <f>HYPERLINK("https://www.773grp.com/globalSearch/FS50UMJ-3/page-1", "FS50UMJ-3")</f>
        <v>FS50UMJ-3</v>
      </c>
      <c r="B24781" s="3" t="str">
        <f>HYPERLINK("https://www.773grp.com/manufacturer/renesas-electronics-america-inc?pageNo=849", "Renesas Electronics")</f>
        <v>Renesas Electronics</v>
      </c>
      <c r="C24781" s="6">
        <v>1126</v>
      </c>
      <c r="D24781" s="7">
        <v>7.63</v>
      </c>
    </row>
    <row r="24782" spans="1:4" x14ac:dyDescent="0.25">
      <c r="A24782" t="str">
        <f>HYPERLINK("https://www.773grp.com/globalSearch/FS25SM-9A#B10/page-1", "FS25SM-9A#B10")</f>
        <v>FS25SM-9A#B10</v>
      </c>
      <c r="B24782" s="3" t="str">
        <f>HYPERLINK("https://www.773grp.com/manufacturer/renesas-electronics-america-inc?pageNo=850", "Renesas Electronics")</f>
        <v>Renesas Electronics</v>
      </c>
      <c r="C24782" s="6">
        <v>692</v>
      </c>
      <c r="D24782" s="7">
        <v>7.71</v>
      </c>
    </row>
    <row r="24783" spans="1:4" x14ac:dyDescent="0.25">
      <c r="A24783" t="str">
        <f>HYPERLINK("https://www.773grp.com/globalSearch/FX50SMJ-2#B00/page-1", "FX50SMJ-2#B00")</f>
        <v>FX50SMJ-2#B00</v>
      </c>
      <c r="B24783" s="3" t="str">
        <f>HYPERLINK("https://www.773grp.com/manufacturer/renesas-electronics-america-inc?pageNo=851", "Renesas Electronics")</f>
        <v>Renesas Electronics</v>
      </c>
      <c r="C24783" s="6">
        <v>6571</v>
      </c>
      <c r="D24783" s="7">
        <v>7.73</v>
      </c>
    </row>
    <row r="24784" spans="1:4" x14ac:dyDescent="0.25">
      <c r="A24784" t="str">
        <f>HYPERLINK("https://www.773grp.com/globalSearch/M54670P#TF0G/page-1", "M54670P#TF0G")</f>
        <v>M54670P#TF0G</v>
      </c>
      <c r="B24784" s="3" t="str">
        <f>HYPERLINK("https://www.773grp.com/manufacturer/renesas-electronics-america-inc?pageNo=852", "Renesas Electronics")</f>
        <v>Renesas Electronics</v>
      </c>
      <c r="C24784" s="6">
        <v>13896</v>
      </c>
      <c r="D24784" s="7">
        <v>7.73</v>
      </c>
    </row>
    <row r="24785" spans="1:4" x14ac:dyDescent="0.25">
      <c r="A24785" t="str">
        <f>HYPERLINK("https://www.773grp.com/globalSearch/R5F2L36AANFP#V2/page-1", "R5F2L36AANFP#V2")</f>
        <v>R5F2L36AANFP#V2</v>
      </c>
      <c r="B24785" s="3" t="str">
        <f>HYPERLINK("https://www.773grp.com/manufacturer/renesas-electronics-america-inc?pageNo=853", "Renesas Electronics")</f>
        <v>Renesas Electronics</v>
      </c>
      <c r="C24785" s="6">
        <v>5183</v>
      </c>
      <c r="D24785" s="7">
        <v>7.76</v>
      </c>
    </row>
    <row r="24786" spans="1:4" x14ac:dyDescent="0.25">
      <c r="A24786" t="str">
        <f>HYPERLINK("https://www.773grp.com/globalSearch/2SK1636L-E/page-1", "2SK1636L-E")</f>
        <v>2SK1636L-E</v>
      </c>
      <c r="B24786" s="3" t="str">
        <f>HYPERLINK("https://www.773grp.com/manufacturer/renesas-electronics-america-inc?pageNo=854", "Renesas Electronics")</f>
        <v>Renesas Electronics</v>
      </c>
      <c r="C24786" s="6">
        <v>4015</v>
      </c>
      <c r="D24786" s="7">
        <v>7.8</v>
      </c>
    </row>
    <row r="24787" spans="1:4" x14ac:dyDescent="0.25">
      <c r="A24787" t="str">
        <f>HYPERLINK("https://www.773grp.com/globalSearch/RJK6013DPP-00#T2/page-1", "RJK6013DPP-00#T2")</f>
        <v>RJK6013DPP-00#T2</v>
      </c>
      <c r="B24787" s="3" t="str">
        <f>HYPERLINK("https://www.773grp.com/manufacturer/renesas-electronics-america-inc?pageNo=855", "Renesas Electronics")</f>
        <v>Renesas Electronics</v>
      </c>
      <c r="C24787" s="6">
        <v>36826</v>
      </c>
      <c r="D24787" s="7">
        <v>7.8</v>
      </c>
    </row>
    <row r="24788" spans="1:4" x14ac:dyDescent="0.25">
      <c r="A24788" t="str">
        <f>HYPERLINK("https://www.773grp.com/globalSearch/FS70KMJ-2#B00/page-1", "FS70KMJ-2#B00")</f>
        <v>FS70KMJ-2#B00</v>
      </c>
      <c r="B24788" s="3" t="str">
        <f>HYPERLINK("https://www.773grp.com/manufacturer/renesas-electronics-america-inc?pageNo=856", "Renesas Electronics")</f>
        <v>Renesas Electronics</v>
      </c>
      <c r="C24788" s="6">
        <v>1488</v>
      </c>
      <c r="D24788" s="7">
        <v>7.81</v>
      </c>
    </row>
    <row r="24789" spans="1:4" x14ac:dyDescent="0.25">
      <c r="A24789" t="str">
        <f>HYPERLINK("https://www.773grp.com/globalSearch/RJH3047ADPK-80#T2/page-1", "RJH3047ADPK-80#T2")</f>
        <v>RJH3047ADPK-80#T2</v>
      </c>
      <c r="B24789" s="3" t="str">
        <f>HYPERLINK("https://www.773grp.com/manufacturer/renesas-electronics-america-inc?pageNo=857", "Renesas Electronics")</f>
        <v>Renesas Electronics</v>
      </c>
      <c r="C24789" s="6">
        <v>300</v>
      </c>
      <c r="D24789" s="7">
        <v>7.88</v>
      </c>
    </row>
    <row r="24790" spans="1:4" x14ac:dyDescent="0.25">
      <c r="A24790" t="str">
        <f>HYPERLINK("https://www.773grp.com/globalSearch/RJP2557DPK-E/page-1", "RJP2557DPK-E")</f>
        <v>RJP2557DPK-E</v>
      </c>
      <c r="B24790" s="3" t="str">
        <f>HYPERLINK("https://www.773grp.com/manufacturer/renesas-electronics-america-inc?pageNo=858", "Renesas Electronics")</f>
        <v>Renesas Electronics</v>
      </c>
      <c r="C24790" s="6">
        <v>208</v>
      </c>
      <c r="D24790" s="7">
        <v>7.88</v>
      </c>
    </row>
    <row r="24791" spans="1:4" x14ac:dyDescent="0.25">
      <c r="A24791" t="str">
        <f>HYPERLINK("https://www.773grp.com/globalSearch/M5M51008DFP-70HIBT/page-1", "M5M51008DFP-70HIBT")</f>
        <v>M5M51008DFP-70HIBT</v>
      </c>
      <c r="B24791" s="3" t="str">
        <f>HYPERLINK("https://www.773grp.com/manufacturer/renesas-electronics-america-inc?pageNo=859", "Renesas Electronics")</f>
        <v>Renesas Electronics</v>
      </c>
      <c r="C24791" s="6">
        <v>4925</v>
      </c>
      <c r="D24791" s="7">
        <v>7.9</v>
      </c>
    </row>
    <row r="24792" spans="1:4" x14ac:dyDescent="0.25">
      <c r="A24792" t="str">
        <f>HYPERLINK("https://www.773grp.com/globalSearch/M5M51008DKV-70H#BT/page-1", "M5M51008DKV-70H#BT")</f>
        <v>M5M51008DKV-70H#BT</v>
      </c>
      <c r="B24792" s="3" t="str">
        <f>HYPERLINK("https://www.773grp.com/manufacturer/renesas-electronics-america-inc?pageNo=860", "Renesas Electronics")</f>
        <v>Renesas Electronics</v>
      </c>
      <c r="C24792" s="6">
        <v>615</v>
      </c>
      <c r="D24792" s="7">
        <v>7.9</v>
      </c>
    </row>
    <row r="24793" spans="1:4" x14ac:dyDescent="0.25">
      <c r="A24793" t="str">
        <f>HYPERLINK("https://www.773grp.com/globalSearch/M5M51008DRV-70H#BT/page-1", "M5M51008DRV-70H#BT")</f>
        <v>M5M51008DRV-70H#BT</v>
      </c>
      <c r="B24793" s="3" t="str">
        <f>HYPERLINK("https://www.773grp.com/manufacturer/renesas-electronics-america-inc?pageNo=861", "Renesas Electronics")</f>
        <v>Renesas Electronics</v>
      </c>
      <c r="C24793" s="6">
        <v>6517</v>
      </c>
      <c r="D24793" s="7">
        <v>7.9</v>
      </c>
    </row>
    <row r="24794" spans="1:4" x14ac:dyDescent="0.25">
      <c r="A24794" t="str">
        <f>HYPERLINK("https://www.773grp.com/globalSearch/M5M5V108DKV-70H#ST/page-1", "M5M5V108DKV-70H#ST")</f>
        <v>M5M5V108DKV-70H#ST</v>
      </c>
      <c r="B24794" s="3" t="str">
        <f>HYPERLINK("https://www.773grp.com/manufacturer/renesas-electronics-america-inc?pageNo=862", "Renesas Electronics")</f>
        <v>Renesas Electronics</v>
      </c>
      <c r="C24794" s="6">
        <v>240000</v>
      </c>
      <c r="D24794" s="7">
        <v>7.9</v>
      </c>
    </row>
    <row r="24795" spans="1:4" x14ac:dyDescent="0.25">
      <c r="A24795" t="str">
        <f>HYPERLINK("https://www.773grp.com/globalSearch/M5M5V108DKV-70HIBJ/page-1", "M5M5V108DKV-70HIBJ")</f>
        <v>M5M5V108DKV-70HIBJ</v>
      </c>
      <c r="B24795" s="3" t="str">
        <f>HYPERLINK("https://www.773grp.com/manufacturer/renesas-electronics-america-inc?pageNo=863", "Renesas Electronics")</f>
        <v>Renesas Electronics</v>
      </c>
      <c r="C24795" s="6">
        <v>113</v>
      </c>
      <c r="D24795" s="7">
        <v>7.9</v>
      </c>
    </row>
    <row r="24796" spans="1:4" x14ac:dyDescent="0.25">
      <c r="A24796" t="str">
        <f>HYPERLINK("https://www.773grp.com/globalSearch/M5M5V108DVP-70HIST/page-1", "M5M5V108DVP-70HIST")</f>
        <v>M5M5V108DVP-70HIST</v>
      </c>
      <c r="B24796" s="3" t="str">
        <f>HYPERLINK("https://www.773grp.com/manufacturer/renesas-electronics-america-inc?pageNo=864", "Renesas Electronics")</f>
        <v>Renesas Electronics</v>
      </c>
      <c r="C24796" s="6">
        <v>20000</v>
      </c>
      <c r="D24796" s="7">
        <v>7.9</v>
      </c>
    </row>
    <row r="24797" spans="1:4" x14ac:dyDescent="0.25">
      <c r="A24797" t="str">
        <f>HYPERLINK("https://www.773grp.com/globalSearch/M66003-0001FP#RB0T/page-1", "M66003-0001FP#RB0T")</f>
        <v>M66003-0001FP#RB0T</v>
      </c>
      <c r="B24797" s="3" t="str">
        <f>HYPERLINK("https://www.773grp.com/manufacturer/renesas-electronics-america-inc?pageNo=865", "Renesas Electronics")</f>
        <v>Renesas Electronics</v>
      </c>
      <c r="C24797" s="6">
        <v>308</v>
      </c>
      <c r="D24797" s="7">
        <v>7.9</v>
      </c>
    </row>
    <row r="24798" spans="1:4" x14ac:dyDescent="0.25">
      <c r="A24798" t="str">
        <f>HYPERLINK("https://www.773grp.com/globalSearch/R1LP0108ESR-5SR#B0/page-1", "R1LP0108ESR-5SR#B0")</f>
        <v>R1LP0108ESR-5SR#B0</v>
      </c>
      <c r="B24798" s="3" t="str">
        <f>HYPERLINK("https://www.773grp.com/manufacturer/renesas-electronics-america-inc?pageNo=866", "Renesas Electronics")</f>
        <v>Renesas Electronics</v>
      </c>
      <c r="C24798" s="6">
        <v>1584</v>
      </c>
      <c r="D24798" s="7">
        <v>7.9</v>
      </c>
    </row>
    <row r="24799" spans="1:4" x14ac:dyDescent="0.25">
      <c r="A24799" t="str">
        <f>HYPERLINK("https://www.773grp.com/globalSearch/R1LP0108ESR-7SR#S0/page-1", "R1LP0108ESR-7SR#S0")</f>
        <v>R1LP0108ESR-7SR#S0</v>
      </c>
      <c r="B24799" s="3" t="str">
        <f>HYPERLINK("https://www.773grp.com/manufacturer/renesas-electronics-america-inc?pageNo=867", "Renesas Electronics")</f>
        <v>Renesas Electronics</v>
      </c>
      <c r="C24799" s="6">
        <v>8000</v>
      </c>
      <c r="D24799" s="7">
        <v>7.9</v>
      </c>
    </row>
    <row r="24800" spans="1:4" x14ac:dyDescent="0.25">
      <c r="A24800" t="str">
        <f>HYPERLINK("https://www.773grp.com/globalSearch/R5F2L38CADFP#U1/page-1", "R5F2L38CADFP#U1")</f>
        <v>R5F2L38CADFP#U1</v>
      </c>
      <c r="B24800" s="3" t="str">
        <f>HYPERLINK("https://www.773grp.com/manufacturer/renesas-electronics-america-inc?pageNo=868", "Renesas Electronics")</f>
        <v>Renesas Electronics</v>
      </c>
      <c r="C24800" s="6">
        <v>3112</v>
      </c>
      <c r="D24800" s="7">
        <v>7.94</v>
      </c>
    </row>
    <row r="24801" spans="1:4" x14ac:dyDescent="0.25">
      <c r="A24801" t="str">
        <f>HYPERLINK("https://www.773grp.com/globalSearch/M61531FP#RF0G/page-1", "M61531FP#RF0G")</f>
        <v>M61531FP#RF0G</v>
      </c>
      <c r="B24801" s="3" t="str">
        <f>HYPERLINK("https://www.773grp.com/manufacturer/renesas-electronics-america-inc?pageNo=869", "Renesas Electronics")</f>
        <v>Renesas Electronics</v>
      </c>
      <c r="C24801" s="6">
        <v>3352</v>
      </c>
      <c r="D24801" s="7">
        <v>7.99</v>
      </c>
    </row>
    <row r="24802" spans="1:4" x14ac:dyDescent="0.25">
      <c r="A24802" t="str">
        <f>HYPERLINK("https://www.773grp.com/globalSearch/M62371GP#RF0J/page-1", "M62371GP#RF0J")</f>
        <v>M62371GP#RF0J</v>
      </c>
      <c r="B24802" s="3" t="str">
        <f>HYPERLINK("https://www.773grp.com/manufacturer/renesas-electronics-america-inc?pageNo=870", "Renesas Electronics")</f>
        <v>Renesas Electronics</v>
      </c>
      <c r="C24802" s="6">
        <v>552</v>
      </c>
      <c r="D24802" s="7">
        <v>8.06</v>
      </c>
    </row>
    <row r="24803" spans="1:4" x14ac:dyDescent="0.25">
      <c r="A24803" t="str">
        <f>HYPERLINK("https://www.773grp.com/globalSearch/R2J30516LG#U0/page-1", "R2J30516LG#U0")</f>
        <v>R2J30516LG#U0</v>
      </c>
      <c r="B24803" s="3" t="str">
        <f>HYPERLINK("https://www.773grp.com/manufacturer/renesas-electronics-america-inc?pageNo=871", "Renesas Electronics")</f>
        <v>Renesas Electronics</v>
      </c>
      <c r="C24803" s="6">
        <v>2065</v>
      </c>
      <c r="D24803" s="7">
        <v>8.06</v>
      </c>
    </row>
    <row r="24804" spans="1:4" x14ac:dyDescent="0.25">
      <c r="A24804" t="str">
        <f>HYPERLINK("https://www.773grp.com/globalSearch/R2S20020SP#U00G/page-1", "R2S20020SP#U00G")</f>
        <v>R2S20020SP#U00G</v>
      </c>
      <c r="B24804" s="3" t="str">
        <f>HYPERLINK("https://www.773grp.com/manufacturer/renesas-electronics-america-inc?pageNo=872", "Renesas Electronics")</f>
        <v>Renesas Electronics</v>
      </c>
      <c r="C24804" s="6">
        <v>160</v>
      </c>
      <c r="D24804" s="7">
        <v>8.06</v>
      </c>
    </row>
    <row r="24805" spans="1:4" x14ac:dyDescent="0.25">
      <c r="A24805" t="str">
        <f>HYPERLINK("https://www.773grp.com/globalSearch/2SJ143(2)-S6-AZ/page-1", "2SJ143(2)-S6-AZ")</f>
        <v>2SJ143(2)-S6-AZ</v>
      </c>
      <c r="B24805" s="3" t="str">
        <f>HYPERLINK("https://www.773grp.com/manufacturer/renesas-electronics-america-inc?pageNo=873", "Renesas Electronics")</f>
        <v>Renesas Electronics</v>
      </c>
      <c r="C24805" s="6">
        <v>699</v>
      </c>
      <c r="D24805" s="7">
        <v>8.1</v>
      </c>
    </row>
    <row r="24806" spans="1:4" x14ac:dyDescent="0.25">
      <c r="A24806" t="str">
        <f>HYPERLINK("https://www.773grp.com/globalSearch/R5F212BASDFA#U0/page-1", "R5F212BASDFA#U0")</f>
        <v>R5F212BASDFA#U0</v>
      </c>
      <c r="B24806" s="3" t="str">
        <f>HYPERLINK("https://www.773grp.com/manufacturer/renesas-electronics-america-inc?pageNo=874", "Renesas Electronics")</f>
        <v>Renesas Electronics</v>
      </c>
      <c r="C24806" s="6">
        <v>42</v>
      </c>
      <c r="D24806" s="7">
        <v>8.14</v>
      </c>
    </row>
    <row r="24807" spans="1:4" x14ac:dyDescent="0.25">
      <c r="A24807" t="str">
        <f>HYPERLINK("https://www.773grp.com/globalSearch/2SK1303-E/page-1", "2SK1303-E")</f>
        <v>2SK1303-E</v>
      </c>
      <c r="B24807" s="3" t="str">
        <f>HYPERLINK("https://www.773grp.com/manufacturer/renesas-electronics-america-inc?pageNo=875", "Renesas Electronics")</f>
        <v>Renesas Electronics</v>
      </c>
      <c r="C24807" s="6">
        <v>6965</v>
      </c>
      <c r="D24807" s="7">
        <v>8.15</v>
      </c>
    </row>
    <row r="24808" spans="1:4" x14ac:dyDescent="0.25">
      <c r="A24808" t="str">
        <f>HYPERLINK("https://www.773grp.com/globalSearch/R2J30516LG#W0/page-1", "R2J30516LG#W0")</f>
        <v>R2J30516LG#W0</v>
      </c>
      <c r="B24808" s="3" t="str">
        <f>HYPERLINK("https://www.773grp.com/manufacturer/renesas-electronics-america-inc?pageNo=876", "Renesas Electronics")</f>
        <v>Renesas Electronics</v>
      </c>
      <c r="C24808" s="6">
        <v>37500</v>
      </c>
      <c r="D24808" s="7">
        <v>8.2100000000000009</v>
      </c>
    </row>
    <row r="24809" spans="1:4" x14ac:dyDescent="0.25">
      <c r="A24809" t="str">
        <f>HYPERLINK("https://www.773grp.com/globalSearch/M5M5256DVP-70G#SE/page-1", "M5M5256DVP-70G#SE")</f>
        <v>M5M5256DVP-70G#SE</v>
      </c>
      <c r="B24809" s="3" t="str">
        <f>HYPERLINK("https://www.773grp.com/manufacturer/renesas-electronics-america-inc?pageNo=877", "Renesas Electronics")</f>
        <v>Renesas Electronics</v>
      </c>
      <c r="C24809" s="6">
        <v>60000</v>
      </c>
      <c r="D24809" s="7">
        <v>8.2799999999999994</v>
      </c>
    </row>
    <row r="24810" spans="1:4" x14ac:dyDescent="0.25">
      <c r="A24810" t="str">
        <f>HYPERLINK("https://www.773grp.com/globalSearch/2SK1157-E/page-1", "2SK1157-E")</f>
        <v>2SK1157-E</v>
      </c>
      <c r="B24810" s="3" t="str">
        <f>HYPERLINK("https://www.773grp.com/manufacturer/renesas-electronics-america-inc?pageNo=878", "Renesas Electronics")</f>
        <v>Renesas Electronics</v>
      </c>
      <c r="C24810" s="6">
        <v>339</v>
      </c>
      <c r="D24810" s="7">
        <v>8.3000000000000007</v>
      </c>
    </row>
    <row r="24811" spans="1:4" x14ac:dyDescent="0.25">
      <c r="A24811" t="str">
        <f>HYPERLINK("https://www.773grp.com/globalSearch/R5F212ACSDFA#U0/page-1", "R5F212ACSDFA#U0")</f>
        <v>R5F212ACSDFA#U0</v>
      </c>
      <c r="B24811" s="3" t="str">
        <f>HYPERLINK("https://www.773grp.com/manufacturer/renesas-electronics-america-inc?pageNo=879", "Renesas Electronics")</f>
        <v>Renesas Electronics</v>
      </c>
      <c r="C24811" s="6">
        <v>15</v>
      </c>
      <c r="D24811" s="7">
        <v>8.3000000000000007</v>
      </c>
    </row>
    <row r="24812" spans="1:4" x14ac:dyDescent="0.25">
      <c r="A24812" t="str">
        <f>HYPERLINK("https://www.773grp.com/globalSearch/RJL5014DPP-00#T2/page-1", "RJL5014DPP-00#T2")</f>
        <v>RJL5014DPP-00#T2</v>
      </c>
      <c r="B24812" s="3" t="str">
        <f>HYPERLINK("https://www.773grp.com/manufacturer/renesas-electronics-america-inc?pageNo=880", "Renesas Electronics")</f>
        <v>Renesas Electronics</v>
      </c>
      <c r="C24812" s="6">
        <v>788</v>
      </c>
      <c r="D24812" s="7">
        <v>8.3000000000000007</v>
      </c>
    </row>
    <row r="24813" spans="1:4" x14ac:dyDescent="0.25">
      <c r="A24813" t="str">
        <f>HYPERLINK("https://www.773grp.com/globalSearch/M5M51008DKV-55H#BT/page-1", "M5M51008DKV-55H#BT")</f>
        <v>M5M51008DKV-55H#BT</v>
      </c>
      <c r="B24813" s="3" t="str">
        <f>HYPERLINK("https://www.773grp.com/manufacturer/renesas-electronics-america-inc?pageNo=881", "Renesas Electronics")</f>
        <v>Renesas Electronics</v>
      </c>
      <c r="C24813" s="6">
        <v>3694</v>
      </c>
      <c r="D24813" s="7">
        <v>8.35</v>
      </c>
    </row>
    <row r="24814" spans="1:4" x14ac:dyDescent="0.25">
      <c r="A24814" t="str">
        <f>HYPERLINK("https://www.773grp.com/globalSearch/M5M51008DKV-55H#ST/page-1", "M5M51008DKV-55H#ST")</f>
        <v>M5M51008DKV-55H#ST</v>
      </c>
      <c r="B24814" s="3" t="str">
        <f>HYPERLINK("https://www.773grp.com/manufacturer/renesas-electronics-america-inc?pageNo=882", "Renesas Electronics")</f>
        <v>Renesas Electronics</v>
      </c>
      <c r="C24814" s="6">
        <v>5000</v>
      </c>
      <c r="D24814" s="7">
        <v>8.35</v>
      </c>
    </row>
    <row r="24815" spans="1:4" x14ac:dyDescent="0.25">
      <c r="A24815" t="str">
        <f>HYPERLINK("https://www.773grp.com/globalSearch/HA16150TELL-E/page-1", "HA16150TELL-E")</f>
        <v>HA16150TELL-E</v>
      </c>
      <c r="B24815" s="3" t="str">
        <f>HYPERLINK("https://www.773grp.com/manufacturer/renesas-electronics-america-inc?pageNo=883", "Renesas Electronics")</f>
        <v>Renesas Electronics</v>
      </c>
      <c r="C24815" s="6">
        <v>6000</v>
      </c>
      <c r="D24815" s="7">
        <v>8.39</v>
      </c>
    </row>
    <row r="24816" spans="1:4" x14ac:dyDescent="0.25">
      <c r="A24816" t="str">
        <f>HYPERLINK("https://www.773grp.com/globalSearch/R5F52108ADFN#V0/page-1", "R5F52108ADFN#V0")</f>
        <v>R5F52108ADFN#V0</v>
      </c>
      <c r="B24816" s="3" t="str">
        <f>HYPERLINK("https://www.773grp.com/manufacturer/renesas-electronics-america-inc?pageNo=884", "Renesas Electronics")</f>
        <v>Renesas Electronics</v>
      </c>
      <c r="C24816" s="6">
        <v>1244</v>
      </c>
      <c r="D24816" s="7">
        <v>8.39</v>
      </c>
    </row>
    <row r="24817" spans="1:4" x14ac:dyDescent="0.25">
      <c r="A24817" t="str">
        <f>HYPERLINK("https://www.773grp.com/globalSearch/M37542F8VFP/page-1", "M37542F8VFP")</f>
        <v>M37542F8VFP</v>
      </c>
      <c r="B24817" s="3" t="str">
        <f>HYPERLINK("https://www.773grp.com/manufacturer/renesas-electronics-america-inc?pageNo=885", "Renesas Electronics")</f>
        <v>Renesas Electronics</v>
      </c>
      <c r="C24817" s="6">
        <v>1250</v>
      </c>
      <c r="D24817" s="7">
        <v>8.44</v>
      </c>
    </row>
    <row r="24818" spans="1:4" x14ac:dyDescent="0.25">
      <c r="A24818" t="str">
        <f>HYPERLINK("https://www.773grp.com/globalSearch/M61528FP#T70G/page-1", "M61528FP#T70G")</f>
        <v>M61528FP#T70G</v>
      </c>
      <c r="B24818" s="3" t="str">
        <f>HYPERLINK("https://www.773grp.com/manufacturer/renesas-electronics-america-inc?pageNo=886", "Renesas Electronics")</f>
        <v>Renesas Electronics</v>
      </c>
      <c r="C24818" s="6">
        <v>448</v>
      </c>
      <c r="D24818" s="7">
        <v>8.44</v>
      </c>
    </row>
    <row r="24819" spans="1:4" x14ac:dyDescent="0.25">
      <c r="A24819" t="str">
        <f>HYPERLINK("https://www.773grp.com/globalSearch/RJP30H2DPK-M2#T0/page-1", "RJP30H2DPK-M2#T0")</f>
        <v>RJP30H2DPK-M2#T0</v>
      </c>
      <c r="B24819" s="3" t="str">
        <f>HYPERLINK("https://www.773grp.com/manufacturer/renesas-electronics-america-inc?pageNo=887", "Renesas Electronics")</f>
        <v>Renesas Electronics</v>
      </c>
      <c r="C24819" s="6">
        <v>18784</v>
      </c>
      <c r="D24819" s="7">
        <v>8.44</v>
      </c>
    </row>
    <row r="24820" spans="1:4" x14ac:dyDescent="0.25">
      <c r="A24820" t="str">
        <f>HYPERLINK("https://www.773grp.com/globalSearch/UPD431000AGZ-70LL-KJH-A/page-1", "UPD431000AGZ-70LL-KJH-A")</f>
        <v>UPD431000AGZ-70LL-KJH-A</v>
      </c>
      <c r="B24820" s="3" t="str">
        <f>HYPERLINK("https://www.773grp.com/manufacturer/renesas-electronics-america-inc?pageNo=888", "Renesas Electronics")</f>
        <v>Renesas Electronics</v>
      </c>
      <c r="C24820" s="6">
        <v>343346</v>
      </c>
      <c r="D24820" s="7">
        <v>8.44</v>
      </c>
    </row>
    <row r="24821" spans="1:4" x14ac:dyDescent="0.25">
      <c r="A24821" t="str">
        <f>HYPERLINK("https://www.773grp.com/globalSearch/UPD431000AGZ-70LL-KJH-E3-A/page-1", "UPD431000AGZ-70LL-KJH-E3-A")</f>
        <v>UPD431000AGZ-70LL-KJH-E3-A</v>
      </c>
      <c r="B24821" s="3" t="str">
        <f>HYPERLINK("https://www.773grp.com/manufacturer/renesas-electronics-america-inc?pageNo=889", "Renesas Electronics")</f>
        <v>Renesas Electronics</v>
      </c>
      <c r="C24821" s="6">
        <v>106000</v>
      </c>
      <c r="D24821" s="7">
        <v>8.44</v>
      </c>
    </row>
    <row r="24822" spans="1:4" x14ac:dyDescent="0.25">
      <c r="A24822" t="str">
        <f>HYPERLINK("https://www.773grp.com/globalSearch/UPD431000AGZ-70X-KJH-A/page-1", "UPD431000AGZ-70X-KJH-A")</f>
        <v>UPD431000AGZ-70X-KJH-A</v>
      </c>
      <c r="B24822" s="3" t="str">
        <f>HYPERLINK("https://www.773grp.com/manufacturer/renesas-electronics-america-inc?pageNo=890", "Renesas Electronics")</f>
        <v>Renesas Electronics</v>
      </c>
      <c r="C24822" s="6">
        <v>37861</v>
      </c>
      <c r="D24822" s="7">
        <v>8.44</v>
      </c>
    </row>
    <row r="24823" spans="1:4" x14ac:dyDescent="0.25">
      <c r="A24823" t="str">
        <f>HYPERLINK("https://www.773grp.com/globalSearch/M5M51008DKV-70HIBT/page-1", "M5M51008DKV-70HIBT")</f>
        <v>M5M51008DKV-70HIBT</v>
      </c>
      <c r="B24823" s="3" t="str">
        <f>HYPERLINK("https://www.773grp.com/manufacturer/renesas-electronics-america-inc?pageNo=891", "Renesas Electronics")</f>
        <v>Renesas Electronics</v>
      </c>
      <c r="C24823" s="6">
        <v>8998</v>
      </c>
      <c r="D24823" s="7">
        <v>8.49</v>
      </c>
    </row>
    <row r="24824" spans="1:4" x14ac:dyDescent="0.25">
      <c r="A24824" t="str">
        <f>HYPERLINK("https://www.773grp.com/globalSearch/1SZ52-AZ/page-1", "1SZ52-AZ")</f>
        <v>1SZ52-AZ</v>
      </c>
      <c r="B24824" s="3" t="str">
        <f>HYPERLINK("https://www.773grp.com/manufacturer/renesas-electronics-america-inc?pageNo=892", "Renesas Electronics")</f>
        <v>Renesas Electronics</v>
      </c>
      <c r="C24824" s="6">
        <v>86773</v>
      </c>
      <c r="D24824" s="7">
        <v>8.5299999999999994</v>
      </c>
    </row>
    <row r="24825" spans="1:4" x14ac:dyDescent="0.25">
      <c r="A24825" t="str">
        <f>HYPERLINK("https://www.773grp.com/globalSearch/M62370GP#DF1T/page-1", "M62370GP#DF1T")</f>
        <v>M62370GP#DF1T</v>
      </c>
      <c r="B24825" s="3" t="str">
        <f>HYPERLINK("https://www.773grp.com/manufacturer/renesas-electronics-america-inc?pageNo=893", "Renesas Electronics")</f>
        <v>Renesas Electronics</v>
      </c>
      <c r="C24825" s="6">
        <v>33000</v>
      </c>
      <c r="D24825" s="7">
        <v>8.5299999999999994</v>
      </c>
    </row>
    <row r="24826" spans="1:4" x14ac:dyDescent="0.25">
      <c r="A24826" t="str">
        <f>HYPERLINK("https://www.773grp.com/globalSearch/M66592UG#RF0Z/page-1", "M66592UG#RF0Z")</f>
        <v>M66592UG#RF0Z</v>
      </c>
      <c r="B24826" s="3" t="str">
        <f>HYPERLINK("https://www.773grp.com/manufacturer/renesas-electronics-america-inc?pageNo=894", "Renesas Electronics")</f>
        <v>Renesas Electronics</v>
      </c>
      <c r="C24826" s="6">
        <v>11605</v>
      </c>
      <c r="D24826" s="7">
        <v>8.5500000000000007</v>
      </c>
    </row>
    <row r="24827" spans="1:4" x14ac:dyDescent="0.25">
      <c r="A24827" t="str">
        <f>HYPERLINK("https://www.773grp.com/globalSearch/RJP3049DPK-80#T2/page-1", "RJP3049DPK-80#T2")</f>
        <v>RJP3049DPK-80#T2</v>
      </c>
      <c r="B24827" s="3" t="str">
        <f>HYPERLINK("https://www.773grp.com/manufacturer/renesas-electronics-america-inc?pageNo=1", "Renesas Electronics")</f>
        <v>Renesas Electronics</v>
      </c>
      <c r="C24827" s="6">
        <v>330</v>
      </c>
      <c r="D24827" s="7">
        <v>8.5500000000000007</v>
      </c>
    </row>
    <row r="24828" spans="1:4" x14ac:dyDescent="0.25">
      <c r="A24828" t="str">
        <f>HYPERLINK("https://www.773grp.com/globalSearch/2SB1079-E/page-1", "2SB1079-E")</f>
        <v>2SB1079-E</v>
      </c>
      <c r="B24828" s="3" t="str">
        <f>HYPERLINK("https://www.773grp.com/manufacturer/renesas-electronics-america-inc?pageNo=2", "Renesas Electronics")</f>
        <v>Renesas Electronics</v>
      </c>
      <c r="C24828" s="6">
        <v>86</v>
      </c>
      <c r="D24828" s="7">
        <v>8.58</v>
      </c>
    </row>
    <row r="24829" spans="1:4" x14ac:dyDescent="0.25">
      <c r="A24829" t="str">
        <f>HYPERLINK("https://www.773grp.com/globalSearch/R5F212ACSYFP#U0/page-1", "R5F212ACSYFP#U0")</f>
        <v>R5F212ACSYFP#U0</v>
      </c>
      <c r="B24829" s="3" t="str">
        <f>HYPERLINK("https://www.773grp.com/manufacturer/renesas-electronics-america-inc?pageNo=3", "Renesas Electronics")</f>
        <v>Renesas Electronics</v>
      </c>
      <c r="C24829" s="6">
        <v>328</v>
      </c>
      <c r="D24829" s="7">
        <v>8.58</v>
      </c>
    </row>
    <row r="24830" spans="1:4" x14ac:dyDescent="0.25">
      <c r="A24830" t="str">
        <f>HYPERLINK("https://www.773grp.com/globalSearch/FX30KMJ-3#B00/page-1", "FX30KMJ-3#B00")</f>
        <v>FX30KMJ-3#B00</v>
      </c>
      <c r="B24830" s="3" t="str">
        <f>HYPERLINK("https://www.773grp.com/manufacturer/renesas-electronics-america-inc?pageNo=4", "Renesas Electronics")</f>
        <v>Renesas Electronics</v>
      </c>
      <c r="C24830" s="6">
        <v>2526</v>
      </c>
      <c r="D24830" s="7">
        <v>8.61</v>
      </c>
    </row>
    <row r="24831" spans="1:4" x14ac:dyDescent="0.25">
      <c r="A24831" t="str">
        <f>HYPERLINK("https://www.773grp.com/globalSearch/UPD78F0124HGB(A)-8ET-E3/page-1", "UPD78F0124HGB(A)-8ET-E3")</f>
        <v>UPD78F0124HGB(A)-8ET-E3</v>
      </c>
      <c r="B24831" s="3" t="str">
        <f>HYPERLINK("https://www.773grp.com/manufacturer/renesas-electronics-america-inc?pageNo=5", "Renesas Electronics")</f>
        <v>Renesas Electronics</v>
      </c>
      <c r="C24831" s="6">
        <v>2000</v>
      </c>
      <c r="D24831" s="7">
        <v>8.61</v>
      </c>
    </row>
    <row r="24832" spans="1:4" x14ac:dyDescent="0.25">
      <c r="A24832" t="str">
        <f>HYPERLINK("https://www.773grp.com/globalSearch/RJK60S5DPE-00#J3/page-1", "RJK60S5DPE-00#J3")</f>
        <v>RJK60S5DPE-00#J3</v>
      </c>
      <c r="B24832" s="3" t="str">
        <f>HYPERLINK("https://www.773grp.com/manufacturer/renesas-electronics-america-inc?pageNo=6", "Renesas Electronics")</f>
        <v>Renesas Electronics</v>
      </c>
      <c r="C24832" s="6">
        <v>40000</v>
      </c>
      <c r="D24832" s="7">
        <v>8.66</v>
      </c>
    </row>
    <row r="24833" spans="1:4" x14ac:dyDescent="0.25">
      <c r="A24833" t="str">
        <f>HYPERLINK("https://www.773grp.com/globalSearch/UPA1500BH(1)-AZ/page-1", "UPA1500BH(1)-AZ")</f>
        <v>UPA1500BH(1)-AZ</v>
      </c>
      <c r="B24833" s="3" t="str">
        <f>HYPERLINK("https://www.773grp.com/manufacturer/renesas-electronics-america-inc?pageNo=7", "Renesas Electronics")</f>
        <v>Renesas Electronics</v>
      </c>
      <c r="C24833" s="6">
        <v>89</v>
      </c>
      <c r="D24833" s="7">
        <v>8.66</v>
      </c>
    </row>
    <row r="24834" spans="1:4" x14ac:dyDescent="0.25">
      <c r="A24834" t="str">
        <f>HYPERLINK("https://www.773grp.com/globalSearch/R5F212BCSDFA#U0/page-1", "R5F212BCSDFA#U0")</f>
        <v>R5F212BCSDFA#U0</v>
      </c>
      <c r="B24834" s="3" t="str">
        <f>HYPERLINK("https://www.773grp.com/manufacturer/renesas-electronics-america-inc?pageNo=8", "Renesas Electronics")</f>
        <v>Renesas Electronics</v>
      </c>
      <c r="C24834" s="6">
        <v>38</v>
      </c>
      <c r="D24834" s="7">
        <v>8.74</v>
      </c>
    </row>
    <row r="24835" spans="1:4" x14ac:dyDescent="0.25">
      <c r="A24835" t="str">
        <f>HYPERLINK("https://www.773grp.com/globalSearch/M38049FFHHP#W4/page-1", "M38049FFHHP#W4")</f>
        <v>M38049FFHHP#W4</v>
      </c>
      <c r="B24835" s="3" t="str">
        <f>HYPERLINK("https://www.773grp.com/manufacturer/renesas-electronics-america-inc?pageNo=9", "Renesas Electronics")</f>
        <v>Renesas Electronics</v>
      </c>
      <c r="C24835" s="6">
        <v>1500</v>
      </c>
      <c r="D24835" s="7">
        <v>8.7799999999999994</v>
      </c>
    </row>
    <row r="24836" spans="1:4" x14ac:dyDescent="0.25">
      <c r="A24836" t="str">
        <f>HYPERLINK("https://www.773grp.com/globalSearch/M56713FP#RF0G/page-1", "M56713FP#RF0G")</f>
        <v>M56713FP#RF0G</v>
      </c>
      <c r="B24836" s="3" t="str">
        <f>HYPERLINK("https://www.773grp.com/manufacturer/renesas-electronics-america-inc?pageNo=10", "Renesas Electronics")</f>
        <v>Renesas Electronics</v>
      </c>
      <c r="C24836" s="6">
        <v>1074</v>
      </c>
      <c r="D24836" s="7">
        <v>8.91</v>
      </c>
    </row>
    <row r="24837" spans="1:4" x14ac:dyDescent="0.25">
      <c r="A24837" t="str">
        <f>HYPERLINK("https://www.773grp.com/globalSearch/M59310L/page-1", "M59310L")</f>
        <v>M59310L</v>
      </c>
      <c r="B24837" s="3" t="str">
        <f>HYPERLINK("https://www.773grp.com/manufacturer/renesas-electronics-america-inc?pageNo=11", "Renesas Electronics")</f>
        <v>Renesas Electronics</v>
      </c>
      <c r="C24837" s="6">
        <v>3939</v>
      </c>
      <c r="D24837" s="7">
        <v>8.91</v>
      </c>
    </row>
    <row r="24838" spans="1:4" x14ac:dyDescent="0.25">
      <c r="A24838" t="str">
        <f>HYPERLINK("https://www.773grp.com/globalSearch/UPA1559H(1)-AZ/page-1", "UPA1559H(1)-AZ")</f>
        <v>UPA1559H(1)-AZ</v>
      </c>
      <c r="B24838" s="3" t="str">
        <f>HYPERLINK("https://www.773grp.com/manufacturer/renesas-electronics-america-inc?pageNo=12", "Renesas Electronics")</f>
        <v>Renesas Electronics</v>
      </c>
      <c r="C24838" s="6">
        <v>9102</v>
      </c>
      <c r="D24838" s="7">
        <v>8.9499999999999993</v>
      </c>
    </row>
    <row r="24839" spans="1:4" x14ac:dyDescent="0.25">
      <c r="A24839" t="str">
        <f>HYPERLINK("https://www.773grp.com/globalSearch/UPA1559H(2)-AZ/page-1", "UPA1559H(2)-AZ")</f>
        <v>UPA1559H(2)-AZ</v>
      </c>
      <c r="B24839" s="3" t="str">
        <f>HYPERLINK("https://www.773grp.com/manufacturer/renesas-electronics-america-inc?pageNo=13", "Renesas Electronics")</f>
        <v>Renesas Electronics</v>
      </c>
      <c r="C24839" s="6">
        <v>2719</v>
      </c>
      <c r="D24839" s="7">
        <v>8.9499999999999993</v>
      </c>
    </row>
    <row r="24840" spans="1:4" x14ac:dyDescent="0.25">
      <c r="A24840" t="str">
        <f>HYPERLINK("https://www.773grp.com/globalSearch/2SK1123-A/page-1", "2SK1123-A")</f>
        <v>2SK1123-A</v>
      </c>
      <c r="B24840" s="3" t="str">
        <f>HYPERLINK("https://www.773grp.com/manufacturer/renesas-electronics-america-inc?pageNo=14", "Renesas Electronics")</f>
        <v>Renesas Electronics</v>
      </c>
      <c r="C24840" s="6">
        <v>500</v>
      </c>
      <c r="D24840" s="7">
        <v>8.98</v>
      </c>
    </row>
    <row r="24841" spans="1:4" x14ac:dyDescent="0.25">
      <c r="A24841" t="str">
        <f>HYPERLINK("https://www.773grp.com/globalSearch/R5R0C088AFP#U0/page-1", "R5R0C088AFP#U0")</f>
        <v>R5R0C088AFP#U0</v>
      </c>
      <c r="B24841" s="3" t="str">
        <f>HYPERLINK("https://www.773grp.com/manufacturer/renesas-electronics-america-inc?pageNo=15", "Renesas Electronics")</f>
        <v>Renesas Electronics</v>
      </c>
      <c r="C24841" s="6">
        <v>824</v>
      </c>
      <c r="D24841" s="7">
        <v>8.98</v>
      </c>
    </row>
    <row r="24842" spans="1:4" x14ac:dyDescent="0.25">
      <c r="A24842" t="str">
        <f>HYPERLINK("https://www.773grp.com/globalSearch/FS70SM-2#201/page-1", "FS70SM-2#201")</f>
        <v>FS70SM-2#201</v>
      </c>
      <c r="B24842" s="3" t="str">
        <f>HYPERLINK("https://www.773grp.com/manufacturer/renesas-electronics-america-inc?pageNo=16", "Renesas Electronics")</f>
        <v>Renesas Electronics</v>
      </c>
      <c r="C24842" s="6">
        <v>3105</v>
      </c>
      <c r="D24842" s="7">
        <v>9</v>
      </c>
    </row>
    <row r="24843" spans="1:4" x14ac:dyDescent="0.25">
      <c r="A24843" t="str">
        <f>HYPERLINK("https://www.773grp.com/globalSearch/M65857FP#TF0G/page-1", "M65857FP#TF0G")</f>
        <v>M65857FP#TF0G</v>
      </c>
      <c r="B24843" s="3" t="str">
        <f>HYPERLINK("https://www.773grp.com/manufacturer/renesas-electronics-america-inc?pageNo=17", "Renesas Electronics")</f>
        <v>Renesas Electronics</v>
      </c>
      <c r="C24843" s="6">
        <v>825</v>
      </c>
      <c r="D24843" s="7">
        <v>9</v>
      </c>
    </row>
    <row r="24844" spans="1:4" x14ac:dyDescent="0.25">
      <c r="A24844" t="str">
        <f>HYPERLINK("https://www.773grp.com/globalSearch/HD64F3670FY/page-1", "HD64F3670FY")</f>
        <v>HD64F3670FY</v>
      </c>
      <c r="B24844" s="3" t="str">
        <f>HYPERLINK("https://www.773grp.com/manufacturer/renesas-electronics-america-inc?pageNo=18", "Renesas Electronics")</f>
        <v>Renesas Electronics</v>
      </c>
      <c r="C24844" s="6">
        <v>94</v>
      </c>
      <c r="D24844" s="7">
        <v>9.0299999999999994</v>
      </c>
    </row>
    <row r="24845" spans="1:4" x14ac:dyDescent="0.25">
      <c r="A24845" t="str">
        <f>HYPERLINK("https://www.773grp.com/globalSearch/M38039FFHFP/page-1", "M38039FFHFP")</f>
        <v>M38039FFHFP</v>
      </c>
      <c r="B24845" s="3" t="str">
        <f>HYPERLINK("https://www.773grp.com/manufacturer/renesas-electronics-america-inc?pageNo=19", "Renesas Electronics")</f>
        <v>Renesas Electronics</v>
      </c>
      <c r="C24845" s="6">
        <v>3343</v>
      </c>
      <c r="D24845" s="7">
        <v>9.06</v>
      </c>
    </row>
    <row r="24846" spans="1:4" x14ac:dyDescent="0.25">
      <c r="A24846" t="str">
        <f>HYPERLINK("https://www.773grp.com/globalSearch/M66256FP#281/page-1", "M66256FP#281")</f>
        <v>M66256FP#281</v>
      </c>
      <c r="B24846" s="3" t="str">
        <f>HYPERLINK("https://www.773grp.com/manufacturer/renesas-electronics-america-inc?pageNo=20", "Renesas Electronics")</f>
        <v>Renesas Electronics</v>
      </c>
      <c r="C24846" s="6">
        <v>467</v>
      </c>
      <c r="D24846" s="7">
        <v>9.06</v>
      </c>
    </row>
    <row r="24847" spans="1:4" x14ac:dyDescent="0.25">
      <c r="A24847" t="str">
        <f>HYPERLINK("https://www.773grp.com/globalSearch/R5F212CCSYFP#U0/page-1", "R5F212CCSYFP#U0")</f>
        <v>R5F212CCSYFP#U0</v>
      </c>
      <c r="B24847" s="3" t="str">
        <f>HYPERLINK("https://www.773grp.com/manufacturer/renesas-electronics-america-inc?pageNo=21", "Renesas Electronics")</f>
        <v>Renesas Electronics</v>
      </c>
      <c r="C24847" s="6">
        <v>92</v>
      </c>
      <c r="D24847" s="7">
        <v>9.08</v>
      </c>
    </row>
    <row r="24848" spans="1:4" x14ac:dyDescent="0.25">
      <c r="A24848" t="str">
        <f>HYPERLINK("https://www.773grp.com/globalSearch/R5F21336CDFP#U0/page-1", "R5F21336CDFP#U0")</f>
        <v>R5F21336CDFP#U0</v>
      </c>
      <c r="B24848" s="3" t="str">
        <f>HYPERLINK("https://www.773grp.com/manufacturer/renesas-electronics-america-inc?pageNo=22", "Renesas Electronics")</f>
        <v>Renesas Electronics</v>
      </c>
      <c r="C24848" s="6">
        <v>385</v>
      </c>
      <c r="D24848" s="7">
        <v>9.08</v>
      </c>
    </row>
    <row r="24849" spans="1:4" x14ac:dyDescent="0.25">
      <c r="A24849" t="str">
        <f>HYPERLINK("https://www.773grp.com/globalSearch/R5F562T6DDFF#V0/page-1", "R5F562T6DDFF#V0")</f>
        <v>R5F562T6DDFF#V0</v>
      </c>
      <c r="B24849" s="3" t="str">
        <f>HYPERLINK("https://www.773grp.com/manufacturer/renesas-electronics-america-inc?pageNo=23", "Renesas Electronics")</f>
        <v>Renesas Electronics</v>
      </c>
      <c r="C24849" s="6">
        <v>294</v>
      </c>
      <c r="D24849" s="7">
        <v>9.11</v>
      </c>
    </row>
    <row r="24850" spans="1:4" x14ac:dyDescent="0.25">
      <c r="A24850" t="str">
        <f>HYPERLINK("https://www.773grp.com/globalSearch/M61571BFP#DF0T/page-1", "M61571BFP#DF0T")</f>
        <v>M61571BFP#DF0T</v>
      </c>
      <c r="B24850" s="3" t="str">
        <f>HYPERLINK("https://www.773grp.com/manufacturer/renesas-electronics-america-inc?pageNo=24", "Renesas Electronics")</f>
        <v>Renesas Electronics</v>
      </c>
      <c r="C24850" s="6">
        <v>22000</v>
      </c>
      <c r="D24850" s="7">
        <v>9.15</v>
      </c>
    </row>
    <row r="24851" spans="1:4" x14ac:dyDescent="0.25">
      <c r="A24851" t="str">
        <f>HYPERLINK("https://www.773grp.com/globalSearch/R5F212BCSDFP#U0/page-1", "R5F212BCSDFP#U0")</f>
        <v>R5F212BCSDFP#U0</v>
      </c>
      <c r="B24851" s="3" t="str">
        <f>HYPERLINK("https://www.773grp.com/manufacturer/renesas-electronics-america-inc?pageNo=25", "Renesas Electronics")</f>
        <v>Renesas Electronics</v>
      </c>
      <c r="C24851" s="6">
        <v>33</v>
      </c>
      <c r="D24851" s="7">
        <v>9.15</v>
      </c>
    </row>
    <row r="24852" spans="1:4" x14ac:dyDescent="0.25">
      <c r="A24852" t="str">
        <f>HYPERLINK("https://www.773grp.com/globalSearch/HD4074344FP/page-1", "HD4074344FP")</f>
        <v>HD4074344FP</v>
      </c>
      <c r="B24852" s="3" t="str">
        <f>HYPERLINK("https://www.773grp.com/manufacturer/renesas-electronics-america-inc?pageNo=26", "Renesas Electronics")</f>
        <v>Renesas Electronics</v>
      </c>
      <c r="C24852" s="6">
        <v>173</v>
      </c>
      <c r="D24852" s="7">
        <v>9.16</v>
      </c>
    </row>
    <row r="24853" spans="1:4" x14ac:dyDescent="0.25">
      <c r="A24853" t="str">
        <f>HYPERLINK("https://www.773grp.com/globalSearch/HD4074344S/page-1", "HD4074344S")</f>
        <v>HD4074344S</v>
      </c>
      <c r="B24853" s="3" t="str">
        <f>HYPERLINK("https://www.773grp.com/manufacturer/renesas-electronics-america-inc?pageNo=27", "Renesas Electronics")</f>
        <v>Renesas Electronics</v>
      </c>
      <c r="C24853" s="6">
        <v>338</v>
      </c>
      <c r="D24853" s="7">
        <v>9.16</v>
      </c>
    </row>
    <row r="24854" spans="1:4" x14ac:dyDescent="0.25">
      <c r="A24854" t="str">
        <f>HYPERLINK("https://www.773grp.com/globalSearch/HD4074344SV/page-1", "HD4074344SV")</f>
        <v>HD4074344SV</v>
      </c>
      <c r="B24854" s="3" t="str">
        <f>HYPERLINK("https://www.773grp.com/manufacturer/renesas-electronics-america-inc?pageNo=28", "Renesas Electronics")</f>
        <v>Renesas Electronics</v>
      </c>
      <c r="C24854" s="6">
        <v>88</v>
      </c>
      <c r="D24854" s="7">
        <v>9.16</v>
      </c>
    </row>
    <row r="24855" spans="1:4" x14ac:dyDescent="0.25">
      <c r="A24855" t="str">
        <f>HYPERLINK("https://www.773grp.com/globalSearch/R5F2L368BNFP#V2/page-1", "R5F2L368BNFP#V2")</f>
        <v>R5F2L368BNFP#V2</v>
      </c>
      <c r="B24855" s="3" t="str">
        <f>HYPERLINK("https://www.773grp.com/manufacturer/renesas-electronics-america-inc?pageNo=29", "Renesas Electronics")</f>
        <v>Renesas Electronics</v>
      </c>
      <c r="C24855" s="6">
        <v>2694</v>
      </c>
      <c r="D24855" s="7">
        <v>9.23</v>
      </c>
    </row>
    <row r="24856" spans="1:4" x14ac:dyDescent="0.25">
      <c r="A24856" t="str">
        <f>HYPERLINK("https://www.773grp.com/globalSearch/M38507F8FP#U1/page-1", "M38507F8FP#U1")</f>
        <v>M38507F8FP#U1</v>
      </c>
      <c r="B24856" s="3" t="str">
        <f>HYPERLINK("https://www.773grp.com/manufacturer/renesas-electronics-america-inc?pageNo=30", "Renesas Electronics")</f>
        <v>Renesas Electronics</v>
      </c>
      <c r="C24856" s="6">
        <v>4571</v>
      </c>
      <c r="D24856" s="7">
        <v>9.2899999999999991</v>
      </c>
    </row>
    <row r="24857" spans="1:4" x14ac:dyDescent="0.25">
      <c r="A24857" t="str">
        <f>HYPERLINK("https://www.773grp.com/globalSearch/BCR8PM20LP/page-1", "BCR8PM20LP")</f>
        <v>BCR8PM20LP</v>
      </c>
      <c r="B24857" s="3" t="str">
        <f>HYPERLINK("https://www.773grp.com/manufacturer/renesas-electronics-america-inc?pageNo=31", "Renesas Electronics")</f>
        <v>Renesas Electronics</v>
      </c>
      <c r="C24857" s="6">
        <v>19270</v>
      </c>
      <c r="D24857" s="7">
        <v>9.31</v>
      </c>
    </row>
    <row r="24858" spans="1:4" x14ac:dyDescent="0.25">
      <c r="A24858" t="str">
        <f>HYPERLINK("https://www.773grp.com/globalSearch/1SZ47-AZ/page-1", "1SZ47-AZ")</f>
        <v>1SZ47-AZ</v>
      </c>
      <c r="B24858" s="3" t="str">
        <f>HYPERLINK("https://www.773grp.com/manufacturer/renesas-electronics-america-inc?pageNo=32", "Renesas Electronics")</f>
        <v>Renesas Electronics</v>
      </c>
      <c r="C24858" s="6">
        <v>50</v>
      </c>
      <c r="D24858" s="7">
        <v>9.34</v>
      </c>
    </row>
    <row r="24859" spans="1:4" x14ac:dyDescent="0.25">
      <c r="A24859" t="str">
        <f>HYPERLINK("https://www.773grp.com/globalSearch/2SJ216-E/page-1", "2SJ216-E")</f>
        <v>2SJ216-E</v>
      </c>
      <c r="B24859" s="3" t="str">
        <f>HYPERLINK("https://www.773grp.com/manufacturer/renesas-electronics-america-inc?pageNo=33", "Renesas Electronics")</f>
        <v>Renesas Electronics</v>
      </c>
      <c r="C24859" s="6">
        <v>23715</v>
      </c>
      <c r="D24859" s="7">
        <v>9.41</v>
      </c>
    </row>
    <row r="24860" spans="1:4" x14ac:dyDescent="0.25">
      <c r="A24860" t="str">
        <f>HYPERLINK("https://www.773grp.com/globalSearch/2SK1636STR-E/page-1", "2SK1636STR-E")</f>
        <v>2SK1636STR-E</v>
      </c>
      <c r="B24860" s="3" t="str">
        <f>HYPERLINK("https://www.773grp.com/manufacturer/renesas-electronics-america-inc?pageNo=34", "Renesas Electronics")</f>
        <v>Renesas Electronics</v>
      </c>
      <c r="C24860" s="6">
        <v>1000</v>
      </c>
      <c r="D24860" s="7">
        <v>9.49</v>
      </c>
    </row>
    <row r="24861" spans="1:4" x14ac:dyDescent="0.25">
      <c r="A24861" t="str">
        <f>HYPERLINK("https://www.773grp.com/globalSearch/M5M51008DRV-70HIST/page-1", "M5M51008DRV-70HIST")</f>
        <v>M5M51008DRV-70HIST</v>
      </c>
      <c r="B24861" s="3" t="str">
        <f>HYPERLINK("https://www.773grp.com/manufacturer/renesas-electronics-america-inc?pageNo=35", "Renesas Electronics")</f>
        <v>Renesas Electronics</v>
      </c>
      <c r="C24861" s="6">
        <v>8000</v>
      </c>
      <c r="D24861" s="7">
        <v>9.49</v>
      </c>
    </row>
    <row r="24862" spans="1:4" x14ac:dyDescent="0.25">
      <c r="A24862" t="str">
        <f>HYPERLINK("https://www.773grp.com/globalSearch/R2J30516LG#W3/page-1", "R2J30516LG#W3")</f>
        <v>R2J30516LG#W3</v>
      </c>
      <c r="B24862" s="3" t="str">
        <f>HYPERLINK("https://www.773grp.com/manufacturer/renesas-electronics-america-inc?pageNo=36", "Renesas Electronics")</f>
        <v>Renesas Electronics</v>
      </c>
      <c r="C24862" s="6">
        <v>232500</v>
      </c>
      <c r="D24862" s="7">
        <v>9.5399999999999991</v>
      </c>
    </row>
    <row r="24863" spans="1:4" x14ac:dyDescent="0.25">
      <c r="A24863" t="str">
        <f>HYPERLINK("https://www.773grp.com/globalSearch/M5M5256DFP-55LL#SM/page-1", "M5M5256DFP-55LL#SM")</f>
        <v>M5M5256DFP-55LL#SM</v>
      </c>
      <c r="B24863" s="3" t="str">
        <f>HYPERLINK("https://www.773grp.com/manufacturer/renesas-electronics-america-inc?pageNo=37", "Renesas Electronics")</f>
        <v>Renesas Electronics</v>
      </c>
      <c r="C24863" s="6">
        <v>81000</v>
      </c>
      <c r="D24863" s="7">
        <v>9.56</v>
      </c>
    </row>
    <row r="24864" spans="1:4" x14ac:dyDescent="0.25">
      <c r="A24864" t="str">
        <f>HYPERLINK("https://www.773grp.com/globalSearch/M5M5256DFP-55XL#BM/page-1", "M5M5256DFP-55XL#BM")</f>
        <v>M5M5256DFP-55XL#BM</v>
      </c>
      <c r="B24864" s="3" t="str">
        <f>HYPERLINK("https://www.773grp.com/manufacturer/renesas-electronics-america-inc?pageNo=38", "Renesas Electronics")</f>
        <v>Renesas Electronics</v>
      </c>
      <c r="C24864" s="6">
        <v>8798</v>
      </c>
      <c r="D24864" s="7">
        <v>9.56</v>
      </c>
    </row>
    <row r="24865" spans="1:4" x14ac:dyDescent="0.25">
      <c r="A24865" t="str">
        <f>HYPERLINK("https://www.773grp.com/globalSearch/M5M5256DFP-55XL#SM/page-1", "M5M5256DFP-55XL#SM")</f>
        <v>M5M5256DFP-55XL#SM</v>
      </c>
      <c r="B24865" s="3" t="str">
        <f>HYPERLINK("https://www.773grp.com/manufacturer/renesas-electronics-america-inc?pageNo=39", "Renesas Electronics")</f>
        <v>Renesas Electronics</v>
      </c>
      <c r="C24865" s="6">
        <v>15000</v>
      </c>
      <c r="D24865" s="7">
        <v>9.56</v>
      </c>
    </row>
    <row r="24866" spans="1:4" x14ac:dyDescent="0.25">
      <c r="A24866" t="str">
        <f>HYPERLINK("https://www.773grp.com/globalSearch/M66258FP#TF0T/page-1", "M66258FP#TF0T")</f>
        <v>M66258FP#TF0T</v>
      </c>
      <c r="B24866" s="3" t="str">
        <f>HYPERLINK("https://www.773grp.com/manufacturer/renesas-electronics-america-inc?pageNo=40", "Renesas Electronics")</f>
        <v>Renesas Electronics</v>
      </c>
      <c r="C24866" s="6">
        <v>692</v>
      </c>
      <c r="D24866" s="7">
        <v>9.56</v>
      </c>
    </row>
    <row r="24867" spans="1:4" x14ac:dyDescent="0.25">
      <c r="A24867" t="str">
        <f>HYPERLINK("https://www.773grp.com/globalSearch/RJP4301APP-50#T2/page-1", "RJP4301APP-50#T2")</f>
        <v>RJP4301APP-50#T2</v>
      </c>
      <c r="B24867" s="3" t="str">
        <f>HYPERLINK("https://www.773grp.com/manufacturer/renesas-electronics-america-inc?pageNo=41", "Renesas Electronics")</f>
        <v>Renesas Electronics</v>
      </c>
      <c r="C24867" s="6">
        <v>691</v>
      </c>
      <c r="D24867" s="7">
        <v>9.56</v>
      </c>
    </row>
    <row r="24868" spans="1:4" x14ac:dyDescent="0.25">
      <c r="A24868" t="str">
        <f>HYPERLINK("https://www.773grp.com/globalSearch/R5F2L3ACBNFP#U1/page-1", "R5F2L3ACBNFP#U1")</f>
        <v>R5F2L3ACBNFP#U1</v>
      </c>
      <c r="B24868" s="3" t="str">
        <f>HYPERLINK("https://www.773grp.com/manufacturer/renesas-electronics-america-inc?pageNo=42", "Renesas Electronics")</f>
        <v>Renesas Electronics</v>
      </c>
      <c r="C24868" s="6">
        <v>4273</v>
      </c>
      <c r="D24868" s="7">
        <v>9.59</v>
      </c>
    </row>
    <row r="24869" spans="1:4" x14ac:dyDescent="0.25">
      <c r="A24869" t="str">
        <f>HYPERLINK("https://www.773grp.com/globalSearch/R5F562TADDFM#V0/page-1", "R5F562TADDFM#V0")</f>
        <v>R5F562TADDFM#V0</v>
      </c>
      <c r="B24869" s="3" t="str">
        <f>HYPERLINK("https://www.773grp.com/manufacturer/renesas-electronics-america-inc?pageNo=43", "Renesas Electronics")</f>
        <v>Renesas Electronics</v>
      </c>
      <c r="C24869" s="6">
        <v>2120</v>
      </c>
      <c r="D24869" s="7">
        <v>9.65</v>
      </c>
    </row>
    <row r="24870" spans="1:4" x14ac:dyDescent="0.25">
      <c r="A24870" t="str">
        <f>HYPERLINK("https://www.773grp.com/globalSearch/FS70KM-2#B00/page-1", "FS70KM-2#B00")</f>
        <v>FS70KM-2#B00</v>
      </c>
      <c r="B24870" s="3" t="str">
        <f>HYPERLINK("https://www.773grp.com/manufacturer/renesas-electronics-america-inc?pageNo=44", "Renesas Electronics")</f>
        <v>Renesas Electronics</v>
      </c>
      <c r="C24870" s="6">
        <v>4243</v>
      </c>
      <c r="D24870" s="7">
        <v>9.68</v>
      </c>
    </row>
    <row r="24871" spans="1:4" x14ac:dyDescent="0.25">
      <c r="A24871" t="str">
        <f>HYPERLINK("https://www.773grp.com/globalSearch/M62298FP#DF0T/page-1", "M62298FP#DF0T")</f>
        <v>M62298FP#DF0T</v>
      </c>
      <c r="B24871" s="3" t="str">
        <f>HYPERLINK("https://www.773grp.com/manufacturer/renesas-electronics-america-inc?pageNo=45", "Renesas Electronics")</f>
        <v>Renesas Electronics</v>
      </c>
      <c r="C24871" s="6">
        <v>3000</v>
      </c>
      <c r="D24871" s="7">
        <v>9.6999999999999993</v>
      </c>
    </row>
    <row r="24872" spans="1:4" x14ac:dyDescent="0.25">
      <c r="A24872" t="str">
        <f>HYPERLINK("https://www.773grp.com/globalSearch/HA17903FPJ-E/page-1", "HA17903FPJ-E")</f>
        <v>HA17903FPJ-E</v>
      </c>
      <c r="B24872" s="3" t="str">
        <f>HYPERLINK("https://www.773grp.com/manufacturer/renesas-electronics-america-inc?pageNo=46", "Renesas Electronics")</f>
        <v>Renesas Electronics</v>
      </c>
      <c r="C24872" s="6">
        <v>3000</v>
      </c>
      <c r="D24872" s="7">
        <v>9.75</v>
      </c>
    </row>
    <row r="24873" spans="1:4" x14ac:dyDescent="0.25">
      <c r="A24873" t="str">
        <f>HYPERLINK("https://www.773grp.com/globalSearch/M5M51008DVP-55HIBT/page-1", "M5M51008DVP-55HIBT")</f>
        <v>M5M51008DVP-55HIBT</v>
      </c>
      <c r="B24873" s="3" t="str">
        <f>HYPERLINK("https://www.773grp.com/manufacturer/renesas-electronics-america-inc?pageNo=47", "Renesas Electronics")</f>
        <v>Renesas Electronics</v>
      </c>
      <c r="C24873" s="6">
        <v>8904</v>
      </c>
      <c r="D24873" s="7">
        <v>9.7899999999999991</v>
      </c>
    </row>
    <row r="24874" spans="1:4" x14ac:dyDescent="0.25">
      <c r="A24874" t="str">
        <f>HYPERLINK("https://www.773grp.com/globalSearch/R5F562T7DDFP#V0/page-1", "R5F562T7DDFP#V0")</f>
        <v>R5F562T7DDFP#V0</v>
      </c>
      <c r="B24874" s="3" t="str">
        <f>HYPERLINK("https://www.773grp.com/manufacturer/renesas-electronics-america-inc?pageNo=48", "Renesas Electronics")</f>
        <v>Renesas Electronics</v>
      </c>
      <c r="C24874" s="6">
        <v>447</v>
      </c>
      <c r="D24874" s="7">
        <v>9.7899999999999991</v>
      </c>
    </row>
    <row r="24875" spans="1:4" x14ac:dyDescent="0.25">
      <c r="A24875" t="str">
        <f>HYPERLINK("https://www.773grp.com/globalSearch/R1LV0208BSA-5SR#B0/page-1", "R1LV0208BSA-5SR#B0")</f>
        <v>R1LV0208BSA-5SR#B0</v>
      </c>
      <c r="B24875" s="3" t="str">
        <f>HYPERLINK("https://www.773grp.com/manufacturer/renesas-electronics-america-inc?pageNo=49", "Renesas Electronics")</f>
        <v>Renesas Electronics</v>
      </c>
      <c r="C24875" s="6">
        <v>1206</v>
      </c>
      <c r="D24875" s="7">
        <v>9.84</v>
      </c>
    </row>
    <row r="24876" spans="1:4" x14ac:dyDescent="0.25">
      <c r="A24876" t="str">
        <f>HYPERLINK("https://www.773grp.com/globalSearch/R2S11009FP#U0/page-1", "R2S11009FP#U0")</f>
        <v>R2S11009FP#U0</v>
      </c>
      <c r="B24876" s="3" t="str">
        <f>HYPERLINK("https://www.773grp.com/manufacturer/renesas-electronics-america-inc?pageNo=50", "Renesas Electronics")</f>
        <v>Renesas Electronics</v>
      </c>
      <c r="C24876" s="6">
        <v>1</v>
      </c>
      <c r="D24876" s="7">
        <v>9.84</v>
      </c>
    </row>
    <row r="24877" spans="1:4" x14ac:dyDescent="0.25">
      <c r="A24877" t="str">
        <f>HYPERLINK("https://www.773grp.com/globalSearch/R5F562TADDFF#V0/page-1", "R5F562TADDFF#V0")</f>
        <v>R5F562TADDFF#V0</v>
      </c>
      <c r="B24877" s="3" t="str">
        <f>HYPERLINK("https://www.773grp.com/manufacturer/renesas-electronics-america-inc?pageNo=51", "Renesas Electronics")</f>
        <v>Renesas Electronics</v>
      </c>
      <c r="C24877" s="6">
        <v>1371</v>
      </c>
      <c r="D24877" s="7">
        <v>9.9</v>
      </c>
    </row>
    <row r="24878" spans="1:4" x14ac:dyDescent="0.25">
      <c r="A24878" t="str">
        <f>HYPERLINK("https://www.773grp.com/globalSearch/M5M51008DFP-55HIBT/page-1", "M5M51008DFP-55HIBT")</f>
        <v>M5M51008DFP-55HIBT</v>
      </c>
      <c r="B24878" s="3" t="str">
        <f>HYPERLINK("https://www.773grp.com/manufacturer/renesas-electronics-america-inc?pageNo=52", "Renesas Electronics")</f>
        <v>Renesas Electronics</v>
      </c>
      <c r="C24878" s="6">
        <v>4921</v>
      </c>
      <c r="D24878" s="7">
        <v>9.93</v>
      </c>
    </row>
    <row r="24879" spans="1:4" x14ac:dyDescent="0.25">
      <c r="A24879" t="str">
        <f>HYPERLINK("https://www.773grp.com/globalSearch/M5M51008DFP-55HIST/page-1", "M5M51008DFP-55HIST")</f>
        <v>M5M51008DFP-55HIST</v>
      </c>
      <c r="B24879" s="3" t="str">
        <f>HYPERLINK("https://www.773grp.com/manufacturer/renesas-electronics-america-inc?pageNo=53", "Renesas Electronics")</f>
        <v>Renesas Electronics</v>
      </c>
      <c r="C24879" s="6">
        <v>13000</v>
      </c>
      <c r="D24879" s="7">
        <v>9.93</v>
      </c>
    </row>
    <row r="24880" spans="1:4" x14ac:dyDescent="0.25">
      <c r="A24880" t="str">
        <f>HYPERLINK("https://www.773grp.com/globalSearch/M5M5V108DFP-70H#ST/page-1", "M5M5V108DFP-70H#ST")</f>
        <v>M5M5V108DFP-70H#ST</v>
      </c>
      <c r="B24880" s="3" t="str">
        <f>HYPERLINK("https://www.773grp.com/manufacturer/renesas-electronics-america-inc?pageNo=54", "Renesas Electronics")</f>
        <v>Renesas Electronics</v>
      </c>
      <c r="C24880" s="6">
        <v>1000</v>
      </c>
      <c r="D24880" s="7">
        <v>9.93</v>
      </c>
    </row>
    <row r="24881" spans="1:4" x14ac:dyDescent="0.25">
      <c r="A24881" t="str">
        <f>HYPERLINK("https://www.773grp.com/globalSearch/UPD4991AGS-A/page-1", "UPD4991AGS-A")</f>
        <v>UPD4991AGS-A</v>
      </c>
      <c r="B24881" s="3" t="str">
        <f>HYPERLINK("https://www.773grp.com/manufacturer/renesas-electronics-america-inc?pageNo=55", "Renesas Electronics")</f>
        <v>Renesas Electronics</v>
      </c>
      <c r="C24881" s="6">
        <v>14013</v>
      </c>
      <c r="D24881" s="7">
        <v>9.93</v>
      </c>
    </row>
    <row r="24882" spans="1:4" x14ac:dyDescent="0.25">
      <c r="A24882" t="str">
        <f>HYPERLINK("https://www.773grp.com/globalSearch/M66256FP#TF0T/page-1", "M66256FP#TF0T")</f>
        <v>M66256FP#TF0T</v>
      </c>
      <c r="B24882" s="3" t="str">
        <f>HYPERLINK("https://www.773grp.com/manufacturer/renesas-electronics-america-inc?pageNo=56", "Renesas Electronics")</f>
        <v>Renesas Electronics</v>
      </c>
      <c r="C24882" s="6">
        <v>328</v>
      </c>
      <c r="D24882" s="7">
        <v>9.99</v>
      </c>
    </row>
    <row r="24883" spans="1:4" x14ac:dyDescent="0.25">
      <c r="A24883" t="str">
        <f>HYPERLINK("https://www.773grp.com/globalSearch/FS50VS-3-T11/page-1", "FS50VS-3-T11")</f>
        <v>FS50VS-3-T11</v>
      </c>
      <c r="B24883" s="3" t="str">
        <f>HYPERLINK("https://www.773grp.com/manufacturer/renesas-electronics-america-inc?pageNo=57", "Renesas Electronics")</f>
        <v>Renesas Electronics</v>
      </c>
      <c r="C24883" s="6">
        <v>24000</v>
      </c>
      <c r="D24883" s="7">
        <v>10.08</v>
      </c>
    </row>
    <row r="24884" spans="1:4" x14ac:dyDescent="0.25">
      <c r="A24884" t="str">
        <f>HYPERLINK("https://www.773grp.com/globalSearch/HD4074224S01/page-1", "HD4074224S01")</f>
        <v>HD4074224S01</v>
      </c>
      <c r="B24884" s="3" t="str">
        <f>HYPERLINK("https://www.773grp.com/manufacturer/renesas-electronics-america-inc?pageNo=58", "Renesas Electronics")</f>
        <v>Renesas Electronics</v>
      </c>
      <c r="C24884" s="6">
        <v>415</v>
      </c>
      <c r="D24884" s="7">
        <v>10.08</v>
      </c>
    </row>
    <row r="24885" spans="1:4" x14ac:dyDescent="0.25">
      <c r="A24885" t="str">
        <f>HYPERLINK("https://www.773grp.com/globalSearch/HD4074224S02/page-1", "HD4074224S02")</f>
        <v>HD4074224S02</v>
      </c>
      <c r="B24885" s="3" t="str">
        <f>HYPERLINK("https://www.773grp.com/manufacturer/renesas-electronics-america-inc?pageNo=59", "Renesas Electronics")</f>
        <v>Renesas Electronics</v>
      </c>
      <c r="C24885" s="6">
        <v>10612</v>
      </c>
      <c r="D24885" s="7">
        <v>10.08</v>
      </c>
    </row>
    <row r="24886" spans="1:4" x14ac:dyDescent="0.25">
      <c r="A24886" t="str">
        <f>HYPERLINK("https://www.773grp.com/globalSearch/HD4074224S02V/page-1", "HD4074224S02V")</f>
        <v>HD4074224S02V</v>
      </c>
      <c r="B24886" s="3" t="str">
        <f>HYPERLINK("https://www.773grp.com/manufacturer/renesas-electronics-america-inc?pageNo=60", "Renesas Electronics")</f>
        <v>Renesas Electronics</v>
      </c>
      <c r="C24886" s="6">
        <v>176</v>
      </c>
      <c r="D24886" s="7">
        <v>10.08</v>
      </c>
    </row>
    <row r="24887" spans="1:4" x14ac:dyDescent="0.25">
      <c r="A24887" t="str">
        <f>HYPERLINK("https://www.773grp.com/globalSearch/HD4074224S04/page-1", "HD4074224S04")</f>
        <v>HD4074224S04</v>
      </c>
      <c r="B24887" s="3" t="str">
        <f>HYPERLINK("https://www.773grp.com/manufacturer/renesas-electronics-america-inc?pageNo=61", "Renesas Electronics")</f>
        <v>Renesas Electronics</v>
      </c>
      <c r="C24887" s="6">
        <v>990</v>
      </c>
      <c r="D24887" s="7">
        <v>10.08</v>
      </c>
    </row>
    <row r="24888" spans="1:4" x14ac:dyDescent="0.25">
      <c r="A24888" t="str">
        <f>HYPERLINK("https://www.773grp.com/globalSearch/UPD431000AGW-70L-E1-A/page-1", "UPD431000AGW-70L-E1-A")</f>
        <v>UPD431000AGW-70L-E1-A</v>
      </c>
      <c r="B24888" s="3" t="str">
        <f>HYPERLINK("https://www.773grp.com/manufacturer/renesas-electronics-america-inc?pageNo=62", "Renesas Electronics")</f>
        <v>Renesas Electronics</v>
      </c>
      <c r="C24888" s="6">
        <v>42000</v>
      </c>
      <c r="D24888" s="7">
        <v>10.130000000000001</v>
      </c>
    </row>
    <row r="24889" spans="1:4" x14ac:dyDescent="0.25">
      <c r="A24889" t="str">
        <f>HYPERLINK("https://www.773grp.com/globalSearch/UPD431000AGW-70LL-E2-A/page-1", "UPD431000AGW-70LL-E2-A")</f>
        <v>UPD431000AGW-70LL-E2-A</v>
      </c>
      <c r="B24889" s="3" t="str">
        <f>HYPERLINK("https://www.773grp.com/manufacturer/renesas-electronics-america-inc?pageNo=63", "Renesas Electronics")</f>
        <v>Renesas Electronics</v>
      </c>
      <c r="C24889" s="6">
        <v>6840</v>
      </c>
      <c r="D24889" s="7">
        <v>10.130000000000001</v>
      </c>
    </row>
    <row r="24890" spans="1:4" x14ac:dyDescent="0.25">
      <c r="A24890" t="str">
        <f>HYPERLINK("https://www.773grp.com/globalSearch/M301N2F8TFP/page-1", "M301N2F8TFP")</f>
        <v>M301N2F8TFP</v>
      </c>
      <c r="B24890" s="3" t="str">
        <f>HYPERLINK("https://www.773grp.com/manufacturer/renesas-electronics-america-inc?pageNo=64", "Renesas Electronics")</f>
        <v>Renesas Electronics</v>
      </c>
      <c r="C24890" s="6">
        <v>1547</v>
      </c>
      <c r="D24890" s="7">
        <v>10.24</v>
      </c>
    </row>
    <row r="24891" spans="1:4" x14ac:dyDescent="0.25">
      <c r="A24891" t="str">
        <f>HYPERLINK("https://www.773grp.com/globalSearch/R5F2L36CCNFA#U0/page-1", "R5F2L36CCNFA#U0")</f>
        <v>R5F2L36CCNFA#U0</v>
      </c>
      <c r="B24891" s="3" t="str">
        <f>HYPERLINK("https://www.773grp.com/manufacturer/renesas-electronics-america-inc?pageNo=65", "Renesas Electronics")</f>
        <v>Renesas Electronics</v>
      </c>
      <c r="C24891" s="6">
        <v>4938</v>
      </c>
      <c r="D24891" s="7">
        <v>10.24</v>
      </c>
    </row>
    <row r="24892" spans="1:4" x14ac:dyDescent="0.25">
      <c r="A24892" t="str">
        <f>HYPERLINK("https://www.773grp.com/globalSearch/UPA1560H(3)-AZ/page-1", "UPA1560H(3)-AZ")</f>
        <v>UPA1560H(3)-AZ</v>
      </c>
      <c r="B24892" s="3" t="str">
        <f>HYPERLINK("https://www.773grp.com/manufacturer/renesas-electronics-america-inc?pageNo=66", "Renesas Electronics")</f>
        <v>Renesas Electronics</v>
      </c>
      <c r="C24892" s="6">
        <v>56280</v>
      </c>
      <c r="D24892" s="7">
        <v>10.24</v>
      </c>
    </row>
    <row r="24893" spans="1:4" x14ac:dyDescent="0.25">
      <c r="A24893" t="str">
        <f>HYPERLINK("https://www.773grp.com/globalSearch/UPD78F0114M5GB(A1)-8ES/page-1", "UPD78F0114M5GB(A1)-8ES")</f>
        <v>UPD78F0114M5GB(A1)-8ES</v>
      </c>
      <c r="B24893" s="3" t="str">
        <f>HYPERLINK("https://www.773grp.com/manufacturer/renesas-electronics-america-inc?pageNo=67", "Renesas Electronics")</f>
        <v>Renesas Electronics</v>
      </c>
      <c r="C24893" s="6">
        <v>100</v>
      </c>
      <c r="D24893" s="7">
        <v>10.3</v>
      </c>
    </row>
    <row r="24894" spans="1:4" x14ac:dyDescent="0.25">
      <c r="A24894" t="str">
        <f>HYPERLINK("https://www.773grp.com/globalSearch/2SJ409-90STR/page-1", "2SJ409-90STR")</f>
        <v>2SJ409-90STR</v>
      </c>
      <c r="B24894" s="3" t="str">
        <f>HYPERLINK("https://www.773grp.com/manufacturer/renesas-electronics-america-inc?pageNo=68", "Renesas Electronics")</f>
        <v>Renesas Electronics</v>
      </c>
      <c r="C24894" s="6">
        <v>5000</v>
      </c>
      <c r="D24894" s="7">
        <v>10.35</v>
      </c>
    </row>
    <row r="24895" spans="1:4" x14ac:dyDescent="0.25">
      <c r="A24895" t="str">
        <f>HYPERLINK("https://www.773grp.com/globalSearch/HD64F3644D/page-1", "HD64F3644D")</f>
        <v>HD64F3644D</v>
      </c>
      <c r="B24895" s="3" t="str">
        <f>HYPERLINK("https://www.773grp.com/manufacturer/renesas-electronics-america-inc?pageNo=69", "Renesas Electronics")</f>
        <v>Renesas Electronics</v>
      </c>
      <c r="C24895" s="6">
        <v>13571</v>
      </c>
      <c r="D24895" s="7">
        <v>10.51</v>
      </c>
    </row>
    <row r="24896" spans="1:4" x14ac:dyDescent="0.25">
      <c r="A24896" t="str">
        <f>HYPERLINK("https://www.773grp.com/globalSearch/M50230FP#DF1G/page-1", "M50230FP#DF1G")</f>
        <v>M50230FP#DF1G</v>
      </c>
      <c r="B24896" s="3" t="str">
        <f>HYPERLINK("https://www.773grp.com/manufacturer/renesas-electronics-america-inc?pageNo=70", "Renesas Electronics")</f>
        <v>Renesas Electronics</v>
      </c>
      <c r="C24896" s="6">
        <v>6000</v>
      </c>
      <c r="D24896" s="7">
        <v>10.51</v>
      </c>
    </row>
    <row r="24897" spans="1:4" x14ac:dyDescent="0.25">
      <c r="A24897" t="str">
        <f>HYPERLINK("https://www.773grp.com/globalSearch/FS70KM-06#B00/page-1", "FS70KM-06#B00")</f>
        <v>FS70KM-06#B00</v>
      </c>
      <c r="B24897" s="3" t="str">
        <f>HYPERLINK("https://www.773grp.com/manufacturer/renesas-electronics-america-inc?pageNo=71", "Renesas Electronics")</f>
        <v>Renesas Electronics</v>
      </c>
      <c r="C24897" s="6">
        <v>215</v>
      </c>
      <c r="D24897" s="7">
        <v>10.58</v>
      </c>
    </row>
    <row r="24898" spans="1:4" x14ac:dyDescent="0.25">
      <c r="A24898" t="str">
        <f>HYPERLINK("https://www.773grp.com/globalSearch/R5F52106ADFN#V0/page-1", "R5F52106ADFN#V0")</f>
        <v>R5F52106ADFN#V0</v>
      </c>
      <c r="B24898" s="3" t="str">
        <f>HYPERLINK("https://www.773grp.com/manufacturer/renesas-electronics-america-inc?pageNo=72", "Renesas Electronics")</f>
        <v>Renesas Electronics</v>
      </c>
      <c r="C24898" s="6">
        <v>1044</v>
      </c>
      <c r="D24898" s="7">
        <v>10.71</v>
      </c>
    </row>
    <row r="24899" spans="1:4" x14ac:dyDescent="0.25">
      <c r="A24899" t="str">
        <f>HYPERLINK("https://www.773grp.com/globalSearch/M66258FP#DF0T/page-1", "M66258FP#DF0T")</f>
        <v>M66258FP#DF0T</v>
      </c>
      <c r="B24899" s="3" t="str">
        <f>HYPERLINK("https://www.773grp.com/manufacturer/renesas-electronics-america-inc?pageNo=73", "Renesas Electronics")</f>
        <v>Renesas Electronics</v>
      </c>
      <c r="C24899" s="6">
        <v>3000</v>
      </c>
      <c r="D24899" s="7">
        <v>10.76</v>
      </c>
    </row>
    <row r="24900" spans="1:4" x14ac:dyDescent="0.25">
      <c r="A24900" t="str">
        <f>HYPERLINK("https://www.773grp.com/globalSearch/R5F21244SDFP#U0/page-1", "R5F21244SDFP#U0")</f>
        <v>R5F21244SDFP#U0</v>
      </c>
      <c r="B24900" s="3" t="str">
        <f>HYPERLINK("https://www.773grp.com/manufacturer/renesas-electronics-america-inc?pageNo=74", "Renesas Electronics")</f>
        <v>Renesas Electronics</v>
      </c>
      <c r="C24900" s="6">
        <v>53</v>
      </c>
      <c r="D24900" s="7">
        <v>10.84</v>
      </c>
    </row>
    <row r="24901" spans="1:4" x14ac:dyDescent="0.25">
      <c r="A24901" t="str">
        <f>HYPERLINK("https://www.773grp.com/globalSearch/R5F2L368CNFA#U0/page-1", "R5F2L368CNFA#U0")</f>
        <v>R5F2L368CNFA#U0</v>
      </c>
      <c r="B24901" s="3" t="str">
        <f>HYPERLINK("https://www.773grp.com/manufacturer/renesas-electronics-america-inc?pageNo=75", "Renesas Electronics")</f>
        <v>Renesas Electronics</v>
      </c>
      <c r="C24901" s="6">
        <v>1147</v>
      </c>
      <c r="D24901" s="7">
        <v>10.84</v>
      </c>
    </row>
    <row r="24902" spans="1:4" x14ac:dyDescent="0.25">
      <c r="A24902" t="str">
        <f>HYPERLINK("https://www.773grp.com/globalSearch/M5M51008DVP-70H#ST/page-1", "M5M51008DVP-70H#ST")</f>
        <v>M5M51008DVP-70H#ST</v>
      </c>
      <c r="B24902" s="3" t="str">
        <f>HYPERLINK("https://www.773grp.com/manufacturer/renesas-electronics-america-inc?pageNo=76", "Renesas Electronics")</f>
        <v>Renesas Electronics</v>
      </c>
      <c r="C24902" s="6">
        <v>1000</v>
      </c>
      <c r="D24902" s="7">
        <v>10.85</v>
      </c>
    </row>
    <row r="24903" spans="1:4" x14ac:dyDescent="0.25">
      <c r="A24903" t="str">
        <f>HYPERLINK("https://www.773grp.com/globalSearch/HN58W241000FPIAGS1/page-1", "HN58W241000FPIAGS1")</f>
        <v>HN58W241000FPIAGS1</v>
      </c>
      <c r="B24903" s="3" t="str">
        <f>HYPERLINK("https://www.773grp.com/manufacturer/renesas-electronics-america-inc?pageNo=77", "Renesas Electronics")</f>
        <v>Renesas Electronics</v>
      </c>
      <c r="C24903" s="6">
        <v>5000</v>
      </c>
      <c r="D24903" s="7">
        <v>10.89</v>
      </c>
    </row>
    <row r="24904" spans="1:4" x14ac:dyDescent="0.25">
      <c r="A24904" t="str">
        <f>HYPERLINK("https://www.773grp.com/globalSearch/R5F2L36AANFP#U1/page-1", "R5F2L36AANFP#U1")</f>
        <v>R5F2L36AANFP#U1</v>
      </c>
      <c r="B24904" s="3" t="str">
        <f>HYPERLINK("https://www.773grp.com/manufacturer/renesas-electronics-america-inc?pageNo=78", "Renesas Electronics")</f>
        <v>Renesas Electronics</v>
      </c>
      <c r="C24904" s="6">
        <v>4918</v>
      </c>
      <c r="D24904" s="7">
        <v>10.91</v>
      </c>
    </row>
    <row r="24905" spans="1:4" x14ac:dyDescent="0.25">
      <c r="A24905" t="str">
        <f>HYPERLINK("https://www.773grp.com/globalSearch/RJL60S5DPP-E0#T2/page-1", "RJL60S5DPP-E0#T2")</f>
        <v>RJL60S5DPP-E0#T2</v>
      </c>
      <c r="B24905" s="3" t="str">
        <f>HYPERLINK("https://www.773grp.com/manufacturer/renesas-electronics-america-inc?pageNo=79", "Renesas Electronics")</f>
        <v>Renesas Electronics</v>
      </c>
      <c r="C24905" s="6">
        <v>46907</v>
      </c>
      <c r="D24905" s="7">
        <v>10.98</v>
      </c>
    </row>
    <row r="24906" spans="1:4" x14ac:dyDescent="0.25">
      <c r="A24906" t="str">
        <f>HYPERLINK("https://www.773grp.com/globalSearch/R5F2LA64ANFP#V0/page-1", "R5F2LA64ANFP#V0")</f>
        <v>R5F2LA64ANFP#V0</v>
      </c>
      <c r="B24906" s="3" t="str">
        <f>HYPERLINK("https://www.773grp.com/manufacturer/renesas-electronics-america-inc?pageNo=80", "Renesas Electronics")</f>
        <v>Renesas Electronics</v>
      </c>
      <c r="C24906" s="6">
        <v>2152</v>
      </c>
      <c r="D24906" s="7">
        <v>11.1</v>
      </c>
    </row>
    <row r="24907" spans="1:4" x14ac:dyDescent="0.25">
      <c r="A24907" t="str">
        <f>HYPERLINK("https://www.773grp.com/globalSearch/DF71251AN50FPV/page-1", "DF71251AN50FPV")</f>
        <v>DF71251AN50FPV</v>
      </c>
      <c r="B24907" s="3" t="str">
        <f>HYPERLINK("https://www.773grp.com/manufacturer/renesas-electronics-america-inc?pageNo=81", "Renesas Electronics")</f>
        <v>Renesas Electronics</v>
      </c>
      <c r="C24907" s="6">
        <v>22313</v>
      </c>
      <c r="D24907" s="7">
        <v>11.18</v>
      </c>
    </row>
    <row r="24908" spans="1:4" x14ac:dyDescent="0.25">
      <c r="A24908" t="str">
        <f>HYPERLINK("https://www.773grp.com/globalSearch/M61508FP#D60G/page-1", "M61508FP#D60G")</f>
        <v>M61508FP#D60G</v>
      </c>
      <c r="B24908" s="3" t="str">
        <f>HYPERLINK("https://www.773grp.com/manufacturer/renesas-electronics-america-inc?pageNo=82", "Renesas Electronics")</f>
        <v>Renesas Electronics</v>
      </c>
      <c r="C24908" s="6">
        <v>1000</v>
      </c>
      <c r="D24908" s="7">
        <v>11.25</v>
      </c>
    </row>
    <row r="24909" spans="1:4" x14ac:dyDescent="0.25">
      <c r="A24909" t="str">
        <f>HYPERLINK("https://www.773grp.com/globalSearch/M61571AFP#TF0T/page-1", "M61571AFP#TF0T")</f>
        <v>M61571AFP#TF0T</v>
      </c>
      <c r="B24909" s="3" t="str">
        <f>HYPERLINK("https://www.773grp.com/manufacturer/renesas-electronics-america-inc?pageNo=83", "Renesas Electronics")</f>
        <v>Renesas Electronics</v>
      </c>
      <c r="C24909" s="6">
        <v>1600</v>
      </c>
      <c r="D24909" s="7">
        <v>11.25</v>
      </c>
    </row>
    <row r="24910" spans="1:4" x14ac:dyDescent="0.25">
      <c r="A24910" t="str">
        <f>HYPERLINK("https://www.773grp.com/globalSearch/R2J20651ANP#13/page-1", "R2J20651ANP#13")</f>
        <v>R2J20651ANP#13</v>
      </c>
      <c r="B24910" s="3" t="str">
        <f>HYPERLINK("https://www.773grp.com/manufacturer/renesas-electronics-america-inc?pageNo=84", "Renesas Electronics")</f>
        <v>Renesas Electronics</v>
      </c>
      <c r="C24910" s="6">
        <v>73</v>
      </c>
      <c r="D24910" s="7">
        <v>11.25</v>
      </c>
    </row>
    <row r="24911" spans="1:4" x14ac:dyDescent="0.25">
      <c r="A24911" t="str">
        <f>HYPERLINK("https://www.773grp.com/globalSearch/R2J20652ANP#G3/page-1", "R2J20652ANP#G3")</f>
        <v>R2J20652ANP#G3</v>
      </c>
      <c r="B24911" s="3" t="str">
        <f>HYPERLINK("https://www.773grp.com/manufacturer/renesas-electronics-america-inc?pageNo=85", "Renesas Electronics")</f>
        <v>Renesas Electronics</v>
      </c>
      <c r="C24911" s="6">
        <v>30000</v>
      </c>
      <c r="D24911" s="7">
        <v>11.25</v>
      </c>
    </row>
    <row r="24912" spans="1:4" x14ac:dyDescent="0.25">
      <c r="A24912" t="str">
        <f>HYPERLINK("https://www.773grp.com/globalSearch/R2J20657CNP#G2/page-1", "R2J20657CNP#G2")</f>
        <v>R2J20657CNP#G2</v>
      </c>
      <c r="B24912" s="3" t="str">
        <f>HYPERLINK("https://www.773grp.com/manufacturer/renesas-electronics-america-inc?pageNo=86", "Renesas Electronics")</f>
        <v>Renesas Electronics</v>
      </c>
      <c r="C24912" s="6">
        <v>52500</v>
      </c>
      <c r="D24912" s="7">
        <v>11.25</v>
      </c>
    </row>
    <row r="24913" spans="1:4" x14ac:dyDescent="0.25">
      <c r="A24913" t="str">
        <f>HYPERLINK("https://www.773grp.com/globalSearch/R2J20657NP#G3/page-1", "R2J20657NP#G3")</f>
        <v>R2J20657NP#G3</v>
      </c>
      <c r="B24913" s="3" t="str">
        <f>HYPERLINK("https://www.773grp.com/manufacturer/renesas-electronics-america-inc?pageNo=87", "Renesas Electronics")</f>
        <v>Renesas Electronics</v>
      </c>
      <c r="C24913" s="6">
        <v>2500</v>
      </c>
      <c r="D24913" s="7">
        <v>11.25</v>
      </c>
    </row>
    <row r="24914" spans="1:4" x14ac:dyDescent="0.25">
      <c r="A24914" t="str">
        <f>HYPERLINK("https://www.773grp.com/globalSearch/R2J20755NP#G3/page-1", "R2J20755NP#G3")</f>
        <v>R2J20755NP#G3</v>
      </c>
      <c r="B24914" s="3" t="str">
        <f>HYPERLINK("https://www.773grp.com/manufacturer/renesas-electronics-america-inc?pageNo=88", "Renesas Electronics")</f>
        <v>Renesas Electronics</v>
      </c>
      <c r="C24914" s="6">
        <v>47500</v>
      </c>
      <c r="D24914" s="7">
        <v>11.25</v>
      </c>
    </row>
    <row r="24915" spans="1:4" x14ac:dyDescent="0.25">
      <c r="A24915" t="str">
        <f>HYPERLINK("https://www.773grp.com/globalSearch/R2J20759NP#G0/page-1", "R2J20759NP#G0")</f>
        <v>R2J20759NP#G0</v>
      </c>
      <c r="B24915" s="3" t="str">
        <f>HYPERLINK("https://www.773grp.com/manufacturer/renesas-electronics-america-inc?pageNo=89", "Renesas Electronics")</f>
        <v>Renesas Electronics</v>
      </c>
      <c r="C24915" s="6">
        <v>12500</v>
      </c>
      <c r="D24915" s="7">
        <v>11.25</v>
      </c>
    </row>
    <row r="24916" spans="1:4" x14ac:dyDescent="0.25">
      <c r="A24916" t="str">
        <f>HYPERLINK("https://www.773grp.com/globalSearch/M64620P#T20J/page-1", "M64620P#T20J")</f>
        <v>M64620P#T20J</v>
      </c>
      <c r="B24916" s="3" t="str">
        <f>HYPERLINK("https://www.773grp.com/manufacturer/renesas-electronics-america-inc?pageNo=90", "Renesas Electronics")</f>
        <v>Renesas Electronics</v>
      </c>
      <c r="C24916" s="6">
        <v>388</v>
      </c>
      <c r="D24916" s="7">
        <v>11.34</v>
      </c>
    </row>
    <row r="24917" spans="1:4" x14ac:dyDescent="0.25">
      <c r="A24917" t="str">
        <f>HYPERLINK("https://www.773grp.com/globalSearch/2SK1122-A/page-1", "2SK1122-A")</f>
        <v>2SK1122-A</v>
      </c>
      <c r="B24917" s="3" t="str">
        <f>HYPERLINK("https://www.773grp.com/manufacturer/renesas-electronics-america-inc?pageNo=91", "Renesas Electronics")</f>
        <v>Renesas Electronics</v>
      </c>
      <c r="C24917" s="6">
        <v>783</v>
      </c>
      <c r="D24917" s="7">
        <v>11.39</v>
      </c>
    </row>
    <row r="24918" spans="1:4" x14ac:dyDescent="0.25">
      <c r="A24918" t="str">
        <f>HYPERLINK("https://www.773grp.com/globalSearch/RJK1525DPP-MG#T2/page-1", "RJK1525DPP-MG#T2")</f>
        <v>RJK1525DPP-MG#T2</v>
      </c>
      <c r="B24918" s="3" t="str">
        <f>HYPERLINK("https://www.773grp.com/manufacturer/renesas-electronics-america-inc?pageNo=92", "Renesas Electronics")</f>
        <v>Renesas Electronics</v>
      </c>
      <c r="C24918" s="6">
        <v>1612</v>
      </c>
      <c r="D24918" s="7">
        <v>11.39</v>
      </c>
    </row>
    <row r="24919" spans="1:4" x14ac:dyDescent="0.25">
      <c r="A24919" t="str">
        <f>HYPERLINK("https://www.773grp.com/globalSearch/M30201F6FP/page-1", "M30201F6FP")</f>
        <v>M30201F6FP</v>
      </c>
      <c r="B24919" s="3" t="str">
        <f>HYPERLINK("https://www.773grp.com/manufacturer/renesas-electronics-america-inc?pageNo=93", "Renesas Electronics")</f>
        <v>Renesas Electronics</v>
      </c>
      <c r="C24919" s="6">
        <v>4</v>
      </c>
      <c r="D24919" s="7">
        <v>11.48</v>
      </c>
    </row>
    <row r="24920" spans="1:4" x14ac:dyDescent="0.25">
      <c r="A24920" t="str">
        <f>HYPERLINK("https://www.773grp.com/globalSearch/2SK2727-E/page-1", "2SK2727-E")</f>
        <v>2SK2727-E</v>
      </c>
      <c r="B24920" s="3" t="str">
        <f>HYPERLINK("https://www.773grp.com/manufacturer/renesas-electronics-america-inc?pageNo=94", "Renesas Electronics")</f>
        <v>Renesas Electronics</v>
      </c>
      <c r="C24920" s="6">
        <v>2626</v>
      </c>
      <c r="D24920" s="7">
        <v>11.73</v>
      </c>
    </row>
    <row r="24921" spans="1:4" x14ac:dyDescent="0.25">
      <c r="A24921" t="str">
        <f>HYPERLINK("https://www.773grp.com/globalSearch/M30620SFP#D5/page-1", "M30620SFP#D5")</f>
        <v>M30620SFP#D5</v>
      </c>
      <c r="B24921" s="3" t="str">
        <f>HYPERLINK("https://www.773grp.com/manufacturer/renesas-electronics-america-inc?pageNo=95", "Renesas Electronics")</f>
        <v>Renesas Electronics</v>
      </c>
      <c r="C24921" s="6">
        <v>144</v>
      </c>
      <c r="D24921" s="7">
        <v>11.78</v>
      </c>
    </row>
    <row r="24922" spans="1:4" x14ac:dyDescent="0.25">
      <c r="A24922" t="str">
        <f>HYPERLINK("https://www.773grp.com/globalSearch/R5F2L387CDFP#U0/page-1", "R5F2L387CDFP#U0")</f>
        <v>R5F2L387CDFP#U0</v>
      </c>
      <c r="B24922" s="3" t="str">
        <f>HYPERLINK("https://www.773grp.com/manufacturer/renesas-electronics-america-inc?pageNo=96", "Renesas Electronics")</f>
        <v>Renesas Electronics</v>
      </c>
      <c r="C24922" s="6">
        <v>1267</v>
      </c>
      <c r="D24922" s="7">
        <v>11.78</v>
      </c>
    </row>
    <row r="24923" spans="1:4" x14ac:dyDescent="0.25">
      <c r="A24923" t="str">
        <f>HYPERLINK("https://www.773grp.com/globalSearch/HD4074054S/page-1", "HD4074054S")</f>
        <v>HD4074054S</v>
      </c>
      <c r="B24923" s="3" t="str">
        <f>HYPERLINK("https://www.773grp.com/manufacturer/renesas-electronics-america-inc?pageNo=97", "Renesas Electronics")</f>
        <v>Renesas Electronics</v>
      </c>
      <c r="C24923" s="6">
        <v>235</v>
      </c>
      <c r="D24923" s="7">
        <v>11.85</v>
      </c>
    </row>
    <row r="24924" spans="1:4" x14ac:dyDescent="0.25">
      <c r="A24924" t="str">
        <f>HYPERLINK("https://www.773grp.com/globalSearch/HD4074394SV/page-1", "HD4074394SV")</f>
        <v>HD4074394SV</v>
      </c>
      <c r="B24924" s="3" t="str">
        <f>HYPERLINK("https://www.773grp.com/manufacturer/renesas-electronics-america-inc?pageNo=98", "Renesas Electronics")</f>
        <v>Renesas Electronics</v>
      </c>
      <c r="C24924" s="6">
        <v>249</v>
      </c>
      <c r="D24924" s="7">
        <v>11.85</v>
      </c>
    </row>
    <row r="24925" spans="1:4" x14ac:dyDescent="0.25">
      <c r="A24925" t="str">
        <f>HYPERLINK("https://www.773grp.com/globalSearch/M38588RSS/page-1", "M38588RSS")</f>
        <v>M38588RSS</v>
      </c>
      <c r="B24925" s="3" t="str">
        <f>HYPERLINK("https://www.773grp.com/manufacturer/renesas-electronics-america-inc?pageNo=99", "Renesas Electronics")</f>
        <v>Renesas Electronics</v>
      </c>
      <c r="C24925" s="6">
        <v>11</v>
      </c>
      <c r="D24925" s="7">
        <v>11.9</v>
      </c>
    </row>
    <row r="24926" spans="1:4" x14ac:dyDescent="0.25">
      <c r="A24926" t="str">
        <f>HYPERLINK("https://www.773grp.com/globalSearch/RJP63K2DPK-M2#T0/page-1", "RJP63K2DPK-M2#T0")</f>
        <v>RJP63K2DPK-M2#T0</v>
      </c>
      <c r="B24926" s="3" t="str">
        <f>HYPERLINK("https://www.773grp.com/manufacturer/renesas-electronics-america-inc?pageNo=100", "Renesas Electronics")</f>
        <v>Renesas Electronics</v>
      </c>
      <c r="C24926" s="6">
        <v>13182</v>
      </c>
      <c r="D24926" s="7">
        <v>11.9</v>
      </c>
    </row>
    <row r="24927" spans="1:4" x14ac:dyDescent="0.25">
      <c r="A24927" t="str">
        <f>HYPERLINK("https://www.773grp.com/globalSearch/FX70KMJ-03#B00/page-1", "FX70KMJ-03#B00")</f>
        <v>FX70KMJ-03#B00</v>
      </c>
      <c r="B24927" s="3" t="str">
        <f>HYPERLINK("https://www.773grp.com/manufacturer/renesas-electronics-america-inc?pageNo=101", "Renesas Electronics")</f>
        <v>Renesas Electronics</v>
      </c>
      <c r="C24927" s="6">
        <v>4775</v>
      </c>
      <c r="D24927" s="7">
        <v>11.95</v>
      </c>
    </row>
    <row r="24928" spans="1:4" x14ac:dyDescent="0.25">
      <c r="A24928" t="str">
        <f>HYPERLINK("https://www.773grp.com/globalSearch/HD64F3694FPI/page-1", "HD64F3694FPI")</f>
        <v>HD64F3694FPI</v>
      </c>
      <c r="B24928" s="3" t="str">
        <f>HYPERLINK("https://www.773grp.com/manufacturer/renesas-electronics-america-inc?pageNo=102", "Renesas Electronics")</f>
        <v>Renesas Electronics</v>
      </c>
      <c r="C24928" s="6">
        <v>21783</v>
      </c>
      <c r="D24928" s="7">
        <v>11.99</v>
      </c>
    </row>
    <row r="24929" spans="1:4" x14ac:dyDescent="0.25">
      <c r="A24929" t="str">
        <f>HYPERLINK("https://www.773grp.com/globalSearch/UPD6P4BGS-A/page-1", "UPD6P4BGS-A")</f>
        <v>UPD6P4BGS-A</v>
      </c>
      <c r="B24929" s="3" t="str">
        <f>HYPERLINK("https://www.773grp.com/manufacturer/renesas-electronics-america-inc?pageNo=103", "Renesas Electronics")</f>
        <v>Renesas Electronics</v>
      </c>
      <c r="C24929" s="6">
        <v>603</v>
      </c>
      <c r="D24929" s="7">
        <v>11.99</v>
      </c>
    </row>
    <row r="24930" spans="1:4" x14ac:dyDescent="0.25">
      <c r="A24930" t="str">
        <f>HYPERLINK("https://www.773grp.com/globalSearch/UPD78F9211GR(A)-JJG-A/page-1", "UPD78F9211GR(A)-JJG-A")</f>
        <v>UPD78F9211GR(A)-JJG-A</v>
      </c>
      <c r="B24930" s="3" t="str">
        <f>HYPERLINK("https://www.773grp.com/manufacturer/renesas-electronics-america-inc?pageNo=104", "Renesas Electronics")</f>
        <v>Renesas Electronics</v>
      </c>
      <c r="C24930" s="6">
        <v>67</v>
      </c>
      <c r="D24930" s="7">
        <v>11.99</v>
      </c>
    </row>
    <row r="24931" spans="1:4" x14ac:dyDescent="0.25">
      <c r="A24931" t="str">
        <f>HYPERLINK("https://www.773grp.com/globalSearch/HD407A4384FTI/page-1", "HD407A4384FTI")</f>
        <v>HD407A4384FTI</v>
      </c>
      <c r="B24931" s="3" t="str">
        <f>HYPERLINK("https://www.773grp.com/manufacturer/renesas-electronics-america-inc?pageNo=105", "Renesas Electronics")</f>
        <v>Renesas Electronics</v>
      </c>
      <c r="C24931" s="6">
        <v>2788</v>
      </c>
      <c r="D24931" s="7">
        <v>12.15</v>
      </c>
    </row>
    <row r="24932" spans="1:4" x14ac:dyDescent="0.25">
      <c r="A24932" t="str">
        <f>HYPERLINK("https://www.773grp.com/globalSearch/R5F562T7ADFM#V0/page-1", "R5F562T7ADFM#V0")</f>
        <v>R5F562T7ADFM#V0</v>
      </c>
      <c r="B24932" s="3" t="str">
        <f>HYPERLINK("https://www.773grp.com/manufacturer/renesas-electronics-america-inc?pageNo=106", "Renesas Electronics")</f>
        <v>Renesas Electronics</v>
      </c>
      <c r="C24932" s="6">
        <v>77</v>
      </c>
      <c r="D24932" s="7">
        <v>12.24</v>
      </c>
    </row>
    <row r="24933" spans="1:4" x14ac:dyDescent="0.25">
      <c r="A24933" t="str">
        <f>HYPERLINK("https://www.773grp.com/globalSearch/RJP30E2DPK-M0#T0/page-1", "RJP30E2DPK-M0#T0")</f>
        <v>RJP30E2DPK-M0#T0</v>
      </c>
      <c r="B24933" s="3" t="str">
        <f>HYPERLINK("https://www.773grp.com/manufacturer/renesas-electronics-america-inc?pageNo=107", "Renesas Electronics")</f>
        <v>Renesas Electronics</v>
      </c>
      <c r="C24933" s="6">
        <v>6515</v>
      </c>
      <c r="D24933" s="7">
        <v>12.29</v>
      </c>
    </row>
    <row r="24934" spans="1:4" x14ac:dyDescent="0.25">
      <c r="A24934" t="str">
        <f>HYPERLINK("https://www.773grp.com/globalSearch/R5F21245SDFP#U0/page-1", "R5F21245SDFP#U0")</f>
        <v>R5F21245SDFP#U0</v>
      </c>
      <c r="B24934" s="3" t="str">
        <f>HYPERLINK("https://www.773grp.com/manufacturer/renesas-electronics-america-inc?pageNo=108", "Renesas Electronics")</f>
        <v>Renesas Electronics</v>
      </c>
      <c r="C24934" s="6">
        <v>139</v>
      </c>
      <c r="D24934" s="7">
        <v>12.35</v>
      </c>
    </row>
    <row r="24935" spans="1:4" x14ac:dyDescent="0.25">
      <c r="A24935" t="str">
        <f>HYPERLINK("https://www.773grp.com/globalSearch/M38507F8FP/page-1", "M38507F8FP")</f>
        <v>M38507F8FP</v>
      </c>
      <c r="B24935" s="3" t="str">
        <f>HYPERLINK("https://www.773grp.com/manufacturer/renesas-electronics-america-inc?pageNo=109", "Renesas Electronics")</f>
        <v>Renesas Electronics</v>
      </c>
      <c r="C24935" s="6">
        <v>774</v>
      </c>
      <c r="D24935" s="7">
        <v>12.49</v>
      </c>
    </row>
    <row r="24936" spans="1:4" x14ac:dyDescent="0.25">
      <c r="A24936" t="str">
        <f>HYPERLINK("https://www.773grp.com/globalSearch/M38039FFFP/page-1", "M38039FFFP")</f>
        <v>M38039FFFP</v>
      </c>
      <c r="B24936" s="3" t="str">
        <f>HYPERLINK("https://www.773grp.com/manufacturer/renesas-electronics-america-inc?pageNo=110", "Renesas Electronics")</f>
        <v>Renesas Electronics</v>
      </c>
      <c r="C24936" s="6">
        <v>260</v>
      </c>
      <c r="D24936" s="7">
        <v>12.53</v>
      </c>
    </row>
    <row r="24937" spans="1:4" x14ac:dyDescent="0.25">
      <c r="A24937" t="str">
        <f>HYPERLINK("https://www.773grp.com/globalSearch/FX50KMJ-06#B00/page-1", "FX50KMJ-06#B00")</f>
        <v>FX50KMJ-06#B00</v>
      </c>
      <c r="B24937" s="3" t="str">
        <f>HYPERLINK("https://www.773grp.com/manufacturer/renesas-electronics-america-inc?pageNo=111", "Renesas Electronics")</f>
        <v>Renesas Electronics</v>
      </c>
      <c r="C24937" s="6">
        <v>11454</v>
      </c>
      <c r="D24937" s="7">
        <v>12.6</v>
      </c>
    </row>
    <row r="24938" spans="1:4" x14ac:dyDescent="0.25">
      <c r="A24938" t="str">
        <f>HYPERLINK("https://www.773grp.com/globalSearch/2SC3365-E/page-1", "2SC3365-E")</f>
        <v>2SC3365-E</v>
      </c>
      <c r="B24938" s="3" t="str">
        <f>HYPERLINK("https://www.773grp.com/manufacturer/renesas-electronics-america-inc?pageNo=112", "Renesas Electronics")</f>
        <v>Renesas Electronics</v>
      </c>
      <c r="C24938" s="6">
        <v>1218</v>
      </c>
      <c r="D24938" s="7">
        <v>12.63</v>
      </c>
    </row>
    <row r="24939" spans="1:4" x14ac:dyDescent="0.25">
      <c r="A24939" t="str">
        <f>HYPERLINK("https://www.773grp.com/globalSearch/M30624FGPGP#D3C/page-1", "M30624FGPGP#D3C")</f>
        <v>M30624FGPGP#D3C</v>
      </c>
      <c r="B24939" s="3" t="str">
        <f>HYPERLINK("https://www.773grp.com/manufacturer/renesas-electronics-america-inc?pageNo=113", "Renesas Electronics")</f>
        <v>Renesas Electronics</v>
      </c>
      <c r="C24939" s="6">
        <v>358</v>
      </c>
      <c r="D24939" s="7">
        <v>12.66</v>
      </c>
    </row>
    <row r="24940" spans="1:4" x14ac:dyDescent="0.25">
      <c r="A24940" t="str">
        <f>HYPERLINK("https://www.773grp.com/globalSearch/UPD431000AGW-80Y/page-1", "UPD431000AGW-80Y")</f>
        <v>UPD431000AGW-80Y</v>
      </c>
      <c r="B24940" s="3" t="str">
        <f>HYPERLINK("https://www.773grp.com/manufacturer/renesas-electronics-america-inc?pageNo=114", "Renesas Electronics")</f>
        <v>Renesas Electronics</v>
      </c>
      <c r="C24940" s="6">
        <v>39652</v>
      </c>
      <c r="D24940" s="7">
        <v>12.66</v>
      </c>
    </row>
    <row r="24941" spans="1:4" x14ac:dyDescent="0.25">
      <c r="A24941" t="str">
        <f>HYPERLINK("https://www.773grp.com/globalSearch/UPD431000AGW-80Y-E2/page-1", "UPD431000AGW-80Y-E2")</f>
        <v>UPD431000AGW-80Y-E2</v>
      </c>
      <c r="B24941" s="3" t="str">
        <f>HYPERLINK("https://www.773grp.com/manufacturer/renesas-electronics-america-inc?pageNo=115", "Renesas Electronics")</f>
        <v>Renesas Electronics</v>
      </c>
      <c r="C24941" s="6">
        <v>441000</v>
      </c>
      <c r="D24941" s="7">
        <v>12.66</v>
      </c>
    </row>
    <row r="24942" spans="1:4" x14ac:dyDescent="0.25">
      <c r="A24942" t="str">
        <f>HYPERLINK("https://www.773grp.com/globalSearch/R2J30510LG#W2/page-1", "R2J30510LG#W2")</f>
        <v>R2J30510LG#W2</v>
      </c>
      <c r="B24942" s="3" t="str">
        <f>HYPERLINK("https://www.773grp.com/manufacturer/renesas-electronics-america-inc?pageNo=116", "Renesas Electronics")</f>
        <v>Renesas Electronics</v>
      </c>
      <c r="C24942" s="6">
        <v>12000</v>
      </c>
      <c r="D24942" s="7">
        <v>13.03</v>
      </c>
    </row>
    <row r="24943" spans="1:4" x14ac:dyDescent="0.25">
      <c r="A24943" t="str">
        <f>HYPERLINK("https://www.773grp.com/globalSearch/M37272E8FP/page-1", "M37272E8FP")</f>
        <v>M37272E8FP</v>
      </c>
      <c r="B24943" s="3" t="str">
        <f>HYPERLINK("https://www.773grp.com/manufacturer/renesas-electronics-america-inc?pageNo=117", "Renesas Electronics")</f>
        <v>Renesas Electronics</v>
      </c>
      <c r="C24943" s="6">
        <v>4258</v>
      </c>
      <c r="D24943" s="7">
        <v>13.05</v>
      </c>
    </row>
    <row r="24944" spans="1:4" x14ac:dyDescent="0.25">
      <c r="A24944" t="str">
        <f>HYPERLINK("https://www.773grp.com/globalSearch/UPD784031GK-9EU-A/page-1", "UPD784031GK-9EU-A")</f>
        <v>UPD784031GK-9EU-A</v>
      </c>
      <c r="B24944" s="3" t="str">
        <f>HYPERLINK("https://www.773grp.com/manufacturer/renesas-electronics-america-inc?pageNo=118", "Renesas Electronics")</f>
        <v>Renesas Electronics</v>
      </c>
      <c r="C24944" s="6">
        <v>457</v>
      </c>
      <c r="D24944" s="7">
        <v>13.13</v>
      </c>
    </row>
    <row r="24945" spans="1:4" x14ac:dyDescent="0.25">
      <c r="A24945" t="str">
        <f>HYPERLINK("https://www.773grp.com/globalSearch/R1LP0408CSB-7LI#S0/page-1", "R1LP0408CSB-7LI#S0")</f>
        <v>R1LP0408CSB-7LI#S0</v>
      </c>
      <c r="B24945" s="3" t="str">
        <f>HYPERLINK("https://www.773grp.com/manufacturer/renesas-electronics-america-inc?pageNo=119", "Renesas Electronics")</f>
        <v>Renesas Electronics</v>
      </c>
      <c r="C24945" s="6">
        <v>2000</v>
      </c>
      <c r="D24945" s="7">
        <v>13.21</v>
      </c>
    </row>
    <row r="24946" spans="1:4" x14ac:dyDescent="0.25">
      <c r="A24946" t="str">
        <f>HYPERLINK("https://www.773grp.com/globalSearch/R1LP0408CSB-7UI#D0/page-1", "R1LP0408CSB-7UI#D0")</f>
        <v>R1LP0408CSB-7UI#D0</v>
      </c>
      <c r="B24946" s="3" t="str">
        <f>HYPERLINK("https://www.773grp.com/manufacturer/renesas-electronics-america-inc?pageNo=120", "Renesas Electronics")</f>
        <v>Renesas Electronics</v>
      </c>
      <c r="C24946" s="6">
        <v>5802</v>
      </c>
      <c r="D24946" s="7">
        <v>13.21</v>
      </c>
    </row>
    <row r="24947" spans="1:4" x14ac:dyDescent="0.25">
      <c r="A24947" t="str">
        <f>HYPERLINK("https://www.773grp.com/globalSearch/R1LP0408CSC-5SI#D0/page-1", "R1LP0408CSC-5SI#D0")</f>
        <v>R1LP0408CSC-5SI#D0</v>
      </c>
      <c r="B24947" s="3" t="str">
        <f>HYPERLINK("https://www.773grp.com/manufacturer/renesas-electronics-america-inc?pageNo=121", "Renesas Electronics")</f>
        <v>Renesas Electronics</v>
      </c>
      <c r="C24947" s="6">
        <v>16784</v>
      </c>
      <c r="D24947" s="7">
        <v>13.21</v>
      </c>
    </row>
    <row r="24948" spans="1:4" x14ac:dyDescent="0.25">
      <c r="A24948" t="str">
        <f>HYPERLINK("https://www.773grp.com/globalSearch/R1LP0408CSC-7LC#D0/page-1", "R1LP0408CSC-7LC#D0")</f>
        <v>R1LP0408CSC-7LC#D0</v>
      </c>
      <c r="B24948" s="3" t="str">
        <f>HYPERLINK("https://www.773grp.com/manufacturer/renesas-electronics-america-inc?pageNo=122", "Renesas Electronics")</f>
        <v>Renesas Electronics</v>
      </c>
      <c r="C24948" s="6">
        <v>129</v>
      </c>
      <c r="D24948" s="7">
        <v>13.21</v>
      </c>
    </row>
    <row r="24949" spans="1:4" x14ac:dyDescent="0.25">
      <c r="A24949" t="str">
        <f>HYPERLINK("https://www.773grp.com/globalSearch/R1LP0408CSP-7UI#B0/page-1", "R1LP0408CSP-7UI#B0")</f>
        <v>R1LP0408CSP-7UI#B0</v>
      </c>
      <c r="B24949" s="3" t="str">
        <f>HYPERLINK("https://www.773grp.com/manufacturer/renesas-electronics-america-inc?pageNo=123", "Renesas Electronics")</f>
        <v>Renesas Electronics</v>
      </c>
      <c r="C24949" s="6">
        <v>10166</v>
      </c>
      <c r="D24949" s="7">
        <v>13.21</v>
      </c>
    </row>
    <row r="24950" spans="1:4" x14ac:dyDescent="0.25">
      <c r="A24950" t="str">
        <f>HYPERLINK("https://www.773grp.com/globalSearch/R1LV0408CSB-5SC#D0/page-1", "R1LV0408CSB-5SC#D0")</f>
        <v>R1LV0408CSB-5SC#D0</v>
      </c>
      <c r="B24950" s="3" t="str">
        <f>HYPERLINK("https://www.773grp.com/manufacturer/renesas-electronics-america-inc?pageNo=124", "Renesas Electronics")</f>
        <v>Renesas Electronics</v>
      </c>
      <c r="C24950" s="6">
        <v>1937</v>
      </c>
      <c r="D24950" s="7">
        <v>13.21</v>
      </c>
    </row>
    <row r="24951" spans="1:4" x14ac:dyDescent="0.25">
      <c r="A24951" t="str">
        <f>HYPERLINK("https://www.773grp.com/globalSearch/R1LV0408CSB-5UC#D0/page-1", "R1LV0408CSB-5UC#D0")</f>
        <v>R1LV0408CSB-5UC#D0</v>
      </c>
      <c r="B24951" s="3" t="str">
        <f>HYPERLINK("https://www.773grp.com/manufacturer/renesas-electronics-america-inc?pageNo=125", "Renesas Electronics")</f>
        <v>Renesas Electronics</v>
      </c>
      <c r="C24951" s="6">
        <v>2903</v>
      </c>
      <c r="D24951" s="7">
        <v>13.21</v>
      </c>
    </row>
    <row r="24952" spans="1:4" x14ac:dyDescent="0.25">
      <c r="A24952" t="str">
        <f>HYPERLINK("https://www.773grp.com/globalSearch/R1LV0408CSB-5UI#D0/page-1", "R1LV0408CSB-5UI#D0")</f>
        <v>R1LV0408CSB-5UI#D0</v>
      </c>
      <c r="B24952" s="3" t="str">
        <f>HYPERLINK("https://www.773grp.com/manufacturer/renesas-electronics-america-inc?pageNo=126", "Renesas Electronics")</f>
        <v>Renesas Electronics</v>
      </c>
      <c r="C24952" s="6">
        <v>450</v>
      </c>
      <c r="D24952" s="7">
        <v>13.21</v>
      </c>
    </row>
    <row r="24953" spans="1:4" x14ac:dyDescent="0.25">
      <c r="A24953" t="str">
        <f>HYPERLINK("https://www.773grp.com/globalSearch/R1LV0416CSB-5SI#S0/page-1", "R1LV0416CSB-5SI#S0")</f>
        <v>R1LV0416CSB-5SI#S0</v>
      </c>
      <c r="B24953" s="3" t="str">
        <f>HYPERLINK("https://www.773grp.com/manufacturer/renesas-electronics-america-inc?pageNo=127", "Renesas Electronics")</f>
        <v>Renesas Electronics</v>
      </c>
      <c r="C24953" s="6">
        <v>5000</v>
      </c>
      <c r="D24953" s="7">
        <v>13.21</v>
      </c>
    </row>
    <row r="24954" spans="1:4" x14ac:dyDescent="0.25">
      <c r="A24954" t="str">
        <f>HYPERLINK("https://www.773grp.com/globalSearch/R2J10172HA-A00FPU0/page-1", "R2J10172HA-A00FPU0")</f>
        <v>R2J10172HA-A00FPU0</v>
      </c>
      <c r="B24954" s="3" t="str">
        <f>HYPERLINK("https://www.773grp.com/manufacturer/renesas-electronics-america-inc?pageNo=128", "Renesas Electronics")</f>
        <v>Renesas Electronics</v>
      </c>
      <c r="C24954" s="6">
        <v>1843</v>
      </c>
      <c r="D24954" s="7">
        <v>13.21</v>
      </c>
    </row>
    <row r="24955" spans="1:4" x14ac:dyDescent="0.25">
      <c r="A24955" t="str">
        <f>HYPERLINK("https://www.773grp.com/globalSearch/R5F21265SDFP#U0/page-1", "R5F21265SDFP#U0")</f>
        <v>R5F21265SDFP#U0</v>
      </c>
      <c r="B24955" s="3" t="str">
        <f>HYPERLINK("https://www.773grp.com/manufacturer/renesas-electronics-america-inc?pageNo=129", "Renesas Electronics")</f>
        <v>Renesas Electronics</v>
      </c>
      <c r="C24955" s="6">
        <v>57</v>
      </c>
      <c r="D24955" s="7">
        <v>13.3</v>
      </c>
    </row>
    <row r="24956" spans="1:4" x14ac:dyDescent="0.25">
      <c r="A24956" t="str">
        <f>HYPERLINK("https://www.773grp.com/globalSearch/M66004FP#200D/page-1", "M66004FP#200D")</f>
        <v>M66004FP#200D</v>
      </c>
      <c r="B24956" s="3" t="str">
        <f>HYPERLINK("https://www.773grp.com/manufacturer/renesas-electronics-america-inc?pageNo=130", "Renesas Electronics")</f>
        <v>Renesas Electronics</v>
      </c>
      <c r="C24956" s="6">
        <v>750</v>
      </c>
      <c r="D24956" s="7">
        <v>13.41</v>
      </c>
    </row>
    <row r="24957" spans="1:4" x14ac:dyDescent="0.25">
      <c r="A24957" t="str">
        <f>HYPERLINK("https://www.773grp.com/globalSearch/M38507F8SP#U1/page-1", "M38507F8SP#U1")</f>
        <v>M38507F8SP#U1</v>
      </c>
      <c r="B24957" s="3" t="str">
        <f>HYPERLINK("https://www.773grp.com/manufacturer/renesas-electronics-america-inc?pageNo=131", "Renesas Electronics")</f>
        <v>Renesas Electronics</v>
      </c>
      <c r="C24957" s="6">
        <v>3395</v>
      </c>
      <c r="D24957" s="7">
        <v>13.59</v>
      </c>
    </row>
    <row r="24958" spans="1:4" x14ac:dyDescent="0.25">
      <c r="A24958" t="str">
        <f>HYPERLINK("https://www.773grp.com/globalSearch/HD6445P4/page-1", "HD6445P4")</f>
        <v>HD6445P4</v>
      </c>
      <c r="B24958" s="3" t="str">
        <f>HYPERLINK("https://www.773grp.com/manufacturer/renesas-electronics-america-inc?pageNo=132", "Renesas Electronics")</f>
        <v>Renesas Electronics</v>
      </c>
      <c r="C24958" s="6">
        <v>815</v>
      </c>
      <c r="D24958" s="7">
        <v>13.64</v>
      </c>
    </row>
    <row r="24959" spans="1:4" x14ac:dyDescent="0.25">
      <c r="A24959" t="str">
        <f>HYPERLINK("https://www.773grp.com/globalSearch/R2J10215GD-A00FPU0/page-1", "R2J10215GD-A00FPU0")</f>
        <v>R2J10215GD-A00FPU0</v>
      </c>
      <c r="B24959" s="3" t="str">
        <f>HYPERLINK("https://www.773grp.com/manufacturer/renesas-electronics-america-inc?pageNo=133", "Renesas Electronics")</f>
        <v>Renesas Electronics</v>
      </c>
      <c r="C24959" s="6">
        <v>510</v>
      </c>
      <c r="D24959" s="7">
        <v>13.68</v>
      </c>
    </row>
    <row r="24960" spans="1:4" x14ac:dyDescent="0.25">
      <c r="A24960" t="str">
        <f>HYPERLINK("https://www.773grp.com/globalSearch/M38K09F8LHP/page-1", "M38K09F8LHP")</f>
        <v>M38K09F8LHP</v>
      </c>
      <c r="B24960" s="3" t="str">
        <f>HYPERLINK("https://www.773grp.com/manufacturer/renesas-electronics-america-inc?pageNo=134", "Renesas Electronics")</f>
        <v>Renesas Electronics</v>
      </c>
      <c r="C24960" s="6">
        <v>245</v>
      </c>
      <c r="D24960" s="7">
        <v>13.7</v>
      </c>
    </row>
    <row r="24961" spans="1:4" x14ac:dyDescent="0.25">
      <c r="A24961" t="str">
        <f>HYPERLINK("https://www.773grp.com/globalSearch/M37540E2FP#U0/page-1", "M37540E2FP#U0")</f>
        <v>M37540E2FP#U0</v>
      </c>
      <c r="B24961" s="3" t="str">
        <f>HYPERLINK("https://www.773grp.com/manufacturer/renesas-electronics-america-inc?pageNo=135", "Renesas Electronics")</f>
        <v>Renesas Electronics</v>
      </c>
      <c r="C24961" s="6">
        <v>4990</v>
      </c>
      <c r="D24961" s="7">
        <v>13.75</v>
      </c>
    </row>
    <row r="24962" spans="1:4" x14ac:dyDescent="0.25">
      <c r="A24962" t="str">
        <f>HYPERLINK("https://www.773grp.com/globalSearch/1SZ47A/page-1", "1SZ47A")</f>
        <v>1SZ47A</v>
      </c>
      <c r="B24962" s="3" t="str">
        <f>HYPERLINK("https://www.773grp.com/manufacturer/renesas-electronics-america-inc?pageNo=136", "Renesas Electronics")</f>
        <v>Renesas Electronics</v>
      </c>
      <c r="C24962" s="6">
        <v>20200</v>
      </c>
      <c r="D24962" s="7">
        <v>13.8</v>
      </c>
    </row>
    <row r="24963" spans="1:4" x14ac:dyDescent="0.25">
      <c r="A24963" t="str">
        <f>HYPERLINK("https://www.773grp.com/globalSearch/1SZ47A-AZ/page-1", "1SZ47A-AZ")</f>
        <v>1SZ47A-AZ</v>
      </c>
      <c r="B24963" s="3" t="str">
        <f>HYPERLINK("https://www.773grp.com/manufacturer/renesas-electronics-america-inc?pageNo=137", "Renesas Electronics")</f>
        <v>Renesas Electronics</v>
      </c>
      <c r="C24963" s="6">
        <v>4496</v>
      </c>
      <c r="D24963" s="7">
        <v>13.8</v>
      </c>
    </row>
    <row r="24964" spans="1:4" x14ac:dyDescent="0.25">
      <c r="A24964" t="str">
        <f>HYPERLINK("https://www.773grp.com/globalSearch/R5F21247SDFP#U0/page-1", "R5F21247SDFP#U0")</f>
        <v>R5F21247SDFP#U0</v>
      </c>
      <c r="B24964" s="3" t="str">
        <f>HYPERLINK("https://www.773grp.com/manufacturer/renesas-electronics-america-inc?pageNo=138", "Renesas Electronics")</f>
        <v>Renesas Electronics</v>
      </c>
      <c r="C24964" s="6">
        <v>124</v>
      </c>
      <c r="D24964" s="7">
        <v>13.8</v>
      </c>
    </row>
    <row r="24965" spans="1:4" x14ac:dyDescent="0.25">
      <c r="A24965" t="str">
        <f>HYPERLINK("https://www.773grp.com/globalSearch/HD407A4374FTI/page-1", "HD407A4374FTI")</f>
        <v>HD407A4374FTI</v>
      </c>
      <c r="B24965" s="3" t="str">
        <f>HYPERLINK("https://www.773grp.com/manufacturer/renesas-electronics-america-inc?pageNo=139", "Renesas Electronics")</f>
        <v>Renesas Electronics</v>
      </c>
      <c r="C24965" s="6">
        <v>850</v>
      </c>
      <c r="D24965" s="7">
        <v>13.93</v>
      </c>
    </row>
    <row r="24966" spans="1:4" x14ac:dyDescent="0.25">
      <c r="A24966" t="str">
        <f>HYPERLINK("https://www.773grp.com/globalSearch/M37531E4FP#U0/page-1", "M37531E4FP#U0")</f>
        <v>M37531E4FP#U0</v>
      </c>
      <c r="B24966" s="3" t="str">
        <f>HYPERLINK("https://www.773grp.com/manufacturer/renesas-electronics-america-inc?pageNo=140", "Renesas Electronics")</f>
        <v>Renesas Electronics</v>
      </c>
      <c r="C24966" s="6">
        <v>959</v>
      </c>
      <c r="D24966" s="7">
        <v>13.98</v>
      </c>
    </row>
    <row r="24967" spans="1:4" x14ac:dyDescent="0.25">
      <c r="A24967" t="str">
        <f>HYPERLINK("https://www.773grp.com/globalSearch/M66592UG#RF0Z/page-1", "M66592UG#RF0Z")</f>
        <v>M66592UG#RF0Z</v>
      </c>
      <c r="B24967" s="3" t="str">
        <f>HYPERLINK("https://www.773grp.com/manufacturer/renesas-electronics-america-inc?pageNo=141", "Renesas Electronics")</f>
        <v>Renesas Electronics</v>
      </c>
      <c r="C24967" s="6">
        <v>21641</v>
      </c>
      <c r="D24967" s="7">
        <v>14.13</v>
      </c>
    </row>
    <row r="24968" spans="1:4" x14ac:dyDescent="0.25">
      <c r="A24968" t="str">
        <f>HYPERLINK("https://www.773grp.com/globalSearch/2SC3336-E/page-1", "2SC3336-E")</f>
        <v>2SC3336-E</v>
      </c>
      <c r="B24968" s="3" t="str">
        <f>HYPERLINK("https://www.773grp.com/manufacturer/renesas-electronics-america-inc?pageNo=142", "Renesas Electronics")</f>
        <v>Renesas Electronics</v>
      </c>
      <c r="C24968" s="6">
        <v>135</v>
      </c>
      <c r="D24968" s="7">
        <v>14.18</v>
      </c>
    </row>
    <row r="24969" spans="1:4" x14ac:dyDescent="0.25">
      <c r="A24969" t="str">
        <f>HYPERLINK("https://www.773grp.com/globalSearch/M30624FGPFP#D5C/page-1", "M30624FGPFP#D5C")</f>
        <v>M30624FGPFP#D5C</v>
      </c>
      <c r="B24969" s="4" t="str">
        <f>HYPERLINK("https://www.773grp.com/manufacturer/renesas-electronics-america-inc?pageNo=143", "Renesas Electronics")</f>
        <v>Renesas Electronics</v>
      </c>
      <c r="C24969" s="6">
        <v>2128</v>
      </c>
      <c r="D24969" s="7">
        <v>14.18</v>
      </c>
    </row>
    <row r="24970" spans="1:4" x14ac:dyDescent="0.25">
      <c r="A24970" t="str">
        <f>HYPERLINK("https://www.773grp.com/globalSearch/R5F21257SYFP#U0/page-1", "R5F21257SYFP#U0")</f>
        <v>R5F21257SYFP#U0</v>
      </c>
      <c r="B24970" s="3" t="str">
        <f>HYPERLINK("https://www.773grp.com/manufacturer/renesas-electronics-america-inc?pageNo=144", "Renesas Electronics")</f>
        <v>Renesas Electronics</v>
      </c>
      <c r="C24970" s="6">
        <v>6734</v>
      </c>
      <c r="D24970" s="7">
        <v>14.18</v>
      </c>
    </row>
    <row r="24971" spans="1:4" x14ac:dyDescent="0.25">
      <c r="A24971" t="str">
        <f>HYPERLINK("https://www.773grp.com/globalSearch/R5F2L367ADFP#U1/page-1", "R5F2L367ADFP#U1")</f>
        <v>R5F2L367ADFP#U1</v>
      </c>
      <c r="B24971" s="3" t="str">
        <f>HYPERLINK("https://www.773grp.com/manufacturer/renesas-electronics-america-inc?pageNo=145", "Renesas Electronics")</f>
        <v>Renesas Electronics</v>
      </c>
      <c r="C24971" s="6">
        <v>2313</v>
      </c>
      <c r="D24971" s="7">
        <v>14.35</v>
      </c>
    </row>
    <row r="24972" spans="1:4" x14ac:dyDescent="0.25">
      <c r="A24972" t="str">
        <f>HYPERLINK("https://www.773grp.com/globalSearch/M37705E4BSP/page-1", "M37705E4BSP")</f>
        <v>M37705E4BSP</v>
      </c>
      <c r="B24972" s="3" t="str">
        <f>HYPERLINK("https://www.773grp.com/manufacturer/renesas-electronics-america-inc?pageNo=146", "Renesas Electronics")</f>
        <v>Renesas Electronics</v>
      </c>
      <c r="C24972" s="6">
        <v>33</v>
      </c>
      <c r="D24972" s="7">
        <v>14.51</v>
      </c>
    </row>
    <row r="24973" spans="1:4" x14ac:dyDescent="0.25">
      <c r="A24973" t="str">
        <f>HYPERLINK("https://www.773grp.com/globalSearch/M66230FP#TB0Q/page-1", "M66230FP#TB0Q")</f>
        <v>M66230FP#TB0Q</v>
      </c>
      <c r="B24973" s="3" t="str">
        <f>HYPERLINK("https://www.773grp.com/manufacturer/renesas-electronics-america-inc?pageNo=147", "Renesas Electronics")</f>
        <v>Renesas Electronics</v>
      </c>
      <c r="C24973" s="6">
        <v>28706</v>
      </c>
      <c r="D24973" s="7">
        <v>14.55</v>
      </c>
    </row>
    <row r="24974" spans="1:4" x14ac:dyDescent="0.25">
      <c r="A24974" t="str">
        <f>HYPERLINK("https://www.773grp.com/globalSearch/M62303FP/page-1", "M62303FP")</f>
        <v>M62303FP</v>
      </c>
      <c r="B24974" s="4" t="str">
        <f>HYPERLINK("https://www.773grp.com/manufacturer/renesas-electronics-america-inc?pageNo=148", "Renesas Electronics")</f>
        <v>Renesas Electronics</v>
      </c>
      <c r="C24974" s="6">
        <v>1201</v>
      </c>
      <c r="D24974" s="7">
        <v>14.76</v>
      </c>
    </row>
    <row r="24975" spans="1:4" x14ac:dyDescent="0.25">
      <c r="A24975" t="str">
        <f>HYPERLINK("https://www.773grp.com/globalSearch/R5F21276SDFP#U0/page-1", "R5F21276SDFP#U0")</f>
        <v>R5F21276SDFP#U0</v>
      </c>
      <c r="B24975" s="3" t="str">
        <f>HYPERLINK("https://www.773grp.com/manufacturer/renesas-electronics-america-inc?pageNo=149", "Renesas Electronics")</f>
        <v>Renesas Electronics</v>
      </c>
      <c r="C24975" s="6">
        <v>1781</v>
      </c>
      <c r="D24975" s="7">
        <v>14.76</v>
      </c>
    </row>
    <row r="24976" spans="1:4" x14ac:dyDescent="0.25">
      <c r="A24976" t="str">
        <f>HYPERLINK("https://www.773grp.com/globalSearch/R5F212A7SDFA#U0/page-1", "R5F212A7SDFA#U0")</f>
        <v>R5F212A7SDFA#U0</v>
      </c>
      <c r="B24976" s="3" t="str">
        <f>HYPERLINK("https://www.773grp.com/manufacturer/renesas-electronics-america-inc?pageNo=150", "Renesas Electronics")</f>
        <v>Renesas Electronics</v>
      </c>
      <c r="C24976" s="6">
        <v>76</v>
      </c>
      <c r="D24976" s="7">
        <v>14.76</v>
      </c>
    </row>
    <row r="24977" spans="1:4" x14ac:dyDescent="0.25">
      <c r="A24977" t="str">
        <f>HYPERLINK("https://www.773grp.com/globalSearch/M37221EASP/page-1", "M37221EASP")</f>
        <v>M37221EASP</v>
      </c>
      <c r="B24977" s="3" t="str">
        <f>HYPERLINK("https://www.773grp.com/manufacturer/renesas-electronics-america-inc?pageNo=151", "Renesas Electronics")</f>
        <v>Renesas Electronics</v>
      </c>
      <c r="C24977" s="6">
        <v>3767</v>
      </c>
      <c r="D24977" s="7">
        <v>15.08</v>
      </c>
    </row>
    <row r="24978" spans="1:4" x14ac:dyDescent="0.25">
      <c r="A24978" t="str">
        <f>HYPERLINK("https://www.773grp.com/globalSearch/HD64F38024HV/page-1", "HD64F38024HV")</f>
        <v>HD64F38024HV</v>
      </c>
      <c r="B24978" s="3" t="str">
        <f>HYPERLINK("https://www.773grp.com/manufacturer/renesas-electronics-america-inc?pageNo=152", "Renesas Electronics")</f>
        <v>Renesas Electronics</v>
      </c>
      <c r="C24978" s="6">
        <v>26772</v>
      </c>
      <c r="D24978" s="7">
        <v>15.28</v>
      </c>
    </row>
    <row r="24979" spans="1:4" x14ac:dyDescent="0.25">
      <c r="A24979" t="str">
        <f>HYPERLINK("https://www.773grp.com/globalSearch/HD6417708RF100A/page-1", "HD6417708RF100A")</f>
        <v>HD6417708RF100A</v>
      </c>
      <c r="B24979" s="3" t="str">
        <f>HYPERLINK("https://www.773grp.com/manufacturer/renesas-electronics-america-inc?pageNo=153", "Renesas Electronics")</f>
        <v>Renesas Electronics</v>
      </c>
      <c r="C24979" s="6">
        <v>324</v>
      </c>
      <c r="D24979" s="7">
        <v>15.53</v>
      </c>
    </row>
    <row r="24980" spans="1:4" x14ac:dyDescent="0.25">
      <c r="A24980" t="str">
        <f>HYPERLINK("https://www.773grp.com/globalSearch/M38039FFHSP#U0/page-1", "M38039FFHSP#U0")</f>
        <v>M38039FFHSP#U0</v>
      </c>
      <c r="B24980" s="3" t="str">
        <f>HYPERLINK("https://www.773grp.com/manufacturer/renesas-electronics-america-inc?pageNo=154", "Renesas Electronics")</f>
        <v>Renesas Electronics</v>
      </c>
      <c r="C24980" s="6">
        <v>1033</v>
      </c>
      <c r="D24980" s="7">
        <v>15.56</v>
      </c>
    </row>
    <row r="24981" spans="1:4" x14ac:dyDescent="0.25">
      <c r="A24981" t="str">
        <f>HYPERLINK("https://www.773grp.com/globalSearch/UPD78F0138M2GB(A1)-8EU/page-1", "UPD78F0138M2GB(A1)-8EU")</f>
        <v>UPD78F0138M2GB(A1)-8EU</v>
      </c>
      <c r="B24981" s="3" t="str">
        <f>HYPERLINK("https://www.773grp.com/manufacturer/renesas-electronics-america-inc?pageNo=155", "Renesas Electronics")</f>
        <v>Renesas Electronics</v>
      </c>
      <c r="C24981" s="6">
        <v>50</v>
      </c>
      <c r="D24981" s="7">
        <v>15.56</v>
      </c>
    </row>
    <row r="24982" spans="1:4" x14ac:dyDescent="0.25">
      <c r="A24982" t="str">
        <f>HYPERLINK("https://www.773grp.com/globalSearch/M38C37ECAFS/page-1", "M38C37ECAFS")</f>
        <v>M38C37ECAFS</v>
      </c>
      <c r="B24982" s="3" t="str">
        <f>HYPERLINK("https://www.773grp.com/manufacturer/renesas-electronics-america-inc?pageNo=156", "Renesas Electronics")</f>
        <v>Renesas Electronics</v>
      </c>
      <c r="C24982" s="6">
        <v>20</v>
      </c>
      <c r="D24982" s="7">
        <v>15.66</v>
      </c>
    </row>
    <row r="24983" spans="1:4" x14ac:dyDescent="0.25">
      <c r="A24983" t="str">
        <f>HYPERLINK("https://www.773grp.com/globalSearch/M65847AFP#A20/page-1", "M65847AFP#A20")</f>
        <v>M65847AFP#A20</v>
      </c>
      <c r="B24983" s="3" t="str">
        <f>HYPERLINK("https://www.773grp.com/manufacturer/renesas-electronics-america-inc?pageNo=157", "Renesas Electronics")</f>
        <v>Renesas Electronics</v>
      </c>
      <c r="C24983" s="6">
        <v>97</v>
      </c>
      <c r="D24983" s="7">
        <v>15.66</v>
      </c>
    </row>
    <row r="24984" spans="1:4" x14ac:dyDescent="0.25">
      <c r="A24984" t="str">
        <f>HYPERLINK("https://www.773grp.com/globalSearch/UPD77115GK-9EU/page-1", "UPD77115GK-9EU")</f>
        <v>UPD77115GK-9EU</v>
      </c>
      <c r="B24984" s="3" t="str">
        <f>HYPERLINK("https://www.773grp.com/manufacturer/renesas-electronics-america-inc?pageNo=158", "Renesas Electronics")</f>
        <v>Renesas Electronics</v>
      </c>
      <c r="C24984" s="6">
        <v>1845</v>
      </c>
      <c r="D24984" s="7">
        <v>15.75</v>
      </c>
    </row>
    <row r="24985" spans="1:4" x14ac:dyDescent="0.25">
      <c r="A24985" t="str">
        <f>HYPERLINK("https://www.773grp.com/globalSearch/R1LV1616RSA-8SI#B0/page-1", "R1LV1616RSA-8SI#B0")</f>
        <v>R1LV1616RSA-8SI#B0</v>
      </c>
      <c r="B24985" s="3" t="str">
        <f>HYPERLINK("https://www.773grp.com/manufacturer/renesas-electronics-america-inc?pageNo=159", "Renesas Electronics")</f>
        <v>Renesas Electronics</v>
      </c>
      <c r="C24985" s="6">
        <v>3566</v>
      </c>
      <c r="D24985" s="7">
        <v>15.86</v>
      </c>
    </row>
    <row r="24986" spans="1:4" x14ac:dyDescent="0.25">
      <c r="A24986" t="str">
        <f>HYPERLINK("https://www.773grp.com/globalSearch/HD641180XF4/page-1", "HD641180XF4")</f>
        <v>HD641180XF4</v>
      </c>
      <c r="B24986" s="3" t="str">
        <f>HYPERLINK("https://www.773grp.com/manufacturer/renesas-electronics-america-inc?pageNo=160", "Renesas Electronics")</f>
        <v>Renesas Electronics</v>
      </c>
      <c r="C24986" s="6">
        <v>515</v>
      </c>
      <c r="D24986" s="7">
        <v>15.98</v>
      </c>
    </row>
    <row r="24987" spans="1:4" x14ac:dyDescent="0.25">
      <c r="A24987" t="str">
        <f>HYPERLINK("https://www.773grp.com/globalSearch/M30800SAFP#D3/page-1", "M30800SAFP#D3")</f>
        <v>M30800SAFP#D3</v>
      </c>
      <c r="B24987" s="3" t="str">
        <f>HYPERLINK("https://www.773grp.com/manufacturer/renesas-electronics-america-inc?pageNo=161", "Renesas Electronics")</f>
        <v>Renesas Electronics</v>
      </c>
      <c r="C24987" s="6">
        <v>1098</v>
      </c>
      <c r="D24987" s="7">
        <v>16.11</v>
      </c>
    </row>
    <row r="24988" spans="1:4" x14ac:dyDescent="0.25">
      <c r="A24988" t="str">
        <f>HYPERLINK("https://www.773grp.com/globalSearch/R5F212B7SNFA#U0/page-1", "R5F212B7SNFA#U0")</f>
        <v>R5F212B7SNFA#U0</v>
      </c>
      <c r="B24988" s="3" t="str">
        <f>HYPERLINK("https://www.773grp.com/manufacturer/renesas-electronics-america-inc?pageNo=162", "Renesas Electronics")</f>
        <v>Renesas Electronics</v>
      </c>
      <c r="C24988" s="6">
        <v>118</v>
      </c>
      <c r="D24988" s="7">
        <v>16.239999999999998</v>
      </c>
    </row>
    <row r="24989" spans="1:4" x14ac:dyDescent="0.25">
      <c r="A24989" t="str">
        <f>HYPERLINK("https://www.773grp.com/globalSearch/DF2138AFA20JG/page-1", "DF2138AFA20JG")</f>
        <v>DF2138AFA20JG</v>
      </c>
      <c r="B24989" s="3" t="str">
        <f>HYPERLINK("https://www.773grp.com/manufacturer/renesas-electronics-america-inc?pageNo=163", "Renesas Electronics")</f>
        <v>Renesas Electronics</v>
      </c>
      <c r="C24989" s="6">
        <v>192</v>
      </c>
      <c r="D24989" s="7">
        <v>16.54</v>
      </c>
    </row>
    <row r="24990" spans="1:4" x14ac:dyDescent="0.25">
      <c r="A24990" t="str">
        <f>HYPERLINK("https://www.773grp.com/globalSearch/M37450E4FP/page-1", "M37450E4FP")</f>
        <v>M37450E4FP</v>
      </c>
      <c r="B24990" s="3" t="str">
        <f>HYPERLINK("https://www.773grp.com/manufacturer/renesas-electronics-america-inc?pageNo=164", "Renesas Electronics")</f>
        <v>Renesas Electronics</v>
      </c>
      <c r="C24990" s="6">
        <v>1906</v>
      </c>
      <c r="D24990" s="7">
        <v>16.79</v>
      </c>
    </row>
    <row r="24991" spans="1:4" x14ac:dyDescent="0.25">
      <c r="A24991" t="str">
        <f>HYPERLINK("https://www.773grp.com/globalSearch/HD407A4069H/page-1", "HD407A4069H")</f>
        <v>HD407A4069H</v>
      </c>
      <c r="B24991" s="3" t="str">
        <f>HYPERLINK("https://www.773grp.com/manufacturer/renesas-electronics-america-inc?pageNo=165", "Renesas Electronics")</f>
        <v>Renesas Electronics</v>
      </c>
      <c r="C24991" s="6">
        <v>796</v>
      </c>
      <c r="D24991" s="7">
        <v>16.88</v>
      </c>
    </row>
    <row r="24992" spans="1:4" x14ac:dyDescent="0.25">
      <c r="A24992" t="str">
        <f>HYPERLINK("https://www.773grp.com/globalSearch/HD407A4359H/page-1", "HD407A4359H")</f>
        <v>HD407A4359H</v>
      </c>
      <c r="B24992" s="3" t="str">
        <f>HYPERLINK("https://www.773grp.com/manufacturer/renesas-electronics-america-inc?pageNo=166", "Renesas Electronics")</f>
        <v>Renesas Electronics</v>
      </c>
      <c r="C24992" s="6">
        <v>55</v>
      </c>
      <c r="D24992" s="7">
        <v>16.88</v>
      </c>
    </row>
    <row r="24993" spans="1:4" x14ac:dyDescent="0.25">
      <c r="A24993" t="str">
        <f>HYPERLINK("https://www.773grp.com/globalSearch/HD407A4389FTI/page-1", "HD407A4389FTI")</f>
        <v>HD407A4389FTI</v>
      </c>
      <c r="B24993" s="3" t="str">
        <f>HYPERLINK("https://www.773grp.com/manufacturer/renesas-electronics-america-inc?pageNo=167", "Renesas Electronics")</f>
        <v>Renesas Electronics</v>
      </c>
      <c r="C24993" s="6">
        <v>350</v>
      </c>
      <c r="D24993" s="7">
        <v>16.88</v>
      </c>
    </row>
    <row r="24994" spans="1:4" x14ac:dyDescent="0.25">
      <c r="A24994" t="str">
        <f>HYPERLINK("https://www.773grp.com/globalSearch/M34510E8SS/page-1", "M34510E8SS")</f>
        <v>M34510E8SS</v>
      </c>
      <c r="B24994" s="3" t="str">
        <f>HYPERLINK("https://www.773grp.com/manufacturer/renesas-electronics-america-inc?pageNo=168", "Renesas Electronics")</f>
        <v>Renesas Electronics</v>
      </c>
      <c r="C24994" s="6">
        <v>10</v>
      </c>
      <c r="D24994" s="7">
        <v>16.88</v>
      </c>
    </row>
    <row r="24995" spans="1:4" x14ac:dyDescent="0.25">
      <c r="A24995" t="str">
        <f>HYPERLINK("https://www.773grp.com/globalSearch/R2J20604NP#13/page-1", "R2J20604NP#13")</f>
        <v>R2J20604NP#13</v>
      </c>
      <c r="B24995" s="3" t="str">
        <f>HYPERLINK("https://www.773grp.com/manufacturer/renesas-electronics-america-inc?pageNo=169", "Renesas Electronics")</f>
        <v>Renesas Electronics</v>
      </c>
      <c r="C24995" s="6">
        <v>109</v>
      </c>
      <c r="D24995" s="7">
        <v>16.88</v>
      </c>
    </row>
    <row r="24996" spans="1:4" x14ac:dyDescent="0.25">
      <c r="A24996" t="str">
        <f>HYPERLINK("https://www.773grp.com/globalSearch/R2J20604NP#G3/page-1", "R2J20604NP#G3")</f>
        <v>R2J20604NP#G3</v>
      </c>
      <c r="B24996" s="3" t="str">
        <f>HYPERLINK("https://www.773grp.com/manufacturer/renesas-electronics-america-inc?pageNo=170", "Renesas Electronics")</f>
        <v>Renesas Electronics</v>
      </c>
      <c r="C24996" s="6">
        <v>92500</v>
      </c>
      <c r="D24996" s="7">
        <v>16.88</v>
      </c>
    </row>
    <row r="24997" spans="1:4" x14ac:dyDescent="0.25">
      <c r="A24997" t="str">
        <f>HYPERLINK("https://www.773grp.com/globalSearch/RJK60S7DPP-E0#T2/page-1", "RJK60S7DPP-E0#T2")</f>
        <v>RJK60S7DPP-E0#T2</v>
      </c>
      <c r="B24997" s="3" t="str">
        <f>HYPERLINK("https://www.773grp.com/manufacturer/renesas-electronics-america-inc?pageNo=171", "Renesas Electronics")</f>
        <v>Renesas Electronics</v>
      </c>
      <c r="C24997" s="6">
        <v>48184</v>
      </c>
      <c r="D24997" s="7">
        <v>16.88</v>
      </c>
    </row>
    <row r="24998" spans="1:4" x14ac:dyDescent="0.25">
      <c r="A24998" t="str">
        <f>HYPERLINK("https://www.773grp.com/globalSearch/RJP30E3DPK-M2#T0/page-1", "RJP30E3DPK-M2#T0")</f>
        <v>RJP30E3DPK-M2#T0</v>
      </c>
      <c r="B24998" s="3" t="str">
        <f>HYPERLINK("https://www.773grp.com/manufacturer/renesas-electronics-america-inc?pageNo=172", "Renesas Electronics")</f>
        <v>Renesas Electronics</v>
      </c>
      <c r="C24998" s="6">
        <v>29098</v>
      </c>
      <c r="D24998" s="7">
        <v>16.88</v>
      </c>
    </row>
    <row r="24999" spans="1:4" x14ac:dyDescent="0.25">
      <c r="A24999" t="str">
        <f>HYPERLINK("https://www.773grp.com/globalSearch/HD6303YCPJ/page-1", "HD6303YCPJ")</f>
        <v>HD6303YCPJ</v>
      </c>
      <c r="B24999" s="4" t="str">
        <f>HYPERLINK("https://www.773grp.com/manufacturer/renesas-electronics-america-inc?pageNo=173", "Renesas Electronics")</f>
        <v>Renesas Electronics</v>
      </c>
      <c r="C24999" s="6">
        <v>102</v>
      </c>
      <c r="D24999" s="7">
        <v>16.91</v>
      </c>
    </row>
    <row r="25000" spans="1:4" x14ac:dyDescent="0.25">
      <c r="A25000" s="4" t="str">
        <f>HYPERLINK("https://www.773grp.com/globalSearch/M61571BFP#TF0T/page-1", "M61571BFP#TF0T")</f>
        <v>M61571BFP#TF0T</v>
      </c>
      <c r="B25000" s="4" t="str">
        <f>HYPERLINK("https://www.773grp.com/manufacturer/renesas-electronics-america-inc?pageNo=174", "Renesas Electronics")</f>
        <v>Renesas Electronics</v>
      </c>
      <c r="C25000" s="6">
        <v>1932</v>
      </c>
      <c r="D25000" s="7">
        <v>17.100000000000001</v>
      </c>
    </row>
  </sheetData>
  <pageMargins left="0.7" right="0.7" top="0.75" bottom="0.75" header="0.3" footer="0.3"/>
  <pageSetup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Lynn</dc:creator>
  <cp:lastModifiedBy>Sales Dept</cp:lastModifiedBy>
  <cp:lastPrinted>2024-10-29T17:23:03Z</cp:lastPrinted>
  <dcterms:created xsi:type="dcterms:W3CDTF">2024-10-24T18:49:53Z</dcterms:created>
  <dcterms:modified xsi:type="dcterms:W3CDTF">2025-01-07T00:51:42Z</dcterms:modified>
</cp:coreProperties>
</file>